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475" yWindow="450" windowWidth="20955" windowHeight="12210" tabRatio="686" firstSheet="2" activeTab="2"/>
  </bookViews>
  <sheets>
    <sheet name="__FDSCACHE__" sheetId="145" state="veryHidden" r:id="rId1"/>
    <sheet name="MW-Cache" sheetId="142" state="veryHidden" r:id="rId2"/>
    <sheet name="ImportantDisclosures" sheetId="204" r:id="rId3"/>
    <sheet name="Intro" sheetId="128" r:id="rId4"/>
    <sheet name="IS" sheetId="1" r:id="rId5"/>
    <sheet name="BS" sheetId="5" r:id="rId6"/>
    <sheet name="CF " sheetId="6" r:id="rId7"/>
    <sheet name="IndexInformation" sheetId="205" r:id="rId8"/>
    <sheet name="ModPubIndex" sheetId="206" r:id="rId9"/>
    <sheet name="__APW_ACTIVE_FIELD_RESTORE__" sheetId="113" state="veryHidden" r:id="rId10"/>
  </sheets>
  <externalReferences>
    <externalReference r:id="rId11"/>
  </externalReferences>
  <definedNames>
    <definedName name="__FDS_HYPERLINK_TOGGLE_STATE__" hidden="1">"ON"</definedName>
    <definedName name="_bdm.0A9E2A391FE442E18B26E2569E06EBBB.edm" localSheetId="4" hidden="1">IS!$A$5:$AP$66</definedName>
    <definedName name="_bdm.0AD68FB7D93948CA82CAA1FC2EEF5DB6.edm" localSheetId="4" hidden="1">IS!$EX$8:$FC$138</definedName>
    <definedName name="_bdm.0B04DC8EF3364902B2F150D116590D9C.edm" hidden="1">BS!$1:$1048576</definedName>
    <definedName name="_bdm.0FC366C7E940431C98CDB5B4E3102E0A.edm" hidden="1">'CF '!$1:$1048576</definedName>
    <definedName name="_bdm.14BF86BA12F04C98B75E98D835F384AF.edm" localSheetId="6" hidden="1">'CF '!$A$7:$AP$77</definedName>
    <definedName name="_bdm.153D5B3758454959A61836A7EB657D93.edm" localSheetId="4" hidden="1">IS!$A$8:$BF$152</definedName>
    <definedName name="_bdm.22BA2C0B1B2D4D309ECBDB5253390CFB.edm" localSheetId="5" hidden="1">BS!$A$7:$BP$48</definedName>
    <definedName name="_bdm.30CB2EBDA9AE41318CAA6545227E18C7.edm" localSheetId="6" hidden="1">'CF '!$A$7:$BP$77</definedName>
    <definedName name="_bdm.4ECABF77BBD44853842ABAB1C6F08CBC.edm" localSheetId="5" hidden="1">BS!$A$7:$AP$65</definedName>
    <definedName name="_bdm.5C7B2044E607411189DC0AC2F3C6B1BD.edm" localSheetId="4" hidden="1">IS!$A$7:$AP$138</definedName>
    <definedName name="_bdm.6321ADEC109E4B178281F44264DD23E5.edm" localSheetId="6" hidden="1">'CF '!$A$6:$AP$77</definedName>
    <definedName name="_bdm.75FF8A88D321457180C51E9032B64F3D.edm" localSheetId="4" hidden="1">IS!$A$7:$AZ$138</definedName>
    <definedName name="_bdm.7631B9DAA3DA40D0BDBF3A087AD70E63.edm" localSheetId="5" hidden="1">BS!$A$7:$AP$65</definedName>
    <definedName name="_bdm.8FE839AE2CF0421E9EFAE5FA80E04AC9.edm" localSheetId="4" hidden="1">IS!$A$8:$BP$152</definedName>
    <definedName name="_bdm.904F8E44E37F4D68BC658DF208EF7196.edm" localSheetId="4" hidden="1">IS!$A$8:$BK$152</definedName>
    <definedName name="_bdm.91518E94BECB477C8A49905CD98B0F07.edm" localSheetId="4" hidden="1">IS!$A$8:$AZ$138</definedName>
    <definedName name="_bdm.9C0F70F47B3F4D3099FD571BFA820F56.edm" localSheetId="6" hidden="1">'CF '!$A$7:$BF$77</definedName>
    <definedName name="_bdm.9D255039A07D49A68FDB239869B411C2.edm" localSheetId="4" hidden="1">IS!$A$8:$AZ$138</definedName>
    <definedName name="_bdm.A15E32A51104409A8106F8F744AC801D.edm" localSheetId="5" hidden="1">BS!$A$7:$BF$48</definedName>
    <definedName name="_bdm.D21DC609E80C45B690B6826D6AC46B39.edm" localSheetId="4" hidden="1">IS!$A$5:$AP$138</definedName>
    <definedName name="_bdm.DC57CF0361694233A7C1939699387564.edm" localSheetId="5" hidden="1">BS!$A$7:$BK$48</definedName>
    <definedName name="_bdm.E5BE691D82DA4E7483AC508057CAD95F.edm" localSheetId="6" hidden="1">'CF '!$A$7:$BK$77</definedName>
    <definedName name="_bdm.ED7664EC0FC04F7DB0FD91391720FBE2.edm" hidden="1">IS!$1:$1048576</definedName>
    <definedName name="_bdm.EF5808D9DF494C0786B52A909908023F.edm" localSheetId="4" hidden="1">IS!$A$8:$BF$152</definedName>
    <definedName name="_bdm.FD40719F495E458BBBE7465A979685BD.edm" localSheetId="4" hidden="1">IS!$A$7:$AP$138</definedName>
    <definedName name="_Order1" hidden="1">255</definedName>
    <definedName name="AdditionalInstructions">IndexInformation!$B$42</definedName>
    <definedName name="Address" localSheetId="2">ImportantDisclosures!$A$2:$A$2</definedName>
    <definedName name="adf">[1]!val,[1]!INC,[1]!bal,[1]!CASH,[1]!int,[1]!assum1,[1]!assum2,[1]!dcf</definedName>
    <definedName name="adfasdfsd">[1]!val,[1]!INC,[1]!bal,[1]!CASH,[1]!int,[1]!assum1,[1]!assum2,[1]!dcf</definedName>
    <definedName name="adsf">[1]!val,[1]!INC,[1]!bal,[1]!CASH,[1]!int,[1]!assum1,[1]!assum2,[1]!dcf</definedName>
    <definedName name="adsfasdfasd">[1]!val,[1]!INC,[1]!bal,[1]!CASH,[1]!int,[1]!assum1,[1]!assum2,[1]!dcf,[1]!_xlbgnm.dcf1</definedName>
    <definedName name="ANA" localSheetId="8">ModPubIndex!$A$7</definedName>
    <definedName name="anscount" hidden="1">2</definedName>
    <definedName name="Authors" localSheetId="2">ImportantDisclosures!$A$7</definedName>
    <definedName name="Authors" localSheetId="7">IndexInformation!$B$18</definedName>
    <definedName name="BRO" localSheetId="8">ModPubIndex!$A$1</definedName>
    <definedName name="conflict">[1]!val,[1]!INC,[1]!bal,[1]!CASH,[1]!int,[1]!assum1,[1]!assum2,[1]!dcf</definedName>
    <definedName name="CopyrightStamp">ImportantDisclosures!$A$27</definedName>
    <definedName name="COU" localSheetId="8">ModPubIndex!$A$5</definedName>
    <definedName name="CQEnd" localSheetId="7">IndexInformation!$B$31</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te" localSheetId="2">ImportantDisclosures!$A$8</definedName>
    <definedName name="Deleted" localSheetId="7">IndexInformation!$B$27</definedName>
    <definedName name="Description" localSheetId="7">IndexInformation!$B$7</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2">ImportantDisclosures!#REF!</definedName>
    <definedName name="DistTablePreamble" localSheetId="2">ImportantDisclosures!#REF!</definedName>
    <definedName name="DOCDAT" localSheetId="8">ModPubIndex!$A$2</definedName>
    <definedName name="DOCTIME" localSheetId="8">ModPubIndex!$A$3</definedName>
    <definedName name="DocType" localSheetId="7">IndexInformation!$B$5</definedName>
    <definedName name="EMAIL_ALERT" localSheetId="8">ModPubIndex!$A$10</definedName>
    <definedName name="EmailAlert" localSheetId="7">IndexInformation!$B$28</definedName>
    <definedName name="ev.Calculation" hidden="1">-4105</definedName>
    <definedName name="ev.Initialized" hidden="1">FALSE</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Growth_ROIC">OFFSET([1]!XRange,10,0)</definedName>
    <definedName name="HL" localSheetId="8">ModPubIndex!$A$8</definedName>
    <definedName name="hn.ExtDb" hidden="1">FALSE</definedName>
    <definedName name="hn.ModelType" hidden="1">"DEAL"</definedName>
    <definedName name="hn.ModelVersion" hidden="1">1</definedName>
    <definedName name="hn.NoUpload" hidden="1">0</definedName>
    <definedName name="IND" localSheetId="8">ModPubIndex!$A$9</definedName>
    <definedName name="Industry" localSheetId="2">ImportantDisclosures!$A$12</definedName>
    <definedName name="IndustryId">IndexInformation!$B$40</definedName>
    <definedName name="IndustryRating" localSheetId="2">ImportantDisclosures!$A$13</definedName>
    <definedName name="InvestCapGrowth">OFFSET([1]!XRange2,4,0)</definedName>
    <definedName name="IsColHidden" hidden="1">FALSE</definedName>
    <definedName name="IsLTMColHidden" hidden="1">FALSE</definedName>
    <definedName name="KeepVersions" localSheetId="7">IndexInformation!$B$8</definedName>
    <definedName name="L_\LIBRARY\LONG\FMC\Aug98\_fbpd_model1.xls_5_Year_DCF__07_28_98__10_03_AM">"DCF2"</definedName>
    <definedName name="L_\LIBRARY\LONG\FMC\Aug98\_fbpd_model1.xls_Combined__PF_BS__07_28_98__10_01_AM">"DCF1"</definedName>
    <definedName name="LanguageCode">IndexInformation!$B$38</definedName>
    <definedName name="LastCell" localSheetId="2">ImportantDisclosures!$A$22</definedName>
    <definedName name="limcount" hidden="1">2</definedName>
    <definedName name="Linking_10">BS!$A$7:$CO$48</definedName>
    <definedName name="Linking_11">IS!$A$5:$CT$153</definedName>
    <definedName name="Linking_12">'CF '!$A$5:$CO$91</definedName>
    <definedName name="Linking_13">BS!$A$7:$CO$66</definedName>
    <definedName name="Linking_14">IS!$A$8:$CT$153</definedName>
    <definedName name="Linking_15">IS!$A$5:$CT$117</definedName>
    <definedName name="Linking_16">'CF '!$A$5:$CO$77</definedName>
    <definedName name="Linking_17">IS!$A$8:$CY$153</definedName>
    <definedName name="Linking_2">BS!$A$7:$CJ$66</definedName>
    <definedName name="Linking_3">'CF '!$A$7:$CJ$86</definedName>
    <definedName name="Linking_4">BS!$A$7:$CE$66</definedName>
    <definedName name="Linking_5">IS!$A$5:$CO$153</definedName>
    <definedName name="Linking_6">BS!$A$5:$CJ$66</definedName>
    <definedName name="Linking_7">'CF '!$A$5:$CJ$77</definedName>
    <definedName name="Linking_8">IS!$A$8:$CT$152</definedName>
    <definedName name="Linking_9">'CF '!$A$7:$CO$77</definedName>
    <definedName name="Linking_Range_11">IS!$A$8:$CE$117</definedName>
    <definedName name="Linking_Range_15">IS!$A$8:$CJ$117</definedName>
    <definedName name="Linking_Range_17">IS!$A$8:$CJ$152</definedName>
    <definedName name="Linking_Range_18">IS!$A$8:$CO$153</definedName>
    <definedName name="Linking_Range_19">BS!$A$7:$CJ$48</definedName>
    <definedName name="Linking_Range_20">'CF '!$A$7:$CJ$77</definedName>
    <definedName name="Linking_Range_22">IS!$A$8:$CN$152</definedName>
    <definedName name="Linking_Range_3">IS!$A$8:$CE$138</definedName>
    <definedName name="Linking_Range_4">BS!$A$7:$BZ$65</definedName>
    <definedName name="Linking_Range_5">'CF '!$A$7:$BZ$95</definedName>
    <definedName name="Linking_Range_6">'CF '!$A$7:$CE$91</definedName>
    <definedName name="Linking_Range_7">'CF '!$A$7:$BZ$91</definedName>
    <definedName name="Linking_Range_8">IS!$A$8:$CJ$138</definedName>
    <definedName name="Linking_Range_9">BS!$A$7:$CE$65</definedName>
    <definedName name="MacroVersion" localSheetId="7">IndexInformation!$B$1</definedName>
    <definedName name="ModelPrice" localSheetId="2">ImportantDisclosures!$A$14</definedName>
    <definedName name="Multiplier" localSheetId="7">IndexInformation!$B$35</definedName>
    <definedName name="NextYearEPS" localSheetId="7">IndexInformation!$B$13</definedName>
    <definedName name="NextYearTotalRevenue" localSheetId="7">IndexInformation!$B$12</definedName>
    <definedName name="NextYearTotalRevenueActual" localSheetId="7">IndexInformation!$B$33</definedName>
    <definedName name="NM">"NM"</definedName>
    <definedName name="ObjectType">IndexInformation!$B$37</definedName>
    <definedName name="OpMargin">OFFSET([1]!XRange2,5,0)</definedName>
    <definedName name="PANA" localSheetId="8">ModPubIndex!$A$11</definedName>
    <definedName name="PathName" localSheetId="7">IndexInformation!$B$25</definedName>
    <definedName name="Phase1NPVFCF">OFFSET([1]!XRange,39,0)</definedName>
    <definedName name="Phase2NPVFCF">OFFSET([1]!XRange,40,0)</definedName>
    <definedName name="Phase3NPVFCF">OFFSET([1]!XRange,41,0)</definedName>
    <definedName name="_xlnm.Print_Area" localSheetId="5">BS!$A$1:$CH$48</definedName>
    <definedName name="print_full">[1]!val,[1]!INC,[1]!bal,[1]!CASH,[1]!int,[1]!assum1,[1]!assum2,[1]!dcf,[1]!_xlbgnm.dcf1</definedName>
    <definedName name="print_full1">[1]!val,[1]!INC,[1]!bal,[1]!CASH,[1]!int,[1]!assum1,[1]!assum2,[1]!dcf</definedName>
    <definedName name="printareafull">[1]!val,[1]!INC,[1]!bal,[1]!CASH,[1]!int,[1]!assum1,[1]!assum2,[1]!dcf,[1]!_xlbgnm.dcf1</definedName>
    <definedName name="printfull2">[1]!val,[1]!INC,[1]!bal,[1]!CASH,[1]!int,[1]!assum1,[1]!assum2,[1]!dcf</definedName>
    <definedName name="PRODUCT" localSheetId="8">ModPubIndex!$A$6</definedName>
    <definedName name="ProjectName">{"Cereva Networks, Inc"}</definedName>
    <definedName name="PSYM" localSheetId="8">ModPubIndex!$A$4</definedName>
    <definedName name="PublishDate" localSheetId="7">IndexInformation!$B$2</definedName>
    <definedName name="Rating" localSheetId="7">IndexInformation!$B$9</definedName>
    <definedName name="RatingsDefined" localSheetId="2">ImportantDisclosures!$A$21</definedName>
    <definedName name="RatingsDefs" localSheetId="2">ImportantDisclosures!#REF!</definedName>
    <definedName name="RegACDisclosure" localSheetId="2">ImportantDisclosures!#REF!</definedName>
    <definedName name="Rem_Bus_ROIC">OFFSET([1]!XRange,11,0)</definedName>
    <definedName name="ResearchTopic" localSheetId="7">IndexInformation!$B$4</definedName>
    <definedName name="RIC" localSheetId="7">IndexInformation!$B$21</definedName>
    <definedName name="SECSettlement" localSheetId="2">ImportantDisclosures!#REF!</definedName>
    <definedName name="SEDOL" localSheetId="7">IndexInformation!$B$22</definedName>
    <definedName name="sencount" hidden="1">2</definedName>
    <definedName name="SourceDefined" localSheetId="2">ImportantDisclosures!$A$19</definedName>
    <definedName name="StockRating" localSheetId="2">ImportantDisclosures!$A$11</definedName>
    <definedName name="SubjectCode" localSheetId="7">IndexInformation!$B$6</definedName>
    <definedName name="SubmitterUserId">IndexInformation!$B$39</definedName>
    <definedName name="SUPPRESSED" localSheetId="8">ModPubIndex!$A$13</definedName>
    <definedName name="TargetPrice" localSheetId="2">ImportantDisclosures!$A$15</definedName>
    <definedName name="TemplateRegion">IndexInformation!$B$36</definedName>
    <definedName name="Ticker" localSheetId="2">ImportantDisclosures!$A$10</definedName>
    <definedName name="TickerRegion">IndexInformation!$B$41</definedName>
    <definedName name="Tickers" localSheetId="7">IndexInformation!$B$19</definedName>
    <definedName name="Total_Bus_ROIC">OFFSET([1]!XRange,12,0)</definedName>
    <definedName name="UpdateReason" localSheetId="7">IndexInformation!$B$17</definedName>
    <definedName name="USRegDisclosures" localSheetId="2">ImportantDisclosures!#REF!</definedName>
    <definedName name="Version">"June 29, 2004"</definedName>
    <definedName name="WACC">OFFSET([1]!XRange,13,0)</definedName>
  </definedNames>
  <calcPr calcId="145621"/>
</workbook>
</file>

<file path=xl/calcChain.xml><?xml version="1.0" encoding="utf-8"?>
<calcChain xmlns="http://schemas.openxmlformats.org/spreadsheetml/2006/main">
  <c r="CO60" i="6" l="1"/>
  <c r="CK73" i="6"/>
  <c r="CI13" i="5"/>
  <c r="CJ31" i="6"/>
  <c r="CI14" i="5" l="1"/>
  <c r="CJ36" i="6"/>
  <c r="CJ75" i="6"/>
  <c r="CS391" i="1" l="1"/>
  <c r="CR391" i="1"/>
  <c r="CQ391" i="1"/>
  <c r="CP393" i="1"/>
  <c r="CN394" i="1"/>
  <c r="CN393" i="1"/>
  <c r="CN388" i="1"/>
  <c r="CN387" i="1"/>
  <c r="CN389" i="1" s="1"/>
  <c r="CM393" i="1"/>
  <c r="CM388" i="1"/>
  <c r="CM387" i="1"/>
  <c r="CM389" i="1" s="1"/>
  <c r="CN390" i="1" s="1"/>
  <c r="CN392" i="1" s="1"/>
  <c r="CL393" i="1"/>
  <c r="CL389" i="1"/>
  <c r="CL388" i="1"/>
  <c r="DX50" i="6"/>
  <c r="DX49" i="6"/>
  <c r="DX48" i="6"/>
  <c r="DS50" i="6"/>
  <c r="DS49" i="6"/>
  <c r="DS48" i="6"/>
  <c r="DN50" i="6"/>
  <c r="DN49" i="6"/>
  <c r="DN48" i="6"/>
  <c r="DI50" i="6"/>
  <c r="DI49" i="6"/>
  <c r="DI48" i="6"/>
  <c r="DD50" i="6"/>
  <c r="DD49" i="6"/>
  <c r="DD48" i="6"/>
  <c r="CY50" i="6"/>
  <c r="CY49" i="6"/>
  <c r="CY48" i="6"/>
  <c r="CT50" i="6"/>
  <c r="CT49" i="6"/>
  <c r="CT48" i="6"/>
  <c r="CO50" i="6"/>
  <c r="CO49" i="6"/>
  <c r="CM36" i="6"/>
  <c r="CN36" i="6"/>
  <c r="CL36" i="6"/>
  <c r="CK36" i="6"/>
  <c r="CK47" i="5"/>
  <c r="CK13" i="5"/>
  <c r="CP318" i="1" l="1"/>
  <c r="FB142" i="1" l="1"/>
  <c r="FB135" i="1"/>
  <c r="FB124" i="1"/>
  <c r="FB109" i="1"/>
  <c r="FB103" i="1"/>
  <c r="FB100" i="1"/>
  <c r="FB97" i="1"/>
  <c r="FB96" i="1"/>
  <c r="FB75" i="1"/>
  <c r="FB73" i="1"/>
  <c r="FB67" i="1"/>
  <c r="FB66" i="1"/>
  <c r="FB55" i="1"/>
  <c r="FB54" i="1"/>
  <c r="FB52" i="1"/>
  <c r="FB49" i="1"/>
  <c r="FB47" i="1"/>
  <c r="FB46" i="1"/>
  <c r="FB40" i="1"/>
  <c r="FB37" i="1"/>
  <c r="FB36" i="1"/>
  <c r="FB35" i="1"/>
  <c r="FB32" i="1"/>
  <c r="FB21" i="1"/>
  <c r="FB8" i="1"/>
  <c r="EY142" i="1"/>
  <c r="EY135" i="1"/>
  <c r="EY124" i="1"/>
  <c r="EY109" i="1"/>
  <c r="EY103" i="1"/>
  <c r="EY100" i="1"/>
  <c r="EY97" i="1"/>
  <c r="EY96" i="1"/>
  <c r="EY75" i="1"/>
  <c r="EY73" i="1"/>
  <c r="EY66" i="1"/>
  <c r="EY54" i="1"/>
  <c r="EY47" i="1"/>
  <c r="EY40" i="1"/>
  <c r="EY36" i="1"/>
  <c r="EY35" i="1"/>
  <c r="EY8" i="1"/>
  <c r="DC36" i="6" l="1"/>
  <c r="DB36" i="6"/>
  <c r="DA36" i="6"/>
  <c r="CZ36" i="6"/>
  <c r="CX36" i="6"/>
  <c r="CW36" i="6"/>
  <c r="CV36" i="6"/>
  <c r="CU36" i="6"/>
  <c r="CS36" i="6"/>
  <c r="CR36" i="6"/>
  <c r="CQ36" i="6"/>
  <c r="CP36" i="6"/>
  <c r="CB188" i="5" l="1"/>
  <c r="CC188" i="5"/>
  <c r="CD188" i="5"/>
  <c r="CA188" i="5"/>
  <c r="CO205" i="1"/>
  <c r="CL318" i="1"/>
  <c r="CM318" i="1"/>
  <c r="CN318" i="1"/>
  <c r="CK318" i="1"/>
  <c r="CJ60" i="6" l="1"/>
  <c r="CP412" i="1"/>
  <c r="CN53" i="1"/>
  <c r="FB7" i="1" l="1"/>
  <c r="EY7" i="1"/>
  <c r="D33" i="128" l="1"/>
  <c r="D32" i="128"/>
  <c r="D30" i="128"/>
  <c r="D31" i="128" s="1"/>
  <c r="D34" i="128" l="1"/>
  <c r="CH7" i="5" l="1"/>
  <c r="CH21" i="5"/>
  <c r="CH17" i="6" l="1"/>
  <c r="CM45" i="1" l="1"/>
  <c r="CH169" i="5" l="1"/>
  <c r="CQ146" i="5" l="1"/>
  <c r="CV146" i="5" s="1"/>
  <c r="DA146" i="5" s="1"/>
  <c r="DF146" i="5" s="1"/>
  <c r="DK146" i="5" s="1"/>
  <c r="DP146" i="5" s="1"/>
  <c r="DU146" i="5" s="1"/>
  <c r="CS146" i="5"/>
  <c r="CX146" i="5" s="1"/>
  <c r="DC146" i="5" s="1"/>
  <c r="DH146" i="5" s="1"/>
  <c r="DM146" i="5" s="1"/>
  <c r="DR146" i="5" s="1"/>
  <c r="DW146" i="5" s="1"/>
  <c r="CR146" i="5"/>
  <c r="CW146" i="5" s="1"/>
  <c r="DB146" i="5" s="1"/>
  <c r="DG146" i="5" s="1"/>
  <c r="DL146" i="5" s="1"/>
  <c r="DQ146" i="5" s="1"/>
  <c r="DV146" i="5" s="1"/>
  <c r="CP146" i="5"/>
  <c r="CU146" i="5" s="1"/>
  <c r="CZ146" i="5" s="1"/>
  <c r="DE146" i="5" s="1"/>
  <c r="DJ146" i="5" s="1"/>
  <c r="DO146" i="5" s="1"/>
  <c r="DT146" i="5" s="1"/>
  <c r="CH85" i="5"/>
  <c r="CI85" i="5" l="1"/>
  <c r="CG34" i="6"/>
  <c r="CH34" i="6" s="1"/>
  <c r="CG33" i="6"/>
  <c r="CH33" i="6" s="1"/>
  <c r="CG32" i="6"/>
  <c r="CH32" i="6" s="1"/>
  <c r="CG31" i="6"/>
  <c r="CH31" i="6" s="1"/>
  <c r="CG30" i="6"/>
  <c r="CH30" i="6" s="1"/>
  <c r="CG26" i="6"/>
  <c r="CH26" i="6" s="1"/>
  <c r="CG23" i="6"/>
  <c r="CH23" i="6" s="1"/>
  <c r="CG16" i="6"/>
  <c r="CH16" i="6" s="1"/>
  <c r="CG15" i="6"/>
  <c r="CH15" i="6" s="1"/>
  <c r="CG14" i="6"/>
  <c r="CH14" i="6" s="1"/>
  <c r="CG13" i="6"/>
  <c r="CH13" i="6" s="1"/>
  <c r="CG12" i="6"/>
  <c r="CH12" i="6" s="1"/>
  <c r="CG11" i="6"/>
  <c r="CG9" i="6"/>
  <c r="CH9" i="6" s="1"/>
  <c r="CG51" i="6"/>
  <c r="CH51" i="6" s="1"/>
  <c r="CG50" i="6"/>
  <c r="CH50" i="6" s="1"/>
  <c r="CG49" i="6"/>
  <c r="CH49" i="6" s="1"/>
  <c r="CG48" i="6"/>
  <c r="CH48" i="6" s="1"/>
  <c r="CG44" i="6"/>
  <c r="CH44" i="6" s="1"/>
  <c r="CG43" i="6"/>
  <c r="CH43" i="6" s="1"/>
  <c r="CG57" i="6"/>
  <c r="CH57" i="6" s="1"/>
  <c r="CG58" i="6"/>
  <c r="CH58" i="6" s="1"/>
  <c r="CG61" i="6"/>
  <c r="CH61" i="6" s="1"/>
  <c r="CG63" i="6"/>
  <c r="CH63" i="6" s="1"/>
  <c r="CG66" i="6"/>
  <c r="CH66" i="6" s="1"/>
  <c r="CG68" i="6"/>
  <c r="CH68" i="6" s="1"/>
  <c r="CG73" i="6"/>
  <c r="CH73" i="6" s="1"/>
  <c r="CH11" i="6" l="1"/>
  <c r="CI169" i="5"/>
  <c r="CJ169" i="5" s="1"/>
  <c r="CJ85" i="5"/>
  <c r="CK85" i="5" s="1"/>
  <c r="FD44" i="1"/>
  <c r="CK169" i="5" l="1"/>
  <c r="CL85" i="5"/>
  <c r="CL206" i="1"/>
  <c r="CO206" i="1" s="1"/>
  <c r="CL169" i="5" l="1"/>
  <c r="CM85" i="5"/>
  <c r="CN85" i="5" l="1"/>
  <c r="CM169" i="5"/>
  <c r="CO85" i="5" l="1"/>
  <c r="CP85" i="5" s="1"/>
  <c r="CN169" i="5"/>
  <c r="CO169" i="5" s="1"/>
  <c r="CQ85" i="5" l="1"/>
  <c r="CP169" i="5"/>
  <c r="CR85" i="5" l="1"/>
  <c r="CQ169" i="5"/>
  <c r="CS85" i="5" l="1"/>
  <c r="CR169" i="5"/>
  <c r="CS169" i="5" l="1"/>
  <c r="CT169" i="5" s="1"/>
  <c r="CT85" i="5"/>
  <c r="CU85" i="5" s="1"/>
  <c r="CV85" i="5" l="1"/>
  <c r="CU169" i="5"/>
  <c r="CE206" i="1"/>
  <c r="CW85" i="5" l="1"/>
  <c r="CV169" i="5"/>
  <c r="CX85" i="5" l="1"/>
  <c r="CW169" i="5"/>
  <c r="CX169" i="5" l="1"/>
  <c r="CY169" i="5" s="1"/>
  <c r="CY85" i="5"/>
  <c r="CZ85" i="5" s="1"/>
  <c r="DA85" i="5" l="1"/>
  <c r="CZ169" i="5"/>
  <c r="DB85" i="5" l="1"/>
  <c r="DA169" i="5"/>
  <c r="CF121" i="6"/>
  <c r="DC85" i="5" l="1"/>
  <c r="DB169" i="5"/>
  <c r="DD85" i="5" l="1"/>
  <c r="DE85" i="5" s="1"/>
  <c r="DC169" i="5"/>
  <c r="DD169" i="5" s="1"/>
  <c r="CG84" i="5"/>
  <c r="DX145" i="5"/>
  <c r="DS145" i="5"/>
  <c r="DN145" i="5"/>
  <c r="DI145" i="5"/>
  <c r="DD145" i="5"/>
  <c r="CY145" i="5"/>
  <c r="CT145" i="5"/>
  <c r="CO145" i="5"/>
  <c r="CJ145" i="5"/>
  <c r="CG168" i="5" l="1"/>
  <c r="DF85" i="5"/>
  <c r="DE169" i="5"/>
  <c r="CH84" i="5"/>
  <c r="CI84" i="5" s="1"/>
  <c r="CK44" i="1"/>
  <c r="FB44" i="1" s="1"/>
  <c r="CK394" i="1"/>
  <c r="CK389" i="1"/>
  <c r="CI389" i="1"/>
  <c r="CC389" i="1"/>
  <c r="CH389" i="1"/>
  <c r="CD389" i="1"/>
  <c r="CB381" i="1"/>
  <c r="CC381" i="1" s="1"/>
  <c r="CD381" i="1" s="1"/>
  <c r="CK393" i="1"/>
  <c r="CI393" i="1"/>
  <c r="CH393" i="1"/>
  <c r="CC73" i="5"/>
  <c r="CF188" i="5" l="1"/>
  <c r="CK390" i="1"/>
  <c r="CK392" i="1" s="1"/>
  <c r="CH168" i="5"/>
  <c r="DG85" i="5"/>
  <c r="DF169" i="5"/>
  <c r="CF226" i="5"/>
  <c r="CF222" i="5"/>
  <c r="CI219" i="5"/>
  <c r="DX120" i="6"/>
  <c r="DS120" i="6"/>
  <c r="DN120" i="6"/>
  <c r="CY120" i="6"/>
  <c r="CT120" i="6"/>
  <c r="DI120" i="6"/>
  <c r="DD120" i="6"/>
  <c r="CO120" i="6"/>
  <c r="BQ121" i="6"/>
  <c r="BV121" i="6"/>
  <c r="CA121" i="6"/>
  <c r="CF120" i="6" l="1"/>
  <c r="CJ120" i="6" s="1"/>
  <c r="BZ118" i="6"/>
  <c r="DH85" i="5"/>
  <c r="DG169" i="5"/>
  <c r="CE117" i="6"/>
  <c r="CA120" i="6"/>
  <c r="CE118" i="6"/>
  <c r="BV120" i="6"/>
  <c r="BZ117" i="6"/>
  <c r="DH169" i="5" l="1"/>
  <c r="DI169" i="5" s="1"/>
  <c r="DI85" i="5"/>
  <c r="DJ85" i="5" s="1"/>
  <c r="DK85" i="5" l="1"/>
  <c r="DJ169" i="5"/>
  <c r="DL85" i="5" l="1"/>
  <c r="DK169" i="5"/>
  <c r="DM85" i="5" l="1"/>
  <c r="DL169" i="5"/>
  <c r="CF36" i="6"/>
  <c r="CG36" i="6" l="1"/>
  <c r="DM169" i="5"/>
  <c r="DN169" i="5" s="1"/>
  <c r="DN85" i="5"/>
  <c r="DO85" i="5" s="1"/>
  <c r="CF21" i="5"/>
  <c r="CH36" i="6" l="1"/>
  <c r="DP85" i="5"/>
  <c r="DO169" i="5"/>
  <c r="CK91" i="1" l="1"/>
  <c r="FB9" i="1"/>
  <c r="DQ85" i="5"/>
  <c r="DP169" i="5"/>
  <c r="DR85" i="5" l="1"/>
  <c r="DQ169" i="5"/>
  <c r="CK172" i="1"/>
  <c r="CK162" i="1"/>
  <c r="DS85" i="5" l="1"/>
  <c r="DT85" i="5" s="1"/>
  <c r="DR169" i="5"/>
  <c r="DS169" i="5" s="1"/>
  <c r="DU85" i="5" l="1"/>
  <c r="DT169" i="5"/>
  <c r="DV85" i="5" l="1"/>
  <c r="DU169" i="5"/>
  <c r="P36" i="128"/>
  <c r="O36" i="128"/>
  <c r="N36" i="128"/>
  <c r="DW85" i="5" l="1"/>
  <c r="DV169" i="5"/>
  <c r="EP145" i="1"/>
  <c r="EO145" i="1"/>
  <c r="EP143" i="1"/>
  <c r="EO143" i="1"/>
  <c r="EN145" i="1"/>
  <c r="EM145" i="1"/>
  <c r="EL145" i="1"/>
  <c r="EK145" i="1"/>
  <c r="EJ145" i="1"/>
  <c r="EN143" i="1"/>
  <c r="EM143" i="1"/>
  <c r="EL143" i="1"/>
  <c r="EK143" i="1"/>
  <c r="EJ143" i="1"/>
  <c r="EN142" i="1"/>
  <c r="ER142" i="1"/>
  <c r="EQ142" i="1"/>
  <c r="EP142" i="1"/>
  <c r="EO142" i="1"/>
  <c r="FB123" i="1"/>
  <c r="EP124" i="1"/>
  <c r="EN124" i="1"/>
  <c r="CO305" i="1"/>
  <c r="EN123" i="1" l="1"/>
  <c r="DW169" i="5"/>
  <c r="DX169" i="5" s="1"/>
  <c r="DX85" i="5"/>
  <c r="BB124" i="1"/>
  <c r="BF124" i="1"/>
  <c r="FA142" i="1"/>
  <c r="FC142" i="1"/>
  <c r="CQ305" i="1"/>
  <c r="CR305" i="1" s="1"/>
  <c r="CS305" i="1" s="1"/>
  <c r="BJ124" i="1"/>
  <c r="BN124" i="1"/>
  <c r="BR124" i="1"/>
  <c r="BC124" i="1"/>
  <c r="BG124" i="1"/>
  <c r="BK124" i="1"/>
  <c r="BO124" i="1"/>
  <c r="BS124" i="1"/>
  <c r="BD124" i="1"/>
  <c r="BH124" i="1"/>
  <c r="BL124" i="1"/>
  <c r="BP124" i="1"/>
  <c r="BT124" i="1"/>
  <c r="EP123" i="1"/>
  <c r="BE124" i="1"/>
  <c r="BI124" i="1"/>
  <c r="BM124" i="1"/>
  <c r="BQ124" i="1"/>
  <c r="EQ124" i="1"/>
  <c r="EO123" i="1"/>
  <c r="BV154" i="6"/>
  <c r="CK153" i="6"/>
  <c r="CG153" i="6"/>
  <c r="CL153" i="6" s="1"/>
  <c r="CQ153" i="6" s="1"/>
  <c r="CV153" i="6" s="1"/>
  <c r="DA153" i="6" s="1"/>
  <c r="DF153" i="6" s="1"/>
  <c r="DK153" i="6" s="1"/>
  <c r="DP153" i="6" s="1"/>
  <c r="DU153" i="6" s="1"/>
  <c r="CH153" i="6"/>
  <c r="CM153" i="6" s="1"/>
  <c r="CR153" i="6" s="1"/>
  <c r="CW153" i="6" s="1"/>
  <c r="DB153" i="6" s="1"/>
  <c r="DG153" i="6" s="1"/>
  <c r="DL153" i="6" s="1"/>
  <c r="DQ153" i="6" s="1"/>
  <c r="DV153" i="6" s="1"/>
  <c r="CI153" i="6"/>
  <c r="CN153" i="6" s="1"/>
  <c r="CS153" i="6" s="1"/>
  <c r="CX153" i="6" s="1"/>
  <c r="DC153" i="6" s="1"/>
  <c r="DH153" i="6" s="1"/>
  <c r="DM153" i="6" s="1"/>
  <c r="DR153" i="6" s="1"/>
  <c r="DW153" i="6" s="1"/>
  <c r="CT305" i="1" l="1"/>
  <c r="CJ153" i="6"/>
  <c r="CO153" i="6"/>
  <c r="EO124" i="1"/>
  <c r="CP153" i="6"/>
  <c r="CT153" i="6" l="1"/>
  <c r="CU153" i="6"/>
  <c r="CZ153" i="6" l="1"/>
  <c r="CY153" i="6"/>
  <c r="DD153" i="6" l="1"/>
  <c r="DE153" i="6"/>
  <c r="DI153" i="6" l="1"/>
  <c r="DJ153" i="6"/>
  <c r="DN153" i="6" l="1"/>
  <c r="DO153" i="6"/>
  <c r="DS153" i="6" l="1"/>
  <c r="DT153" i="6"/>
  <c r="DX153" i="6" l="1"/>
  <c r="CD112" i="5" l="1"/>
  <c r="CC112" i="5"/>
  <c r="CB112" i="5"/>
  <c r="CC107" i="5"/>
  <c r="CD107" i="5"/>
  <c r="CC108" i="5"/>
  <c r="CD108" i="5"/>
  <c r="CD326" i="1"/>
  <c r="CC326" i="1"/>
  <c r="CB326" i="1"/>
  <c r="CI326" i="1"/>
  <c r="CH326" i="1"/>
  <c r="CG326" i="1"/>
  <c r="CF326" i="1"/>
  <c r="CC106" i="5" l="1"/>
  <c r="CD106" i="5"/>
  <c r="BZ325" i="1"/>
  <c r="CJ325" i="1"/>
  <c r="CE325" i="1"/>
  <c r="CA326" i="1"/>
  <c r="ER143" i="1"/>
  <c r="EQ145" i="1"/>
  <c r="EQ143" i="1"/>
  <c r="CJ326" i="1" l="1"/>
  <c r="ER145" i="1"/>
  <c r="CE326" i="1"/>
  <c r="CD13" i="5" l="1"/>
  <c r="CD21" i="5"/>
  <c r="CE68" i="6"/>
  <c r="CD62" i="6"/>
  <c r="CE36" i="6"/>
  <c r="CK87" i="1" l="1"/>
  <c r="FB91" i="1" l="1"/>
  <c r="CF164" i="1" l="1"/>
  <c r="CE201" i="1"/>
  <c r="CJ173" i="1"/>
  <c r="CJ206" i="1"/>
  <c r="CJ203" i="1"/>
  <c r="CJ205" i="1"/>
  <c r="CJ207" i="1"/>
  <c r="CJ212" i="1"/>
  <c r="CI215" i="1"/>
  <c r="CI211" i="1"/>
  <c r="CI201" i="1" l="1"/>
  <c r="CI202" i="1"/>
  <c r="CJ202" i="1" s="1"/>
  <c r="EC413" i="1" l="1"/>
  <c r="EB380" i="1"/>
  <c r="EA380" i="1"/>
  <c r="DZ380" i="1"/>
  <c r="DY380" i="1"/>
  <c r="EC349" i="1"/>
  <c r="EC348" i="1"/>
  <c r="EC347" i="1"/>
  <c r="EC346" i="1"/>
  <c r="EC345" i="1"/>
  <c r="EC315" i="1"/>
  <c r="EC314" i="1"/>
  <c r="EC313" i="1"/>
  <c r="EC312" i="1"/>
  <c r="EC311" i="1"/>
  <c r="EC305" i="1"/>
  <c r="EB215" i="1"/>
  <c r="EA215" i="1"/>
  <c r="DZ215" i="1"/>
  <c r="DY215" i="1"/>
  <c r="EB213" i="1"/>
  <c r="EA213" i="1"/>
  <c r="DZ213" i="1"/>
  <c r="DY213" i="1"/>
  <c r="EB211" i="1"/>
  <c r="EA211" i="1"/>
  <c r="DZ211" i="1"/>
  <c r="DY211" i="1"/>
  <c r="EB210" i="1"/>
  <c r="EA210" i="1"/>
  <c r="DZ210" i="1"/>
  <c r="DY210" i="1"/>
  <c r="EB209" i="1"/>
  <c r="EA209" i="1"/>
  <c r="DZ209" i="1"/>
  <c r="DY209" i="1"/>
  <c r="EB205" i="1"/>
  <c r="EA205" i="1"/>
  <c r="DZ205" i="1"/>
  <c r="DY205" i="1"/>
  <c r="EC203" i="1"/>
  <c r="EC186" i="1"/>
  <c r="EC185" i="1"/>
  <c r="EC184" i="1"/>
  <c r="EC183" i="1"/>
  <c r="EC182" i="1"/>
  <c r="EC181" i="1"/>
  <c r="EC180" i="1"/>
  <c r="EC179" i="1"/>
  <c r="EC178" i="1"/>
  <c r="EC177" i="1"/>
  <c r="EB172" i="1"/>
  <c r="EA172" i="1"/>
  <c r="DZ172" i="1"/>
  <c r="DY172" i="1"/>
  <c r="EB171" i="1"/>
  <c r="EA171" i="1"/>
  <c r="DZ171" i="1"/>
  <c r="DY171" i="1"/>
  <c r="EB170" i="1"/>
  <c r="EA170" i="1"/>
  <c r="DZ170" i="1"/>
  <c r="DY170" i="1"/>
  <c r="EB169" i="1"/>
  <c r="EA169" i="1"/>
  <c r="DZ169" i="1"/>
  <c r="DY169" i="1"/>
  <c r="EB168" i="1"/>
  <c r="EA168" i="1"/>
  <c r="DZ168" i="1"/>
  <c r="DY168" i="1"/>
  <c r="EB162" i="1"/>
  <c r="EA162" i="1"/>
  <c r="DZ162" i="1"/>
  <c r="DY162" i="1"/>
  <c r="EB53" i="1"/>
  <c r="EA53" i="1"/>
  <c r="DZ53" i="1"/>
  <c r="DY53" i="1"/>
  <c r="EC47" i="1"/>
  <c r="EB45" i="1"/>
  <c r="EA45" i="1"/>
  <c r="DZ45" i="1"/>
  <c r="DY45" i="1"/>
  <c r="EC36" i="1"/>
  <c r="EC35" i="1"/>
  <c r="EC7" i="1"/>
  <c r="DY231" i="1" l="1"/>
  <c r="DZ231" i="1"/>
  <c r="EA231" i="1"/>
  <c r="EB231" i="1"/>
  <c r="EC168" i="1"/>
  <c r="EC169" i="1"/>
  <c r="EC45" i="1"/>
  <c r="EC211" i="1"/>
  <c r="EC213" i="1"/>
  <c r="EC29" i="1"/>
  <c r="EC317" i="1"/>
  <c r="EC380" i="1"/>
  <c r="EC53" i="1"/>
  <c r="EC209" i="1"/>
  <c r="EC210" i="1"/>
  <c r="EC162" i="1"/>
  <c r="EC170" i="1"/>
  <c r="EC171" i="1"/>
  <c r="EC172" i="1"/>
  <c r="EC215" i="1"/>
  <c r="EC205" i="1"/>
  <c r="EC231" i="1" l="1"/>
  <c r="EQ123" i="1" l="1"/>
  <c r="EY123" i="1"/>
  <c r="CQ124" i="1" l="1"/>
  <c r="CR124" i="1" l="1"/>
  <c r="CS124" i="1" l="1"/>
  <c r="CU124" i="1" l="1"/>
  <c r="ER123" i="1"/>
  <c r="CT124" i="1"/>
  <c r="ER124" i="1" s="1"/>
  <c r="EY55" i="1"/>
  <c r="CS55" i="1" l="1"/>
  <c r="CR55" i="1"/>
  <c r="CQ55" i="1"/>
  <c r="CU55" i="1"/>
  <c r="CV124" i="1"/>
  <c r="CO55" i="1"/>
  <c r="CT55" i="1" l="1"/>
  <c r="CZ55" i="1"/>
  <c r="CW55" i="1"/>
  <c r="CV55" i="1"/>
  <c r="CX55" i="1"/>
  <c r="CW124" i="1"/>
  <c r="CJ55" i="1"/>
  <c r="DC55" i="1" l="1"/>
  <c r="DB55" i="1"/>
  <c r="DA55" i="1"/>
  <c r="CY55" i="1"/>
  <c r="CX124" i="1"/>
  <c r="DD55" i="1" l="1"/>
  <c r="CY124" i="1"/>
  <c r="CC222" i="5"/>
  <c r="CZ124" i="1" l="1"/>
  <c r="DA124" i="1" l="1"/>
  <c r="DB124" i="1" l="1"/>
  <c r="ER135" i="1"/>
  <c r="ER109" i="1"/>
  <c r="ER103" i="1"/>
  <c r="ER100" i="1"/>
  <c r="ER97" i="1"/>
  <c r="ER96" i="1"/>
  <c r="ER75" i="1"/>
  <c r="ER40" i="1"/>
  <c r="ER21" i="1"/>
  <c r="DC124" i="1" l="1"/>
  <c r="DD124" i="1" l="1"/>
  <c r="DE124" i="1" l="1"/>
  <c r="CX302" i="1"/>
  <c r="DC302" i="1" s="1"/>
  <c r="CQ302" i="1"/>
  <c r="CV302" i="1" s="1"/>
  <c r="DA302" i="1" s="1"/>
  <c r="CR302" i="1"/>
  <c r="CW302" i="1" s="1"/>
  <c r="DB302" i="1" s="1"/>
  <c r="CU302" i="1"/>
  <c r="CZ302" i="1" s="1"/>
  <c r="CQ341" i="1"/>
  <c r="CV341" i="1" s="1"/>
  <c r="DA341" i="1" s="1"/>
  <c r="CR341" i="1"/>
  <c r="CU341" i="1"/>
  <c r="CZ341" i="1" s="1"/>
  <c r="CN210" i="1"/>
  <c r="CM210" i="1"/>
  <c r="CL210" i="1"/>
  <c r="CK210" i="1"/>
  <c r="CS168" i="1"/>
  <c r="CR168" i="1"/>
  <c r="CQ168" i="1"/>
  <c r="CP168" i="1"/>
  <c r="DF124" i="1" l="1"/>
  <c r="CO210" i="1"/>
  <c r="CT168" i="1"/>
  <c r="CT302" i="1"/>
  <c r="CY302" i="1"/>
  <c r="DD302" i="1"/>
  <c r="CW341" i="1"/>
  <c r="DB341" i="1" s="1"/>
  <c r="DG124" i="1" l="1"/>
  <c r="DH124" i="1" l="1"/>
  <c r="CG393" i="1"/>
  <c r="CG389" i="1"/>
  <c r="CF389" i="1"/>
  <c r="CF390" i="1" s="1"/>
  <c r="CS228" i="1"/>
  <c r="DF341" i="1"/>
  <c r="DK341" i="1" s="1"/>
  <c r="DP341" i="1" s="1"/>
  <c r="DU341" i="1" s="1"/>
  <c r="DZ341" i="1" s="1"/>
  <c r="DZ167" i="1" s="1"/>
  <c r="DE341" i="1"/>
  <c r="DJ341" i="1" s="1"/>
  <c r="DO341" i="1" s="1"/>
  <c r="DT341" i="1" s="1"/>
  <c r="DY341" i="1" s="1"/>
  <c r="DY167" i="1" s="1"/>
  <c r="CM23" i="6"/>
  <c r="DI124" i="1" l="1"/>
  <c r="CL23" i="6"/>
  <c r="CR23" i="6"/>
  <c r="DG341" i="1"/>
  <c r="DL341" i="1" s="1"/>
  <c r="DQ341" i="1" s="1"/>
  <c r="DV341" i="1" s="1"/>
  <c r="EA341" i="1" s="1"/>
  <c r="EA167" i="1" s="1"/>
  <c r="CQ23" i="6"/>
  <c r="CP23" i="6"/>
  <c r="DJ124" i="1" l="1"/>
  <c r="CH169" i="1"/>
  <c r="DK124" i="1" l="1"/>
  <c r="DL124" i="1" l="1"/>
  <c r="DM124" i="1" l="1"/>
  <c r="DN124" i="1" l="1"/>
  <c r="CB98" i="6"/>
  <c r="CB73" i="6"/>
  <c r="CB66" i="6"/>
  <c r="CB63" i="6"/>
  <c r="CB61" i="6"/>
  <c r="CB60" i="6"/>
  <c r="CB58" i="6"/>
  <c r="CB57" i="6"/>
  <c r="CB50" i="6"/>
  <c r="CB49" i="6"/>
  <c r="CB48" i="6"/>
  <c r="CB44" i="6"/>
  <c r="CB43" i="6"/>
  <c r="CB14" i="6"/>
  <c r="CB36" i="6"/>
  <c r="CB34" i="6"/>
  <c r="CB33" i="6"/>
  <c r="CB32" i="6"/>
  <c r="CB31" i="6"/>
  <c r="CB30" i="6"/>
  <c r="CB28" i="6"/>
  <c r="CB26" i="6"/>
  <c r="CB25" i="6"/>
  <c r="CB24" i="6"/>
  <c r="CB23" i="6"/>
  <c r="CB22" i="6"/>
  <c r="CB19" i="6"/>
  <c r="CB17" i="6"/>
  <c r="CB16" i="6"/>
  <c r="CB15" i="6"/>
  <c r="CB13" i="6"/>
  <c r="CB12" i="6"/>
  <c r="CB11" i="6"/>
  <c r="CB9" i="6"/>
  <c r="CB226" i="5"/>
  <c r="CB222" i="5"/>
  <c r="CB206" i="5"/>
  <c r="CB147" i="5"/>
  <c r="CB144" i="5"/>
  <c r="CB141" i="5"/>
  <c r="CB138" i="5"/>
  <c r="CB133" i="5"/>
  <c r="CB108" i="5"/>
  <c r="CB156" i="5" s="1"/>
  <c r="CB107" i="5"/>
  <c r="CB73" i="5"/>
  <c r="BY73" i="5"/>
  <c r="CB99" i="6" l="1"/>
  <c r="CC11" i="6"/>
  <c r="CB121" i="6"/>
  <c r="CB120" i="6" s="1"/>
  <c r="CC16" i="6"/>
  <c r="CC23" i="6"/>
  <c r="CC33" i="6"/>
  <c r="CC43" i="6"/>
  <c r="CC50" i="6"/>
  <c r="CC61" i="6"/>
  <c r="CB90" i="6"/>
  <c r="CC17" i="6"/>
  <c r="CD24" i="6"/>
  <c r="CC30" i="6"/>
  <c r="CC34" i="6"/>
  <c r="CC44" i="6"/>
  <c r="CC63" i="6"/>
  <c r="CB94" i="6"/>
  <c r="CC13" i="6"/>
  <c r="CC19" i="6"/>
  <c r="CC31" i="6"/>
  <c r="CC36" i="6"/>
  <c r="CC48" i="6"/>
  <c r="CC58" i="6"/>
  <c r="CC66" i="6"/>
  <c r="CB97" i="6"/>
  <c r="CB106" i="5"/>
  <c r="CC9" i="6"/>
  <c r="CC15" i="6"/>
  <c r="CC22" i="6"/>
  <c r="CC26" i="6"/>
  <c r="CC32" i="6"/>
  <c r="CC14" i="6"/>
  <c r="CC49" i="6"/>
  <c r="CC60" i="6"/>
  <c r="CC73" i="6"/>
  <c r="DO124" i="1"/>
  <c r="CB27" i="6"/>
  <c r="CB54" i="6"/>
  <c r="CD9" i="6" l="1"/>
  <c r="CD66" i="6"/>
  <c r="CD48" i="6"/>
  <c r="CD31" i="6"/>
  <c r="CD23" i="6"/>
  <c r="CD26" i="6"/>
  <c r="CD13" i="6"/>
  <c r="CD44" i="6"/>
  <c r="CD30" i="6"/>
  <c r="CD17" i="6"/>
  <c r="CD43" i="6"/>
  <c r="CB38" i="6"/>
  <c r="CD14" i="6"/>
  <c r="CD15" i="6"/>
  <c r="CD58" i="6"/>
  <c r="CD36" i="6"/>
  <c r="CD19" i="6"/>
  <c r="CD50" i="6"/>
  <c r="CD33" i="6"/>
  <c r="CD16" i="6"/>
  <c r="CC121" i="6"/>
  <c r="CC120" i="6" s="1"/>
  <c r="CD11" i="6"/>
  <c r="CD73" i="6"/>
  <c r="CD49" i="6"/>
  <c r="CD32" i="6"/>
  <c r="CD22" i="6"/>
  <c r="CD63" i="6"/>
  <c r="CD34" i="6"/>
  <c r="DP124" i="1"/>
  <c r="CD121" i="6" l="1"/>
  <c r="CD120" i="6" s="1"/>
  <c r="CE120" i="6" s="1"/>
  <c r="CE121" i="6" s="1"/>
  <c r="CB88" i="6"/>
  <c r="CB91" i="6" s="1"/>
  <c r="DQ124" i="1"/>
  <c r="CC138" i="5"/>
  <c r="CD138" i="5" s="1"/>
  <c r="CI172" i="1"/>
  <c r="CI171" i="1"/>
  <c r="CI170" i="1"/>
  <c r="CI169" i="1"/>
  <c r="CI168" i="1"/>
  <c r="CB92" i="6" l="1"/>
  <c r="CB95" i="6"/>
  <c r="DR124" i="1"/>
  <c r="CB208" i="1"/>
  <c r="DS124" i="1" l="1"/>
  <c r="DT124" i="1" l="1"/>
  <c r="DU124" i="1" l="1"/>
  <c r="DV124" i="1" l="1"/>
  <c r="CG329" i="1"/>
  <c r="DW124" i="1" l="1"/>
  <c r="DX124" i="1" l="1"/>
  <c r="DY124" i="1" l="1"/>
  <c r="CA393" i="1"/>
  <c r="DZ124" i="1" l="1"/>
  <c r="CF393" i="1"/>
  <c r="CD393" i="1"/>
  <c r="EA124" i="1" l="1"/>
  <c r="EB124" i="1" l="1"/>
  <c r="CA133" i="5"/>
  <c r="CA138" i="5"/>
  <c r="CA147" i="5"/>
  <c r="CA144" i="5"/>
  <c r="EC124" i="1" l="1"/>
  <c r="CO119" i="5" l="1"/>
  <c r="CJ115" i="5"/>
  <c r="CJ116" i="5"/>
  <c r="CJ119" i="5"/>
  <c r="DI111" i="5"/>
  <c r="CE60" i="6"/>
  <c r="CE25" i="6"/>
  <c r="CE98" i="5"/>
  <c r="CG98" i="5" s="1"/>
  <c r="CH98" i="5" s="1"/>
  <c r="CI98" i="5" s="1"/>
  <c r="CJ98" i="5" s="1"/>
  <c r="CK98" i="5" s="1"/>
  <c r="CL98" i="5" s="1"/>
  <c r="CM98" i="5" s="1"/>
  <c r="CN98" i="5" s="1"/>
  <c r="CO98" i="5" s="1"/>
  <c r="CP98" i="5" s="1"/>
  <c r="CQ98" i="5" s="1"/>
  <c r="CR98" i="5" s="1"/>
  <c r="CS98" i="5" s="1"/>
  <c r="CT98" i="5" s="1"/>
  <c r="CU98" i="5" s="1"/>
  <c r="CV98" i="5" s="1"/>
  <c r="CW98" i="5" s="1"/>
  <c r="CX98" i="5" s="1"/>
  <c r="CY98" i="5" s="1"/>
  <c r="CZ98" i="5" s="1"/>
  <c r="DA98" i="5" s="1"/>
  <c r="DB98" i="5" s="1"/>
  <c r="DC98" i="5" s="1"/>
  <c r="DD98" i="5" s="1"/>
  <c r="DE98" i="5" s="1"/>
  <c r="DF98" i="5" s="1"/>
  <c r="DG98" i="5" s="1"/>
  <c r="DH98" i="5" s="1"/>
  <c r="DI98" i="5" s="1"/>
  <c r="DJ98" i="5" s="1"/>
  <c r="DK98" i="5" s="1"/>
  <c r="DL98" i="5" s="1"/>
  <c r="DM98" i="5" s="1"/>
  <c r="DN98" i="5" s="1"/>
  <c r="DO98" i="5" s="1"/>
  <c r="DP98" i="5" s="1"/>
  <c r="DQ98" i="5" s="1"/>
  <c r="DR98" i="5" s="1"/>
  <c r="DS98" i="5" s="1"/>
  <c r="DT98" i="5" s="1"/>
  <c r="DU98" i="5" s="1"/>
  <c r="DV98" i="5" s="1"/>
  <c r="DW98" i="5" s="1"/>
  <c r="DX98" i="5" s="1"/>
  <c r="CA108" i="5"/>
  <c r="CA156" i="5" s="1"/>
  <c r="CA222" i="5" l="1"/>
  <c r="CA206" i="5"/>
  <c r="CA179" i="5"/>
  <c r="CA95" i="5" s="1"/>
  <c r="CA174" i="5"/>
  <c r="CA173" i="5"/>
  <c r="CA172" i="5"/>
  <c r="CA171" i="5"/>
  <c r="CA123" i="5"/>
  <c r="CA122" i="5"/>
  <c r="CA121" i="5"/>
  <c r="CA96" i="5"/>
  <c r="CA94" i="5"/>
  <c r="CA92" i="5"/>
  <c r="CA91" i="5"/>
  <c r="CA32" i="5"/>
  <c r="CA106" i="6"/>
  <c r="CA105" i="6"/>
  <c r="CA103" i="6"/>
  <c r="CA99" i="6"/>
  <c r="CA98" i="6"/>
  <c r="CA97" i="6"/>
  <c r="CA94" i="6"/>
  <c r="CA90" i="6"/>
  <c r="CE72" i="6"/>
  <c r="CA68" i="6"/>
  <c r="CA54" i="6"/>
  <c r="CA27" i="6"/>
  <c r="CA38" i="6" l="1"/>
  <c r="CA37" i="5"/>
  <c r="CA71" i="6"/>
  <c r="CB68" i="6"/>
  <c r="CA88" i="6" l="1"/>
  <c r="CA91" i="6" s="1"/>
  <c r="CA92" i="6" s="1"/>
  <c r="CB71" i="6"/>
  <c r="CC68" i="6"/>
  <c r="CA74" i="6"/>
  <c r="CA95" i="6" l="1"/>
  <c r="CD68" i="6"/>
  <c r="CB74" i="6"/>
  <c r="CF231" i="1"/>
  <c r="CF329" i="1"/>
  <c r="G7" i="128" l="1"/>
  <c r="M9" i="128"/>
  <c r="M28" i="128" s="1"/>
  <c r="N9" i="128"/>
  <c r="N28" i="128" s="1"/>
  <c r="O9" i="128"/>
  <c r="O28" i="128" s="1"/>
  <c r="P9" i="128"/>
  <c r="P28" i="128" s="1"/>
  <c r="Q9" i="128"/>
  <c r="Q28" i="128" s="1"/>
  <c r="R9" i="128"/>
  <c r="R28" i="128" s="1"/>
  <c r="S9" i="128"/>
  <c r="S28" i="128" s="1"/>
  <c r="T9" i="128"/>
  <c r="T28" i="128" s="1"/>
  <c r="U9" i="128"/>
  <c r="U28" i="128" s="1"/>
  <c r="V9" i="128"/>
  <c r="V28" i="128" s="1"/>
  <c r="W9" i="128"/>
  <c r="W28" i="128" s="1"/>
  <c r="X9" i="128"/>
  <c r="X28" i="128" s="1"/>
  <c r="Y9" i="128"/>
  <c r="Y28" i="128" s="1"/>
  <c r="E12" i="128"/>
  <c r="F12" i="128"/>
  <c r="G12" i="128"/>
  <c r="H12" i="128"/>
  <c r="I12" i="128"/>
  <c r="E13" i="128"/>
  <c r="F13" i="128"/>
  <c r="G13" i="128"/>
  <c r="H13" i="128"/>
  <c r="I13" i="128"/>
  <c r="E14" i="128"/>
  <c r="F14" i="128"/>
  <c r="G14" i="128"/>
  <c r="H14" i="128"/>
  <c r="I14" i="128"/>
  <c r="E15" i="128"/>
  <c r="F15" i="128"/>
  <c r="G15" i="128"/>
  <c r="H15" i="128"/>
  <c r="I15" i="128"/>
  <c r="E17" i="128"/>
  <c r="F17" i="128"/>
  <c r="G17" i="128"/>
  <c r="H17" i="128"/>
  <c r="I17" i="128"/>
  <c r="L28" i="128"/>
  <c r="AB45" i="128" l="1"/>
  <c r="AB30" i="128"/>
  <c r="AB43" i="128"/>
  <c r="AB41" i="128"/>
  <c r="AB37" i="128"/>
  <c r="AB29" i="128"/>
  <c r="AB32" i="128"/>
  <c r="AB39" i="128"/>
  <c r="AB46" i="128"/>
  <c r="AB44" i="128"/>
  <c r="AB42" i="128"/>
  <c r="AB40" i="128"/>
  <c r="AB38" i="128"/>
  <c r="AB34" i="128"/>
  <c r="AB33" i="128"/>
  <c r="AB31" i="128"/>
  <c r="AB147" i="1" l="1"/>
  <c r="AC147" i="1"/>
  <c r="AD147" i="1"/>
  <c r="AF147" i="1"/>
  <c r="AG147" i="1"/>
  <c r="AH147" i="1"/>
  <c r="AI147" i="1"/>
  <c r="AJ147" i="1"/>
  <c r="AK147" i="1"/>
  <c r="AL147" i="1"/>
  <c r="AM147" i="1"/>
  <c r="AN147" i="1"/>
  <c r="AO147" i="1"/>
  <c r="AQ147" i="1"/>
  <c r="AR147" i="1"/>
  <c r="AS147" i="1"/>
  <c r="AT147" i="1"/>
  <c r="AY147" i="1"/>
  <c r="AZ147" i="1"/>
  <c r="BB147" i="1"/>
  <c r="BE147" i="1"/>
  <c r="BG147" i="1"/>
  <c r="BH147" i="1"/>
  <c r="BI147" i="1"/>
  <c r="BJ147" i="1"/>
  <c r="BL147" i="1"/>
  <c r="BM147" i="1"/>
  <c r="BN147" i="1"/>
  <c r="BO147" i="1"/>
  <c r="BQ147" i="1"/>
  <c r="BR147" i="1"/>
  <c r="BS147" i="1"/>
  <c r="BT147" i="1"/>
  <c r="BV147" i="1"/>
  <c r="BW147" i="1"/>
  <c r="BX147" i="1"/>
  <c r="BY147" i="1"/>
  <c r="CA147" i="1"/>
  <c r="CB147" i="1"/>
  <c r="CC147" i="1"/>
  <c r="CD147" i="1"/>
  <c r="AB148" i="1"/>
  <c r="AC148" i="1"/>
  <c r="AD148" i="1"/>
  <c r="AF148" i="1"/>
  <c r="AG148" i="1"/>
  <c r="AH148" i="1"/>
  <c r="AI148" i="1"/>
  <c r="AJ148" i="1"/>
  <c r="AK148" i="1"/>
  <c r="AL148" i="1"/>
  <c r="AM148" i="1"/>
  <c r="AN148" i="1"/>
  <c r="AO148" i="1"/>
  <c r="AQ148" i="1"/>
  <c r="AR148" i="1"/>
  <c r="AS148" i="1"/>
  <c r="AT148" i="1"/>
  <c r="AY148" i="1"/>
  <c r="AZ148" i="1"/>
  <c r="BB148" i="1"/>
  <c r="BE148" i="1"/>
  <c r="BG148" i="1"/>
  <c r="BH148" i="1"/>
  <c r="BI148" i="1"/>
  <c r="BJ148" i="1"/>
  <c r="BL148" i="1"/>
  <c r="BM148" i="1"/>
  <c r="BN148" i="1"/>
  <c r="BO148" i="1"/>
  <c r="BQ148" i="1"/>
  <c r="BR148" i="1"/>
  <c r="BS148" i="1"/>
  <c r="BT148" i="1"/>
  <c r="BV148" i="1"/>
  <c r="BW148" i="1"/>
  <c r="BX148" i="1"/>
  <c r="BY148" i="1"/>
  <c r="CA148" i="1"/>
  <c r="CB148" i="1"/>
  <c r="CC148" i="1"/>
  <c r="CD148" i="1"/>
  <c r="CF148" i="1"/>
  <c r="AA151" i="1"/>
  <c r="AB151" i="1"/>
  <c r="AF151" i="1"/>
  <c r="AG151" i="1"/>
  <c r="AK151" i="1"/>
  <c r="AL151" i="1"/>
  <c r="AP151" i="1"/>
  <c r="AQ151" i="1"/>
  <c r="AU151" i="1"/>
  <c r="AY151" i="1"/>
  <c r="AZ151" i="1"/>
  <c r="BB151" i="1"/>
  <c r="BG151" i="1"/>
  <c r="BK151" i="1"/>
  <c r="BL151" i="1"/>
  <c r="BP151" i="1"/>
  <c r="BQ151" i="1"/>
  <c r="BU151" i="1"/>
  <c r="BV151" i="1"/>
  <c r="BZ151" i="1"/>
  <c r="CA151" i="1"/>
  <c r="CE151" i="1"/>
  <c r="BY59" i="6" l="1"/>
  <c r="BY62" i="6"/>
  <c r="BY64" i="6"/>
  <c r="BY65" i="6"/>
  <c r="BY67" i="6"/>
  <c r="EK68" i="6"/>
  <c r="BY52" i="6"/>
  <c r="BY51" i="6"/>
  <c r="BY47" i="6"/>
  <c r="BY46" i="6"/>
  <c r="BY45" i="6"/>
  <c r="BY42" i="6"/>
  <c r="BY41" i="6"/>
  <c r="BY20" i="6"/>
  <c r="BY222" i="5"/>
  <c r="CE65" i="1" l="1"/>
  <c r="CK219" i="5" l="1"/>
  <c r="CP219" i="5" s="1"/>
  <c r="CU219" i="5" s="1"/>
  <c r="CZ219" i="5" s="1"/>
  <c r="DE219" i="5" s="1"/>
  <c r="DJ219" i="5" s="1"/>
  <c r="DO219" i="5" s="1"/>
  <c r="DT219" i="5" s="1"/>
  <c r="CB327" i="1" l="1"/>
  <c r="CB331" i="1" s="1"/>
  <c r="CB351" i="1" s="1"/>
  <c r="CB364" i="1" s="1"/>
  <c r="CA327" i="1"/>
  <c r="CA331" i="1" s="1"/>
  <c r="CA351" i="1" s="1"/>
  <c r="CA364" i="1" s="1"/>
  <c r="CB28" i="1"/>
  <c r="CC28" i="1"/>
  <c r="CE19" i="1" l="1"/>
  <c r="BX156" i="5" l="1"/>
  <c r="BY156" i="5" s="1"/>
  <c r="BY180" i="5"/>
  <c r="CD180" i="5" s="1"/>
  <c r="CG180" i="5" s="1"/>
  <c r="CH180" i="5" s="1"/>
  <c r="CI180" i="5" s="1"/>
  <c r="CK180" i="5" s="1"/>
  <c r="CL180" i="5" s="1"/>
  <c r="CM180" i="5" s="1"/>
  <c r="CN180" i="5" s="1"/>
  <c r="CP180" i="5" s="1"/>
  <c r="CB33" i="1" l="1"/>
  <c r="CC156" i="5"/>
  <c r="CD156" i="5" s="1"/>
  <c r="CA28" i="1"/>
  <c r="CQ180" i="5"/>
  <c r="CR180" i="5" s="1"/>
  <c r="CS180" i="5" s="1"/>
  <c r="CU180" i="5" s="1"/>
  <c r="CV180" i="5" s="1"/>
  <c r="CW180" i="5" s="1"/>
  <c r="CX180" i="5" s="1"/>
  <c r="CZ180" i="5" s="1"/>
  <c r="DA180" i="5" s="1"/>
  <c r="DB180" i="5" s="1"/>
  <c r="DC180" i="5" s="1"/>
  <c r="DE180" i="5" s="1"/>
  <c r="DF180" i="5" s="1"/>
  <c r="DG180" i="5" s="1"/>
  <c r="DH180" i="5" s="1"/>
  <c r="DJ180" i="5" s="1"/>
  <c r="CO180" i="5"/>
  <c r="CJ180" i="5"/>
  <c r="BY89" i="5"/>
  <c r="BZ89" i="5" s="1"/>
  <c r="BX147" i="5"/>
  <c r="BY147" i="5" s="1"/>
  <c r="BX138" i="5"/>
  <c r="BX133" i="5"/>
  <c r="CA30" i="1" l="1"/>
  <c r="DK180" i="5"/>
  <c r="BY170" i="5"/>
  <c r="DD180" i="5"/>
  <c r="CT180" i="5"/>
  <c r="DI180" i="5"/>
  <c r="CY180" i="5"/>
  <c r="BV210" i="5" l="1"/>
  <c r="DL180" i="5"/>
  <c r="DM180" i="5" s="1"/>
  <c r="DO180" i="5" s="1"/>
  <c r="CE89" i="5"/>
  <c r="CG89" i="5"/>
  <c r="CH89" i="5" s="1"/>
  <c r="CI89" i="5" s="1"/>
  <c r="CJ89" i="5" l="1"/>
  <c r="CK89" i="5"/>
  <c r="DP180" i="5"/>
  <c r="DQ180" i="5" s="1"/>
  <c r="DR180" i="5" s="1"/>
  <c r="DT180" i="5" s="1"/>
  <c r="DU180" i="5" s="1"/>
  <c r="DV180" i="5" s="1"/>
  <c r="DW180" i="5" s="1"/>
  <c r="DN180" i="5"/>
  <c r="CC147" i="5"/>
  <c r="CL89" i="5" l="1"/>
  <c r="CK170" i="5"/>
  <c r="DS180" i="5"/>
  <c r="DX180" i="5"/>
  <c r="CD147" i="5"/>
  <c r="CM89" i="5" l="1"/>
  <c r="CL170" i="5"/>
  <c r="CD170" i="5"/>
  <c r="CF147" i="5"/>
  <c r="CN89" i="5" l="1"/>
  <c r="CM170" i="5"/>
  <c r="CF170" i="5"/>
  <c r="CG147" i="5"/>
  <c r="CO89" i="5" l="1"/>
  <c r="CP89" i="5"/>
  <c r="CQ89" i="5" s="1"/>
  <c r="CR89" i="5" s="1"/>
  <c r="CS89" i="5" s="1"/>
  <c r="CN170" i="5"/>
  <c r="CH147" i="5"/>
  <c r="CG170" i="5"/>
  <c r="CT89" i="5" l="1"/>
  <c r="CU89" i="5"/>
  <c r="CV89" i="5" s="1"/>
  <c r="CW89" i="5" s="1"/>
  <c r="CX89" i="5" s="1"/>
  <c r="CI147" i="5"/>
  <c r="CI170" i="5" s="1"/>
  <c r="CH170" i="5"/>
  <c r="CY89" i="5" l="1"/>
  <c r="CZ89" i="5"/>
  <c r="DA89" i="5" s="1"/>
  <c r="DB89" i="5" s="1"/>
  <c r="DC89" i="5" s="1"/>
  <c r="DD89" i="5" l="1"/>
  <c r="DE89" i="5"/>
  <c r="DF89" i="5" s="1"/>
  <c r="DG89" i="5" s="1"/>
  <c r="DH89" i="5" s="1"/>
  <c r="DI89" i="5" l="1"/>
  <c r="DJ89" i="5"/>
  <c r="DK89" i="5" s="1"/>
  <c r="DL89" i="5" s="1"/>
  <c r="DM89" i="5" s="1"/>
  <c r="DN89" i="5" l="1"/>
  <c r="DO89" i="5"/>
  <c r="DP89" i="5" s="1"/>
  <c r="DQ89" i="5" s="1"/>
  <c r="DR89" i="5" s="1"/>
  <c r="DS89" i="5" l="1"/>
  <c r="DT89" i="5"/>
  <c r="DU89" i="5" s="1"/>
  <c r="DV89" i="5" s="1"/>
  <c r="DW89" i="5" s="1"/>
  <c r="DX89" i="5" s="1"/>
  <c r="EB163" i="5" l="1"/>
  <c r="EA163" i="5"/>
  <c r="DZ163" i="5"/>
  <c r="BY133" i="5"/>
  <c r="BZ133" i="5" s="1"/>
  <c r="BY80" i="5"/>
  <c r="BY163" i="5" l="1"/>
  <c r="BZ163" i="5" s="1"/>
  <c r="BX68" i="6"/>
  <c r="CC74" i="1"/>
  <c r="CC72" i="1"/>
  <c r="CC393" i="1"/>
  <c r="CB393" i="1"/>
  <c r="BY393" i="1"/>
  <c r="BX393" i="1"/>
  <c r="BY68" i="6" l="1"/>
  <c r="CC133" i="5"/>
  <c r="CD133" i="5" l="1"/>
  <c r="CE133" i="5" l="1"/>
  <c r="CG133" i="5" l="1"/>
  <c r="CH133" i="5" l="1"/>
  <c r="CI133" i="5" l="1"/>
  <c r="EJ140" i="1"/>
  <c r="EK140" i="1"/>
  <c r="EL140" i="1"/>
  <c r="EM140" i="1"/>
  <c r="EN140" i="1"/>
  <c r="EJ141" i="1"/>
  <c r="EK141" i="1"/>
  <c r="EL141" i="1"/>
  <c r="EM141" i="1"/>
  <c r="EN141" i="1"/>
  <c r="FB138" i="1"/>
  <c r="FB137" i="1"/>
  <c r="FB136" i="1"/>
  <c r="FB134" i="1"/>
  <c r="EQ135" i="1"/>
  <c r="EQ103" i="1"/>
  <c r="EQ100" i="1"/>
  <c r="EQ97" i="1"/>
  <c r="EQ96" i="1"/>
  <c r="EQ75" i="1"/>
  <c r="EQ40" i="1"/>
  <c r="EQ21" i="1"/>
  <c r="CK133" i="5" l="1"/>
  <c r="CL133" i="5" s="1"/>
  <c r="CM133" i="5" s="1"/>
  <c r="CN133" i="5" s="1"/>
  <c r="CJ133" i="5"/>
  <c r="CP133" i="5" l="1"/>
  <c r="CQ133" i="5" s="1"/>
  <c r="CR133" i="5" s="1"/>
  <c r="CS133" i="5" s="1"/>
  <c r="CO133" i="5"/>
  <c r="BW108" i="5"/>
  <c r="BV108" i="5"/>
  <c r="CU133" i="5" l="1"/>
  <c r="CV133" i="5" s="1"/>
  <c r="CW133" i="5" s="1"/>
  <c r="CX133" i="5" s="1"/>
  <c r="CT133" i="5"/>
  <c r="BW60" i="6"/>
  <c r="BW61" i="6"/>
  <c r="BW73" i="6"/>
  <c r="BW66" i="6"/>
  <c r="BW63" i="6"/>
  <c r="BW58" i="6"/>
  <c r="BW57" i="6"/>
  <c r="BW49" i="6"/>
  <c r="BW50" i="6"/>
  <c r="BW48" i="6"/>
  <c r="BW44" i="6"/>
  <c r="BW43" i="6"/>
  <c r="BW36" i="6"/>
  <c r="BW34" i="6"/>
  <c r="BW33" i="6"/>
  <c r="BW32" i="6"/>
  <c r="BW31" i="6"/>
  <c r="BW30" i="6"/>
  <c r="BW28" i="6"/>
  <c r="BW22" i="6"/>
  <c r="BW19" i="6"/>
  <c r="BW16" i="6"/>
  <c r="BW17" i="6"/>
  <c r="BW23" i="6"/>
  <c r="BW25" i="6"/>
  <c r="BW26" i="6"/>
  <c r="BW15" i="6"/>
  <c r="BW14" i="6"/>
  <c r="BW13" i="6"/>
  <c r="BX22" i="6" l="1"/>
  <c r="BW154" i="6"/>
  <c r="BX28" i="6"/>
  <c r="CB151" i="1"/>
  <c r="BW151" i="1"/>
  <c r="BX44" i="6"/>
  <c r="BX57" i="6"/>
  <c r="BX73" i="6"/>
  <c r="BX26" i="6"/>
  <c r="BX16" i="6"/>
  <c r="BX34" i="6"/>
  <c r="BX14" i="6"/>
  <c r="BX23" i="6"/>
  <c r="BX32" i="6"/>
  <c r="BX43" i="6"/>
  <c r="BX49" i="6"/>
  <c r="BX66" i="6"/>
  <c r="BX15" i="6"/>
  <c r="BX17" i="6"/>
  <c r="BX33" i="6"/>
  <c r="BX30" i="6"/>
  <c r="BX48" i="6"/>
  <c r="BX58" i="6"/>
  <c r="BX61" i="6"/>
  <c r="BX13" i="6"/>
  <c r="BX25" i="6"/>
  <c r="BX19" i="6"/>
  <c r="BX31" i="6"/>
  <c r="BX36" i="6"/>
  <c r="BX50" i="6"/>
  <c r="BX63" i="6"/>
  <c r="BW71" i="6"/>
  <c r="BX60" i="6"/>
  <c r="CY133" i="5"/>
  <c r="CZ133" i="5"/>
  <c r="DA133" i="5" s="1"/>
  <c r="DB133" i="5" s="1"/>
  <c r="DC133" i="5" s="1"/>
  <c r="BW12" i="6"/>
  <c r="BW11" i="6"/>
  <c r="BW9" i="6"/>
  <c r="CE304" i="1"/>
  <c r="CE305" i="1"/>
  <c r="CB74" i="1"/>
  <c r="CB95" i="1"/>
  <c r="CA95" i="1"/>
  <c r="BV74" i="1"/>
  <c r="CA72" i="1"/>
  <c r="BW72" i="1"/>
  <c r="BX72" i="1"/>
  <c r="BY72" i="1"/>
  <c r="BV72" i="1"/>
  <c r="BX103" i="6"/>
  <c r="BY103" i="6" s="1"/>
  <c r="CB102" i="1"/>
  <c r="CA102" i="1"/>
  <c r="CB98" i="1"/>
  <c r="CA98" i="1"/>
  <c r="BY33" i="6" l="1"/>
  <c r="BY50" i="6"/>
  <c r="BY25" i="6"/>
  <c r="BY48" i="6"/>
  <c r="BY17" i="6"/>
  <c r="BX154" i="6"/>
  <c r="BY14" i="6"/>
  <c r="BY73" i="6"/>
  <c r="BW121" i="6"/>
  <c r="BW120" i="6" s="1"/>
  <c r="BY60" i="6"/>
  <c r="BY36" i="6"/>
  <c r="BY13" i="6"/>
  <c r="BY30" i="6"/>
  <c r="BY15" i="6"/>
  <c r="BY43" i="6"/>
  <c r="BY34" i="6"/>
  <c r="BY57" i="6"/>
  <c r="BY31" i="6"/>
  <c r="BY61" i="6"/>
  <c r="BY66" i="6"/>
  <c r="BY32" i="6"/>
  <c r="BY16" i="6"/>
  <c r="BY44" i="6"/>
  <c r="BY63" i="6"/>
  <c r="BY19" i="6"/>
  <c r="BY58" i="6"/>
  <c r="BY49" i="6"/>
  <c r="BY23" i="6"/>
  <c r="BY26" i="6"/>
  <c r="CC151" i="1"/>
  <c r="BX151" i="1"/>
  <c r="CD151" i="1"/>
  <c r="BX11" i="6"/>
  <c r="BX12" i="6"/>
  <c r="BX9" i="6"/>
  <c r="DD133" i="5"/>
  <c r="DE133" i="5"/>
  <c r="DF133" i="5" s="1"/>
  <c r="DG133" i="5" s="1"/>
  <c r="DH133" i="5" s="1"/>
  <c r="CQ202" i="1"/>
  <c r="CR202" i="1" s="1"/>
  <c r="CS202" i="1" s="1"/>
  <c r="CU202" i="1" s="1"/>
  <c r="CV202" i="1" s="1"/>
  <c r="CW202" i="1" s="1"/>
  <c r="CX202" i="1" s="1"/>
  <c r="CZ202" i="1" s="1"/>
  <c r="DA202" i="1" s="1"/>
  <c r="DB202" i="1" s="1"/>
  <c r="DC202" i="1" s="1"/>
  <c r="DE202" i="1" s="1"/>
  <c r="DF202" i="1" s="1"/>
  <c r="DG202" i="1" s="1"/>
  <c r="DH202" i="1" s="1"/>
  <c r="DJ202" i="1" s="1"/>
  <c r="BY151" i="1" l="1"/>
  <c r="BY12" i="6"/>
  <c r="BY11" i="6"/>
  <c r="BX121" i="6"/>
  <c r="BX120" i="6" s="1"/>
  <c r="BY9" i="6"/>
  <c r="DJ133" i="5"/>
  <c r="DK133" i="5" s="1"/>
  <c r="DL133" i="5" s="1"/>
  <c r="DM133" i="5" s="1"/>
  <c r="DI133" i="5"/>
  <c r="DK202" i="1"/>
  <c r="DL202" i="1" s="1"/>
  <c r="DM202" i="1" s="1"/>
  <c r="DO202" i="1" s="1"/>
  <c r="DI202" i="1"/>
  <c r="DD202" i="1"/>
  <c r="CY202" i="1"/>
  <c r="CT202" i="1"/>
  <c r="CO202" i="1"/>
  <c r="BY121" i="6" l="1"/>
  <c r="BY120" i="6" s="1"/>
  <c r="BZ120" i="6" s="1"/>
  <c r="BZ121" i="6" s="1"/>
  <c r="DO133" i="5"/>
  <c r="DP133" i="5" s="1"/>
  <c r="DQ133" i="5" s="1"/>
  <c r="DR133" i="5" s="1"/>
  <c r="DN133" i="5"/>
  <c r="DP202" i="1"/>
  <c r="DQ202" i="1" s="1"/>
  <c r="DR202" i="1" s="1"/>
  <c r="DT202" i="1" s="1"/>
  <c r="DN202" i="1"/>
  <c r="DT133" i="5" l="1"/>
  <c r="DU133" i="5" s="1"/>
  <c r="DV133" i="5" s="1"/>
  <c r="DW133" i="5" s="1"/>
  <c r="DX133" i="5" s="1"/>
  <c r="DS133" i="5"/>
  <c r="DU202" i="1"/>
  <c r="DV202" i="1" s="1"/>
  <c r="DW202" i="1" s="1"/>
  <c r="DY202" i="1" s="1"/>
  <c r="DS202" i="1"/>
  <c r="DZ202" i="1" l="1"/>
  <c r="EA202" i="1" s="1"/>
  <c r="EB202" i="1" s="1"/>
  <c r="DX202" i="1"/>
  <c r="EC202" i="1" l="1"/>
  <c r="CB210" i="1" l="1"/>
  <c r="CQ201" i="1" l="1"/>
  <c r="CR201" i="1" s="1"/>
  <c r="CS201" i="1" s="1"/>
  <c r="CU201" i="1" s="1"/>
  <c r="CV201" i="1" s="1"/>
  <c r="CW201" i="1" s="1"/>
  <c r="CX201" i="1" s="1"/>
  <c r="CZ201" i="1" s="1"/>
  <c r="DA201" i="1" s="1"/>
  <c r="DB201" i="1" s="1"/>
  <c r="DC201" i="1" s="1"/>
  <c r="DE201" i="1" s="1"/>
  <c r="DF201" i="1" s="1"/>
  <c r="DG201" i="1" s="1"/>
  <c r="DH201" i="1" s="1"/>
  <c r="DJ201" i="1" s="1"/>
  <c r="DK201" i="1" l="1"/>
  <c r="DL201" i="1" s="1"/>
  <c r="DM201" i="1" s="1"/>
  <c r="DO201" i="1" s="1"/>
  <c r="DD201" i="1"/>
  <c r="CT201" i="1"/>
  <c r="CY201" i="1"/>
  <c r="DI201" i="1"/>
  <c r="CO201" i="1"/>
  <c r="BV231" i="1"/>
  <c r="BW231" i="1"/>
  <c r="BX231" i="1"/>
  <c r="BW206" i="1"/>
  <c r="BX206" i="1"/>
  <c r="BY206" i="1"/>
  <c r="BV206" i="1"/>
  <c r="BW201" i="1"/>
  <c r="BX201" i="1"/>
  <c r="BY201" i="1"/>
  <c r="BV201" i="1"/>
  <c r="BZ65" i="1"/>
  <c r="DN201" i="1" l="1"/>
  <c r="DP201" i="1"/>
  <c r="DQ201" i="1" s="1"/>
  <c r="DR201" i="1" s="1"/>
  <c r="DT201" i="1" s="1"/>
  <c r="BZ18" i="1"/>
  <c r="DS201" i="1" l="1"/>
  <c r="DU201" i="1"/>
  <c r="DV201" i="1" s="1"/>
  <c r="DW201" i="1" s="1"/>
  <c r="DY201" i="1" s="1"/>
  <c r="BV444" i="1"/>
  <c r="BZ427" i="1"/>
  <c r="BX427" i="1"/>
  <c r="BW427" i="1"/>
  <c r="BV427" i="1"/>
  <c r="BZ426" i="1"/>
  <c r="BX426" i="1"/>
  <c r="BW426" i="1"/>
  <c r="BV426" i="1"/>
  <c r="BZ425" i="1"/>
  <c r="BX425" i="1"/>
  <c r="BW425" i="1"/>
  <c r="BV425" i="1"/>
  <c r="BZ422" i="1"/>
  <c r="BX422" i="1"/>
  <c r="BX430" i="1" s="1"/>
  <c r="BW422" i="1"/>
  <c r="BW430" i="1" s="1"/>
  <c r="BV422" i="1"/>
  <c r="BY421" i="1"/>
  <c r="BY420" i="1"/>
  <c r="BY419" i="1"/>
  <c r="BZ413" i="1"/>
  <c r="BY412" i="1"/>
  <c r="BX412" i="1"/>
  <c r="BV412" i="1"/>
  <c r="BW411" i="1"/>
  <c r="BV410" i="1"/>
  <c r="BV415" i="1" s="1"/>
  <c r="BV394" i="1"/>
  <c r="BX391" i="1"/>
  <c r="BW393" i="1"/>
  <c r="BW391" i="1" s="1"/>
  <c r="BV393" i="1"/>
  <c r="BV391" i="1" s="1"/>
  <c r="BX389" i="1"/>
  <c r="BX392" i="1" s="1"/>
  <c r="BY392" i="1" s="1"/>
  <c r="BZ392" i="1" s="1"/>
  <c r="BW389" i="1"/>
  <c r="BW392" i="1" s="1"/>
  <c r="BV389" i="1"/>
  <c r="BV392" i="1" s="1"/>
  <c r="BZ388" i="1"/>
  <c r="BY387" i="1"/>
  <c r="BW385" i="1"/>
  <c r="BV384" i="1"/>
  <c r="BZ383" i="1"/>
  <c r="BX381" i="1"/>
  <c r="BY381" i="1" s="1"/>
  <c r="BX380" i="1"/>
  <c r="BW380" i="1"/>
  <c r="BV380" i="1"/>
  <c r="BY372" i="1"/>
  <c r="BY368" i="1"/>
  <c r="BY355" i="1" s="1"/>
  <c r="BX368" i="1"/>
  <c r="BX355" i="1" s="1"/>
  <c r="BW368" i="1"/>
  <c r="BV368" i="1"/>
  <c r="BV355" i="1" s="1"/>
  <c r="BY366" i="1"/>
  <c r="BX366" i="1"/>
  <c r="BW366" i="1"/>
  <c r="BV366" i="1"/>
  <c r="BY351" i="1"/>
  <c r="BY364" i="1" s="1"/>
  <c r="BX351" i="1"/>
  <c r="BX33" i="1" s="1"/>
  <c r="BW351" i="1"/>
  <c r="BW33" i="1" s="1"/>
  <c r="BV351" i="1"/>
  <c r="BV364" i="1" s="1"/>
  <c r="BZ349" i="1"/>
  <c r="BZ348" i="1"/>
  <c r="BZ347" i="1"/>
  <c r="BZ346" i="1"/>
  <c r="BZ345" i="1"/>
  <c r="BZ343" i="1"/>
  <c r="BZ341" i="1"/>
  <c r="BY335" i="1"/>
  <c r="BX335" i="1"/>
  <c r="BW335" i="1"/>
  <c r="BV335" i="1"/>
  <c r="BZ333" i="1"/>
  <c r="BY332" i="1"/>
  <c r="BX331" i="1"/>
  <c r="BX332" i="1" s="1"/>
  <c r="BW331" i="1"/>
  <c r="BW332" i="1" s="1"/>
  <c r="BV331" i="1"/>
  <c r="BV332" i="1" s="1"/>
  <c r="BZ329" i="1"/>
  <c r="BY317" i="1"/>
  <c r="BZ316" i="1"/>
  <c r="BZ318" i="1" s="1"/>
  <c r="BY318" i="1" s="1"/>
  <c r="BX316" i="1"/>
  <c r="BW316" i="1"/>
  <c r="BV316" i="1"/>
  <c r="BY308" i="1"/>
  <c r="BW308" i="1"/>
  <c r="BV308" i="1"/>
  <c r="BX307" i="1"/>
  <c r="BZ306" i="1"/>
  <c r="BZ305" i="1"/>
  <c r="BZ304" i="1"/>
  <c r="BZ303" i="1"/>
  <c r="BZ302" i="1"/>
  <c r="BY231" i="1"/>
  <c r="BZ231" i="1" s="1"/>
  <c r="BY215" i="1"/>
  <c r="BX215" i="1"/>
  <c r="BW215" i="1"/>
  <c r="BV215" i="1"/>
  <c r="BW211" i="1"/>
  <c r="BV211" i="1"/>
  <c r="BY210" i="1"/>
  <c r="BX210" i="1"/>
  <c r="BW210" i="1"/>
  <c r="BV210" i="1"/>
  <c r="BY209" i="1"/>
  <c r="BX209" i="1"/>
  <c r="BW209" i="1"/>
  <c r="BV209" i="1"/>
  <c r="BY205" i="1"/>
  <c r="BX205" i="1"/>
  <c r="BW205" i="1"/>
  <c r="BV205" i="1"/>
  <c r="BZ203" i="1"/>
  <c r="BZ202" i="1"/>
  <c r="BZ201" i="1"/>
  <c r="BZ186" i="1"/>
  <c r="BZ185" i="1"/>
  <c r="BZ184" i="1"/>
  <c r="BZ183" i="1"/>
  <c r="BZ182" i="1"/>
  <c r="BZ181" i="1"/>
  <c r="BZ180" i="1"/>
  <c r="BZ179" i="1"/>
  <c r="BZ178" i="1"/>
  <c r="BZ177" i="1"/>
  <c r="BZ174" i="1"/>
  <c r="BY172" i="1"/>
  <c r="BX172" i="1"/>
  <c r="BW172" i="1"/>
  <c r="BV172" i="1"/>
  <c r="BY171" i="1"/>
  <c r="BX171" i="1"/>
  <c r="BW171" i="1"/>
  <c r="BV171" i="1"/>
  <c r="BW170" i="1"/>
  <c r="BV170" i="1"/>
  <c r="BY169" i="1"/>
  <c r="BX169" i="1"/>
  <c r="BW169" i="1"/>
  <c r="BV169" i="1"/>
  <c r="BY168" i="1"/>
  <c r="BX168" i="1"/>
  <c r="BW168" i="1"/>
  <c r="BV168" i="1"/>
  <c r="BY163" i="1"/>
  <c r="BY197" i="1" s="1"/>
  <c r="BX163" i="1"/>
  <c r="BX197" i="1" s="1"/>
  <c r="BW163" i="1"/>
  <c r="BW197" i="1" s="1"/>
  <c r="BV163" i="1"/>
  <c r="BV197" i="1" s="1"/>
  <c r="BY162" i="1"/>
  <c r="BX162" i="1"/>
  <c r="BW162" i="1"/>
  <c r="BY161" i="1"/>
  <c r="BX161" i="1"/>
  <c r="BW161" i="1"/>
  <c r="BV161" i="1"/>
  <c r="BY74" i="1"/>
  <c r="BX74" i="1"/>
  <c r="BW74" i="1"/>
  <c r="BZ67" i="1"/>
  <c r="BZ393" i="1" s="1"/>
  <c r="BZ55" i="1"/>
  <c r="BZ54" i="1"/>
  <c r="BZ53" i="1"/>
  <c r="BZ49" i="1"/>
  <c r="BZ46" i="1"/>
  <c r="BZ36" i="1"/>
  <c r="BZ35" i="1"/>
  <c r="BZ34" i="1"/>
  <c r="BY32" i="1"/>
  <c r="BX32" i="1"/>
  <c r="BW32" i="1"/>
  <c r="BV32" i="1"/>
  <c r="BZ31" i="1"/>
  <c r="BX20" i="1"/>
  <c r="BZ19" i="1"/>
  <c r="BW20" i="1"/>
  <c r="BV20" i="1"/>
  <c r="BV39" i="1" s="1"/>
  <c r="BY17" i="1"/>
  <c r="BZ7" i="1"/>
  <c r="DZ201" i="1" l="1"/>
  <c r="BY389" i="1"/>
  <c r="BY390" i="1" s="1"/>
  <c r="BZ170" i="1"/>
  <c r="BZ162" i="1"/>
  <c r="BZ161" i="1"/>
  <c r="BZ168" i="1"/>
  <c r="BV33" i="1"/>
  <c r="BX39" i="1"/>
  <c r="BY33" i="1"/>
  <c r="BZ171" i="1"/>
  <c r="BZ172" i="1"/>
  <c r="DX201" i="1"/>
  <c r="BZ169" i="1"/>
  <c r="BZ209" i="1"/>
  <c r="BZ210" i="1"/>
  <c r="BZ307" i="1"/>
  <c r="BW39" i="1"/>
  <c r="BV327" i="1"/>
  <c r="BV342" i="1" s="1"/>
  <c r="BY292" i="1"/>
  <c r="BZ275" i="1"/>
  <c r="BZ205" i="1"/>
  <c r="BX292" i="1"/>
  <c r="BZ387" i="1"/>
  <c r="BZ215" i="1"/>
  <c r="BV292" i="1"/>
  <c r="BW364" i="1"/>
  <c r="BW386" i="1"/>
  <c r="BW330" i="1"/>
  <c r="BW344" i="1"/>
  <c r="BW352" i="1"/>
  <c r="BW77" i="1"/>
  <c r="BV443" i="1"/>
  <c r="BV330" i="1"/>
  <c r="BV344" i="1"/>
  <c r="BV77" i="1"/>
  <c r="BX344" i="1"/>
  <c r="BX330" i="1"/>
  <c r="BX356" i="1"/>
  <c r="BV208" i="1"/>
  <c r="BV224" i="1" s="1"/>
  <c r="BV176" i="1"/>
  <c r="BV187" i="1" s="1"/>
  <c r="BY20" i="1"/>
  <c r="BZ173" i="1"/>
  <c r="BZ206" i="1" s="1"/>
  <c r="BZ37" i="1"/>
  <c r="BY208" i="1"/>
  <c r="BY224" i="1" s="1"/>
  <c r="BY176" i="1"/>
  <c r="BY187" i="1" s="1"/>
  <c r="BW75" i="1"/>
  <c r="BV76" i="1"/>
  <c r="BZ20" i="1"/>
  <c r="BZ77" i="1" s="1"/>
  <c r="BW76" i="1"/>
  <c r="BX75" i="1"/>
  <c r="BW208" i="1"/>
  <c r="BW224" i="1" s="1"/>
  <c r="BW176" i="1"/>
  <c r="BW187" i="1" s="1"/>
  <c r="BZ74" i="1"/>
  <c r="BX76" i="1"/>
  <c r="BZ32" i="1"/>
  <c r="BV75" i="1"/>
  <c r="BX77" i="1"/>
  <c r="BZ167" i="1"/>
  <c r="BW292" i="1"/>
  <c r="BX308" i="1"/>
  <c r="BZ38" i="1" s="1"/>
  <c r="BX364" i="1"/>
  <c r="BX352" i="1"/>
  <c r="BZ163" i="1"/>
  <c r="BZ197" i="1" s="1"/>
  <c r="BZ332" i="1"/>
  <c r="BV356" i="1"/>
  <c r="BY380" i="1"/>
  <c r="BZ380" i="1" s="1"/>
  <c r="BY404" i="1"/>
  <c r="BY405" i="1" s="1"/>
  <c r="BY385" i="1"/>
  <c r="BY399" i="1"/>
  <c r="BY400" i="1" s="1"/>
  <c r="BW355" i="1"/>
  <c r="BX385" i="1"/>
  <c r="BZ366" i="1"/>
  <c r="BZ368" i="1"/>
  <c r="BY376" i="1"/>
  <c r="BY373" i="1"/>
  <c r="BX386" i="1"/>
  <c r="BY422" i="1"/>
  <c r="BV352" i="1"/>
  <c r="BV430" i="1"/>
  <c r="BZ430" i="1"/>
  <c r="BZ331" i="1"/>
  <c r="BZ351" i="1" s="1"/>
  <c r="BY316" i="1"/>
  <c r="EA201" i="1" l="1"/>
  <c r="BZ389" i="1"/>
  <c r="BY75" i="1"/>
  <c r="BZ33" i="1"/>
  <c r="BZ76" i="1" s="1"/>
  <c r="BZ308" i="1"/>
  <c r="BY76" i="1"/>
  <c r="BY39" i="1"/>
  <c r="BY356" i="1"/>
  <c r="BW59" i="1"/>
  <c r="BY59" i="1"/>
  <c r="BV59" i="1"/>
  <c r="BV60" i="1" s="1"/>
  <c r="BZ355" i="1"/>
  <c r="BY407" i="1"/>
  <c r="BZ75" i="1"/>
  <c r="BY352" i="1"/>
  <c r="BZ330" i="1"/>
  <c r="BZ30" i="1"/>
  <c r="BV41" i="1"/>
  <c r="BV78" i="1"/>
  <c r="BV48" i="1"/>
  <c r="BZ352" i="1"/>
  <c r="BX208" i="1"/>
  <c r="BX224" i="1" s="1"/>
  <c r="BX176" i="1"/>
  <c r="BX187" i="1" s="1"/>
  <c r="BZ187" i="1" s="1"/>
  <c r="BZ344" i="1"/>
  <c r="BY446" i="1"/>
  <c r="BZ446" i="1" s="1"/>
  <c r="BY344" i="1"/>
  <c r="BY330" i="1"/>
  <c r="BY77" i="1"/>
  <c r="BY437" i="1"/>
  <c r="BZ437" i="1" s="1"/>
  <c r="BY430" i="1"/>
  <c r="BZ364" i="1"/>
  <c r="BW356" i="1"/>
  <c r="BZ390" i="1"/>
  <c r="BZ391" i="1" s="1"/>
  <c r="BW78" i="1"/>
  <c r="BW48" i="1"/>
  <c r="EB201" i="1" l="1"/>
  <c r="EC201" i="1" s="1"/>
  <c r="BZ39" i="1"/>
  <c r="BZ78" i="1" s="1"/>
  <c r="BZ72" i="1"/>
  <c r="BW60" i="1"/>
  <c r="BZ208" i="1"/>
  <c r="BV82" i="1"/>
  <c r="BV372" i="1" s="1"/>
  <c r="BV51" i="1"/>
  <c r="BV56" i="1" s="1"/>
  <c r="BV64" i="1" s="1"/>
  <c r="BW82" i="1"/>
  <c r="BW51" i="1"/>
  <c r="BX78" i="1"/>
  <c r="BX48" i="1"/>
  <c r="BX59" i="1"/>
  <c r="BZ224" i="1"/>
  <c r="BZ176" i="1"/>
  <c r="BZ356" i="1"/>
  <c r="BY447" i="1"/>
  <c r="BZ447" i="1" s="1"/>
  <c r="BY78" i="1"/>
  <c r="BY48" i="1"/>
  <c r="BV79" i="1"/>
  <c r="BY51" i="1" l="1"/>
  <c r="BY84" i="1" s="1"/>
  <c r="BX60" i="1"/>
  <c r="BW56" i="1"/>
  <c r="BW372" i="1"/>
  <c r="BW373" i="1" s="1"/>
  <c r="BX82" i="1"/>
  <c r="BX51" i="1"/>
  <c r="BZ59" i="1"/>
  <c r="BV160" i="1"/>
  <c r="BV84" i="1"/>
  <c r="BV376" i="1"/>
  <c r="BV373" i="1"/>
  <c r="BW160" i="1"/>
  <c r="BW84" i="1"/>
  <c r="BZ48" i="1"/>
  <c r="BW376" i="1" l="1"/>
  <c r="BY56" i="1"/>
  <c r="BY160" i="1"/>
  <c r="BY196" i="1" s="1"/>
  <c r="BY198" i="1" s="1"/>
  <c r="BY226" i="1" s="1"/>
  <c r="BX372" i="1"/>
  <c r="BX376" i="1" s="1"/>
  <c r="BX56" i="1"/>
  <c r="BW64" i="1"/>
  <c r="BZ51" i="1"/>
  <c r="BZ82" i="1"/>
  <c r="BZ372" i="1" s="1"/>
  <c r="BZ376" i="1" s="1"/>
  <c r="BW196" i="1"/>
  <c r="BW198" i="1" s="1"/>
  <c r="BW226" i="1" s="1"/>
  <c r="BX160" i="1"/>
  <c r="BX84" i="1"/>
  <c r="BX373" i="1"/>
  <c r="BV165" i="1"/>
  <c r="BV189" i="1" s="1"/>
  <c r="BV192" i="1" s="1"/>
  <c r="BV196" i="1"/>
  <c r="BV198" i="1" s="1"/>
  <c r="BV226" i="1" s="1"/>
  <c r="BZ160" i="1" l="1"/>
  <c r="BZ196" i="1" s="1"/>
  <c r="BZ198" i="1" s="1"/>
  <c r="BZ226" i="1" s="1"/>
  <c r="BY64" i="1"/>
  <c r="BX64" i="1"/>
  <c r="BW228" i="1"/>
  <c r="BW235" i="1"/>
  <c r="BW236" i="1" s="1"/>
  <c r="BW62" i="1" s="1"/>
  <c r="BW233" i="1"/>
  <c r="BW234" i="1" s="1"/>
  <c r="BY233" i="1"/>
  <c r="BY234" i="1" s="1"/>
  <c r="BY235" i="1"/>
  <c r="BY236" i="1" s="1"/>
  <c r="BY62" i="1" s="1"/>
  <c r="BV228" i="1"/>
  <c r="BV233" i="1"/>
  <c r="BV234" i="1" s="1"/>
  <c r="BV235" i="1"/>
  <c r="BV236" i="1" s="1"/>
  <c r="BV62" i="1" s="1"/>
  <c r="BY228" i="1"/>
  <c r="BV42" i="1"/>
  <c r="BV81" i="1" s="1"/>
  <c r="BX196" i="1"/>
  <c r="BX198" i="1" s="1"/>
  <c r="BX226" i="1" s="1"/>
  <c r="BZ84" i="1"/>
  <c r="BZ56" i="1"/>
  <c r="BZ64" i="1" s="1"/>
  <c r="BV229" i="1" l="1"/>
  <c r="BV83" i="1"/>
  <c r="BY229" i="1"/>
  <c r="BY83" i="1"/>
  <c r="BW229" i="1"/>
  <c r="BW83" i="1"/>
  <c r="BV57" i="1"/>
  <c r="BV61" i="1" s="1"/>
  <c r="BV63" i="1" s="1"/>
  <c r="BX228" i="1"/>
  <c r="BX235" i="1"/>
  <c r="BX236" i="1" s="1"/>
  <c r="BX62" i="1" s="1"/>
  <c r="BX233" i="1"/>
  <c r="BX234" i="1" s="1"/>
  <c r="BZ228" i="1"/>
  <c r="BZ83" i="1" s="1"/>
  <c r="BZ233" i="1"/>
  <c r="BZ234" i="1" s="1"/>
  <c r="BZ235" i="1"/>
  <c r="BZ236" i="1" s="1"/>
  <c r="BZ62" i="1" s="1"/>
  <c r="BY60" i="1"/>
  <c r="BY57" i="1"/>
  <c r="BW57" i="1"/>
  <c r="BV43" i="1"/>
  <c r="BX229" i="1" l="1"/>
  <c r="BX83" i="1"/>
  <c r="BY61" i="1"/>
  <c r="BW61" i="1"/>
  <c r="BZ57" i="1"/>
  <c r="BZ61" i="1" s="1"/>
  <c r="BZ63" i="1" s="1"/>
  <c r="BX57" i="1"/>
  <c r="BZ229" i="1"/>
  <c r="BZ60" i="1"/>
  <c r="BV80" i="1"/>
  <c r="CA136" i="5"/>
  <c r="CB136" i="5" s="1"/>
  <c r="BY63" i="1" l="1"/>
  <c r="BX61" i="1"/>
  <c r="BY449" i="1" s="1"/>
  <c r="BZ449" i="1" s="1"/>
  <c r="BW63" i="1"/>
  <c r="BY439" i="1"/>
  <c r="CD136" i="5"/>
  <c r="CF136" i="5" s="1"/>
  <c r="CH136" i="5" s="1"/>
  <c r="CC136" i="5"/>
  <c r="BX63" i="1" l="1"/>
  <c r="CG136" i="5"/>
  <c r="CI136" i="5" s="1"/>
  <c r="CK136" i="5" s="1"/>
  <c r="BY440" i="1"/>
  <c r="BZ440" i="1" s="1"/>
  <c r="BZ439" i="1"/>
  <c r="BS30" i="1"/>
  <c r="BR30" i="1"/>
  <c r="BQ30" i="1"/>
  <c r="AA30" i="1"/>
  <c r="V30" i="1"/>
  <c r="CE55" i="1"/>
  <c r="CM136" i="5" l="1"/>
  <c r="CL136" i="5"/>
  <c r="CN136" i="5" s="1"/>
  <c r="CP136" i="5" s="1"/>
  <c r="CA33" i="1"/>
  <c r="BR351" i="1"/>
  <c r="BW353" i="1" s="1"/>
  <c r="BT351" i="1"/>
  <c r="BY353" i="1" s="1"/>
  <c r="CQ136" i="5" l="1"/>
  <c r="CS136" i="5" s="1"/>
  <c r="CU136" i="5" s="1"/>
  <c r="CR136" i="5"/>
  <c r="CI167" i="1"/>
  <c r="BV267" i="1"/>
  <c r="CW136" i="5" l="1"/>
  <c r="CV136" i="5"/>
  <c r="CX136" i="5" s="1"/>
  <c r="CZ136" i="5" s="1"/>
  <c r="CS341" i="1"/>
  <c r="DB136" i="5" l="1"/>
  <c r="DA136" i="5"/>
  <c r="DC136" i="5" s="1"/>
  <c r="CN23" i="6"/>
  <c r="CT341" i="1"/>
  <c r="CX341" i="1"/>
  <c r="BV27" i="6"/>
  <c r="DC341" i="1" l="1"/>
  <c r="DH341" i="1" s="1"/>
  <c r="DM341" i="1" s="1"/>
  <c r="DR341" i="1" s="1"/>
  <c r="DW341" i="1" s="1"/>
  <c r="EB341" i="1" s="1"/>
  <c r="CS23" i="6"/>
  <c r="CY341" i="1"/>
  <c r="BT47" i="5"/>
  <c r="CT23" i="6" l="1"/>
  <c r="EB167" i="1"/>
  <c r="EC341" i="1"/>
  <c r="EC167" i="1" l="1"/>
  <c r="CA308" i="1"/>
  <c r="CA38" i="1" s="1"/>
  <c r="CA74" i="1"/>
  <c r="BT204" i="1"/>
  <c r="BS204" i="1"/>
  <c r="BR204" i="1"/>
  <c r="BQ204" i="1"/>
  <c r="BO204" i="1"/>
  <c r="BN204" i="1"/>
  <c r="BM204" i="1"/>
  <c r="BJ204" i="1"/>
  <c r="BI204" i="1"/>
  <c r="BH204" i="1"/>
  <c r="AU235" i="1"/>
  <c r="AR235" i="1"/>
  <c r="AQ235" i="1"/>
  <c r="AP235" i="1"/>
  <c r="AO235" i="1"/>
  <c r="AN235" i="1"/>
  <c r="AM235" i="1"/>
  <c r="AK235" i="1"/>
  <c r="AJ235" i="1"/>
  <c r="AI235" i="1"/>
  <c r="AH235" i="1"/>
  <c r="AG235" i="1"/>
  <c r="CA368" i="1" l="1"/>
  <c r="CA355" i="1" s="1"/>
  <c r="CA366" i="1" l="1"/>
  <c r="CA34" i="1"/>
  <c r="BV211" i="5" l="1"/>
  <c r="CA105" i="1"/>
  <c r="CA104" i="1" l="1"/>
  <c r="FA55" i="1"/>
  <c r="FA54" i="1"/>
  <c r="CT119" i="5" l="1"/>
  <c r="CT118" i="5"/>
  <c r="CT116" i="5"/>
  <c r="CT115" i="5"/>
  <c r="CT114" i="5"/>
  <c r="CT113" i="5"/>
  <c r="CY119" i="5"/>
  <c r="CY118" i="5"/>
  <c r="CY116" i="5"/>
  <c r="CY115" i="5"/>
  <c r="CY114" i="5"/>
  <c r="CY113" i="5"/>
  <c r="DD120" i="5"/>
  <c r="DD119" i="5"/>
  <c r="DD118" i="5"/>
  <c r="DD116" i="5"/>
  <c r="DD115" i="5"/>
  <c r="DD114" i="5"/>
  <c r="CO116" i="5"/>
  <c r="CO115" i="5"/>
  <c r="CO113" i="5"/>
  <c r="Q20" i="128"/>
  <c r="P20" i="128"/>
  <c r="CA388" i="1"/>
  <c r="DW380" i="1"/>
  <c r="DV380" i="1"/>
  <c r="DU380" i="1"/>
  <c r="DT380" i="1"/>
  <c r="DR380" i="1"/>
  <c r="DQ380" i="1"/>
  <c r="DP380" i="1"/>
  <c r="DO380" i="1"/>
  <c r="DM380" i="1"/>
  <c r="DL380" i="1"/>
  <c r="DK380" i="1"/>
  <c r="DJ380" i="1"/>
  <c r="DH380" i="1"/>
  <c r="DG380" i="1"/>
  <c r="DF380" i="1"/>
  <c r="DE380" i="1"/>
  <c r="DC380" i="1"/>
  <c r="DB380" i="1"/>
  <c r="DA380" i="1"/>
  <c r="CZ380" i="1"/>
  <c r="CX380" i="1"/>
  <c r="CW380" i="1"/>
  <c r="CV380" i="1"/>
  <c r="CU380" i="1"/>
  <c r="CS380" i="1"/>
  <c r="CR380" i="1"/>
  <c r="CQ380" i="1"/>
  <c r="CP380" i="1"/>
  <c r="CM380" i="1"/>
  <c r="CL380" i="1"/>
  <c r="CK380" i="1"/>
  <c r="CI380" i="1"/>
  <c r="CH380" i="1"/>
  <c r="CG380" i="1"/>
  <c r="CF380" i="1"/>
  <c r="CD380" i="1"/>
  <c r="CC380" i="1"/>
  <c r="CB380" i="1"/>
  <c r="CA380" i="1"/>
  <c r="CJ386" i="1"/>
  <c r="CA402" i="1"/>
  <c r="CB402" i="1" s="1"/>
  <c r="CC402" i="1" s="1"/>
  <c r="CA398" i="1"/>
  <c r="CB398" i="1" s="1"/>
  <c r="CC398" i="1" s="1"/>
  <c r="CF398" i="1" s="1"/>
  <c r="CG398" i="1" s="1"/>
  <c r="CH398" i="1" s="1"/>
  <c r="CI398" i="1" s="1"/>
  <c r="CK398" i="1" s="1"/>
  <c r="CL398" i="1" s="1"/>
  <c r="CM398" i="1" s="1"/>
  <c r="CN398" i="1" s="1"/>
  <c r="CP398" i="1" s="1"/>
  <c r="CQ398" i="1" s="1"/>
  <c r="CR398" i="1" s="1"/>
  <c r="CS398" i="1" s="1"/>
  <c r="CU398" i="1" s="1"/>
  <c r="CV398" i="1" s="1"/>
  <c r="CW398" i="1" s="1"/>
  <c r="CX398" i="1" s="1"/>
  <c r="CZ398" i="1" s="1"/>
  <c r="DA398" i="1" s="1"/>
  <c r="DB398" i="1" s="1"/>
  <c r="DC398" i="1" s="1"/>
  <c r="DE398" i="1" s="1"/>
  <c r="DF398" i="1" s="1"/>
  <c r="DG398" i="1" s="1"/>
  <c r="DH398" i="1" s="1"/>
  <c r="DJ398" i="1" s="1"/>
  <c r="DK398" i="1" s="1"/>
  <c r="DL398" i="1" s="1"/>
  <c r="DM398" i="1" s="1"/>
  <c r="DO398" i="1" s="1"/>
  <c r="DP398" i="1" s="1"/>
  <c r="DQ398" i="1" s="1"/>
  <c r="DR398" i="1" s="1"/>
  <c r="DT398" i="1" s="1"/>
  <c r="DU398" i="1" s="1"/>
  <c r="DV398" i="1" s="1"/>
  <c r="DW398" i="1" s="1"/>
  <c r="DY398" i="1" s="1"/>
  <c r="DZ398" i="1" s="1"/>
  <c r="EA398" i="1" s="1"/>
  <c r="EB398" i="1" s="1"/>
  <c r="CA397" i="1"/>
  <c r="CB397" i="1" s="1"/>
  <c r="CC397" i="1" s="1"/>
  <c r="CG397" i="1" s="1"/>
  <c r="CH397" i="1" s="1"/>
  <c r="CI397" i="1" s="1"/>
  <c r="CK397" i="1" s="1"/>
  <c r="CL397" i="1" s="1"/>
  <c r="CM397" i="1" s="1"/>
  <c r="CN397" i="1" s="1"/>
  <c r="CP397" i="1" s="1"/>
  <c r="CQ397" i="1" s="1"/>
  <c r="CR397" i="1" s="1"/>
  <c r="CS397" i="1" s="1"/>
  <c r="CU397" i="1" s="1"/>
  <c r="CV397" i="1" s="1"/>
  <c r="CW397" i="1" s="1"/>
  <c r="CX397" i="1" s="1"/>
  <c r="CZ397" i="1" s="1"/>
  <c r="DA397" i="1" s="1"/>
  <c r="DB397" i="1" s="1"/>
  <c r="DC397" i="1" s="1"/>
  <c r="DE397" i="1" s="1"/>
  <c r="DF397" i="1" s="1"/>
  <c r="DG397" i="1" s="1"/>
  <c r="DH397" i="1" s="1"/>
  <c r="DJ397" i="1" s="1"/>
  <c r="DK397" i="1" s="1"/>
  <c r="DL397" i="1" s="1"/>
  <c r="DM397" i="1" s="1"/>
  <c r="DO397" i="1" s="1"/>
  <c r="DP397" i="1" s="1"/>
  <c r="DQ397" i="1" s="1"/>
  <c r="DR397" i="1" s="1"/>
  <c r="DT397" i="1" s="1"/>
  <c r="DU397" i="1" s="1"/>
  <c r="DV397" i="1" s="1"/>
  <c r="DW397" i="1" s="1"/>
  <c r="DY397" i="1" s="1"/>
  <c r="DZ397" i="1" s="1"/>
  <c r="EA397" i="1" s="1"/>
  <c r="EB397" i="1" s="1"/>
  <c r="BU388" i="1"/>
  <c r="BT387" i="1"/>
  <c r="BU387" i="1" s="1"/>
  <c r="CA404" i="1"/>
  <c r="CA399" i="1"/>
  <c r="CB388" i="1" l="1"/>
  <c r="CE388" i="1" s="1"/>
  <c r="CA389" i="1"/>
  <c r="BT389" i="1"/>
  <c r="CA400" i="1"/>
  <c r="CA405" i="1"/>
  <c r="CF402" i="1"/>
  <c r="CG402" i="1" s="1"/>
  <c r="CH402" i="1" s="1"/>
  <c r="CI402" i="1" s="1"/>
  <c r="CK402" i="1" s="1"/>
  <c r="CL402" i="1" s="1"/>
  <c r="CM402" i="1" s="1"/>
  <c r="CN402" i="1" s="1"/>
  <c r="CP402" i="1" s="1"/>
  <c r="CQ402" i="1" s="1"/>
  <c r="CR402" i="1" s="1"/>
  <c r="CS402" i="1" s="1"/>
  <c r="CU402" i="1" s="1"/>
  <c r="CV402" i="1" s="1"/>
  <c r="CW402" i="1" s="1"/>
  <c r="CX402" i="1" s="1"/>
  <c r="CZ402" i="1" s="1"/>
  <c r="DA402" i="1" s="1"/>
  <c r="DB402" i="1" s="1"/>
  <c r="DC402" i="1" s="1"/>
  <c r="DE402" i="1" s="1"/>
  <c r="DF402" i="1" s="1"/>
  <c r="DG402" i="1" s="1"/>
  <c r="DH402" i="1" s="1"/>
  <c r="DJ402" i="1" s="1"/>
  <c r="DK402" i="1" s="1"/>
  <c r="DL402" i="1" s="1"/>
  <c r="DM402" i="1" s="1"/>
  <c r="DO402" i="1" s="1"/>
  <c r="DP402" i="1" s="1"/>
  <c r="DQ402" i="1" s="1"/>
  <c r="DR402" i="1" s="1"/>
  <c r="DT402" i="1" s="1"/>
  <c r="DU402" i="1" s="1"/>
  <c r="DV402" i="1" s="1"/>
  <c r="DW402" i="1" s="1"/>
  <c r="DY402" i="1" s="1"/>
  <c r="DZ402" i="1" s="1"/>
  <c r="EA402" i="1" s="1"/>
  <c r="EB402" i="1" s="1"/>
  <c r="CB389" i="1" l="1"/>
  <c r="CB390" i="1" s="1"/>
  <c r="CB392" i="1" s="1"/>
  <c r="CA390" i="1"/>
  <c r="CA392" i="1" s="1"/>
  <c r="CE387" i="1"/>
  <c r="CA407" i="1"/>
  <c r="CJ387" i="1"/>
  <c r="CJ388" i="1"/>
  <c r="CJ389" i="1" l="1"/>
  <c r="CO388" i="1"/>
  <c r="CP388" i="1" s="1"/>
  <c r="CP389" i="1" s="1"/>
  <c r="CP390" i="1" s="1"/>
  <c r="BT89" i="6"/>
  <c r="BS89" i="6"/>
  <c r="BR89" i="6"/>
  <c r="BQ89" i="6"/>
  <c r="DX183" i="5"/>
  <c r="DX181" i="5"/>
  <c r="DW179" i="5"/>
  <c r="DV179" i="5"/>
  <c r="DU179" i="5"/>
  <c r="DT179" i="5"/>
  <c r="DX177" i="5"/>
  <c r="DX176" i="5"/>
  <c r="DX175" i="5"/>
  <c r="DW174" i="5"/>
  <c r="DV174" i="5"/>
  <c r="DU174" i="5"/>
  <c r="DT174" i="5"/>
  <c r="DW173" i="5"/>
  <c r="DV173" i="5"/>
  <c r="DU173" i="5"/>
  <c r="DT173" i="5"/>
  <c r="DW167" i="5"/>
  <c r="DV167" i="5"/>
  <c r="DU167" i="5"/>
  <c r="DT167" i="5"/>
  <c r="DX150" i="5"/>
  <c r="DX149" i="5"/>
  <c r="DX148" i="5"/>
  <c r="DX144" i="5"/>
  <c r="DX142" i="5"/>
  <c r="DW141" i="5"/>
  <c r="DV141" i="5"/>
  <c r="DU141" i="5"/>
  <c r="DT141" i="5"/>
  <c r="DX140" i="5"/>
  <c r="DW138" i="5"/>
  <c r="DW132" i="5" s="1"/>
  <c r="DV138" i="5"/>
  <c r="DV132" i="5" s="1"/>
  <c r="DU138" i="5"/>
  <c r="DU132" i="5" s="1"/>
  <c r="DT138" i="5"/>
  <c r="DX137" i="5"/>
  <c r="DX136" i="5"/>
  <c r="DX135" i="5"/>
  <c r="DW119" i="5"/>
  <c r="DW127" i="5" s="1"/>
  <c r="DV119" i="5"/>
  <c r="DV127" i="5" s="1"/>
  <c r="DU119" i="5"/>
  <c r="DU127" i="5" s="1"/>
  <c r="DT119" i="5"/>
  <c r="DT127" i="5" s="1"/>
  <c r="DX111" i="5"/>
  <c r="DX7" i="5"/>
  <c r="DW7" i="5"/>
  <c r="DV7" i="5"/>
  <c r="DU7" i="5"/>
  <c r="DT7" i="5"/>
  <c r="DW6" i="5"/>
  <c r="DV6" i="5"/>
  <c r="DU6" i="5"/>
  <c r="DT6" i="5"/>
  <c r="CU411" i="1"/>
  <c r="CN199" i="5"/>
  <c r="CS53" i="1" s="1"/>
  <c r="CM199" i="5"/>
  <c r="CR53" i="1" s="1"/>
  <c r="CL199" i="5"/>
  <c r="CQ53" i="1" s="1"/>
  <c r="CK199" i="5"/>
  <c r="CP53" i="1" s="1"/>
  <c r="EY53" i="1" s="1"/>
  <c r="CN148" i="6"/>
  <c r="CS148" i="6" s="1"/>
  <c r="CX148" i="6" s="1"/>
  <c r="DC148" i="6" s="1"/>
  <c r="DH148" i="6" s="1"/>
  <c r="DM148" i="6" s="1"/>
  <c r="DR148" i="6" s="1"/>
  <c r="DW148" i="6" s="1"/>
  <c r="CM148" i="6"/>
  <c r="CR148" i="6" s="1"/>
  <c r="CW148" i="6" s="1"/>
  <c r="DB148" i="6" s="1"/>
  <c r="DG148" i="6" s="1"/>
  <c r="DL148" i="6" s="1"/>
  <c r="DQ148" i="6" s="1"/>
  <c r="DV148" i="6" s="1"/>
  <c r="CL148" i="6"/>
  <c r="CQ148" i="6" s="1"/>
  <c r="CV148" i="6" s="1"/>
  <c r="DA148" i="6" s="1"/>
  <c r="DF148" i="6" s="1"/>
  <c r="DK148" i="6" s="1"/>
  <c r="DP148" i="6" s="1"/>
  <c r="DU148" i="6" s="1"/>
  <c r="CK148" i="6"/>
  <c r="CI147" i="6"/>
  <c r="CN147" i="6" s="1"/>
  <c r="CS147" i="6" s="1"/>
  <c r="CX147" i="6" s="1"/>
  <c r="DC147" i="6" s="1"/>
  <c r="DH147" i="6" s="1"/>
  <c r="DM147" i="6" s="1"/>
  <c r="DR147" i="6" s="1"/>
  <c r="DW147" i="6" s="1"/>
  <c r="CH147" i="6"/>
  <c r="CM147" i="6" s="1"/>
  <c r="CR147" i="6" s="1"/>
  <c r="CW147" i="6" s="1"/>
  <c r="DB147" i="6" s="1"/>
  <c r="DG147" i="6" s="1"/>
  <c r="DL147" i="6" s="1"/>
  <c r="DQ147" i="6" s="1"/>
  <c r="DV147" i="6" s="1"/>
  <c r="CG147" i="6"/>
  <c r="CL147" i="6" s="1"/>
  <c r="CQ147" i="6" s="1"/>
  <c r="CV147" i="6" s="1"/>
  <c r="DA147" i="6" s="1"/>
  <c r="DF147" i="6" s="1"/>
  <c r="DK147" i="6" s="1"/>
  <c r="DP147" i="6" s="1"/>
  <c r="DU147" i="6" s="1"/>
  <c r="CF147" i="6"/>
  <c r="CK147" i="6" s="1"/>
  <c r="CI146" i="6"/>
  <c r="CN146" i="6" s="1"/>
  <c r="CS146" i="6" s="1"/>
  <c r="CX146" i="6" s="1"/>
  <c r="DC146" i="6" s="1"/>
  <c r="DH146" i="6" s="1"/>
  <c r="DM146" i="6" s="1"/>
  <c r="DR146" i="6" s="1"/>
  <c r="DW146" i="6" s="1"/>
  <c r="CH146" i="6"/>
  <c r="CM146" i="6" s="1"/>
  <c r="CR146" i="6" s="1"/>
  <c r="CW146" i="6" s="1"/>
  <c r="DB146" i="6" s="1"/>
  <c r="DG146" i="6" s="1"/>
  <c r="DL146" i="6" s="1"/>
  <c r="DQ146" i="6" s="1"/>
  <c r="DV146" i="6" s="1"/>
  <c r="CG146" i="6"/>
  <c r="CL146" i="6" s="1"/>
  <c r="CQ146" i="6" s="1"/>
  <c r="CV146" i="6" s="1"/>
  <c r="DA146" i="6" s="1"/>
  <c r="DF146" i="6" s="1"/>
  <c r="DK146" i="6" s="1"/>
  <c r="DP146" i="6" s="1"/>
  <c r="DU146" i="6" s="1"/>
  <c r="CF146" i="6"/>
  <c r="CK146" i="6" s="1"/>
  <c r="CP146" i="6" s="1"/>
  <c r="CU146" i="6" s="1"/>
  <c r="CZ146" i="6" s="1"/>
  <c r="DE146" i="6" s="1"/>
  <c r="DJ146" i="6" s="1"/>
  <c r="DO146" i="6" s="1"/>
  <c r="DT146" i="6" s="1"/>
  <c r="CN145" i="6"/>
  <c r="CS145" i="6" s="1"/>
  <c r="CX145" i="6" s="1"/>
  <c r="DC145" i="6" s="1"/>
  <c r="DH145" i="6" s="1"/>
  <c r="DM145" i="6" s="1"/>
  <c r="DR145" i="6" s="1"/>
  <c r="DW145" i="6" s="1"/>
  <c r="CM145" i="6"/>
  <c r="CR145" i="6" s="1"/>
  <c r="CW145" i="6" s="1"/>
  <c r="DB145" i="6" s="1"/>
  <c r="DG145" i="6" s="1"/>
  <c r="DL145" i="6" s="1"/>
  <c r="DQ145" i="6" s="1"/>
  <c r="DV145" i="6" s="1"/>
  <c r="CK145" i="6"/>
  <c r="CM144" i="6"/>
  <c r="CL144" i="6"/>
  <c r="CD149" i="6"/>
  <c r="CC149" i="6"/>
  <c r="CB149" i="6"/>
  <c r="CA149" i="6"/>
  <c r="CE148" i="6"/>
  <c r="CE147" i="6"/>
  <c r="CE145" i="6"/>
  <c r="CE144" i="6"/>
  <c r="CD137" i="6"/>
  <c r="CI137" i="6" s="1"/>
  <c r="CN137" i="6" s="1"/>
  <c r="CS137" i="6" s="1"/>
  <c r="CX137" i="6" s="1"/>
  <c r="DC137" i="6" s="1"/>
  <c r="DH137" i="6" s="1"/>
  <c r="DM137" i="6" s="1"/>
  <c r="DR137" i="6" s="1"/>
  <c r="DW137" i="6" s="1"/>
  <c r="CC137" i="6"/>
  <c r="CH137" i="6" s="1"/>
  <c r="CM137" i="6" s="1"/>
  <c r="CR137" i="6" s="1"/>
  <c r="CW137" i="6" s="1"/>
  <c r="DB137" i="6" s="1"/>
  <c r="DG137" i="6" s="1"/>
  <c r="DL137" i="6" s="1"/>
  <c r="DQ137" i="6" s="1"/>
  <c r="DV137" i="6" s="1"/>
  <c r="CB137" i="6"/>
  <c r="CA137" i="6"/>
  <c r="CF137" i="6" s="1"/>
  <c r="AZ154" i="6"/>
  <c r="AY154" i="6"/>
  <c r="BB154" i="6"/>
  <c r="BG154" i="6"/>
  <c r="BL154" i="6"/>
  <c r="BQ154" i="6"/>
  <c r="BZ137" i="6"/>
  <c r="BU137" i="6"/>
  <c r="BL137" i="6"/>
  <c r="BQ137" i="6"/>
  <c r="BZ145" i="6"/>
  <c r="BZ147" i="6"/>
  <c r="BY149" i="6"/>
  <c r="BX149" i="6"/>
  <c r="BW149" i="6"/>
  <c r="BV149" i="6"/>
  <c r="BZ148" i="6"/>
  <c r="BZ144" i="6"/>
  <c r="BR147" i="6"/>
  <c r="BS147" i="6" s="1"/>
  <c r="BM142" i="6"/>
  <c r="BN142" i="6" s="1"/>
  <c r="BM141" i="6"/>
  <c r="BN141" i="6" s="1"/>
  <c r="BM140" i="6"/>
  <c r="BN140" i="6" s="1"/>
  <c r="BR142" i="6"/>
  <c r="BS142" i="6" s="1"/>
  <c r="BR141" i="6"/>
  <c r="BS141" i="6" s="1"/>
  <c r="BR140" i="6"/>
  <c r="BS140" i="6" s="1"/>
  <c r="BU149" i="6"/>
  <c r="BQ149" i="6"/>
  <c r="BP149" i="6"/>
  <c r="BL149" i="6"/>
  <c r="BK149" i="6"/>
  <c r="BG149" i="6"/>
  <c r="BF149" i="6"/>
  <c r="BB149" i="6"/>
  <c r="AW149" i="6"/>
  <c r="BR148" i="6"/>
  <c r="BS148" i="6" s="1"/>
  <c r="BM148" i="6"/>
  <c r="BN148" i="6" s="1"/>
  <c r="BH148" i="6"/>
  <c r="BI148" i="6" s="1"/>
  <c r="BC148" i="6"/>
  <c r="BD148" i="6" s="1"/>
  <c r="AX148" i="6"/>
  <c r="AY148" i="6" s="1"/>
  <c r="AZ148" i="6" s="1"/>
  <c r="BM147" i="6"/>
  <c r="BN147" i="6" s="1"/>
  <c r="BO147" i="6" s="1"/>
  <c r="BH147" i="6"/>
  <c r="BI147" i="6" s="1"/>
  <c r="BE147" i="6"/>
  <c r="AZ147" i="6"/>
  <c r="BO146" i="6"/>
  <c r="BH146" i="6"/>
  <c r="BI146" i="6" s="1"/>
  <c r="BJ146" i="6" s="1"/>
  <c r="BC146" i="6"/>
  <c r="BA146" i="6"/>
  <c r="BA149" i="6" s="1"/>
  <c r="AX146" i="6"/>
  <c r="BR145" i="6"/>
  <c r="BS145" i="6" s="1"/>
  <c r="BM145" i="6"/>
  <c r="BN145" i="6" s="1"/>
  <c r="BO145" i="6" s="1"/>
  <c r="BH145" i="6"/>
  <c r="BC145" i="6"/>
  <c r="AX145" i="6"/>
  <c r="AY145" i="6" s="1"/>
  <c r="BR144" i="6"/>
  <c r="BS144" i="6" s="1"/>
  <c r="BM144" i="6"/>
  <c r="BN144" i="6" s="1"/>
  <c r="BH144" i="6"/>
  <c r="BI144" i="6" s="1"/>
  <c r="BC144" i="6"/>
  <c r="AX144" i="6"/>
  <c r="CP392" i="1" l="1"/>
  <c r="CP410" i="1"/>
  <c r="CP415" i="1" s="1"/>
  <c r="CR231" i="1"/>
  <c r="CS231" i="1"/>
  <c r="CP231" i="1"/>
  <c r="CQ231" i="1"/>
  <c r="CM149" i="6"/>
  <c r="CI149" i="6"/>
  <c r="CF149" i="6"/>
  <c r="BC149" i="6"/>
  <c r="CJ147" i="6"/>
  <c r="CE137" i="6"/>
  <c r="CH149" i="6"/>
  <c r="DX167" i="5"/>
  <c r="DX173" i="5"/>
  <c r="DX174" i="5"/>
  <c r="CH390" i="1"/>
  <c r="BT144" i="6"/>
  <c r="BO148" i="6"/>
  <c r="CG149" i="6"/>
  <c r="CQ144" i="6"/>
  <c r="CK137" i="6"/>
  <c r="CP145" i="6"/>
  <c r="CO147" i="6"/>
  <c r="CP147" i="6"/>
  <c r="CO148" i="6"/>
  <c r="CP148" i="6"/>
  <c r="CG137" i="6"/>
  <c r="CL137" i="6" s="1"/>
  <c r="CQ137" i="6" s="1"/>
  <c r="CV137" i="6" s="1"/>
  <c r="DA137" i="6" s="1"/>
  <c r="DF137" i="6" s="1"/>
  <c r="DK137" i="6" s="1"/>
  <c r="DP137" i="6" s="1"/>
  <c r="DU137" i="6" s="1"/>
  <c r="AY144" i="6"/>
  <c r="AZ144" i="6" s="1"/>
  <c r="BO144" i="6"/>
  <c r="BI145" i="6"/>
  <c r="BI149" i="6" s="1"/>
  <c r="CJ148" i="6"/>
  <c r="CN144" i="6"/>
  <c r="CO144" i="6" s="1"/>
  <c r="BU89" i="6"/>
  <c r="AY146" i="6"/>
  <c r="AZ146" i="6" s="1"/>
  <c r="BD146" i="6"/>
  <c r="BE146" i="6" s="1"/>
  <c r="BJ147" i="6"/>
  <c r="BD145" i="6"/>
  <c r="BE145" i="6" s="1"/>
  <c r="BJ148" i="6"/>
  <c r="BT145" i="6"/>
  <c r="CJ145" i="6"/>
  <c r="CL145" i="6"/>
  <c r="CQ145" i="6" s="1"/>
  <c r="CV145" i="6" s="1"/>
  <c r="DA145" i="6" s="1"/>
  <c r="DF145" i="6" s="1"/>
  <c r="DK145" i="6" s="1"/>
  <c r="DP145" i="6" s="1"/>
  <c r="DU145" i="6" s="1"/>
  <c r="CR144" i="6"/>
  <c r="DX138" i="5"/>
  <c r="DX132" i="5" s="1"/>
  <c r="DT132" i="5"/>
  <c r="DX141" i="5"/>
  <c r="CK410" i="1"/>
  <c r="DX179" i="5"/>
  <c r="CI390" i="1"/>
  <c r="CG390" i="1"/>
  <c r="CQ388" i="1"/>
  <c r="CR388" i="1" s="1"/>
  <c r="CS388" i="1" s="1"/>
  <c r="CO387" i="1"/>
  <c r="CQ387" i="1"/>
  <c r="CR387" i="1" s="1"/>
  <c r="CS387" i="1" s="1"/>
  <c r="CV411" i="1"/>
  <c r="CW411" i="1" s="1"/>
  <c r="CZ411" i="1"/>
  <c r="DX119" i="5"/>
  <c r="DX127" i="5" s="1"/>
  <c r="CJ144" i="6"/>
  <c r="CE149" i="6"/>
  <c r="BZ149" i="6"/>
  <c r="BS149" i="6"/>
  <c r="BT148" i="6"/>
  <c r="BN149" i="6"/>
  <c r="BD144" i="6"/>
  <c r="BJ144" i="6"/>
  <c r="AZ145" i="6"/>
  <c r="BE148" i="6"/>
  <c r="BH149" i="6"/>
  <c r="BM149" i="6"/>
  <c r="AX149" i="6"/>
  <c r="BR149" i="6"/>
  <c r="BT211" i="5"/>
  <c r="BU211" i="5" s="1"/>
  <c r="CG410" i="1" l="1"/>
  <c r="CG392" i="1"/>
  <c r="CH410" i="1"/>
  <c r="CH392" i="1"/>
  <c r="CT231" i="1"/>
  <c r="BO149" i="6"/>
  <c r="CI410" i="1"/>
  <c r="CI391" i="1"/>
  <c r="CJ149" i="6"/>
  <c r="BJ145" i="6"/>
  <c r="BJ149" i="6" s="1"/>
  <c r="CO145" i="6"/>
  <c r="CL149" i="6"/>
  <c r="CJ137" i="6"/>
  <c r="AZ149" i="6"/>
  <c r="CR149" i="6"/>
  <c r="CW144" i="6"/>
  <c r="BT149" i="6"/>
  <c r="CT147" i="6"/>
  <c r="CU147" i="6"/>
  <c r="CQ149" i="6"/>
  <c r="CV144" i="6"/>
  <c r="CN149" i="6"/>
  <c r="CS144" i="6"/>
  <c r="CT148" i="6"/>
  <c r="CU148" i="6"/>
  <c r="CT145" i="6"/>
  <c r="CU145" i="6"/>
  <c r="CO137" i="6"/>
  <c r="CP137" i="6"/>
  <c r="AY149" i="6"/>
  <c r="CT387" i="1"/>
  <c r="CU387" i="1"/>
  <c r="CV387" i="1" s="1"/>
  <c r="CW387" i="1" s="1"/>
  <c r="CX387" i="1" s="1"/>
  <c r="CT388" i="1"/>
  <c r="CU388" i="1"/>
  <c r="DA411" i="1"/>
  <c r="DE411" i="1"/>
  <c r="CX411" i="1"/>
  <c r="CK149" i="6"/>
  <c r="CP144" i="6"/>
  <c r="BE144" i="6"/>
  <c r="BE149" i="6" s="1"/>
  <c r="BD149" i="6"/>
  <c r="AZ173" i="1"/>
  <c r="AY173" i="1"/>
  <c r="AX173" i="1"/>
  <c r="AW173" i="1"/>
  <c r="EN139" i="1"/>
  <c r="EM139" i="1"/>
  <c r="AU131" i="1"/>
  <c r="AQ131" i="1"/>
  <c r="AO131" i="1"/>
  <c r="AN131" i="1"/>
  <c r="AM131" i="1"/>
  <c r="AL131" i="1"/>
  <c r="AJ131" i="1"/>
  <c r="AI131" i="1"/>
  <c r="AH131" i="1"/>
  <c r="AG131" i="1"/>
  <c r="AF131" i="1"/>
  <c r="AE131" i="1"/>
  <c r="AD131" i="1"/>
  <c r="AC131" i="1"/>
  <c r="AB131" i="1"/>
  <c r="AA131" i="1"/>
  <c r="Z131" i="1"/>
  <c r="V131" i="1"/>
  <c r="Q131" i="1"/>
  <c r="AR131" i="1"/>
  <c r="AK131" i="1"/>
  <c r="BE316" i="1"/>
  <c r="BD316" i="1"/>
  <c r="BC316" i="1"/>
  <c r="BB316" i="1"/>
  <c r="CI318" i="1"/>
  <c r="CF318" i="1"/>
  <c r="BU316" i="1"/>
  <c r="BT317" i="1"/>
  <c r="BS316" i="1"/>
  <c r="BR316" i="1"/>
  <c r="BQ316" i="1"/>
  <c r="BO316" i="1"/>
  <c r="BN316" i="1"/>
  <c r="BM316" i="1"/>
  <c r="BL316" i="1"/>
  <c r="BJ316" i="1"/>
  <c r="BI316" i="1"/>
  <c r="BH316" i="1"/>
  <c r="BG316" i="1"/>
  <c r="DR167" i="5"/>
  <c r="DQ167" i="5"/>
  <c r="DP167" i="5"/>
  <c r="DO167" i="5"/>
  <c r="DM167" i="5"/>
  <c r="DL167" i="5"/>
  <c r="DK167" i="5"/>
  <c r="DJ167" i="5"/>
  <c r="DH167" i="5"/>
  <c r="DG167" i="5"/>
  <c r="CI392" i="1" l="1"/>
  <c r="DN167" i="5"/>
  <c r="DS167" i="5"/>
  <c r="CY145" i="6"/>
  <c r="CZ145" i="6"/>
  <c r="CS149" i="6"/>
  <c r="CX144" i="6"/>
  <c r="CY147" i="6"/>
  <c r="CZ147" i="6"/>
  <c r="CW149" i="6"/>
  <c r="DB144" i="6"/>
  <c r="CT137" i="6"/>
  <c r="CU137" i="6"/>
  <c r="CY148" i="6"/>
  <c r="CZ148" i="6"/>
  <c r="CV149" i="6"/>
  <c r="DA144" i="6"/>
  <c r="CY387" i="1"/>
  <c r="CZ387" i="1"/>
  <c r="DA387" i="1" s="1"/>
  <c r="DB387" i="1" s="1"/>
  <c r="DC387" i="1" s="1"/>
  <c r="CU389" i="1"/>
  <c r="CV388" i="1"/>
  <c r="CW388" i="1" s="1"/>
  <c r="CX388" i="1" s="1"/>
  <c r="CH318" i="1"/>
  <c r="BA173" i="1"/>
  <c r="DF411" i="1"/>
  <c r="DJ411" i="1"/>
  <c r="DA412" i="1"/>
  <c r="DB411" i="1"/>
  <c r="CG318" i="1"/>
  <c r="CP149" i="6"/>
  <c r="CU144" i="6"/>
  <c r="CT144" i="6"/>
  <c r="CO149" i="6"/>
  <c r="CD292" i="1"/>
  <c r="CF292" i="1"/>
  <c r="CL292" i="1"/>
  <c r="BT292" i="1"/>
  <c r="CA292" i="1"/>
  <c r="CI292" i="1"/>
  <c r="CK292" i="1"/>
  <c r="CM292" i="1"/>
  <c r="CB292" i="1"/>
  <c r="CG292" i="1"/>
  <c r="CN292" i="1"/>
  <c r="CH292" i="1"/>
  <c r="CC292" i="1"/>
  <c r="CE275" i="1"/>
  <c r="CJ275" i="1"/>
  <c r="CO275" i="1"/>
  <c r="CT275" i="1"/>
  <c r="CY275" i="1"/>
  <c r="DD275" i="1"/>
  <c r="DI275" i="1"/>
  <c r="DN275" i="1"/>
  <c r="BU275" i="1"/>
  <c r="BP275" i="1"/>
  <c r="DH318" i="1"/>
  <c r="CQ318" i="1"/>
  <c r="BK316" i="1"/>
  <c r="BP316" i="1"/>
  <c r="EY37" i="1"/>
  <c r="BT316" i="1"/>
  <c r="CD318" i="1"/>
  <c r="CJ317" i="1"/>
  <c r="BF316" i="1"/>
  <c r="CE317" i="1"/>
  <c r="DS317" i="1"/>
  <c r="CB318" i="1"/>
  <c r="CT317" i="1"/>
  <c r="CY317" i="1"/>
  <c r="DD317" i="1"/>
  <c r="DI317" i="1"/>
  <c r="DN317" i="1"/>
  <c r="DX317" i="1"/>
  <c r="CC318" i="1"/>
  <c r="CO317" i="1"/>
  <c r="DG318" i="1"/>
  <c r="DE318" i="1"/>
  <c r="CY316" i="1"/>
  <c r="CT316" i="1"/>
  <c r="CE316" i="1"/>
  <c r="CO316" i="1"/>
  <c r="CJ316" i="1"/>
  <c r="DR119" i="5"/>
  <c r="DR127" i="5" s="1"/>
  <c r="DQ119" i="5"/>
  <c r="DQ127" i="5" s="1"/>
  <c r="DP119" i="5"/>
  <c r="DP127" i="5" s="1"/>
  <c r="DO119" i="5"/>
  <c r="DM119" i="5"/>
  <c r="DM127" i="5" s="1"/>
  <c r="DL119" i="5"/>
  <c r="DL127" i="5" s="1"/>
  <c r="DK119" i="5"/>
  <c r="DK127" i="5" s="1"/>
  <c r="DJ119" i="5"/>
  <c r="DH119" i="5"/>
  <c r="DH127" i="5" s="1"/>
  <c r="DG119" i="5"/>
  <c r="DG127" i="5" s="1"/>
  <c r="DF119" i="5"/>
  <c r="DF127" i="5" s="1"/>
  <c r="DE119" i="5"/>
  <c r="BT128" i="5"/>
  <c r="BS128" i="5"/>
  <c r="BR128" i="5"/>
  <c r="BQ128" i="5"/>
  <c r="BO128" i="5"/>
  <c r="BN128" i="5"/>
  <c r="BM128" i="5"/>
  <c r="BL128" i="5"/>
  <c r="DW45" i="1"/>
  <c r="DV45" i="1"/>
  <c r="DU45" i="1"/>
  <c r="DT45" i="1"/>
  <c r="DR45" i="1"/>
  <c r="DQ45" i="1"/>
  <c r="DP45" i="1"/>
  <c r="DO45" i="1"/>
  <c r="DM45" i="1"/>
  <c r="DL45" i="1"/>
  <c r="DK45" i="1"/>
  <c r="DJ45" i="1"/>
  <c r="DH45" i="1"/>
  <c r="DG45" i="1"/>
  <c r="DF45" i="1"/>
  <c r="DE45" i="1"/>
  <c r="DC45" i="1"/>
  <c r="DB45" i="1"/>
  <c r="DA45" i="1"/>
  <c r="CZ45" i="1"/>
  <c r="CX45" i="1"/>
  <c r="CW45" i="1"/>
  <c r="CV45" i="1"/>
  <c r="CU45" i="1"/>
  <c r="CS45" i="1"/>
  <c r="CR45" i="1"/>
  <c r="CQ45" i="1"/>
  <c r="CN45" i="1"/>
  <c r="CL45" i="1"/>
  <c r="CK45" i="1"/>
  <c r="FB45" i="1" s="1"/>
  <c r="CI45" i="1"/>
  <c r="CH45" i="1"/>
  <c r="CG45" i="1"/>
  <c r="CF45" i="1"/>
  <c r="CD45" i="1"/>
  <c r="CB45" i="1"/>
  <c r="CA45" i="1"/>
  <c r="DD148" i="6" l="1"/>
  <c r="DE148" i="6"/>
  <c r="DB149" i="6"/>
  <c r="DG144" i="6"/>
  <c r="CX149" i="6"/>
  <c r="DC144" i="6"/>
  <c r="DA149" i="6"/>
  <c r="DF144" i="6"/>
  <c r="CZ137" i="6"/>
  <c r="CY137" i="6"/>
  <c r="DD147" i="6"/>
  <c r="DE147" i="6"/>
  <c r="DD145" i="6"/>
  <c r="DE145" i="6"/>
  <c r="DI119" i="5"/>
  <c r="DE127" i="5"/>
  <c r="DN119" i="5"/>
  <c r="DJ127" i="5"/>
  <c r="DS119" i="5"/>
  <c r="DS127" i="5" s="1"/>
  <c r="DO127" i="5"/>
  <c r="CY388" i="1"/>
  <c r="CZ388" i="1"/>
  <c r="DD387" i="1"/>
  <c r="DE387" i="1"/>
  <c r="DF387" i="1" s="1"/>
  <c r="DG387" i="1" s="1"/>
  <c r="DH387" i="1" s="1"/>
  <c r="DK318" i="1"/>
  <c r="CJ318" i="1"/>
  <c r="DF318" i="1"/>
  <c r="DI318" i="1" s="1"/>
  <c r="DK411" i="1"/>
  <c r="DO411" i="1"/>
  <c r="DG411" i="1"/>
  <c r="DF412" i="1"/>
  <c r="DC411" i="1"/>
  <c r="DC412" i="1" s="1"/>
  <c r="DB412" i="1"/>
  <c r="CO318" i="1"/>
  <c r="CY318" i="1"/>
  <c r="CU149" i="6"/>
  <c r="CZ144" i="6"/>
  <c r="CY144" i="6"/>
  <c r="CT149" i="6"/>
  <c r="CT318" i="1"/>
  <c r="DL318" i="1"/>
  <c r="DP318" i="1"/>
  <c r="DD318" i="1"/>
  <c r="DD316" i="1"/>
  <c r="CE341" i="1"/>
  <c r="CA167" i="1"/>
  <c r="DI45" i="1"/>
  <c r="BT231" i="1"/>
  <c r="BU231" i="1" s="1"/>
  <c r="BU55" i="1"/>
  <c r="BU174" i="1"/>
  <c r="DW53" i="1"/>
  <c r="DV53" i="1"/>
  <c r="DU53" i="1"/>
  <c r="DT53" i="1"/>
  <c r="DR53" i="1"/>
  <c r="DQ53" i="1"/>
  <c r="DP53" i="1"/>
  <c r="DO53" i="1"/>
  <c r="DM53" i="1"/>
  <c r="DL53" i="1"/>
  <c r="DK53" i="1"/>
  <c r="DJ53" i="1"/>
  <c r="DH53" i="1"/>
  <c r="DG53" i="1"/>
  <c r="DF53" i="1"/>
  <c r="DE53" i="1"/>
  <c r="DC53" i="1"/>
  <c r="DB53" i="1"/>
  <c r="DA53" i="1"/>
  <c r="CZ53" i="1"/>
  <c r="CX53" i="1"/>
  <c r="CW53" i="1"/>
  <c r="CV53" i="1"/>
  <c r="CU53" i="1"/>
  <c r="CJ198" i="5"/>
  <c r="CE198" i="5"/>
  <c r="BZ198" i="5"/>
  <c r="BV197" i="5"/>
  <c r="BV196" i="5"/>
  <c r="BW196" i="5" s="1"/>
  <c r="BX196" i="5" s="1"/>
  <c r="BY196" i="5" s="1"/>
  <c r="BZ196" i="5" s="1"/>
  <c r="DI183" i="5"/>
  <c r="DI181" i="5"/>
  <c r="DH179" i="5"/>
  <c r="DG179" i="5"/>
  <c r="DF179" i="5"/>
  <c r="DE179" i="5"/>
  <c r="DI177" i="5"/>
  <c r="DI176" i="5"/>
  <c r="DI175" i="5"/>
  <c r="DH174" i="5"/>
  <c r="DG174" i="5"/>
  <c r="DF174" i="5"/>
  <c r="DE174" i="5"/>
  <c r="DH173" i="5"/>
  <c r="DG173" i="5"/>
  <c r="DF173" i="5"/>
  <c r="DE173" i="5"/>
  <c r="DI172" i="5"/>
  <c r="DI171" i="5"/>
  <c r="DI170" i="5"/>
  <c r="DI164" i="5"/>
  <c r="DD183" i="5"/>
  <c r="DD181" i="5"/>
  <c r="DC179" i="5"/>
  <c r="DB179" i="5"/>
  <c r="DA179" i="5"/>
  <c r="CZ179" i="5"/>
  <c r="DD177" i="5"/>
  <c r="DD176" i="5"/>
  <c r="DD175" i="5"/>
  <c r="DC174" i="5"/>
  <c r="DB174" i="5"/>
  <c r="DA174" i="5"/>
  <c r="CZ174" i="5"/>
  <c r="DC173" i="5"/>
  <c r="DB173" i="5"/>
  <c r="DA173" i="5"/>
  <c r="CZ173" i="5"/>
  <c r="DD172" i="5"/>
  <c r="DD171" i="5"/>
  <c r="DD170" i="5"/>
  <c r="CY183" i="5"/>
  <c r="CY181" i="5"/>
  <c r="CX179" i="5"/>
  <c r="CW179" i="5"/>
  <c r="CV179" i="5"/>
  <c r="CU179" i="5"/>
  <c r="CY177" i="5"/>
  <c r="CY176" i="5"/>
  <c r="CY175" i="5"/>
  <c r="CX174" i="5"/>
  <c r="CW174" i="5"/>
  <c r="CV174" i="5"/>
  <c r="CU174" i="5"/>
  <c r="CX173" i="5"/>
  <c r="CW173" i="5"/>
  <c r="CV173" i="5"/>
  <c r="CU173" i="5"/>
  <c r="CY172" i="5"/>
  <c r="CY171" i="5"/>
  <c r="CY170" i="5"/>
  <c r="CT183" i="5"/>
  <c r="CT181" i="5"/>
  <c r="CS179" i="5"/>
  <c r="CR179" i="5"/>
  <c r="CQ179" i="5"/>
  <c r="CP179" i="5"/>
  <c r="CT177" i="5"/>
  <c r="CT176" i="5"/>
  <c r="CT175" i="5"/>
  <c r="CS174" i="5"/>
  <c r="CR174" i="5"/>
  <c r="CQ174" i="5"/>
  <c r="CP174" i="5"/>
  <c r="CS173" i="5"/>
  <c r="CR173" i="5"/>
  <c r="CQ173" i="5"/>
  <c r="CP173" i="5"/>
  <c r="CT172" i="5"/>
  <c r="CT171" i="5"/>
  <c r="CT170" i="5"/>
  <c r="CO183" i="5"/>
  <c r="CO181" i="5"/>
  <c r="CN179" i="5"/>
  <c r="CM179" i="5"/>
  <c r="CL179" i="5"/>
  <c r="CK179" i="5"/>
  <c r="CO177" i="5"/>
  <c r="CO176" i="5"/>
  <c r="CO175" i="5"/>
  <c r="CN174" i="5"/>
  <c r="CM174" i="5"/>
  <c r="CL174" i="5"/>
  <c r="CK174" i="5"/>
  <c r="CN173" i="5"/>
  <c r="CM173" i="5"/>
  <c r="CL173" i="5"/>
  <c r="CK173" i="5"/>
  <c r="CO172" i="5"/>
  <c r="CO171" i="5"/>
  <c r="CO170" i="5"/>
  <c r="CJ183" i="5"/>
  <c r="CJ181" i="5"/>
  <c r="CI179" i="5"/>
  <c r="CH179" i="5"/>
  <c r="CG179" i="5"/>
  <c r="CF179" i="5"/>
  <c r="CJ177" i="5"/>
  <c r="CJ176" i="5"/>
  <c r="CJ175" i="5"/>
  <c r="CI174" i="5"/>
  <c r="CH174" i="5"/>
  <c r="CG174" i="5"/>
  <c r="CF174" i="5"/>
  <c r="CI173" i="5"/>
  <c r="CH173" i="5"/>
  <c r="CG173" i="5"/>
  <c r="CF173" i="5"/>
  <c r="CJ172" i="5"/>
  <c r="CJ171" i="5"/>
  <c r="CJ170" i="5"/>
  <c r="CE183" i="5"/>
  <c r="CE181" i="5"/>
  <c r="CE180" i="5"/>
  <c r="CE177" i="5"/>
  <c r="CE176" i="5"/>
  <c r="CE175" i="5"/>
  <c r="CE172" i="5"/>
  <c r="CE171" i="5"/>
  <c r="CE170" i="5"/>
  <c r="CD179" i="5"/>
  <c r="CC179" i="5"/>
  <c r="CB179" i="5"/>
  <c r="CD174" i="5"/>
  <c r="CC174" i="5"/>
  <c r="CB174" i="5"/>
  <c r="CD173" i="5"/>
  <c r="CC173" i="5"/>
  <c r="CB173" i="5"/>
  <c r="BZ183" i="5"/>
  <c r="BZ181" i="5"/>
  <c r="BZ180" i="5"/>
  <c r="BZ177" i="5"/>
  <c r="BZ176" i="5"/>
  <c r="BZ175" i="5"/>
  <c r="BY179" i="5"/>
  <c r="BX179" i="5"/>
  <c r="BY174" i="5"/>
  <c r="BX174" i="5"/>
  <c r="BW174" i="5"/>
  <c r="BY173" i="5"/>
  <c r="BX173" i="5"/>
  <c r="BW173" i="5"/>
  <c r="DS150" i="5"/>
  <c r="DS149" i="5"/>
  <c r="DS148" i="5"/>
  <c r="DS144" i="5"/>
  <c r="DS142" i="5"/>
  <c r="DR141" i="5"/>
  <c r="DQ141" i="5"/>
  <c r="DP141" i="5"/>
  <c r="DO141" i="5"/>
  <c r="DS140" i="5"/>
  <c r="DR138" i="5"/>
  <c r="DR132" i="5" s="1"/>
  <c r="DQ138" i="5"/>
  <c r="DQ132" i="5" s="1"/>
  <c r="DP138" i="5"/>
  <c r="DP132" i="5" s="1"/>
  <c r="DO138" i="5"/>
  <c r="DO132" i="5" s="1"/>
  <c r="DS137" i="5"/>
  <c r="DS136" i="5"/>
  <c r="DS135" i="5"/>
  <c r="DN150" i="5"/>
  <c r="DN149" i="5"/>
  <c r="DN148" i="5"/>
  <c r="DN144" i="5"/>
  <c r="DN142" i="5"/>
  <c r="DM141" i="5"/>
  <c r="DL141" i="5"/>
  <c r="DK141" i="5"/>
  <c r="DJ141" i="5"/>
  <c r="DN140" i="5"/>
  <c r="DM138" i="5"/>
  <c r="DM132" i="5" s="1"/>
  <c r="DL138" i="5"/>
  <c r="DL132" i="5" s="1"/>
  <c r="DK138" i="5"/>
  <c r="DK132" i="5" s="1"/>
  <c r="DJ138" i="5"/>
  <c r="DJ132" i="5" s="1"/>
  <c r="DN137" i="5"/>
  <c r="DN136" i="5"/>
  <c r="DN135" i="5"/>
  <c r="DI150" i="5"/>
  <c r="DI149" i="5"/>
  <c r="DI148" i="5"/>
  <c r="DI144" i="5"/>
  <c r="DI142" i="5"/>
  <c r="DH141" i="5"/>
  <c r="DG141" i="5"/>
  <c r="DF141" i="5"/>
  <c r="DE141" i="5"/>
  <c r="DI140" i="5"/>
  <c r="DH138" i="5"/>
  <c r="DH132" i="5" s="1"/>
  <c r="DG138" i="5"/>
  <c r="DG132" i="5" s="1"/>
  <c r="DF138" i="5"/>
  <c r="DF132" i="5" s="1"/>
  <c r="DE138" i="5"/>
  <c r="DE132" i="5" s="1"/>
  <c r="DI137" i="5"/>
  <c r="DI136" i="5"/>
  <c r="DI135" i="5"/>
  <c r="DD150" i="5"/>
  <c r="DD149" i="5"/>
  <c r="DD148" i="5"/>
  <c r="DD144" i="5"/>
  <c r="DD142" i="5"/>
  <c r="DC141" i="5"/>
  <c r="DB141" i="5"/>
  <c r="DA141" i="5"/>
  <c r="CZ141" i="5"/>
  <c r="DD140" i="5"/>
  <c r="DC138" i="5"/>
  <c r="DC132" i="5" s="1"/>
  <c r="DB138" i="5"/>
  <c r="DB132" i="5" s="1"/>
  <c r="DA138" i="5"/>
  <c r="DA132" i="5" s="1"/>
  <c r="CZ138" i="5"/>
  <c r="CZ132" i="5" s="1"/>
  <c r="DD137" i="5"/>
  <c r="DD136" i="5"/>
  <c r="DD135" i="5"/>
  <c r="CY150" i="5"/>
  <c r="CY149" i="5"/>
  <c r="CY148" i="5"/>
  <c r="CY144" i="5"/>
  <c r="CY142" i="5"/>
  <c r="CX141" i="5"/>
  <c r="CW141" i="5"/>
  <c r="CV141" i="5"/>
  <c r="CU141" i="5"/>
  <c r="CY140" i="5"/>
  <c r="CX138" i="5"/>
  <c r="CX132" i="5" s="1"/>
  <c r="CW138" i="5"/>
  <c r="CW132" i="5" s="1"/>
  <c r="CV138" i="5"/>
  <c r="CV132" i="5" s="1"/>
  <c r="CU138" i="5"/>
  <c r="CU132" i="5" s="1"/>
  <c r="CY137" i="5"/>
  <c r="CY136" i="5"/>
  <c r="CY135" i="5"/>
  <c r="CT150" i="5"/>
  <c r="CT149" i="5"/>
  <c r="CT148" i="5"/>
  <c r="CT144" i="5"/>
  <c r="CT142" i="5"/>
  <c r="CS141" i="5"/>
  <c r="CR141" i="5"/>
  <c r="CQ141" i="5"/>
  <c r="CP141" i="5"/>
  <c r="CT140" i="5"/>
  <c r="CS138" i="5"/>
  <c r="CS132" i="5" s="1"/>
  <c r="CR138" i="5"/>
  <c r="CR132" i="5" s="1"/>
  <c r="CQ138" i="5"/>
  <c r="CQ132" i="5" s="1"/>
  <c r="CP138" i="5"/>
  <c r="CP132" i="5" s="1"/>
  <c r="CT137" i="5"/>
  <c r="CT136" i="5"/>
  <c r="CT135" i="5"/>
  <c r="CO150" i="5"/>
  <c r="CO149" i="5"/>
  <c r="CO148" i="5"/>
  <c r="CO144" i="5"/>
  <c r="CO142" i="5"/>
  <c r="CN141" i="5"/>
  <c r="CM141" i="5"/>
  <c r="CL141" i="5"/>
  <c r="CK141" i="5"/>
  <c r="CO140" i="5"/>
  <c r="CN138" i="5"/>
  <c r="CN132" i="5" s="1"/>
  <c r="CM138" i="5"/>
  <c r="CM132" i="5" s="1"/>
  <c r="CL138" i="5"/>
  <c r="CL132" i="5" s="1"/>
  <c r="CK138" i="5"/>
  <c r="CK132" i="5" s="1"/>
  <c r="CO137" i="5"/>
  <c r="CO136" i="5"/>
  <c r="CO135" i="5"/>
  <c r="CJ150" i="5"/>
  <c r="CJ149" i="5"/>
  <c r="CJ148" i="5"/>
  <c r="CJ144" i="5"/>
  <c r="CJ142" i="5"/>
  <c r="CI141" i="5"/>
  <c r="CH141" i="5"/>
  <c r="CG141" i="5"/>
  <c r="CF141" i="5"/>
  <c r="CJ140" i="5"/>
  <c r="CI138" i="5"/>
  <c r="CI132" i="5" s="1"/>
  <c r="CH138" i="5"/>
  <c r="CG138" i="5"/>
  <c r="CF138" i="5"/>
  <c r="CJ137" i="5"/>
  <c r="CJ136" i="5"/>
  <c r="CJ135" i="5"/>
  <c r="CE150" i="5"/>
  <c r="CE149" i="5"/>
  <c r="CE148" i="5"/>
  <c r="CE144" i="5"/>
  <c r="CE142" i="5"/>
  <c r="CD141" i="5"/>
  <c r="CC141" i="5"/>
  <c r="CA141" i="5"/>
  <c r="CE140" i="5"/>
  <c r="CE137" i="5"/>
  <c r="CE136" i="5"/>
  <c r="CE135" i="5"/>
  <c r="EB13" i="6"/>
  <c r="EC13" i="6"/>
  <c r="EB24" i="6"/>
  <c r="DX36" i="6"/>
  <c r="DX35" i="6"/>
  <c r="DX24" i="6"/>
  <c r="DX22" i="6"/>
  <c r="DX21" i="6"/>
  <c r="DX20" i="6"/>
  <c r="DX19" i="6"/>
  <c r="DX18" i="6"/>
  <c r="DT17" i="6"/>
  <c r="DX16" i="6"/>
  <c r="DX15" i="6"/>
  <c r="DX12" i="6"/>
  <c r="DS36" i="6"/>
  <c r="DS35" i="6"/>
  <c r="DS24" i="6"/>
  <c r="DS22" i="6"/>
  <c r="DS21" i="6"/>
  <c r="DS20" i="6"/>
  <c r="DS19" i="6"/>
  <c r="DS18" i="6"/>
  <c r="DO17" i="6"/>
  <c r="DS16" i="6"/>
  <c r="DS15" i="6"/>
  <c r="DS12" i="6"/>
  <c r="DN36" i="6"/>
  <c r="DN35" i="6"/>
  <c r="DN24" i="6"/>
  <c r="DN22" i="6"/>
  <c r="DN21" i="6"/>
  <c r="DN20" i="6"/>
  <c r="DN19" i="6"/>
  <c r="DN18" i="6"/>
  <c r="DJ17" i="6"/>
  <c r="DN16" i="6"/>
  <c r="DN15" i="6"/>
  <c r="DN12" i="6"/>
  <c r="DI36" i="6"/>
  <c r="DI35" i="6"/>
  <c r="DI24" i="6"/>
  <c r="DI22" i="6"/>
  <c r="DI21" i="6"/>
  <c r="DI20" i="6"/>
  <c r="DI19" i="6"/>
  <c r="DI18" i="6"/>
  <c r="DE17" i="6"/>
  <c r="DI16" i="6"/>
  <c r="DI15" i="6"/>
  <c r="DI12" i="6"/>
  <c r="DD36" i="6"/>
  <c r="DD35" i="6"/>
  <c r="DD24" i="6"/>
  <c r="DD22" i="6"/>
  <c r="DD21" i="6"/>
  <c r="DD20" i="6"/>
  <c r="DD19" i="6"/>
  <c r="DD18" i="6"/>
  <c r="CZ17" i="6"/>
  <c r="DD16" i="6"/>
  <c r="DD15" i="6"/>
  <c r="DD12" i="6"/>
  <c r="CY36" i="6"/>
  <c r="CY35" i="6"/>
  <c r="CY24" i="6"/>
  <c r="CY22" i="6"/>
  <c r="CY21" i="6"/>
  <c r="CY20" i="6"/>
  <c r="CY19" i="6"/>
  <c r="CY18" i="6"/>
  <c r="CU17" i="6"/>
  <c r="CY16" i="6"/>
  <c r="CY15" i="6"/>
  <c r="CY12" i="6"/>
  <c r="CT36" i="6"/>
  <c r="CT35" i="6"/>
  <c r="CT24" i="6"/>
  <c r="CT22" i="6"/>
  <c r="CT21" i="6"/>
  <c r="CT20" i="6"/>
  <c r="CT19" i="6"/>
  <c r="CT18" i="6"/>
  <c r="CP17" i="6"/>
  <c r="CT16" i="6"/>
  <c r="CT15" i="6"/>
  <c r="CT12" i="6"/>
  <c r="CO36" i="6"/>
  <c r="CO35" i="6"/>
  <c r="CO24" i="6"/>
  <c r="CO22" i="6"/>
  <c r="CO21" i="6"/>
  <c r="CO20" i="6"/>
  <c r="CO19" i="6"/>
  <c r="CO18" i="6"/>
  <c r="CO16" i="6"/>
  <c r="CO15" i="6"/>
  <c r="CO12" i="6"/>
  <c r="CE35" i="6"/>
  <c r="CE21" i="6"/>
  <c r="CE20" i="6"/>
  <c r="CE18" i="6"/>
  <c r="CE12" i="6"/>
  <c r="DX106" i="6"/>
  <c r="DW106" i="6"/>
  <c r="DV106" i="6"/>
  <c r="DU106" i="6"/>
  <c r="DT106" i="6"/>
  <c r="DW105" i="6"/>
  <c r="DV105" i="6"/>
  <c r="DU105" i="6"/>
  <c r="DT105" i="6"/>
  <c r="DT104" i="6"/>
  <c r="DX73" i="6"/>
  <c r="DX64" i="6"/>
  <c r="DW63" i="6"/>
  <c r="DV63" i="6"/>
  <c r="DU63" i="6"/>
  <c r="DX62" i="6"/>
  <c r="DX61" i="6"/>
  <c r="DX59" i="6"/>
  <c r="DX57" i="6"/>
  <c r="DX52" i="6"/>
  <c r="DX51" i="6"/>
  <c r="DX47" i="6"/>
  <c r="DX46" i="6"/>
  <c r="DX45" i="6"/>
  <c r="DX42" i="6"/>
  <c r="DX41" i="6"/>
  <c r="DX7" i="6"/>
  <c r="DW7" i="6"/>
  <c r="DV7" i="6"/>
  <c r="DU7" i="6"/>
  <c r="DT7" i="6"/>
  <c r="DW6" i="6"/>
  <c r="DV6" i="6"/>
  <c r="DU6" i="6"/>
  <c r="DT6" i="6"/>
  <c r="BT222" i="5"/>
  <c r="DW58" i="6"/>
  <c r="DV58" i="6"/>
  <c r="DU58" i="6"/>
  <c r="DW13" i="6"/>
  <c r="DV13" i="6"/>
  <c r="DU13" i="6"/>
  <c r="BY123" i="5"/>
  <c r="BX123" i="5"/>
  <c r="BW123" i="5"/>
  <c r="BY122" i="5"/>
  <c r="BX122" i="5"/>
  <c r="BW122" i="5"/>
  <c r="BY121" i="5"/>
  <c r="BX121" i="5"/>
  <c r="BW121" i="5"/>
  <c r="BW105" i="6"/>
  <c r="BZ126" i="5"/>
  <c r="BZ125" i="5"/>
  <c r="BZ124" i="5"/>
  <c r="DC112" i="5"/>
  <c r="DB112" i="5"/>
  <c r="DB127" i="5" s="1"/>
  <c r="DA112" i="5"/>
  <c r="DA127" i="5" s="1"/>
  <c r="CZ112" i="5"/>
  <c r="DB111" i="5"/>
  <c r="CX112" i="5"/>
  <c r="CW112" i="5"/>
  <c r="CW127" i="5" s="1"/>
  <c r="CV112" i="5"/>
  <c r="CV127" i="5" s="1"/>
  <c r="CU112" i="5"/>
  <c r="CU127" i="5" s="1"/>
  <c r="CS112" i="5"/>
  <c r="CR112" i="5"/>
  <c r="CQ112" i="5"/>
  <c r="CQ127" i="5" s="1"/>
  <c r="CP112" i="5"/>
  <c r="CN112" i="5"/>
  <c r="CM112" i="5"/>
  <c r="CM127" i="5" s="1"/>
  <c r="CL112" i="5"/>
  <c r="CK112" i="5"/>
  <c r="CJ113" i="5"/>
  <c r="CI112" i="5"/>
  <c r="CH112" i="5"/>
  <c r="CH111" i="5" s="1"/>
  <c r="CH127" i="5" s="1"/>
  <c r="CG112" i="5"/>
  <c r="CF112" i="5"/>
  <c r="CE113" i="5"/>
  <c r="CD111" i="5"/>
  <c r="CD127" i="5" s="1"/>
  <c r="CC111" i="5"/>
  <c r="CC127" i="5" s="1"/>
  <c r="CB111" i="5"/>
  <c r="CB127" i="5" s="1"/>
  <c r="BY112" i="5"/>
  <c r="BY111" i="5" s="1"/>
  <c r="BX112" i="5"/>
  <c r="BX111" i="5" s="1"/>
  <c r="BW112" i="5"/>
  <c r="BV112" i="5"/>
  <c r="BZ150" i="5"/>
  <c r="BZ149" i="5"/>
  <c r="BZ148" i="5"/>
  <c r="BZ142" i="5"/>
  <c r="BZ140" i="5"/>
  <c r="BZ137" i="5"/>
  <c r="BZ136" i="5"/>
  <c r="BZ135" i="5"/>
  <c r="BY141" i="5"/>
  <c r="BX141" i="5"/>
  <c r="BW141" i="5"/>
  <c r="BY138" i="5"/>
  <c r="BW138" i="5"/>
  <c r="DN116" i="5"/>
  <c r="DI116" i="5"/>
  <c r="CE116" i="5"/>
  <c r="BS159" i="5"/>
  <c r="BT108" i="5"/>
  <c r="BT107" i="5"/>
  <c r="BS107" i="5"/>
  <c r="BT73" i="5"/>
  <c r="BT72" i="5"/>
  <c r="DN127" i="5" l="1"/>
  <c r="DW94" i="6"/>
  <c r="CG111" i="5"/>
  <c r="CG127" i="5"/>
  <c r="DU99" i="6"/>
  <c r="DU94" i="6"/>
  <c r="CO17" i="6"/>
  <c r="CT17" i="6"/>
  <c r="CY17" i="6"/>
  <c r="DD17" i="6"/>
  <c r="DI17" i="6"/>
  <c r="DN17" i="6"/>
  <c r="DS17" i="6"/>
  <c r="DX17" i="6"/>
  <c r="DV94" i="6"/>
  <c r="CA196" i="5"/>
  <c r="CB196" i="5" s="1"/>
  <c r="CC196" i="5" s="1"/>
  <c r="CD196" i="5" s="1"/>
  <c r="CE196" i="5" s="1"/>
  <c r="CF196" i="5" s="1"/>
  <c r="CG196" i="5" s="1"/>
  <c r="CH196" i="5" s="1"/>
  <c r="CI196" i="5" s="1"/>
  <c r="CJ196" i="5" s="1"/>
  <c r="CQ111" i="5"/>
  <c r="DI127" i="5"/>
  <c r="CW111" i="5"/>
  <c r="CV111" i="5"/>
  <c r="DA111" i="5"/>
  <c r="CM111" i="5"/>
  <c r="CN111" i="5"/>
  <c r="CN127" i="5"/>
  <c r="CR111" i="5"/>
  <c r="CR127" i="5"/>
  <c r="CK127" i="5"/>
  <c r="CO127" i="5"/>
  <c r="CS111" i="5"/>
  <c r="CS127" i="5"/>
  <c r="CI111" i="5"/>
  <c r="CI127" i="5"/>
  <c r="CL111" i="5"/>
  <c r="CL127" i="5"/>
  <c r="CP127" i="5"/>
  <c r="CT127" i="5"/>
  <c r="CZ127" i="5"/>
  <c r="CX111" i="5"/>
  <c r="CX127" i="5"/>
  <c r="DI147" i="6"/>
  <c r="DJ147" i="6"/>
  <c r="DF149" i="6"/>
  <c r="DK144" i="6"/>
  <c r="DG149" i="6"/>
  <c r="DL144" i="6"/>
  <c r="DI145" i="6"/>
  <c r="DJ145" i="6"/>
  <c r="DC149" i="6"/>
  <c r="DH144" i="6"/>
  <c r="DI148" i="6"/>
  <c r="DJ148" i="6"/>
  <c r="DD137" i="6"/>
  <c r="DE137" i="6"/>
  <c r="BW197" i="5"/>
  <c r="BW199" i="5" s="1"/>
  <c r="BV199" i="5"/>
  <c r="CE173" i="5"/>
  <c r="CZ389" i="1"/>
  <c r="DA388" i="1"/>
  <c r="DB388" i="1" s="1"/>
  <c r="DC388" i="1" s="1"/>
  <c r="DI387" i="1"/>
  <c r="DJ387" i="1"/>
  <c r="DK387" i="1" s="1"/>
  <c r="DL387" i="1" s="1"/>
  <c r="DM387" i="1" s="1"/>
  <c r="BX127" i="5"/>
  <c r="DM318" i="1"/>
  <c r="DI316" i="1"/>
  <c r="DH411" i="1"/>
  <c r="DH412" i="1" s="1"/>
  <c r="DG412" i="1"/>
  <c r="DP411" i="1"/>
  <c r="DT411" i="1"/>
  <c r="DY411" i="1" s="1"/>
  <c r="DZ411" i="1" s="1"/>
  <c r="DL411" i="1"/>
  <c r="DK412" i="1"/>
  <c r="CU231" i="1"/>
  <c r="CP65" i="6"/>
  <c r="DJ231" i="1"/>
  <c r="DE65" i="6"/>
  <c r="CN65" i="6"/>
  <c r="CX231" i="1"/>
  <c r="CS65" i="6"/>
  <c r="DC231" i="1"/>
  <c r="CX65" i="6"/>
  <c r="DH231" i="1"/>
  <c r="DC65" i="6"/>
  <c r="DM231" i="1"/>
  <c r="DH65" i="6"/>
  <c r="DR231" i="1"/>
  <c r="DM65" i="6"/>
  <c r="DW231" i="1"/>
  <c r="DR65" i="6"/>
  <c r="CA231" i="1"/>
  <c r="CZ231" i="1"/>
  <c r="CU65" i="6"/>
  <c r="DO231" i="1"/>
  <c r="DJ65" i="6"/>
  <c r="CL65" i="6"/>
  <c r="CV231" i="1"/>
  <c r="CQ65" i="6"/>
  <c r="DA231" i="1"/>
  <c r="CV65" i="6"/>
  <c r="DF231" i="1"/>
  <c r="DA65" i="6"/>
  <c r="DK231" i="1"/>
  <c r="DF65" i="6"/>
  <c r="DP231" i="1"/>
  <c r="DK65" i="6"/>
  <c r="DU231" i="1"/>
  <c r="DP65" i="6"/>
  <c r="CK65" i="6"/>
  <c r="DE231" i="1"/>
  <c r="CZ65" i="6"/>
  <c r="DT231" i="1"/>
  <c r="DO65" i="6"/>
  <c r="CM65" i="6"/>
  <c r="CW231" i="1"/>
  <c r="CR65" i="6"/>
  <c r="DB231" i="1"/>
  <c r="CW65" i="6"/>
  <c r="DG231" i="1"/>
  <c r="DB65" i="6"/>
  <c r="DL231" i="1"/>
  <c r="DG65" i="6"/>
  <c r="DQ231" i="1"/>
  <c r="DL65" i="6"/>
  <c r="DV231" i="1"/>
  <c r="DQ65" i="6"/>
  <c r="DW65" i="6"/>
  <c r="DU65" i="6"/>
  <c r="DT65" i="6"/>
  <c r="DV65" i="6"/>
  <c r="CZ149" i="6"/>
  <c r="DE144" i="6"/>
  <c r="DD144" i="6"/>
  <c r="CY149" i="6"/>
  <c r="DX44" i="6"/>
  <c r="DR318" i="1"/>
  <c r="DQ318" i="1"/>
  <c r="DZ318" i="1"/>
  <c r="DZ37" i="1" s="1"/>
  <c r="DU318" i="1"/>
  <c r="DJ318" i="1"/>
  <c r="CJ127" i="5"/>
  <c r="CE179" i="5"/>
  <c r="CF111" i="5"/>
  <c r="CF127" i="5" s="1"/>
  <c r="CE174" i="5"/>
  <c r="CJ179" i="5"/>
  <c r="CY173" i="5"/>
  <c r="CY174" i="5"/>
  <c r="DD179" i="5"/>
  <c r="DI179" i="5"/>
  <c r="CT53" i="1"/>
  <c r="CY53" i="1"/>
  <c r="DD53" i="1"/>
  <c r="DI53" i="1"/>
  <c r="DN53" i="1"/>
  <c r="DS53" i="1"/>
  <c r="DX53" i="1"/>
  <c r="BZ112" i="5"/>
  <c r="CY127" i="5"/>
  <c r="CO173" i="5"/>
  <c r="CO174" i="5"/>
  <c r="CT179" i="5"/>
  <c r="CT173" i="5"/>
  <c r="CT174" i="5"/>
  <c r="CY179" i="5"/>
  <c r="CJ173" i="5"/>
  <c r="CJ174" i="5"/>
  <c r="CO179" i="5"/>
  <c r="DD173" i="5"/>
  <c r="DD174" i="5"/>
  <c r="DI173" i="5"/>
  <c r="DI174" i="5"/>
  <c r="BY127" i="5"/>
  <c r="CO141" i="5"/>
  <c r="CT138" i="5"/>
  <c r="CT132" i="5" s="1"/>
  <c r="DI141" i="5"/>
  <c r="CJ141" i="5"/>
  <c r="CO138" i="5"/>
  <c r="CO132" i="5" s="1"/>
  <c r="DD141" i="5"/>
  <c r="DI138" i="5"/>
  <c r="DI132" i="5" s="1"/>
  <c r="DS141" i="5"/>
  <c r="CE138" i="5"/>
  <c r="CT141" i="5"/>
  <c r="CY138" i="5"/>
  <c r="CY132" i="5" s="1"/>
  <c r="DN138" i="5"/>
  <c r="DN132" i="5" s="1"/>
  <c r="CE141" i="5"/>
  <c r="CJ138" i="5"/>
  <c r="CJ132" i="5" s="1"/>
  <c r="CY141" i="5"/>
  <c r="DD138" i="5"/>
  <c r="DD132" i="5" s="1"/>
  <c r="DN141" i="5"/>
  <c r="DS138" i="5"/>
  <c r="DS132" i="5" s="1"/>
  <c r="DT58" i="6"/>
  <c r="DT13" i="6"/>
  <c r="DV99" i="6"/>
  <c r="DU179" i="6"/>
  <c r="DW99" i="6"/>
  <c r="DV179" i="6"/>
  <c r="DT94" i="6"/>
  <c r="DW179" i="6"/>
  <c r="BT106" i="5"/>
  <c r="CP111" i="5"/>
  <c r="CT111" i="5" s="1"/>
  <c r="CU111" i="5"/>
  <c r="BV111" i="5"/>
  <c r="CZ111" i="5"/>
  <c r="CK111" i="5"/>
  <c r="CO111" i="5" l="1"/>
  <c r="DX94" i="6"/>
  <c r="DW89" i="6"/>
  <c r="DZ173" i="1"/>
  <c r="DV89" i="6"/>
  <c r="DQ89" i="6"/>
  <c r="DG89" i="6"/>
  <c r="CW89" i="6"/>
  <c r="CM89" i="6"/>
  <c r="DK89" i="6"/>
  <c r="DA89" i="6"/>
  <c r="CQ89" i="6"/>
  <c r="DR89" i="6"/>
  <c r="DH89" i="6"/>
  <c r="CX89" i="6"/>
  <c r="CN89" i="6"/>
  <c r="DX13" i="6"/>
  <c r="CJ111" i="5"/>
  <c r="DT179" i="6"/>
  <c r="DU89" i="6"/>
  <c r="DL89" i="6"/>
  <c r="DB89" i="6"/>
  <c r="CR89" i="6"/>
  <c r="DP89" i="6"/>
  <c r="DF89" i="6"/>
  <c r="CV89" i="6"/>
  <c r="CL89" i="6"/>
  <c r="DM89" i="6"/>
  <c r="DC89" i="6"/>
  <c r="CS89" i="6"/>
  <c r="EA411" i="1"/>
  <c r="ER53" i="1"/>
  <c r="BX197" i="5"/>
  <c r="BY197" i="5" s="1"/>
  <c r="BY199" i="5" s="1"/>
  <c r="DN148" i="6"/>
  <c r="DO148" i="6"/>
  <c r="DN145" i="6"/>
  <c r="DO145" i="6"/>
  <c r="DK149" i="6"/>
  <c r="DP144" i="6"/>
  <c r="DJ137" i="6"/>
  <c r="DI137" i="6"/>
  <c r="DH149" i="6"/>
  <c r="DM144" i="6"/>
  <c r="DL149" i="6"/>
  <c r="DQ144" i="6"/>
  <c r="DN147" i="6"/>
  <c r="DO147" i="6"/>
  <c r="DN387" i="1"/>
  <c r="DO387" i="1"/>
  <c r="DP387" i="1" s="1"/>
  <c r="DQ387" i="1" s="1"/>
  <c r="DR387" i="1" s="1"/>
  <c r="DD388" i="1"/>
  <c r="DE388" i="1"/>
  <c r="DN318" i="1"/>
  <c r="DN316" i="1"/>
  <c r="DU411" i="1"/>
  <c r="DZ412" i="1" s="1"/>
  <c r="DQ411" i="1"/>
  <c r="DP412" i="1"/>
  <c r="DL412" i="1"/>
  <c r="DM411" i="1"/>
  <c r="DM412" i="1" s="1"/>
  <c r="DD231" i="1"/>
  <c r="DX231" i="1"/>
  <c r="DN231" i="1"/>
  <c r="DS231" i="1"/>
  <c r="DI231" i="1"/>
  <c r="CY231" i="1"/>
  <c r="DS65" i="6"/>
  <c r="DO89" i="6"/>
  <c r="CO65" i="6"/>
  <c r="CK89" i="6"/>
  <c r="DN65" i="6"/>
  <c r="DJ89" i="6"/>
  <c r="DI65" i="6"/>
  <c r="DE89" i="6"/>
  <c r="DD65" i="6"/>
  <c r="CZ89" i="6"/>
  <c r="CY65" i="6"/>
  <c r="CU89" i="6"/>
  <c r="CT65" i="6"/>
  <c r="CP89" i="6"/>
  <c r="CB231" i="1"/>
  <c r="DX65" i="6"/>
  <c r="DT89" i="6"/>
  <c r="DE149" i="6"/>
  <c r="DJ144" i="6"/>
  <c r="DI144" i="6"/>
  <c r="DD149" i="6"/>
  <c r="EA318" i="1"/>
  <c r="EA37" i="1" s="1"/>
  <c r="DV318" i="1"/>
  <c r="DW318" i="1"/>
  <c r="EB318" i="1"/>
  <c r="EB37" i="1" s="1"/>
  <c r="DS316" i="1"/>
  <c r="DO318" i="1"/>
  <c r="DS318" i="1" s="1"/>
  <c r="DX58" i="6"/>
  <c r="DT99" i="6"/>
  <c r="CY111" i="5"/>
  <c r="BZ197" i="5" l="1"/>
  <c r="CA197" i="5" s="1"/>
  <c r="CA199" i="5" s="1"/>
  <c r="DX89" i="6"/>
  <c r="CY89" i="6"/>
  <c r="DI89" i="6"/>
  <c r="CO89" i="6"/>
  <c r="CT89" i="6"/>
  <c r="DD89" i="6"/>
  <c r="DN89" i="6"/>
  <c r="DS89" i="6"/>
  <c r="DY318" i="1"/>
  <c r="EC316" i="1"/>
  <c r="EB173" i="1"/>
  <c r="BX199" i="5"/>
  <c r="CC53" i="1" s="1"/>
  <c r="EA173" i="1"/>
  <c r="EB411" i="1"/>
  <c r="DQ149" i="6"/>
  <c r="DV144" i="6"/>
  <c r="DV149" i="6" s="1"/>
  <c r="DS145" i="6"/>
  <c r="DT145" i="6"/>
  <c r="DX145" i="6" s="1"/>
  <c r="DO137" i="6"/>
  <c r="DN137" i="6"/>
  <c r="DS147" i="6"/>
  <c r="DT147" i="6"/>
  <c r="DX147" i="6" s="1"/>
  <c r="DM149" i="6"/>
  <c r="DR144" i="6"/>
  <c r="DP149" i="6"/>
  <c r="DU144" i="6"/>
  <c r="DU149" i="6" s="1"/>
  <c r="DS148" i="6"/>
  <c r="DT148" i="6"/>
  <c r="DX148" i="6" s="1"/>
  <c r="DX99" i="6"/>
  <c r="DS387" i="1"/>
  <c r="DT387" i="1"/>
  <c r="DE389" i="1"/>
  <c r="DF388" i="1"/>
  <c r="DG388" i="1" s="1"/>
  <c r="DH388" i="1" s="1"/>
  <c r="DR411" i="1"/>
  <c r="DR412" i="1" s="1"/>
  <c r="DQ412" i="1"/>
  <c r="DU104" i="6"/>
  <c r="DV411" i="1"/>
  <c r="EA412" i="1" s="1"/>
  <c r="DU412" i="1"/>
  <c r="DJ149" i="6"/>
  <c r="DO144" i="6"/>
  <c r="DN144" i="6"/>
  <c r="DI149" i="6"/>
  <c r="DT318" i="1"/>
  <c r="DX318" i="1" s="1"/>
  <c r="DX316" i="1"/>
  <c r="CB197" i="5"/>
  <c r="CB199" i="5" s="1"/>
  <c r="BZ199" i="5"/>
  <c r="CD53" i="1"/>
  <c r="DX179" i="6"/>
  <c r="CC231" i="1" l="1"/>
  <c r="DY37" i="1"/>
  <c r="EC318" i="1"/>
  <c r="DR149" i="6"/>
  <c r="DW144" i="6"/>
  <c r="DW149" i="6" s="1"/>
  <c r="DT137" i="6"/>
  <c r="DX137" i="6" s="1"/>
  <c r="DS137" i="6"/>
  <c r="DU387" i="1"/>
  <c r="DV387" i="1" s="1"/>
  <c r="DW387" i="1" s="1"/>
  <c r="DY387" i="1" s="1"/>
  <c r="DI388" i="1"/>
  <c r="DJ388" i="1"/>
  <c r="DV104" i="6"/>
  <c r="DW411" i="1"/>
  <c r="DW412" i="1" s="1"/>
  <c r="DV412" i="1"/>
  <c r="DO149" i="6"/>
  <c r="DT144" i="6"/>
  <c r="DS144" i="6"/>
  <c r="DN149" i="6"/>
  <c r="CD231" i="1"/>
  <c r="CE53" i="1"/>
  <c r="CC197" i="5"/>
  <c r="CC199" i="5" s="1"/>
  <c r="CG53" i="1"/>
  <c r="DX36" i="1"/>
  <c r="DX35" i="1"/>
  <c r="DS36" i="1"/>
  <c r="DS35" i="1"/>
  <c r="DN36" i="1"/>
  <c r="DN35" i="1"/>
  <c r="DI36" i="1"/>
  <c r="DI35" i="1"/>
  <c r="DD36" i="1"/>
  <c r="DD35" i="1"/>
  <c r="CY36" i="1"/>
  <c r="CY35" i="1"/>
  <c r="CT36" i="1"/>
  <c r="CT35" i="1"/>
  <c r="CO36" i="1"/>
  <c r="CO35" i="1"/>
  <c r="CJ36" i="1"/>
  <c r="CJ35" i="1"/>
  <c r="CE231" i="1" l="1"/>
  <c r="EQ35" i="1"/>
  <c r="ER36" i="1"/>
  <c r="EQ36" i="1"/>
  <c r="ER35" i="1"/>
  <c r="DY173" i="1"/>
  <c r="EC173" i="1" s="1"/>
  <c r="EC37" i="1"/>
  <c r="DZ387" i="1"/>
  <c r="EA387" i="1" s="1"/>
  <c r="EB387" i="1" s="1"/>
  <c r="EC387" i="1" s="1"/>
  <c r="EB412" i="1"/>
  <c r="DW104" i="6" s="1"/>
  <c r="DX387" i="1"/>
  <c r="DJ389" i="1"/>
  <c r="DK388" i="1"/>
  <c r="DL388" i="1" s="1"/>
  <c r="DM388" i="1" s="1"/>
  <c r="CG231" i="1"/>
  <c r="DS149" i="6"/>
  <c r="DT149" i="6"/>
  <c r="DX144" i="6"/>
  <c r="CH53" i="1"/>
  <c r="CD197" i="5"/>
  <c r="CD199" i="5" s="1"/>
  <c r="CI53" i="1" s="1"/>
  <c r="CJ37" i="1"/>
  <c r="CC206" i="5"/>
  <c r="CF206" i="5"/>
  <c r="CD206" i="5"/>
  <c r="CG206" i="5"/>
  <c r="BS18" i="1"/>
  <c r="BS20" i="1" s="1"/>
  <c r="BR18" i="1"/>
  <c r="BR20" i="1" s="1"/>
  <c r="BQ18" i="1"/>
  <c r="BT17" i="1"/>
  <c r="BR330" i="1" l="1"/>
  <c r="BS330" i="1"/>
  <c r="BQ20" i="1"/>
  <c r="DN388" i="1"/>
  <c r="DO388" i="1"/>
  <c r="CH231" i="1"/>
  <c r="DX149" i="6"/>
  <c r="CE197" i="5"/>
  <c r="CF197" i="5" s="1"/>
  <c r="CF199" i="5" s="1"/>
  <c r="BQ330" i="1" l="1"/>
  <c r="DO389" i="1"/>
  <c r="DP388" i="1"/>
  <c r="DQ388" i="1" s="1"/>
  <c r="DR388" i="1" s="1"/>
  <c r="CK53" i="1"/>
  <c r="CG197" i="5"/>
  <c r="CG199" i="5" s="1"/>
  <c r="CE199" i="5"/>
  <c r="FB53" i="1" l="1"/>
  <c r="DS388" i="1"/>
  <c r="DT388" i="1"/>
  <c r="CK231" i="1"/>
  <c r="CI231" i="1"/>
  <c r="CJ231" i="1" s="1"/>
  <c r="CJ53" i="1"/>
  <c r="CH197" i="5"/>
  <c r="CH199" i="5" s="1"/>
  <c r="CL53" i="1"/>
  <c r="DU388" i="1" l="1"/>
  <c r="DV388" i="1" s="1"/>
  <c r="DW388" i="1" s="1"/>
  <c r="DY388" i="1" s="1"/>
  <c r="DT389" i="1"/>
  <c r="CL231" i="1"/>
  <c r="CM53" i="1"/>
  <c r="CI197" i="5"/>
  <c r="BU45" i="1"/>
  <c r="BU29" i="1"/>
  <c r="EN29" i="1" s="1"/>
  <c r="BU28" i="1"/>
  <c r="BT164" i="5"/>
  <c r="BT167" i="5"/>
  <c r="BT170" i="5"/>
  <c r="BT185" i="5"/>
  <c r="BT159" i="5" s="1"/>
  <c r="BT183" i="5"/>
  <c r="BT182" i="5"/>
  <c r="BT181" i="5"/>
  <c r="BT180" i="5"/>
  <c r="BT179" i="5"/>
  <c r="BT178" i="5"/>
  <c r="BT177" i="5"/>
  <c r="BT174" i="5"/>
  <c r="BT173" i="5"/>
  <c r="BV141" i="5"/>
  <c r="BZ141" i="5" s="1"/>
  <c r="BV138" i="5"/>
  <c r="BZ138" i="5" s="1"/>
  <c r="DS111" i="5"/>
  <c r="BU82" i="5"/>
  <c r="BU150" i="5"/>
  <c r="BU149" i="5"/>
  <c r="BU148" i="5"/>
  <c r="BU144" i="5"/>
  <c r="BU134" i="5"/>
  <c r="BU101" i="5"/>
  <c r="BT99" i="5"/>
  <c r="BT102" i="5" s="1"/>
  <c r="BU100" i="5"/>
  <c r="BU90" i="5"/>
  <c r="BV90" i="5" s="1"/>
  <c r="BW90" i="5" s="1"/>
  <c r="BY90" i="5" s="1"/>
  <c r="BZ90" i="5" s="1"/>
  <c r="CE90" i="5" s="1"/>
  <c r="CG90" i="5" s="1"/>
  <c r="CH90" i="5" s="1"/>
  <c r="CI90" i="5" s="1"/>
  <c r="CJ90" i="5" s="1"/>
  <c r="CK90" i="5" s="1"/>
  <c r="CL90" i="5" s="1"/>
  <c r="CM90" i="5" s="1"/>
  <c r="CN90" i="5" s="1"/>
  <c r="CO90" i="5" s="1"/>
  <c r="CP90" i="5" s="1"/>
  <c r="CQ90" i="5" s="1"/>
  <c r="CR90" i="5" s="1"/>
  <c r="CS90" i="5" s="1"/>
  <c r="CT90" i="5" s="1"/>
  <c r="CU90" i="5" s="1"/>
  <c r="CV90" i="5" s="1"/>
  <c r="CW90" i="5" s="1"/>
  <c r="CX90" i="5" s="1"/>
  <c r="CY90" i="5" s="1"/>
  <c r="CZ90" i="5" s="1"/>
  <c r="DA90" i="5" s="1"/>
  <c r="DB90" i="5" s="1"/>
  <c r="DC90" i="5" s="1"/>
  <c r="DD90" i="5" s="1"/>
  <c r="DE90" i="5" s="1"/>
  <c r="DF90" i="5" s="1"/>
  <c r="DG90" i="5" s="1"/>
  <c r="DH90" i="5" s="1"/>
  <c r="DI90" i="5" s="1"/>
  <c r="DJ90" i="5" s="1"/>
  <c r="DK90" i="5" s="1"/>
  <c r="DL90" i="5" s="1"/>
  <c r="DM90" i="5" s="1"/>
  <c r="DN90" i="5" s="1"/>
  <c r="DO90" i="5" s="1"/>
  <c r="DP90" i="5" s="1"/>
  <c r="DQ90" i="5" s="1"/>
  <c r="DR90" i="5" s="1"/>
  <c r="DS90" i="5" s="1"/>
  <c r="DT90" i="5" s="1"/>
  <c r="BU88" i="5"/>
  <c r="BU87" i="5"/>
  <c r="BU86" i="5"/>
  <c r="BU83" i="5"/>
  <c r="BU81" i="5"/>
  <c r="DZ388" i="1" l="1"/>
  <c r="EA388" i="1" s="1"/>
  <c r="EB388" i="1" s="1"/>
  <c r="EC388" i="1" s="1"/>
  <c r="DY389" i="1"/>
  <c r="BT28" i="1"/>
  <c r="DX388" i="1"/>
  <c r="DU90" i="5"/>
  <c r="CM231" i="1"/>
  <c r="CG89" i="6"/>
  <c r="CF89" i="6" s="1"/>
  <c r="CJ197" i="5"/>
  <c r="BV82" i="5"/>
  <c r="BV166" i="5" s="1"/>
  <c r="BV171" i="5"/>
  <c r="BZ171" i="5" s="1"/>
  <c r="BV122" i="5"/>
  <c r="BZ122" i="5" s="1"/>
  <c r="BV170" i="5"/>
  <c r="BZ170" i="5" s="1"/>
  <c r="BV121" i="5"/>
  <c r="BV172" i="5"/>
  <c r="BZ172" i="5" s="1"/>
  <c r="BV123" i="5"/>
  <c r="BZ123" i="5" s="1"/>
  <c r="BV83" i="5"/>
  <c r="BT45" i="1"/>
  <c r="BV81" i="5"/>
  <c r="BU427" i="1"/>
  <c r="BU426" i="1"/>
  <c r="BU425" i="1"/>
  <c r="BU422" i="1"/>
  <c r="BZ428" i="1" s="1"/>
  <c r="BT421" i="1"/>
  <c r="BY427" i="1" s="1"/>
  <c r="BT420" i="1"/>
  <c r="BY426" i="1" s="1"/>
  <c r="BT419" i="1"/>
  <c r="BY425" i="1" s="1"/>
  <c r="BU205" i="5"/>
  <c r="BT206" i="5"/>
  <c r="BT103" i="6"/>
  <c r="BQ27" i="6"/>
  <c r="BU27" i="6"/>
  <c r="BU38" i="6" s="1"/>
  <c r="BU150" i="1" s="1"/>
  <c r="BU152" i="1" s="1"/>
  <c r="BT61" i="6"/>
  <c r="BT60" i="6"/>
  <c r="BT59" i="6"/>
  <c r="BU57" i="6"/>
  <c r="BT57" i="6" s="1"/>
  <c r="BT52" i="6"/>
  <c r="BT51" i="6"/>
  <c r="BT50" i="6"/>
  <c r="BT42" i="6"/>
  <c r="BT41" i="6"/>
  <c r="EJ50" i="6"/>
  <c r="BQ38" i="6"/>
  <c r="BQ150" i="1" s="1"/>
  <c r="BQ152" i="1" s="1"/>
  <c r="BT29" i="6"/>
  <c r="BT35" i="6"/>
  <c r="BT25" i="6"/>
  <c r="BT12" i="6"/>
  <c r="CH89" i="6" l="1"/>
  <c r="BT30" i="1"/>
  <c r="BT210" i="5" s="1"/>
  <c r="DV90" i="5"/>
  <c r="CJ199" i="5"/>
  <c r="BW82" i="5"/>
  <c r="BW166" i="5" s="1"/>
  <c r="BW83" i="5"/>
  <c r="BW167" i="5" s="1"/>
  <c r="BV167" i="5"/>
  <c r="BV164" i="5"/>
  <c r="BV127" i="5"/>
  <c r="BZ121" i="5"/>
  <c r="BT422" i="1"/>
  <c r="BY428" i="1" s="1"/>
  <c r="BU45" i="5"/>
  <c r="BZ45" i="5" s="1"/>
  <c r="BU29" i="5"/>
  <c r="BZ29" i="5" s="1"/>
  <c r="BU30" i="5"/>
  <c r="BU28" i="5"/>
  <c r="BU11" i="5"/>
  <c r="BU14" i="5"/>
  <c r="BZ14" i="5" s="1"/>
  <c r="BU306" i="1"/>
  <c r="BU304" i="1"/>
  <c r="BS307" i="1"/>
  <c r="CE14" i="5" l="1"/>
  <c r="CE45" i="5"/>
  <c r="CE29" i="5"/>
  <c r="BU30" i="1"/>
  <c r="BV217" i="5"/>
  <c r="DW90" i="5"/>
  <c r="CN231" i="1"/>
  <c r="CO231" i="1" s="1"/>
  <c r="CO53" i="1"/>
  <c r="BX82" i="5"/>
  <c r="BX83" i="5"/>
  <c r="BX144" i="5" s="1"/>
  <c r="BZ144" i="5" s="1"/>
  <c r="BT430" i="1"/>
  <c r="BT217" i="5" l="1"/>
  <c r="BU210" i="5"/>
  <c r="EQ53" i="1"/>
  <c r="DX90" i="5"/>
  <c r="BY82" i="5"/>
  <c r="BZ82" i="5" s="1"/>
  <c r="CA82" i="5" s="1"/>
  <c r="BY83" i="5"/>
  <c r="BZ83" i="5" s="1"/>
  <c r="BW11" i="5"/>
  <c r="BW29" i="6" l="1"/>
  <c r="BZ166" i="5"/>
  <c r="BY167" i="5"/>
  <c r="BZ167" i="5" s="1"/>
  <c r="BX11" i="5"/>
  <c r="CJ29" i="5" l="1"/>
  <c r="CJ45" i="5"/>
  <c r="CJ14" i="5"/>
  <c r="BK151" i="6"/>
  <c r="BA151" i="6"/>
  <c r="CB82" i="5"/>
  <c r="BY11" i="5"/>
  <c r="DX105" i="6"/>
  <c r="BZ11" i="5" l="1"/>
  <c r="DX6" i="5"/>
  <c r="BF151" i="6"/>
  <c r="CP292" i="1"/>
  <c r="CS292" i="1"/>
  <c r="CR292" i="1"/>
  <c r="CQ292" i="1"/>
  <c r="DX6" i="6"/>
  <c r="CC82" i="5"/>
  <c r="CL29" i="5" l="1"/>
  <c r="CL45" i="5"/>
  <c r="CL14" i="5"/>
  <c r="CU292" i="1"/>
  <c r="CX292" i="1"/>
  <c r="CV292" i="1"/>
  <c r="CW292" i="1"/>
  <c r="CE83" i="5"/>
  <c r="CD82" i="5"/>
  <c r="CE82" i="5" s="1"/>
  <c r="CM45" i="5" l="1"/>
  <c r="CM14" i="5"/>
  <c r="CM29" i="5"/>
  <c r="CZ292" i="1"/>
  <c r="DB292" i="1"/>
  <c r="DC292" i="1"/>
  <c r="DA292" i="1"/>
  <c r="CE166" i="5"/>
  <c r="CF82" i="5"/>
  <c r="CD167" i="5"/>
  <c r="CE167" i="5" s="1"/>
  <c r="CF83" i="5"/>
  <c r="CF167" i="5" s="1"/>
  <c r="CC11" i="5"/>
  <c r="EO141" i="1"/>
  <c r="EK142" i="1"/>
  <c r="EO140" i="1"/>
  <c r="ER140" i="1"/>
  <c r="EJ142" i="1"/>
  <c r="EL142" i="1"/>
  <c r="EM142" i="1"/>
  <c r="BR331" i="1"/>
  <c r="BQ331" i="1"/>
  <c r="BS331" i="1"/>
  <c r="BT364" i="1"/>
  <c r="BY365" i="1" s="1"/>
  <c r="BT332" i="1"/>
  <c r="BL308" i="1"/>
  <c r="EE38" i="1"/>
  <c r="EF38" i="1"/>
  <c r="EG38" i="1"/>
  <c r="EH38" i="1"/>
  <c r="BS37" i="1"/>
  <c r="BR37" i="1"/>
  <c r="BQ37" i="1"/>
  <c r="BO37" i="1"/>
  <c r="BN37" i="1"/>
  <c r="BM37" i="1"/>
  <c r="BL37" i="1"/>
  <c r="BJ37" i="1"/>
  <c r="BI37" i="1"/>
  <c r="BH37" i="1"/>
  <c r="BG37" i="1"/>
  <c r="BE37" i="1"/>
  <c r="BE173" i="1" s="1"/>
  <c r="BD37" i="1"/>
  <c r="BD173" i="1" s="1"/>
  <c r="BC37" i="1"/>
  <c r="BC173" i="1" s="1"/>
  <c r="BB37" i="1"/>
  <c r="BB173" i="1" s="1"/>
  <c r="DX315" i="1"/>
  <c r="DS315" i="1"/>
  <c r="DN315" i="1"/>
  <c r="DI315" i="1"/>
  <c r="DD315" i="1"/>
  <c r="CY315" i="1"/>
  <c r="CT315" i="1"/>
  <c r="CO315" i="1"/>
  <c r="CJ315" i="1"/>
  <c r="CE315" i="1"/>
  <c r="DX314" i="1"/>
  <c r="DS314" i="1"/>
  <c r="DN314" i="1"/>
  <c r="DI314" i="1"/>
  <c r="DD314" i="1"/>
  <c r="CY314" i="1"/>
  <c r="CT314" i="1"/>
  <c r="CO314" i="1"/>
  <c r="CJ314" i="1"/>
  <c r="CE314" i="1"/>
  <c r="DX313" i="1"/>
  <c r="DS313" i="1"/>
  <c r="DN313" i="1"/>
  <c r="DI313" i="1"/>
  <c r="DD313" i="1"/>
  <c r="CY313" i="1"/>
  <c r="CT313" i="1"/>
  <c r="CO313" i="1"/>
  <c r="CJ313" i="1"/>
  <c r="CE313" i="1"/>
  <c r="DX312" i="1"/>
  <c r="DS312" i="1"/>
  <c r="DN312" i="1"/>
  <c r="DI312" i="1"/>
  <c r="DD312" i="1"/>
  <c r="CY312" i="1"/>
  <c r="CT312" i="1"/>
  <c r="CO312" i="1"/>
  <c r="CJ312" i="1"/>
  <c r="CE312" i="1"/>
  <c r="DX311" i="1"/>
  <c r="DS311" i="1"/>
  <c r="DN311" i="1"/>
  <c r="DI311" i="1"/>
  <c r="DD311" i="1"/>
  <c r="CY311" i="1"/>
  <c r="CT311" i="1"/>
  <c r="CO311" i="1"/>
  <c r="CJ311" i="1"/>
  <c r="CE311" i="1"/>
  <c r="CE318" i="1"/>
  <c r="BT368" i="1"/>
  <c r="BT366" i="1"/>
  <c r="BY367" i="1" s="1"/>
  <c r="BU54" i="1"/>
  <c r="BU53" i="1"/>
  <c r="CN14" i="5" l="1"/>
  <c r="CN29" i="5"/>
  <c r="CN45" i="5"/>
  <c r="ER141" i="1"/>
  <c r="EQ140" i="1"/>
  <c r="EQ141" i="1"/>
  <c r="BG173" i="1"/>
  <c r="BL173" i="1"/>
  <c r="BH173" i="1"/>
  <c r="BI173" i="1"/>
  <c r="BO173" i="1"/>
  <c r="EP140" i="1"/>
  <c r="EP141" i="1"/>
  <c r="BT355" i="1"/>
  <c r="BY357" i="1" s="1"/>
  <c r="BY369" i="1"/>
  <c r="CE173" i="1"/>
  <c r="CF166" i="5"/>
  <c r="CF165" i="5"/>
  <c r="BN173" i="1"/>
  <c r="BS173" i="1"/>
  <c r="BJ173" i="1"/>
  <c r="BF173" i="1"/>
  <c r="BQ173" i="1"/>
  <c r="BM173" i="1"/>
  <c r="BR173" i="1"/>
  <c r="DE292" i="1"/>
  <c r="DH292" i="1"/>
  <c r="DF292" i="1"/>
  <c r="DG292" i="1"/>
  <c r="BV206" i="5"/>
  <c r="BV205" i="5" s="1"/>
  <c r="BS332" i="1"/>
  <c r="CU37" i="1"/>
  <c r="BW206" i="5"/>
  <c r="BU331" i="1"/>
  <c r="CQ37" i="1"/>
  <c r="BX206" i="5"/>
  <c r="BR332" i="1"/>
  <c r="BY206" i="5"/>
  <c r="CG83" i="5"/>
  <c r="CG82" i="5"/>
  <c r="CG165" i="5" s="1"/>
  <c r="CD11" i="5"/>
  <c r="CC29" i="6"/>
  <c r="BQ332" i="1"/>
  <c r="BP37" i="1"/>
  <c r="CE37" i="1"/>
  <c r="BK37" i="1"/>
  <c r="BF37" i="1"/>
  <c r="CZ37" i="1"/>
  <c r="CG167" i="5" l="1"/>
  <c r="CH83" i="5"/>
  <c r="CE11" i="5"/>
  <c r="CO29" i="5"/>
  <c r="CZ173" i="1"/>
  <c r="CC27" i="6"/>
  <c r="CU173" i="1"/>
  <c r="CO45" i="5"/>
  <c r="CO14" i="5"/>
  <c r="BK173" i="1"/>
  <c r="BP173" i="1"/>
  <c r="DJ292" i="1"/>
  <c r="DK292" i="1"/>
  <c r="DL292" i="1"/>
  <c r="DM292" i="1"/>
  <c r="BU332" i="1"/>
  <c r="CD29" i="6"/>
  <c r="CR37" i="1"/>
  <c r="CL14" i="6"/>
  <c r="CL206" i="5"/>
  <c r="CV37" i="1"/>
  <c r="CK206" i="5"/>
  <c r="CP14" i="6"/>
  <c r="CP206" i="5"/>
  <c r="BW205" i="5"/>
  <c r="BX205" i="5" s="1"/>
  <c r="BY205" i="5" s="1"/>
  <c r="BZ205" i="5" s="1"/>
  <c r="CA205" i="5" s="1"/>
  <c r="CB205" i="5" s="1"/>
  <c r="CI206" i="5"/>
  <c r="CU14" i="6"/>
  <c r="CU206" i="5"/>
  <c r="CH206" i="5"/>
  <c r="CO37" i="1"/>
  <c r="CS37" i="1"/>
  <c r="CH82" i="5"/>
  <c r="CH165" i="5" s="1"/>
  <c r="CG166" i="5"/>
  <c r="DE37" i="1"/>
  <c r="CF11" i="5" l="1"/>
  <c r="CI167" i="5"/>
  <c r="CI83" i="5"/>
  <c r="CH167" i="5"/>
  <c r="CO173" i="1"/>
  <c r="CF29" i="6"/>
  <c r="CS173" i="1"/>
  <c r="CR173" i="1"/>
  <c r="CP45" i="5"/>
  <c r="DE173" i="1"/>
  <c r="CV173" i="1"/>
  <c r="CE29" i="6"/>
  <c r="CP14" i="5"/>
  <c r="CP29" i="5"/>
  <c r="CH166" i="5"/>
  <c r="CI82" i="5"/>
  <c r="BC122" i="1"/>
  <c r="BR122" i="1"/>
  <c r="BD122" i="1"/>
  <c r="CT37" i="1"/>
  <c r="CZ14" i="6"/>
  <c r="CZ206" i="5"/>
  <c r="CN14" i="6"/>
  <c r="CN206" i="5"/>
  <c r="BZ206" i="5"/>
  <c r="CC205" i="5"/>
  <c r="CD205" i="5" s="1"/>
  <c r="CE205" i="5" s="1"/>
  <c r="CQ14" i="6"/>
  <c r="CQ206" i="5"/>
  <c r="CM14" i="6"/>
  <c r="CM206" i="5"/>
  <c r="CX37" i="1"/>
  <c r="DA37" i="1"/>
  <c r="CW37" i="1"/>
  <c r="CJ83" i="5"/>
  <c r="BL122" i="1"/>
  <c r="DJ37" i="1"/>
  <c r="CG11" i="5" l="1"/>
  <c r="CT173" i="1"/>
  <c r="CX173" i="1"/>
  <c r="CQ45" i="5"/>
  <c r="CQ14" i="5"/>
  <c r="DJ173" i="1"/>
  <c r="CW173" i="1"/>
  <c r="DA173" i="1"/>
  <c r="CQ29" i="5"/>
  <c r="CF27" i="6"/>
  <c r="CI165" i="5"/>
  <c r="CJ165" i="5" s="1"/>
  <c r="CJ82" i="5"/>
  <c r="BH122" i="1"/>
  <c r="BO122" i="1"/>
  <c r="BB122" i="1"/>
  <c r="BG122" i="1"/>
  <c r="BQ122" i="1"/>
  <c r="BM122" i="1"/>
  <c r="BI122" i="1"/>
  <c r="CO14" i="6"/>
  <c r="DE14" i="6"/>
  <c r="DE206" i="5"/>
  <c r="CR14" i="6"/>
  <c r="CR206" i="5"/>
  <c r="CY37" i="1"/>
  <c r="DB37" i="1"/>
  <c r="DC37" i="1"/>
  <c r="CV14" i="6"/>
  <c r="CV206" i="5"/>
  <c r="CE206" i="5"/>
  <c r="CF205" i="5"/>
  <c r="CG205" i="5" s="1"/>
  <c r="CH205" i="5" s="1"/>
  <c r="CI205" i="5" s="1"/>
  <c r="CJ205" i="5" s="1"/>
  <c r="DF37" i="1"/>
  <c r="CS14" i="6"/>
  <c r="CS206" i="5"/>
  <c r="CJ167" i="5"/>
  <c r="CI166" i="5"/>
  <c r="CJ166" i="5" s="1"/>
  <c r="CK83" i="5"/>
  <c r="CH11" i="5"/>
  <c r="DO37" i="1"/>
  <c r="BV70" i="1"/>
  <c r="BV69" i="1"/>
  <c r="CF94" i="6"/>
  <c r="BW94" i="6"/>
  <c r="ER136" i="1"/>
  <c r="BQ179" i="6"/>
  <c r="BP179" i="6"/>
  <c r="BL179" i="6"/>
  <c r="BK179" i="6"/>
  <c r="BG179" i="6"/>
  <c r="BB179" i="6"/>
  <c r="AZ179" i="6"/>
  <c r="AY179" i="6"/>
  <c r="BS178" i="6"/>
  <c r="BR178" i="6"/>
  <c r="BQ178" i="6"/>
  <c r="BP178" i="6"/>
  <c r="BN178" i="6"/>
  <c r="BM178" i="6"/>
  <c r="BL178" i="6"/>
  <c r="BK178" i="6"/>
  <c r="BG178" i="6"/>
  <c r="BB178" i="6"/>
  <c r="AZ178" i="6"/>
  <c r="AY178" i="6"/>
  <c r="AK179" i="6"/>
  <c r="AG179" i="6"/>
  <c r="AF179" i="6"/>
  <c r="AB179" i="6"/>
  <c r="AA179" i="6"/>
  <c r="W179" i="6"/>
  <c r="V179" i="6"/>
  <c r="AQ178" i="6"/>
  <c r="AP178" i="6"/>
  <c r="AL178" i="6"/>
  <c r="AK178" i="6"/>
  <c r="AG178" i="6"/>
  <c r="AF178" i="6"/>
  <c r="AB178" i="6"/>
  <c r="AA178" i="6"/>
  <c r="W178" i="6"/>
  <c r="V178" i="6"/>
  <c r="BS158" i="6"/>
  <c r="BR158" i="6"/>
  <c r="BQ158" i="6"/>
  <c r="BP158" i="6"/>
  <c r="BL158" i="6"/>
  <c r="BK158" i="6"/>
  <c r="BG158" i="6"/>
  <c r="BB158" i="6"/>
  <c r="BP137" i="6"/>
  <c r="BK137" i="6"/>
  <c r="BG137" i="6"/>
  <c r="BF137" i="6"/>
  <c r="BB137" i="6"/>
  <c r="AZ137" i="6"/>
  <c r="AY137" i="6"/>
  <c r="AQ137" i="6"/>
  <c r="AP137" i="6"/>
  <c r="AL137" i="6"/>
  <c r="AK137" i="6"/>
  <c r="AG137" i="6"/>
  <c r="AF137" i="6"/>
  <c r="AB137" i="6"/>
  <c r="AA135" i="6"/>
  <c r="AA137" i="6" s="1"/>
  <c r="V135" i="6"/>
  <c r="V137" i="6" s="1"/>
  <c r="BH135" i="6"/>
  <c r="BH134" i="6"/>
  <c r="BI134" i="6" s="1"/>
  <c r="BH133" i="6"/>
  <c r="BI133" i="6" s="1"/>
  <c r="BC135" i="6"/>
  <c r="BD135" i="6" s="1"/>
  <c r="BC134" i="6"/>
  <c r="BD134" i="6" s="1"/>
  <c r="BE134" i="6" s="1"/>
  <c r="BC133" i="6"/>
  <c r="BD133" i="6" s="1"/>
  <c r="AR135" i="6"/>
  <c r="AS135" i="6" s="1"/>
  <c r="AR134" i="6"/>
  <c r="AS134" i="6" s="1"/>
  <c r="AR133" i="6"/>
  <c r="AS133" i="6" s="1"/>
  <c r="AM135" i="6"/>
  <c r="AN135" i="6" s="1"/>
  <c r="AM134" i="6"/>
  <c r="AN134" i="6" s="1"/>
  <c r="AM133" i="6"/>
  <c r="AH135" i="6"/>
  <c r="AI135" i="6" s="1"/>
  <c r="AH134" i="6"/>
  <c r="AI134" i="6" s="1"/>
  <c r="AH133" i="6"/>
  <c r="AI133" i="6" s="1"/>
  <c r="AC135" i="6"/>
  <c r="AD135" i="6" s="1"/>
  <c r="AC134" i="6"/>
  <c r="AD134" i="6" s="1"/>
  <c r="AE134" i="6" s="1"/>
  <c r="AC133" i="6"/>
  <c r="AT131" i="6"/>
  <c r="AT128" i="6"/>
  <c r="AT126" i="6"/>
  <c r="AT125" i="6"/>
  <c r="BL121" i="6"/>
  <c r="BK121" i="6"/>
  <c r="BG121" i="6"/>
  <c r="BF121" i="6"/>
  <c r="BB121" i="6"/>
  <c r="AZ121" i="6"/>
  <c r="AY121" i="6"/>
  <c r="AT120" i="6"/>
  <c r="AP121" i="6"/>
  <c r="AK121" i="6"/>
  <c r="AT115" i="6"/>
  <c r="CE113" i="6"/>
  <c r="BZ113" i="6"/>
  <c r="BU113" i="6"/>
  <c r="BP113" i="6"/>
  <c r="AT113" i="6"/>
  <c r="AT112" i="6"/>
  <c r="BQ120" i="6"/>
  <c r="CE106" i="6"/>
  <c r="DS106" i="6"/>
  <c r="DR106" i="6"/>
  <c r="DQ106" i="6"/>
  <c r="DP106" i="6"/>
  <c r="DO106" i="6"/>
  <c r="DN106" i="6"/>
  <c r="DM106" i="6"/>
  <c r="DL106" i="6"/>
  <c r="DK106" i="6"/>
  <c r="DJ106" i="6"/>
  <c r="DI106" i="6"/>
  <c r="DH106" i="6"/>
  <c r="DG106" i="6"/>
  <c r="DF106" i="6"/>
  <c r="DE106" i="6"/>
  <c r="DD106" i="6"/>
  <c r="DC106" i="6"/>
  <c r="DB106" i="6"/>
  <c r="DA106" i="6"/>
  <c r="CZ106" i="6"/>
  <c r="CY106" i="6"/>
  <c r="CX106" i="6"/>
  <c r="CW106" i="6"/>
  <c r="CV106" i="6"/>
  <c r="CU106" i="6"/>
  <c r="CT106" i="6"/>
  <c r="CS106" i="6"/>
  <c r="CR106" i="6"/>
  <c r="CQ106" i="6"/>
  <c r="CP106" i="6"/>
  <c r="CO106" i="6"/>
  <c r="CN106" i="6"/>
  <c r="CM106" i="6"/>
  <c r="CL106" i="6"/>
  <c r="CK106" i="6"/>
  <c r="CJ106" i="6"/>
  <c r="CI106" i="6"/>
  <c r="CH106" i="6"/>
  <c r="CG106" i="6"/>
  <c r="CF106" i="6"/>
  <c r="DR105" i="6"/>
  <c r="DQ105" i="6"/>
  <c r="DP105" i="6"/>
  <c r="DO105" i="6"/>
  <c r="DM105" i="6"/>
  <c r="DL105" i="6"/>
  <c r="DK105" i="6"/>
  <c r="DJ105" i="6"/>
  <c r="DH105" i="6"/>
  <c r="DG105" i="6"/>
  <c r="DF105" i="6"/>
  <c r="DE105" i="6"/>
  <c r="DC105" i="6"/>
  <c r="DB105" i="6"/>
  <c r="DA105" i="6"/>
  <c r="CZ105" i="6"/>
  <c r="CX105" i="6"/>
  <c r="CW105" i="6"/>
  <c r="CV105" i="6"/>
  <c r="CU105" i="6"/>
  <c r="CS105" i="6"/>
  <c r="CR105" i="6"/>
  <c r="CQ105" i="6"/>
  <c r="CP105" i="6"/>
  <c r="CN105" i="6"/>
  <c r="CM105" i="6"/>
  <c r="CL105" i="6"/>
  <c r="CK105" i="6"/>
  <c r="CI105" i="6"/>
  <c r="CH105" i="6"/>
  <c r="CG105" i="6"/>
  <c r="CF105" i="6"/>
  <c r="DR104" i="6"/>
  <c r="DQ104" i="6"/>
  <c r="DP104" i="6"/>
  <c r="DO104" i="6"/>
  <c r="DM104" i="6"/>
  <c r="DL104" i="6"/>
  <c r="DK104" i="6"/>
  <c r="DJ104" i="6"/>
  <c r="DH104" i="6"/>
  <c r="DG104" i="6"/>
  <c r="DF104" i="6"/>
  <c r="DE104" i="6"/>
  <c r="DC104" i="6"/>
  <c r="DB104" i="6"/>
  <c r="DA104" i="6"/>
  <c r="CZ104" i="6"/>
  <c r="CX104" i="6"/>
  <c r="CW104" i="6"/>
  <c r="CV104" i="6"/>
  <c r="CU104" i="6"/>
  <c r="CP104" i="6"/>
  <c r="CK104" i="6"/>
  <c r="BN108" i="6"/>
  <c r="BM108" i="6"/>
  <c r="BL108" i="6"/>
  <c r="BK108" i="6"/>
  <c r="BJ108" i="6"/>
  <c r="CD106" i="6"/>
  <c r="CC106" i="6"/>
  <c r="CB106" i="6"/>
  <c r="BY106" i="6"/>
  <c r="BX106" i="6"/>
  <c r="BV106" i="6"/>
  <c r="BU106" i="6"/>
  <c r="BT106" i="6"/>
  <c r="BS106" i="6"/>
  <c r="BR106" i="6"/>
  <c r="BQ106" i="6"/>
  <c r="BP106" i="6"/>
  <c r="BO106" i="6"/>
  <c r="BN106" i="6"/>
  <c r="BM106" i="6"/>
  <c r="BL106" i="6"/>
  <c r="BK106" i="6"/>
  <c r="BJ106" i="6"/>
  <c r="CD105" i="6"/>
  <c r="CC105" i="6"/>
  <c r="CB105" i="6"/>
  <c r="BY105" i="6"/>
  <c r="BX105" i="6"/>
  <c r="BV105" i="6"/>
  <c r="BT105" i="6"/>
  <c r="BS105" i="6"/>
  <c r="BR105" i="6"/>
  <c r="BQ105" i="6"/>
  <c r="BO105" i="6"/>
  <c r="BN105" i="6"/>
  <c r="BM105" i="6"/>
  <c r="BL105" i="6"/>
  <c r="BK105" i="6"/>
  <c r="BJ105" i="6"/>
  <c r="BP104" i="6"/>
  <c r="BN104" i="6"/>
  <c r="BM104" i="6"/>
  <c r="BL104" i="6"/>
  <c r="BK104" i="6"/>
  <c r="BJ104" i="6"/>
  <c r="BV103" i="6"/>
  <c r="BS103" i="6"/>
  <c r="BQ103" i="6"/>
  <c r="BO103" i="6"/>
  <c r="BN103" i="6"/>
  <c r="BM103" i="6"/>
  <c r="BL103" i="6"/>
  <c r="BJ103" i="6"/>
  <c r="BK102" i="6"/>
  <c r="BQ99" i="6"/>
  <c r="BP99" i="6"/>
  <c r="BL99" i="6"/>
  <c r="BK99" i="6"/>
  <c r="BG99" i="6"/>
  <c r="BB99" i="6"/>
  <c r="AZ99" i="6"/>
  <c r="AY99" i="6"/>
  <c r="BS98" i="6"/>
  <c r="BR98" i="6"/>
  <c r="BQ98" i="6"/>
  <c r="BP98" i="6"/>
  <c r="BN98" i="6"/>
  <c r="BM98" i="6"/>
  <c r="BL98" i="6"/>
  <c r="BK98" i="6"/>
  <c r="BG98" i="6"/>
  <c r="BB98" i="6"/>
  <c r="AZ98" i="6"/>
  <c r="AY98" i="6"/>
  <c r="BQ97" i="6"/>
  <c r="BP97" i="6"/>
  <c r="BP167" i="6" s="1"/>
  <c r="BL97" i="6"/>
  <c r="BK97" i="6"/>
  <c r="BK167" i="6" s="1"/>
  <c r="BG97" i="6"/>
  <c r="BB97" i="6"/>
  <c r="AZ97" i="6"/>
  <c r="AY97" i="6"/>
  <c r="AK99" i="6"/>
  <c r="AG99" i="6"/>
  <c r="AF99" i="6"/>
  <c r="AB99" i="6"/>
  <c r="AA99" i="6"/>
  <c r="W99" i="6"/>
  <c r="V99" i="6"/>
  <c r="U99" i="6"/>
  <c r="T99" i="6"/>
  <c r="S99" i="6"/>
  <c r="R99" i="6"/>
  <c r="Q99" i="6"/>
  <c r="AQ98" i="6"/>
  <c r="AP98" i="6"/>
  <c r="AL98" i="6"/>
  <c r="AK98" i="6"/>
  <c r="AG98" i="6"/>
  <c r="AF98" i="6"/>
  <c r="AB98" i="6"/>
  <c r="AA98" i="6"/>
  <c r="Y98" i="6"/>
  <c r="X98" i="6"/>
  <c r="W98" i="6"/>
  <c r="V98" i="6"/>
  <c r="U98" i="6"/>
  <c r="T98" i="6"/>
  <c r="S98" i="6"/>
  <c r="R98" i="6"/>
  <c r="Q98" i="6"/>
  <c r="AQ97" i="6"/>
  <c r="AP97" i="6"/>
  <c r="AP167" i="6" s="1"/>
  <c r="AL97" i="6"/>
  <c r="AK97" i="6"/>
  <c r="AK167" i="6" s="1"/>
  <c r="AG97" i="6"/>
  <c r="AF97" i="6"/>
  <c r="AF167" i="6" s="1"/>
  <c r="AC97" i="6"/>
  <c r="AB97" i="6"/>
  <c r="AA97" i="6"/>
  <c r="X97" i="6"/>
  <c r="W97" i="6"/>
  <c r="V97" i="6"/>
  <c r="U97" i="6"/>
  <c r="T97" i="6"/>
  <c r="S97" i="6"/>
  <c r="R97" i="6"/>
  <c r="Q97" i="6"/>
  <c r="BQ94" i="6"/>
  <c r="BP94" i="6"/>
  <c r="BL94" i="6"/>
  <c r="BK94" i="6"/>
  <c r="BG94" i="6"/>
  <c r="BB94" i="6"/>
  <c r="AZ94" i="6"/>
  <c r="AY94" i="6"/>
  <c r="AQ94" i="6"/>
  <c r="AP94" i="6"/>
  <c r="AL94" i="6"/>
  <c r="AK94" i="6"/>
  <c r="AG94" i="6"/>
  <c r="AF94" i="6"/>
  <c r="AB94" i="6"/>
  <c r="AA94" i="6"/>
  <c r="W94" i="6"/>
  <c r="V94" i="6"/>
  <c r="U94" i="6"/>
  <c r="U95" i="6" s="1"/>
  <c r="T94" i="6"/>
  <c r="T95" i="6" s="1"/>
  <c r="S94" i="6"/>
  <c r="S95" i="6" s="1"/>
  <c r="R94" i="6"/>
  <c r="R95" i="6" s="1"/>
  <c r="Q94" i="6"/>
  <c r="U92" i="6"/>
  <c r="T92" i="6"/>
  <c r="S92" i="6"/>
  <c r="R92" i="6"/>
  <c r="Q90" i="6"/>
  <c r="BQ90" i="6"/>
  <c r="BP90" i="6"/>
  <c r="EI90" i="6" s="1"/>
  <c r="BL90" i="6"/>
  <c r="BK90" i="6"/>
  <c r="EH90" i="6" s="1"/>
  <c r="BG90" i="6"/>
  <c r="BB90" i="6"/>
  <c r="AZ90" i="6"/>
  <c r="AY90" i="6"/>
  <c r="AQ90" i="6"/>
  <c r="AP90" i="6"/>
  <c r="AL90" i="6"/>
  <c r="AK90" i="6"/>
  <c r="AG90" i="6"/>
  <c r="AF90" i="6"/>
  <c r="AB90" i="6"/>
  <c r="AA90" i="6"/>
  <c r="W90" i="6"/>
  <c r="V90" i="6"/>
  <c r="EL86" i="6"/>
  <c r="EK86" i="6"/>
  <c r="EJ86" i="6"/>
  <c r="EI86" i="6"/>
  <c r="EH86" i="6"/>
  <c r="EG86" i="6"/>
  <c r="EF86" i="6"/>
  <c r="EE86" i="6"/>
  <c r="ED86" i="6"/>
  <c r="EC86" i="6"/>
  <c r="EB86" i="6"/>
  <c r="BM84" i="6"/>
  <c r="BM83" i="6"/>
  <c r="AR85" i="6"/>
  <c r="AS85" i="6" s="1"/>
  <c r="AR84" i="6"/>
  <c r="AM84" i="6"/>
  <c r="AN84" i="6" s="1"/>
  <c r="AO84" i="6" s="1"/>
  <c r="AH84" i="6"/>
  <c r="AI84" i="6" s="1"/>
  <c r="BH85" i="6"/>
  <c r="BI85" i="6" s="1"/>
  <c r="BH84" i="6"/>
  <c r="BI84" i="6" s="1"/>
  <c r="BH83" i="6"/>
  <c r="BI83" i="6" s="1"/>
  <c r="BC85" i="6"/>
  <c r="BD85" i="6" s="1"/>
  <c r="BC84" i="6"/>
  <c r="BD84" i="6" s="1"/>
  <c r="BC83" i="6"/>
  <c r="BD83" i="6" s="1"/>
  <c r="BR81" i="6"/>
  <c r="BR80" i="6"/>
  <c r="BM81" i="6"/>
  <c r="BM80" i="6"/>
  <c r="BC81" i="6"/>
  <c r="BC80" i="6"/>
  <c r="BH81" i="6"/>
  <c r="BI81" i="6" s="1"/>
  <c r="BH80" i="6"/>
  <c r="BI80" i="6" s="1"/>
  <c r="AR81" i="6"/>
  <c r="AS81" i="6" s="1"/>
  <c r="AR80" i="6"/>
  <c r="AS80" i="6" s="1"/>
  <c r="AT80" i="6" s="1"/>
  <c r="AX80" i="6" s="1"/>
  <c r="AM81" i="6"/>
  <c r="AN81" i="6" s="1"/>
  <c r="AO81" i="6" s="1"/>
  <c r="AM80" i="6"/>
  <c r="AN80" i="6" s="1"/>
  <c r="AO80" i="6" s="1"/>
  <c r="AH81" i="6"/>
  <c r="AI81" i="6" s="1"/>
  <c r="AH80" i="6"/>
  <c r="AI80" i="6" s="1"/>
  <c r="Q75" i="6"/>
  <c r="EI73" i="6"/>
  <c r="EH73" i="6"/>
  <c r="DS73" i="6"/>
  <c r="DN73" i="6"/>
  <c r="DI73" i="6"/>
  <c r="DD73" i="6"/>
  <c r="CY73" i="6"/>
  <c r="CT73" i="6"/>
  <c r="CO73" i="6"/>
  <c r="EL73" i="6"/>
  <c r="EK73" i="6"/>
  <c r="BR73" i="6"/>
  <c r="BM73" i="6"/>
  <c r="BN73" i="6" s="1"/>
  <c r="BO73" i="6" s="1"/>
  <c r="BH73" i="6"/>
  <c r="BI73" i="6" s="1"/>
  <c r="BJ73" i="6" s="1"/>
  <c r="BC73" i="6"/>
  <c r="AR73" i="6"/>
  <c r="AS73" i="6" s="1"/>
  <c r="AT73" i="6" s="1"/>
  <c r="AX73" i="6" s="1"/>
  <c r="AM73" i="6"/>
  <c r="AN73" i="6" s="1"/>
  <c r="AH73" i="6"/>
  <c r="AI73" i="6" s="1"/>
  <c r="AJ73" i="6" s="1"/>
  <c r="AC73" i="6"/>
  <c r="EB73" i="6" s="1"/>
  <c r="BQ71" i="6"/>
  <c r="BL71" i="6"/>
  <c r="BG71" i="6"/>
  <c r="BB71" i="6"/>
  <c r="AY71" i="6"/>
  <c r="AK71" i="6"/>
  <c r="AG71" i="6"/>
  <c r="AB71" i="6"/>
  <c r="AA71" i="6"/>
  <c r="W71" i="6"/>
  <c r="AU69" i="6"/>
  <c r="AU59" i="6"/>
  <c r="BO67" i="6"/>
  <c r="BO98" i="6" s="1"/>
  <c r="BO64" i="6"/>
  <c r="BO61" i="6"/>
  <c r="BO59" i="6"/>
  <c r="BO57" i="6"/>
  <c r="AC67" i="6"/>
  <c r="AC98" i="6" s="1"/>
  <c r="Z67" i="6"/>
  <c r="Z98" i="6" s="1"/>
  <c r="BR66" i="6"/>
  <c r="BR410" i="1" s="1"/>
  <c r="BR415" i="1" s="1"/>
  <c r="BR107" i="6" s="1"/>
  <c r="BM66" i="6"/>
  <c r="BH67" i="6"/>
  <c r="BH98" i="6" s="1"/>
  <c r="BH66" i="6"/>
  <c r="AR67" i="6"/>
  <c r="AR66" i="6"/>
  <c r="AR97" i="6" s="1"/>
  <c r="AM67" i="6"/>
  <c r="AN67" i="6" s="1"/>
  <c r="AN380" i="1" s="1"/>
  <c r="AM66" i="6"/>
  <c r="AH67" i="6"/>
  <c r="AH66" i="6"/>
  <c r="AH97" i="6" s="1"/>
  <c r="Y66" i="6"/>
  <c r="Y97" i="6" s="1"/>
  <c r="DS64" i="6"/>
  <c r="DS62" i="6"/>
  <c r="DS61" i="6"/>
  <c r="DS59" i="6"/>
  <c r="DS57" i="6"/>
  <c r="DN64" i="6"/>
  <c r="DN62" i="6"/>
  <c r="DN61" i="6"/>
  <c r="DN59" i="6"/>
  <c r="DN57" i="6"/>
  <c r="DI64" i="6"/>
  <c r="DI62" i="6"/>
  <c r="DI61" i="6"/>
  <c r="DI59" i="6"/>
  <c r="DI57" i="6"/>
  <c r="DD64" i="6"/>
  <c r="DD62" i="6"/>
  <c r="DD61" i="6"/>
  <c r="DD59" i="6"/>
  <c r="DD57" i="6"/>
  <c r="CY64" i="6"/>
  <c r="CY62" i="6"/>
  <c r="CY61" i="6"/>
  <c r="CY59" i="6"/>
  <c r="CY57" i="6"/>
  <c r="CT64" i="6"/>
  <c r="CT62" i="6"/>
  <c r="CT61" i="6"/>
  <c r="CT59" i="6"/>
  <c r="CT57" i="6"/>
  <c r="CO64" i="6"/>
  <c r="CO62" i="6"/>
  <c r="CO61" i="6"/>
  <c r="CO59" i="6"/>
  <c r="CO57" i="6"/>
  <c r="CE64" i="6"/>
  <c r="CE61" i="6"/>
  <c r="CE59" i="6"/>
  <c r="CE57" i="6"/>
  <c r="EK64" i="6"/>
  <c r="EK62" i="6"/>
  <c r="EK61" i="6"/>
  <c r="EJ61" i="6"/>
  <c r="BH64" i="6"/>
  <c r="BH63" i="6"/>
  <c r="BH62" i="6"/>
  <c r="BI62" i="6" s="1"/>
  <c r="BJ62" i="6" s="1"/>
  <c r="BH61" i="6"/>
  <c r="BI61" i="6" s="1"/>
  <c r="BH59" i="6"/>
  <c r="BI59" i="6" s="1"/>
  <c r="BH58" i="6"/>
  <c r="BH57" i="6"/>
  <c r="BI57" i="6" s="1"/>
  <c r="BJ57" i="6" s="1"/>
  <c r="AT64" i="6"/>
  <c r="AT61" i="6"/>
  <c r="AO64" i="6"/>
  <c r="AO61" i="6"/>
  <c r="EE61" i="6" s="1"/>
  <c r="AJ64" i="6"/>
  <c r="ED64" i="6" s="1"/>
  <c r="AJ61" i="6"/>
  <c r="AD66" i="6"/>
  <c r="AC64" i="6"/>
  <c r="AD64" i="6" s="1"/>
  <c r="X64" i="6"/>
  <c r="X178" i="6" s="1"/>
  <c r="DR63" i="6"/>
  <c r="DQ63" i="6"/>
  <c r="DP63" i="6"/>
  <c r="DM63" i="6"/>
  <c r="DL63" i="6"/>
  <c r="DK63" i="6"/>
  <c r="DH63" i="6"/>
  <c r="DG63" i="6"/>
  <c r="DF63" i="6"/>
  <c r="DC63" i="6"/>
  <c r="DB63" i="6"/>
  <c r="DA63" i="6"/>
  <c r="CX63" i="6"/>
  <c r="CW63" i="6"/>
  <c r="CV63" i="6"/>
  <c r="CS63" i="6"/>
  <c r="CR63" i="6"/>
  <c r="CQ63" i="6"/>
  <c r="CN63" i="6"/>
  <c r="CM63" i="6"/>
  <c r="CL63" i="6"/>
  <c r="BX384" i="1"/>
  <c r="BW384" i="1"/>
  <c r="BS63" i="6"/>
  <c r="BT63" i="6" s="1"/>
  <c r="BM63" i="6"/>
  <c r="AZ63" i="6"/>
  <c r="AZ71" i="6" s="1"/>
  <c r="AF63" i="6"/>
  <c r="BS62" i="6"/>
  <c r="BN62" i="6"/>
  <c r="BO62" i="6" s="1"/>
  <c r="AR63" i="6"/>
  <c r="AS63" i="6" s="1"/>
  <c r="AW63" i="6" s="1"/>
  <c r="AR62" i="6"/>
  <c r="AS62" i="6" s="1"/>
  <c r="AW62" i="6" s="1"/>
  <c r="AM63" i="6"/>
  <c r="AN63" i="6" s="1"/>
  <c r="AM62" i="6"/>
  <c r="AH63" i="6"/>
  <c r="AI63" i="6" s="1"/>
  <c r="AH62" i="6"/>
  <c r="AI62" i="6" s="1"/>
  <c r="AC62" i="6"/>
  <c r="X62" i="6"/>
  <c r="X61" i="6"/>
  <c r="Y61" i="6" s="1"/>
  <c r="AD61" i="6"/>
  <c r="BR58" i="6"/>
  <c r="BM58" i="6"/>
  <c r="BN58" i="6" s="1"/>
  <c r="AQ58" i="6"/>
  <c r="AQ71" i="6" s="1"/>
  <c r="AP58" i="6"/>
  <c r="AL58" i="6"/>
  <c r="AM58" i="6" s="1"/>
  <c r="AM99" i="6" s="1"/>
  <c r="AH58" i="6"/>
  <c r="EL69" i="6"/>
  <c r="EK69" i="6"/>
  <c r="EJ69" i="6"/>
  <c r="EI69" i="6"/>
  <c r="EH69" i="6"/>
  <c r="EG69" i="6"/>
  <c r="EE69" i="6"/>
  <c r="ED69" i="6"/>
  <c r="EC69" i="6"/>
  <c r="EB69" i="6"/>
  <c r="EI67" i="6"/>
  <c r="EH67" i="6"/>
  <c r="EI66" i="6"/>
  <c r="EH66" i="6"/>
  <c r="EI64" i="6"/>
  <c r="EH64" i="6"/>
  <c r="EI63" i="6"/>
  <c r="EH63" i="6"/>
  <c r="EB63" i="6"/>
  <c r="EL62" i="6"/>
  <c r="EI62" i="6"/>
  <c r="EH62" i="6"/>
  <c r="EI61" i="6"/>
  <c r="EH61" i="6"/>
  <c r="EJ59" i="6"/>
  <c r="EI59" i="6"/>
  <c r="EH59" i="6"/>
  <c r="EE59" i="6"/>
  <c r="ED59" i="6"/>
  <c r="EC59" i="6"/>
  <c r="EB59" i="6"/>
  <c r="EI58" i="6"/>
  <c r="EH58" i="6"/>
  <c r="EJ57" i="6"/>
  <c r="EI57" i="6"/>
  <c r="EH57" i="6"/>
  <c r="BC67" i="6"/>
  <c r="BC98" i="6" s="1"/>
  <c r="BC66" i="6"/>
  <c r="BD66" i="6" s="1"/>
  <c r="BC64" i="6"/>
  <c r="BC63" i="6"/>
  <c r="BD63" i="6" s="1"/>
  <c r="BC62" i="6"/>
  <c r="BC61" i="6"/>
  <c r="BC59" i="6"/>
  <c r="BD59" i="6" s="1"/>
  <c r="BC58" i="6"/>
  <c r="BD58" i="6" s="1"/>
  <c r="BC57" i="6"/>
  <c r="AX69" i="6"/>
  <c r="AW69" i="6"/>
  <c r="AX64" i="6"/>
  <c r="AW64" i="6"/>
  <c r="AW61" i="6"/>
  <c r="AX59" i="6"/>
  <c r="AW59" i="6"/>
  <c r="AR57" i="6"/>
  <c r="AM57" i="6"/>
  <c r="AN57" i="6" s="1"/>
  <c r="AJ57" i="6"/>
  <c r="AC58" i="6"/>
  <c r="AC99" i="6" s="1"/>
  <c r="AC57" i="6"/>
  <c r="X58" i="6"/>
  <c r="X99" i="6" s="1"/>
  <c r="X57" i="6"/>
  <c r="Y57" i="6" s="1"/>
  <c r="Z57" i="6" s="1"/>
  <c r="BQ54" i="6"/>
  <c r="BL54" i="6"/>
  <c r="BG54" i="6"/>
  <c r="BB54" i="6"/>
  <c r="AZ54" i="6"/>
  <c r="AY54" i="6"/>
  <c r="AQ54" i="6"/>
  <c r="AP54" i="6"/>
  <c r="AL54" i="6"/>
  <c r="AG54" i="6"/>
  <c r="AB54" i="6"/>
  <c r="AA54" i="6"/>
  <c r="W54" i="6"/>
  <c r="V54" i="6"/>
  <c r="Q54" i="6"/>
  <c r="DS52" i="6"/>
  <c r="DS51" i="6"/>
  <c r="DN52" i="6"/>
  <c r="DN51" i="6"/>
  <c r="DI52" i="6"/>
  <c r="DI51" i="6"/>
  <c r="DD52" i="6"/>
  <c r="DD51" i="6"/>
  <c r="CY52" i="6"/>
  <c r="CY51" i="6"/>
  <c r="CT52" i="6"/>
  <c r="CT51" i="6"/>
  <c r="CO52" i="6"/>
  <c r="CO51" i="6"/>
  <c r="CE52" i="6"/>
  <c r="CE51" i="6"/>
  <c r="EK52" i="6"/>
  <c r="EJ52" i="6"/>
  <c r="EJ42" i="6"/>
  <c r="BO52" i="6"/>
  <c r="BO51" i="6"/>
  <c r="BO47" i="6"/>
  <c r="BO46" i="6"/>
  <c r="BO42" i="6"/>
  <c r="BO41" i="6"/>
  <c r="BC52" i="6"/>
  <c r="AO52" i="6"/>
  <c r="AO51" i="6"/>
  <c r="EE51" i="6" s="1"/>
  <c r="AO47" i="6"/>
  <c r="AO46" i="6"/>
  <c r="AO42" i="6"/>
  <c r="EE42" i="6" s="1"/>
  <c r="AO41" i="6"/>
  <c r="EE41" i="6" s="1"/>
  <c r="AK52" i="6"/>
  <c r="AH52" i="6"/>
  <c r="AF52" i="6"/>
  <c r="AF51" i="6"/>
  <c r="BC51" i="6"/>
  <c r="BC49" i="6"/>
  <c r="BC48" i="6"/>
  <c r="BD48" i="6" s="1"/>
  <c r="BC47" i="6"/>
  <c r="BC46" i="6"/>
  <c r="BC45" i="6"/>
  <c r="BC44" i="6"/>
  <c r="BC43" i="6"/>
  <c r="BC42" i="6"/>
  <c r="BC41" i="6"/>
  <c r="AJ51" i="6"/>
  <c r="ED51" i="6" s="1"/>
  <c r="BN49" i="6"/>
  <c r="BO49" i="6" s="1"/>
  <c r="DS47" i="6"/>
  <c r="DS46" i="6"/>
  <c r="DS45" i="6"/>
  <c r="DS42" i="6"/>
  <c r="DS41" i="6"/>
  <c r="DN47" i="6"/>
  <c r="DN46" i="6"/>
  <c r="DN45" i="6"/>
  <c r="DN42" i="6"/>
  <c r="DN41" i="6"/>
  <c r="DI47" i="6"/>
  <c r="DI46" i="6"/>
  <c r="DI45" i="6"/>
  <c r="DI42" i="6"/>
  <c r="DI41" i="6"/>
  <c r="DD47" i="6"/>
  <c r="DD46" i="6"/>
  <c r="DD45" i="6"/>
  <c r="DD42" i="6"/>
  <c r="DD41" i="6"/>
  <c r="CY47" i="6"/>
  <c r="CY46" i="6"/>
  <c r="CY45" i="6"/>
  <c r="CY42" i="6"/>
  <c r="CY41" i="6"/>
  <c r="CT47" i="6"/>
  <c r="CT46" i="6"/>
  <c r="CT45" i="6"/>
  <c r="CT42" i="6"/>
  <c r="CT41" i="6"/>
  <c r="CO48" i="6"/>
  <c r="CO47" i="6"/>
  <c r="CO46" i="6"/>
  <c r="CO45" i="6"/>
  <c r="CO42" i="6"/>
  <c r="CO41" i="6"/>
  <c r="EL48" i="6"/>
  <c r="CE47" i="6"/>
  <c r="CE46" i="6"/>
  <c r="CE45" i="6"/>
  <c r="CE42" i="6"/>
  <c r="CE41" i="6"/>
  <c r="EK48" i="6"/>
  <c r="EK47" i="6"/>
  <c r="EK45" i="6"/>
  <c r="EK41" i="6"/>
  <c r="BR49" i="6"/>
  <c r="BR48" i="6"/>
  <c r="BM48" i="6"/>
  <c r="BN48" i="6" s="1"/>
  <c r="AR49" i="6"/>
  <c r="AS49" i="6" s="1"/>
  <c r="AR48" i="6"/>
  <c r="AS48" i="6" s="1"/>
  <c r="AW48" i="6" s="1"/>
  <c r="AM49" i="6"/>
  <c r="AM48" i="6"/>
  <c r="BS45" i="6"/>
  <c r="BT45" i="6" s="1"/>
  <c r="EJ45" i="6"/>
  <c r="CC94" i="6"/>
  <c r="BR44" i="6"/>
  <c r="BR43" i="6"/>
  <c r="BR151" i="1" s="1"/>
  <c r="BM45" i="6"/>
  <c r="BN45" i="6" s="1"/>
  <c r="BM44" i="6"/>
  <c r="BN44" i="6" s="1"/>
  <c r="BN94" i="6" s="1"/>
  <c r="BM43" i="6"/>
  <c r="BM151" i="1" s="1"/>
  <c r="AR45" i="6"/>
  <c r="AS45" i="6" s="1"/>
  <c r="AR44" i="6"/>
  <c r="AS44" i="6" s="1"/>
  <c r="AR43" i="6"/>
  <c r="AR151" i="1" s="1"/>
  <c r="AM45" i="6"/>
  <c r="AM44" i="6"/>
  <c r="AM94" i="6" s="1"/>
  <c r="AM43" i="6"/>
  <c r="AH47" i="6"/>
  <c r="AH46" i="6"/>
  <c r="AH45" i="6"/>
  <c r="AI45" i="6" s="1"/>
  <c r="AH44" i="6"/>
  <c r="AH94" i="6" s="1"/>
  <c r="AH43" i="6"/>
  <c r="AH151" i="1" s="1"/>
  <c r="X47" i="6"/>
  <c r="Y47" i="6" s="1"/>
  <c r="X46" i="6"/>
  <c r="Y46" i="6" s="1"/>
  <c r="X45" i="6"/>
  <c r="Y45" i="6" s="1"/>
  <c r="Z45" i="6" s="1"/>
  <c r="X44" i="6"/>
  <c r="Y44" i="6" s="1"/>
  <c r="Z44" i="6" s="1"/>
  <c r="Z94" i="6" s="1"/>
  <c r="X43" i="6"/>
  <c r="AJ42" i="6"/>
  <c r="AJ41" i="6"/>
  <c r="ED41" i="6" s="1"/>
  <c r="X42" i="6"/>
  <c r="X41" i="6"/>
  <c r="EI52" i="6"/>
  <c r="EH52" i="6"/>
  <c r="EB52" i="6"/>
  <c r="EK51" i="6"/>
  <c r="EJ51" i="6"/>
  <c r="EI51" i="6"/>
  <c r="EH51" i="6"/>
  <c r="EC51" i="6"/>
  <c r="EB51" i="6"/>
  <c r="EL49" i="6"/>
  <c r="EK49" i="6"/>
  <c r="EI49" i="6"/>
  <c r="EH49" i="6"/>
  <c r="EC49" i="6"/>
  <c r="EB49" i="6"/>
  <c r="EI48" i="6"/>
  <c r="EH48" i="6"/>
  <c r="EC48" i="6"/>
  <c r="EB48" i="6"/>
  <c r="EI47" i="6"/>
  <c r="EH47" i="6"/>
  <c r="EK46" i="6"/>
  <c r="EI46" i="6"/>
  <c r="EH46" i="6"/>
  <c r="EI45" i="6"/>
  <c r="EH45" i="6"/>
  <c r="EI44" i="6"/>
  <c r="EH44" i="6"/>
  <c r="EI43" i="6"/>
  <c r="EH43" i="6"/>
  <c r="EK42" i="6"/>
  <c r="EI42" i="6"/>
  <c r="EH42" i="6"/>
  <c r="EJ41" i="6"/>
  <c r="EI41" i="6"/>
  <c r="EH41" i="6"/>
  <c r="BH52" i="6"/>
  <c r="BI52" i="6" s="1"/>
  <c r="BJ52" i="6" s="1"/>
  <c r="BH51" i="6"/>
  <c r="BI51" i="6" s="1"/>
  <c r="BH49" i="6"/>
  <c r="BI49" i="6" s="1"/>
  <c r="BH48" i="6"/>
  <c r="BH47" i="6"/>
  <c r="BI47" i="6" s="1"/>
  <c r="BH46" i="6"/>
  <c r="BI46" i="6" s="1"/>
  <c r="BH45" i="6"/>
  <c r="BI45" i="6" s="1"/>
  <c r="BH44" i="6"/>
  <c r="BH43" i="6"/>
  <c r="BH151" i="1" s="1"/>
  <c r="BH42" i="6"/>
  <c r="BI42" i="6" s="1"/>
  <c r="BH41" i="6"/>
  <c r="BI41" i="6" s="1"/>
  <c r="AW52" i="6"/>
  <c r="AW51" i="6"/>
  <c r="AW47" i="6"/>
  <c r="AW46" i="6"/>
  <c r="AW42" i="6"/>
  <c r="AW41" i="6"/>
  <c r="AT52" i="6"/>
  <c r="AX52" i="6" s="1"/>
  <c r="AT51" i="6"/>
  <c r="AT47" i="6"/>
  <c r="AT46" i="6"/>
  <c r="AU46" i="6" s="1"/>
  <c r="AT42" i="6"/>
  <c r="AX42" i="6" s="1"/>
  <c r="AT41" i="6"/>
  <c r="AC47" i="6"/>
  <c r="AC46" i="6"/>
  <c r="AC45" i="6"/>
  <c r="AD45" i="6" s="1"/>
  <c r="AC44" i="6"/>
  <c r="AC43" i="6"/>
  <c r="AC151" i="1" s="1"/>
  <c r="AC42" i="6"/>
  <c r="AD42" i="6" s="1"/>
  <c r="AC41" i="6"/>
  <c r="AD41" i="6" s="1"/>
  <c r="EL22" i="6"/>
  <c r="EL21" i="6"/>
  <c r="EL19" i="6"/>
  <c r="EL18" i="6"/>
  <c r="EL15" i="6"/>
  <c r="EK36" i="6"/>
  <c r="EK16" i="6"/>
  <c r="EK15" i="6"/>
  <c r="EK14" i="6"/>
  <c r="EJ35" i="6"/>
  <c r="BR36" i="6"/>
  <c r="BM36" i="6"/>
  <c r="AR36" i="6"/>
  <c r="AM36" i="6"/>
  <c r="AN36" i="6" s="1"/>
  <c r="AO36" i="6" s="1"/>
  <c r="AH36" i="6"/>
  <c r="AI36" i="6" s="1"/>
  <c r="AC36" i="6"/>
  <c r="AD36" i="6" s="1"/>
  <c r="BO35" i="6"/>
  <c r="BO24" i="6"/>
  <c r="BO22" i="6"/>
  <c r="BO21" i="6"/>
  <c r="BO18" i="6"/>
  <c r="BO12" i="6"/>
  <c r="AO35" i="6"/>
  <c r="AO24" i="6"/>
  <c r="AO22" i="6"/>
  <c r="AO21" i="6"/>
  <c r="AO20" i="6"/>
  <c r="AO18" i="6"/>
  <c r="EE18" i="6" s="1"/>
  <c r="AE35" i="6"/>
  <c r="AE24" i="6"/>
  <c r="EC24" i="6" s="1"/>
  <c r="AE21" i="6"/>
  <c r="EC21" i="6" s="1"/>
  <c r="AE20" i="6"/>
  <c r="EC20" i="6" s="1"/>
  <c r="AE18" i="6"/>
  <c r="EC18" i="6" s="1"/>
  <c r="AH34" i="6"/>
  <c r="AI34" i="6" s="1"/>
  <c r="AJ34" i="6" s="1"/>
  <c r="AH33" i="6"/>
  <c r="AH32" i="6"/>
  <c r="AH31" i="6"/>
  <c r="AH30" i="6"/>
  <c r="AI30" i="6" s="1"/>
  <c r="AH26" i="6"/>
  <c r="AI26" i="6" s="1"/>
  <c r="BH36" i="6"/>
  <c r="BH35" i="6"/>
  <c r="BH34" i="6"/>
  <c r="BI34" i="6" s="1"/>
  <c r="BJ34" i="6" s="1"/>
  <c r="BH33" i="6"/>
  <c r="BI33" i="6" s="1"/>
  <c r="BH32" i="6"/>
  <c r="BI32" i="6" s="1"/>
  <c r="BH31" i="6"/>
  <c r="BH30" i="6"/>
  <c r="BC36" i="6"/>
  <c r="BC35" i="6"/>
  <c r="BC34" i="6"/>
  <c r="BC33" i="6"/>
  <c r="BC32" i="6"/>
  <c r="BC31" i="6"/>
  <c r="BC30" i="6"/>
  <c r="AW35" i="6"/>
  <c r="AI35" i="6"/>
  <c r="AI33" i="6"/>
  <c r="AJ33" i="6" s="1"/>
  <c r="X36" i="6"/>
  <c r="X35" i="6"/>
  <c r="X34" i="6"/>
  <c r="Y34" i="6" s="1"/>
  <c r="X33" i="6"/>
  <c r="Y33" i="6" s="1"/>
  <c r="X32" i="6"/>
  <c r="Y32" i="6" s="1"/>
  <c r="X31" i="6"/>
  <c r="X30" i="6"/>
  <c r="BP27" i="6"/>
  <c r="BL27" i="6"/>
  <c r="BL38" i="6" s="1"/>
  <c r="BL150" i="1" s="1"/>
  <c r="BL152" i="1" s="1"/>
  <c r="BK27" i="6"/>
  <c r="EH27" i="6" s="1"/>
  <c r="BG27" i="6"/>
  <c r="BB27" i="6"/>
  <c r="BB38" i="6" s="1"/>
  <c r="BB150" i="1" s="1"/>
  <c r="BB152" i="1" s="1"/>
  <c r="AZ27" i="6"/>
  <c r="AZ38" i="6" s="1"/>
  <c r="AZ150" i="1" s="1"/>
  <c r="AZ152" i="1" s="1"/>
  <c r="AY27" i="6"/>
  <c r="AY38" i="6" s="1"/>
  <c r="AQ27" i="6"/>
  <c r="AQ38" i="6" s="1"/>
  <c r="AQ150" i="1" s="1"/>
  <c r="AQ152" i="1" s="1"/>
  <c r="AP27" i="6"/>
  <c r="AP38" i="6" s="1"/>
  <c r="AP150" i="1" s="1"/>
  <c r="AP152" i="1" s="1"/>
  <c r="AL27" i="6"/>
  <c r="AL38" i="6" s="1"/>
  <c r="AL150" i="1" s="1"/>
  <c r="AL152" i="1" s="1"/>
  <c r="AK27" i="6"/>
  <c r="AK38" i="6" s="1"/>
  <c r="AG27" i="6"/>
  <c r="AG38" i="6" s="1"/>
  <c r="AG150" i="1" s="1"/>
  <c r="AG152" i="1" s="1"/>
  <c r="AF27" i="6"/>
  <c r="AF38" i="6" s="1"/>
  <c r="AF150" i="1" s="1"/>
  <c r="AF152" i="1" s="1"/>
  <c r="AB27" i="6"/>
  <c r="AB38" i="6" s="1"/>
  <c r="AB150" i="1" s="1"/>
  <c r="AB152" i="1" s="1"/>
  <c r="AA27" i="6"/>
  <c r="W27" i="6"/>
  <c r="W38" i="6" s="1"/>
  <c r="V27" i="6"/>
  <c r="V38" i="6" s="1"/>
  <c r="U27" i="6"/>
  <c r="U38" i="6" s="1"/>
  <c r="U74" i="6" s="1"/>
  <c r="T27" i="6"/>
  <c r="S27" i="6"/>
  <c r="S38" i="6" s="1"/>
  <c r="R27" i="6"/>
  <c r="R38" i="6" s="1"/>
  <c r="R74" i="6" s="1"/>
  <c r="Q27" i="6"/>
  <c r="Q38" i="6" s="1"/>
  <c r="Q74" i="6" s="1"/>
  <c r="BR34" i="6"/>
  <c r="BR33" i="6"/>
  <c r="BR32" i="6"/>
  <c r="BS32" i="6" s="1"/>
  <c r="BR31" i="6"/>
  <c r="BR30" i="6"/>
  <c r="BR26" i="6"/>
  <c r="BS26" i="6" s="1"/>
  <c r="BM34" i="6"/>
  <c r="BN34" i="6" s="1"/>
  <c r="BO34" i="6" s="1"/>
  <c r="BM33" i="6"/>
  <c r="BN33" i="6" s="1"/>
  <c r="BO33" i="6" s="1"/>
  <c r="BM32" i="6"/>
  <c r="BM31" i="6"/>
  <c r="BN31" i="6" s="1"/>
  <c r="BM30" i="6"/>
  <c r="BN30" i="6" s="1"/>
  <c r="BM26" i="6"/>
  <c r="BN26" i="6" s="1"/>
  <c r="AR34" i="6"/>
  <c r="AS34" i="6" s="1"/>
  <c r="AR33" i="6"/>
  <c r="AS33" i="6" s="1"/>
  <c r="AR32" i="6"/>
  <c r="AR31" i="6"/>
  <c r="AS31" i="6" s="1"/>
  <c r="AR30" i="6"/>
  <c r="AS30" i="6" s="1"/>
  <c r="AR26" i="6"/>
  <c r="AS26" i="6" s="1"/>
  <c r="AW26" i="6" s="1"/>
  <c r="AM34" i="6"/>
  <c r="AN34" i="6" s="1"/>
  <c r="AM33" i="6"/>
  <c r="AN33" i="6" s="1"/>
  <c r="AO33" i="6" s="1"/>
  <c r="AM32" i="6"/>
  <c r="AN32" i="6" s="1"/>
  <c r="AO32" i="6" s="1"/>
  <c r="AM31" i="6"/>
  <c r="AN31" i="6" s="1"/>
  <c r="AO31" i="6" s="1"/>
  <c r="AM30" i="6"/>
  <c r="AN30" i="6" s="1"/>
  <c r="AM26" i="6"/>
  <c r="AC34" i="6"/>
  <c r="AD34" i="6" s="1"/>
  <c r="AC33" i="6"/>
  <c r="AC32" i="6"/>
  <c r="AC31" i="6"/>
  <c r="AD31" i="6" s="1"/>
  <c r="AE31" i="6" s="1"/>
  <c r="AC30" i="6"/>
  <c r="AC26" i="6"/>
  <c r="X26" i="6"/>
  <c r="Y26" i="6" s="1"/>
  <c r="AJ24" i="6"/>
  <c r="ED24" i="6" s="1"/>
  <c r="AJ22" i="6"/>
  <c r="ED22" i="6" s="1"/>
  <c r="AJ21" i="6"/>
  <c r="ED21" i="6" s="1"/>
  <c r="AJ20" i="6"/>
  <c r="AJ18" i="6"/>
  <c r="EJ23" i="6"/>
  <c r="BR23" i="6"/>
  <c r="BS23" i="6" s="1"/>
  <c r="BM23" i="6"/>
  <c r="BN23" i="6" s="1"/>
  <c r="AR23" i="6"/>
  <c r="AM23" i="6"/>
  <c r="AN23" i="6" s="1"/>
  <c r="AO23" i="6" s="1"/>
  <c r="AH23" i="6"/>
  <c r="AI23" i="6" s="1"/>
  <c r="AJ23" i="6" s="1"/>
  <c r="AC23" i="6"/>
  <c r="Z23" i="6"/>
  <c r="Z21" i="6"/>
  <c r="EB21" i="6" s="1"/>
  <c r="Z20" i="6"/>
  <c r="EB20" i="6" s="1"/>
  <c r="Z18" i="6"/>
  <c r="Z17" i="6"/>
  <c r="Z15" i="6"/>
  <c r="AC22" i="6"/>
  <c r="AE22" i="6" s="1"/>
  <c r="EC22" i="6" s="1"/>
  <c r="X22" i="6"/>
  <c r="AR21" i="6"/>
  <c r="BR20" i="6"/>
  <c r="BR19" i="6"/>
  <c r="BM20" i="6"/>
  <c r="BM19" i="6"/>
  <c r="BN19" i="6" s="1"/>
  <c r="BO19" i="6" s="1"/>
  <c r="BH26" i="6"/>
  <c r="BI26" i="6" s="1"/>
  <c r="BH24" i="6"/>
  <c r="BI24" i="6" s="1"/>
  <c r="BH23" i="6"/>
  <c r="BH22" i="6"/>
  <c r="BI22" i="6" s="1"/>
  <c r="BH21" i="6"/>
  <c r="BI21" i="6" s="1"/>
  <c r="BJ21" i="6" s="1"/>
  <c r="BH20" i="6"/>
  <c r="BI20" i="6" s="1"/>
  <c r="BH19" i="6"/>
  <c r="BI19" i="6" s="1"/>
  <c r="AR19" i="6"/>
  <c r="AS19" i="6" s="1"/>
  <c r="AM19" i="6"/>
  <c r="AN19" i="6" s="1"/>
  <c r="AO19" i="6" s="1"/>
  <c r="AH19" i="6"/>
  <c r="AI19" i="6" s="1"/>
  <c r="AC19" i="6"/>
  <c r="Y19" i="6"/>
  <c r="BH17" i="6"/>
  <c r="BI17" i="6" s="1"/>
  <c r="BH16" i="6"/>
  <c r="BI16" i="6" s="1"/>
  <c r="BJ16" i="6" s="1"/>
  <c r="BH15" i="6"/>
  <c r="X16" i="6"/>
  <c r="EL36" i="6"/>
  <c r="EI36" i="6"/>
  <c r="EH36" i="6"/>
  <c r="EL35" i="6"/>
  <c r="EI35" i="6"/>
  <c r="EH35" i="6"/>
  <c r="EE35" i="6"/>
  <c r="EI34" i="6"/>
  <c r="EH34" i="6"/>
  <c r="EI33" i="6"/>
  <c r="EH33" i="6"/>
  <c r="EI32" i="6"/>
  <c r="EH32" i="6"/>
  <c r="EI31" i="6"/>
  <c r="EH31" i="6"/>
  <c r="EI30" i="6"/>
  <c r="EH30" i="6"/>
  <c r="EI26" i="6"/>
  <c r="EH26" i="6"/>
  <c r="EI24" i="6"/>
  <c r="EH24" i="6"/>
  <c r="EE24" i="6"/>
  <c r="EI23" i="6"/>
  <c r="EH23" i="6"/>
  <c r="EI22" i="6"/>
  <c r="EH22" i="6"/>
  <c r="EI21" i="6"/>
  <c r="EH21" i="6"/>
  <c r="EL20" i="6"/>
  <c r="EK20" i="6"/>
  <c r="EI20" i="6"/>
  <c r="EH20" i="6"/>
  <c r="EE20" i="6"/>
  <c r="EK19" i="6"/>
  <c r="EI19" i="6"/>
  <c r="EH19" i="6"/>
  <c r="EI18" i="6"/>
  <c r="EH18" i="6"/>
  <c r="EL17" i="6"/>
  <c r="EI17" i="6"/>
  <c r="EH17" i="6"/>
  <c r="EL16" i="6"/>
  <c r="EI16" i="6"/>
  <c r="EH16" i="6"/>
  <c r="EI15" i="6"/>
  <c r="EH15" i="6"/>
  <c r="BR17" i="6"/>
  <c r="BS17" i="6" s="1"/>
  <c r="EJ17" i="6" s="1"/>
  <c r="BR16" i="6"/>
  <c r="BR15" i="6"/>
  <c r="BI18" i="6"/>
  <c r="BJ18" i="6" s="1"/>
  <c r="BC26" i="6"/>
  <c r="BC24" i="6"/>
  <c r="BC23" i="6"/>
  <c r="BC22" i="6"/>
  <c r="BC21" i="6"/>
  <c r="BD21" i="6" s="1"/>
  <c r="BC20" i="6"/>
  <c r="BC19" i="6"/>
  <c r="BC18" i="6"/>
  <c r="BC17" i="6"/>
  <c r="BC16" i="6"/>
  <c r="BC15" i="6"/>
  <c r="AT35" i="6"/>
  <c r="AT24" i="6"/>
  <c r="AT22" i="6"/>
  <c r="AU22" i="6" s="1"/>
  <c r="AT20" i="6"/>
  <c r="AU20" i="6" s="1"/>
  <c r="AT18" i="6"/>
  <c r="AR17" i="6"/>
  <c r="AR16" i="6"/>
  <c r="AR15" i="6"/>
  <c r="AS15" i="6" s="1"/>
  <c r="AM17" i="6"/>
  <c r="AM16" i="6"/>
  <c r="AN16" i="6" s="1"/>
  <c r="AO16" i="6" s="1"/>
  <c r="AM15" i="6"/>
  <c r="AH17" i="6"/>
  <c r="AI17" i="6" s="1"/>
  <c r="AJ17" i="6" s="1"/>
  <c r="AH16" i="6"/>
  <c r="AH15" i="6"/>
  <c r="AI15" i="6" s="1"/>
  <c r="AC17" i="6"/>
  <c r="AC16" i="6"/>
  <c r="AC15" i="6"/>
  <c r="EH14" i="6"/>
  <c r="EH13" i="6"/>
  <c r="EH12" i="6"/>
  <c r="EH11" i="6"/>
  <c r="BJ14" i="6"/>
  <c r="BF14" i="6"/>
  <c r="AU14" i="6"/>
  <c r="BR14" i="6"/>
  <c r="BR13" i="6"/>
  <c r="BM17" i="6"/>
  <c r="BM16" i="6"/>
  <c r="BN16" i="6" s="1"/>
  <c r="BO16" i="6" s="1"/>
  <c r="BM15" i="6"/>
  <c r="BN15" i="6" s="1"/>
  <c r="BM14" i="6"/>
  <c r="BN14" i="6" s="1"/>
  <c r="BM13" i="6"/>
  <c r="AT13" i="6"/>
  <c r="AU13" i="6" s="1"/>
  <c r="AT12" i="6"/>
  <c r="AU12" i="6" s="1"/>
  <c r="AO12" i="6"/>
  <c r="EE12" i="6" s="1"/>
  <c r="AH12" i="6"/>
  <c r="AH11" i="6"/>
  <c r="AI11" i="6" s="1"/>
  <c r="AJ11" i="6" s="1"/>
  <c r="AJ444" i="1" s="1"/>
  <c r="EL14" i="6"/>
  <c r="EL12" i="6"/>
  <c r="EK12" i="6"/>
  <c r="EI13" i="6"/>
  <c r="EJ12" i="6"/>
  <c r="EI12" i="6"/>
  <c r="EI11" i="6"/>
  <c r="EE13" i="6"/>
  <c r="ED13" i="6"/>
  <c r="BR11" i="6"/>
  <c r="BR121" i="6" s="1"/>
  <c r="BM11" i="6"/>
  <c r="BH13" i="6"/>
  <c r="BI13" i="6" s="1"/>
  <c r="BJ13" i="6" s="1"/>
  <c r="BH12" i="6"/>
  <c r="BH11" i="6"/>
  <c r="BC13" i="6"/>
  <c r="BC12" i="6"/>
  <c r="BD12" i="6" s="1"/>
  <c r="BC11" i="6"/>
  <c r="BC444" i="1" s="1"/>
  <c r="AW24" i="6"/>
  <c r="AW22" i="6"/>
  <c r="AX20" i="6"/>
  <c r="AW20" i="6"/>
  <c r="AW18" i="6"/>
  <c r="AX14" i="6"/>
  <c r="AW14" i="6"/>
  <c r="AW13" i="6"/>
  <c r="AW12" i="6"/>
  <c r="AR11" i="6"/>
  <c r="AM11" i="6"/>
  <c r="AN11" i="6" s="1"/>
  <c r="AO11" i="6" s="1"/>
  <c r="AC12" i="6"/>
  <c r="AC11" i="6"/>
  <c r="AD11" i="6" s="1"/>
  <c r="X12" i="6"/>
  <c r="Y12" i="6" s="1"/>
  <c r="X11" i="6"/>
  <c r="Z10" i="6"/>
  <c r="EI9" i="6"/>
  <c r="EH9" i="6"/>
  <c r="BR9" i="6"/>
  <c r="BM9" i="6"/>
  <c r="BC9" i="6"/>
  <c r="AR9" i="6"/>
  <c r="AM9" i="6"/>
  <c r="AN9" i="6" s="1"/>
  <c r="AH9" i="6"/>
  <c r="AI9" i="6" s="1"/>
  <c r="AC9" i="6"/>
  <c r="AD9" i="6" s="1"/>
  <c r="AE9" i="6" s="1"/>
  <c r="X9" i="6"/>
  <c r="DS7" i="6"/>
  <c r="DR7" i="6"/>
  <c r="DQ7" i="6"/>
  <c r="DP7" i="6"/>
  <c r="DO7" i="6"/>
  <c r="DN7" i="6"/>
  <c r="DM7" i="6"/>
  <c r="DL7" i="6"/>
  <c r="DK7" i="6"/>
  <c r="DJ7" i="6"/>
  <c r="DI7" i="6"/>
  <c r="DH7" i="6"/>
  <c r="DG7" i="6"/>
  <c r="DF7" i="6"/>
  <c r="DE7" i="6"/>
  <c r="DD7" i="6"/>
  <c r="DC7" i="6"/>
  <c r="DB7" i="6"/>
  <c r="DA7" i="6"/>
  <c r="CZ7" i="6"/>
  <c r="CY7" i="6"/>
  <c r="CX7" i="6"/>
  <c r="CW7" i="6"/>
  <c r="CV7" i="6"/>
  <c r="CU7" i="6"/>
  <c r="CT7" i="6"/>
  <c r="CS7" i="6"/>
  <c r="CR7" i="6"/>
  <c r="CQ7" i="6"/>
  <c r="CP7" i="6"/>
  <c r="CO7" i="6"/>
  <c r="CN7" i="6"/>
  <c r="CM7" i="6"/>
  <c r="CL7" i="6"/>
  <c r="CK7" i="6"/>
  <c r="CJ7" i="6"/>
  <c r="CI7" i="6"/>
  <c r="CH7" i="6"/>
  <c r="CG7" i="6"/>
  <c r="CF7" i="6"/>
  <c r="CE7" i="6"/>
  <c r="CD7" i="6"/>
  <c r="CC7" i="6"/>
  <c r="CB7" i="6"/>
  <c r="CA7" i="6"/>
  <c r="BZ7" i="6"/>
  <c r="BY7" i="6"/>
  <c r="BX7" i="6"/>
  <c r="BW7" i="6"/>
  <c r="BV7" i="6"/>
  <c r="BU7" i="6"/>
  <c r="BT7" i="6"/>
  <c r="BS7" i="6"/>
  <c r="BR7" i="6"/>
  <c r="BQ7" i="6"/>
  <c r="BP7" i="6"/>
  <c r="BO7" i="6"/>
  <c r="BN7" i="6"/>
  <c r="BM7" i="6"/>
  <c r="BL7" i="6"/>
  <c r="BK7" i="6"/>
  <c r="BJ7" i="6"/>
  <c r="BI7" i="6"/>
  <c r="BH7" i="6"/>
  <c r="BG7" i="6"/>
  <c r="BF7" i="6"/>
  <c r="BE7" i="6"/>
  <c r="BD7" i="6"/>
  <c r="BC7" i="6"/>
  <c r="BB7" i="6"/>
  <c r="BA7" i="6"/>
  <c r="DR6" i="6"/>
  <c r="DQ6" i="6"/>
  <c r="DP6" i="6"/>
  <c r="DO6" i="6"/>
  <c r="DM6" i="6"/>
  <c r="DL6" i="6"/>
  <c r="DK6" i="6"/>
  <c r="DJ6" i="6"/>
  <c r="DH6" i="6"/>
  <c r="DG6" i="6"/>
  <c r="DF6" i="6"/>
  <c r="DE6" i="6"/>
  <c r="DC6" i="6"/>
  <c r="DB6" i="6"/>
  <c r="DA6" i="6"/>
  <c r="CZ6" i="6"/>
  <c r="CX6" i="6"/>
  <c r="CW6" i="6"/>
  <c r="CV6" i="6"/>
  <c r="CU6" i="6"/>
  <c r="CS6" i="6"/>
  <c r="CR6" i="6"/>
  <c r="CQ6" i="6"/>
  <c r="CP6" i="6"/>
  <c r="CN6" i="6"/>
  <c r="CM6" i="6"/>
  <c r="CL6" i="6"/>
  <c r="CK6" i="6"/>
  <c r="CI6" i="6"/>
  <c r="CH6" i="6"/>
  <c r="CG6" i="6"/>
  <c r="CF6" i="6"/>
  <c r="CD6" i="6"/>
  <c r="CC6" i="6"/>
  <c r="CB6" i="6"/>
  <c r="CA6" i="6"/>
  <c r="BY6" i="6"/>
  <c r="BX6" i="6"/>
  <c r="BW6" i="6"/>
  <c r="BV6" i="6"/>
  <c r="BT6" i="6"/>
  <c r="BS6" i="6"/>
  <c r="BR6" i="6"/>
  <c r="BQ6" i="6"/>
  <c r="BO6" i="6"/>
  <c r="BN6" i="6"/>
  <c r="BM6" i="6"/>
  <c r="BL6" i="6"/>
  <c r="BJ6" i="6"/>
  <c r="BI6" i="6"/>
  <c r="BH6" i="6"/>
  <c r="BG6" i="6"/>
  <c r="BE6" i="6"/>
  <c r="BD6" i="6"/>
  <c r="BC6" i="6"/>
  <c r="BB6" i="6"/>
  <c r="BA6" i="6"/>
  <c r="AX6" i="6"/>
  <c r="AW6" i="6"/>
  <c r="AU6" i="6"/>
  <c r="AP6" i="6"/>
  <c r="AK6" i="6"/>
  <c r="AF6" i="6"/>
  <c r="BQ226" i="5"/>
  <c r="BM226" i="5"/>
  <c r="BL226" i="5"/>
  <c r="BG226" i="5"/>
  <c r="BC226" i="5"/>
  <c r="BB226" i="5"/>
  <c r="AY226" i="5"/>
  <c r="AX226" i="5"/>
  <c r="AR226" i="5"/>
  <c r="AQ226" i="5"/>
  <c r="AL226" i="5"/>
  <c r="AG226" i="5"/>
  <c r="AC226" i="5"/>
  <c r="AB226" i="5"/>
  <c r="X226" i="5"/>
  <c r="W226" i="5"/>
  <c r="U226" i="5"/>
  <c r="T226" i="5"/>
  <c r="S226" i="5"/>
  <c r="R226" i="5"/>
  <c r="AA225" i="5"/>
  <c r="BS222" i="5"/>
  <c r="BR222" i="5"/>
  <c r="BQ222" i="5"/>
  <c r="BO222" i="5"/>
  <c r="BN222" i="5"/>
  <c r="BM222" i="5"/>
  <c r="BL222" i="5"/>
  <c r="BJ222" i="5"/>
  <c r="BI222" i="5"/>
  <c r="BH222" i="5"/>
  <c r="BG222" i="5"/>
  <c r="BE222" i="5"/>
  <c r="BD222" i="5"/>
  <c r="BC222" i="5"/>
  <c r="BB222" i="5"/>
  <c r="AZ222" i="5"/>
  <c r="AY222" i="5"/>
  <c r="AT222" i="5"/>
  <c r="AS222" i="5"/>
  <c r="AR222" i="5"/>
  <c r="AQ222" i="5"/>
  <c r="AO222" i="5"/>
  <c r="AN222" i="5"/>
  <c r="AM222" i="5"/>
  <c r="AL222" i="5"/>
  <c r="AK222" i="5"/>
  <c r="AJ222" i="5"/>
  <c r="AI222" i="5"/>
  <c r="AH222" i="5"/>
  <c r="AG222" i="5"/>
  <c r="AF222" i="5"/>
  <c r="AD222" i="5"/>
  <c r="AC222" i="5"/>
  <c r="AB222" i="5"/>
  <c r="Z222" i="5"/>
  <c r="V222" i="5"/>
  <c r="T222" i="5"/>
  <c r="S222" i="5"/>
  <c r="R222" i="5"/>
  <c r="Q222" i="5"/>
  <c r="P222" i="5"/>
  <c r="O222" i="5"/>
  <c r="N222" i="5"/>
  <c r="M222" i="5"/>
  <c r="L222" i="5"/>
  <c r="K222" i="5"/>
  <c r="J222" i="5"/>
  <c r="I222" i="5"/>
  <c r="H222" i="5"/>
  <c r="G222" i="5"/>
  <c r="F222" i="5"/>
  <c r="E222" i="5"/>
  <c r="D222" i="5"/>
  <c r="C222" i="5"/>
  <c r="B222" i="5"/>
  <c r="T221" i="5"/>
  <c r="S221" i="5"/>
  <c r="R221" i="5"/>
  <c r="Q221" i="5"/>
  <c r="P221" i="5"/>
  <c r="O221" i="5"/>
  <c r="N221" i="5"/>
  <c r="M221" i="5"/>
  <c r="L221" i="5"/>
  <c r="K221" i="5"/>
  <c r="J221" i="5"/>
  <c r="I221" i="5"/>
  <c r="H221" i="5"/>
  <c r="G221" i="5"/>
  <c r="F221" i="5"/>
  <c r="E221" i="5"/>
  <c r="D221" i="5"/>
  <c r="C221" i="5"/>
  <c r="B221" i="5"/>
  <c r="BS211" i="5"/>
  <c r="BR211" i="5"/>
  <c r="BQ211" i="5"/>
  <c r="AH211" i="5"/>
  <c r="U211" i="5"/>
  <c r="V211" i="5" s="1"/>
  <c r="V217" i="5" s="1"/>
  <c r="T211" i="5"/>
  <c r="T217" i="5" s="1"/>
  <c r="S211" i="5"/>
  <c r="S217" i="5" s="1"/>
  <c r="R211" i="5"/>
  <c r="R217" i="5" s="1"/>
  <c r="BS206" i="5"/>
  <c r="BR206" i="5"/>
  <c r="BP205" i="5"/>
  <c r="CY193" i="5"/>
  <c r="BQ193" i="5"/>
  <c r="BK193" i="5"/>
  <c r="BP192" i="5"/>
  <c r="BP193" i="5" s="1"/>
  <c r="BN192" i="5"/>
  <c r="BM192" i="5"/>
  <c r="BL192" i="5"/>
  <c r="BL191" i="5" s="1"/>
  <c r="BK127" i="5"/>
  <c r="BT126" i="5"/>
  <c r="BS126" i="5"/>
  <c r="BS127" i="5" s="1"/>
  <c r="BR126" i="5"/>
  <c r="BR127" i="5" s="1"/>
  <c r="BQ126" i="5"/>
  <c r="BQ127" i="5" s="1"/>
  <c r="BO126" i="5"/>
  <c r="BO127" i="5" s="1"/>
  <c r="BN126" i="5"/>
  <c r="BN127" i="5" s="1"/>
  <c r="BM126" i="5"/>
  <c r="BM127" i="5" s="1"/>
  <c r="BL126" i="5"/>
  <c r="BL127" i="5" s="1"/>
  <c r="BU125" i="5"/>
  <c r="BP125" i="5"/>
  <c r="BR159" i="5"/>
  <c r="BW159" i="5" s="1"/>
  <c r="CB159" i="5" s="1"/>
  <c r="CG159" i="5" s="1"/>
  <c r="CL159" i="5" s="1"/>
  <c r="CQ159" i="5" s="1"/>
  <c r="CV159" i="5" s="1"/>
  <c r="DA159" i="5" s="1"/>
  <c r="DF159" i="5" s="1"/>
  <c r="DK159" i="5" s="1"/>
  <c r="DP159" i="5" s="1"/>
  <c r="DU159" i="5" s="1"/>
  <c r="BP159" i="5"/>
  <c r="BN159" i="5"/>
  <c r="BM159" i="5"/>
  <c r="BK159" i="5"/>
  <c r="BI159" i="5"/>
  <c r="BH159" i="5"/>
  <c r="BQ155" i="5"/>
  <c r="BR155" i="5" s="1"/>
  <c r="BS155" i="5" s="1"/>
  <c r="BQ154" i="5"/>
  <c r="BR154" i="5" s="1"/>
  <c r="BS154" i="5" s="1"/>
  <c r="BQ152" i="5"/>
  <c r="BR152" i="5" s="1"/>
  <c r="BS152" i="5" s="1"/>
  <c r="BQ151" i="5"/>
  <c r="BR151" i="5" s="1"/>
  <c r="BS151" i="5" s="1"/>
  <c r="BO185" i="5"/>
  <c r="BO159" i="5" s="1"/>
  <c r="BO183" i="5"/>
  <c r="BO182" i="5"/>
  <c r="BO181" i="5"/>
  <c r="BO180" i="5"/>
  <c r="BO192" i="5" s="1"/>
  <c r="BQ192" i="5" s="1"/>
  <c r="BO179" i="5"/>
  <c r="BO178" i="5"/>
  <c r="BO177" i="5"/>
  <c r="BO176" i="5"/>
  <c r="BO175" i="5"/>
  <c r="BO174" i="5"/>
  <c r="BO173" i="5"/>
  <c r="BJ185" i="5"/>
  <c r="BJ159" i="5" s="1"/>
  <c r="BJ183" i="5"/>
  <c r="BJ182" i="5"/>
  <c r="BJ181" i="5"/>
  <c r="BJ180" i="5"/>
  <c r="BJ179" i="5"/>
  <c r="BJ178" i="5"/>
  <c r="BJ177" i="5"/>
  <c r="BJ176" i="5"/>
  <c r="BJ175" i="5"/>
  <c r="BJ174" i="5"/>
  <c r="BJ173" i="5"/>
  <c r="BE185" i="5"/>
  <c r="BE183" i="5"/>
  <c r="BE182" i="5"/>
  <c r="BE181" i="5"/>
  <c r="BE180" i="5"/>
  <c r="BE179" i="5"/>
  <c r="BE178" i="5"/>
  <c r="BE177" i="5"/>
  <c r="BE176" i="5"/>
  <c r="BE175" i="5"/>
  <c r="BE174" i="5"/>
  <c r="BE173" i="5"/>
  <c r="BS184" i="5"/>
  <c r="BR184" i="5"/>
  <c r="BR187" i="5" s="1"/>
  <c r="BQ184" i="5"/>
  <c r="BQ44" i="1" s="1"/>
  <c r="BP184" i="5"/>
  <c r="BP187" i="5" s="1"/>
  <c r="BN184" i="5"/>
  <c r="BN187" i="5" s="1"/>
  <c r="BM184" i="5"/>
  <c r="BM187" i="5" s="1"/>
  <c r="BL184" i="5"/>
  <c r="BL187" i="5" s="1"/>
  <c r="BI184" i="5"/>
  <c r="BI187" i="5" s="1"/>
  <c r="BH184" i="5"/>
  <c r="BH187" i="5" s="1"/>
  <c r="BG184" i="5"/>
  <c r="BG187" i="5" s="1"/>
  <c r="BD184" i="5"/>
  <c r="BD187" i="5" s="1"/>
  <c r="BC184" i="5"/>
  <c r="BC187" i="5" s="1"/>
  <c r="BB184" i="5"/>
  <c r="DS183" i="5"/>
  <c r="DS181" i="5"/>
  <c r="DS177" i="5"/>
  <c r="DS176" i="5"/>
  <c r="DS175" i="5"/>
  <c r="DN183" i="5"/>
  <c r="DN181" i="5"/>
  <c r="DN177" i="5"/>
  <c r="DN176" i="5"/>
  <c r="DN175" i="5"/>
  <c r="DR179" i="5"/>
  <c r="DR13" i="6" s="1"/>
  <c r="DQ179" i="5"/>
  <c r="DQ13" i="6" s="1"/>
  <c r="DP179" i="5"/>
  <c r="DP13" i="6" s="1"/>
  <c r="DO179" i="5"/>
  <c r="DO13" i="6" s="1"/>
  <c r="DM179" i="5"/>
  <c r="DM13" i="6" s="1"/>
  <c r="DL179" i="5"/>
  <c r="DL13" i="6" s="1"/>
  <c r="DK179" i="5"/>
  <c r="DK13" i="6" s="1"/>
  <c r="DJ179" i="5"/>
  <c r="DJ13" i="6" s="1"/>
  <c r="DH13" i="6"/>
  <c r="DG13" i="6"/>
  <c r="DF13" i="6"/>
  <c r="DE13" i="6"/>
  <c r="DC13" i="6"/>
  <c r="DA13" i="6"/>
  <c r="CZ13" i="6"/>
  <c r="CX13" i="6"/>
  <c r="CW13" i="6"/>
  <c r="CV13" i="6"/>
  <c r="CU13" i="6"/>
  <c r="CS13" i="6"/>
  <c r="CR13" i="6"/>
  <c r="CQ13" i="6"/>
  <c r="CP13" i="6"/>
  <c r="CN13" i="6"/>
  <c r="CM13" i="6"/>
  <c r="CL13" i="6"/>
  <c r="DR174" i="5"/>
  <c r="DQ174" i="5"/>
  <c r="DP174" i="5"/>
  <c r="DO174" i="5"/>
  <c r="DR173" i="5"/>
  <c r="DQ173" i="5"/>
  <c r="DP173" i="5"/>
  <c r="DO173" i="5"/>
  <c r="DM174" i="5"/>
  <c r="DL174" i="5"/>
  <c r="DK174" i="5"/>
  <c r="DJ174" i="5"/>
  <c r="DM173" i="5"/>
  <c r="DL173" i="5"/>
  <c r="DK173" i="5"/>
  <c r="DJ173" i="5"/>
  <c r="BS108" i="5"/>
  <c r="BR108" i="5"/>
  <c r="BQ108" i="5"/>
  <c r="BO108" i="5"/>
  <c r="BN108" i="5"/>
  <c r="BM108" i="5"/>
  <c r="BL108" i="5"/>
  <c r="BR107" i="5"/>
  <c r="BQ107" i="5"/>
  <c r="BN107" i="5"/>
  <c r="BM107" i="5"/>
  <c r="BL107" i="5"/>
  <c r="BQ102" i="5"/>
  <c r="BU97" i="5"/>
  <c r="BV97" i="5" s="1"/>
  <c r="BW97" i="5" s="1"/>
  <c r="BX97" i="5" s="1"/>
  <c r="BU96" i="5"/>
  <c r="BV96" i="5" s="1"/>
  <c r="BO100" i="5"/>
  <c r="BO107" i="5" s="1"/>
  <c r="BO97" i="5"/>
  <c r="BO96" i="5"/>
  <c r="BO95" i="5"/>
  <c r="BO92" i="5"/>
  <c r="BO91" i="5"/>
  <c r="BS99" i="5"/>
  <c r="BR99" i="5"/>
  <c r="BQ99" i="5"/>
  <c r="BN99" i="5"/>
  <c r="BN102" i="5" s="1"/>
  <c r="BM99" i="5"/>
  <c r="BM102" i="5" s="1"/>
  <c r="BL99" i="5"/>
  <c r="BL102" i="5" s="1"/>
  <c r="BK99" i="5"/>
  <c r="BK102" i="5" s="1"/>
  <c r="BV100" i="5"/>
  <c r="BV107" i="5" s="1"/>
  <c r="BV106" i="5" s="1"/>
  <c r="BP94" i="5"/>
  <c r="CA178" i="5" s="1"/>
  <c r="BP93" i="5"/>
  <c r="BU91" i="5"/>
  <c r="BS73" i="5"/>
  <c r="BR73" i="5"/>
  <c r="BO73" i="5"/>
  <c r="BN73" i="5"/>
  <c r="BM73" i="5"/>
  <c r="BJ73" i="5"/>
  <c r="BI73" i="5"/>
  <c r="BH73" i="5"/>
  <c r="BE73" i="5"/>
  <c r="BD73" i="5"/>
  <c r="BC73" i="5"/>
  <c r="AZ73" i="5"/>
  <c r="BS72" i="5"/>
  <c r="BR72" i="5"/>
  <c r="BO72" i="5"/>
  <c r="BN72" i="5"/>
  <c r="BM72" i="5"/>
  <c r="BJ72" i="5"/>
  <c r="BI72" i="5"/>
  <c r="BH72" i="5"/>
  <c r="BE72" i="5"/>
  <c r="BD72" i="5"/>
  <c r="BC72" i="5"/>
  <c r="AZ72" i="5"/>
  <c r="V72" i="5"/>
  <c r="T72" i="5"/>
  <c r="S72" i="5"/>
  <c r="R72" i="5"/>
  <c r="AZ74" i="5"/>
  <c r="AT73" i="5"/>
  <c r="AS73" i="5"/>
  <c r="AR73" i="5"/>
  <c r="AO73" i="5"/>
  <c r="AN73" i="5"/>
  <c r="AM73" i="5"/>
  <c r="AL73" i="5"/>
  <c r="AK73" i="5"/>
  <c r="AJ73" i="5"/>
  <c r="AI73" i="5"/>
  <c r="AH73" i="5"/>
  <c r="AG73" i="5"/>
  <c r="AD73" i="5"/>
  <c r="AC73" i="5"/>
  <c r="AT72" i="5"/>
  <c r="AS72" i="5"/>
  <c r="AR72" i="5"/>
  <c r="AO72" i="5"/>
  <c r="AN72" i="5"/>
  <c r="AM72" i="5"/>
  <c r="AL72" i="5"/>
  <c r="AK72" i="5"/>
  <c r="AJ72" i="5"/>
  <c r="AI72" i="5"/>
  <c r="AH72" i="5"/>
  <c r="AG72" i="5"/>
  <c r="AD72" i="5"/>
  <c r="AC72" i="5"/>
  <c r="AK70" i="5"/>
  <c r="AG70" i="5"/>
  <c r="AF61" i="5"/>
  <c r="Z61" i="5"/>
  <c r="Q50" i="5"/>
  <c r="Y49" i="5"/>
  <c r="X49" i="5"/>
  <c r="W49" i="5"/>
  <c r="Z48" i="5"/>
  <c r="BS47" i="5"/>
  <c r="BT70" i="5" s="1"/>
  <c r="BR47" i="5"/>
  <c r="BQ47" i="5"/>
  <c r="BQ61" i="5" s="1"/>
  <c r="BO47" i="5"/>
  <c r="BO61" i="5" s="1"/>
  <c r="BN47" i="5"/>
  <c r="BO70" i="5" s="1"/>
  <c r="BM47" i="5"/>
  <c r="BL47" i="5"/>
  <c r="BL61" i="5" s="1"/>
  <c r="BJ47" i="5"/>
  <c r="BJ61" i="5" s="1"/>
  <c r="BI47" i="5"/>
  <c r="BH47" i="5"/>
  <c r="BG47" i="5"/>
  <c r="BH70" i="5" s="1"/>
  <c r="BE47" i="5"/>
  <c r="BF47" i="5" s="1"/>
  <c r="BD47" i="5"/>
  <c r="BC47" i="5"/>
  <c r="BB47" i="5"/>
  <c r="AZ47" i="5"/>
  <c r="BA47" i="5" s="1"/>
  <c r="BF70" i="5" s="1"/>
  <c r="AY47" i="5"/>
  <c r="AT47" i="5"/>
  <c r="AS47" i="5"/>
  <c r="AZ70" i="5" s="1"/>
  <c r="AR47" i="5"/>
  <c r="AQ47" i="5"/>
  <c r="AO47" i="5"/>
  <c r="AN47" i="5"/>
  <c r="AN61" i="5" s="1"/>
  <c r="AM47" i="5"/>
  <c r="AN70" i="5" s="1"/>
  <c r="AL47" i="5"/>
  <c r="AK47" i="5"/>
  <c r="AJ47" i="5"/>
  <c r="AI47" i="5"/>
  <c r="AJ70" i="5" s="1"/>
  <c r="AH47" i="5"/>
  <c r="AI70" i="5" s="1"/>
  <c r="AG47" i="5"/>
  <c r="AE47" i="5"/>
  <c r="AD47" i="5"/>
  <c r="AD61" i="5" s="1"/>
  <c r="AC47" i="5"/>
  <c r="AB47" i="5"/>
  <c r="AA47" i="5"/>
  <c r="AF70" i="5" s="1"/>
  <c r="V47" i="5"/>
  <c r="U47" i="5" s="1"/>
  <c r="BP46" i="5"/>
  <c r="BP44" i="5"/>
  <c r="BQ73" i="5" s="1"/>
  <c r="BP43" i="5"/>
  <c r="BP42" i="5"/>
  <c r="BP41" i="5"/>
  <c r="BP40" i="5"/>
  <c r="BP39" i="5"/>
  <c r="BK46" i="5"/>
  <c r="BK44" i="5"/>
  <c r="BK43" i="5"/>
  <c r="BK42" i="5"/>
  <c r="BK41" i="5"/>
  <c r="BK40" i="5"/>
  <c r="BK39" i="5"/>
  <c r="BF46" i="5"/>
  <c r="BF44" i="5"/>
  <c r="BG73" i="5" s="1"/>
  <c r="BF43" i="5"/>
  <c r="BF42" i="5"/>
  <c r="BF41" i="5"/>
  <c r="BF40" i="5"/>
  <c r="BF39" i="5"/>
  <c r="BA46" i="5"/>
  <c r="BA44" i="5"/>
  <c r="BB73" i="5" s="1"/>
  <c r="BA43" i="5"/>
  <c r="BA42" i="5"/>
  <c r="BA41" i="5"/>
  <c r="BA40" i="5"/>
  <c r="BA39" i="5"/>
  <c r="AU46" i="5"/>
  <c r="AU44" i="5"/>
  <c r="AU43" i="5"/>
  <c r="AU42" i="5"/>
  <c r="AU41" i="5"/>
  <c r="AU40" i="5"/>
  <c r="AU39" i="5"/>
  <c r="AP46" i="5"/>
  <c r="AP44" i="5"/>
  <c r="AP73" i="5" s="1"/>
  <c r="AP43" i="5"/>
  <c r="AP42" i="5"/>
  <c r="AP41" i="5"/>
  <c r="AP40" i="5"/>
  <c r="AP39" i="5"/>
  <c r="AE46" i="5"/>
  <c r="AE44" i="5"/>
  <c r="AE73" i="5" s="1"/>
  <c r="AE43" i="5"/>
  <c r="AE42" i="5"/>
  <c r="AE41" i="5"/>
  <c r="AE40" i="5"/>
  <c r="AE39" i="5"/>
  <c r="AA46" i="5"/>
  <c r="AA44" i="5"/>
  <c r="AA43" i="5"/>
  <c r="AA42" i="5"/>
  <c r="AA41" i="5"/>
  <c r="AA40" i="5"/>
  <c r="AA39" i="5"/>
  <c r="U46" i="5"/>
  <c r="U44" i="5"/>
  <c r="U43" i="5"/>
  <c r="U42" i="5"/>
  <c r="U41" i="5"/>
  <c r="U40" i="5"/>
  <c r="U39" i="5"/>
  <c r="U38" i="5"/>
  <c r="U36" i="5"/>
  <c r="U35" i="5"/>
  <c r="U34" i="5"/>
  <c r="U33" i="5"/>
  <c r="U31" i="5"/>
  <c r="U27" i="5"/>
  <c r="U26" i="5"/>
  <c r="U25" i="5"/>
  <c r="BU46" i="5"/>
  <c r="BV46" i="5" s="1"/>
  <c r="BU41" i="5"/>
  <c r="BW41" i="5" s="1"/>
  <c r="AX46" i="5"/>
  <c r="AW46" i="5"/>
  <c r="AX44" i="5"/>
  <c r="AX73" i="5" s="1"/>
  <c r="AW44" i="5"/>
  <c r="AX43" i="5"/>
  <c r="AW43" i="5"/>
  <c r="AX42" i="5"/>
  <c r="AW42" i="5"/>
  <c r="AX41" i="5"/>
  <c r="AW41" i="5"/>
  <c r="AX40" i="5"/>
  <c r="AW40" i="5"/>
  <c r="AX39" i="5"/>
  <c r="AW39" i="5"/>
  <c r="AA37" i="5"/>
  <c r="BP36" i="5"/>
  <c r="BP35" i="5"/>
  <c r="BP34" i="5"/>
  <c r="BP108" i="5" s="1"/>
  <c r="BP33" i="5"/>
  <c r="BP148" i="1" s="1"/>
  <c r="BP31" i="5"/>
  <c r="BP107" i="5" s="1"/>
  <c r="BP27" i="5"/>
  <c r="BP26" i="5"/>
  <c r="BP25" i="5"/>
  <c r="BK36" i="5"/>
  <c r="BK35" i="5"/>
  <c r="BK34" i="5"/>
  <c r="BK108" i="5" s="1"/>
  <c r="BK33" i="5"/>
  <c r="BK148" i="1" s="1"/>
  <c r="BK31" i="5"/>
  <c r="BK27" i="5"/>
  <c r="BK26" i="5"/>
  <c r="BK25" i="5"/>
  <c r="BF36" i="5"/>
  <c r="BF35" i="5"/>
  <c r="BF34" i="5"/>
  <c r="BF33" i="5"/>
  <c r="BF148" i="1" s="1"/>
  <c r="BF31" i="5"/>
  <c r="BF27" i="5"/>
  <c r="BF26" i="5"/>
  <c r="BF25" i="5"/>
  <c r="BA36" i="5"/>
  <c r="BA35" i="5"/>
  <c r="BA34" i="5"/>
  <c r="BA33" i="5"/>
  <c r="BA148" i="1" s="1"/>
  <c r="BA31" i="5"/>
  <c r="BA27" i="5"/>
  <c r="BA26" i="5"/>
  <c r="BA25" i="5"/>
  <c r="AU36" i="5"/>
  <c r="AU35" i="5"/>
  <c r="AU34" i="5"/>
  <c r="AU33" i="5"/>
  <c r="AU148" i="1" s="1"/>
  <c r="AU31" i="5"/>
  <c r="AU27" i="5"/>
  <c r="AU26" i="5"/>
  <c r="AU25" i="5"/>
  <c r="AP36" i="5"/>
  <c r="AP35" i="5"/>
  <c r="AP34" i="5"/>
  <c r="AP33" i="5"/>
  <c r="AP148" i="1" s="1"/>
  <c r="AP31" i="5"/>
  <c r="AP27" i="5"/>
  <c r="AP26" i="5"/>
  <c r="AP25" i="5"/>
  <c r="AE36" i="5"/>
  <c r="AE35" i="5"/>
  <c r="AE34" i="5"/>
  <c r="AE33" i="5"/>
  <c r="AE31" i="5"/>
  <c r="AE27" i="5"/>
  <c r="AE26" i="5"/>
  <c r="AE25" i="5"/>
  <c r="AA36" i="5"/>
  <c r="AA35" i="5"/>
  <c r="AA34" i="5"/>
  <c r="AA33" i="5"/>
  <c r="AA148" i="1" s="1"/>
  <c r="AA32" i="5"/>
  <c r="AA31" i="5"/>
  <c r="AA27" i="5"/>
  <c r="AA26" i="5"/>
  <c r="AA25" i="5"/>
  <c r="BD33" i="5"/>
  <c r="BD148" i="1" s="1"/>
  <c r="BC33" i="5"/>
  <c r="BC148" i="1" s="1"/>
  <c r="AX36" i="5"/>
  <c r="AW36" i="5"/>
  <c r="AX35" i="5"/>
  <c r="AW35" i="5"/>
  <c r="AX34" i="5"/>
  <c r="AW34" i="5"/>
  <c r="AX33" i="5"/>
  <c r="AX148" i="1" s="1"/>
  <c r="AW33" i="5"/>
  <c r="AW148" i="1" s="1"/>
  <c r="BS32" i="5"/>
  <c r="BS37" i="5" s="1"/>
  <c r="BS48" i="5" s="1"/>
  <c r="BR32" i="5"/>
  <c r="BR37" i="5" s="1"/>
  <c r="BQ32" i="5"/>
  <c r="BQ37" i="5" s="1"/>
  <c r="BO32" i="5"/>
  <c r="BO37" i="5" s="1"/>
  <c r="BP37" i="5" s="1"/>
  <c r="BN32" i="5"/>
  <c r="BN37" i="5" s="1"/>
  <c r="BM32" i="5"/>
  <c r="BM37" i="5" s="1"/>
  <c r="BL32" i="5"/>
  <c r="BL37" i="5" s="1"/>
  <c r="BL48" i="5" s="1"/>
  <c r="BJ32" i="5"/>
  <c r="BJ37" i="5" s="1"/>
  <c r="BI32" i="5"/>
  <c r="BH32" i="5"/>
  <c r="BH37" i="5" s="1"/>
  <c r="BG32" i="5"/>
  <c r="BG37" i="5" s="1"/>
  <c r="BE32" i="5"/>
  <c r="BF32" i="5" s="1"/>
  <c r="BD32" i="5"/>
  <c r="BC32" i="5"/>
  <c r="BB32" i="5"/>
  <c r="BB37" i="5" s="1"/>
  <c r="AZ32" i="5"/>
  <c r="AZ37" i="5" s="1"/>
  <c r="BA37" i="5" s="1"/>
  <c r="AY32" i="5"/>
  <c r="AY37" i="5" s="1"/>
  <c r="AY48" i="5" s="1"/>
  <c r="AT32" i="5"/>
  <c r="AT37" i="5" s="1"/>
  <c r="AS32" i="5"/>
  <c r="AS37" i="5" s="1"/>
  <c r="AR32" i="5"/>
  <c r="AR37" i="5" s="1"/>
  <c r="AQ32" i="5"/>
  <c r="AQ37" i="5" s="1"/>
  <c r="AO32" i="5"/>
  <c r="AO37" i="5" s="1"/>
  <c r="AN32" i="5"/>
  <c r="AN37" i="5" s="1"/>
  <c r="AM32" i="5"/>
  <c r="AM37" i="5" s="1"/>
  <c r="AL32" i="5"/>
  <c r="AL37" i="5" s="1"/>
  <c r="AK32" i="5"/>
  <c r="AK37" i="5" s="1"/>
  <c r="AJ32" i="5"/>
  <c r="AJ37" i="5" s="1"/>
  <c r="AI32" i="5"/>
  <c r="AI37" i="5" s="1"/>
  <c r="AH32" i="5"/>
  <c r="AH37" i="5" s="1"/>
  <c r="AG32" i="5"/>
  <c r="AG37" i="5" s="1"/>
  <c r="AD32" i="5"/>
  <c r="AC32" i="5"/>
  <c r="AC37" i="5" s="1"/>
  <c r="AB32" i="5"/>
  <c r="AB37" i="5" s="1"/>
  <c r="V32" i="5"/>
  <c r="BU35" i="5"/>
  <c r="BZ35" i="5" s="1"/>
  <c r="BU34" i="5"/>
  <c r="BZ34" i="5" s="1"/>
  <c r="AX31" i="5"/>
  <c r="AW31" i="5"/>
  <c r="AX27" i="5"/>
  <c r="AW27" i="5"/>
  <c r="AX26" i="5"/>
  <c r="AW26" i="5"/>
  <c r="AX25" i="5"/>
  <c r="AW25" i="5"/>
  <c r="BP21" i="5"/>
  <c r="BP20" i="5"/>
  <c r="BP19" i="5"/>
  <c r="BP18" i="5"/>
  <c r="BP17" i="5"/>
  <c r="BP15" i="5"/>
  <c r="BP13" i="5"/>
  <c r="BP12" i="5"/>
  <c r="BK21" i="5"/>
  <c r="BK20" i="5"/>
  <c r="BK19" i="5"/>
  <c r="BK18" i="5"/>
  <c r="BK17" i="5"/>
  <c r="BK15" i="5"/>
  <c r="BK13" i="5"/>
  <c r="BK12" i="5"/>
  <c r="BF21" i="5"/>
  <c r="BF20" i="5"/>
  <c r="BF19" i="5"/>
  <c r="BF18" i="5"/>
  <c r="BF17" i="5"/>
  <c r="BF15" i="5"/>
  <c r="BF13" i="5"/>
  <c r="BF12" i="5"/>
  <c r="BA21" i="5"/>
  <c r="BA20" i="5"/>
  <c r="BA19" i="5"/>
  <c r="BA18" i="5"/>
  <c r="BA17" i="5"/>
  <c r="BA15" i="5"/>
  <c r="BA13" i="5"/>
  <c r="BA12" i="5"/>
  <c r="AU21" i="5"/>
  <c r="AU20" i="5"/>
  <c r="AU19" i="5"/>
  <c r="AU18" i="5"/>
  <c r="AU17" i="5"/>
  <c r="AU15" i="5"/>
  <c r="AU13" i="5"/>
  <c r="AU12" i="5"/>
  <c r="AP21" i="5"/>
  <c r="AP20" i="5"/>
  <c r="AP19" i="5"/>
  <c r="AP18" i="5"/>
  <c r="AP17" i="5"/>
  <c r="AP15" i="5"/>
  <c r="AP13" i="5"/>
  <c r="AP12" i="5"/>
  <c r="AE21" i="5"/>
  <c r="AE20" i="5"/>
  <c r="AE19" i="5"/>
  <c r="AE18" i="5"/>
  <c r="AE17" i="5"/>
  <c r="AE15" i="5"/>
  <c r="AE13" i="5"/>
  <c r="AE12" i="5"/>
  <c r="AE11" i="5"/>
  <c r="AE10" i="5"/>
  <c r="AE147" i="1" s="1"/>
  <c r="AA21" i="5"/>
  <c r="AA20" i="5"/>
  <c r="AA19" i="5"/>
  <c r="AA18" i="5"/>
  <c r="AA17" i="5"/>
  <c r="AA15" i="5"/>
  <c r="AA13" i="5"/>
  <c r="AA12" i="5"/>
  <c r="U21" i="5"/>
  <c r="U20" i="5"/>
  <c r="U19" i="5"/>
  <c r="U18" i="5"/>
  <c r="U17" i="5"/>
  <c r="U15" i="5"/>
  <c r="U13" i="5"/>
  <c r="U12" i="5"/>
  <c r="U11" i="5"/>
  <c r="U10" i="5"/>
  <c r="AX21" i="5"/>
  <c r="AW21" i="5"/>
  <c r="AX20" i="5"/>
  <c r="AW20" i="5"/>
  <c r="AX19" i="5"/>
  <c r="AW19" i="5"/>
  <c r="AX18" i="5"/>
  <c r="AW18" i="5"/>
  <c r="AX17" i="5"/>
  <c r="AW17" i="5"/>
  <c r="BS16" i="5"/>
  <c r="BR16" i="5"/>
  <c r="BQ16" i="5"/>
  <c r="BQ22" i="5" s="1"/>
  <c r="BO16" i="5"/>
  <c r="BN16" i="5"/>
  <c r="BN22" i="5" s="1"/>
  <c r="BM16" i="5"/>
  <c r="BM22" i="5" s="1"/>
  <c r="BL16" i="5"/>
  <c r="BJ16" i="5"/>
  <c r="BI16" i="5"/>
  <c r="BH16" i="5"/>
  <c r="BG16" i="5"/>
  <c r="BG22" i="5" s="1"/>
  <c r="BE16" i="5"/>
  <c r="BB16" i="5"/>
  <c r="BB221" i="5" s="1"/>
  <c r="AZ16" i="5"/>
  <c r="AY16" i="5"/>
  <c r="AT16" i="5"/>
  <c r="AT22" i="5" s="1"/>
  <c r="AS16" i="5"/>
  <c r="AS221" i="5" s="1"/>
  <c r="AR16" i="5"/>
  <c r="AQ16" i="5"/>
  <c r="AO16" i="5"/>
  <c r="AO221" i="5" s="1"/>
  <c r="AN16" i="5"/>
  <c r="AN221" i="5" s="1"/>
  <c r="AM16" i="5"/>
  <c r="AL16" i="5"/>
  <c r="AK16" i="5"/>
  <c r="AK221" i="5" s="1"/>
  <c r="AJ16" i="5"/>
  <c r="AJ221" i="5" s="1"/>
  <c r="AI16" i="5"/>
  <c r="AI22" i="5" s="1"/>
  <c r="AH16" i="5"/>
  <c r="AH22" i="5" s="1"/>
  <c r="AG16" i="5"/>
  <c r="AG221" i="5" s="1"/>
  <c r="AF16" i="5"/>
  <c r="AD16" i="5"/>
  <c r="AD22" i="5" s="1"/>
  <c r="AC16" i="5"/>
  <c r="AB16" i="5"/>
  <c r="Z16" i="5"/>
  <c r="Z22" i="5" s="1"/>
  <c r="V16" i="5"/>
  <c r="BU21" i="5"/>
  <c r="BZ21" i="5" s="1"/>
  <c r="BU20" i="5"/>
  <c r="BZ20" i="5" s="1"/>
  <c r="BU19" i="5"/>
  <c r="BZ19" i="5" s="1"/>
  <c r="BU18" i="5"/>
  <c r="BZ18" i="5" s="1"/>
  <c r="BP10" i="5"/>
  <c r="BP147" i="1" s="1"/>
  <c r="BK10" i="5"/>
  <c r="BF10" i="5"/>
  <c r="BF147" i="1" s="1"/>
  <c r="BD10" i="5"/>
  <c r="BD147" i="1" s="1"/>
  <c r="BC10" i="5"/>
  <c r="BA10" i="5"/>
  <c r="BA147" i="1" s="1"/>
  <c r="AX15" i="5"/>
  <c r="AW15" i="5"/>
  <c r="AX13" i="5"/>
  <c r="AW13" i="5"/>
  <c r="AX12" i="5"/>
  <c r="AW12" i="5"/>
  <c r="AX11" i="5"/>
  <c r="AW11" i="5"/>
  <c r="AX10" i="5"/>
  <c r="AX147" i="1" s="1"/>
  <c r="AW10" i="5"/>
  <c r="AW147" i="1" s="1"/>
  <c r="AU10" i="5"/>
  <c r="AU147" i="1" s="1"/>
  <c r="AP10" i="5"/>
  <c r="AP147" i="1" s="1"/>
  <c r="AA10" i="5"/>
  <c r="AA147" i="1" s="1"/>
  <c r="DS7" i="5"/>
  <c r="DR7" i="5"/>
  <c r="DQ7" i="5"/>
  <c r="DP7" i="5"/>
  <c r="DO7" i="5"/>
  <c r="DN7" i="5"/>
  <c r="DM7" i="5"/>
  <c r="DL7" i="5"/>
  <c r="DK7" i="5"/>
  <c r="DJ7" i="5"/>
  <c r="DI7" i="5"/>
  <c r="DH7" i="5"/>
  <c r="DG7" i="5"/>
  <c r="DF7" i="5"/>
  <c r="DE7" i="5"/>
  <c r="DD7" i="5"/>
  <c r="DC7" i="5"/>
  <c r="DB7" i="5"/>
  <c r="DA7" i="5"/>
  <c r="CZ7" i="5"/>
  <c r="CY7" i="5"/>
  <c r="CX7" i="5"/>
  <c r="CW7" i="5"/>
  <c r="CV7" i="5"/>
  <c r="CU7" i="5"/>
  <c r="CT7" i="5"/>
  <c r="CS7" i="5"/>
  <c r="CR7" i="5"/>
  <c r="CQ7" i="5"/>
  <c r="CP7" i="5"/>
  <c r="CO7" i="5"/>
  <c r="CN7" i="5"/>
  <c r="CM7" i="5"/>
  <c r="CL7" i="5"/>
  <c r="CK7" i="5"/>
  <c r="CJ7" i="5"/>
  <c r="CI7" i="5"/>
  <c r="CG7" i="5"/>
  <c r="CF7" i="5"/>
  <c r="CE7" i="5"/>
  <c r="CD7" i="5"/>
  <c r="CC7" i="5"/>
  <c r="CB7" i="5"/>
  <c r="CA7" i="5"/>
  <c r="BZ7" i="5"/>
  <c r="BY7" i="5"/>
  <c r="BX7" i="5"/>
  <c r="BW7" i="5"/>
  <c r="BU7" i="5"/>
  <c r="BT7" i="5"/>
  <c r="BS7" i="5"/>
  <c r="BR7" i="5"/>
  <c r="BQ7" i="5"/>
  <c r="BP7" i="5"/>
  <c r="BO7" i="5"/>
  <c r="BN7" i="5"/>
  <c r="BM7" i="5"/>
  <c r="BL7" i="5"/>
  <c r="BK7" i="5"/>
  <c r="BJ7" i="5"/>
  <c r="BI7" i="5"/>
  <c r="BH7" i="5"/>
  <c r="BG7" i="5"/>
  <c r="BF7" i="5"/>
  <c r="BE7" i="5"/>
  <c r="BD7" i="5"/>
  <c r="BC7" i="5"/>
  <c r="BB7" i="5"/>
  <c r="BA7" i="5"/>
  <c r="DR6" i="5"/>
  <c r="DQ6" i="5"/>
  <c r="DP6" i="5"/>
  <c r="DO6" i="5"/>
  <c r="DM6" i="5"/>
  <c r="DL6" i="5"/>
  <c r="DK6" i="5"/>
  <c r="DJ6" i="5"/>
  <c r="DH6" i="5"/>
  <c r="DG6" i="5"/>
  <c r="DF6" i="5"/>
  <c r="DE6" i="5"/>
  <c r="DC6" i="5"/>
  <c r="DB6" i="5"/>
  <c r="DA6" i="5"/>
  <c r="CZ6" i="5"/>
  <c r="CX6" i="5"/>
  <c r="CW6" i="5"/>
  <c r="CV6" i="5"/>
  <c r="CU6" i="5"/>
  <c r="CS6" i="5"/>
  <c r="CR6" i="5"/>
  <c r="CQ6" i="5"/>
  <c r="CP6" i="5"/>
  <c r="CN6" i="5"/>
  <c r="CM6" i="5"/>
  <c r="CL6" i="5"/>
  <c r="CK6" i="5"/>
  <c r="CI6" i="5"/>
  <c r="CH6" i="5"/>
  <c r="CG6" i="5"/>
  <c r="CF6" i="5"/>
  <c r="CD6" i="5"/>
  <c r="CC6" i="5"/>
  <c r="CB6" i="5"/>
  <c r="CA6" i="5"/>
  <c r="BY6" i="5"/>
  <c r="BX6" i="5"/>
  <c r="BW6" i="5"/>
  <c r="BV6" i="5"/>
  <c r="BT6" i="5"/>
  <c r="BS6" i="5"/>
  <c r="BR6" i="5"/>
  <c r="BQ6" i="5"/>
  <c r="BO6" i="5"/>
  <c r="BN6" i="5"/>
  <c r="BM6" i="5"/>
  <c r="BL6" i="5"/>
  <c r="BJ6" i="5"/>
  <c r="BI6" i="5"/>
  <c r="BH6" i="5"/>
  <c r="BG6" i="5"/>
  <c r="BE6" i="5"/>
  <c r="BD6" i="5"/>
  <c r="BC6" i="5"/>
  <c r="BB6" i="5"/>
  <c r="BA6" i="5"/>
  <c r="AX6" i="5"/>
  <c r="AW6" i="5"/>
  <c r="AU6" i="5"/>
  <c r="AP6" i="5"/>
  <c r="BE452" i="1"/>
  <c r="BF452" i="1" s="1"/>
  <c r="BD452" i="1"/>
  <c r="BC452" i="1"/>
  <c r="BB452" i="1"/>
  <c r="AZ452" i="1"/>
  <c r="BA452" i="1" s="1"/>
  <c r="AY452" i="1"/>
  <c r="AX452" i="1"/>
  <c r="AW452" i="1"/>
  <c r="AU449" i="1"/>
  <c r="AU448" i="1"/>
  <c r="AU447" i="1"/>
  <c r="AU446" i="1"/>
  <c r="AU444" i="1"/>
  <c r="V449" i="1"/>
  <c r="X448" i="1"/>
  <c r="W448" i="1"/>
  <c r="V448" i="1"/>
  <c r="V446" i="1"/>
  <c r="BQ444" i="1"/>
  <c r="BV445" i="1" s="1"/>
  <c r="BP444" i="1"/>
  <c r="BL444" i="1"/>
  <c r="BK444" i="1"/>
  <c r="BG444" i="1"/>
  <c r="BB444" i="1"/>
  <c r="BA444" i="1"/>
  <c r="AZ444" i="1"/>
  <c r="AY444" i="1"/>
  <c r="AQ444" i="1"/>
  <c r="AP444" i="1"/>
  <c r="AL444" i="1"/>
  <c r="AK444" i="1"/>
  <c r="AG444" i="1"/>
  <c r="AF444" i="1"/>
  <c r="AB444" i="1"/>
  <c r="AA444" i="1"/>
  <c r="BK427" i="1"/>
  <c r="BJ427" i="1"/>
  <c r="BS427" i="1"/>
  <c r="BR427" i="1"/>
  <c r="BQ427" i="1"/>
  <c r="BP427" i="1"/>
  <c r="BS426" i="1"/>
  <c r="BR426" i="1"/>
  <c r="BQ426" i="1"/>
  <c r="BP426" i="1"/>
  <c r="BS425" i="1"/>
  <c r="BR425" i="1"/>
  <c r="BQ425" i="1"/>
  <c r="BP425" i="1"/>
  <c r="BK425" i="1"/>
  <c r="BS422" i="1"/>
  <c r="BR422" i="1"/>
  <c r="BQ422" i="1"/>
  <c r="BP422" i="1"/>
  <c r="BU428" i="1" s="1"/>
  <c r="BN422" i="1"/>
  <c r="BN430" i="1" s="1"/>
  <c r="BM422" i="1"/>
  <c r="BM430" i="1" s="1"/>
  <c r="BL422" i="1"/>
  <c r="BL430" i="1" s="1"/>
  <c r="BK422" i="1"/>
  <c r="BF422" i="1"/>
  <c r="BO421" i="1"/>
  <c r="BT427" i="1" s="1"/>
  <c r="BO420" i="1"/>
  <c r="BT426" i="1" s="1"/>
  <c r="BO419" i="1"/>
  <c r="BT425" i="1" s="1"/>
  <c r="BK415" i="1"/>
  <c r="BK107" i="6" s="1"/>
  <c r="CE413" i="1"/>
  <c r="BZ105" i="6" s="1"/>
  <c r="DX413" i="1"/>
  <c r="DS105" i="6" s="1"/>
  <c r="DS413" i="1"/>
  <c r="DN105" i="6" s="1"/>
  <c r="DN413" i="1"/>
  <c r="DI105" i="6" s="1"/>
  <c r="DI413" i="1"/>
  <c r="DD105" i="6" s="1"/>
  <c r="DD413" i="1"/>
  <c r="CY105" i="6" s="1"/>
  <c r="CY413" i="1"/>
  <c r="CT105" i="6" s="1"/>
  <c r="CT413" i="1"/>
  <c r="CO105" i="6" s="1"/>
  <c r="CO413" i="1"/>
  <c r="CJ105" i="6" s="1"/>
  <c r="CJ413" i="1"/>
  <c r="CE105" i="6" s="1"/>
  <c r="BU413" i="1"/>
  <c r="BU105" i="6" s="1"/>
  <c r="BP413" i="1"/>
  <c r="BP105" i="6" s="1"/>
  <c r="CA412" i="1"/>
  <c r="BV104" i="6" s="1"/>
  <c r="BT412" i="1"/>
  <c r="BT104" i="6" s="1"/>
  <c r="BS412" i="1"/>
  <c r="BS104" i="6" s="1"/>
  <c r="BQ412" i="1"/>
  <c r="BQ104" i="6" s="1"/>
  <c r="BO412" i="1"/>
  <c r="BO104" i="6" s="1"/>
  <c r="BR411" i="1"/>
  <c r="BR412" i="1" s="1"/>
  <c r="BR104" i="6" s="1"/>
  <c r="BK411" i="1"/>
  <c r="BK103" i="6" s="1"/>
  <c r="BQ410" i="1"/>
  <c r="BQ102" i="6" s="1"/>
  <c r="BM410" i="1"/>
  <c r="BM102" i="6" s="1"/>
  <c r="BL410" i="1"/>
  <c r="BL102" i="6" s="1"/>
  <c r="BS394" i="1"/>
  <c r="BR394" i="1"/>
  <c r="BQ394" i="1"/>
  <c r="BO394" i="1"/>
  <c r="BN394" i="1"/>
  <c r="BM394" i="1"/>
  <c r="BL394" i="1"/>
  <c r="BS393" i="1"/>
  <c r="BS391" i="1" s="1"/>
  <c r="BR393" i="1"/>
  <c r="BR391" i="1" s="1"/>
  <c r="BQ393" i="1"/>
  <c r="BQ391" i="1" s="1"/>
  <c r="BO393" i="1"/>
  <c r="BN393" i="1"/>
  <c r="BN391" i="1" s="1"/>
  <c r="BM393" i="1"/>
  <c r="BM391" i="1" s="1"/>
  <c r="BL393" i="1"/>
  <c r="BL391" i="1" s="1"/>
  <c r="BL392" i="1" s="1"/>
  <c r="BK393" i="1"/>
  <c r="BK391" i="1" s="1"/>
  <c r="BJ393" i="1"/>
  <c r="BI393" i="1"/>
  <c r="BI391" i="1" s="1"/>
  <c r="BH393" i="1"/>
  <c r="BH391" i="1" s="1"/>
  <c r="BG393" i="1"/>
  <c r="BG391" i="1" s="1"/>
  <c r="BF393" i="1"/>
  <c r="BF391" i="1" s="1"/>
  <c r="BE393" i="1"/>
  <c r="BD393" i="1"/>
  <c r="BC393" i="1"/>
  <c r="BB393" i="1"/>
  <c r="BA393" i="1"/>
  <c r="AF393" i="1"/>
  <c r="AE393" i="1"/>
  <c r="AD393" i="1"/>
  <c r="AC393" i="1"/>
  <c r="AB393" i="1"/>
  <c r="AA393" i="1"/>
  <c r="Z393" i="1"/>
  <c r="CE386" i="1"/>
  <c r="BO390" i="1"/>
  <c r="BO389" i="1"/>
  <c r="BP389" i="1" s="1"/>
  <c r="BP392" i="1" s="1"/>
  <c r="BJ390" i="1"/>
  <c r="BK389" i="1"/>
  <c r="BK392" i="1" s="1"/>
  <c r="AL389" i="1"/>
  <c r="AG389" i="1"/>
  <c r="AD389" i="1"/>
  <c r="AC389" i="1"/>
  <c r="AB389" i="1"/>
  <c r="AA389" i="1"/>
  <c r="Z389" i="1"/>
  <c r="Y389" i="1"/>
  <c r="X389" i="1"/>
  <c r="W389" i="1"/>
  <c r="V389" i="1"/>
  <c r="BJ392" i="1"/>
  <c r="BI392" i="1"/>
  <c r="BH392" i="1"/>
  <c r="BG392" i="1"/>
  <c r="V392" i="1"/>
  <c r="BS389" i="1"/>
  <c r="BU389" i="1" s="1"/>
  <c r="CB410" i="1" s="1"/>
  <c r="BR389" i="1"/>
  <c r="BR392" i="1" s="1"/>
  <c r="BQ389" i="1"/>
  <c r="BQ392" i="1" s="1"/>
  <c r="CN386" i="1"/>
  <c r="CS386" i="1" s="1"/>
  <c r="CX386" i="1" s="1"/>
  <c r="DC386" i="1" s="1"/>
  <c r="DH386" i="1" s="1"/>
  <c r="DM386" i="1" s="1"/>
  <c r="DR386" i="1" s="1"/>
  <c r="DW386" i="1" s="1"/>
  <c r="EB386" i="1" s="1"/>
  <c r="CM386" i="1"/>
  <c r="CL386" i="1"/>
  <c r="CK386" i="1"/>
  <c r="BR385" i="1"/>
  <c r="BN392" i="1"/>
  <c r="BM392" i="1"/>
  <c r="BS384" i="1"/>
  <c r="BR384" i="1"/>
  <c r="BQ384" i="1"/>
  <c r="BL384" i="1"/>
  <c r="CN383" i="1"/>
  <c r="CS383" i="1" s="1"/>
  <c r="CX383" i="1" s="1"/>
  <c r="DC383" i="1" s="1"/>
  <c r="DH383" i="1" s="1"/>
  <c r="DM383" i="1" s="1"/>
  <c r="DR383" i="1" s="1"/>
  <c r="DW383" i="1" s="1"/>
  <c r="EB383" i="1" s="1"/>
  <c r="CM383" i="1"/>
  <c r="CR383" i="1" s="1"/>
  <c r="CW383" i="1" s="1"/>
  <c r="DB383" i="1" s="1"/>
  <c r="CL383" i="1"/>
  <c r="CQ383" i="1" s="1"/>
  <c r="CV383" i="1" s="1"/>
  <c r="DA383" i="1" s="1"/>
  <c r="DF383" i="1" s="1"/>
  <c r="DK383" i="1" s="1"/>
  <c r="DP383" i="1" s="1"/>
  <c r="DU383" i="1" s="1"/>
  <c r="DZ383" i="1" s="1"/>
  <c r="CK383" i="1"/>
  <c r="CJ383" i="1"/>
  <c r="CE383" i="1"/>
  <c r="BU383" i="1"/>
  <c r="BP383" i="1"/>
  <c r="BS381" i="1"/>
  <c r="BT381" i="1" s="1"/>
  <c r="BS380" i="1"/>
  <c r="BR380" i="1"/>
  <c r="BQ380" i="1"/>
  <c r="BO380" i="1"/>
  <c r="BO381" i="1" s="1"/>
  <c r="BN380" i="1"/>
  <c r="BM380" i="1"/>
  <c r="BL380" i="1"/>
  <c r="BG380" i="1"/>
  <c r="BB380" i="1"/>
  <c r="AU380" i="1"/>
  <c r="AQ380" i="1"/>
  <c r="AP380" i="1"/>
  <c r="AL380" i="1"/>
  <c r="AK380" i="1"/>
  <c r="AH380" i="1"/>
  <c r="AG380" i="1"/>
  <c r="AF380" i="1"/>
  <c r="AB380" i="1"/>
  <c r="AA375" i="1"/>
  <c r="V375" i="1"/>
  <c r="V376" i="1" s="1"/>
  <c r="Q375" i="1"/>
  <c r="Q376" i="1" s="1"/>
  <c r="AF375" i="1"/>
  <c r="AA373" i="1"/>
  <c r="AF373" i="1" s="1"/>
  <c r="CS372" i="1"/>
  <c r="CS376" i="1" s="1"/>
  <c r="BT372" i="1"/>
  <c r="BT376" i="1" s="1"/>
  <c r="U372" i="1"/>
  <c r="T372" i="1"/>
  <c r="S372" i="1"/>
  <c r="R372" i="1"/>
  <c r="BS368" i="1"/>
  <c r="BR368" i="1"/>
  <c r="BQ368" i="1"/>
  <c r="BO368" i="1"/>
  <c r="BO355" i="1" s="1"/>
  <c r="BN368" i="1"/>
  <c r="BM368" i="1"/>
  <c r="BM355" i="1" s="1"/>
  <c r="BJ368" i="1"/>
  <c r="BJ355" i="1" s="1"/>
  <c r="BI368" i="1"/>
  <c r="BI355" i="1" s="1"/>
  <c r="BE368" i="1"/>
  <c r="BE355" i="1" s="1"/>
  <c r="BD368" i="1"/>
  <c r="BD355" i="1" s="1"/>
  <c r="BB368" i="1"/>
  <c r="BB355" i="1" s="1"/>
  <c r="BS366" i="1"/>
  <c r="BX367" i="1" s="1"/>
  <c r="BR366" i="1"/>
  <c r="BW367" i="1" s="1"/>
  <c r="BQ366" i="1"/>
  <c r="BV367" i="1" s="1"/>
  <c r="BO366" i="1"/>
  <c r="BN366" i="1"/>
  <c r="BM366" i="1"/>
  <c r="BJ366" i="1"/>
  <c r="BI366" i="1"/>
  <c r="BE366" i="1"/>
  <c r="BD366" i="1"/>
  <c r="BB366" i="1"/>
  <c r="BA349" i="1"/>
  <c r="BA348" i="1"/>
  <c r="BA347" i="1"/>
  <c r="BA346" i="1"/>
  <c r="BA345" i="1"/>
  <c r="BA343" i="1"/>
  <c r="BA341" i="1"/>
  <c r="BS351" i="1"/>
  <c r="BQ351" i="1"/>
  <c r="BO351" i="1"/>
  <c r="BN351" i="1"/>
  <c r="BN364" i="1" s="1"/>
  <c r="BM351" i="1"/>
  <c r="BJ351" i="1"/>
  <c r="BJ364" i="1" s="1"/>
  <c r="BI351" i="1"/>
  <c r="BE351" i="1"/>
  <c r="BE364" i="1" s="1"/>
  <c r="BD351" i="1"/>
  <c r="BD364" i="1" s="1"/>
  <c r="BB351" i="1"/>
  <c r="BB364" i="1" s="1"/>
  <c r="AZ351" i="1"/>
  <c r="AX351" i="1"/>
  <c r="AW351" i="1"/>
  <c r="DX349" i="1"/>
  <c r="DX348" i="1"/>
  <c r="DX347" i="1"/>
  <c r="DX346" i="1"/>
  <c r="DX345" i="1"/>
  <c r="DS349" i="1"/>
  <c r="DS348" i="1"/>
  <c r="DS347" i="1"/>
  <c r="DS346" i="1"/>
  <c r="DS345" i="1"/>
  <c r="DN349" i="1"/>
  <c r="DN348" i="1"/>
  <c r="DN347" i="1"/>
  <c r="DN346" i="1"/>
  <c r="DN345" i="1"/>
  <c r="DI349" i="1"/>
  <c r="DI348" i="1"/>
  <c r="DI347" i="1"/>
  <c r="DI346" i="1"/>
  <c r="DI345" i="1"/>
  <c r="DD349" i="1"/>
  <c r="DD348" i="1"/>
  <c r="DD347" i="1"/>
  <c r="DD346" i="1"/>
  <c r="DD345" i="1"/>
  <c r="CY349" i="1"/>
  <c r="CY348" i="1"/>
  <c r="CY347" i="1"/>
  <c r="CY346" i="1"/>
  <c r="CY345" i="1"/>
  <c r="CT349" i="1"/>
  <c r="CT348" i="1"/>
  <c r="CT347" i="1"/>
  <c r="CT346" i="1"/>
  <c r="CT345" i="1"/>
  <c r="CO349" i="1"/>
  <c r="CO348" i="1"/>
  <c r="CO347" i="1"/>
  <c r="CO346" i="1"/>
  <c r="CO345" i="1"/>
  <c r="CJ349" i="1"/>
  <c r="CJ348" i="1"/>
  <c r="CJ347" i="1"/>
  <c r="CJ346" i="1"/>
  <c r="CJ345" i="1"/>
  <c r="CE349" i="1"/>
  <c r="CE348" i="1"/>
  <c r="CE347" i="1"/>
  <c r="CE346" i="1"/>
  <c r="CE345" i="1"/>
  <c r="BU349" i="1"/>
  <c r="BU348" i="1"/>
  <c r="BU347" i="1"/>
  <c r="BU346" i="1"/>
  <c r="BU345" i="1"/>
  <c r="BU341" i="1"/>
  <c r="BP349" i="1"/>
  <c r="BP348" i="1"/>
  <c r="BP347" i="1"/>
  <c r="BP346" i="1"/>
  <c r="BP345" i="1"/>
  <c r="BP343" i="1"/>
  <c r="BP329" i="1"/>
  <c r="BK349" i="1"/>
  <c r="BK343" i="1"/>
  <c r="BC349" i="1"/>
  <c r="BC215" i="1" s="1"/>
  <c r="BC348" i="1"/>
  <c r="BF348" i="1" s="1"/>
  <c r="BC347" i="1"/>
  <c r="BC346" i="1"/>
  <c r="BC210" i="1" s="1"/>
  <c r="BC345" i="1"/>
  <c r="BC168" i="1" s="1"/>
  <c r="BC343" i="1"/>
  <c r="BF343" i="1" s="1"/>
  <c r="BC341" i="1"/>
  <c r="BH348" i="1"/>
  <c r="BH347" i="1"/>
  <c r="BH170" i="1" s="1"/>
  <c r="BH346" i="1"/>
  <c r="BK346" i="1" s="1"/>
  <c r="BH345" i="1"/>
  <c r="BL341" i="1"/>
  <c r="BL333" i="1"/>
  <c r="BG341" i="1"/>
  <c r="BG333" i="1"/>
  <c r="BS335" i="1"/>
  <c r="BR335" i="1"/>
  <c r="BO335" i="1"/>
  <c r="BN335" i="1"/>
  <c r="BM335" i="1"/>
  <c r="BJ335" i="1"/>
  <c r="BI335" i="1"/>
  <c r="BC333" i="1"/>
  <c r="BC329" i="1"/>
  <c r="AY333" i="1"/>
  <c r="BA333" i="1" s="1"/>
  <c r="AY329" i="1"/>
  <c r="BE330" i="1"/>
  <c r="BD330" i="1"/>
  <c r="BB330" i="1"/>
  <c r="AZ329" i="1"/>
  <c r="AZ330" i="1" s="1"/>
  <c r="BH329" i="1"/>
  <c r="BH368" i="1" s="1"/>
  <c r="BH355" i="1" s="1"/>
  <c r="AX329" i="1"/>
  <c r="AX368" i="1" s="1"/>
  <c r="AX355" i="1" s="1"/>
  <c r="AW329" i="1"/>
  <c r="AW366" i="1" s="1"/>
  <c r="BT308" i="1"/>
  <c r="BT38" i="1" s="1"/>
  <c r="BR308" i="1"/>
  <c r="BR38" i="1" s="1"/>
  <c r="BQ308" i="1"/>
  <c r="BQ38" i="1" s="1"/>
  <c r="BP308" i="1"/>
  <c r="BO308" i="1"/>
  <c r="BO38" i="1" s="1"/>
  <c r="BN308" i="1"/>
  <c r="BN38" i="1" s="1"/>
  <c r="BM308" i="1"/>
  <c r="BM38" i="1" s="1"/>
  <c r="BL38" i="1"/>
  <c r="BK308" i="1"/>
  <c r="BJ308" i="1"/>
  <c r="BJ38" i="1" s="1"/>
  <c r="BI308" i="1"/>
  <c r="BI38" i="1" s="1"/>
  <c r="BH308" i="1"/>
  <c r="BH38" i="1" s="1"/>
  <c r="BG308" i="1"/>
  <c r="BG38" i="1" s="1"/>
  <c r="BF308" i="1"/>
  <c r="BE308" i="1"/>
  <c r="BE38" i="1" s="1"/>
  <c r="BD308" i="1"/>
  <c r="BD38" i="1" s="1"/>
  <c r="BC308" i="1"/>
  <c r="BC38" i="1" s="1"/>
  <c r="BB308" i="1"/>
  <c r="BB38" i="1" s="1"/>
  <c r="CE307" i="1"/>
  <c r="DX305" i="1"/>
  <c r="DS305" i="1"/>
  <c r="DN305" i="1"/>
  <c r="DI305" i="1"/>
  <c r="CJ305" i="1"/>
  <c r="BU305" i="1"/>
  <c r="BU303" i="1"/>
  <c r="BU302" i="1"/>
  <c r="AL234" i="1"/>
  <c r="AE234" i="1"/>
  <c r="BT228" i="1"/>
  <c r="BP227" i="1"/>
  <c r="BK227" i="1"/>
  <c r="BF227" i="1"/>
  <c r="BA227" i="1"/>
  <c r="AR224" i="1"/>
  <c r="AQ224" i="1"/>
  <c r="AP224" i="1"/>
  <c r="AO224" i="1"/>
  <c r="AN224" i="1"/>
  <c r="AM224" i="1"/>
  <c r="AL224" i="1"/>
  <c r="AK224" i="1"/>
  <c r="AJ224" i="1"/>
  <c r="AI224" i="1"/>
  <c r="AH224" i="1"/>
  <c r="AG224" i="1"/>
  <c r="AF224" i="1"/>
  <c r="AE224" i="1"/>
  <c r="AD224" i="1"/>
  <c r="AC224" i="1"/>
  <c r="AB224" i="1"/>
  <c r="AA224" i="1"/>
  <c r="Y222" i="1"/>
  <c r="Z220" i="1"/>
  <c r="X220" i="1"/>
  <c r="W220" i="1"/>
  <c r="V220" i="1"/>
  <c r="V224" i="1" s="1"/>
  <c r="U220" i="1"/>
  <c r="Y219" i="1"/>
  <c r="Z216" i="1"/>
  <c r="X216" i="1"/>
  <c r="W216" i="1"/>
  <c r="U216" i="1"/>
  <c r="T216" i="1"/>
  <c r="S216" i="1"/>
  <c r="R216" i="1"/>
  <c r="DW215" i="1"/>
  <c r="DV215" i="1"/>
  <c r="DU215" i="1"/>
  <c r="DT215" i="1"/>
  <c r="DR215" i="1"/>
  <c r="DQ215" i="1"/>
  <c r="DP215" i="1"/>
  <c r="DO215" i="1"/>
  <c r="DM215" i="1"/>
  <c r="DL215" i="1"/>
  <c r="DK215" i="1"/>
  <c r="DJ215" i="1"/>
  <c r="DH215" i="1"/>
  <c r="DG215" i="1"/>
  <c r="DF215" i="1"/>
  <c r="DE215" i="1"/>
  <c r="DC215" i="1"/>
  <c r="DB215" i="1"/>
  <c r="DA215" i="1"/>
  <c r="CZ215" i="1"/>
  <c r="CX215" i="1"/>
  <c r="CW215" i="1"/>
  <c r="CV215" i="1"/>
  <c r="CU215" i="1"/>
  <c r="CS215" i="1"/>
  <c r="CR215" i="1"/>
  <c r="CQ215" i="1"/>
  <c r="CP215" i="1"/>
  <c r="CN215" i="1"/>
  <c r="CM215" i="1"/>
  <c r="CL215" i="1"/>
  <c r="CK215" i="1"/>
  <c r="CH215" i="1"/>
  <c r="CG215" i="1"/>
  <c r="CF215" i="1"/>
  <c r="CD215" i="1"/>
  <c r="CC215" i="1"/>
  <c r="CB215" i="1"/>
  <c r="CA215" i="1"/>
  <c r="BT215" i="1"/>
  <c r="BS215" i="1"/>
  <c r="BR215" i="1"/>
  <c r="BQ215" i="1"/>
  <c r="BO215" i="1"/>
  <c r="BN215" i="1"/>
  <c r="BM215" i="1"/>
  <c r="BL215" i="1"/>
  <c r="BJ215" i="1"/>
  <c r="BI215" i="1"/>
  <c r="BH215" i="1"/>
  <c r="BG215" i="1"/>
  <c r="BE215" i="1"/>
  <c r="BD215" i="1"/>
  <c r="BB215" i="1"/>
  <c r="BA215" i="1"/>
  <c r="AU215" i="1"/>
  <c r="AU213" i="1"/>
  <c r="AU211" i="1"/>
  <c r="BO213" i="1"/>
  <c r="BN213" i="1"/>
  <c r="BM213" i="1"/>
  <c r="BL213" i="1"/>
  <c r="BJ213" i="1"/>
  <c r="BI213" i="1"/>
  <c r="BG213" i="1"/>
  <c r="BE213" i="1"/>
  <c r="BD213" i="1"/>
  <c r="BB213" i="1"/>
  <c r="BA213" i="1"/>
  <c r="Z210" i="1"/>
  <c r="X210" i="1"/>
  <c r="W210" i="1"/>
  <c r="U210" i="1"/>
  <c r="T210" i="1"/>
  <c r="S210" i="1"/>
  <c r="R210" i="1"/>
  <c r="BS211" i="1"/>
  <c r="BR211" i="1"/>
  <c r="BQ211" i="1"/>
  <c r="BO211" i="1"/>
  <c r="BN211" i="1"/>
  <c r="BM211" i="1"/>
  <c r="BL211" i="1"/>
  <c r="BJ211" i="1"/>
  <c r="BI211" i="1"/>
  <c r="BG211" i="1"/>
  <c r="BE211" i="1"/>
  <c r="BD211" i="1"/>
  <c r="BB211" i="1"/>
  <c r="BA211" i="1"/>
  <c r="BS210" i="1"/>
  <c r="BR210" i="1"/>
  <c r="BQ210" i="1"/>
  <c r="BO210" i="1"/>
  <c r="BN210" i="1"/>
  <c r="BM210" i="1"/>
  <c r="BL210" i="1"/>
  <c r="BJ210" i="1"/>
  <c r="BI210" i="1"/>
  <c r="BG210" i="1"/>
  <c r="BE210" i="1"/>
  <c r="BD210" i="1"/>
  <c r="BB210" i="1"/>
  <c r="BS209" i="1"/>
  <c r="BR209" i="1"/>
  <c r="BQ209" i="1"/>
  <c r="BO209" i="1"/>
  <c r="BN209" i="1"/>
  <c r="BM209" i="1"/>
  <c r="BL209" i="1"/>
  <c r="BJ209" i="1"/>
  <c r="BI209" i="1"/>
  <c r="BG209" i="1"/>
  <c r="BE209" i="1"/>
  <c r="BD209" i="1"/>
  <c r="BB209" i="1"/>
  <c r="AZ210" i="1"/>
  <c r="AY210" i="1"/>
  <c r="AX210" i="1"/>
  <c r="AW210" i="1"/>
  <c r="AZ209" i="1"/>
  <c r="AY209" i="1"/>
  <c r="AX209" i="1"/>
  <c r="AW209" i="1"/>
  <c r="AZ208" i="1"/>
  <c r="AY208" i="1"/>
  <c r="AY224" i="1" s="1"/>
  <c r="AX208" i="1"/>
  <c r="AW208" i="1"/>
  <c r="AT210" i="1"/>
  <c r="AS210" i="1"/>
  <c r="AT209" i="1"/>
  <c r="AS209" i="1"/>
  <c r="AT208" i="1"/>
  <c r="AS208" i="1"/>
  <c r="DW213" i="1"/>
  <c r="DV213" i="1"/>
  <c r="DU213" i="1"/>
  <c r="DT213" i="1"/>
  <c r="DR213" i="1"/>
  <c r="DQ213" i="1"/>
  <c r="DP213" i="1"/>
  <c r="DO213" i="1"/>
  <c r="DM213" i="1"/>
  <c r="DL213" i="1"/>
  <c r="DK213" i="1"/>
  <c r="DJ213" i="1"/>
  <c r="DH213" i="1"/>
  <c r="DG213" i="1"/>
  <c r="DF213" i="1"/>
  <c r="DE213" i="1"/>
  <c r="DC213" i="1"/>
  <c r="DB213" i="1"/>
  <c r="DA213" i="1"/>
  <c r="CZ213" i="1"/>
  <c r="CX213" i="1"/>
  <c r="CW213" i="1"/>
  <c r="CV213" i="1"/>
  <c r="CU213" i="1"/>
  <c r="CS213" i="1"/>
  <c r="CR213" i="1"/>
  <c r="CQ213" i="1"/>
  <c r="CP213" i="1"/>
  <c r="CN213" i="1"/>
  <c r="CM213" i="1"/>
  <c r="CL213" i="1"/>
  <c r="CK213" i="1"/>
  <c r="CH213" i="1"/>
  <c r="CG213" i="1"/>
  <c r="CF213" i="1"/>
  <c r="CD213" i="1"/>
  <c r="CC213" i="1"/>
  <c r="CB213" i="1"/>
  <c r="CA213" i="1"/>
  <c r="BT213" i="1"/>
  <c r="BU213" i="1" s="1"/>
  <c r="DW211" i="1"/>
  <c r="DV211" i="1"/>
  <c r="DU211" i="1"/>
  <c r="DT211" i="1"/>
  <c r="DR211" i="1"/>
  <c r="DQ211" i="1"/>
  <c r="DP211" i="1"/>
  <c r="DO211" i="1"/>
  <c r="DM211" i="1"/>
  <c r="DL211" i="1"/>
  <c r="DK211" i="1"/>
  <c r="DJ211" i="1"/>
  <c r="DH211" i="1"/>
  <c r="DG211" i="1"/>
  <c r="DF211" i="1"/>
  <c r="DE211" i="1"/>
  <c r="DC211" i="1"/>
  <c r="DB211" i="1"/>
  <c r="DA211" i="1"/>
  <c r="CZ211" i="1"/>
  <c r="CX211" i="1"/>
  <c r="CW211" i="1"/>
  <c r="CV211" i="1"/>
  <c r="CU211" i="1"/>
  <c r="CS211" i="1"/>
  <c r="CR211" i="1"/>
  <c r="CQ211" i="1"/>
  <c r="CP211" i="1"/>
  <c r="CN211" i="1"/>
  <c r="CM211" i="1"/>
  <c r="CL211" i="1"/>
  <c r="CK211" i="1"/>
  <c r="CH211" i="1"/>
  <c r="CG211" i="1"/>
  <c r="CF211" i="1"/>
  <c r="CD211" i="1"/>
  <c r="CC211" i="1"/>
  <c r="CB211" i="1"/>
  <c r="CA211" i="1"/>
  <c r="BT211" i="1"/>
  <c r="DW210" i="1"/>
  <c r="DV210" i="1"/>
  <c r="DU210" i="1"/>
  <c r="DT210" i="1"/>
  <c r="DR210" i="1"/>
  <c r="DQ210" i="1"/>
  <c r="DP210" i="1"/>
  <c r="DO210" i="1"/>
  <c r="DM210" i="1"/>
  <c r="DL210" i="1"/>
  <c r="DK210" i="1"/>
  <c r="DJ210" i="1"/>
  <c r="DH210" i="1"/>
  <c r="DG210" i="1"/>
  <c r="DF210" i="1"/>
  <c r="DE210" i="1"/>
  <c r="DC210" i="1"/>
  <c r="DB210" i="1"/>
  <c r="DA210" i="1"/>
  <c r="CZ210" i="1"/>
  <c r="CX210" i="1"/>
  <c r="CW210" i="1"/>
  <c r="CV210" i="1"/>
  <c r="CU210" i="1"/>
  <c r="CS210" i="1"/>
  <c r="CR210" i="1"/>
  <c r="CQ210" i="1"/>
  <c r="CP210" i="1"/>
  <c r="CI210" i="1"/>
  <c r="CH210" i="1"/>
  <c r="CG210" i="1"/>
  <c r="CF210" i="1"/>
  <c r="CD210" i="1"/>
  <c r="CC210" i="1"/>
  <c r="CA210" i="1"/>
  <c r="BT210" i="1"/>
  <c r="DW209" i="1"/>
  <c r="DV209" i="1"/>
  <c r="DU209" i="1"/>
  <c r="DT209" i="1"/>
  <c r="DR209" i="1"/>
  <c r="DQ209" i="1"/>
  <c r="DP209" i="1"/>
  <c r="DO209" i="1"/>
  <c r="DM209" i="1"/>
  <c r="DL209" i="1"/>
  <c r="DK209" i="1"/>
  <c r="DJ209" i="1"/>
  <c r="DH209" i="1"/>
  <c r="DG209" i="1"/>
  <c r="DF209" i="1"/>
  <c r="DE209" i="1"/>
  <c r="DC209" i="1"/>
  <c r="DB209" i="1"/>
  <c r="DA209" i="1"/>
  <c r="CZ209" i="1"/>
  <c r="CX209" i="1"/>
  <c r="CW209" i="1"/>
  <c r="CV209" i="1"/>
  <c r="CU209" i="1"/>
  <c r="CS209" i="1"/>
  <c r="CR209" i="1"/>
  <c r="CQ209" i="1"/>
  <c r="CP209" i="1"/>
  <c r="CN209" i="1"/>
  <c r="CM209" i="1"/>
  <c r="CL209" i="1"/>
  <c r="CK209" i="1"/>
  <c r="CI209" i="1"/>
  <c r="CH209" i="1"/>
  <c r="CG209" i="1"/>
  <c r="CF209" i="1"/>
  <c r="CD209" i="1"/>
  <c r="CC209" i="1"/>
  <c r="CB209" i="1"/>
  <c r="CA209" i="1"/>
  <c r="BT209" i="1"/>
  <c r="DW205" i="1"/>
  <c r="DV205" i="1"/>
  <c r="DU205" i="1"/>
  <c r="DT205" i="1"/>
  <c r="DR205" i="1"/>
  <c r="DQ205" i="1"/>
  <c r="DP205" i="1"/>
  <c r="DO205" i="1"/>
  <c r="DM205" i="1"/>
  <c r="DL205" i="1"/>
  <c r="DK205" i="1"/>
  <c r="DJ205" i="1"/>
  <c r="BT205" i="1"/>
  <c r="BS205" i="1"/>
  <c r="BR205" i="1"/>
  <c r="BQ205" i="1"/>
  <c r="BO205" i="1"/>
  <c r="BN205" i="1"/>
  <c r="BL205" i="1"/>
  <c r="BJ205" i="1"/>
  <c r="BI205" i="1"/>
  <c r="BH205" i="1"/>
  <c r="BG205" i="1"/>
  <c r="BE205" i="1"/>
  <c r="BD205" i="1"/>
  <c r="BC205" i="1"/>
  <c r="BB205" i="1"/>
  <c r="BA205" i="1"/>
  <c r="W205" i="1"/>
  <c r="U205" i="1"/>
  <c r="DX203" i="1"/>
  <c r="DS203" i="1"/>
  <c r="DN203" i="1"/>
  <c r="DI203" i="1"/>
  <c r="DD203" i="1"/>
  <c r="CY203" i="1"/>
  <c r="CT203" i="1"/>
  <c r="CO203" i="1"/>
  <c r="CJ201" i="1"/>
  <c r="CE203" i="1"/>
  <c r="CE202" i="1"/>
  <c r="BU203" i="1"/>
  <c r="BU202" i="1"/>
  <c r="BU201" i="1"/>
  <c r="BP203" i="1"/>
  <c r="BP202" i="1"/>
  <c r="BP201" i="1"/>
  <c r="BK203" i="1"/>
  <c r="BK202" i="1"/>
  <c r="BK201" i="1"/>
  <c r="BF203" i="1"/>
  <c r="BF202" i="1"/>
  <c r="BF201" i="1"/>
  <c r="BA203" i="1"/>
  <c r="BA202" i="1"/>
  <c r="BA201" i="1"/>
  <c r="Z198" i="1"/>
  <c r="U198" i="1"/>
  <c r="BK197" i="1"/>
  <c r="AZ197" i="1"/>
  <c r="AY197" i="1"/>
  <c r="AX197" i="1"/>
  <c r="AW197" i="1"/>
  <c r="BK196" i="1"/>
  <c r="AK197" i="1"/>
  <c r="AJ197" i="1"/>
  <c r="AI197" i="1"/>
  <c r="AH197" i="1"/>
  <c r="AG197" i="1"/>
  <c r="AE197" i="1"/>
  <c r="AD197" i="1"/>
  <c r="AC197" i="1"/>
  <c r="AB197" i="1"/>
  <c r="AK196" i="1"/>
  <c r="AJ196" i="1"/>
  <c r="AI196" i="1"/>
  <c r="AH196" i="1"/>
  <c r="AG196" i="1"/>
  <c r="AE196" i="1"/>
  <c r="AD196" i="1"/>
  <c r="AC196" i="1"/>
  <c r="AB196" i="1"/>
  <c r="AA196" i="1"/>
  <c r="AA198" i="1" s="1"/>
  <c r="Y197" i="1"/>
  <c r="X197" i="1"/>
  <c r="W197" i="1"/>
  <c r="V197" i="1"/>
  <c r="Y196" i="1"/>
  <c r="X196" i="1"/>
  <c r="W196" i="1"/>
  <c r="V196" i="1"/>
  <c r="AU187" i="1"/>
  <c r="AT187" i="1"/>
  <c r="AS187" i="1"/>
  <c r="AR187" i="1"/>
  <c r="AQ187" i="1"/>
  <c r="AP187" i="1"/>
  <c r="AO187" i="1"/>
  <c r="AO189" i="1" s="1"/>
  <c r="AN187" i="1"/>
  <c r="AL187" i="1"/>
  <c r="AK187" i="1"/>
  <c r="AJ187" i="1"/>
  <c r="AI187" i="1"/>
  <c r="AH187" i="1"/>
  <c r="AG187" i="1"/>
  <c r="AE187" i="1"/>
  <c r="AD187" i="1"/>
  <c r="AC187" i="1"/>
  <c r="AA187" i="1"/>
  <c r="Z187" i="1"/>
  <c r="X187" i="1"/>
  <c r="X189" i="1" s="1"/>
  <c r="W187" i="1"/>
  <c r="W189" i="1" s="1"/>
  <c r="V187" i="1"/>
  <c r="U187" i="1"/>
  <c r="U189" i="1" s="1"/>
  <c r="DX186" i="1"/>
  <c r="DX185" i="1"/>
  <c r="DX184" i="1"/>
  <c r="DX183" i="1"/>
  <c r="DX182" i="1"/>
  <c r="DX181" i="1"/>
  <c r="DX180" i="1"/>
  <c r="DX179" i="1"/>
  <c r="DX178" i="1"/>
  <c r="DX177" i="1"/>
  <c r="DS186" i="1"/>
  <c r="DS185" i="1"/>
  <c r="DS184" i="1"/>
  <c r="DS183" i="1"/>
  <c r="DS182" i="1"/>
  <c r="DS181" i="1"/>
  <c r="DS180" i="1"/>
  <c r="DS179" i="1"/>
  <c r="DS178" i="1"/>
  <c r="DS177" i="1"/>
  <c r="DN186" i="1"/>
  <c r="DN185" i="1"/>
  <c r="DN184" i="1"/>
  <c r="DN183" i="1"/>
  <c r="DN182" i="1"/>
  <c r="DN181" i="1"/>
  <c r="DN180" i="1"/>
  <c r="DN179" i="1"/>
  <c r="DN178" i="1"/>
  <c r="DN177" i="1"/>
  <c r="DI186" i="1"/>
  <c r="DI185" i="1"/>
  <c r="DI184" i="1"/>
  <c r="DI183" i="1"/>
  <c r="DI182" i="1"/>
  <c r="DI181" i="1"/>
  <c r="DI180" i="1"/>
  <c r="DI179" i="1"/>
  <c r="DI178" i="1"/>
  <c r="DI177" i="1"/>
  <c r="DD186" i="1"/>
  <c r="DD185" i="1"/>
  <c r="DD184" i="1"/>
  <c r="DD183" i="1"/>
  <c r="DD182" i="1"/>
  <c r="DD181" i="1"/>
  <c r="DD180" i="1"/>
  <c r="DD179" i="1"/>
  <c r="DD178" i="1"/>
  <c r="DD177" i="1"/>
  <c r="CY186" i="1"/>
  <c r="CY185" i="1"/>
  <c r="CY184" i="1"/>
  <c r="CY183" i="1"/>
  <c r="CY182" i="1"/>
  <c r="CY181" i="1"/>
  <c r="CY180" i="1"/>
  <c r="CY179" i="1"/>
  <c r="CY178" i="1"/>
  <c r="CY177" i="1"/>
  <c r="CT186" i="1"/>
  <c r="CT185" i="1"/>
  <c r="CT184" i="1"/>
  <c r="CT183" i="1"/>
  <c r="CT182" i="1"/>
  <c r="CT181" i="1"/>
  <c r="CT180" i="1"/>
  <c r="CT179" i="1"/>
  <c r="CT178" i="1"/>
  <c r="CT177" i="1"/>
  <c r="CO186" i="1"/>
  <c r="CO185" i="1"/>
  <c r="CO184" i="1"/>
  <c r="CO183" i="1"/>
  <c r="CO182" i="1"/>
  <c r="CO181" i="1"/>
  <c r="CO180" i="1"/>
  <c r="CO179" i="1"/>
  <c r="CO178" i="1"/>
  <c r="CO177" i="1"/>
  <c r="CJ186" i="1"/>
  <c r="CJ185" i="1"/>
  <c r="CJ184" i="1"/>
  <c r="CJ183" i="1"/>
  <c r="CJ182" i="1"/>
  <c r="CJ181" i="1"/>
  <c r="CJ180" i="1"/>
  <c r="CJ179" i="1"/>
  <c r="CJ178" i="1"/>
  <c r="CJ177" i="1"/>
  <c r="CE186" i="1"/>
  <c r="CE185" i="1"/>
  <c r="CE184" i="1"/>
  <c r="CE183" i="1"/>
  <c r="CE182" i="1"/>
  <c r="CE181" i="1"/>
  <c r="CE180" i="1"/>
  <c r="CE179" i="1"/>
  <c r="CE178" i="1"/>
  <c r="CE177" i="1"/>
  <c r="BU186" i="1"/>
  <c r="BU185" i="1"/>
  <c r="BU184" i="1"/>
  <c r="BU183" i="1"/>
  <c r="BU182" i="1"/>
  <c r="BU181" i="1"/>
  <c r="BU180" i="1"/>
  <c r="BU179" i="1"/>
  <c r="BU178" i="1"/>
  <c r="BU177" i="1"/>
  <c r="BP186" i="1"/>
  <c r="BP185" i="1"/>
  <c r="BP184" i="1"/>
  <c r="BP183" i="1"/>
  <c r="BP182" i="1"/>
  <c r="BP181" i="1"/>
  <c r="BP180" i="1"/>
  <c r="BP179" i="1"/>
  <c r="BP178" i="1"/>
  <c r="BP177" i="1"/>
  <c r="BK186" i="1"/>
  <c r="BK185" i="1"/>
  <c r="BK184" i="1"/>
  <c r="BK183" i="1"/>
  <c r="BK182" i="1"/>
  <c r="BK181" i="1"/>
  <c r="BK180" i="1"/>
  <c r="BK179" i="1"/>
  <c r="BK178" i="1"/>
  <c r="BK177" i="1"/>
  <c r="BF186" i="1"/>
  <c r="BF185" i="1"/>
  <c r="BF184" i="1"/>
  <c r="BF183" i="1"/>
  <c r="BF182" i="1"/>
  <c r="BF181" i="1"/>
  <c r="BF180" i="1"/>
  <c r="BF179" i="1"/>
  <c r="BF178" i="1"/>
  <c r="BF177" i="1"/>
  <c r="BA186" i="1"/>
  <c r="BA185" i="1"/>
  <c r="BA184" i="1"/>
  <c r="BA183" i="1"/>
  <c r="BA182" i="1"/>
  <c r="BA181" i="1"/>
  <c r="BA180" i="1"/>
  <c r="BA179" i="1"/>
  <c r="BA178" i="1"/>
  <c r="BA177" i="1"/>
  <c r="Y185" i="1"/>
  <c r="Y183" i="1"/>
  <c r="Y181" i="1"/>
  <c r="Y180" i="1"/>
  <c r="AF177" i="1"/>
  <c r="AF187" i="1" s="1"/>
  <c r="DW172" i="1"/>
  <c r="DV172" i="1"/>
  <c r="DU172" i="1"/>
  <c r="DT172" i="1"/>
  <c r="DW171" i="1"/>
  <c r="DV171" i="1"/>
  <c r="DU171" i="1"/>
  <c r="DT171" i="1"/>
  <c r="DW170" i="1"/>
  <c r="DV170" i="1"/>
  <c r="DU170" i="1"/>
  <c r="DT170" i="1"/>
  <c r="DW169" i="1"/>
  <c r="DV169" i="1"/>
  <c r="DU169" i="1"/>
  <c r="DT169" i="1"/>
  <c r="DW168" i="1"/>
  <c r="DV168" i="1"/>
  <c r="DU168" i="1"/>
  <c r="DT168" i="1"/>
  <c r="DR172" i="1"/>
  <c r="DQ172" i="1"/>
  <c r="DP172" i="1"/>
  <c r="DO172" i="1"/>
  <c r="DR171" i="1"/>
  <c r="DQ171" i="1"/>
  <c r="DP171" i="1"/>
  <c r="DO171" i="1"/>
  <c r="DR170" i="1"/>
  <c r="DQ170" i="1"/>
  <c r="DP170" i="1"/>
  <c r="DO170" i="1"/>
  <c r="DR169" i="1"/>
  <c r="DQ169" i="1"/>
  <c r="DP169" i="1"/>
  <c r="DO169" i="1"/>
  <c r="DR168" i="1"/>
  <c r="DQ168" i="1"/>
  <c r="DP168" i="1"/>
  <c r="DO168" i="1"/>
  <c r="DM172" i="1"/>
  <c r="DL172" i="1"/>
  <c r="DK172" i="1"/>
  <c r="DJ172" i="1"/>
  <c r="DM171" i="1"/>
  <c r="DL171" i="1"/>
  <c r="DK171" i="1"/>
  <c r="DJ171" i="1"/>
  <c r="DM170" i="1"/>
  <c r="DL170" i="1"/>
  <c r="DK170" i="1"/>
  <c r="DJ170" i="1"/>
  <c r="DM169" i="1"/>
  <c r="DL169" i="1"/>
  <c r="DK169" i="1"/>
  <c r="DJ169" i="1"/>
  <c r="DM168" i="1"/>
  <c r="DL168" i="1"/>
  <c r="DK168" i="1"/>
  <c r="DJ168" i="1"/>
  <c r="DH172" i="1"/>
  <c r="DG172" i="1"/>
  <c r="DF172" i="1"/>
  <c r="DE172" i="1"/>
  <c r="DH171" i="1"/>
  <c r="DG171" i="1"/>
  <c r="DF171" i="1"/>
  <c r="DE171" i="1"/>
  <c r="DH170" i="1"/>
  <c r="DG170" i="1"/>
  <c r="DF170" i="1"/>
  <c r="DE170" i="1"/>
  <c r="DH169" i="1"/>
  <c r="DG169" i="1"/>
  <c r="DF169" i="1"/>
  <c r="DE169" i="1"/>
  <c r="DH168" i="1"/>
  <c r="DG168" i="1"/>
  <c r="DF168" i="1"/>
  <c r="DE168" i="1"/>
  <c r="DC172" i="1"/>
  <c r="DB172" i="1"/>
  <c r="DA172" i="1"/>
  <c r="CZ172" i="1"/>
  <c r="DC171" i="1"/>
  <c r="DB171" i="1"/>
  <c r="DA171" i="1"/>
  <c r="CZ171" i="1"/>
  <c r="DC170" i="1"/>
  <c r="DB170" i="1"/>
  <c r="DA170" i="1"/>
  <c r="CZ170" i="1"/>
  <c r="DC169" i="1"/>
  <c r="DB169" i="1"/>
  <c r="DA169" i="1"/>
  <c r="CZ169" i="1"/>
  <c r="DC168" i="1"/>
  <c r="DB168" i="1"/>
  <c r="DA168" i="1"/>
  <c r="CZ168" i="1"/>
  <c r="CX172" i="1"/>
  <c r="CW172" i="1"/>
  <c r="CV172" i="1"/>
  <c r="CU172" i="1"/>
  <c r="CX171" i="1"/>
  <c r="CW171" i="1"/>
  <c r="CV171" i="1"/>
  <c r="CU171" i="1"/>
  <c r="CX170" i="1"/>
  <c r="CW170" i="1"/>
  <c r="CV170" i="1"/>
  <c r="CU170" i="1"/>
  <c r="CX169" i="1"/>
  <c r="CW169" i="1"/>
  <c r="CV169" i="1"/>
  <c r="CU169" i="1"/>
  <c r="CX168" i="1"/>
  <c r="CW168" i="1"/>
  <c r="CV168" i="1"/>
  <c r="CU168" i="1"/>
  <c r="CS172" i="1"/>
  <c r="CR172" i="1"/>
  <c r="CQ172" i="1"/>
  <c r="CP172" i="1"/>
  <c r="CS171" i="1"/>
  <c r="CR171" i="1"/>
  <c r="CQ171" i="1"/>
  <c r="CP171" i="1"/>
  <c r="CS170" i="1"/>
  <c r="CR170" i="1"/>
  <c r="CQ170" i="1"/>
  <c r="CP170" i="1"/>
  <c r="CN172" i="1"/>
  <c r="CM172" i="1"/>
  <c r="CL172" i="1"/>
  <c r="CN171" i="1"/>
  <c r="CM171" i="1"/>
  <c r="CL171" i="1"/>
  <c r="CK171" i="1"/>
  <c r="CN170" i="1"/>
  <c r="CM170" i="1"/>
  <c r="CL170" i="1"/>
  <c r="CK170" i="1"/>
  <c r="CN168" i="1"/>
  <c r="CM168" i="1"/>
  <c r="CL168" i="1"/>
  <c r="CK168" i="1"/>
  <c r="CH172" i="1"/>
  <c r="CG172" i="1"/>
  <c r="CF172" i="1"/>
  <c r="CH171" i="1"/>
  <c r="CG171" i="1"/>
  <c r="CF171" i="1"/>
  <c r="CH170" i="1"/>
  <c r="CG170" i="1"/>
  <c r="CF170" i="1"/>
  <c r="CG169" i="1"/>
  <c r="CF169" i="1"/>
  <c r="CH168" i="1"/>
  <c r="CG168" i="1"/>
  <c r="CF168" i="1"/>
  <c r="CD172" i="1"/>
  <c r="CC172" i="1"/>
  <c r="CB172" i="1"/>
  <c r="CA172" i="1"/>
  <c r="CD171" i="1"/>
  <c r="CC171" i="1"/>
  <c r="CB171" i="1"/>
  <c r="CA171" i="1"/>
  <c r="CD170" i="1"/>
  <c r="CC170" i="1"/>
  <c r="CB170" i="1"/>
  <c r="CA170" i="1"/>
  <c r="CD169" i="1"/>
  <c r="CD168" i="1"/>
  <c r="CC168" i="1"/>
  <c r="CA168" i="1"/>
  <c r="BT172" i="1"/>
  <c r="BS172" i="1"/>
  <c r="BR172" i="1"/>
  <c r="BQ172" i="1"/>
  <c r="BT171" i="1"/>
  <c r="BS171" i="1"/>
  <c r="BR171" i="1"/>
  <c r="BQ171" i="1"/>
  <c r="BT170" i="1"/>
  <c r="BS170" i="1"/>
  <c r="BR170" i="1"/>
  <c r="BQ170" i="1"/>
  <c r="BT169" i="1"/>
  <c r="BS169" i="1"/>
  <c r="BR169" i="1"/>
  <c r="BQ169" i="1"/>
  <c r="BT168" i="1"/>
  <c r="BS168" i="1"/>
  <c r="BR168" i="1"/>
  <c r="BQ168" i="1"/>
  <c r="BT167" i="1"/>
  <c r="BS167" i="1"/>
  <c r="BR167" i="1"/>
  <c r="BQ167" i="1"/>
  <c r="BO172" i="1"/>
  <c r="BN172" i="1"/>
  <c r="BM172" i="1"/>
  <c r="BL172" i="1"/>
  <c r="BO171" i="1"/>
  <c r="BN171" i="1"/>
  <c r="BM171" i="1"/>
  <c r="BL171" i="1"/>
  <c r="BO170" i="1"/>
  <c r="BN170" i="1"/>
  <c r="BM170" i="1"/>
  <c r="BL170" i="1"/>
  <c r="BO169" i="1"/>
  <c r="BN169" i="1"/>
  <c r="BM169" i="1"/>
  <c r="BL169" i="1"/>
  <c r="BO168" i="1"/>
  <c r="BN168" i="1"/>
  <c r="BM168" i="1"/>
  <c r="BL168" i="1"/>
  <c r="BO167" i="1"/>
  <c r="BN167" i="1"/>
  <c r="BM167" i="1"/>
  <c r="BJ172" i="1"/>
  <c r="BI172" i="1"/>
  <c r="BH172" i="1"/>
  <c r="BG172" i="1"/>
  <c r="BJ171" i="1"/>
  <c r="BI171" i="1"/>
  <c r="BG171" i="1"/>
  <c r="BJ170" i="1"/>
  <c r="BI170" i="1"/>
  <c r="BG170" i="1"/>
  <c r="BJ169" i="1"/>
  <c r="BI169" i="1"/>
  <c r="BG169" i="1"/>
  <c r="BJ168" i="1"/>
  <c r="BI168" i="1"/>
  <c r="BG168" i="1"/>
  <c r="BJ167" i="1"/>
  <c r="BI167" i="1"/>
  <c r="BH167" i="1"/>
  <c r="BE172" i="1"/>
  <c r="BD172" i="1"/>
  <c r="BB172" i="1"/>
  <c r="BE171" i="1"/>
  <c r="BD171" i="1"/>
  <c r="BB171" i="1"/>
  <c r="BE170" i="1"/>
  <c r="BD170" i="1"/>
  <c r="BB170" i="1"/>
  <c r="BE169" i="1"/>
  <c r="BD169" i="1"/>
  <c r="BB169" i="1"/>
  <c r="BE168" i="1"/>
  <c r="BD168" i="1"/>
  <c r="BB168" i="1"/>
  <c r="BE167" i="1"/>
  <c r="BD167" i="1"/>
  <c r="BB167" i="1"/>
  <c r="AZ176" i="1"/>
  <c r="AY176" i="1"/>
  <c r="AX176" i="1"/>
  <c r="AW176" i="1"/>
  <c r="AZ172" i="1"/>
  <c r="AY172" i="1"/>
  <c r="AX172" i="1"/>
  <c r="AW172" i="1"/>
  <c r="AZ171" i="1"/>
  <c r="AY171" i="1"/>
  <c r="AX171" i="1"/>
  <c r="AW171" i="1"/>
  <c r="AZ170" i="1"/>
  <c r="AY170" i="1"/>
  <c r="AX170" i="1"/>
  <c r="AW170" i="1"/>
  <c r="AZ169" i="1"/>
  <c r="AY169" i="1"/>
  <c r="AX169" i="1"/>
  <c r="AW169" i="1"/>
  <c r="AZ168" i="1"/>
  <c r="AY168" i="1"/>
  <c r="AX168" i="1"/>
  <c r="AW168" i="1"/>
  <c r="AZ167" i="1"/>
  <c r="AZ187" i="1" s="1"/>
  <c r="AZ229" i="5" s="1"/>
  <c r="AY167" i="1"/>
  <c r="AX167" i="1"/>
  <c r="AX187" i="1" s="1"/>
  <c r="AX229" i="5" s="1"/>
  <c r="AW167" i="1"/>
  <c r="AK165" i="1"/>
  <c r="AJ165" i="1"/>
  <c r="AI165" i="1"/>
  <c r="AH165" i="1"/>
  <c r="AG165" i="1"/>
  <c r="AE165" i="1"/>
  <c r="AD165" i="1"/>
  <c r="AC165" i="1"/>
  <c r="AB165" i="1"/>
  <c r="AA165" i="1"/>
  <c r="Z165" i="1"/>
  <c r="Y165" i="1"/>
  <c r="X165" i="1"/>
  <c r="W165" i="1"/>
  <c r="V165" i="1"/>
  <c r="U165" i="1"/>
  <c r="BM164" i="1"/>
  <c r="BL164" i="1"/>
  <c r="BG164" i="1"/>
  <c r="BB164" i="1"/>
  <c r="AZ164" i="1"/>
  <c r="AY164" i="1"/>
  <c r="AF164" i="1"/>
  <c r="AF163" i="1"/>
  <c r="AF197" i="1" s="1"/>
  <c r="AF162" i="1"/>
  <c r="AF161" i="1"/>
  <c r="AF160" i="1"/>
  <c r="AF196" i="1" s="1"/>
  <c r="BQ164" i="1"/>
  <c r="BS163" i="1"/>
  <c r="BS197" i="1" s="1"/>
  <c r="BR163" i="1"/>
  <c r="BR197" i="1" s="1"/>
  <c r="BQ163" i="1"/>
  <c r="BQ197" i="1" s="1"/>
  <c r="DW162" i="1"/>
  <c r="DV162" i="1"/>
  <c r="DU162" i="1"/>
  <c r="DT162" i="1"/>
  <c r="DR162" i="1"/>
  <c r="DQ162" i="1"/>
  <c r="DP162" i="1"/>
  <c r="DO162" i="1"/>
  <c r="DM162" i="1"/>
  <c r="DL162" i="1"/>
  <c r="DK162" i="1"/>
  <c r="DJ162" i="1"/>
  <c r="DH162" i="1"/>
  <c r="DG162" i="1"/>
  <c r="DF162" i="1"/>
  <c r="DE162" i="1"/>
  <c r="DC162" i="1"/>
  <c r="DB162" i="1"/>
  <c r="DA162" i="1"/>
  <c r="CZ162" i="1"/>
  <c r="CX162" i="1"/>
  <c r="CW162" i="1"/>
  <c r="CV162" i="1"/>
  <c r="CU162" i="1"/>
  <c r="CS162" i="1"/>
  <c r="CR162" i="1"/>
  <c r="CQ162" i="1"/>
  <c r="CP162" i="1"/>
  <c r="CN162" i="1"/>
  <c r="CM162" i="1"/>
  <c r="CL162" i="1"/>
  <c r="CI162" i="1"/>
  <c r="CH162" i="1"/>
  <c r="CG162" i="1"/>
  <c r="CF162" i="1"/>
  <c r="CD162" i="1"/>
  <c r="CB162" i="1"/>
  <c r="CA162" i="1"/>
  <c r="BT162" i="1"/>
  <c r="BS162" i="1"/>
  <c r="BR162" i="1"/>
  <c r="BQ162" i="1"/>
  <c r="BS161" i="1"/>
  <c r="BR161" i="1"/>
  <c r="BQ161" i="1"/>
  <c r="BO163" i="1"/>
  <c r="BO197" i="1" s="1"/>
  <c r="BN163" i="1"/>
  <c r="BN197" i="1" s="1"/>
  <c r="BM163" i="1"/>
  <c r="BL163" i="1"/>
  <c r="BL197" i="1" s="1"/>
  <c r="BO162" i="1"/>
  <c r="BN162" i="1"/>
  <c r="BM162" i="1"/>
  <c r="BL162" i="1"/>
  <c r="BO161" i="1"/>
  <c r="BN161" i="1"/>
  <c r="BM161" i="1"/>
  <c r="BL161" i="1"/>
  <c r="BJ163" i="1"/>
  <c r="BJ197" i="1" s="1"/>
  <c r="BI163" i="1"/>
  <c r="BI197" i="1" s="1"/>
  <c r="BH163" i="1"/>
  <c r="BH197" i="1" s="1"/>
  <c r="BG163" i="1"/>
  <c r="BG197" i="1" s="1"/>
  <c r="BE163" i="1"/>
  <c r="BE197" i="1" s="1"/>
  <c r="BD163" i="1"/>
  <c r="BD197" i="1" s="1"/>
  <c r="BC163" i="1"/>
  <c r="BC197" i="1" s="1"/>
  <c r="BB163" i="1"/>
  <c r="BB197" i="1" s="1"/>
  <c r="AZ163" i="1"/>
  <c r="AY163" i="1"/>
  <c r="AX163" i="1"/>
  <c r="AW163" i="1"/>
  <c r="BJ162" i="1"/>
  <c r="BI162" i="1"/>
  <c r="BH162" i="1"/>
  <c r="BG162" i="1"/>
  <c r="BE162" i="1"/>
  <c r="BD162" i="1"/>
  <c r="BC162" i="1"/>
  <c r="BB162" i="1"/>
  <c r="AZ162" i="1"/>
  <c r="AY162" i="1"/>
  <c r="AX162" i="1"/>
  <c r="AW162" i="1"/>
  <c r="BJ161" i="1"/>
  <c r="BI161" i="1"/>
  <c r="BG161" i="1"/>
  <c r="BE161" i="1"/>
  <c r="BB161" i="1"/>
  <c r="AZ161" i="1"/>
  <c r="AQ164" i="1"/>
  <c r="AL164" i="1"/>
  <c r="AR163" i="1"/>
  <c r="AR197" i="1" s="1"/>
  <c r="AQ163" i="1"/>
  <c r="AQ197" i="1" s="1"/>
  <c r="AO163" i="1"/>
  <c r="AO197" i="1" s="1"/>
  <c r="AN163" i="1"/>
  <c r="AN197" i="1" s="1"/>
  <c r="AM163" i="1"/>
  <c r="AL163" i="1"/>
  <c r="AL197" i="1" s="1"/>
  <c r="AT162" i="1"/>
  <c r="AS162" i="1"/>
  <c r="AR162" i="1"/>
  <c r="AQ162" i="1"/>
  <c r="AO162" i="1"/>
  <c r="AN162" i="1"/>
  <c r="AM162" i="1"/>
  <c r="AL162" i="1"/>
  <c r="AT161" i="1"/>
  <c r="AS161" i="1"/>
  <c r="AN161" i="1"/>
  <c r="K21" i="128"/>
  <c r="EY138" i="1"/>
  <c r="EL138" i="1"/>
  <c r="EK138" i="1"/>
  <c r="EJ138" i="1"/>
  <c r="EY137" i="1"/>
  <c r="EL137" i="1"/>
  <c r="EK137" i="1"/>
  <c r="EJ137" i="1"/>
  <c r="EY136" i="1"/>
  <c r="EM136" i="1"/>
  <c r="EL136" i="1"/>
  <c r="EK136" i="1"/>
  <c r="EJ136" i="1"/>
  <c r="EJ135" i="1"/>
  <c r="EP135" i="1"/>
  <c r="EO135" i="1"/>
  <c r="AU129" i="1"/>
  <c r="AQ129" i="1"/>
  <c r="AO129" i="1"/>
  <c r="AN129" i="1"/>
  <c r="AM129" i="1"/>
  <c r="AL129" i="1"/>
  <c r="AJ129" i="1"/>
  <c r="AI129" i="1"/>
  <c r="AH129" i="1"/>
  <c r="AG129" i="1"/>
  <c r="AF129" i="1"/>
  <c r="AE129" i="1"/>
  <c r="AD129" i="1"/>
  <c r="AC129" i="1"/>
  <c r="AB129" i="1"/>
  <c r="AA129" i="1"/>
  <c r="Z129" i="1"/>
  <c r="V129" i="1"/>
  <c r="Q129" i="1"/>
  <c r="V105" i="1"/>
  <c r="Q105" i="1"/>
  <c r="L105" i="1"/>
  <c r="G105" i="1"/>
  <c r="AS105" i="1"/>
  <c r="AM105" i="1"/>
  <c r="AJ105" i="1"/>
  <c r="AE105" i="1"/>
  <c r="AD105" i="1"/>
  <c r="AA105" i="1"/>
  <c r="Z105" i="1"/>
  <c r="Y105" i="1"/>
  <c r="Z103" i="1"/>
  <c r="Z102" i="1"/>
  <c r="AA102" i="1"/>
  <c r="Q102" i="1"/>
  <c r="L102" i="1"/>
  <c r="G102" i="1"/>
  <c r="EP109" i="1"/>
  <c r="EO109" i="1"/>
  <c r="EN109" i="1"/>
  <c r="EM109" i="1"/>
  <c r="EL109" i="1"/>
  <c r="EK109" i="1"/>
  <c r="BS105" i="1"/>
  <c r="BR105" i="1"/>
  <c r="AW105" i="1"/>
  <c r="BJ104" i="1"/>
  <c r="BI104" i="1"/>
  <c r="BH104" i="1"/>
  <c r="BG104" i="1"/>
  <c r="BE104" i="1"/>
  <c r="BD104" i="1"/>
  <c r="BC104" i="1"/>
  <c r="BB104" i="1"/>
  <c r="AZ104" i="1"/>
  <c r="AY104" i="1"/>
  <c r="AX104" i="1"/>
  <c r="AW104" i="1"/>
  <c r="BL103" i="1"/>
  <c r="BJ103" i="1"/>
  <c r="BI103" i="1"/>
  <c r="BH103" i="1"/>
  <c r="BG103" i="1"/>
  <c r="BE103" i="1"/>
  <c r="BD103" i="1"/>
  <c r="BC103" i="1"/>
  <c r="BB103" i="1"/>
  <c r="AZ103" i="1"/>
  <c r="AY103" i="1"/>
  <c r="AX103" i="1"/>
  <c r="AW103" i="1"/>
  <c r="BS102" i="1"/>
  <c r="BR102" i="1"/>
  <c r="BQ102" i="1"/>
  <c r="BO102" i="1"/>
  <c r="BN102" i="1"/>
  <c r="BM102" i="1"/>
  <c r="BL102" i="1"/>
  <c r="BJ102" i="1"/>
  <c r="BI102" i="1"/>
  <c r="BH102" i="1"/>
  <c r="BG102" i="1"/>
  <c r="BE102" i="1"/>
  <c r="BD102" i="1"/>
  <c r="BC102" i="1"/>
  <c r="BB102" i="1"/>
  <c r="AZ102" i="1"/>
  <c r="AY102" i="1"/>
  <c r="AX102" i="1"/>
  <c r="AW102" i="1"/>
  <c r="AT104" i="1"/>
  <c r="AS104" i="1"/>
  <c r="AR104" i="1"/>
  <c r="AQ104" i="1"/>
  <c r="AO104" i="1"/>
  <c r="AN104" i="1"/>
  <c r="AM104" i="1"/>
  <c r="AL104" i="1"/>
  <c r="AJ104" i="1"/>
  <c r="AI104" i="1"/>
  <c r="AH104" i="1"/>
  <c r="AG104" i="1"/>
  <c r="AE104" i="1"/>
  <c r="AD104" i="1"/>
  <c r="AC104" i="1"/>
  <c r="AB104" i="1"/>
  <c r="AT103" i="1"/>
  <c r="AS103" i="1"/>
  <c r="AR103" i="1"/>
  <c r="AQ103" i="1"/>
  <c r="AO103" i="1"/>
  <c r="AN103" i="1"/>
  <c r="AM103" i="1"/>
  <c r="AL103" i="1"/>
  <c r="AJ103" i="1"/>
  <c r="AI103" i="1"/>
  <c r="AH103" i="1"/>
  <c r="AG103" i="1"/>
  <c r="AE103" i="1"/>
  <c r="AD103" i="1"/>
  <c r="AC103" i="1"/>
  <c r="AB103" i="1"/>
  <c r="AT102" i="1"/>
  <c r="AS102" i="1"/>
  <c r="AR102" i="1"/>
  <c r="AQ102" i="1"/>
  <c r="AO102" i="1"/>
  <c r="AN102" i="1"/>
  <c r="AM102" i="1"/>
  <c r="AL102" i="1"/>
  <c r="AJ102" i="1"/>
  <c r="AI102" i="1"/>
  <c r="AH102" i="1"/>
  <c r="AG102" i="1"/>
  <c r="AE102" i="1"/>
  <c r="AD102" i="1"/>
  <c r="AC102" i="1"/>
  <c r="AB102" i="1"/>
  <c r="Y102" i="1"/>
  <c r="X102" i="1"/>
  <c r="W102" i="1"/>
  <c r="V102" i="1"/>
  <c r="Q97" i="1"/>
  <c r="Q96" i="1"/>
  <c r="Q95" i="1"/>
  <c r="L97" i="1"/>
  <c r="L96" i="1"/>
  <c r="L95" i="1"/>
  <c r="G97" i="1"/>
  <c r="G96" i="1"/>
  <c r="G95" i="1"/>
  <c r="BS98" i="1"/>
  <c r="BR98" i="1"/>
  <c r="BQ98" i="1"/>
  <c r="BO98" i="1"/>
  <c r="BN98" i="1"/>
  <c r="BM98" i="1"/>
  <c r="BL98" i="1"/>
  <c r="BJ98" i="1"/>
  <c r="BI98" i="1"/>
  <c r="BH98" i="1"/>
  <c r="BG98" i="1"/>
  <c r="BE98" i="1"/>
  <c r="BD98" i="1"/>
  <c r="BC98" i="1"/>
  <c r="BB98" i="1"/>
  <c r="AY97" i="1"/>
  <c r="AX97" i="1"/>
  <c r="AW97" i="1"/>
  <c r="AY96" i="1"/>
  <c r="AX96" i="1"/>
  <c r="AW96" i="1"/>
  <c r="EP100" i="1"/>
  <c r="EO100" i="1"/>
  <c r="EP97" i="1"/>
  <c r="EO97" i="1"/>
  <c r="EP96" i="1"/>
  <c r="EO96" i="1"/>
  <c r="EN97" i="1"/>
  <c r="EM97" i="1"/>
  <c r="EL97" i="1"/>
  <c r="EK97" i="1"/>
  <c r="EN96" i="1"/>
  <c r="EM96" i="1"/>
  <c r="EL96" i="1"/>
  <c r="EK96" i="1"/>
  <c r="BS95" i="1"/>
  <c r="BR95" i="1"/>
  <c r="BO95" i="1"/>
  <c r="BN95" i="1"/>
  <c r="BM95" i="1"/>
  <c r="BJ95" i="1"/>
  <c r="BI95" i="1"/>
  <c r="BH95" i="1"/>
  <c r="BG95" i="1"/>
  <c r="BE95" i="1"/>
  <c r="BD95" i="1"/>
  <c r="BC95" i="1"/>
  <c r="BB95" i="1"/>
  <c r="AZ95" i="1"/>
  <c r="AY95" i="1"/>
  <c r="AX95" i="1"/>
  <c r="AW95" i="1"/>
  <c r="AT97" i="1"/>
  <c r="AS97" i="1"/>
  <c r="AR97" i="1"/>
  <c r="AQ97" i="1"/>
  <c r="AO97" i="1"/>
  <c r="AN97" i="1"/>
  <c r="AM97" i="1"/>
  <c r="AL97" i="1"/>
  <c r="AJ97" i="1"/>
  <c r="AI97" i="1"/>
  <c r="AH97" i="1"/>
  <c r="AG97" i="1"/>
  <c r="AE97" i="1"/>
  <c r="AD97" i="1"/>
  <c r="AC97" i="1"/>
  <c r="AB97" i="1"/>
  <c r="AA97" i="1"/>
  <c r="F11" i="128" s="1"/>
  <c r="Z97" i="1"/>
  <c r="Y97" i="1"/>
  <c r="X97" i="1"/>
  <c r="W97" i="1"/>
  <c r="V97" i="1"/>
  <c r="E11" i="128" s="1"/>
  <c r="AT96" i="1"/>
  <c r="AR96" i="1"/>
  <c r="AQ96" i="1"/>
  <c r="AO96" i="1"/>
  <c r="AN96" i="1"/>
  <c r="AM96" i="1"/>
  <c r="AL96" i="1"/>
  <c r="AJ96" i="1"/>
  <c r="AI96" i="1"/>
  <c r="AH96" i="1"/>
  <c r="AG96" i="1"/>
  <c r="AE96" i="1"/>
  <c r="AD96" i="1"/>
  <c r="AC96" i="1"/>
  <c r="AB96" i="1"/>
  <c r="AA96" i="1"/>
  <c r="Z96" i="1"/>
  <c r="Y96" i="1"/>
  <c r="X96" i="1"/>
  <c r="W96" i="1"/>
  <c r="V96" i="1"/>
  <c r="AR95" i="1"/>
  <c r="AQ95" i="1"/>
  <c r="AO95" i="1"/>
  <c r="AN95" i="1"/>
  <c r="AM95" i="1"/>
  <c r="AL95" i="1"/>
  <c r="AJ95" i="1"/>
  <c r="AI95" i="1"/>
  <c r="AH95" i="1"/>
  <c r="AG95" i="1"/>
  <c r="AE95" i="1"/>
  <c r="AD95" i="1"/>
  <c r="AC95" i="1"/>
  <c r="AB95" i="1"/>
  <c r="AA95" i="1"/>
  <c r="Z95" i="1"/>
  <c r="Y95" i="1"/>
  <c r="X95" i="1"/>
  <c r="W95" i="1"/>
  <c r="V95" i="1"/>
  <c r="FB85" i="1"/>
  <c r="EY85" i="1"/>
  <c r="EO85" i="1"/>
  <c r="BS74" i="1"/>
  <c r="BR74" i="1"/>
  <c r="BQ74" i="1"/>
  <c r="BO74" i="1"/>
  <c r="BN74" i="1"/>
  <c r="BM74" i="1"/>
  <c r="BL74" i="1"/>
  <c r="BK74" i="1"/>
  <c r="EL74" i="1" s="1"/>
  <c r="BJ74" i="1"/>
  <c r="BI74" i="1"/>
  <c r="BH74" i="1"/>
  <c r="BG74" i="1"/>
  <c r="BE74" i="1"/>
  <c r="BD74" i="1"/>
  <c r="BC74" i="1"/>
  <c r="BB74" i="1"/>
  <c r="AZ74" i="1"/>
  <c r="AY74" i="1"/>
  <c r="AX74" i="1"/>
  <c r="AW74" i="1"/>
  <c r="L73" i="1"/>
  <c r="L71" i="1"/>
  <c r="L70" i="1"/>
  <c r="L69" i="1"/>
  <c r="G73" i="1"/>
  <c r="G71" i="1"/>
  <c r="G70" i="1"/>
  <c r="G69" i="1"/>
  <c r="B73" i="1"/>
  <c r="B71" i="1"/>
  <c r="B70" i="1"/>
  <c r="B69" i="1"/>
  <c r="AZ73" i="1"/>
  <c r="AY73" i="1"/>
  <c r="AX73" i="1"/>
  <c r="AW73" i="1"/>
  <c r="BS72" i="1"/>
  <c r="BR72" i="1"/>
  <c r="BQ72" i="1"/>
  <c r="BO71" i="1"/>
  <c r="BN71" i="1"/>
  <c r="FB71" i="1" s="1"/>
  <c r="BM71" i="1"/>
  <c r="BJ71" i="1"/>
  <c r="BI71" i="1"/>
  <c r="BH71" i="1"/>
  <c r="BG71" i="1"/>
  <c r="BE71" i="1"/>
  <c r="BD71" i="1"/>
  <c r="BC71" i="1"/>
  <c r="BB71" i="1"/>
  <c r="AY71" i="1"/>
  <c r="AX71" i="1"/>
  <c r="AW71" i="1"/>
  <c r="BO70" i="1"/>
  <c r="BN70" i="1"/>
  <c r="FB70" i="1" s="1"/>
  <c r="BM70" i="1"/>
  <c r="BJ70" i="1"/>
  <c r="BI70" i="1"/>
  <c r="BH70" i="1"/>
  <c r="BG70" i="1"/>
  <c r="BE70" i="1"/>
  <c r="BD70" i="1"/>
  <c r="BC70" i="1"/>
  <c r="BB70" i="1"/>
  <c r="AY70" i="1"/>
  <c r="AX70" i="1"/>
  <c r="AW70" i="1"/>
  <c r="BO69" i="1"/>
  <c r="BN69" i="1"/>
  <c r="FB69" i="1" s="1"/>
  <c r="BM69" i="1"/>
  <c r="BJ69" i="1"/>
  <c r="BI69" i="1"/>
  <c r="BH69" i="1"/>
  <c r="BG69" i="1"/>
  <c r="BE69" i="1"/>
  <c r="BD69" i="1"/>
  <c r="BC69" i="1"/>
  <c r="BB69" i="1"/>
  <c r="AY69" i="1"/>
  <c r="AX69" i="1"/>
  <c r="AW69" i="1"/>
  <c r="AT73" i="1"/>
  <c r="AS73" i="1"/>
  <c r="AR73" i="1"/>
  <c r="AQ73" i="1"/>
  <c r="AR71" i="1"/>
  <c r="AQ71" i="1"/>
  <c r="AR70" i="1"/>
  <c r="AQ70" i="1"/>
  <c r="AR69" i="1"/>
  <c r="AR236" i="1" s="1"/>
  <c r="AQ69" i="1"/>
  <c r="AQ236" i="1" s="1"/>
  <c r="AO73" i="1"/>
  <c r="AN73" i="1"/>
  <c r="AM73" i="1"/>
  <c r="AL73" i="1"/>
  <c r="AJ73" i="1"/>
  <c r="AI73" i="1"/>
  <c r="AH73" i="1"/>
  <c r="AG73" i="1"/>
  <c r="AE73" i="1"/>
  <c r="AD73" i="1"/>
  <c r="AC73" i="1"/>
  <c r="AB73" i="1"/>
  <c r="AA73" i="1"/>
  <c r="Z73" i="1"/>
  <c r="Y73" i="1"/>
  <c r="X73" i="1"/>
  <c r="W73" i="1"/>
  <c r="V73" i="1"/>
  <c r="U73" i="1"/>
  <c r="T73" i="1"/>
  <c r="S73" i="1"/>
  <c r="R73" i="1"/>
  <c r="Q73" i="1"/>
  <c r="AN71" i="1"/>
  <c r="AM71" i="1"/>
  <c r="AL71" i="1"/>
  <c r="AI71" i="1"/>
  <c r="AH71" i="1"/>
  <c r="AG71" i="1"/>
  <c r="AE71" i="1"/>
  <c r="AD71" i="1"/>
  <c r="AC71" i="1"/>
  <c r="AB71" i="1"/>
  <c r="AA71" i="1"/>
  <c r="Z71" i="1"/>
  <c r="Y71" i="1"/>
  <c r="X71" i="1"/>
  <c r="W71" i="1"/>
  <c r="V71" i="1"/>
  <c r="U71" i="1"/>
  <c r="T71" i="1"/>
  <c r="S71" i="1"/>
  <c r="R71" i="1"/>
  <c r="Q71" i="1"/>
  <c r="AN70" i="1"/>
  <c r="AM70" i="1"/>
  <c r="AL70" i="1"/>
  <c r="AI70" i="1"/>
  <c r="AH70" i="1"/>
  <c r="AG70" i="1"/>
  <c r="AE70" i="1"/>
  <c r="AD70" i="1"/>
  <c r="AC70" i="1"/>
  <c r="AB70" i="1"/>
  <c r="AA70" i="1"/>
  <c r="Z70" i="1"/>
  <c r="Y70" i="1"/>
  <c r="X70" i="1"/>
  <c r="W70" i="1"/>
  <c r="V70" i="1"/>
  <c r="U70" i="1"/>
  <c r="T70" i="1"/>
  <c r="S70" i="1"/>
  <c r="R70" i="1"/>
  <c r="Q70" i="1"/>
  <c r="AN69" i="1"/>
  <c r="AN236" i="1" s="1"/>
  <c r="AM69" i="1"/>
  <c r="AM236" i="1" s="1"/>
  <c r="AL69" i="1"/>
  <c r="AL236" i="1" s="1"/>
  <c r="AI69" i="1"/>
  <c r="AI236" i="1" s="1"/>
  <c r="AH69" i="1"/>
  <c r="AH236" i="1" s="1"/>
  <c r="AG69" i="1"/>
  <c r="AG236" i="1" s="1"/>
  <c r="AE69" i="1"/>
  <c r="AE236" i="1" s="1"/>
  <c r="AD69" i="1"/>
  <c r="AC69" i="1"/>
  <c r="AB69" i="1"/>
  <c r="AA69" i="1"/>
  <c r="Z69" i="1"/>
  <c r="Y69" i="1"/>
  <c r="X69" i="1"/>
  <c r="W69" i="1"/>
  <c r="V69" i="1"/>
  <c r="U69" i="1"/>
  <c r="T69" i="1"/>
  <c r="S69" i="1"/>
  <c r="R69" i="1"/>
  <c r="Q69" i="1"/>
  <c r="EL67" i="1"/>
  <c r="EK67" i="1"/>
  <c r="EJ67" i="1"/>
  <c r="EJ63" i="1" s="1"/>
  <c r="EI67" i="1"/>
  <c r="EI63" i="1" s="1"/>
  <c r="EH67" i="1"/>
  <c r="EH63" i="1" s="1"/>
  <c r="EG67" i="1"/>
  <c r="EG63" i="1" s="1"/>
  <c r="EE67" i="1"/>
  <c r="BP67" i="1"/>
  <c r="EM67" i="1" s="1"/>
  <c r="AP67" i="1"/>
  <c r="AP60" i="1"/>
  <c r="AP59" i="1"/>
  <c r="AK67" i="1"/>
  <c r="AK60" i="1"/>
  <c r="AB67" i="1"/>
  <c r="EF67" i="1" s="1"/>
  <c r="AZ66" i="1"/>
  <c r="AX66" i="1"/>
  <c r="AW66" i="1"/>
  <c r="Z66" i="1"/>
  <c r="AA67" i="1" s="1"/>
  <c r="FA53" i="1"/>
  <c r="FA40" i="1"/>
  <c r="EY21" i="1"/>
  <c r="FA21" i="1" s="1"/>
  <c r="EY15" i="1"/>
  <c r="K64" i="1"/>
  <c r="J64" i="1"/>
  <c r="I64" i="1"/>
  <c r="H64" i="1"/>
  <c r="F64" i="1"/>
  <c r="E64" i="1"/>
  <c r="D64" i="1"/>
  <c r="C64" i="1"/>
  <c r="AR66" i="1"/>
  <c r="AR393" i="1" s="1"/>
  <c r="AQ66" i="1"/>
  <c r="AR63" i="1"/>
  <c r="AQ63" i="1"/>
  <c r="AO66" i="1"/>
  <c r="AO393" i="1" s="1"/>
  <c r="AN66" i="1"/>
  <c r="AN393" i="1" s="1"/>
  <c r="AM66" i="1"/>
  <c r="AL66" i="1"/>
  <c r="AO63" i="1"/>
  <c r="AN63" i="1"/>
  <c r="AM63" i="1"/>
  <c r="AL63" i="1"/>
  <c r="AJ66" i="1"/>
  <c r="AJ393" i="1" s="1"/>
  <c r="AI66" i="1"/>
  <c r="AH66" i="1"/>
  <c r="AG66" i="1"/>
  <c r="EI59" i="1"/>
  <c r="EH59" i="1"/>
  <c r="AT67" i="1"/>
  <c r="AS67" i="1"/>
  <c r="BP49" i="1"/>
  <c r="EM49" i="1" s="1"/>
  <c r="BP47" i="1"/>
  <c r="EM47" i="1" s="1"/>
  <c r="BP46" i="1"/>
  <c r="BF49" i="1"/>
  <c r="BF47" i="1"/>
  <c r="BF45" i="1"/>
  <c r="BF44" i="1"/>
  <c r="BA49" i="1"/>
  <c r="AP49" i="1"/>
  <c r="AP47" i="1"/>
  <c r="AP45" i="1"/>
  <c r="AP44" i="1"/>
  <c r="AK49" i="1"/>
  <c r="AF49" i="1"/>
  <c r="AF47" i="1"/>
  <c r="AT49" i="1"/>
  <c r="AT163" i="1" s="1"/>
  <c r="AT197" i="1" s="1"/>
  <c r="AS49" i="1"/>
  <c r="AS163" i="1" s="1"/>
  <c r="P48" i="1"/>
  <c r="P51" i="1" s="1"/>
  <c r="O48" i="1"/>
  <c r="O51" i="1" s="1"/>
  <c r="N48" i="1"/>
  <c r="M48" i="1"/>
  <c r="DX47" i="1"/>
  <c r="DS47" i="1"/>
  <c r="DN47" i="1"/>
  <c r="DI47" i="1"/>
  <c r="DD47" i="1"/>
  <c r="CY47" i="1"/>
  <c r="CT47" i="1"/>
  <c r="CO47" i="1"/>
  <c r="CJ47" i="1"/>
  <c r="CE47" i="1"/>
  <c r="BU47" i="1"/>
  <c r="EN47" i="1" s="1"/>
  <c r="AU47" i="1"/>
  <c r="AU45" i="1"/>
  <c r="AU44" i="1"/>
  <c r="EP53" i="1"/>
  <c r="EO53" i="1"/>
  <c r="EL49" i="1"/>
  <c r="EJ49" i="1"/>
  <c r="EI49" i="1"/>
  <c r="EH49" i="1"/>
  <c r="EG49" i="1"/>
  <c r="EF49" i="1"/>
  <c r="EE49" i="1"/>
  <c r="EL47" i="1"/>
  <c r="EJ47" i="1"/>
  <c r="EI47" i="1"/>
  <c r="EH47" i="1"/>
  <c r="EG47" i="1"/>
  <c r="EF47" i="1"/>
  <c r="EE47" i="1"/>
  <c r="EL46" i="1"/>
  <c r="BH46" i="1"/>
  <c r="BD46" i="1"/>
  <c r="BD161" i="1" s="1"/>
  <c r="BC46" i="1"/>
  <c r="AY46" i="1"/>
  <c r="AX46" i="1"/>
  <c r="AW46" i="1"/>
  <c r="AW161" i="1" s="1"/>
  <c r="AR46" i="1"/>
  <c r="AQ46" i="1"/>
  <c r="AO46" i="1"/>
  <c r="AM46" i="1"/>
  <c r="AL46" i="1"/>
  <c r="AJ46" i="1"/>
  <c r="AI46" i="1"/>
  <c r="AH46" i="1"/>
  <c r="AE46" i="1"/>
  <c r="AD46" i="1"/>
  <c r="AC46" i="1"/>
  <c r="Y46" i="1"/>
  <c r="X46" i="1"/>
  <c r="EE46" i="1" s="1"/>
  <c r="AK45" i="1"/>
  <c r="AK44" i="1"/>
  <c r="EE41" i="1"/>
  <c r="BS45" i="1"/>
  <c r="BR45" i="1"/>
  <c r="BQ45" i="1"/>
  <c r="BN45" i="1"/>
  <c r="BM45" i="1"/>
  <c r="BL45" i="1"/>
  <c r="BK45" i="1"/>
  <c r="BP36" i="1"/>
  <c r="EM36" i="1" s="1"/>
  <c r="BP35" i="1"/>
  <c r="EM35" i="1" s="1"/>
  <c r="BP31" i="1"/>
  <c r="BP24" i="1"/>
  <c r="EM24" i="1" s="1"/>
  <c r="BP23" i="1"/>
  <c r="EM23" i="1" s="1"/>
  <c r="BP22" i="1"/>
  <c r="BK36" i="1"/>
  <c r="BK35" i="1"/>
  <c r="BF36" i="1"/>
  <c r="EK36" i="1" s="1"/>
  <c r="BF35" i="1"/>
  <c r="BF33" i="1"/>
  <c r="EK33" i="1" s="1"/>
  <c r="BF32" i="1"/>
  <c r="EK32" i="1" s="1"/>
  <c r="BF31" i="1"/>
  <c r="EK31" i="1" s="1"/>
  <c r="BF24" i="1"/>
  <c r="BF23" i="1"/>
  <c r="EK23" i="1" s="1"/>
  <c r="BF22" i="1"/>
  <c r="BA38" i="1"/>
  <c r="AU38" i="1"/>
  <c r="AU36" i="1"/>
  <c r="AU35" i="1"/>
  <c r="AU33" i="1"/>
  <c r="AU32" i="1"/>
  <c r="AU31" i="1"/>
  <c r="AP38" i="1"/>
  <c r="AP36" i="1"/>
  <c r="AP35" i="1"/>
  <c r="AP33" i="1"/>
  <c r="AP32" i="1"/>
  <c r="AP31" i="1"/>
  <c r="AK38" i="1"/>
  <c r="AK36" i="1"/>
  <c r="AK35" i="1"/>
  <c r="AK33" i="1"/>
  <c r="AK32" i="1"/>
  <c r="AK31" i="1"/>
  <c r="AF38" i="1"/>
  <c r="AF36" i="1"/>
  <c r="AF35" i="1"/>
  <c r="AF33" i="1"/>
  <c r="AF32" i="1"/>
  <c r="AF31" i="1"/>
  <c r="AF102" i="1" s="1"/>
  <c r="AF24" i="1"/>
  <c r="AF23" i="1"/>
  <c r="AF22" i="1"/>
  <c r="EP36" i="1"/>
  <c r="EP35" i="1"/>
  <c r="CE36" i="1"/>
  <c r="CE35" i="1"/>
  <c r="BU36" i="1"/>
  <c r="EN36" i="1" s="1"/>
  <c r="BU35" i="1"/>
  <c r="EN35" i="1" s="1"/>
  <c r="EJ38" i="1"/>
  <c r="EI38" i="1"/>
  <c r="EJ36" i="1"/>
  <c r="EI36" i="1"/>
  <c r="EH36" i="1"/>
  <c r="EG36" i="1"/>
  <c r="EF36" i="1"/>
  <c r="EE36" i="1"/>
  <c r="EJ35" i="1"/>
  <c r="EI35" i="1"/>
  <c r="EH35" i="1"/>
  <c r="EG35" i="1"/>
  <c r="EF35" i="1"/>
  <c r="EE35" i="1"/>
  <c r="EL34" i="1"/>
  <c r="EJ34" i="1"/>
  <c r="EG34" i="1"/>
  <c r="BL33" i="1"/>
  <c r="BJ34" i="1"/>
  <c r="BI34" i="1"/>
  <c r="BH34" i="1"/>
  <c r="BE34" i="1"/>
  <c r="BD34" i="1"/>
  <c r="BD105" i="1" s="1"/>
  <c r="BC34" i="1"/>
  <c r="BB34" i="1"/>
  <c r="AR34" i="1"/>
  <c r="AQ34" i="1"/>
  <c r="AO34" i="1"/>
  <c r="AX105" i="1" s="1"/>
  <c r="AL34" i="1"/>
  <c r="AN211" i="5" s="1"/>
  <c r="AI34" i="1"/>
  <c r="AI105" i="1" s="1"/>
  <c r="AC34" i="1"/>
  <c r="AB34" i="1"/>
  <c r="X34" i="1"/>
  <c r="X105" i="1" s="1"/>
  <c r="W34" i="1"/>
  <c r="BK33" i="1"/>
  <c r="EL33" i="1" s="1"/>
  <c r="BK32" i="1"/>
  <c r="BA33" i="1"/>
  <c r="BA104" i="1" s="1"/>
  <c r="BA32" i="1"/>
  <c r="BA31" i="1"/>
  <c r="BA102" i="1" s="1"/>
  <c r="AA33" i="1"/>
  <c r="AA32" i="1"/>
  <c r="V33" i="1"/>
  <c r="U33" i="1"/>
  <c r="BS32" i="1"/>
  <c r="BR32" i="1"/>
  <c r="BQ32" i="1"/>
  <c r="BO32" i="1"/>
  <c r="BO103" i="1" s="1"/>
  <c r="BN32" i="1"/>
  <c r="BN103" i="1" s="1"/>
  <c r="BM32" i="1"/>
  <c r="BM103" i="1" s="1"/>
  <c r="EE31" i="1"/>
  <c r="EE24" i="1"/>
  <c r="EE23" i="1"/>
  <c r="EE22" i="1"/>
  <c r="BO28" i="1"/>
  <c r="BN28" i="1"/>
  <c r="BM28" i="1"/>
  <c r="BL28" i="1"/>
  <c r="BJ28" i="1"/>
  <c r="BJ30" i="1" s="1"/>
  <c r="BI28" i="1"/>
  <c r="BH28" i="1"/>
  <c r="BG28" i="1"/>
  <c r="BE28" i="1"/>
  <c r="BE30" i="1" s="1"/>
  <c r="BD28" i="1"/>
  <c r="BC28" i="1"/>
  <c r="BC30" i="1" s="1"/>
  <c r="BB28" i="1"/>
  <c r="AY28" i="1"/>
  <c r="AY30" i="1" s="1"/>
  <c r="AX28" i="1"/>
  <c r="AW28" i="1"/>
  <c r="AW30" i="1" s="1"/>
  <c r="AR28" i="1"/>
  <c r="AQ28" i="1"/>
  <c r="AQ30" i="1" s="1"/>
  <c r="AN28" i="1"/>
  <c r="AM28" i="1"/>
  <c r="AL28" i="1"/>
  <c r="AL30" i="1" s="1"/>
  <c r="AI28" i="1"/>
  <c r="AH28" i="1"/>
  <c r="AG28" i="1"/>
  <c r="AG30" i="1" s="1"/>
  <c r="AE28" i="1"/>
  <c r="AD28" i="1"/>
  <c r="AD30" i="1" s="1"/>
  <c r="AC28" i="1"/>
  <c r="AB28" i="1"/>
  <c r="AB30" i="1" s="1"/>
  <c r="AA28" i="1"/>
  <c r="Z28" i="1"/>
  <c r="Y28" i="1"/>
  <c r="X28" i="1"/>
  <c r="X30" i="1" s="1"/>
  <c r="W28" i="1"/>
  <c r="W30" i="1" s="1"/>
  <c r="V28" i="1"/>
  <c r="U28" i="1"/>
  <c r="T28" i="1"/>
  <c r="T30" i="1" s="1"/>
  <c r="S28" i="1"/>
  <c r="R28" i="1"/>
  <c r="R30" i="1" s="1"/>
  <c r="Q28" i="1"/>
  <c r="P28" i="1"/>
  <c r="O28" i="1"/>
  <c r="N28" i="1"/>
  <c r="M28" i="1"/>
  <c r="L28" i="1"/>
  <c r="K28" i="1"/>
  <c r="J28" i="1"/>
  <c r="I28" i="1"/>
  <c r="H28" i="1"/>
  <c r="G28" i="1"/>
  <c r="G72" i="1" s="1"/>
  <c r="B28" i="1"/>
  <c r="BK24" i="1"/>
  <c r="EL24" i="1" s="1"/>
  <c r="BK23" i="1"/>
  <c r="BK22" i="1"/>
  <c r="AZ24" i="1"/>
  <c r="BA24" i="1" s="1"/>
  <c r="AZ23" i="1"/>
  <c r="BA23" i="1" s="1"/>
  <c r="AZ22" i="1"/>
  <c r="BA22" i="1" s="1"/>
  <c r="AO24" i="1"/>
  <c r="AP24" i="1" s="1"/>
  <c r="AO23" i="1"/>
  <c r="AP23" i="1" s="1"/>
  <c r="AO22" i="1"/>
  <c r="AP22" i="1" s="1"/>
  <c r="AJ24" i="1"/>
  <c r="AJ23" i="1"/>
  <c r="AK23" i="1" s="1"/>
  <c r="AJ22" i="1"/>
  <c r="EJ33" i="1"/>
  <c r="EI33" i="1"/>
  <c r="EH33" i="1"/>
  <c r="EG33" i="1"/>
  <c r="EF33" i="1"/>
  <c r="EJ32" i="1"/>
  <c r="EI32" i="1"/>
  <c r="EH32" i="1"/>
  <c r="EG32" i="1"/>
  <c r="EF32" i="1"/>
  <c r="EL31" i="1"/>
  <c r="EJ31" i="1"/>
  <c r="EI31" i="1"/>
  <c r="EH31" i="1"/>
  <c r="EG31" i="1"/>
  <c r="EF31" i="1"/>
  <c r="EG24" i="1"/>
  <c r="EF24" i="1"/>
  <c r="EG23" i="1"/>
  <c r="EF23" i="1"/>
  <c r="EG22" i="1"/>
  <c r="EF22" i="1"/>
  <c r="BR70" i="1"/>
  <c r="AT24" i="1"/>
  <c r="AS24" i="1"/>
  <c r="AT23" i="1"/>
  <c r="AS23" i="1"/>
  <c r="AT22" i="1"/>
  <c r="AS22" i="1"/>
  <c r="BO20" i="1"/>
  <c r="BN20" i="1"/>
  <c r="BM20" i="1"/>
  <c r="BJ20" i="1"/>
  <c r="BI20" i="1"/>
  <c r="BH20" i="1"/>
  <c r="BG20" i="1"/>
  <c r="BE20" i="1"/>
  <c r="BD20" i="1"/>
  <c r="BC20" i="1"/>
  <c r="BB20" i="1"/>
  <c r="AZ20" i="1"/>
  <c r="AY20" i="1"/>
  <c r="AX20" i="1"/>
  <c r="AW20" i="1"/>
  <c r="EL19" i="1"/>
  <c r="EJ19" i="1"/>
  <c r="BP19" i="1"/>
  <c r="BF19" i="1"/>
  <c r="BA19" i="1"/>
  <c r="FB15" i="1"/>
  <c r="AP15" i="1"/>
  <c r="AK15" i="1"/>
  <c r="AF97" i="1"/>
  <c r="G11" i="128" s="1"/>
  <c r="AF15" i="1"/>
  <c r="AU96" i="1"/>
  <c r="AS15" i="1"/>
  <c r="EP40" i="1"/>
  <c r="EO40" i="1"/>
  <c r="EP21" i="1"/>
  <c r="EO21" i="1"/>
  <c r="EJ15" i="1"/>
  <c r="EI15" i="1"/>
  <c r="EH15" i="1"/>
  <c r="EG15" i="1"/>
  <c r="EF15" i="1"/>
  <c r="EE15" i="1"/>
  <c r="BK15" i="1"/>
  <c r="BF15" i="1"/>
  <c r="BA15" i="1"/>
  <c r="AT15" i="1"/>
  <c r="AT95" i="1" s="1"/>
  <c r="Q9" i="1"/>
  <c r="L9" i="1"/>
  <c r="G9" i="1"/>
  <c r="DX7" i="1"/>
  <c r="DS7" i="1"/>
  <c r="DN7" i="1"/>
  <c r="DI7" i="1"/>
  <c r="DD7" i="1"/>
  <c r="CY7" i="1"/>
  <c r="CT7" i="1"/>
  <c r="CO7" i="1"/>
  <c r="CJ7" i="1"/>
  <c r="CE7" i="1"/>
  <c r="BU7" i="1"/>
  <c r="BP7" i="1"/>
  <c r="BK7" i="1"/>
  <c r="BF7" i="1"/>
  <c r="AT7" i="1"/>
  <c r="AU7" i="1" s="1"/>
  <c r="AS7" i="1"/>
  <c r="AP7" i="1"/>
  <c r="AF7" i="1"/>
  <c r="EO136" i="1"/>
  <c r="AT26" i="6"/>
  <c r="AU26" i="6" s="1"/>
  <c r="AJ19" i="6"/>
  <c r="EE16" i="6"/>
  <c r="BQ88" i="6"/>
  <c r="BQ91" i="6" s="1"/>
  <c r="AJ35" i="6"/>
  <c r="ED35" i="6" s="1"/>
  <c r="BD32" i="6"/>
  <c r="BD36" i="6"/>
  <c r="BE36" i="6" s="1"/>
  <c r="BO15" i="6"/>
  <c r="AT49" i="6"/>
  <c r="AU49" i="6" s="1"/>
  <c r="AW49" i="6"/>
  <c r="BE46" i="6"/>
  <c r="BF46" i="6" s="1"/>
  <c r="EG46" i="6" s="1"/>
  <c r="BE51" i="6"/>
  <c r="BN179" i="6"/>
  <c r="BN99" i="6"/>
  <c r="BS11" i="6"/>
  <c r="BS444" i="1" s="1"/>
  <c r="BN13" i="6"/>
  <c r="BO13" i="6" s="1"/>
  <c r="BN17" i="6"/>
  <c r="BO17" i="6" s="1"/>
  <c r="AD15" i="6"/>
  <c r="AS16" i="6"/>
  <c r="BD16" i="6"/>
  <c r="BD18" i="6"/>
  <c r="BD20" i="6"/>
  <c r="BD22" i="6"/>
  <c r="BD24" i="6"/>
  <c r="BS15" i="6"/>
  <c r="EJ15" i="6" s="1"/>
  <c r="EE23" i="6"/>
  <c r="AD33" i="6"/>
  <c r="EJ33" i="6"/>
  <c r="AF88" i="6"/>
  <c r="AE41" i="6"/>
  <c r="BD42" i="6"/>
  <c r="BR94" i="6"/>
  <c r="BS44" i="6"/>
  <c r="BS94" i="6" s="1"/>
  <c r="BU94" i="6"/>
  <c r="BM121" i="6"/>
  <c r="AX35" i="6"/>
  <c r="AP88" i="6"/>
  <c r="AP91" i="6" s="1"/>
  <c r="AP95" i="6" s="1"/>
  <c r="BD30" i="6"/>
  <c r="BD34" i="6"/>
  <c r="BE34" i="6" s="1"/>
  <c r="BF34" i="6" s="1"/>
  <c r="EJ20" i="6"/>
  <c r="AY88" i="6"/>
  <c r="AY91" i="6" s="1"/>
  <c r="AY95" i="6" s="1"/>
  <c r="BI48" i="6"/>
  <c r="BC121" i="6"/>
  <c r="BJ24" i="6"/>
  <c r="BN20" i="6"/>
  <c r="BO20" i="6" s="1"/>
  <c r="BB88" i="6"/>
  <c r="BB91" i="6" s="1"/>
  <c r="Y31" i="6"/>
  <c r="Y35" i="6"/>
  <c r="Z35" i="6" s="1"/>
  <c r="EB35" i="6" s="1"/>
  <c r="BD31" i="6"/>
  <c r="BE31" i="6" s="1"/>
  <c r="AE36" i="6"/>
  <c r="EC36" i="6" s="1"/>
  <c r="BH94" i="6"/>
  <c r="BI44" i="6"/>
  <c r="BJ44" i="6" s="1"/>
  <c r="BJ94" i="6" s="1"/>
  <c r="AJ45" i="6"/>
  <c r="AT45" i="6"/>
  <c r="AU45" i="6" s="1"/>
  <c r="AW45" i="6"/>
  <c r="BS49" i="6"/>
  <c r="EJ49" i="6" s="1"/>
  <c r="BA52" i="6"/>
  <c r="EF52" i="6" s="1"/>
  <c r="ED42" i="6"/>
  <c r="BM90" i="6"/>
  <c r="BO48" i="6"/>
  <c r="AC71" i="6"/>
  <c r="AD57" i="6"/>
  <c r="AE57" i="6" s="1"/>
  <c r="EC57" i="6" s="1"/>
  <c r="AM179" i="6"/>
  <c r="AN98" i="6"/>
  <c r="AH54" i="6"/>
  <c r="BC94" i="6"/>
  <c r="AO57" i="6"/>
  <c r="AQ179" i="6"/>
  <c r="AT62" i="6"/>
  <c r="AU62" i="6" s="1"/>
  <c r="BS48" i="6"/>
  <c r="EJ48" i="6" s="1"/>
  <c r="BD52" i="6"/>
  <c r="BE52" i="6" s="1"/>
  <c r="BE59" i="6"/>
  <c r="BF59" i="6" s="1"/>
  <c r="EG59" i="6" s="1"/>
  <c r="V74" i="6"/>
  <c r="BE58" i="6"/>
  <c r="BF58" i="6" s="1"/>
  <c r="EG58" i="6" s="1"/>
  <c r="AH179" i="6"/>
  <c r="AH99" i="6"/>
  <c r="AN58" i="6"/>
  <c r="AN179" i="6" s="1"/>
  <c r="BM179" i="6"/>
  <c r="BM99" i="6"/>
  <c r="BM71" i="6"/>
  <c r="BO58" i="6"/>
  <c r="AW85" i="6"/>
  <c r="AT85" i="6"/>
  <c r="AX85" i="6" s="1"/>
  <c r="Y58" i="6"/>
  <c r="BD57" i="6"/>
  <c r="BD99" i="6" s="1"/>
  <c r="BD67" i="6"/>
  <c r="BD380" i="1" s="1"/>
  <c r="AL179" i="6"/>
  <c r="AL99" i="6"/>
  <c r="AP179" i="6"/>
  <c r="AP99" i="6"/>
  <c r="BS58" i="6"/>
  <c r="BS99" i="6" s="1"/>
  <c r="Y64" i="6"/>
  <c r="Z64" i="6" s="1"/>
  <c r="BH158" i="6"/>
  <c r="AL71" i="6"/>
  <c r="AP71" i="6"/>
  <c r="BC71" i="6"/>
  <c r="AH178" i="6"/>
  <c r="AH98" i="6"/>
  <c r="AR178" i="6"/>
  <c r="AR98" i="6"/>
  <c r="AI67" i="6"/>
  <c r="AI380" i="1" s="1"/>
  <c r="AS67" i="6"/>
  <c r="AW67" i="6" s="1"/>
  <c r="BM158" i="6"/>
  <c r="BM97" i="6"/>
  <c r="AD73" i="6"/>
  <c r="AU73" i="6"/>
  <c r="BD73" i="6"/>
  <c r="AS84" i="6"/>
  <c r="AW84" i="6" s="1"/>
  <c r="BC99" i="6"/>
  <c r="BC158" i="6"/>
  <c r="BC97" i="6"/>
  <c r="BR179" i="6"/>
  <c r="BR99" i="6"/>
  <c r="AE66" i="6"/>
  <c r="AI66" i="6"/>
  <c r="AI226" i="5" s="1"/>
  <c r="AS66" i="6"/>
  <c r="AT66" i="6" s="1"/>
  <c r="BN66" i="6"/>
  <c r="BO66" i="6" s="1"/>
  <c r="AU64" i="6"/>
  <c r="AW73" i="6"/>
  <c r="BA73" i="6" s="1"/>
  <c r="EF73" i="6" s="1"/>
  <c r="EJ73" i="6"/>
  <c r="AT133" i="6"/>
  <c r="AN133" i="6"/>
  <c r="AE135" i="6"/>
  <c r="AT134" i="6"/>
  <c r="BE135" i="6"/>
  <c r="AJ133" i="6"/>
  <c r="BL22" i="5"/>
  <c r="BU26" i="5"/>
  <c r="BC16" i="5"/>
  <c r="BC221" i="5" s="1"/>
  <c r="BQ159" i="5"/>
  <c r="BV159" i="5" s="1"/>
  <c r="CA159" i="5" s="1"/>
  <c r="CF159" i="5" s="1"/>
  <c r="CP159" i="5" s="1"/>
  <c r="CU159" i="5" s="1"/>
  <c r="CZ159" i="5" s="1"/>
  <c r="DE159" i="5" s="1"/>
  <c r="DJ159" i="5" s="1"/>
  <c r="DO159" i="5" s="1"/>
  <c r="DT159" i="5" s="1"/>
  <c r="BU36" i="5"/>
  <c r="BZ36" i="5" s="1"/>
  <c r="AC22" i="5"/>
  <c r="AQ221" i="5"/>
  <c r="AQ22" i="5"/>
  <c r="AL22" i="5"/>
  <c r="V37" i="5"/>
  <c r="U32" i="5"/>
  <c r="BF16" i="5"/>
  <c r="AB22" i="5"/>
  <c r="BE22" i="5"/>
  <c r="BN70" i="5"/>
  <c r="BM48" i="5"/>
  <c r="AP16" i="5"/>
  <c r="BK16" i="5"/>
  <c r="AG22" i="5"/>
  <c r="AK22" i="5"/>
  <c r="AO22" i="5"/>
  <c r="BJ22" i="5"/>
  <c r="BI61" i="5"/>
  <c r="BM61" i="5"/>
  <c r="AP32" i="5"/>
  <c r="AC70" i="5"/>
  <c r="AG48" i="5"/>
  <c r="AH70" i="5"/>
  <c r="AG61" i="5"/>
  <c r="AP70" i="5"/>
  <c r="AL70" i="5"/>
  <c r="AK61" i="5"/>
  <c r="AO61" i="5"/>
  <c r="BN61" i="5"/>
  <c r="BS70" i="5"/>
  <c r="BR48" i="5"/>
  <c r="BR61" i="5"/>
  <c r="AB61" i="5"/>
  <c r="AU32" i="5"/>
  <c r="AY73" i="5"/>
  <c r="AD70" i="5"/>
  <c r="AP47" i="5"/>
  <c r="AX70" i="5"/>
  <c r="AT61" i="5"/>
  <c r="BD70" i="5"/>
  <c r="BU39" i="5"/>
  <c r="BU40" i="5"/>
  <c r="BU44" i="5"/>
  <c r="AE70" i="5"/>
  <c r="AU47" i="5"/>
  <c r="BE70" i="5"/>
  <c r="BI70" i="5"/>
  <c r="BH61" i="5"/>
  <c r="BH48" i="5"/>
  <c r="BX159" i="5"/>
  <c r="CC159" i="5" s="1"/>
  <c r="CH159" i="5" s="1"/>
  <c r="CM159" i="5" s="1"/>
  <c r="CR159" i="5" s="1"/>
  <c r="CW159" i="5" s="1"/>
  <c r="DB159" i="5" s="1"/>
  <c r="DG159" i="5" s="1"/>
  <c r="DL159" i="5" s="1"/>
  <c r="DQ159" i="5" s="1"/>
  <c r="DV159" i="5" s="1"/>
  <c r="BO106" i="5"/>
  <c r="BB187" i="5"/>
  <c r="BR193" i="5"/>
  <c r="BS77" i="1"/>
  <c r="BU307" i="1"/>
  <c r="EM138" i="1"/>
  <c r="EO138" i="1"/>
  <c r="ED45" i="6"/>
  <c r="EC66" i="6"/>
  <c r="BS179" i="6"/>
  <c r="AW16" i="6"/>
  <c r="BY159" i="5"/>
  <c r="AM444" i="1" l="1"/>
  <c r="BR120" i="6"/>
  <c r="EE52" i="6"/>
  <c r="BD44" i="6"/>
  <c r="CG29" i="6"/>
  <c r="Y99" i="6"/>
  <c r="BI94" i="6"/>
  <c r="Y9" i="6"/>
  <c r="AS9" i="6"/>
  <c r="AT9" i="6" s="1"/>
  <c r="AS11" i="6"/>
  <c r="AR444" i="1"/>
  <c r="AR164" i="1"/>
  <c r="BN11" i="6"/>
  <c r="BM444" i="1"/>
  <c r="AJ12" i="6"/>
  <c r="AD17" i="6"/>
  <c r="AN15" i="6"/>
  <c r="Y16" i="6"/>
  <c r="Z19" i="6"/>
  <c r="AS21" i="6"/>
  <c r="AS23" i="6"/>
  <c r="ED18" i="6"/>
  <c r="AN26" i="6"/>
  <c r="Y36" i="6"/>
  <c r="Z36" i="6" s="1"/>
  <c r="BI31" i="6"/>
  <c r="BI35" i="6"/>
  <c r="AD44" i="6"/>
  <c r="AX41" i="6"/>
  <c r="AU51" i="6"/>
  <c r="Z41" i="6"/>
  <c r="Y43" i="6"/>
  <c r="Z47" i="6"/>
  <c r="AI46" i="6"/>
  <c r="AN45" i="6"/>
  <c r="AN49" i="6"/>
  <c r="AO49" i="6" s="1"/>
  <c r="BE45" i="6"/>
  <c r="AI52" i="6"/>
  <c r="EE46" i="6"/>
  <c r="AI58" i="6"/>
  <c r="Z62" i="6"/>
  <c r="AN62" i="6"/>
  <c r="BN63" i="6"/>
  <c r="BM384" i="1"/>
  <c r="AD97" i="6"/>
  <c r="AD226" i="5"/>
  <c r="EE64" i="6"/>
  <c r="BI58" i="6"/>
  <c r="BI63" i="6"/>
  <c r="AN66" i="6"/>
  <c r="BH226" i="5"/>
  <c r="AI178" i="6"/>
  <c r="BJ48" i="6"/>
  <c r="BJ63" i="6"/>
  <c r="EL47" i="6"/>
  <c r="BQ74" i="6"/>
  <c r="BD137" i="6"/>
  <c r="AN99" i="6"/>
  <c r="AX49" i="6"/>
  <c r="BN97" i="6"/>
  <c r="V221" i="5"/>
  <c r="BH221" i="5"/>
  <c r="BR221" i="5"/>
  <c r="EE11" i="6"/>
  <c r="EI27" i="6"/>
  <c r="ED23" i="6"/>
  <c r="BA41" i="6"/>
  <c r="EF41" i="6" s="1"/>
  <c r="EB57" i="6"/>
  <c r="AC137" i="6"/>
  <c r="BB74" i="6"/>
  <c r="AZ48" i="5"/>
  <c r="BA48" i="5" s="1"/>
  <c r="BL44" i="1"/>
  <c r="CY173" i="1"/>
  <c r="AX62" i="6"/>
  <c r="AP74" i="6"/>
  <c r="BD64" i="6"/>
  <c r="AR54" i="6"/>
  <c r="BO44" i="6"/>
  <c r="BO94" i="6" s="1"/>
  <c r="AH90" i="6"/>
  <c r="BH444" i="1"/>
  <c r="BI30" i="6"/>
  <c r="BD17" i="6"/>
  <c r="BE17" i="6" s="1"/>
  <c r="BI11" i="6"/>
  <c r="BI444" i="1" s="1"/>
  <c r="BH121" i="6"/>
  <c r="Q88" i="6"/>
  <c r="Q91" i="6" s="1"/>
  <c r="Q95" i="6" s="1"/>
  <c r="AC444" i="1"/>
  <c r="AM226" i="5"/>
  <c r="EB67" i="6"/>
  <c r="Z31" i="6"/>
  <c r="EB31" i="6" s="1"/>
  <c r="AJ67" i="6"/>
  <c r="ED67" i="6" s="1"/>
  <c r="AW80" i="6"/>
  <c r="BA80" i="6" s="1"/>
  <c r="BM94" i="6"/>
  <c r="BD94" i="6"/>
  <c r="BH164" i="1"/>
  <c r="BA35" i="6"/>
  <c r="EF35" i="6" s="1"/>
  <c r="BD33" i="6"/>
  <c r="AN226" i="5"/>
  <c r="EE31" i="6"/>
  <c r="X27" i="6"/>
  <c r="AI98" i="6"/>
  <c r="BE64" i="6"/>
  <c r="BD98" i="6"/>
  <c r="AO66" i="6"/>
  <c r="AU80" i="6"/>
  <c r="BH97" i="6"/>
  <c r="BJ59" i="6"/>
  <c r="BO179" i="6"/>
  <c r="AM71" i="6"/>
  <c r="BH90" i="6"/>
  <c r="BR164" i="1"/>
  <c r="BO14" i="6"/>
  <c r="AL88" i="6"/>
  <c r="AL91" i="6" s="1"/>
  <c r="AL95" i="6" s="1"/>
  <c r="ED33" i="6"/>
  <c r="BD26" i="6"/>
  <c r="AS137" i="6"/>
  <c r="BM70" i="5"/>
  <c r="AS61" i="5"/>
  <c r="AJ61" i="5"/>
  <c r="BC70" i="5"/>
  <c r="BL221" i="5"/>
  <c r="CE36" i="5"/>
  <c r="EO35" i="1"/>
  <c r="EO47" i="1"/>
  <c r="BC147" i="1"/>
  <c r="CE21" i="5"/>
  <c r="AE148" i="1"/>
  <c r="CQ94" i="6"/>
  <c r="EL41" i="6"/>
  <c r="EL64" i="6"/>
  <c r="CL94" i="6"/>
  <c r="CV94" i="6"/>
  <c r="DA94" i="6"/>
  <c r="DF94" i="6"/>
  <c r="DP94" i="6"/>
  <c r="DF173" i="1"/>
  <c r="CR29" i="5"/>
  <c r="CR14" i="5"/>
  <c r="EO36" i="1"/>
  <c r="EP47" i="1"/>
  <c r="CE18" i="5"/>
  <c r="DK94" i="6"/>
  <c r="EL42" i="6"/>
  <c r="EL57" i="6"/>
  <c r="CM94" i="6"/>
  <c r="CR94" i="6"/>
  <c r="CW94" i="6"/>
  <c r="DB94" i="6"/>
  <c r="DC173" i="1"/>
  <c r="EQ47" i="1"/>
  <c r="CP386" i="1"/>
  <c r="CU386" i="1" s="1"/>
  <c r="CZ386" i="1" s="1"/>
  <c r="DE386" i="1" s="1"/>
  <c r="DJ386" i="1" s="1"/>
  <c r="DO386" i="1" s="1"/>
  <c r="DT386" i="1" s="1"/>
  <c r="DY386" i="1" s="1"/>
  <c r="CE19" i="5"/>
  <c r="CE35" i="5"/>
  <c r="CG94" i="6"/>
  <c r="EL45" i="6"/>
  <c r="EL51" i="6"/>
  <c r="EL59" i="6"/>
  <c r="CN94" i="6"/>
  <c r="CS94" i="6"/>
  <c r="DC94" i="6"/>
  <c r="DH94" i="6"/>
  <c r="DM94" i="6"/>
  <c r="DR94" i="6"/>
  <c r="DO173" i="1"/>
  <c r="CH29" i="6"/>
  <c r="DB173" i="1"/>
  <c r="CF38" i="6"/>
  <c r="CD159" i="5"/>
  <c r="CI159" i="5" s="1"/>
  <c r="CN159" i="5" s="1"/>
  <c r="CS159" i="5" s="1"/>
  <c r="CX159" i="5" s="1"/>
  <c r="DC159" i="5" s="1"/>
  <c r="DH159" i="5" s="1"/>
  <c r="DM159" i="5" s="1"/>
  <c r="DR159" i="5" s="1"/>
  <c r="DW159" i="5" s="1"/>
  <c r="BS164" i="1"/>
  <c r="BS121" i="6"/>
  <c r="BS120" i="6" s="1"/>
  <c r="ER47" i="1"/>
  <c r="CJ209" i="1"/>
  <c r="CJ210" i="1"/>
  <c r="BK128" i="5"/>
  <c r="BK147" i="1"/>
  <c r="CE20" i="5"/>
  <c r="BX41" i="5"/>
  <c r="EL46" i="6"/>
  <c r="EL52" i="6"/>
  <c r="EL61" i="6"/>
  <c r="CK94" i="6"/>
  <c r="CP94" i="6"/>
  <c r="DE94" i="6"/>
  <c r="DJ94" i="6"/>
  <c r="DO94" i="6"/>
  <c r="CR45" i="5"/>
  <c r="AO134" i="6"/>
  <c r="BJ133" i="6"/>
  <c r="AT135" i="6"/>
  <c r="AN137" i="6"/>
  <c r="BE133" i="6"/>
  <c r="BE137" i="6" s="1"/>
  <c r="BA62" i="6"/>
  <c r="EF62" i="6" s="1"/>
  <c r="BJ61" i="6"/>
  <c r="BH380" i="1"/>
  <c r="CJ211" i="1"/>
  <c r="CJ213" i="1"/>
  <c r="BA14" i="6"/>
  <c r="AU66" i="6"/>
  <c r="AT97" i="6"/>
  <c r="AQ74" i="6"/>
  <c r="AT16" i="6"/>
  <c r="AU16" i="6" s="1"/>
  <c r="AO58" i="6"/>
  <c r="AJ134" i="6"/>
  <c r="AD133" i="6"/>
  <c r="BH71" i="6"/>
  <c r="BI67" i="6"/>
  <c r="BJ67" i="6" s="1"/>
  <c r="BH179" i="6"/>
  <c r="X179" i="6"/>
  <c r="AT63" i="6"/>
  <c r="AU63" i="6" s="1"/>
  <c r="AR58" i="6"/>
  <c r="BC54" i="6"/>
  <c r="BR169" i="6"/>
  <c r="AQ99" i="6"/>
  <c r="AC54" i="6"/>
  <c r="AO67" i="6"/>
  <c r="EE67" i="6" s="1"/>
  <c r="BJ58" i="6"/>
  <c r="BC90" i="6"/>
  <c r="AT44" i="6"/>
  <c r="BH27" i="6"/>
  <c r="AI444" i="1"/>
  <c r="AG88" i="6"/>
  <c r="AG91" i="6" s="1"/>
  <c r="AG92" i="6" s="1"/>
  <c r="BE18" i="6"/>
  <c r="AX13" i="6"/>
  <c r="BA13" i="6" s="1"/>
  <c r="EF13" i="6" s="1"/>
  <c r="BH54" i="6"/>
  <c r="AN27" i="6"/>
  <c r="BD23" i="6"/>
  <c r="BD19" i="6"/>
  <c r="BD15" i="6"/>
  <c r="AM164" i="1"/>
  <c r="AU52" i="6"/>
  <c r="BE47" i="6"/>
  <c r="BF47" i="6" s="1"/>
  <c r="AN71" i="6"/>
  <c r="AE33" i="6"/>
  <c r="BC137" i="6"/>
  <c r="AM137" i="6"/>
  <c r="AM98" i="6"/>
  <c r="BI179" i="6"/>
  <c r="X71" i="6"/>
  <c r="AH71" i="6"/>
  <c r="BM54" i="6"/>
  <c r="BR54" i="6"/>
  <c r="AJ63" i="6"/>
  <c r="AN178" i="6"/>
  <c r="AC179" i="6"/>
  <c r="BJ41" i="6"/>
  <c r="BJ49" i="6"/>
  <c r="AD47" i="6"/>
  <c r="AE47" i="6" s="1"/>
  <c r="AQ88" i="6"/>
  <c r="AQ91" i="6" s="1"/>
  <c r="BE23" i="6"/>
  <c r="BJ35" i="6"/>
  <c r="AF91" i="6"/>
  <c r="AF95" i="6" s="1"/>
  <c r="AO9" i="6"/>
  <c r="AC380" i="1"/>
  <c r="AH444" i="1"/>
  <c r="Y226" i="5"/>
  <c r="AK88" i="6"/>
  <c r="AK91" i="6" s="1"/>
  <c r="AK95" i="6" s="1"/>
  <c r="AK150" i="1"/>
  <c r="AK152" i="1" s="1"/>
  <c r="AY74" i="6"/>
  <c r="AY150" i="1"/>
  <c r="AY152" i="1" s="1"/>
  <c r="AU150" i="1"/>
  <c r="AU152" i="1" s="1"/>
  <c r="EC63" i="6"/>
  <c r="AN43" i="6"/>
  <c r="AN151" i="1" s="1"/>
  <c r="AM151" i="1"/>
  <c r="BC154" i="6"/>
  <c r="BC151" i="1"/>
  <c r="BE57" i="6"/>
  <c r="BJ134" i="6"/>
  <c r="AO135" i="6"/>
  <c r="AH137" i="6"/>
  <c r="Z66" i="6"/>
  <c r="Z226" i="5" s="1"/>
  <c r="AM178" i="6"/>
  <c r="AC178" i="6"/>
  <c r="AD67" i="6"/>
  <c r="AL74" i="6"/>
  <c r="AD58" i="6"/>
  <c r="BR90" i="6"/>
  <c r="Y54" i="6"/>
  <c r="AM54" i="6"/>
  <c r="W74" i="6"/>
  <c r="AE64" i="6"/>
  <c r="EC64" i="6" s="1"/>
  <c r="AG74" i="6"/>
  <c r="AM90" i="6"/>
  <c r="EB47" i="6"/>
  <c r="BO31" i="6"/>
  <c r="BE22" i="6"/>
  <c r="Y11" i="6"/>
  <c r="CK82" i="5"/>
  <c r="CL82" i="5" s="1"/>
  <c r="CB412" i="1"/>
  <c r="BW104" i="6" s="1"/>
  <c r="E23" i="128"/>
  <c r="EK134" i="1"/>
  <c r="K20" i="128"/>
  <c r="EL134" i="1"/>
  <c r="L20" i="128"/>
  <c r="EL133" i="1"/>
  <c r="L21" i="128"/>
  <c r="EJ134" i="1"/>
  <c r="J20" i="128"/>
  <c r="EJ133" i="1"/>
  <c r="J21" i="128"/>
  <c r="BQ95" i="6"/>
  <c r="BQ92" i="6"/>
  <c r="AX66" i="6"/>
  <c r="AX97" i="6" s="1"/>
  <c r="U37" i="5"/>
  <c r="AT84" i="6"/>
  <c r="AX84" i="6" s="1"/>
  <c r="BA84" i="6" s="1"/>
  <c r="AX9" i="6"/>
  <c r="AG95" i="6"/>
  <c r="Z58" i="6"/>
  <c r="AO226" i="5"/>
  <c r="AP226" i="5" s="1"/>
  <c r="AJ66" i="6"/>
  <c r="AI43" i="6"/>
  <c r="AI151" i="1" s="1"/>
  <c r="BD35" i="6"/>
  <c r="BE19" i="6"/>
  <c r="AC90" i="6"/>
  <c r="EE47" i="6"/>
  <c r="T38" i="6"/>
  <c r="AA38" i="6"/>
  <c r="Y30" i="6"/>
  <c r="Z34" i="6"/>
  <c r="EB34" i="6" s="1"/>
  <c r="AI31" i="6"/>
  <c r="EC35" i="6"/>
  <c r="EE22" i="6"/>
  <c r="AS36" i="6"/>
  <c r="AT36" i="6" s="1"/>
  <c r="AX47" i="6"/>
  <c r="BA47" i="6" s="1"/>
  <c r="EF47" i="6" s="1"/>
  <c r="Z42" i="6"/>
  <c r="X94" i="6"/>
  <c r="AI47" i="6"/>
  <c r="AS43" i="6"/>
  <c r="EB44" i="6"/>
  <c r="BE32" i="6"/>
  <c r="BF18" i="6"/>
  <c r="AN48" i="6"/>
  <c r="ED48" i="6"/>
  <c r="AS57" i="6"/>
  <c r="BD62" i="6"/>
  <c r="AE61" i="6"/>
  <c r="AJ62" i="6"/>
  <c r="AF71" i="6"/>
  <c r="ED61" i="6"/>
  <c r="AU61" i="6"/>
  <c r="BH178" i="6"/>
  <c r="AR380" i="1"/>
  <c r="AT226" i="5"/>
  <c r="EG34" i="6"/>
  <c r="AX26" i="6"/>
  <c r="Y94" i="6"/>
  <c r="AS98" i="6"/>
  <c r="AS87" i="1"/>
  <c r="BH366" i="1"/>
  <c r="BM367" i="1" s="1"/>
  <c r="AR90" i="6"/>
  <c r="BC27" i="6"/>
  <c r="X54" i="6"/>
  <c r="AD43" i="6"/>
  <c r="AD151" i="1" s="1"/>
  <c r="BI37" i="5"/>
  <c r="AQ61" i="5"/>
  <c r="BS187" i="5"/>
  <c r="BS44" i="1"/>
  <c r="BI12" i="6"/>
  <c r="EB15" i="6"/>
  <c r="AI16" i="6"/>
  <c r="AN17" i="6"/>
  <c r="AU35" i="6"/>
  <c r="AD19" i="6"/>
  <c r="BI23" i="6"/>
  <c r="Y22" i="6"/>
  <c r="EB18" i="6"/>
  <c r="AD23" i="6"/>
  <c r="ED20" i="6"/>
  <c r="AD32" i="6"/>
  <c r="AO30" i="6"/>
  <c r="AO34" i="6"/>
  <c r="AS32" i="6"/>
  <c r="ED49" i="6"/>
  <c r="EB36" i="6"/>
  <c r="BA42" i="6"/>
  <c r="EF42" i="6" s="1"/>
  <c r="BD43" i="6"/>
  <c r="BY97" i="5"/>
  <c r="BZ97" i="5" s="1"/>
  <c r="BX99" i="5"/>
  <c r="BX102" i="5" s="1"/>
  <c r="BX104" i="5" s="1"/>
  <c r="AZ75" i="1"/>
  <c r="BN208" i="1"/>
  <c r="BN224" i="1" s="1"/>
  <c r="BN59" i="1" s="1"/>
  <c r="BR176" i="1"/>
  <c r="BR187" i="1" s="1"/>
  <c r="BR229" i="5" s="1"/>
  <c r="BK333" i="1"/>
  <c r="EM19" i="1"/>
  <c r="BM330" i="1"/>
  <c r="BC176" i="1"/>
  <c r="BG176" i="1"/>
  <c r="BT208" i="1"/>
  <c r="AX77" i="1"/>
  <c r="BH330" i="1"/>
  <c r="BN330" i="1"/>
  <c r="BL176" i="1"/>
  <c r="BL351" i="1"/>
  <c r="BL364" i="1" s="1"/>
  <c r="BA95" i="1"/>
  <c r="AY443" i="1"/>
  <c r="FA15" i="1"/>
  <c r="BI176" i="1"/>
  <c r="BI187" i="1" s="1"/>
  <c r="BI229" i="5" s="1"/>
  <c r="BM30" i="1"/>
  <c r="BL30" i="1"/>
  <c r="BX69" i="1"/>
  <c r="BZ384" i="1"/>
  <c r="CK165" i="5"/>
  <c r="AZ75" i="5"/>
  <c r="AZ76" i="5" s="1"/>
  <c r="BF333" i="1"/>
  <c r="BK329" i="1"/>
  <c r="BA30" i="1"/>
  <c r="BR103" i="6"/>
  <c r="BW412" i="1"/>
  <c r="BB176" i="1"/>
  <c r="BB187" i="1" s="1"/>
  <c r="BB229" i="5" s="1"/>
  <c r="BQ364" i="1"/>
  <c r="BV365" i="1" s="1"/>
  <c r="BV353" i="1"/>
  <c r="BQ355" i="1"/>
  <c r="BV357" i="1" s="1"/>
  <c r="BV369" i="1"/>
  <c r="BQ430" i="1"/>
  <c r="BV428" i="1"/>
  <c r="BS364" i="1"/>
  <c r="BX365" i="1" s="1"/>
  <c r="BX353" i="1"/>
  <c r="BR355" i="1"/>
  <c r="BW357" i="1" s="1"/>
  <c r="BW369" i="1"/>
  <c r="BR430" i="1"/>
  <c r="BW428" i="1"/>
  <c r="BS355" i="1"/>
  <c r="BX357" i="1" s="1"/>
  <c r="BX369" i="1"/>
  <c r="BS430" i="1"/>
  <c r="BX428" i="1"/>
  <c r="BI330" i="1"/>
  <c r="BO330" i="1"/>
  <c r="BJ330" i="1"/>
  <c r="BG330" i="1"/>
  <c r="EL22" i="1"/>
  <c r="BK30" i="1"/>
  <c r="S30" i="1"/>
  <c r="AE30" i="1"/>
  <c r="AR72" i="1"/>
  <c r="AR30" i="1"/>
  <c r="BB30" i="1"/>
  <c r="BG30" i="1"/>
  <c r="AM72" i="1"/>
  <c r="AM30" i="1"/>
  <c r="BH30" i="1"/>
  <c r="AF30" i="1"/>
  <c r="EK22" i="1"/>
  <c r="BF30" i="1"/>
  <c r="AP30" i="1"/>
  <c r="U72" i="1"/>
  <c r="U30" i="1"/>
  <c r="Y72" i="1"/>
  <c r="Y30" i="1"/>
  <c r="AC72" i="1"/>
  <c r="AC30" i="1"/>
  <c r="AH30" i="1"/>
  <c r="AN30" i="1"/>
  <c r="AX72" i="1"/>
  <c r="AX30" i="1"/>
  <c r="BD72" i="1"/>
  <c r="BD30" i="1"/>
  <c r="BI72" i="1"/>
  <c r="BI30" i="1"/>
  <c r="BN72" i="1"/>
  <c r="BN30" i="1"/>
  <c r="Z72" i="1"/>
  <c r="Z30" i="1"/>
  <c r="AI30" i="1"/>
  <c r="BO30" i="1"/>
  <c r="EM22" i="1"/>
  <c r="BP30" i="1"/>
  <c r="BH335" i="1"/>
  <c r="AO73" i="6"/>
  <c r="AU84" i="6"/>
  <c r="BF57" i="6"/>
  <c r="BF99" i="6" s="1"/>
  <c r="BE26" i="6"/>
  <c r="BE21" i="6"/>
  <c r="BF21" i="6" s="1"/>
  <c r="BF52" i="6"/>
  <c r="BE24" i="6"/>
  <c r="BE20" i="6"/>
  <c r="BQ39" i="1"/>
  <c r="BQ41" i="1" s="1"/>
  <c r="BL204" i="1"/>
  <c r="BU204" i="1"/>
  <c r="AU85" i="6"/>
  <c r="BG167" i="1"/>
  <c r="BG204" i="1"/>
  <c r="BW46" i="5"/>
  <c r="BV47" i="5"/>
  <c r="BQ103" i="1"/>
  <c r="AE17" i="6"/>
  <c r="EC17" i="6" s="1"/>
  <c r="BJ19" i="6"/>
  <c r="AJ30" i="6"/>
  <c r="ED30" i="6" s="1"/>
  <c r="BE48" i="6"/>
  <c r="BE66" i="6"/>
  <c r="BF66" i="6" s="1"/>
  <c r="BD158" i="6"/>
  <c r="BD97" i="6"/>
  <c r="BD226" i="5"/>
  <c r="AW30" i="6"/>
  <c r="AE45" i="6"/>
  <c r="BI43" i="6"/>
  <c r="BI151" i="1" s="1"/>
  <c r="BH154" i="6"/>
  <c r="BN43" i="6"/>
  <c r="BN151" i="1" s="1"/>
  <c r="BM137" i="6"/>
  <c r="BM154" i="6"/>
  <c r="AT137" i="6"/>
  <c r="EB19" i="6"/>
  <c r="BR137" i="6"/>
  <c r="BR154" i="6"/>
  <c r="BH137" i="6"/>
  <c r="BZ39" i="5"/>
  <c r="BP128" i="5"/>
  <c r="DO178" i="5"/>
  <c r="DT178" i="5"/>
  <c r="DW178" i="5"/>
  <c r="DV178" i="5"/>
  <c r="DU178" i="5"/>
  <c r="AA361" i="1"/>
  <c r="BT122" i="1"/>
  <c r="BN122" i="1"/>
  <c r="BS122" i="1"/>
  <c r="BE122" i="1"/>
  <c r="BJ122" i="1"/>
  <c r="BF122" i="1"/>
  <c r="BK122" i="1"/>
  <c r="BG366" i="1"/>
  <c r="BG367" i="1" s="1"/>
  <c r="BT176" i="1"/>
  <c r="CC412" i="1"/>
  <c r="BX104" i="6" s="1"/>
  <c r="CS373" i="1"/>
  <c r="CQ386" i="1"/>
  <c r="BT373" i="1"/>
  <c r="BT404" i="1"/>
  <c r="BT405" i="1" s="1"/>
  <c r="BT399" i="1"/>
  <c r="BT400" i="1" s="1"/>
  <c r="CK167" i="5"/>
  <c r="BG208" i="1"/>
  <c r="AN72" i="1"/>
  <c r="CT44" i="6"/>
  <c r="BA49" i="6"/>
  <c r="EF49" i="6" s="1"/>
  <c r="AO179" i="6"/>
  <c r="EE57" i="6"/>
  <c r="Z178" i="6"/>
  <c r="EB64" i="6"/>
  <c r="BB95" i="6"/>
  <c r="BB92" i="6"/>
  <c r="EE36" i="6"/>
  <c r="BJ20" i="6"/>
  <c r="AW98" i="6"/>
  <c r="BN444" i="1"/>
  <c r="BO11" i="6"/>
  <c r="BO443" i="1" s="1"/>
  <c r="BN121" i="6"/>
  <c r="BN120" i="6" s="1"/>
  <c r="AO43" i="6"/>
  <c r="AE11" i="6"/>
  <c r="AD444" i="1"/>
  <c r="Z61" i="6"/>
  <c r="Y179" i="6"/>
  <c r="Y71" i="6"/>
  <c r="AE23" i="6"/>
  <c r="AE34" i="6"/>
  <c r="BJ31" i="6"/>
  <c r="BI27" i="6"/>
  <c r="BE99" i="6"/>
  <c r="BN71" i="6"/>
  <c r="Y178" i="6"/>
  <c r="BE67" i="6"/>
  <c r="AT67" i="6"/>
  <c r="BN226" i="5"/>
  <c r="AR71" i="6"/>
  <c r="BS16" i="6"/>
  <c r="BT16" i="6" s="1"/>
  <c r="EB17" i="6"/>
  <c r="EB23" i="6"/>
  <c r="BS30" i="6"/>
  <c r="BT30" i="6" s="1"/>
  <c r="BR27" i="6"/>
  <c r="BR38" i="6" s="1"/>
  <c r="BR150" i="1" s="1"/>
  <c r="BR152" i="1" s="1"/>
  <c r="BS33" i="6"/>
  <c r="BT33" i="6" s="1"/>
  <c r="BT44" i="6"/>
  <c r="BT94" i="6" s="1"/>
  <c r="BT49" i="6"/>
  <c r="ED57" i="6"/>
  <c r="AD16" i="6"/>
  <c r="BT17" i="6"/>
  <c r="BS31" i="6"/>
  <c r="BT31" i="6" s="1"/>
  <c r="BS34" i="6"/>
  <c r="BT34" i="6" s="1"/>
  <c r="BS36" i="6"/>
  <c r="BT36" i="6" s="1"/>
  <c r="EJ62" i="6"/>
  <c r="BT62" i="6"/>
  <c r="AM97" i="6"/>
  <c r="BS66" i="6"/>
  <c r="BS226" i="5" s="1"/>
  <c r="BS73" i="6"/>
  <c r="BT73" i="6" s="1"/>
  <c r="AI71" i="6"/>
  <c r="AL92" i="6"/>
  <c r="AW380" i="1"/>
  <c r="AS178" i="6"/>
  <c r="AI97" i="6"/>
  <c r="BN158" i="6"/>
  <c r="AD12" i="6"/>
  <c r="BT11" i="6"/>
  <c r="BT121" i="6" s="1"/>
  <c r="BS13" i="6"/>
  <c r="BT13" i="6" s="1"/>
  <c r="BS19" i="6"/>
  <c r="EJ19" i="6" s="1"/>
  <c r="AD26" i="6"/>
  <c r="BT26" i="6"/>
  <c r="BT32" i="6"/>
  <c r="EE21" i="6"/>
  <c r="BC179" i="6"/>
  <c r="AJ97" i="6"/>
  <c r="BN410" i="1"/>
  <c r="BN102" i="6" s="1"/>
  <c r="BS14" i="6"/>
  <c r="BT14" i="6" s="1"/>
  <c r="BT15" i="6"/>
  <c r="BS20" i="6"/>
  <c r="BT20" i="6" s="1"/>
  <c r="BT23" i="6"/>
  <c r="AU42" i="6"/>
  <c r="BT48" i="6"/>
  <c r="BT58" i="6"/>
  <c r="EC33" i="6"/>
  <c r="EC31" i="6"/>
  <c r="BM105" i="1"/>
  <c r="BD76" i="1"/>
  <c r="BM344" i="1"/>
  <c r="BC75" i="1"/>
  <c r="BH76" i="1"/>
  <c r="BS99" i="1"/>
  <c r="BJ77" i="1"/>
  <c r="BJ367" i="1"/>
  <c r="BO357" i="1"/>
  <c r="BC171" i="1"/>
  <c r="BF171" i="1" s="1"/>
  <c r="BD176" i="1"/>
  <c r="BD187" i="1" s="1"/>
  <c r="BD229" i="5" s="1"/>
  <c r="BG105" i="1"/>
  <c r="BB105" i="1"/>
  <c r="BR353" i="1"/>
  <c r="AQ105" i="1"/>
  <c r="EI73" i="1"/>
  <c r="BJ101" i="1"/>
  <c r="V198" i="1"/>
  <c r="V226" i="1" s="1"/>
  <c r="BR69" i="1"/>
  <c r="AD101" i="1"/>
  <c r="BN367" i="1"/>
  <c r="BI101" i="1"/>
  <c r="BA74" i="1"/>
  <c r="BO208" i="1"/>
  <c r="BO224" i="1" s="1"/>
  <c r="AZ366" i="1"/>
  <c r="BE367" i="1" s="1"/>
  <c r="BH356" i="1"/>
  <c r="AZ368" i="1"/>
  <c r="BE369" i="1" s="1"/>
  <c r="BN101" i="1"/>
  <c r="BO176" i="1"/>
  <c r="BO187" i="1" s="1"/>
  <c r="BO229" i="5" s="1"/>
  <c r="CO168" i="1"/>
  <c r="W198" i="1"/>
  <c r="AZ70" i="1"/>
  <c r="AK34" i="1"/>
  <c r="EH22" i="1"/>
  <c r="EH69" i="1" s="1"/>
  <c r="AH72" i="1"/>
  <c r="BS101" i="1"/>
  <c r="Q72" i="1"/>
  <c r="BD101" i="1"/>
  <c r="EI22" i="1"/>
  <c r="EI69" i="1" s="1"/>
  <c r="AO69" i="1"/>
  <c r="AO236" i="1" s="1"/>
  <c r="AY105" i="1"/>
  <c r="AH101" i="1"/>
  <c r="Y210" i="5"/>
  <c r="AW101" i="1"/>
  <c r="BC101" i="1"/>
  <c r="V101" i="1"/>
  <c r="EJ24" i="1"/>
  <c r="EJ71" i="1" s="1"/>
  <c r="Z101" i="1"/>
  <c r="AI72" i="1"/>
  <c r="EE71" i="1"/>
  <c r="AZ71" i="1"/>
  <c r="AN101" i="1"/>
  <c r="AB63" i="1"/>
  <c r="BS353" i="1"/>
  <c r="V72" i="1"/>
  <c r="AI101" i="1"/>
  <c r="EF95" i="1"/>
  <c r="BO356" i="1"/>
  <c r="U210" i="5"/>
  <c r="V210" i="5" s="1"/>
  <c r="AD210" i="5"/>
  <c r="AD217" i="5" s="1"/>
  <c r="BO210" i="5"/>
  <c r="AT69" i="1"/>
  <c r="AT71" i="1"/>
  <c r="BI99" i="1"/>
  <c r="EE70" i="1"/>
  <c r="AW330" i="1"/>
  <c r="EH73" i="1"/>
  <c r="BD208" i="1"/>
  <c r="BD224" i="1" s="1"/>
  <c r="BD59" i="1" s="1"/>
  <c r="BR208" i="1"/>
  <c r="BR224" i="1" s="1"/>
  <c r="BE352" i="1"/>
  <c r="BJ39" i="1"/>
  <c r="BL208" i="1"/>
  <c r="BH210" i="1"/>
  <c r="BK210" i="1" s="1"/>
  <c r="AO105" i="1"/>
  <c r="BO77" i="1"/>
  <c r="BJ356" i="1"/>
  <c r="AE210" i="5"/>
  <c r="BH105" i="1"/>
  <c r="BK70" i="1"/>
  <c r="EL70" i="1" s="1"/>
  <c r="AY39" i="1"/>
  <c r="AY78" i="1" s="1"/>
  <c r="AB210" i="5"/>
  <c r="AB217" i="5" s="1"/>
  <c r="BP430" i="1"/>
  <c r="BT390" i="1"/>
  <c r="BU390" i="1" s="1"/>
  <c r="BG368" i="1"/>
  <c r="BG369" i="1" s="1"/>
  <c r="AA226" i="1"/>
  <c r="AW368" i="1"/>
  <c r="AW355" i="1" s="1"/>
  <c r="BB357" i="1" s="1"/>
  <c r="BH72" i="1"/>
  <c r="EL15" i="1"/>
  <c r="L48" i="1"/>
  <c r="EG46" i="1"/>
  <c r="BH176" i="1"/>
  <c r="AD198" i="1"/>
  <c r="AD226" i="1" s="1"/>
  <c r="AD235" i="1" s="1"/>
  <c r="AD236" i="1" s="1"/>
  <c r="BB208" i="1"/>
  <c r="BB224" i="1" s="1"/>
  <c r="BJ208" i="1"/>
  <c r="BJ224" i="1" s="1"/>
  <c r="BJ59" i="1" s="1"/>
  <c r="AF376" i="1"/>
  <c r="BE344" i="1"/>
  <c r="AI63" i="1"/>
  <c r="BH169" i="1"/>
  <c r="BK169" i="1" s="1"/>
  <c r="BC213" i="1"/>
  <c r="BF213" i="1" s="1"/>
  <c r="AK24" i="1"/>
  <c r="BM210" i="5"/>
  <c r="BM217" i="5" s="1"/>
  <c r="BO369" i="1"/>
  <c r="BJ353" i="1"/>
  <c r="AY366" i="1"/>
  <c r="BD367" i="1" s="1"/>
  <c r="BK71" i="1"/>
  <c r="EL71" i="1" s="1"/>
  <c r="AK73" i="1"/>
  <c r="BC344" i="1"/>
  <c r="BH39" i="1"/>
  <c r="BH48" i="1" s="1"/>
  <c r="BN33" i="1"/>
  <c r="BN104" i="1" s="1"/>
  <c r="BS33" i="1"/>
  <c r="AA63" i="1"/>
  <c r="BH208" i="1"/>
  <c r="BN176" i="1"/>
  <c r="BN187" i="1" s="1"/>
  <c r="BN229" i="5" s="1"/>
  <c r="BQ352" i="1"/>
  <c r="BB353" i="1"/>
  <c r="BJ352" i="1"/>
  <c r="BJ76" i="1"/>
  <c r="AC210" i="5"/>
  <c r="AC217" i="5" s="1"/>
  <c r="BB352" i="1"/>
  <c r="BQ33" i="1"/>
  <c r="BQ104" i="1" s="1"/>
  <c r="AG63" i="1"/>
  <c r="BJ176" i="1"/>
  <c r="BO391" i="1"/>
  <c r="DD37" i="1"/>
  <c r="BP205" i="1"/>
  <c r="EF46" i="1"/>
  <c r="AG198" i="1"/>
  <c r="AG226" i="1" s="1"/>
  <c r="BA170" i="1"/>
  <c r="AK198" i="1"/>
  <c r="AK226" i="1" s="1"/>
  <c r="DS179" i="5"/>
  <c r="AM70" i="5"/>
  <c r="V22" i="5"/>
  <c r="BC22" i="5"/>
  <c r="DL178" i="5"/>
  <c r="AM61" i="5"/>
  <c r="AR48" i="5"/>
  <c r="AM22" i="5"/>
  <c r="BP47" i="5"/>
  <c r="BU70" i="5" s="1"/>
  <c r="AQ73" i="5"/>
  <c r="AL48" i="5"/>
  <c r="BP32" i="5"/>
  <c r="AG49" i="5"/>
  <c r="AR22" i="5"/>
  <c r="AR49" i="5" s="1"/>
  <c r="Z49" i="5"/>
  <c r="BL49" i="5"/>
  <c r="BQ48" i="5"/>
  <c r="BQ49" i="5" s="1"/>
  <c r="BP73" i="5"/>
  <c r="AT70" i="5"/>
  <c r="AJ48" i="5"/>
  <c r="AS22" i="5"/>
  <c r="AF22" i="5"/>
  <c r="BR70" i="5"/>
  <c r="BN44" i="1"/>
  <c r="BG61" i="5"/>
  <c r="BB61" i="5"/>
  <c r="AS48" i="5"/>
  <c r="AO70" i="5"/>
  <c r="AB70" i="5"/>
  <c r="BQ221" i="5"/>
  <c r="BG221" i="5"/>
  <c r="BO45" i="1"/>
  <c r="BP45" i="1" s="1"/>
  <c r="BD37" i="5"/>
  <c r="AN48" i="5"/>
  <c r="BB22" i="5"/>
  <c r="EL13" i="6"/>
  <c r="CT13" i="6"/>
  <c r="CY13" i="6"/>
  <c r="BA73" i="1"/>
  <c r="AJ28" i="1"/>
  <c r="Z210" i="5"/>
  <c r="BL210" i="5"/>
  <c r="BL217" i="5" s="1"/>
  <c r="BI105" i="1"/>
  <c r="EJ22" i="1"/>
  <c r="EJ69" i="1" s="1"/>
  <c r="S210" i="5"/>
  <c r="S216" i="5" s="1"/>
  <c r="BG101" i="1"/>
  <c r="EE69" i="1"/>
  <c r="BA20" i="1"/>
  <c r="J12" i="128" s="1"/>
  <c r="CE170" i="1"/>
  <c r="DX170" i="1"/>
  <c r="Y198" i="1"/>
  <c r="DS205" i="1"/>
  <c r="DN209" i="1"/>
  <c r="AX356" i="1"/>
  <c r="BB367" i="1"/>
  <c r="BD356" i="1"/>
  <c r="BN369" i="1"/>
  <c r="CT14" i="6"/>
  <c r="S72" i="1"/>
  <c r="R210" i="5"/>
  <c r="R216" i="5" s="1"/>
  <c r="BN210" i="5"/>
  <c r="BN217" i="5" s="1"/>
  <c r="BE210" i="5"/>
  <c r="BB72" i="1"/>
  <c r="BF102" i="1"/>
  <c r="EK102" i="1" s="1"/>
  <c r="BQ101" i="1"/>
  <c r="AO28" i="1"/>
  <c r="BN77" i="1"/>
  <c r="AX344" i="1"/>
  <c r="AC198" i="1"/>
  <c r="AC226" i="1" s="1"/>
  <c r="AC235" i="1" s="1"/>
  <c r="AC236" i="1" s="1"/>
  <c r="AH198" i="1"/>
  <c r="AH226" i="1" s="1"/>
  <c r="BA197" i="1"/>
  <c r="BF205" i="1"/>
  <c r="BU205" i="1"/>
  <c r="CE205" i="1"/>
  <c r="BH210" i="5"/>
  <c r="BH217" i="5" s="1"/>
  <c r="W210" i="5"/>
  <c r="BG210" i="5"/>
  <c r="BG217" i="5" s="1"/>
  <c r="AH210" i="5"/>
  <c r="AH217" i="5" s="1"/>
  <c r="BI210" i="5"/>
  <c r="BI217" i="5" s="1"/>
  <c r="AG210" i="5"/>
  <c r="AG217" i="5" s="1"/>
  <c r="X210" i="5"/>
  <c r="AX364" i="1"/>
  <c r="AE72" i="1"/>
  <c r="EE28" i="1"/>
  <c r="EE72" i="1" s="1"/>
  <c r="BN105" i="1"/>
  <c r="BH99" i="1"/>
  <c r="BC76" i="1"/>
  <c r="AX39" i="1"/>
  <c r="BN169" i="6"/>
  <c r="BN171" i="6"/>
  <c r="AB59" i="1"/>
  <c r="AJ63" i="1"/>
  <c r="AF96" i="1"/>
  <c r="BD210" i="5"/>
  <c r="BD217" i="5" s="1"/>
  <c r="AI210" i="5"/>
  <c r="AI217" i="5" s="1"/>
  <c r="BJ210" i="5"/>
  <c r="T210" i="5"/>
  <c r="T216" i="5" s="1"/>
  <c r="BC210" i="5"/>
  <c r="BC217" i="5" s="1"/>
  <c r="BB210" i="5"/>
  <c r="BB217" i="5" s="1"/>
  <c r="AK70" i="1"/>
  <c r="BN352" i="1"/>
  <c r="BF163" i="1"/>
  <c r="BF197" i="1" s="1"/>
  <c r="AA72" i="1"/>
  <c r="AK102" i="1"/>
  <c r="AF63" i="1"/>
  <c r="BR39" i="1"/>
  <c r="BA70" i="1"/>
  <c r="AH63" i="1"/>
  <c r="BG351" i="1"/>
  <c r="BG352" i="1" s="1"/>
  <c r="DJ14" i="6"/>
  <c r="DJ206" i="5"/>
  <c r="DA14" i="6"/>
  <c r="DA206" i="5"/>
  <c r="CW14" i="6"/>
  <c r="CW206" i="5"/>
  <c r="AM161" i="1"/>
  <c r="EH46" i="1"/>
  <c r="BK341" i="1"/>
  <c r="DK37" i="1"/>
  <c r="CX14" i="6"/>
  <c r="CX206" i="5"/>
  <c r="DG37" i="1"/>
  <c r="CK205" i="5"/>
  <c r="CL205" i="5" s="1"/>
  <c r="CM205" i="5" s="1"/>
  <c r="CN205" i="5" s="1"/>
  <c r="CO205" i="5" s="1"/>
  <c r="CJ206" i="5"/>
  <c r="DH37" i="1"/>
  <c r="DK178" i="5"/>
  <c r="AI61" i="5"/>
  <c r="BK47" i="5"/>
  <c r="BL70" i="5" s="1"/>
  <c r="AA70" i="5"/>
  <c r="AR61" i="5"/>
  <c r="BU108" i="5"/>
  <c r="AN22" i="5"/>
  <c r="AC221" i="5"/>
  <c r="BE61" i="5"/>
  <c r="BC37" i="5"/>
  <c r="BR106" i="5"/>
  <c r="AM48" i="5"/>
  <c r="BO48" i="5"/>
  <c r="BK32" i="5"/>
  <c r="AA16" i="5"/>
  <c r="AA22" i="5" s="1"/>
  <c r="AS70" i="5"/>
  <c r="BI22" i="5"/>
  <c r="AJ22" i="5"/>
  <c r="AM56" i="5" s="1"/>
  <c r="BM44" i="1"/>
  <c r="BR44" i="1"/>
  <c r="BD16" i="5"/>
  <c r="AZ221" i="5"/>
  <c r="BM106" i="5"/>
  <c r="AI48" i="5"/>
  <c r="V48" i="5"/>
  <c r="V61" i="5"/>
  <c r="BC61" i="5"/>
  <c r="BE221" i="5"/>
  <c r="BJ221" i="5"/>
  <c r="DF178" i="5"/>
  <c r="DA178" i="5"/>
  <c r="CW178" i="5"/>
  <c r="CS178" i="5"/>
  <c r="CK178" i="5"/>
  <c r="CG178" i="5"/>
  <c r="CD178" i="5"/>
  <c r="DE178" i="5"/>
  <c r="CZ178" i="5"/>
  <c r="CV178" i="5"/>
  <c r="CR178" i="5"/>
  <c r="CN178" i="5"/>
  <c r="CF178" i="5"/>
  <c r="CC178" i="5"/>
  <c r="BY178" i="5"/>
  <c r="DH178" i="5"/>
  <c r="DC178" i="5"/>
  <c r="CU178" i="5"/>
  <c r="CQ178" i="5"/>
  <c r="CM178" i="5"/>
  <c r="CI178" i="5"/>
  <c r="CB178" i="5"/>
  <c r="BX178" i="5"/>
  <c r="DG178" i="5"/>
  <c r="DB178" i="5"/>
  <c r="CX178" i="5"/>
  <c r="CP178" i="5"/>
  <c r="CL178" i="5"/>
  <c r="CH178" i="5"/>
  <c r="BW178" i="5"/>
  <c r="CL83" i="5"/>
  <c r="DI13" i="6"/>
  <c r="DN13" i="6"/>
  <c r="CO13" i="6"/>
  <c r="BL159" i="5"/>
  <c r="DS13" i="6"/>
  <c r="BP394" i="1"/>
  <c r="BP222" i="5"/>
  <c r="BQ72" i="5"/>
  <c r="AC48" i="5"/>
  <c r="AQ48" i="5"/>
  <c r="AQ49" i="5" s="1"/>
  <c r="DB13" i="6"/>
  <c r="AC56" i="5"/>
  <c r="BG159" i="5"/>
  <c r="BN106" i="5"/>
  <c r="BO156" i="5" s="1"/>
  <c r="AQ95" i="6"/>
  <c r="AQ92" i="6"/>
  <c r="BM49" i="5"/>
  <c r="BN56" i="5"/>
  <c r="BU126" i="5"/>
  <c r="BU127" i="5" s="1"/>
  <c r="AR70" i="5"/>
  <c r="BD48" i="5"/>
  <c r="BS61" i="5"/>
  <c r="AL61" i="5"/>
  <c r="AC61" i="5"/>
  <c r="BD61" i="5"/>
  <c r="AE222" i="5"/>
  <c r="AH48" i="5"/>
  <c r="AZ22" i="5"/>
  <c r="BA16" i="5"/>
  <c r="AH221" i="5"/>
  <c r="AY221" i="5"/>
  <c r="AH61" i="5"/>
  <c r="BN48" i="5"/>
  <c r="BN49" i="5" s="1"/>
  <c r="AB48" i="5"/>
  <c r="BJ70" i="5"/>
  <c r="BR22" i="5"/>
  <c r="BR49" i="5" s="1"/>
  <c r="BI221" i="5"/>
  <c r="BS221" i="5"/>
  <c r="BP126" i="5"/>
  <c r="BP127" i="5" s="1"/>
  <c r="AU61" i="5"/>
  <c r="BI48" i="5"/>
  <c r="U16" i="5"/>
  <c r="BH22" i="5"/>
  <c r="AL221" i="5"/>
  <c r="BG72" i="5"/>
  <c r="BA73" i="5"/>
  <c r="BU73" i="5"/>
  <c r="BQ187" i="5"/>
  <c r="BP106" i="5"/>
  <c r="BM415" i="1"/>
  <c r="BM107" i="6" s="1"/>
  <c r="U217" i="5"/>
  <c r="BK104" i="1"/>
  <c r="EL104" i="1" s="1"/>
  <c r="BG445" i="1"/>
  <c r="BU384" i="1"/>
  <c r="AK445" i="1"/>
  <c r="BM39" i="1"/>
  <c r="CO211" i="1"/>
  <c r="CO44" i="6"/>
  <c r="BS9" i="6"/>
  <c r="AP222" i="5"/>
  <c r="AU222" i="5"/>
  <c r="AX32" i="5"/>
  <c r="AX37" i="5" s="1"/>
  <c r="AA48" i="5"/>
  <c r="AP61" i="5"/>
  <c r="AB73" i="5"/>
  <c r="BF222" i="5"/>
  <c r="BK72" i="5"/>
  <c r="BL73" i="5"/>
  <c r="BB72" i="5"/>
  <c r="BA222" i="5"/>
  <c r="AY72" i="5"/>
  <c r="BF72" i="5"/>
  <c r="AU73" i="5"/>
  <c r="AA72" i="5"/>
  <c r="AF72" i="5"/>
  <c r="U222" i="5"/>
  <c r="AX72" i="5"/>
  <c r="DN173" i="5"/>
  <c r="BA72" i="5"/>
  <c r="BA70" i="5"/>
  <c r="AQ72" i="5"/>
  <c r="U72" i="5"/>
  <c r="BK107" i="5"/>
  <c r="BK106" i="5" s="1"/>
  <c r="AQ70" i="5"/>
  <c r="AY70" i="5"/>
  <c r="AU72" i="5"/>
  <c r="BF73" i="5"/>
  <c r="BA74" i="5"/>
  <c r="BB70" i="5"/>
  <c r="AU70" i="5"/>
  <c r="BK73" i="5"/>
  <c r="BA32" i="5"/>
  <c r="BV91" i="5"/>
  <c r="BU99" i="5"/>
  <c r="BU102" i="5" s="1"/>
  <c r="Z221" i="5"/>
  <c r="BQ206" i="5"/>
  <c r="BU206" i="5"/>
  <c r="DN174" i="5"/>
  <c r="DQ178" i="5"/>
  <c r="DM178" i="5"/>
  <c r="DR178" i="5"/>
  <c r="BV178" i="5"/>
  <c r="DJ178" i="5"/>
  <c r="DN179" i="5"/>
  <c r="DS173" i="5"/>
  <c r="AA222" i="5"/>
  <c r="AX222" i="5"/>
  <c r="BA59" i="6"/>
  <c r="EF59" i="6" s="1"/>
  <c r="BF22" i="5"/>
  <c r="BK22" i="5"/>
  <c r="AA73" i="5"/>
  <c r="AB72" i="5"/>
  <c r="AA61" i="5"/>
  <c r="AF73" i="5"/>
  <c r="BK222" i="5"/>
  <c r="AE61" i="5"/>
  <c r="AE32" i="5"/>
  <c r="AW16" i="5"/>
  <c r="AW22" i="5" s="1"/>
  <c r="BH120" i="6"/>
  <c r="BC120" i="6"/>
  <c r="BI39" i="1"/>
  <c r="BO344" i="1"/>
  <c r="BO39" i="1"/>
  <c r="BN39" i="1"/>
  <c r="BN41" i="1" s="1"/>
  <c r="BG75" i="1"/>
  <c r="BG39" i="1"/>
  <c r="EJ44" i="6"/>
  <c r="BV122" i="1"/>
  <c r="BY94" i="6"/>
  <c r="CU94" i="6"/>
  <c r="CZ94" i="6"/>
  <c r="DD44" i="6"/>
  <c r="DQ94" i="6"/>
  <c r="DS44" i="6"/>
  <c r="BX94" i="6"/>
  <c r="CD94" i="6"/>
  <c r="FC138" i="1"/>
  <c r="EI103" i="1"/>
  <c r="EG104" i="1"/>
  <c r="BF98" i="1"/>
  <c r="EK98" i="1" s="1"/>
  <c r="BU308" i="1"/>
  <c r="BO171" i="6"/>
  <c r="BO352" i="1"/>
  <c r="BF74" i="1"/>
  <c r="EK74" i="1" s="1"/>
  <c r="AY75" i="1"/>
  <c r="BD169" i="6"/>
  <c r="N51" i="1"/>
  <c r="EK47" i="1"/>
  <c r="AW393" i="1"/>
  <c r="BD75" i="1"/>
  <c r="AY344" i="1"/>
  <c r="BN99" i="1"/>
  <c r="EH23" i="1"/>
  <c r="EH70" i="1" s="1"/>
  <c r="AJ70" i="1"/>
  <c r="AO71" i="1"/>
  <c r="EI24" i="1"/>
  <c r="EI71" i="1" s="1"/>
  <c r="BK69" i="1"/>
  <c r="EL69" i="1" s="1"/>
  <c r="W101" i="1"/>
  <c r="W72" i="1"/>
  <c r="AL72" i="1"/>
  <c r="AQ101" i="1"/>
  <c r="BG72" i="1"/>
  <c r="BK28" i="1"/>
  <c r="BL101" i="1"/>
  <c r="BP28" i="1"/>
  <c r="AG105" i="1"/>
  <c r="AF34" i="1"/>
  <c r="AT105" i="1"/>
  <c r="BC105" i="1"/>
  <c r="BC77" i="1"/>
  <c r="BI77" i="1"/>
  <c r="EK49" i="1"/>
  <c r="AI393" i="1"/>
  <c r="AQ393" i="1"/>
  <c r="AX393" i="1"/>
  <c r="BD77" i="1"/>
  <c r="AF73" i="1"/>
  <c r="AK97" i="1"/>
  <c r="H11" i="128" s="1"/>
  <c r="AU73" i="1"/>
  <c r="AX76" i="1"/>
  <c r="AX75" i="1"/>
  <c r="BC169" i="6"/>
  <c r="BC443" i="1"/>
  <c r="BC171" i="6"/>
  <c r="BC99" i="1"/>
  <c r="BH443" i="1"/>
  <c r="BH75" i="1"/>
  <c r="BH77" i="1"/>
  <c r="BH171" i="6"/>
  <c r="BH169" i="6"/>
  <c r="BH344" i="1"/>
  <c r="BN443" i="1"/>
  <c r="BN344" i="1"/>
  <c r="BS352" i="1"/>
  <c r="BS75" i="1"/>
  <c r="BS344" i="1"/>
  <c r="BS171" i="6"/>
  <c r="AS70" i="1"/>
  <c r="EG102" i="1"/>
  <c r="AB101" i="1"/>
  <c r="BR103" i="1"/>
  <c r="Z104" i="1"/>
  <c r="AH105" i="1"/>
  <c r="AC105" i="1"/>
  <c r="BO105" i="1"/>
  <c r="AP102" i="1"/>
  <c r="BK102" i="1"/>
  <c r="EL102" i="1" s="1"/>
  <c r="AL161" i="1"/>
  <c r="AP46" i="1"/>
  <c r="AR161" i="1"/>
  <c r="BC161" i="1"/>
  <c r="BF161" i="1" s="1"/>
  <c r="BF46" i="1"/>
  <c r="BK20" i="1"/>
  <c r="L12" i="128" s="1"/>
  <c r="AS95" i="1"/>
  <c r="AU15" i="1"/>
  <c r="AS69" i="1"/>
  <c r="BK98" i="1"/>
  <c r="EL98" i="1" s="1"/>
  <c r="EK19" i="1"/>
  <c r="AY77" i="1"/>
  <c r="AY76" i="1"/>
  <c r="BD344" i="1"/>
  <c r="BD99" i="1"/>
  <c r="BD352" i="1"/>
  <c r="BI356" i="1"/>
  <c r="BI76" i="1"/>
  <c r="BI344" i="1"/>
  <c r="BI75" i="1"/>
  <c r="BO75" i="1"/>
  <c r="K48" i="1"/>
  <c r="BS103" i="1"/>
  <c r="FA36" i="1"/>
  <c r="CE171" i="1"/>
  <c r="CJ169" i="1"/>
  <c r="CJ170" i="1"/>
  <c r="CO172" i="1"/>
  <c r="CT171" i="1"/>
  <c r="CT172" i="1"/>
  <c r="DD169" i="1"/>
  <c r="DD170" i="1"/>
  <c r="DN168" i="1"/>
  <c r="DN171" i="1"/>
  <c r="DN172" i="1"/>
  <c r="DX169" i="1"/>
  <c r="BE77" i="1"/>
  <c r="AF198" i="1"/>
  <c r="AF226" i="1" s="1"/>
  <c r="BF430" i="1"/>
  <c r="AY87" i="1"/>
  <c r="EE73" i="1"/>
  <c r="DN211" i="1"/>
  <c r="BU172" i="1"/>
  <c r="BK172" i="1"/>
  <c r="BP170" i="1"/>
  <c r="BP172" i="1"/>
  <c r="BC351" i="1"/>
  <c r="BC353" i="1" s="1"/>
  <c r="BF70" i="1"/>
  <c r="EK70" i="1" s="1"/>
  <c r="EG69" i="1"/>
  <c r="EG71" i="1"/>
  <c r="AF95" i="1"/>
  <c r="AU97" i="1"/>
  <c r="EH19" i="1"/>
  <c r="AW77" i="1"/>
  <c r="AW443" i="1"/>
  <c r="AW75" i="1"/>
  <c r="AW344" i="1"/>
  <c r="BB39" i="1"/>
  <c r="BB48" i="1" s="1"/>
  <c r="BB82" i="1" s="1"/>
  <c r="BB443" i="1"/>
  <c r="BB76" i="1"/>
  <c r="BC446" i="1"/>
  <c r="BD437" i="1"/>
  <c r="BE437" i="1"/>
  <c r="BF437" i="1" s="1"/>
  <c r="BB75" i="1"/>
  <c r="BB356" i="1"/>
  <c r="BM169" i="6"/>
  <c r="BM99" i="1"/>
  <c r="BM77" i="1"/>
  <c r="BM75" i="1"/>
  <c r="BM443" i="1"/>
  <c r="BQ446" i="1"/>
  <c r="BR367" i="1"/>
  <c r="BT380" i="1"/>
  <c r="BU380" i="1" s="1"/>
  <c r="BT385" i="1"/>
  <c r="AR445" i="1"/>
  <c r="BC445" i="1"/>
  <c r="AK96" i="1"/>
  <c r="EK15" i="1"/>
  <c r="AO87" i="1"/>
  <c r="BF69" i="1"/>
  <c r="EK69" i="1" s="1"/>
  <c r="AF70" i="1"/>
  <c r="EG70" i="1"/>
  <c r="BF20" i="1"/>
  <c r="K12" i="128" s="1"/>
  <c r="BB437" i="1"/>
  <c r="AW76" i="1"/>
  <c r="W105" i="1"/>
  <c r="AB105" i="1"/>
  <c r="AU34" i="1"/>
  <c r="AT211" i="5" s="1"/>
  <c r="AR105" i="1"/>
  <c r="BP102" i="1"/>
  <c r="EM102" i="1" s="1"/>
  <c r="EM31" i="1"/>
  <c r="AO161" i="1"/>
  <c r="AX161" i="1"/>
  <c r="EJ46" i="1"/>
  <c r="BH161" i="1"/>
  <c r="BN355" i="1"/>
  <c r="BN356" i="1" s="1"/>
  <c r="BK95" i="1"/>
  <c r="EL95" i="1" s="1"/>
  <c r="BC54" i="5"/>
  <c r="BS385" i="1"/>
  <c r="BJ369" i="1"/>
  <c r="AK95" i="1"/>
  <c r="BB99" i="1"/>
  <c r="AJ69" i="1"/>
  <c r="AJ236" i="1" s="1"/>
  <c r="AK22" i="1"/>
  <c r="AO70" i="1"/>
  <c r="B72" i="1"/>
  <c r="G101" i="1"/>
  <c r="R72" i="1"/>
  <c r="AD72" i="1"/>
  <c r="AQ72" i="1"/>
  <c r="AY101" i="1"/>
  <c r="AY72" i="1"/>
  <c r="BE72" i="1"/>
  <c r="BJ72" i="1"/>
  <c r="BO101" i="1"/>
  <c r="BO72" i="1"/>
  <c r="AH393" i="1"/>
  <c r="AM393" i="1"/>
  <c r="AP66" i="1"/>
  <c r="FA47" i="1"/>
  <c r="AW187" i="1"/>
  <c r="BA167" i="1"/>
  <c r="AC63" i="1"/>
  <c r="AC59" i="1"/>
  <c r="AC60" i="1" s="1"/>
  <c r="CJ307" i="1"/>
  <c r="BE176" i="1"/>
  <c r="BE187" i="1" s="1"/>
  <c r="BE229" i="5" s="1"/>
  <c r="BI208" i="1"/>
  <c r="BI224" i="1" s="1"/>
  <c r="BI59" i="1" s="1"/>
  <c r="BM208" i="1"/>
  <c r="BM224" i="1" s="1"/>
  <c r="BM59" i="1" s="1"/>
  <c r="BM60" i="1" s="1"/>
  <c r="BM63" i="1" s="1"/>
  <c r="BM176" i="1"/>
  <c r="BM187" i="1" s="1"/>
  <c r="BM229" i="5" s="1"/>
  <c r="BQ208" i="1"/>
  <c r="BQ224" i="1" s="1"/>
  <c r="BQ59" i="1" s="1"/>
  <c r="BQ176" i="1"/>
  <c r="BQ187" i="1" s="1"/>
  <c r="BQ229" i="5" s="1"/>
  <c r="AX330" i="1"/>
  <c r="AX366" i="1"/>
  <c r="BF329" i="1"/>
  <c r="BC366" i="1"/>
  <c r="BC368" i="1"/>
  <c r="BL368" i="1"/>
  <c r="BL355" i="1" s="1"/>
  <c r="BP333" i="1"/>
  <c r="BL366" i="1"/>
  <c r="BK347" i="1"/>
  <c r="BH211" i="1"/>
  <c r="BK211" i="1" s="1"/>
  <c r="BH351" i="1"/>
  <c r="BE353" i="1"/>
  <c r="AZ364" i="1"/>
  <c r="BE365" i="1" s="1"/>
  <c r="BI364" i="1"/>
  <c r="BN365" i="1" s="1"/>
  <c r="BI353" i="1"/>
  <c r="BN353" i="1"/>
  <c r="BI352" i="1"/>
  <c r="BO364" i="1"/>
  <c r="BO365" i="1" s="1"/>
  <c r="BO353" i="1"/>
  <c r="BO33" i="1"/>
  <c r="BO104" i="1" s="1"/>
  <c r="BF71" i="1"/>
  <c r="EK71" i="1" s="1"/>
  <c r="BS428" i="1"/>
  <c r="BM352" i="1"/>
  <c r="AP73" i="1"/>
  <c r="BB77" i="1"/>
  <c r="BB344" i="1"/>
  <c r="AF69" i="1"/>
  <c r="BM171" i="6"/>
  <c r="EH102" i="1"/>
  <c r="EG73" i="1"/>
  <c r="BE208" i="1"/>
  <c r="BE224" i="1" s="1"/>
  <c r="AK63" i="1"/>
  <c r="BK170" i="1"/>
  <c r="BP168" i="1"/>
  <c r="BP169" i="1"/>
  <c r="BP171" i="1"/>
  <c r="BU167" i="1"/>
  <c r="BU168" i="1"/>
  <c r="BU169" i="1"/>
  <c r="BU170" i="1"/>
  <c r="BU171" i="1"/>
  <c r="AU224" i="1"/>
  <c r="J48" i="1"/>
  <c r="BK38" i="1"/>
  <c r="BP38" i="1"/>
  <c r="BI367" i="1"/>
  <c r="DN205" i="1"/>
  <c r="DX205" i="1"/>
  <c r="AP96" i="1"/>
  <c r="EH103" i="1"/>
  <c r="BA163" i="1"/>
  <c r="CE162" i="1"/>
  <c r="AF165" i="1"/>
  <c r="BA168" i="1"/>
  <c r="BA169" i="1"/>
  <c r="BA172" i="1"/>
  <c r="BA176" i="1"/>
  <c r="AW364" i="1"/>
  <c r="BB365" i="1" s="1"/>
  <c r="AE101" i="1"/>
  <c r="AF71" i="1"/>
  <c r="CE209" i="1"/>
  <c r="DI210" i="1"/>
  <c r="DN210" i="1"/>
  <c r="DI211" i="1"/>
  <c r="AN87" i="1"/>
  <c r="EH104" i="1"/>
  <c r="BF168" i="1"/>
  <c r="BW102" i="6"/>
  <c r="CB415" i="1"/>
  <c r="BW410" i="1" s="1"/>
  <c r="AT87" i="1"/>
  <c r="EI46" i="1"/>
  <c r="BA103" i="1"/>
  <c r="BF103" i="1"/>
  <c r="EK103" i="1" s="1"/>
  <c r="AJ211" i="5"/>
  <c r="AN105" i="1"/>
  <c r="AZ105" i="1"/>
  <c r="BF34" i="1"/>
  <c r="EK34" i="1" s="1"/>
  <c r="BJ105" i="1"/>
  <c r="BL34" i="1"/>
  <c r="BM211" i="5" s="1"/>
  <c r="BL104" i="1"/>
  <c r="EK35" i="1"/>
  <c r="BU209" i="1"/>
  <c r="AG393" i="1"/>
  <c r="AK66" i="1"/>
  <c r="AL393" i="1"/>
  <c r="BF95" i="1"/>
  <c r="EK95" i="1" s="1"/>
  <c r="EF71" i="1"/>
  <c r="EJ95" i="1"/>
  <c r="EJ20" i="1"/>
  <c r="AS96" i="1"/>
  <c r="AP95" i="1"/>
  <c r="EE19" i="1"/>
  <c r="EF19" i="1"/>
  <c r="EI19" i="1"/>
  <c r="BP98" i="1"/>
  <c r="EM98" i="1" s="1"/>
  <c r="BP74" i="1"/>
  <c r="EM74" i="1" s="1"/>
  <c r="AZ437" i="1"/>
  <c r="BA437" i="1" s="1"/>
  <c r="BB446" i="1"/>
  <c r="AZ77" i="1"/>
  <c r="AZ443" i="1"/>
  <c r="AZ76" i="1"/>
  <c r="BC437" i="1"/>
  <c r="AZ344" i="1"/>
  <c r="BD446" i="1"/>
  <c r="BI437" i="1"/>
  <c r="BE75" i="1"/>
  <c r="BE356" i="1"/>
  <c r="BE76" i="1"/>
  <c r="BE446" i="1"/>
  <c r="BF446" i="1" s="1"/>
  <c r="BE99" i="1"/>
  <c r="BG437" i="1"/>
  <c r="BJ344" i="1"/>
  <c r="BJ99" i="1"/>
  <c r="BJ75" i="1"/>
  <c r="BO99" i="1"/>
  <c r="BQ75" i="1"/>
  <c r="BQ437" i="1"/>
  <c r="BQ344" i="1"/>
  <c r="BQ443" i="1"/>
  <c r="BQ77" i="1"/>
  <c r="AU23" i="1"/>
  <c r="AT70" i="1"/>
  <c r="AT28" i="1"/>
  <c r="AT30" i="1" s="1"/>
  <c r="EY23" i="1"/>
  <c r="BS70" i="1"/>
  <c r="EY70" i="1" s="1"/>
  <c r="EK24" i="1"/>
  <c r="EL23" i="1"/>
  <c r="L72" i="1"/>
  <c r="L101" i="1"/>
  <c r="T72" i="1"/>
  <c r="X72" i="1"/>
  <c r="X101" i="1"/>
  <c r="AB72" i="1"/>
  <c r="AF28" i="1"/>
  <c r="AF72" i="1" s="1"/>
  <c r="AL101" i="1"/>
  <c r="AG101" i="1"/>
  <c r="AR101" i="1"/>
  <c r="AM101" i="1"/>
  <c r="AW72" i="1"/>
  <c r="AW39" i="1"/>
  <c r="BB101" i="1"/>
  <c r="BC72" i="1"/>
  <c r="BF28" i="1"/>
  <c r="BH101" i="1"/>
  <c r="BR101" i="1"/>
  <c r="BM101" i="1"/>
  <c r="BM72" i="1"/>
  <c r="BP32" i="1"/>
  <c r="EM32" i="1" s="1"/>
  <c r="BN75" i="1"/>
  <c r="AQ161" i="1"/>
  <c r="AU46" i="1"/>
  <c r="AY161" i="1"/>
  <c r="BA46" i="1"/>
  <c r="M51" i="1"/>
  <c r="AM197" i="1"/>
  <c r="AP163" i="1"/>
  <c r="AP197" i="1" s="1"/>
  <c r="BM197" i="1"/>
  <c r="BP163" i="1"/>
  <c r="BP197" i="1" s="1"/>
  <c r="CC308" i="1"/>
  <c r="CC38" i="1" s="1"/>
  <c r="BF38" i="1"/>
  <c r="BC208" i="1"/>
  <c r="AY330" i="1"/>
  <c r="AY368" i="1"/>
  <c r="BF341" i="1"/>
  <c r="BF204" i="1" s="1"/>
  <c r="BC167" i="1"/>
  <c r="BF167" i="1" s="1"/>
  <c r="BF347" i="1"/>
  <c r="BC211" i="1"/>
  <c r="BF211" i="1" s="1"/>
  <c r="BC170" i="1"/>
  <c r="BF170" i="1" s="1"/>
  <c r="BM364" i="1"/>
  <c r="BM33" i="1"/>
  <c r="BR364" i="1"/>
  <c r="BW365" i="1" s="1"/>
  <c r="BR33" i="1"/>
  <c r="BR446" i="1"/>
  <c r="BC39" i="1"/>
  <c r="BC78" i="1" s="1"/>
  <c r="AU22" i="1"/>
  <c r="BD39" i="1"/>
  <c r="BD48" i="1" s="1"/>
  <c r="BD51" i="1" s="1"/>
  <c r="BE39" i="1"/>
  <c r="CE169" i="1"/>
  <c r="BA71" i="1"/>
  <c r="AU49" i="1"/>
  <c r="EJ74" i="1"/>
  <c r="AF103" i="1"/>
  <c r="CO162" i="1"/>
  <c r="CY162" i="1"/>
  <c r="BS308" i="1"/>
  <c r="BS38" i="1" s="1"/>
  <c r="BM356" i="1"/>
  <c r="BP380" i="1"/>
  <c r="BP381" i="1" s="1"/>
  <c r="DD209" i="1"/>
  <c r="DT37" i="1"/>
  <c r="AP71" i="1"/>
  <c r="BM369" i="1"/>
  <c r="BA34" i="1"/>
  <c r="AK104" i="1"/>
  <c r="AP104" i="1"/>
  <c r="AS28" i="1"/>
  <c r="AS30" i="1" s="1"/>
  <c r="BF104" i="1"/>
  <c r="EK104" i="1" s="1"/>
  <c r="BS437" i="1"/>
  <c r="BG344" i="1"/>
  <c r="EL35" i="1"/>
  <c r="BM357" i="1"/>
  <c r="BR369" i="1"/>
  <c r="AF104" i="1"/>
  <c r="AU104" i="1"/>
  <c r="BR77" i="1"/>
  <c r="FA35" i="1"/>
  <c r="BH437" i="1"/>
  <c r="FC15" i="1"/>
  <c r="AP69" i="1"/>
  <c r="AP236" i="1" s="1"/>
  <c r="BI357" i="1"/>
  <c r="AP445" i="1"/>
  <c r="AG87" i="1"/>
  <c r="BP393" i="1"/>
  <c r="BP391" i="1" s="1"/>
  <c r="BP211" i="1"/>
  <c r="BO367" i="1"/>
  <c r="BJ391" i="1"/>
  <c r="EF69" i="1"/>
  <c r="BK198" i="1"/>
  <c r="AZ69" i="1"/>
  <c r="CE168" i="1"/>
  <c r="CE172" i="1"/>
  <c r="CJ168" i="1"/>
  <c r="CJ172" i="1"/>
  <c r="CT170" i="1"/>
  <c r="DI168" i="1"/>
  <c r="DI171" i="1"/>
  <c r="AB198" i="1"/>
  <c r="EI104" i="1"/>
  <c r="FA136" i="1"/>
  <c r="EK133" i="1"/>
  <c r="Y87" i="1"/>
  <c r="EE9" i="1"/>
  <c r="AB87" i="1"/>
  <c r="BJ446" i="1"/>
  <c r="BK446" i="1" s="1"/>
  <c r="BG443" i="1"/>
  <c r="BG77" i="1"/>
  <c r="BI446" i="1"/>
  <c r="BJ437" i="1"/>
  <c r="BK437" i="1" s="1"/>
  <c r="BG76" i="1"/>
  <c r="BH446" i="1"/>
  <c r="BG446" i="1"/>
  <c r="BG99" i="1"/>
  <c r="BR344" i="1"/>
  <c r="BR75" i="1"/>
  <c r="BR99" i="1"/>
  <c r="BR352" i="1"/>
  <c r="BR171" i="6"/>
  <c r="BR437" i="1"/>
  <c r="BR443" i="1"/>
  <c r="BS446" i="1"/>
  <c r="AU24" i="1"/>
  <c r="AS71" i="1"/>
  <c r="BS69" i="1"/>
  <c r="EY22" i="1"/>
  <c r="FA22" i="1" s="1"/>
  <c r="EF73" i="1"/>
  <c r="EF102" i="1"/>
  <c r="EJ102" i="1"/>
  <c r="EJ73" i="1"/>
  <c r="Z87" i="1"/>
  <c r="BA69" i="1"/>
  <c r="BA28" i="1"/>
  <c r="BK103" i="1"/>
  <c r="EL103" i="1" s="1"/>
  <c r="EL32" i="1"/>
  <c r="AP103" i="1"/>
  <c r="AK103" i="1"/>
  <c r="AU103" i="1"/>
  <c r="EL36" i="1"/>
  <c r="BU42" i="5"/>
  <c r="BU72" i="5" s="1"/>
  <c r="AY59" i="1"/>
  <c r="AY60" i="1" s="1"/>
  <c r="AY63" i="1" s="1"/>
  <c r="AY229" i="1"/>
  <c r="H48" i="1"/>
  <c r="EI23" i="1"/>
  <c r="EI70" i="1" s="1"/>
  <c r="AE198" i="1"/>
  <c r="AE226" i="1" s="1"/>
  <c r="CJ215" i="1"/>
  <c r="BR386" i="1"/>
  <c r="BN386" i="1"/>
  <c r="Q101" i="1"/>
  <c r="BK428" i="1"/>
  <c r="EE34" i="1"/>
  <c r="AT66" i="1"/>
  <c r="AI198" i="1"/>
  <c r="AI226" i="1" s="1"/>
  <c r="CY210" i="1"/>
  <c r="DI213" i="1"/>
  <c r="AS224" i="1"/>
  <c r="AS59" i="1" s="1"/>
  <c r="AS60" i="1" s="1"/>
  <c r="BM386" i="1"/>
  <c r="BM385" i="1" s="1"/>
  <c r="EG134" i="1"/>
  <c r="AU445" i="1"/>
  <c r="BP445" i="1"/>
  <c r="EQ136" i="1"/>
  <c r="FC136" i="1"/>
  <c r="EP137" i="1"/>
  <c r="EQ138" i="1"/>
  <c r="EP138" i="1"/>
  <c r="EO137" i="1"/>
  <c r="EN137" i="1"/>
  <c r="EQ137" i="1"/>
  <c r="EM137" i="1"/>
  <c r="EN22" i="1"/>
  <c r="BM120" i="6"/>
  <c r="BP114" i="6"/>
  <c r="BP116" i="6"/>
  <c r="BO410" i="1"/>
  <c r="BO226" i="5"/>
  <c r="BO158" i="6"/>
  <c r="BO97" i="6"/>
  <c r="BA85" i="6"/>
  <c r="EI102" i="1"/>
  <c r="AW47" i="5"/>
  <c r="AW33" i="6"/>
  <c r="AT33" i="6"/>
  <c r="I48" i="1"/>
  <c r="AG445" i="1"/>
  <c r="BP16" i="5"/>
  <c r="BP22" i="5" s="1"/>
  <c r="BO221" i="5"/>
  <c r="AO133" i="6"/>
  <c r="EF34" i="1"/>
  <c r="BP341" i="1"/>
  <c r="BP204" i="1" s="1"/>
  <c r="BL167" i="1"/>
  <c r="BF346" i="1"/>
  <c r="BC169" i="1"/>
  <c r="BF349" i="1"/>
  <c r="BC172" i="1"/>
  <c r="BF172" i="1" s="1"/>
  <c r="BT127" i="5"/>
  <c r="BU92" i="5"/>
  <c r="BR444" i="1"/>
  <c r="AX24" i="6"/>
  <c r="BA24" i="6" s="1"/>
  <c r="EF24" i="6" s="1"/>
  <c r="AU24" i="6"/>
  <c r="BE73" i="6"/>
  <c r="AP97" i="1"/>
  <c r="I11" i="128" s="1"/>
  <c r="Z211" i="5"/>
  <c r="AK46" i="1"/>
  <c r="DS172" i="1"/>
  <c r="AU18" i="6"/>
  <c r="AX18" i="6"/>
  <c r="BA18" i="6" s="1"/>
  <c r="EF18" i="6" s="1"/>
  <c r="BF162" i="1"/>
  <c r="DD172" i="1"/>
  <c r="DI172" i="1"/>
  <c r="DS168" i="1"/>
  <c r="DX168" i="1"/>
  <c r="DX171" i="1"/>
  <c r="CT210" i="1"/>
  <c r="CE211" i="1"/>
  <c r="Z224" i="1"/>
  <c r="DX215" i="1"/>
  <c r="BJ357" i="1"/>
  <c r="AM380" i="1"/>
  <c r="CO383" i="1"/>
  <c r="CO386" i="1"/>
  <c r="AX16" i="5"/>
  <c r="AX22" i="5" s="1"/>
  <c r="EJ26" i="6"/>
  <c r="AT221" i="5"/>
  <c r="AD221" i="5"/>
  <c r="BL72" i="5"/>
  <c r="AH226" i="5"/>
  <c r="AX22" i="6"/>
  <c r="BA22" i="6" s="1"/>
  <c r="EF22" i="6" s="1"/>
  <c r="AU47" i="6"/>
  <c r="AX46" i="6"/>
  <c r="BA46" i="6" s="1"/>
  <c r="EF46" i="6" s="1"/>
  <c r="AX51" i="6"/>
  <c r="BA51" i="6" s="1"/>
  <c r="EF51" i="6" s="1"/>
  <c r="EC52" i="6"/>
  <c r="AN44" i="6"/>
  <c r="BD49" i="6"/>
  <c r="AX61" i="6"/>
  <c r="BA69" i="6"/>
  <c r="EF69" i="6" s="1"/>
  <c r="BC178" i="6"/>
  <c r="BH99" i="6"/>
  <c r="BI66" i="6"/>
  <c r="AI137" i="6"/>
  <c r="AP162" i="1"/>
  <c r="DN162" i="1"/>
  <c r="DS162" i="1"/>
  <c r="CO209" i="1"/>
  <c r="CT213" i="1"/>
  <c r="BC330" i="1"/>
  <c r="BR428" i="1"/>
  <c r="BL445" i="1"/>
  <c r="AM221" i="5"/>
  <c r="BN221" i="5"/>
  <c r="BA20" i="6"/>
  <c r="EF20" i="6" s="1"/>
  <c r="BD41" i="6"/>
  <c r="BO178" i="6"/>
  <c r="BP115" i="6"/>
  <c r="AR137" i="6"/>
  <c r="BU162" i="1"/>
  <c r="CJ162" i="1"/>
  <c r="U224" i="1"/>
  <c r="CY211" i="1"/>
  <c r="AX224" i="1"/>
  <c r="BP210" i="1"/>
  <c r="BK215" i="1"/>
  <c r="BU215" i="1"/>
  <c r="CE215" i="1"/>
  <c r="BQ386" i="1"/>
  <c r="AL445" i="1"/>
  <c r="BB445" i="1"/>
  <c r="BJ51" i="6"/>
  <c r="EJ63" i="6"/>
  <c r="EB41" i="6"/>
  <c r="EB62" i="6"/>
  <c r="AT121" i="6"/>
  <c r="EJ13" i="6"/>
  <c r="BG211" i="5"/>
  <c r="BE105" i="1"/>
  <c r="EI137" i="1"/>
  <c r="X198" i="1"/>
  <c r="AD59" i="1"/>
  <c r="AD63" i="1"/>
  <c r="BK345" i="1"/>
  <c r="BH209" i="1"/>
  <c r="BK209" i="1" s="1"/>
  <c r="BH168" i="1"/>
  <c r="BK168" i="1" s="1"/>
  <c r="AT21" i="6"/>
  <c r="AW21" i="6"/>
  <c r="AC101" i="1"/>
  <c r="EF28" i="1"/>
  <c r="BE211" i="5"/>
  <c r="BF211" i="5" s="1"/>
  <c r="EM46" i="1"/>
  <c r="BA209" i="1"/>
  <c r="BF31" i="6"/>
  <c r="AJ71" i="1"/>
  <c r="EH24" i="1"/>
  <c r="EH71" i="1" s="1"/>
  <c r="BF345" i="1"/>
  <c r="BC209" i="1"/>
  <c r="AJ9" i="6"/>
  <c r="BU179" i="6"/>
  <c r="EG135" i="1"/>
  <c r="EI133" i="1"/>
  <c r="AY187" i="1"/>
  <c r="AY229" i="5" s="1"/>
  <c r="CO213" i="1"/>
  <c r="DD215" i="1"/>
  <c r="CR307" i="1"/>
  <c r="CW307" i="1" s="1"/>
  <c r="DB307" i="1" s="1"/>
  <c r="BH171" i="1"/>
  <c r="BK171" i="1" s="1"/>
  <c r="BK348" i="1"/>
  <c r="BH213" i="1"/>
  <c r="BK213" i="1" s="1"/>
  <c r="AS94" i="6"/>
  <c r="AW44" i="6"/>
  <c r="BR209" i="5"/>
  <c r="Y101" i="1"/>
  <c r="EG28" i="1"/>
  <c r="AE211" i="5"/>
  <c r="AF211" i="5" s="1"/>
  <c r="AS211" i="5"/>
  <c r="AU67" i="1"/>
  <c r="BP162" i="1"/>
  <c r="CT162" i="1"/>
  <c r="DD171" i="1"/>
  <c r="DN170" i="1"/>
  <c r="DS169" i="1"/>
  <c r="DS171" i="1"/>
  <c r="Y187" i="1"/>
  <c r="AJ198" i="1"/>
  <c r="AJ226" i="1" s="1"/>
  <c r="DS209" i="1"/>
  <c r="DX209" i="1"/>
  <c r="DD210" i="1"/>
  <c r="DS211" i="1"/>
  <c r="DX211" i="1"/>
  <c r="DS213" i="1"/>
  <c r="DX213" i="1"/>
  <c r="AW224" i="1"/>
  <c r="AZ224" i="1"/>
  <c r="BP209" i="1"/>
  <c r="BP213" i="1"/>
  <c r="BF215" i="1"/>
  <c r="DI215" i="1"/>
  <c r="BG335" i="1"/>
  <c r="BS367" i="1"/>
  <c r="BI369" i="1"/>
  <c r="BC380" i="1"/>
  <c r="CR386" i="1"/>
  <c r="BR102" i="6"/>
  <c r="AQ445" i="1"/>
  <c r="AB221" i="5"/>
  <c r="AI221" i="5"/>
  <c r="AW32" i="5"/>
  <c r="AW37" i="5" s="1"/>
  <c r="AD37" i="5"/>
  <c r="AE72" i="5"/>
  <c r="BP99" i="5"/>
  <c r="BJ184" i="5"/>
  <c r="BK184" i="5" s="1"/>
  <c r="BO184" i="5"/>
  <c r="BM191" i="5"/>
  <c r="BN191" i="5" s="1"/>
  <c r="BO191" i="5" s="1"/>
  <c r="BR226" i="5"/>
  <c r="BJ22" i="6"/>
  <c r="BO23" i="6"/>
  <c r="BN36" i="6"/>
  <c r="BO36" i="6" s="1"/>
  <c r="AR94" i="6"/>
  <c r="AF54" i="6"/>
  <c r="BR97" i="6"/>
  <c r="BB120" i="6"/>
  <c r="BL120" i="6"/>
  <c r="AA376" i="1"/>
  <c r="BJ46" i="6"/>
  <c r="BE44" i="6"/>
  <c r="AA101" i="1"/>
  <c r="AQ211" i="5"/>
  <c r="BC211" i="5"/>
  <c r="BH211" i="5"/>
  <c r="FA73" i="1"/>
  <c r="FC73" i="1"/>
  <c r="EH134" i="1"/>
  <c r="EH135" i="1"/>
  <c r="AN164" i="1"/>
  <c r="BP161" i="1"/>
  <c r="DD162" i="1"/>
  <c r="DI162" i="1"/>
  <c r="BC164" i="1"/>
  <c r="CJ171" i="1"/>
  <c r="CO170" i="1"/>
  <c r="CO171" i="1"/>
  <c r="DI170" i="1"/>
  <c r="DS170" i="1"/>
  <c r="DX172" i="1"/>
  <c r="W224" i="1"/>
  <c r="DI209" i="1"/>
  <c r="DS210" i="1"/>
  <c r="DX210" i="1"/>
  <c r="DD211" i="1"/>
  <c r="CE213" i="1"/>
  <c r="DN213" i="1"/>
  <c r="AT224" i="1"/>
  <c r="BA210" i="1"/>
  <c r="X224" i="1"/>
  <c r="BP215" i="1"/>
  <c r="CT215" i="1"/>
  <c r="CY215" i="1"/>
  <c r="BA329" i="1"/>
  <c r="BA368" i="1" s="1"/>
  <c r="CP383" i="1"/>
  <c r="BS392" i="1"/>
  <c r="BP428" i="1"/>
  <c r="AF445" i="1"/>
  <c r="AN444" i="1"/>
  <c r="AR221" i="5"/>
  <c r="BM221" i="5"/>
  <c r="AE16" i="5"/>
  <c r="BL106" i="5"/>
  <c r="BQ106" i="5"/>
  <c r="DS174" i="5"/>
  <c r="V226" i="5"/>
  <c r="BJ26" i="6"/>
  <c r="AR27" i="6"/>
  <c r="BN32" i="6"/>
  <c r="BO32" i="6" s="1"/>
  <c r="AH27" i="6"/>
  <c r="BA64" i="6"/>
  <c r="BP112" i="6"/>
  <c r="BG120" i="6"/>
  <c r="AJ135" i="6"/>
  <c r="BI135" i="6"/>
  <c r="BJ135" i="6" s="1"/>
  <c r="BJ137" i="6" s="1"/>
  <c r="AS171" i="6"/>
  <c r="BG209" i="5"/>
  <c r="BG215" i="5" s="1"/>
  <c r="EF70" i="1"/>
  <c r="EG103" i="1"/>
  <c r="X211" i="5"/>
  <c r="AL105" i="1"/>
  <c r="EI34" i="1"/>
  <c r="BD211" i="5"/>
  <c r="BI211" i="5"/>
  <c r="AU102" i="1"/>
  <c r="AP63" i="1"/>
  <c r="EI134" i="1"/>
  <c r="EI135" i="1"/>
  <c r="EG137" i="1"/>
  <c r="EH137" i="1"/>
  <c r="EG133" i="1"/>
  <c r="EH133" i="1"/>
  <c r="AU162" i="1"/>
  <c r="BA162" i="1"/>
  <c r="DX162" i="1"/>
  <c r="BA171" i="1"/>
  <c r="CY168" i="1"/>
  <c r="CY169" i="1"/>
  <c r="CY170" i="1"/>
  <c r="CY171" i="1"/>
  <c r="CY172" i="1"/>
  <c r="DD168" i="1"/>
  <c r="DI169" i="1"/>
  <c r="DN169" i="1"/>
  <c r="CT209" i="1"/>
  <c r="CY209" i="1"/>
  <c r="CE210" i="1"/>
  <c r="CT211" i="1"/>
  <c r="CY213" i="1"/>
  <c r="DD213" i="1"/>
  <c r="BA208" i="1"/>
  <c r="BF210" i="1"/>
  <c r="BU210" i="1"/>
  <c r="BU211" i="1"/>
  <c r="CO215" i="1"/>
  <c r="DN215" i="1"/>
  <c r="DS215" i="1"/>
  <c r="Y224" i="1"/>
  <c r="Y59" i="1" s="1"/>
  <c r="BS369" i="1"/>
  <c r="BO422" i="1"/>
  <c r="BU15" i="5"/>
  <c r="AX47" i="5"/>
  <c r="AP72" i="5"/>
  <c r="BP72" i="5"/>
  <c r="BO93" i="5"/>
  <c r="BE184" i="5"/>
  <c r="BE187" i="5" s="1"/>
  <c r="BD9" i="6"/>
  <c r="AC27" i="6"/>
  <c r="AM27" i="6"/>
  <c r="AU41" i="6"/>
  <c r="AI44" i="6"/>
  <c r="BA61" i="6"/>
  <c r="BE63" i="6"/>
  <c r="BI99" i="6"/>
  <c r="CE34" i="5"/>
  <c r="BZ108" i="5"/>
  <c r="CF308" i="1"/>
  <c r="CF38" i="1" s="1"/>
  <c r="BV173" i="5"/>
  <c r="BZ173" i="5" s="1"/>
  <c r="BS193" i="5"/>
  <c r="BT193" i="5" s="1"/>
  <c r="AL49" i="5"/>
  <c r="AP22" i="5"/>
  <c r="AP221" i="5"/>
  <c r="BF61" i="5"/>
  <c r="BK70" i="5"/>
  <c r="BG70" i="5"/>
  <c r="EC73" i="6"/>
  <c r="BU99" i="6"/>
  <c r="BD178" i="6"/>
  <c r="BE30" i="6"/>
  <c r="BD27" i="6"/>
  <c r="BE42" i="6"/>
  <c r="BE16" i="6"/>
  <c r="BF36" i="6"/>
  <c r="EE33" i="6"/>
  <c r="BA26" i="6"/>
  <c r="EF26" i="6" s="1"/>
  <c r="P64" i="1"/>
  <c r="BA351" i="1"/>
  <c r="BJ365" i="1"/>
  <c r="DG383" i="1"/>
  <c r="Z56" i="5"/>
  <c r="AA56" i="5" s="1"/>
  <c r="AB56" i="5"/>
  <c r="AD56" i="5"/>
  <c r="AK48" i="5"/>
  <c r="AP37" i="5"/>
  <c r="AO48" i="5"/>
  <c r="AU37" i="5"/>
  <c r="AU48" i="5" s="1"/>
  <c r="AT48" i="5"/>
  <c r="BB48" i="5"/>
  <c r="BF221" i="5"/>
  <c r="BJ48" i="5"/>
  <c r="BK37" i="5"/>
  <c r="BQ191" i="5"/>
  <c r="BR192" i="5"/>
  <c r="BS192" i="5" s="1"/>
  <c r="BT192" i="5" s="1"/>
  <c r="BV179" i="6"/>
  <c r="BV99" i="6"/>
  <c r="Z12" i="6"/>
  <c r="EB12" i="6" s="1"/>
  <c r="ED17" i="6"/>
  <c r="Z16" i="6"/>
  <c r="EB16" i="6" s="1"/>
  <c r="EE19" i="6"/>
  <c r="AT23" i="6"/>
  <c r="AW23" i="6"/>
  <c r="BO30" i="6"/>
  <c r="S74" i="6"/>
  <c r="AB88" i="6"/>
  <c r="AB91" i="6" s="1"/>
  <c r="AB74" i="6"/>
  <c r="AZ74" i="6"/>
  <c r="AZ88" i="6"/>
  <c r="AZ91" i="6" s="1"/>
  <c r="AZ95" i="6" s="1"/>
  <c r="BL88" i="6"/>
  <c r="BL91" i="6" s="1"/>
  <c r="BL74" i="6"/>
  <c r="Z30" i="6"/>
  <c r="EB30" i="6" s="1"/>
  <c r="Y27" i="6"/>
  <c r="ED34" i="6"/>
  <c r="AJ26" i="6"/>
  <c r="AE42" i="6"/>
  <c r="BI54" i="6"/>
  <c r="AS169" i="6"/>
  <c r="AT43" i="6"/>
  <c r="AS90" i="6"/>
  <c r="AS54" i="6"/>
  <c r="AW43" i="6"/>
  <c r="AW154" i="6" s="1"/>
  <c r="AS197" i="1"/>
  <c r="AU163" i="1"/>
  <c r="AU197" i="1" s="1"/>
  <c r="AP70" i="1"/>
  <c r="AS49" i="5"/>
  <c r="BI55" i="5"/>
  <c r="AE226" i="5"/>
  <c r="AF226" i="5" s="1"/>
  <c r="AE97" i="6"/>
  <c r="X38" i="6"/>
  <c r="BF26" i="6"/>
  <c r="BF17" i="6"/>
  <c r="AJ171" i="6"/>
  <c r="ED11" i="6"/>
  <c r="BI171" i="6"/>
  <c r="BI164" i="1"/>
  <c r="BI443" i="1"/>
  <c r="BI121" i="6"/>
  <c r="BI120" i="6" s="1"/>
  <c r="BJ11" i="6"/>
  <c r="AX63" i="6"/>
  <c r="AE15" i="6"/>
  <c r="EC15" i="6" s="1"/>
  <c r="BF51" i="6"/>
  <c r="AX36" i="6"/>
  <c r="ED19" i="6"/>
  <c r="AW66" i="6"/>
  <c r="AS97" i="6"/>
  <c r="AS226" i="5"/>
  <c r="BO99" i="6"/>
  <c r="Q77" i="6"/>
  <c r="AD179" i="6"/>
  <c r="AX45" i="6"/>
  <c r="BA45" i="6" s="1"/>
  <c r="EF45" i="6" s="1"/>
  <c r="BF23" i="6"/>
  <c r="BF19" i="6"/>
  <c r="BH445" i="1"/>
  <c r="BM445" i="1"/>
  <c r="EC41" i="6"/>
  <c r="EE49" i="6"/>
  <c r="EE42" i="1"/>
  <c r="BG48" i="5"/>
  <c r="AJ15" i="6"/>
  <c r="V88" i="6"/>
  <c r="V91" i="6" s="1"/>
  <c r="EB45" i="6"/>
  <c r="BU107" i="5"/>
  <c r="AW9" i="6"/>
  <c r="BA9" i="6" s="1"/>
  <c r="EF9" i="6" s="1"/>
  <c r="AO164" i="1"/>
  <c r="AO444" i="1"/>
  <c r="AE19" i="6"/>
  <c r="EC19" i="6" s="1"/>
  <c r="AW19" i="6"/>
  <c r="AT19" i="6"/>
  <c r="Z26" i="6"/>
  <c r="EB26" i="6" s="1"/>
  <c r="AE32" i="6"/>
  <c r="EC32" i="6" s="1"/>
  <c r="AT31" i="6"/>
  <c r="AW31" i="6"/>
  <c r="AT34" i="6"/>
  <c r="AW34" i="6"/>
  <c r="W88" i="6"/>
  <c r="W91" i="6" s="1"/>
  <c r="Z32" i="6"/>
  <c r="EB32" i="6" s="1"/>
  <c r="BJ32" i="6"/>
  <c r="AJ36" i="6"/>
  <c r="ED36" i="6" s="1"/>
  <c r="Z46" i="6"/>
  <c r="EB46" i="6" s="1"/>
  <c r="O64" i="1"/>
  <c r="EK59" i="6"/>
  <c r="EK17" i="6"/>
  <c r="AE12" i="6"/>
  <c r="AT15" i="6"/>
  <c r="AU15" i="6" s="1"/>
  <c r="AW15" i="6"/>
  <c r="AE26" i="6"/>
  <c r="EC26" i="6" s="1"/>
  <c r="Z33" i="6"/>
  <c r="EB33" i="6" s="1"/>
  <c r="BJ33" i="6"/>
  <c r="AO45" i="6"/>
  <c r="EG95" i="1"/>
  <c r="EI95" i="1"/>
  <c r="AY169" i="6"/>
  <c r="AY171" i="6"/>
  <c r="EJ23" i="1"/>
  <c r="EJ70" i="1" s="1"/>
  <c r="AG72" i="1"/>
  <c r="AP34" i="1"/>
  <c r="AF46" i="1"/>
  <c r="AS66" i="1"/>
  <c r="FA138" i="1"/>
  <c r="AY351" i="1"/>
  <c r="BL386" i="1"/>
  <c r="BO392" i="1"/>
  <c r="BO386" i="1" s="1"/>
  <c r="BK430" i="1"/>
  <c r="BU6" i="5"/>
  <c r="CO6" i="5"/>
  <c r="DI6" i="5"/>
  <c r="BO22" i="5"/>
  <c r="BS102" i="5"/>
  <c r="Y211" i="5"/>
  <c r="AB211" i="5"/>
  <c r="AD211" i="5"/>
  <c r="AG211" i="5"/>
  <c r="AI211" i="5"/>
  <c r="AO211" i="5"/>
  <c r="BI209" i="5"/>
  <c r="BK6" i="6"/>
  <c r="CE6" i="6"/>
  <c r="CY6" i="6"/>
  <c r="DS6" i="6"/>
  <c r="AS17" i="6"/>
  <c r="EE32" i="6"/>
  <c r="AG169" i="6"/>
  <c r="EG19" i="1"/>
  <c r="AZ171" i="6"/>
  <c r="AZ169" i="6"/>
  <c r="CE302" i="1"/>
  <c r="CE303" i="1"/>
  <c r="BQ335" i="1"/>
  <c r="BQ445" i="1"/>
  <c r="BF6" i="5"/>
  <c r="BZ6" i="5"/>
  <c r="CT6" i="5"/>
  <c r="DN6" i="5"/>
  <c r="AU16" i="5"/>
  <c r="AY22" i="5"/>
  <c r="BS22" i="5"/>
  <c r="BE37" i="5"/>
  <c r="BO94" i="5"/>
  <c r="DP178" i="5"/>
  <c r="AM211" i="5"/>
  <c r="AR211" i="5"/>
  <c r="BC209" i="5"/>
  <c r="BJ209" i="5"/>
  <c r="BS209" i="5"/>
  <c r="BB211" i="5"/>
  <c r="BP6" i="6"/>
  <c r="CJ6" i="6"/>
  <c r="DD6" i="6"/>
  <c r="EC9" i="6"/>
  <c r="BN9" i="6"/>
  <c r="AX12" i="6"/>
  <c r="BA12" i="6" s="1"/>
  <c r="EF12" i="6" s="1"/>
  <c r="BD11" i="6"/>
  <c r="BE11" i="6" s="1"/>
  <c r="BE12" i="6"/>
  <c r="BD13" i="6"/>
  <c r="BE13" i="6" s="1"/>
  <c r="AT30" i="6"/>
  <c r="AU33" i="6"/>
  <c r="BI15" i="6"/>
  <c r="BJ17" i="6"/>
  <c r="BO26" i="6"/>
  <c r="BI36" i="6"/>
  <c r="EJ36" i="6"/>
  <c r="AC94" i="6"/>
  <c r="AD46" i="6"/>
  <c r="BJ42" i="6"/>
  <c r="BJ45" i="6"/>
  <c r="BJ47" i="6"/>
  <c r="X90" i="6"/>
  <c r="EH95" i="1"/>
  <c r="BB171" i="6"/>
  <c r="BB169" i="6"/>
  <c r="BG169" i="6"/>
  <c r="BG171" i="6"/>
  <c r="BQ171" i="6"/>
  <c r="BQ169" i="6"/>
  <c r="AZ28" i="1"/>
  <c r="AZ30" i="1" s="1"/>
  <c r="BQ415" i="1"/>
  <c r="BQ428" i="1"/>
  <c r="BA445" i="1"/>
  <c r="BK6" i="5"/>
  <c r="CE6" i="5"/>
  <c r="CY6" i="5"/>
  <c r="DS6" i="5"/>
  <c r="BS106" i="5"/>
  <c r="W211" i="5"/>
  <c r="AC211" i="5"/>
  <c r="BD209" i="5"/>
  <c r="BQ209" i="5"/>
  <c r="BJ211" i="5"/>
  <c r="BU6" i="6"/>
  <c r="CO6" i="6"/>
  <c r="DI6" i="6"/>
  <c r="AD30" i="6"/>
  <c r="AI32" i="6"/>
  <c r="EJ16" i="6"/>
  <c r="AO62" i="6"/>
  <c r="AW81" i="6"/>
  <c r="AT81" i="6"/>
  <c r="EH34" i="1"/>
  <c r="BP164" i="1"/>
  <c r="CB308" i="1"/>
  <c r="CD308" i="1"/>
  <c r="BL335" i="1"/>
  <c r="BL415" i="1"/>
  <c r="BL107" i="6" s="1"/>
  <c r="BP6" i="5"/>
  <c r="CJ6" i="5"/>
  <c r="DD6" i="5"/>
  <c r="BR102" i="5"/>
  <c r="AL211" i="5"/>
  <c r="BE209" i="5"/>
  <c r="BH209" i="5"/>
  <c r="BF6" i="6"/>
  <c r="BZ6" i="6"/>
  <c r="CT6" i="6"/>
  <c r="DN6" i="6"/>
  <c r="BM27" i="6"/>
  <c r="BM38" i="6" s="1"/>
  <c r="BM150" i="1" s="1"/>
  <c r="BM152" i="1" s="1"/>
  <c r="BO45" i="6"/>
  <c r="AT48" i="6"/>
  <c r="AU48" i="6" s="1"/>
  <c r="AO63" i="6"/>
  <c r="ED62" i="6"/>
  <c r="BR71" i="6"/>
  <c r="AD62" i="6"/>
  <c r="ED73" i="6"/>
  <c r="BS43" i="6"/>
  <c r="BS151" i="1" s="1"/>
  <c r="BF48" i="6"/>
  <c r="BD61" i="6"/>
  <c r="BE61" i="6" s="1"/>
  <c r="BB56" i="5" l="1"/>
  <c r="AR56" i="5"/>
  <c r="U48" i="5"/>
  <c r="AD71" i="6"/>
  <c r="AT56" i="5"/>
  <c r="AU56" i="5" s="1"/>
  <c r="EC23" i="6"/>
  <c r="AX16" i="6"/>
  <c r="BA16" i="6" s="1"/>
  <c r="EF16" i="6" s="1"/>
  <c r="BE62" i="6"/>
  <c r="BP102" i="5"/>
  <c r="BI56" i="5"/>
  <c r="BI54" i="5"/>
  <c r="BJ55" i="5"/>
  <c r="BK55" i="5" s="1"/>
  <c r="BJ54" i="5"/>
  <c r="BK54" i="5" s="1"/>
  <c r="BG224" i="1"/>
  <c r="BG59" i="1" s="1"/>
  <c r="BG60" i="1" s="1"/>
  <c r="BG187" i="1"/>
  <c r="BG229" i="5" s="1"/>
  <c r="BN384" i="1"/>
  <c r="BN385" i="1" s="1"/>
  <c r="BO63" i="6"/>
  <c r="BF45" i="6"/>
  <c r="AT11" i="6"/>
  <c r="AS164" i="1"/>
  <c r="AW444" i="1"/>
  <c r="AW11" i="6"/>
  <c r="AW164" i="1" s="1"/>
  <c r="Z9" i="6"/>
  <c r="AN97" i="6"/>
  <c r="AI179" i="6"/>
  <c r="AI99" i="6"/>
  <c r="AJ58" i="6"/>
  <c r="AJ52" i="6"/>
  <c r="AJ46" i="6"/>
  <c r="Y90" i="6"/>
  <c r="Z43" i="6"/>
  <c r="AD94" i="6"/>
  <c r="AE44" i="6"/>
  <c r="AO26" i="6"/>
  <c r="AO15" i="6"/>
  <c r="ED12" i="6"/>
  <c r="AU9" i="6"/>
  <c r="BC56" i="5"/>
  <c r="BM56" i="5"/>
  <c r="BN445" i="1"/>
  <c r="AK30" i="1"/>
  <c r="DD173" i="1"/>
  <c r="BT393" i="1"/>
  <c r="BU67" i="1" s="1"/>
  <c r="BP335" i="1"/>
  <c r="BK335" i="1"/>
  <c r="BQ356" i="1"/>
  <c r="BK366" i="1"/>
  <c r="BL187" i="1"/>
  <c r="BL229" i="5" s="1"/>
  <c r="BT158" i="6"/>
  <c r="BU158" i="6" s="1"/>
  <c r="BR356" i="1"/>
  <c r="AO137" i="6"/>
  <c r="AW32" i="6"/>
  <c r="AD176" i="6"/>
  <c r="AJ380" i="1"/>
  <c r="AT32" i="6"/>
  <c r="Q92" i="6"/>
  <c r="BF64" i="6"/>
  <c r="AS27" i="6"/>
  <c r="AJ178" i="6"/>
  <c r="AJ98" i="6"/>
  <c r="EC47" i="6"/>
  <c r="AH445" i="1"/>
  <c r="EE66" i="6"/>
  <c r="AO97" i="6"/>
  <c r="BJ12" i="6"/>
  <c r="AI90" i="6"/>
  <c r="AO48" i="6"/>
  <c r="BJ30" i="6"/>
  <c r="BE33" i="6"/>
  <c r="BL224" i="1"/>
  <c r="BL59" i="1" s="1"/>
  <c r="BL60" i="1" s="1"/>
  <c r="BL63" i="1" s="1"/>
  <c r="M20" i="128"/>
  <c r="DH173" i="1"/>
  <c r="DG173" i="1"/>
  <c r="CT94" i="6"/>
  <c r="CX94" i="6"/>
  <c r="BF22" i="6"/>
  <c r="EG22" i="6" s="1"/>
  <c r="BY41" i="5"/>
  <c r="CS29" i="5"/>
  <c r="DT173" i="1"/>
  <c r="DS94" i="6"/>
  <c r="CJ11" i="5"/>
  <c r="CA97" i="5"/>
  <c r="CA99" i="5" s="1"/>
  <c r="CO94" i="6"/>
  <c r="DD13" i="6"/>
  <c r="BX46" i="5"/>
  <c r="CS45" i="5"/>
  <c r="CS14" i="5"/>
  <c r="DD94" i="6"/>
  <c r="DK173" i="1"/>
  <c r="AJ137" i="6"/>
  <c r="AO27" i="6"/>
  <c r="ED63" i="6"/>
  <c r="EG31" i="6"/>
  <c r="AJ71" i="6"/>
  <c r="V49" i="5"/>
  <c r="BR357" i="1"/>
  <c r="BS356" i="1"/>
  <c r="CQ307" i="1"/>
  <c r="CV307" i="1" s="1"/>
  <c r="DA307" i="1" s="1"/>
  <c r="CU307" i="1"/>
  <c r="CZ307" i="1" s="1"/>
  <c r="CU303" i="1"/>
  <c r="CZ303" i="1" s="1"/>
  <c r="AM445" i="1"/>
  <c r="AD87" i="1"/>
  <c r="AA226" i="5"/>
  <c r="BP122" i="1"/>
  <c r="BO361" i="1"/>
  <c r="F23" i="128"/>
  <c r="CS307" i="1"/>
  <c r="AF210" i="5"/>
  <c r="AF217" i="5" s="1"/>
  <c r="AE217" i="5"/>
  <c r="BF210" i="5"/>
  <c r="BF217" i="5" s="1"/>
  <c r="BE217" i="5"/>
  <c r="BP210" i="5"/>
  <c r="BP217" i="5" s="1"/>
  <c r="BO217" i="5"/>
  <c r="BR210" i="5"/>
  <c r="BR217" i="5" s="1"/>
  <c r="BS210" i="5"/>
  <c r="BS217" i="5" s="1"/>
  <c r="BQ210" i="5"/>
  <c r="BQ217" i="5" s="1"/>
  <c r="BK210" i="5"/>
  <c r="BK217" i="5" s="1"/>
  <c r="BJ217" i="5"/>
  <c r="AA210" i="5"/>
  <c r="AA217" i="5" s="1"/>
  <c r="Z217" i="5"/>
  <c r="EG47" i="6"/>
  <c r="EB66" i="6"/>
  <c r="AX151" i="1"/>
  <c r="AT151" i="1"/>
  <c r="AJ47" i="6"/>
  <c r="ED47" i="6" s="1"/>
  <c r="BD54" i="6"/>
  <c r="BI169" i="6"/>
  <c r="BE15" i="6"/>
  <c r="Z97" i="6"/>
  <c r="AE58" i="6"/>
  <c r="AE179" i="6" s="1"/>
  <c r="AD99" i="6"/>
  <c r="AX44" i="6"/>
  <c r="AX94" i="6" s="1"/>
  <c r="AT94" i="6"/>
  <c r="AR179" i="6"/>
  <c r="AS58" i="6"/>
  <c r="AR99" i="6"/>
  <c r="BI98" i="6"/>
  <c r="BI178" i="6"/>
  <c r="BI380" i="1"/>
  <c r="AU44" i="6"/>
  <c r="EE43" i="6"/>
  <c r="AO151" i="1"/>
  <c r="AC38" i="6"/>
  <c r="AC150" i="1" s="1"/>
  <c r="AC152" i="1" s="1"/>
  <c r="EB42" i="6"/>
  <c r="AW36" i="6"/>
  <c r="BN27" i="6"/>
  <c r="BN38" i="6" s="1"/>
  <c r="BS410" i="1"/>
  <c r="BS102" i="6" s="1"/>
  <c r="AN38" i="6"/>
  <c r="AN150" i="1" s="1"/>
  <c r="AN152" i="1" s="1"/>
  <c r="EG52" i="6"/>
  <c r="AD98" i="6"/>
  <c r="AE67" i="6"/>
  <c r="AD380" i="1"/>
  <c r="AD178" i="6"/>
  <c r="BJ98" i="6"/>
  <c r="BJ178" i="6"/>
  <c r="BJ380" i="1"/>
  <c r="BJ179" i="6"/>
  <c r="BJ99" i="6"/>
  <c r="AD137" i="6"/>
  <c r="AE133" i="6"/>
  <c r="AE137" i="6" s="1"/>
  <c r="AA74" i="6"/>
  <c r="AA150" i="1"/>
  <c r="AA152" i="1" s="1"/>
  <c r="Z11" i="6"/>
  <c r="Z171" i="6" s="1"/>
  <c r="EE58" i="6"/>
  <c r="AO99" i="6"/>
  <c r="AA88" i="6"/>
  <c r="AA91" i="6" s="1"/>
  <c r="AI54" i="6"/>
  <c r="AU36" i="6"/>
  <c r="BC38" i="6"/>
  <c r="BC150" i="1" s="1"/>
  <c r="BC152" i="1" s="1"/>
  <c r="EE9" i="6"/>
  <c r="AI445" i="1"/>
  <c r="AN90" i="6"/>
  <c r="BE43" i="6"/>
  <c r="BE151" i="1" s="1"/>
  <c r="BD151" i="1"/>
  <c r="AW151" i="1"/>
  <c r="AS151" i="1"/>
  <c r="AO380" i="1"/>
  <c r="AO178" i="6"/>
  <c r="AO98" i="6"/>
  <c r="BZ178" i="5"/>
  <c r="FA137" i="1"/>
  <c r="BE120" i="1"/>
  <c r="CY44" i="6"/>
  <c r="BS365" i="1"/>
  <c r="BQ353" i="1"/>
  <c r="CD390" i="1"/>
  <c r="CD391" i="1" s="1"/>
  <c r="CC390" i="1"/>
  <c r="CC392" i="1" s="1"/>
  <c r="CL165" i="5"/>
  <c r="CK166" i="5"/>
  <c r="AQ361" i="1"/>
  <c r="L13" i="128"/>
  <c r="K13" i="128"/>
  <c r="BH176" i="6"/>
  <c r="EE34" i="6"/>
  <c r="Z22" i="6"/>
  <c r="AO17" i="6"/>
  <c r="AJ43" i="6"/>
  <c r="AJ151" i="1" s="1"/>
  <c r="E10" i="128"/>
  <c r="AE43" i="6"/>
  <c r="AE151" i="1" s="1"/>
  <c r="AD90" i="6"/>
  <c r="ED66" i="6"/>
  <c r="AJ226" i="5"/>
  <c r="AK226" i="5" s="1"/>
  <c r="BF16" i="6"/>
  <c r="EE30" i="6"/>
  <c r="BJ23" i="6"/>
  <c r="AJ16" i="6"/>
  <c r="EC61" i="6"/>
  <c r="AT57" i="6"/>
  <c r="AU57" i="6" s="1"/>
  <c r="AW57" i="6"/>
  <c r="AS179" i="6"/>
  <c r="AJ31" i="6"/>
  <c r="T74" i="6"/>
  <c r="EB58" i="6"/>
  <c r="Z99" i="6"/>
  <c r="BD154" i="6"/>
  <c r="BD90" i="6"/>
  <c r="EG18" i="6"/>
  <c r="BE35" i="6"/>
  <c r="BF32" i="6"/>
  <c r="AC49" i="5"/>
  <c r="AQ56" i="5"/>
  <c r="AN49" i="5"/>
  <c r="AO56" i="5"/>
  <c r="AP56" i="5" s="1"/>
  <c r="BD22" i="5"/>
  <c r="AS56" i="5"/>
  <c r="BD221" i="5"/>
  <c r="AN56" i="5"/>
  <c r="CD38" i="1"/>
  <c r="CD176" i="1" s="1"/>
  <c r="EK38" i="1"/>
  <c r="BB372" i="1"/>
  <c r="BB373" i="1" s="1"/>
  <c r="BA344" i="1"/>
  <c r="W171" i="6"/>
  <c r="CJ302" i="1"/>
  <c r="EL38" i="1"/>
  <c r="U171" i="6"/>
  <c r="AL171" i="6"/>
  <c r="AE171" i="6"/>
  <c r="AO171" i="6"/>
  <c r="AH171" i="6"/>
  <c r="EI20" i="1"/>
  <c r="R209" i="5"/>
  <c r="R215" i="5" s="1"/>
  <c r="S171" i="6"/>
  <c r="AH361" i="1"/>
  <c r="BQ48" i="1"/>
  <c r="BQ82" i="1" s="1"/>
  <c r="DS178" i="5"/>
  <c r="AI49" i="5"/>
  <c r="AL56" i="5"/>
  <c r="CT178" i="5"/>
  <c r="BR65" i="5"/>
  <c r="BQ78" i="1"/>
  <c r="BQ65" i="5"/>
  <c r="CL166" i="5"/>
  <c r="BX70" i="1"/>
  <c r="X87" i="1"/>
  <c r="BQ70" i="5"/>
  <c r="BP61" i="5"/>
  <c r="BP48" i="5"/>
  <c r="BP49" i="5" s="1"/>
  <c r="AI87" i="1"/>
  <c r="BW69" i="1"/>
  <c r="BW70" i="1"/>
  <c r="BV250" i="1"/>
  <c r="FC137" i="1"/>
  <c r="F10" i="128"/>
  <c r="AX436" i="1"/>
  <c r="BW250" i="1"/>
  <c r="BX250" i="1"/>
  <c r="BF330" i="1"/>
  <c r="BR76" i="1"/>
  <c r="AN169" i="6"/>
  <c r="BW415" i="1"/>
  <c r="BW442" i="1"/>
  <c r="BR445" i="1"/>
  <c r="BS76" i="1"/>
  <c r="CB176" i="1"/>
  <c r="CB187" i="1" s="1"/>
  <c r="BV442" i="1"/>
  <c r="BK330" i="1"/>
  <c r="AM210" i="5"/>
  <c r="AM217" i="5" s="1"/>
  <c r="AJ30" i="1"/>
  <c r="AU30" i="1"/>
  <c r="EI28" i="1"/>
  <c r="EI72" i="1" s="1"/>
  <c r="AO30" i="1"/>
  <c r="AZ355" i="1"/>
  <c r="BE357" i="1" s="1"/>
  <c r="BJ361" i="1"/>
  <c r="BP226" i="5"/>
  <c r="BF24" i="6"/>
  <c r="CE178" i="5"/>
  <c r="W361" i="1"/>
  <c r="EG57" i="6"/>
  <c r="EE73" i="6"/>
  <c r="BF20" i="6"/>
  <c r="EC45" i="6"/>
  <c r="BK368" i="1"/>
  <c r="BK355" i="1" s="1"/>
  <c r="BK356" i="1" s="1"/>
  <c r="BK204" i="1"/>
  <c r="AA233" i="1"/>
  <c r="AA61" i="1" s="1"/>
  <c r="F18" i="128" s="1"/>
  <c r="AA235" i="1"/>
  <c r="AA236" i="1" s="1"/>
  <c r="V233" i="1"/>
  <c r="V61" i="1" s="1"/>
  <c r="V235" i="1"/>
  <c r="V236" i="1" s="1"/>
  <c r="BN120" i="1"/>
  <c r="EY69" i="1"/>
  <c r="BQ60" i="1"/>
  <c r="BQ76" i="1"/>
  <c r="BQ69" i="1"/>
  <c r="BQ70" i="1"/>
  <c r="BQ79" i="1"/>
  <c r="BI154" i="6"/>
  <c r="BI176" i="6"/>
  <c r="BI90" i="6"/>
  <c r="BJ43" i="6"/>
  <c r="BJ54" i="6" s="1"/>
  <c r="BK54" i="6" s="1"/>
  <c r="BN137" i="6"/>
  <c r="BN154" i="6"/>
  <c r="BO43" i="6"/>
  <c r="BN90" i="6"/>
  <c r="BN54" i="6"/>
  <c r="BT43" i="6"/>
  <c r="BT90" i="6" s="1"/>
  <c r="BS137" i="6"/>
  <c r="BT137" i="6" s="1"/>
  <c r="BS154" i="6"/>
  <c r="EG66" i="6"/>
  <c r="BF158" i="6"/>
  <c r="BF97" i="6"/>
  <c r="BE226" i="5"/>
  <c r="BF226" i="5" s="1"/>
  <c r="BE97" i="6"/>
  <c r="BE158" i="6"/>
  <c r="CD39" i="5"/>
  <c r="CM82" i="5"/>
  <c r="DX178" i="5"/>
  <c r="BD361" i="1"/>
  <c r="AA120" i="1"/>
  <c r="BU122" i="1"/>
  <c r="BL120" i="1"/>
  <c r="V120" i="1"/>
  <c r="BQ365" i="1"/>
  <c r="BB369" i="1"/>
  <c r="AW356" i="1"/>
  <c r="BT407" i="1"/>
  <c r="BN415" i="1"/>
  <c r="BN107" i="6" s="1"/>
  <c r="CV386" i="1"/>
  <c r="CM390" i="1"/>
  <c r="CM392" i="1" s="1"/>
  <c r="CL390" i="1"/>
  <c r="CL392" i="1" s="1"/>
  <c r="CL167" i="5"/>
  <c r="BF176" i="1"/>
  <c r="BS445" i="1"/>
  <c r="BK76" i="1"/>
  <c r="EL76" i="1" s="1"/>
  <c r="BK75" i="1"/>
  <c r="EL75" i="1" s="1"/>
  <c r="BA76" i="1"/>
  <c r="BA75" i="1"/>
  <c r="AL210" i="5"/>
  <c r="AL217" i="5" s="1"/>
  <c r="EH28" i="1"/>
  <c r="EH72" i="1" s="1"/>
  <c r="AK28" i="1"/>
  <c r="AK72" i="1" s="1"/>
  <c r="AU70" i="1"/>
  <c r="AG209" i="5"/>
  <c r="AG215" i="5" s="1"/>
  <c r="Q120" i="1"/>
  <c r="BC361" i="1"/>
  <c r="AN361" i="1"/>
  <c r="BH361" i="1"/>
  <c r="BH120" i="1"/>
  <c r="BJ120" i="1"/>
  <c r="BN361" i="1"/>
  <c r="BI41" i="1"/>
  <c r="BN106" i="1"/>
  <c r="AY48" i="1"/>
  <c r="AY82" i="1" s="1"/>
  <c r="AI361" i="1"/>
  <c r="AM361" i="1"/>
  <c r="AO361" i="1"/>
  <c r="EC12" i="6"/>
  <c r="BS97" i="6"/>
  <c r="BS71" i="6"/>
  <c r="BE380" i="1"/>
  <c r="BE98" i="6"/>
  <c r="BE178" i="6"/>
  <c r="BF67" i="6"/>
  <c r="EC34" i="6"/>
  <c r="AE16" i="6"/>
  <c r="BS27" i="6"/>
  <c r="BS38" i="6" s="1"/>
  <c r="BS150" i="1" s="1"/>
  <c r="BS152" i="1" s="1"/>
  <c r="EC11" i="6"/>
  <c r="AE444" i="1"/>
  <c r="AJ445" i="1" s="1"/>
  <c r="AS176" i="6"/>
  <c r="AR176" i="6"/>
  <c r="AO176" i="6"/>
  <c r="AP176" i="6" s="1"/>
  <c r="AQ176" i="6"/>
  <c r="AO90" i="6"/>
  <c r="EB61" i="6"/>
  <c r="Z71" i="6"/>
  <c r="Z179" i="6"/>
  <c r="BT66" i="6"/>
  <c r="BT410" i="1" s="1"/>
  <c r="BT19" i="6"/>
  <c r="BT27" i="6"/>
  <c r="AX380" i="1"/>
  <c r="AU67" i="6"/>
  <c r="AT178" i="6"/>
  <c r="AT98" i="6"/>
  <c r="AX67" i="6"/>
  <c r="AN88" i="6"/>
  <c r="BO444" i="1"/>
  <c r="BO121" i="6"/>
  <c r="BO120" i="6" s="1"/>
  <c r="BL250" i="1"/>
  <c r="BN250" i="1"/>
  <c r="U216" i="5"/>
  <c r="CE23" i="1"/>
  <c r="CE22" i="1"/>
  <c r="BT272" i="1"/>
  <c r="BT277" i="1"/>
  <c r="BC41" i="1"/>
  <c r="BC79" i="1" s="1"/>
  <c r="BB41" i="1"/>
  <c r="BC48" i="1"/>
  <c r="BC51" i="1" s="1"/>
  <c r="BN211" i="5"/>
  <c r="BN48" i="1"/>
  <c r="BN51" i="1" s="1"/>
  <c r="BI78" i="1"/>
  <c r="AD233" i="1"/>
  <c r="AD234" i="1" s="1"/>
  <c r="BN442" i="1"/>
  <c r="BI48" i="1"/>
  <c r="BI82" i="1" s="1"/>
  <c r="BJ447" i="1"/>
  <c r="BK447" i="1" s="1"/>
  <c r="BH78" i="1"/>
  <c r="AY41" i="1"/>
  <c r="AY79" i="1" s="1"/>
  <c r="AL169" i="6"/>
  <c r="EH20" i="1"/>
  <c r="BH41" i="1"/>
  <c r="BH79" i="1" s="1"/>
  <c r="CD412" i="1"/>
  <c r="BY104" i="6" s="1"/>
  <c r="BB51" i="1"/>
  <c r="BB84" i="1" s="1"/>
  <c r="BG355" i="1"/>
  <c r="BG356" i="1" s="1"/>
  <c r="BN76" i="1"/>
  <c r="BC352" i="1"/>
  <c r="BP208" i="1"/>
  <c r="AO209" i="5"/>
  <c r="AP209" i="5" s="1"/>
  <c r="AN171" i="6"/>
  <c r="BK176" i="1"/>
  <c r="BK187" i="1" s="1"/>
  <c r="BK229" i="5" s="1"/>
  <c r="FA103" i="1"/>
  <c r="AX211" i="5"/>
  <c r="AB60" i="1"/>
  <c r="AU66" i="1"/>
  <c r="AU393" i="1" s="1"/>
  <c r="AK71" i="1"/>
  <c r="BS104" i="1"/>
  <c r="BW107" i="6"/>
  <c r="BP176" i="1"/>
  <c r="BP187" i="1" s="1"/>
  <c r="BP229" i="5" s="1"/>
  <c r="BK208" i="1"/>
  <c r="BI60" i="1"/>
  <c r="BI63" i="1" s="1"/>
  <c r="BJ187" i="1"/>
  <c r="BJ229" i="5" s="1"/>
  <c r="AJ72" i="1"/>
  <c r="AJ48" i="1"/>
  <c r="BI365" i="1"/>
  <c r="AJ101" i="1"/>
  <c r="AN210" i="5"/>
  <c r="AN217" i="5" s="1"/>
  <c r="X171" i="6"/>
  <c r="AO101" i="1"/>
  <c r="AJ210" i="5"/>
  <c r="Z209" i="5"/>
  <c r="Z218" i="5" s="1"/>
  <c r="T171" i="6"/>
  <c r="BO106" i="1"/>
  <c r="AP161" i="1"/>
  <c r="AS209" i="5"/>
  <c r="AS218" i="5" s="1"/>
  <c r="BD106" i="1"/>
  <c r="BF208" i="1"/>
  <c r="BR365" i="1"/>
  <c r="BL353" i="1"/>
  <c r="BD55" i="5"/>
  <c r="CO178" i="5"/>
  <c r="BV73" i="5"/>
  <c r="BP70" i="5"/>
  <c r="AA221" i="5"/>
  <c r="BK61" i="5"/>
  <c r="BK221" i="5"/>
  <c r="AJ56" i="5"/>
  <c r="AK56" i="5" s="1"/>
  <c r="BK48" i="5"/>
  <c r="BK49" i="5" s="1"/>
  <c r="T209" i="5"/>
  <c r="T215" i="5" s="1"/>
  <c r="R171" i="6"/>
  <c r="BH353" i="1"/>
  <c r="BJ65" i="5"/>
  <c r="BK65" i="5" s="1"/>
  <c r="BH53" i="5"/>
  <c r="BN357" i="1"/>
  <c r="BO442" i="1"/>
  <c r="BG53" i="5"/>
  <c r="AP28" i="1"/>
  <c r="AP72" i="1" s="1"/>
  <c r="BO48" i="1"/>
  <c r="BO51" i="1" s="1"/>
  <c r="AO72" i="1"/>
  <c r="AX78" i="1"/>
  <c r="BQ53" i="5"/>
  <c r="S209" i="5"/>
  <c r="S215" i="5" s="1"/>
  <c r="BO78" i="1"/>
  <c r="BC364" i="1"/>
  <c r="BC365" i="1" s="1"/>
  <c r="AX101" i="1"/>
  <c r="AX48" i="1"/>
  <c r="BO41" i="1"/>
  <c r="BO79" i="1" s="1"/>
  <c r="AC233" i="1"/>
  <c r="AC234" i="1" s="1"/>
  <c r="Y226" i="1"/>
  <c r="BL211" i="5"/>
  <c r="AB171" i="6"/>
  <c r="BG447" i="1"/>
  <c r="BC447" i="1"/>
  <c r="BE65" i="5"/>
  <c r="BF65" i="5" s="1"/>
  <c r="AU71" i="1"/>
  <c r="BB78" i="1"/>
  <c r="BE447" i="1"/>
  <c r="BF447" i="1" s="1"/>
  <c r="BC106" i="1"/>
  <c r="BI53" i="5"/>
  <c r="BI57" i="5" s="1"/>
  <c r="EF20" i="1"/>
  <c r="BH447" i="1"/>
  <c r="BC224" i="1"/>
  <c r="BC229" i="1" s="1"/>
  <c r="AU69" i="1"/>
  <c r="AU236" i="1" s="1"/>
  <c r="BD53" i="5"/>
  <c r="BC53" i="5"/>
  <c r="BC57" i="5" s="1"/>
  <c r="BH106" i="1"/>
  <c r="BB106" i="1"/>
  <c r="CY14" i="6"/>
  <c r="AO210" i="5"/>
  <c r="AS210" i="5"/>
  <c r="AS217" i="5" s="1"/>
  <c r="AQ210" i="5"/>
  <c r="AQ217" i="5" s="1"/>
  <c r="AR210" i="5"/>
  <c r="AR217" i="5" s="1"/>
  <c r="DO14" i="6"/>
  <c r="DO206" i="5"/>
  <c r="DC14" i="6"/>
  <c r="DC206" i="5"/>
  <c r="DP37" i="1"/>
  <c r="BU38" i="1"/>
  <c r="BS39" i="1"/>
  <c r="BS65" i="5" s="1"/>
  <c r="DM37" i="1"/>
  <c r="CP205" i="5"/>
  <c r="CQ205" i="5" s="1"/>
  <c r="CR205" i="5" s="1"/>
  <c r="CS205" i="5" s="1"/>
  <c r="CT205" i="5" s="1"/>
  <c r="CO206" i="5"/>
  <c r="DB14" i="6"/>
  <c r="DB206" i="5"/>
  <c r="DI37" i="1"/>
  <c r="BG364" i="1"/>
  <c r="BG365" i="1" s="1"/>
  <c r="BG353" i="1"/>
  <c r="DL37" i="1"/>
  <c r="DF14" i="6"/>
  <c r="DF206" i="5"/>
  <c r="AM49" i="5"/>
  <c r="BC48" i="5"/>
  <c r="AJ49" i="5"/>
  <c r="BO44" i="1"/>
  <c r="BP44" i="1" s="1"/>
  <c r="BK187" i="5"/>
  <c r="DI178" i="5"/>
  <c r="CY178" i="5"/>
  <c r="CJ178" i="5"/>
  <c r="DD178" i="5"/>
  <c r="CM83" i="5"/>
  <c r="BJ187" i="5"/>
  <c r="BJ44" i="1"/>
  <c r="CM166" i="5"/>
  <c r="U22" i="5"/>
  <c r="U56" i="5" s="1"/>
  <c r="V56" i="5" s="1"/>
  <c r="U221" i="5"/>
  <c r="BN156" i="5"/>
  <c r="BR250" i="1"/>
  <c r="CB250" i="1"/>
  <c r="CA250" i="1"/>
  <c r="CC250" i="1"/>
  <c r="BR26" i="1"/>
  <c r="BA22" i="5"/>
  <c r="AZ49" i="5"/>
  <c r="BI49" i="5"/>
  <c r="BE56" i="5"/>
  <c r="BF56" i="5" s="1"/>
  <c r="BG56" i="5"/>
  <c r="BD56" i="5"/>
  <c r="AH49" i="5"/>
  <c r="AB49" i="5"/>
  <c r="BH56" i="5"/>
  <c r="BH49" i="5"/>
  <c r="BL56" i="5"/>
  <c r="BJ56" i="5"/>
  <c r="BK56" i="5" s="1"/>
  <c r="AX221" i="5"/>
  <c r="BT257" i="1"/>
  <c r="EM38" i="1"/>
  <c r="BP103" i="1"/>
  <c r="EM103" i="1" s="1"/>
  <c r="AF101" i="1"/>
  <c r="BA161" i="1"/>
  <c r="AY211" i="5"/>
  <c r="BS26" i="1"/>
  <c r="BT9" i="6"/>
  <c r="BO430" i="1"/>
  <c r="BT428" i="1"/>
  <c r="BF351" i="1"/>
  <c r="BF352" i="1" s="1"/>
  <c r="AU161" i="1"/>
  <c r="AX209" i="5"/>
  <c r="AX218" i="5" s="1"/>
  <c r="AL209" i="5"/>
  <c r="AL218" i="5" s="1"/>
  <c r="AR171" i="6"/>
  <c r="BB209" i="5"/>
  <c r="BB216" i="5" s="1"/>
  <c r="BE361" i="1"/>
  <c r="X361" i="1"/>
  <c r="AY361" i="1"/>
  <c r="AB361" i="1"/>
  <c r="AF59" i="1"/>
  <c r="BO99" i="5"/>
  <c r="BO102" i="5" s="1"/>
  <c r="AW48" i="5"/>
  <c r="AW49" i="5" s="1"/>
  <c r="BA75" i="5"/>
  <c r="BA76" i="5" s="1"/>
  <c r="BF184" i="5"/>
  <c r="BF187" i="5" s="1"/>
  <c r="BW73" i="5"/>
  <c r="BO187" i="5"/>
  <c r="AX48" i="5"/>
  <c r="AX49" i="5" s="1"/>
  <c r="BA221" i="5"/>
  <c r="DN178" i="5"/>
  <c r="AE37" i="5"/>
  <c r="AF32" i="5"/>
  <c r="EN23" i="1"/>
  <c r="FA70" i="1"/>
  <c r="FC70" i="1"/>
  <c r="AD361" i="1"/>
  <c r="AE361" i="1"/>
  <c r="BI361" i="1"/>
  <c r="AR361" i="1"/>
  <c r="AC361" i="1"/>
  <c r="AJ361" i="1"/>
  <c r="BM361" i="1"/>
  <c r="Y361" i="1"/>
  <c r="Z361" i="1"/>
  <c r="CH94" i="6"/>
  <c r="EM28" i="1"/>
  <c r="EL28" i="1"/>
  <c r="BK39" i="1"/>
  <c r="BF77" i="1"/>
  <c r="EK77" i="1" s="1"/>
  <c r="BF368" i="1"/>
  <c r="BF355" i="1" s="1"/>
  <c r="BF356" i="1" s="1"/>
  <c r="BO76" i="1"/>
  <c r="BP101" i="1"/>
  <c r="EM101" i="1" s="1"/>
  <c r="BK72" i="1"/>
  <c r="EL72" i="1" s="1"/>
  <c r="BK101" i="1"/>
  <c r="EL101" i="1" s="1"/>
  <c r="BH442" i="1"/>
  <c r="BL369" i="1"/>
  <c r="AU95" i="1"/>
  <c r="AF105" i="1"/>
  <c r="AK105" i="1"/>
  <c r="EK46" i="1"/>
  <c r="BN78" i="1"/>
  <c r="N64" i="1"/>
  <c r="BK443" i="1"/>
  <c r="BK171" i="6"/>
  <c r="BK77" i="1"/>
  <c r="EL77" i="1" s="1"/>
  <c r="BK169" i="6"/>
  <c r="EL20" i="1"/>
  <c r="BK344" i="1"/>
  <c r="L82" i="1"/>
  <c r="L51" i="1"/>
  <c r="BF366" i="1"/>
  <c r="BK367" i="1" s="1"/>
  <c r="BF39" i="1"/>
  <c r="K14" i="128" s="1"/>
  <c r="BD65" i="5"/>
  <c r="BI106" i="1"/>
  <c r="EJ75" i="1"/>
  <c r="BC367" i="1"/>
  <c r="BM353" i="1"/>
  <c r="BH364" i="1"/>
  <c r="BM365" i="1" s="1"/>
  <c r="BH352" i="1"/>
  <c r="BL367" i="1"/>
  <c r="BQ367" i="1"/>
  <c r="BC369" i="1"/>
  <c r="BH369" i="1"/>
  <c r="BC355" i="1"/>
  <c r="BF76" i="1"/>
  <c r="EK76" i="1" s="1"/>
  <c r="BK99" i="1"/>
  <c r="EL99" i="1" s="1"/>
  <c r="BF75" i="1"/>
  <c r="EK75" i="1" s="1"/>
  <c r="EK20" i="1"/>
  <c r="BF99" i="1"/>
  <c r="EK99" i="1" s="1"/>
  <c r="BF344" i="1"/>
  <c r="BP366" i="1"/>
  <c r="BP367" i="1" s="1"/>
  <c r="AP393" i="1"/>
  <c r="AW442" i="1"/>
  <c r="BU393" i="1"/>
  <c r="BU391" i="1" s="1"/>
  <c r="EN67" i="1"/>
  <c r="BQ369" i="1"/>
  <c r="BQ357" i="1"/>
  <c r="BH367" i="1"/>
  <c r="AK69" i="1"/>
  <c r="AK236" i="1" s="1"/>
  <c r="CA410" i="1"/>
  <c r="BS357" i="1"/>
  <c r="BS176" i="1"/>
  <c r="BU176" i="1" s="1"/>
  <c r="BS208" i="1"/>
  <c r="BD229" i="1"/>
  <c r="AU28" i="1"/>
  <c r="AU72" i="1" s="1"/>
  <c r="BC65" i="5"/>
  <c r="EJ76" i="1"/>
  <c r="BR104" i="1"/>
  <c r="BO211" i="5"/>
  <c r="BQ105" i="1"/>
  <c r="BP34" i="1"/>
  <c r="BL105" i="1"/>
  <c r="BR59" i="1"/>
  <c r="BR60" i="1" s="1"/>
  <c r="BR63" i="1" s="1"/>
  <c r="BD369" i="1"/>
  <c r="AY355" i="1"/>
  <c r="BM41" i="1"/>
  <c r="BM106" i="1"/>
  <c r="BM78" i="1"/>
  <c r="BM48" i="1"/>
  <c r="BM442" i="1"/>
  <c r="FA23" i="1"/>
  <c r="BJ48" i="1"/>
  <c r="BJ78" i="1"/>
  <c r="AR169" i="6"/>
  <c r="AY446" i="1"/>
  <c r="BA446" i="1" s="1"/>
  <c r="BB54" i="5"/>
  <c r="AY447" i="1"/>
  <c r="BA447" i="1" s="1"/>
  <c r="AK393" i="1"/>
  <c r="EJ77" i="1"/>
  <c r="AK211" i="5"/>
  <c r="BN79" i="1"/>
  <c r="BN60" i="1"/>
  <c r="BM104" i="1"/>
  <c r="BM76" i="1"/>
  <c r="M64" i="1"/>
  <c r="AT101" i="1"/>
  <c r="AT72" i="1"/>
  <c r="EE20" i="1"/>
  <c r="BP33" i="1"/>
  <c r="BK105" i="1"/>
  <c r="EL105" i="1" s="1"/>
  <c r="BC88" i="6"/>
  <c r="BC91" i="6" s="1"/>
  <c r="BF72" i="1"/>
  <c r="EK72" i="1" s="1"/>
  <c r="EK28" i="1"/>
  <c r="AW41" i="1"/>
  <c r="AW78" i="1"/>
  <c r="AW48" i="1"/>
  <c r="BQ447" i="1"/>
  <c r="BW106" i="6"/>
  <c r="CE414" i="1"/>
  <c r="BZ106" i="6" s="1"/>
  <c r="AS72" i="1"/>
  <c r="BD442" i="1"/>
  <c r="BI442" i="1"/>
  <c r="BD78" i="1"/>
  <c r="BE78" i="1"/>
  <c r="BJ106" i="1"/>
  <c r="BE53" i="5"/>
  <c r="BE442" i="1"/>
  <c r="BE48" i="1"/>
  <c r="BJ442" i="1"/>
  <c r="BP386" i="1"/>
  <c r="AH169" i="6"/>
  <c r="BA105" i="1"/>
  <c r="BA77" i="1"/>
  <c r="AS101" i="1"/>
  <c r="BD82" i="1"/>
  <c r="BF105" i="1"/>
  <c r="EK105" i="1" s="1"/>
  <c r="BA224" i="1"/>
  <c r="BA59" i="1" s="1"/>
  <c r="BA60" i="1" s="1"/>
  <c r="BA63" i="1" s="1"/>
  <c r="AE209" i="5"/>
  <c r="AE218" i="5" s="1"/>
  <c r="BH187" i="1"/>
  <c r="BH229" i="5" s="1"/>
  <c r="AB233" i="1"/>
  <c r="AB234" i="1" s="1"/>
  <c r="AB226" i="1"/>
  <c r="AB235" i="1" s="1"/>
  <c r="BD84" i="1"/>
  <c r="BD64" i="1"/>
  <c r="BD160" i="1"/>
  <c r="BD196" i="1" s="1"/>
  <c r="BD198" i="1" s="1"/>
  <c r="BD226" i="1" s="1"/>
  <c r="BD71" i="5"/>
  <c r="BD74" i="5" s="1"/>
  <c r="BD75" i="5" s="1"/>
  <c r="BD76" i="5" s="1"/>
  <c r="BA39" i="1"/>
  <c r="J14" i="128" s="1"/>
  <c r="BA101" i="1"/>
  <c r="BA72" i="1"/>
  <c r="BF101" i="1"/>
  <c r="EK101" i="1" s="1"/>
  <c r="BG442" i="1"/>
  <c r="BG41" i="1"/>
  <c r="BI447" i="1"/>
  <c r="BG78" i="1"/>
  <c r="BG48" i="1"/>
  <c r="BG106" i="1"/>
  <c r="BJ53" i="5"/>
  <c r="BH65" i="5"/>
  <c r="BI65" i="5"/>
  <c r="BG65" i="5"/>
  <c r="BR106" i="1"/>
  <c r="BR78" i="1"/>
  <c r="BR442" i="1"/>
  <c r="BR48" i="1"/>
  <c r="BR447" i="1"/>
  <c r="BR41" i="1"/>
  <c r="BR53" i="5"/>
  <c r="BG216" i="5"/>
  <c r="BG218" i="5"/>
  <c r="CA385" i="1"/>
  <c r="CA384" i="1" s="1"/>
  <c r="ER137" i="1"/>
  <c r="ER138" i="1"/>
  <c r="EP136" i="1"/>
  <c r="BP121" i="6"/>
  <c r="BK351" i="1"/>
  <c r="BK352" i="1" s="1"/>
  <c r="AX59" i="1"/>
  <c r="AX229" i="1"/>
  <c r="BJ60" i="1"/>
  <c r="BI226" i="5"/>
  <c r="BI158" i="6"/>
  <c r="BI97" i="6"/>
  <c r="BI71" i="6"/>
  <c r="BJ66" i="6"/>
  <c r="BF73" i="6"/>
  <c r="BV92" i="5"/>
  <c r="AO169" i="6"/>
  <c r="AX33" i="6"/>
  <c r="BA33" i="6" s="1"/>
  <c r="EF33" i="6" s="1"/>
  <c r="AS63" i="1"/>
  <c r="BT179" i="6"/>
  <c r="BT99" i="6"/>
  <c r="BP368" i="1"/>
  <c r="BP351" i="1"/>
  <c r="EG105" i="1"/>
  <c r="EF105" i="1"/>
  <c r="AX87" i="1"/>
  <c r="BR191" i="5"/>
  <c r="BS191" i="5" s="1"/>
  <c r="BT191" i="5" s="1"/>
  <c r="BU191" i="5" s="1"/>
  <c r="AH209" i="5"/>
  <c r="AH218" i="5" s="1"/>
  <c r="AN94" i="6"/>
  <c r="AO44" i="6"/>
  <c r="EE44" i="6" s="1"/>
  <c r="AN54" i="6"/>
  <c r="AA211" i="5"/>
  <c r="BF169" i="1"/>
  <c r="BC187" i="1"/>
  <c r="BE49" i="6"/>
  <c r="BO415" i="1"/>
  <c r="BO107" i="6" s="1"/>
  <c r="BP410" i="1"/>
  <c r="BO102" i="6"/>
  <c r="U59" i="1"/>
  <c r="U226" i="1"/>
  <c r="CE94" i="6"/>
  <c r="EL44" i="6"/>
  <c r="Z59" i="1"/>
  <c r="Z226" i="1"/>
  <c r="BP221" i="5"/>
  <c r="BE41" i="6"/>
  <c r="BO27" i="6"/>
  <c r="U209" i="5"/>
  <c r="X446" i="1"/>
  <c r="W446" i="1"/>
  <c r="X59" i="1"/>
  <c r="X226" i="1"/>
  <c r="EF72" i="1"/>
  <c r="EF101" i="1"/>
  <c r="Q171" i="6"/>
  <c r="X209" i="5"/>
  <c r="EJ58" i="6"/>
  <c r="AH87" i="1"/>
  <c r="AI94" i="6"/>
  <c r="AJ44" i="6"/>
  <c r="BV94" i="6"/>
  <c r="BA366" i="1"/>
  <c r="BA330" i="1"/>
  <c r="BE94" i="6"/>
  <c r="BF44" i="6"/>
  <c r="AF74" i="6"/>
  <c r="AW59" i="1"/>
  <c r="BR218" i="5"/>
  <c r="BR215" i="5"/>
  <c r="BR216" i="5"/>
  <c r="BA187" i="1"/>
  <c r="BA229" i="5" s="1"/>
  <c r="ED9" i="6"/>
  <c r="BF209" i="1"/>
  <c r="BU95" i="5"/>
  <c r="BO59" i="1"/>
  <c r="BO60" i="1" s="1"/>
  <c r="BO63" i="1" s="1"/>
  <c r="AH38" i="6"/>
  <c r="AH150" i="1" s="1"/>
  <c r="AH152" i="1" s="1"/>
  <c r="AT59" i="1"/>
  <c r="AT229" i="1"/>
  <c r="EN138" i="1"/>
  <c r="DL94" i="6"/>
  <c r="DN44" i="6"/>
  <c r="CW386" i="1"/>
  <c r="CT386" i="1"/>
  <c r="BB59" i="1"/>
  <c r="BB229" i="1"/>
  <c r="AG171" i="6"/>
  <c r="EC42" i="6"/>
  <c r="BF63" i="6"/>
  <c r="AM38" i="6"/>
  <c r="AM150" i="1" s="1"/>
  <c r="AM152" i="1" s="1"/>
  <c r="BL156" i="5"/>
  <c r="BM156" i="5"/>
  <c r="BP156" i="5"/>
  <c r="BS386" i="1"/>
  <c r="BU386" i="1" s="1"/>
  <c r="BT392" i="1"/>
  <c r="BU392" i="1" s="1"/>
  <c r="W59" i="1"/>
  <c r="W226" i="1"/>
  <c r="EN136" i="1"/>
  <c r="DG94" i="6"/>
  <c r="DI44" i="6"/>
  <c r="AD48" i="5"/>
  <c r="EG101" i="1"/>
  <c r="EG72" i="1"/>
  <c r="AX21" i="6"/>
  <c r="BA21" i="6" s="1"/>
  <c r="EF21" i="6" s="1"/>
  <c r="AU21" i="6"/>
  <c r="BE9" i="6"/>
  <c r="BH224" i="1"/>
  <c r="BH59" i="1" s="1"/>
  <c r="W209" i="5"/>
  <c r="CJ303" i="1"/>
  <c r="BE87" i="1"/>
  <c r="EF61" i="6"/>
  <c r="EJ105" i="1"/>
  <c r="BI137" i="6"/>
  <c r="EF64" i="6"/>
  <c r="AR38" i="6"/>
  <c r="AR150" i="1" s="1"/>
  <c r="AR152" i="1" s="1"/>
  <c r="AE22" i="5"/>
  <c r="AI54" i="5" s="1"/>
  <c r="AE221" i="5"/>
  <c r="AN445" i="1"/>
  <c r="AW445" i="1"/>
  <c r="CU383" i="1"/>
  <c r="CT383" i="1"/>
  <c r="AZ59" i="1"/>
  <c r="AZ229" i="1"/>
  <c r="AW94" i="6"/>
  <c r="BA44" i="6"/>
  <c r="BE59" i="1"/>
  <c r="BE229" i="1"/>
  <c r="AD60" i="1"/>
  <c r="EG59" i="1"/>
  <c r="BE71" i="6"/>
  <c r="BE179" i="6"/>
  <c r="BE121" i="6"/>
  <c r="BE120" i="6" s="1"/>
  <c r="BE41" i="1"/>
  <c r="BE444" i="1"/>
  <c r="BE443" i="1"/>
  <c r="BE171" i="6"/>
  <c r="BE164" i="1"/>
  <c r="EG48" i="6"/>
  <c r="BF61" i="6"/>
  <c r="Y209" i="5"/>
  <c r="Z54" i="5"/>
  <c r="AA54" i="5" s="1"/>
  <c r="Y446" i="1"/>
  <c r="AB54" i="5"/>
  <c r="Z446" i="1"/>
  <c r="AA446" i="1" s="1"/>
  <c r="Y171" i="6"/>
  <c r="AB446" i="1"/>
  <c r="AO71" i="6"/>
  <c r="AE30" i="6"/>
  <c r="EC30" i="6" s="1"/>
  <c r="AD27" i="6"/>
  <c r="BS215" i="5"/>
  <c r="BS218" i="5"/>
  <c r="BS216" i="5"/>
  <c r="AU211" i="5"/>
  <c r="BS49" i="5"/>
  <c r="BS55" i="5"/>
  <c r="BS54" i="5"/>
  <c r="BS56" i="5"/>
  <c r="BQ55" i="5"/>
  <c r="BR55" i="5"/>
  <c r="BO56" i="5"/>
  <c r="BP56" i="5" s="1"/>
  <c r="BQ56" i="5"/>
  <c r="BR56" i="5"/>
  <c r="BO49" i="5"/>
  <c r="BQ54" i="5"/>
  <c r="BR54" i="5"/>
  <c r="AP105" i="1"/>
  <c r="AU105" i="1"/>
  <c r="AQ169" i="6"/>
  <c r="AQ171" i="6"/>
  <c r="AQ209" i="5"/>
  <c r="AW437" i="1"/>
  <c r="AS54" i="5"/>
  <c r="AW446" i="1"/>
  <c r="AR54" i="5"/>
  <c r="AQ54" i="5"/>
  <c r="AT54" i="5"/>
  <c r="AU54" i="5" s="1"/>
  <c r="AX446" i="1"/>
  <c r="AQ446" i="1"/>
  <c r="AR446" i="1"/>
  <c r="V171" i="6"/>
  <c r="EE45" i="6"/>
  <c r="AX15" i="6"/>
  <c r="BA15" i="6" s="1"/>
  <c r="EF15" i="6" s="1"/>
  <c r="AR209" i="5"/>
  <c r="AX34" i="6"/>
  <c r="BA34" i="6" s="1"/>
  <c r="EF34" i="6" s="1"/>
  <c r="AU34" i="6"/>
  <c r="AX31" i="6"/>
  <c r="AP164" i="1"/>
  <c r="BJ15" i="6"/>
  <c r="BG49" i="5"/>
  <c r="AT209" i="5"/>
  <c r="AB209" i="5"/>
  <c r="AA49" i="5"/>
  <c r="BJ41" i="1"/>
  <c r="BJ121" i="6"/>
  <c r="BJ120" i="6" s="1"/>
  <c r="BJ443" i="1"/>
  <c r="BJ171" i="6"/>
  <c r="BJ444" i="1"/>
  <c r="EG17" i="6"/>
  <c r="EG26" i="6"/>
  <c r="BB49" i="5"/>
  <c r="AK49" i="5"/>
  <c r="BA355" i="1"/>
  <c r="Y60" i="1"/>
  <c r="BJ87" i="1"/>
  <c r="EG16" i="6"/>
  <c r="BE27" i="6"/>
  <c r="BH82" i="1"/>
  <c r="BH51" i="1"/>
  <c r="CF208" i="1"/>
  <c r="CF176" i="1"/>
  <c r="BS169" i="6"/>
  <c r="BT176" i="6"/>
  <c r="BU176" i="6" s="1"/>
  <c r="BS54" i="6"/>
  <c r="BS176" i="6"/>
  <c r="BS90" i="6"/>
  <c r="BF62" i="6"/>
  <c r="EE63" i="6"/>
  <c r="BV94" i="5"/>
  <c r="CB224" i="1"/>
  <c r="AI209" i="5"/>
  <c r="AI171" i="6"/>
  <c r="AJ54" i="5"/>
  <c r="AK54" i="5" s="1"/>
  <c r="AI446" i="1"/>
  <c r="AJ446" i="1"/>
  <c r="AK446" i="1" s="1"/>
  <c r="AL54" i="5"/>
  <c r="AL446" i="1"/>
  <c r="AI169" i="6"/>
  <c r="AX81" i="6"/>
  <c r="BA81" i="6" s="1"/>
  <c r="AU81" i="6"/>
  <c r="BQ215" i="5"/>
  <c r="BQ218" i="5"/>
  <c r="BQ216" i="5"/>
  <c r="BV174" i="5"/>
  <c r="BZ174" i="5" s="1"/>
  <c r="AZ101" i="1"/>
  <c r="AZ39" i="1"/>
  <c r="BE101" i="1"/>
  <c r="EJ28" i="1"/>
  <c r="AZ72" i="1"/>
  <c r="BF13" i="6"/>
  <c r="EG13" i="6" s="1"/>
  <c r="AY49" i="5"/>
  <c r="BB55" i="5"/>
  <c r="BC55" i="5"/>
  <c r="CE308" i="1"/>
  <c r="AW17" i="6"/>
  <c r="AT17" i="6"/>
  <c r="AU17" i="6" s="1"/>
  <c r="BI218" i="5"/>
  <c r="BI216" i="5"/>
  <c r="BI215" i="5"/>
  <c r="CO307" i="1"/>
  <c r="AM209" i="5"/>
  <c r="AM171" i="6"/>
  <c r="AO54" i="5"/>
  <c r="AP54" i="5" s="1"/>
  <c r="AN446" i="1"/>
  <c r="AM169" i="6"/>
  <c r="AM446" i="1"/>
  <c r="AM54" i="5"/>
  <c r="AO446" i="1"/>
  <c r="AP446" i="1" s="1"/>
  <c r="AN54" i="5"/>
  <c r="AU31" i="6"/>
  <c r="BU31" i="5"/>
  <c r="BL385" i="1"/>
  <c r="AC87" i="1"/>
  <c r="AF9" i="1"/>
  <c r="G10" i="128" s="1"/>
  <c r="EF9" i="1"/>
  <c r="EF87" i="1" s="1"/>
  <c r="EG23" i="6"/>
  <c r="V75" i="6"/>
  <c r="BA66" i="6"/>
  <c r="AW97" i="6"/>
  <c r="BK164" i="1"/>
  <c r="BK165" i="1" s="1"/>
  <c r="Y38" i="6"/>
  <c r="BL95" i="6"/>
  <c r="BL92" i="6"/>
  <c r="BJ49" i="5"/>
  <c r="AO49" i="5"/>
  <c r="DL383" i="1"/>
  <c r="BA364" i="1"/>
  <c r="BA352" i="1"/>
  <c r="BU193" i="5"/>
  <c r="AE62" i="6"/>
  <c r="BM88" i="6"/>
  <c r="BM91" i="6" s="1"/>
  <c r="BM74" i="6"/>
  <c r="BH215" i="5"/>
  <c r="BH218" i="5"/>
  <c r="BH216" i="5"/>
  <c r="CI308" i="1"/>
  <c r="CI176" i="1" s="1"/>
  <c r="EI105" i="1"/>
  <c r="EH105" i="1"/>
  <c r="AC88" i="6"/>
  <c r="AC74" i="6"/>
  <c r="BQ107" i="6"/>
  <c r="AE46" i="6"/>
  <c r="EC46" i="6" s="1"/>
  <c r="BJ215" i="5"/>
  <c r="BJ216" i="5"/>
  <c r="BJ218" i="5"/>
  <c r="BK209" i="5"/>
  <c r="AU221" i="5"/>
  <c r="AU22" i="5"/>
  <c r="AU49" i="5" s="1"/>
  <c r="CA208" i="1"/>
  <c r="CA176" i="1"/>
  <c r="CA187" i="1" s="1"/>
  <c r="BV229" i="5" s="1"/>
  <c r="EG20" i="1"/>
  <c r="AP211" i="5"/>
  <c r="AD209" i="5"/>
  <c r="AD171" i="6"/>
  <c r="AD54" i="5"/>
  <c r="AE446" i="1"/>
  <c r="AF446" i="1" s="1"/>
  <c r="AG446" i="1"/>
  <c r="AD446" i="1"/>
  <c r="AH446" i="1"/>
  <c r="AA92" i="6"/>
  <c r="AA95" i="6"/>
  <c r="AX32" i="6"/>
  <c r="BA32" i="6" s="1"/>
  <c r="EF32" i="6" s="1"/>
  <c r="AU32" i="6"/>
  <c r="AJ209" i="5"/>
  <c r="BA31" i="6"/>
  <c r="EF31" i="6" s="1"/>
  <c r="AW27" i="6"/>
  <c r="AO445" i="1"/>
  <c r="BO9" i="6"/>
  <c r="BH87" i="1"/>
  <c r="BC87" i="1"/>
  <c r="AU226" i="5"/>
  <c r="EG51" i="6"/>
  <c r="BA63" i="6"/>
  <c r="EG21" i="6"/>
  <c r="X74" i="6"/>
  <c r="X88" i="6"/>
  <c r="X91" i="6" s="1"/>
  <c r="BB176" i="6"/>
  <c r="AX43" i="6"/>
  <c r="AX154" i="6" s="1"/>
  <c r="BA154" i="6" s="1"/>
  <c r="BD176" i="6"/>
  <c r="BC176" i="6"/>
  <c r="AT176" i="6"/>
  <c r="AY176" i="6"/>
  <c r="AT169" i="6"/>
  <c r="AT54" i="6"/>
  <c r="AZ176" i="6"/>
  <c r="AT90" i="6"/>
  <c r="AU43" i="6"/>
  <c r="AD54" i="6"/>
  <c r="BA36" i="6"/>
  <c r="AO38" i="6"/>
  <c r="AO150" i="1" s="1"/>
  <c r="EE27" i="6"/>
  <c r="AX23" i="6"/>
  <c r="BA23" i="6" s="1"/>
  <c r="EF23" i="6" s="1"/>
  <c r="AT49" i="5"/>
  <c r="EG36" i="6"/>
  <c r="BF30" i="6"/>
  <c r="BF178" i="6"/>
  <c r="EG64" i="6"/>
  <c r="BD179" i="6"/>
  <c r="BD71" i="6"/>
  <c r="BR74" i="6"/>
  <c r="AX48" i="6"/>
  <c r="BA48" i="6" s="1"/>
  <c r="EF48" i="6" s="1"/>
  <c r="BF209" i="5"/>
  <c r="BE218" i="5"/>
  <c r="BE216" i="5"/>
  <c r="BE215" i="5"/>
  <c r="CG308" i="1"/>
  <c r="EE62" i="6"/>
  <c r="AJ32" i="6"/>
  <c r="AI27" i="6"/>
  <c r="BK211" i="5"/>
  <c r="BD215" i="5"/>
  <c r="BD216" i="5"/>
  <c r="BD218" i="5"/>
  <c r="AX30" i="6"/>
  <c r="AT27" i="6"/>
  <c r="AU30" i="6"/>
  <c r="BD164" i="1"/>
  <c r="BD121" i="6"/>
  <c r="BD120" i="6" s="1"/>
  <c r="BF11" i="6"/>
  <c r="BD41" i="1"/>
  <c r="BD444" i="1"/>
  <c r="BD443" i="1"/>
  <c r="BD171" i="6"/>
  <c r="BD38" i="6"/>
  <c r="BD150" i="1" s="1"/>
  <c r="BC215" i="5"/>
  <c r="BC218" i="5"/>
  <c r="BC216" i="5"/>
  <c r="BE48" i="5"/>
  <c r="BF37" i="5"/>
  <c r="CH308" i="1"/>
  <c r="CH38" i="1" s="1"/>
  <c r="BD353" i="1"/>
  <c r="AY364" i="1"/>
  <c r="BD365" i="1" s="1"/>
  <c r="AC171" i="6"/>
  <c r="AC209" i="5"/>
  <c r="AC54" i="5"/>
  <c r="AC446" i="1"/>
  <c r="AA169" i="6"/>
  <c r="AA171" i="6"/>
  <c r="BJ36" i="6"/>
  <c r="Z54" i="6"/>
  <c r="BJ27" i="6"/>
  <c r="W92" i="6"/>
  <c r="W95" i="6"/>
  <c r="AX19" i="6"/>
  <c r="BA19" i="6" s="1"/>
  <c r="EF19" i="6" s="1"/>
  <c r="AU19" i="6"/>
  <c r="V92" i="6"/>
  <c r="V95" i="6"/>
  <c r="ED15" i="6"/>
  <c r="AN209" i="5"/>
  <c r="EG19" i="6"/>
  <c r="BR88" i="6"/>
  <c r="BR91" i="6" s="1"/>
  <c r="AW90" i="6"/>
  <c r="AW54" i="6"/>
  <c r="BA43" i="6"/>
  <c r="AS38" i="6"/>
  <c r="ED26" i="6"/>
  <c r="Z27" i="6"/>
  <c r="EB27" i="6" s="1"/>
  <c r="AB95" i="6"/>
  <c r="AB92" i="6"/>
  <c r="AU23" i="6"/>
  <c r="BF12" i="6"/>
  <c r="BU192" i="5"/>
  <c r="AP48" i="5"/>
  <c r="BD60" i="1"/>
  <c r="AE87" i="1"/>
  <c r="AJ87" i="1"/>
  <c r="BF42" i="6"/>
  <c r="CK308" i="1"/>
  <c r="BW97" i="6"/>
  <c r="BW226" i="5"/>
  <c r="CE108" i="5"/>
  <c r="BH436" i="1" l="1"/>
  <c r="AO152" i="1"/>
  <c r="BG63" i="1"/>
  <c r="BC74" i="6"/>
  <c r="EE26" i="6"/>
  <c r="BN126" i="1"/>
  <c r="AJ179" i="6"/>
  <c r="ED58" i="6"/>
  <c r="AJ99" i="6"/>
  <c r="AN91" i="6"/>
  <c r="AN92" i="6" s="1"/>
  <c r="AB176" i="6"/>
  <c r="Z90" i="6"/>
  <c r="EB90" i="6" s="1"/>
  <c r="EB43" i="6"/>
  <c r="AC176" i="6"/>
  <c r="ED46" i="6"/>
  <c r="EE15" i="6"/>
  <c r="AE94" i="6"/>
  <c r="EC44" i="6"/>
  <c r="ED52" i="6"/>
  <c r="BD87" i="1"/>
  <c r="EG45" i="6"/>
  <c r="EE90" i="6"/>
  <c r="ED71" i="6"/>
  <c r="EB9" i="6"/>
  <c r="AU11" i="6"/>
  <c r="AX444" i="1"/>
  <c r="AX445" i="1" s="1"/>
  <c r="AX443" i="1"/>
  <c r="AT164" i="1"/>
  <c r="AU164" i="1" s="1"/>
  <c r="AT171" i="6"/>
  <c r="AX11" i="6"/>
  <c r="BO384" i="1"/>
  <c r="BO385" i="1" s="1"/>
  <c r="BO71" i="6"/>
  <c r="BP71" i="6" s="1"/>
  <c r="BV176" i="6"/>
  <c r="BE169" i="6"/>
  <c r="BE154" i="6"/>
  <c r="BE90" i="6"/>
  <c r="CD208" i="1"/>
  <c r="CD224" i="1" s="1"/>
  <c r="CD59" i="1" s="1"/>
  <c r="BO362" i="1"/>
  <c r="BK224" i="1"/>
  <c r="BK226" i="1" s="1"/>
  <c r="BK235" i="1" s="1"/>
  <c r="BK236" i="1" s="1"/>
  <c r="AG216" i="5"/>
  <c r="AJ54" i="6"/>
  <c r="BD152" i="1"/>
  <c r="BS415" i="1"/>
  <c r="BS107" i="6" s="1"/>
  <c r="BE54" i="6"/>
  <c r="EE48" i="6"/>
  <c r="BU410" i="1"/>
  <c r="BU102" i="6" s="1"/>
  <c r="BP224" i="1"/>
  <c r="BP59" i="1" s="1"/>
  <c r="EM59" i="1" s="1"/>
  <c r="BF33" i="6"/>
  <c r="BF27" i="6" s="1"/>
  <c r="ED43" i="6"/>
  <c r="DI173" i="1"/>
  <c r="AZ356" i="1"/>
  <c r="V234" i="1"/>
  <c r="BB376" i="1"/>
  <c r="CV391" i="1"/>
  <c r="DA391" i="1" s="1"/>
  <c r="DF391" i="1" s="1"/>
  <c r="DK391" i="1" s="1"/>
  <c r="DP391" i="1" s="1"/>
  <c r="DU391" i="1" s="1"/>
  <c r="DZ391" i="1" s="1"/>
  <c r="DL173" i="1"/>
  <c r="DM173" i="1"/>
  <c r="CT45" i="5"/>
  <c r="DI94" i="6"/>
  <c r="CE39" i="5"/>
  <c r="BY46" i="5"/>
  <c r="CT29" i="5"/>
  <c r="ED16" i="6"/>
  <c r="CY94" i="6"/>
  <c r="CT14" i="5"/>
  <c r="BZ41" i="5"/>
  <c r="DN94" i="6"/>
  <c r="DP173" i="1"/>
  <c r="CB97" i="5"/>
  <c r="CC97" i="5" s="1"/>
  <c r="CD97" i="5" s="1"/>
  <c r="CE97" i="5" s="1"/>
  <c r="CF97" i="5" s="1"/>
  <c r="CG97" i="5" s="1"/>
  <c r="CH97" i="5" s="1"/>
  <c r="CI97" i="5" s="1"/>
  <c r="CJ97" i="5" s="1"/>
  <c r="CK97" i="5" s="1"/>
  <c r="CL97" i="5" s="1"/>
  <c r="CM97" i="5" s="1"/>
  <c r="CN97" i="5" s="1"/>
  <c r="CO97" i="5" s="1"/>
  <c r="CP97" i="5" s="1"/>
  <c r="CQ97" i="5" s="1"/>
  <c r="CR97" i="5" s="1"/>
  <c r="CS97" i="5" s="1"/>
  <c r="CT97" i="5" s="1"/>
  <c r="CU97" i="5" s="1"/>
  <c r="CV97" i="5" s="1"/>
  <c r="CW97" i="5" s="1"/>
  <c r="CX97" i="5" s="1"/>
  <c r="CY97" i="5" s="1"/>
  <c r="CZ97" i="5" s="1"/>
  <c r="DA97" i="5" s="1"/>
  <c r="DB97" i="5" s="1"/>
  <c r="DC97" i="5" s="1"/>
  <c r="DD97" i="5" s="1"/>
  <c r="DE97" i="5" s="1"/>
  <c r="DF97" i="5" s="1"/>
  <c r="DG97" i="5" s="1"/>
  <c r="DH97" i="5" s="1"/>
  <c r="DI97" i="5" s="1"/>
  <c r="DJ97" i="5" s="1"/>
  <c r="DK97" i="5" s="1"/>
  <c r="DL97" i="5" s="1"/>
  <c r="DM97" i="5" s="1"/>
  <c r="DN97" i="5" s="1"/>
  <c r="DO97" i="5" s="1"/>
  <c r="DP97" i="5" s="1"/>
  <c r="DQ97" i="5" s="1"/>
  <c r="DR97" i="5" s="1"/>
  <c r="DS97" i="5" s="1"/>
  <c r="DT97" i="5" s="1"/>
  <c r="DU97" i="5" s="1"/>
  <c r="DV97" i="5" s="1"/>
  <c r="EO22" i="1"/>
  <c r="EO23" i="1"/>
  <c r="EH75" i="1"/>
  <c r="EH77" i="1"/>
  <c r="BQ51" i="1"/>
  <c r="BQ71" i="5" s="1"/>
  <c r="EI99" i="1"/>
  <c r="EI75" i="1"/>
  <c r="EH76" i="1"/>
  <c r="EI77" i="1"/>
  <c r="CK38" i="1"/>
  <c r="AO120" i="1"/>
  <c r="CR303" i="1"/>
  <c r="CW303" i="1" s="1"/>
  <c r="DB303" i="1" s="1"/>
  <c r="CQ303" i="1"/>
  <c r="CV303" i="1" s="1"/>
  <c r="DA303" i="1" s="1"/>
  <c r="ED31" i="6"/>
  <c r="K15" i="128"/>
  <c r="AT120" i="1"/>
  <c r="CX307" i="1"/>
  <c r="CT307" i="1"/>
  <c r="CS303" i="1"/>
  <c r="AY51" i="1"/>
  <c r="BD113" i="1" s="1"/>
  <c r="AP210" i="5"/>
  <c r="AP217" i="5" s="1"/>
  <c r="AO217" i="5"/>
  <c r="AK210" i="5"/>
  <c r="AK217" i="5" s="1"/>
  <c r="AJ217" i="5"/>
  <c r="BK380" i="1"/>
  <c r="BN150" i="1"/>
  <c r="BN152" i="1" s="1"/>
  <c r="BN88" i="6"/>
  <c r="BN91" i="6" s="1"/>
  <c r="BN74" i="6"/>
  <c r="AW150" i="1"/>
  <c r="AW152" i="1" s="1"/>
  <c r="AS150" i="1"/>
  <c r="AS152" i="1" s="1"/>
  <c r="BF15" i="6"/>
  <c r="BA176" i="6"/>
  <c r="BA151" i="1"/>
  <c r="BN176" i="6"/>
  <c r="BJ151" i="1"/>
  <c r="BG176" i="6"/>
  <c r="BO54" i="6"/>
  <c r="BO151" i="1"/>
  <c r="EC67" i="6"/>
  <c r="AE380" i="1"/>
  <c r="AE98" i="6"/>
  <c r="AE178" i="6"/>
  <c r="AT58" i="6"/>
  <c r="AS99" i="6"/>
  <c r="AW58" i="6"/>
  <c r="AU58" i="6"/>
  <c r="AU71" i="6" s="1"/>
  <c r="EC58" i="6"/>
  <c r="AE99" i="6"/>
  <c r="BT154" i="6"/>
  <c r="BU154" i="6" s="1"/>
  <c r="BT151" i="1"/>
  <c r="BF43" i="6"/>
  <c r="BE176" i="6"/>
  <c r="BF176" i="6" s="1"/>
  <c r="EB11" i="6"/>
  <c r="AS71" i="6"/>
  <c r="CC46" i="5"/>
  <c r="CG38" i="1"/>
  <c r="CG208" i="1"/>
  <c r="CG224" i="1" s="1"/>
  <c r="BB361" i="1"/>
  <c r="BH362" i="1"/>
  <c r="AZ361" i="1"/>
  <c r="BE362" i="1" s="1"/>
  <c r="AB120" i="1"/>
  <c r="BM362" i="1"/>
  <c r="CM165" i="5"/>
  <c r="E18" i="128"/>
  <c r="G23" i="128"/>
  <c r="EL39" i="1"/>
  <c r="L14" i="128"/>
  <c r="L15" i="128" s="1"/>
  <c r="EI39" i="1"/>
  <c r="EI78" i="1" s="1"/>
  <c r="AK101" i="1"/>
  <c r="FC69" i="1"/>
  <c r="BF154" i="6"/>
  <c r="BF35" i="6"/>
  <c r="AJ176" i="6"/>
  <c r="AK176" i="6" s="1"/>
  <c r="AL176" i="6"/>
  <c r="AM176" i="6"/>
  <c r="AJ90" i="6"/>
  <c r="ED90" i="6" s="1"/>
  <c r="AN176" i="6"/>
  <c r="AJ169" i="6"/>
  <c r="EE17" i="6"/>
  <c r="AX57" i="6"/>
  <c r="AE90" i="6"/>
  <c r="EC90" i="6" s="1"/>
  <c r="AG176" i="6"/>
  <c r="AH176" i="6"/>
  <c r="EC43" i="6"/>
  <c r="AE176" i="6"/>
  <c r="AF176" i="6" s="1"/>
  <c r="AI176" i="6"/>
  <c r="EB22" i="6"/>
  <c r="EG32" i="6"/>
  <c r="BG54" i="5"/>
  <c r="BG57" i="5" s="1"/>
  <c r="BG55" i="5"/>
  <c r="BG58" i="5" s="1"/>
  <c r="BD54" i="5"/>
  <c r="BD57" i="5" s="1"/>
  <c r="BD49" i="5"/>
  <c r="BH55" i="5"/>
  <c r="BH58" i="5" s="1"/>
  <c r="BE55" i="5"/>
  <c r="BF55" i="5" s="1"/>
  <c r="BH54" i="5"/>
  <c r="BH57" i="5" s="1"/>
  <c r="BE54" i="5"/>
  <c r="BF54" i="5" s="1"/>
  <c r="EI76" i="1"/>
  <c r="EE80" i="1"/>
  <c r="BH372" i="1"/>
  <c r="BH376" i="1" s="1"/>
  <c r="BD372" i="1"/>
  <c r="BD376" i="1" s="1"/>
  <c r="EH99" i="1"/>
  <c r="CO302" i="1"/>
  <c r="BI372" i="1"/>
  <c r="BI373" i="1" s="1"/>
  <c r="BF187" i="1"/>
  <c r="BF229" i="5" s="1"/>
  <c r="BC229" i="5"/>
  <c r="BJ362" i="1"/>
  <c r="FA69" i="1"/>
  <c r="BB71" i="5"/>
  <c r="BB74" i="5" s="1"/>
  <c r="AA234" i="1"/>
  <c r="EI101" i="1"/>
  <c r="EH39" i="1"/>
  <c r="BN82" i="1"/>
  <c r="BN372" i="1" s="1"/>
  <c r="EH101" i="1"/>
  <c r="BW122" i="1"/>
  <c r="AA87" i="1"/>
  <c r="EI9" i="1"/>
  <c r="AR87" i="1"/>
  <c r="AY436" i="1"/>
  <c r="AU9" i="1"/>
  <c r="BY250" i="1"/>
  <c r="BZ250" i="1" s="1"/>
  <c r="BB160" i="1"/>
  <c r="BB165" i="1" s="1"/>
  <c r="BB189" i="1" s="1"/>
  <c r="BB192" i="1" s="1"/>
  <c r="BV386" i="1"/>
  <c r="BZ386" i="1" s="1"/>
  <c r="BX442" i="1"/>
  <c r="BV54" i="6"/>
  <c r="EG24" i="6"/>
  <c r="EG20" i="6"/>
  <c r="AF235" i="1"/>
  <c r="AF236" i="1" s="1"/>
  <c r="AB236" i="1"/>
  <c r="BP54" i="6"/>
  <c r="EI54" i="6" s="1"/>
  <c r="AN95" i="6"/>
  <c r="Y233" i="1"/>
  <c r="Y234" i="1" s="1"/>
  <c r="Y235" i="1"/>
  <c r="Y236" i="1" s="1"/>
  <c r="AE54" i="5"/>
  <c r="AF54" i="5" s="1"/>
  <c r="Z233" i="1"/>
  <c r="Z234" i="1" s="1"/>
  <c r="Z235" i="1"/>
  <c r="Z236" i="1" s="1"/>
  <c r="W233" i="1"/>
  <c r="W234" i="1" s="1"/>
  <c r="W235" i="1"/>
  <c r="W236" i="1" s="1"/>
  <c r="U233" i="1"/>
  <c r="U234" i="1" s="1"/>
  <c r="U235" i="1"/>
  <c r="U236" i="1" s="1"/>
  <c r="X233" i="1"/>
  <c r="X234" i="1" s="1"/>
  <c r="X235" i="1"/>
  <c r="X236" i="1" s="1"/>
  <c r="BQ63" i="1"/>
  <c r="BD362" i="1"/>
  <c r="BI79" i="1"/>
  <c r="EL139" i="1"/>
  <c r="BQ26" i="1"/>
  <c r="BO120" i="1"/>
  <c r="CA122" i="1"/>
  <c r="BM120" i="1"/>
  <c r="BO176" i="6"/>
  <c r="BP176" i="6" s="1"/>
  <c r="BO169" i="6"/>
  <c r="BQ176" i="6"/>
  <c r="BR176" i="6"/>
  <c r="BO90" i="6"/>
  <c r="BO137" i="6"/>
  <c r="BO154" i="6"/>
  <c r="BP154" i="6" s="1"/>
  <c r="BJ154" i="6"/>
  <c r="BK154" i="6" s="1"/>
  <c r="BJ90" i="6"/>
  <c r="BM176" i="6"/>
  <c r="BL176" i="6"/>
  <c r="BJ176" i="6"/>
  <c r="BK176" i="6" s="1"/>
  <c r="BJ169" i="6"/>
  <c r="CN82" i="5"/>
  <c r="CO82" i="5" s="1"/>
  <c r="BI362" i="1"/>
  <c r="BC120" i="1"/>
  <c r="BD120" i="1"/>
  <c r="BI120" i="1"/>
  <c r="BG120" i="1"/>
  <c r="BL126" i="1"/>
  <c r="Y120" i="1"/>
  <c r="L120" i="1"/>
  <c r="BI107" i="1"/>
  <c r="BN107" i="1"/>
  <c r="AG218" i="5"/>
  <c r="CO389" i="1"/>
  <c r="CQ389" i="1" s="1"/>
  <c r="CR389" i="1" s="1"/>
  <c r="CR390" i="1" s="1"/>
  <c r="CB399" i="1"/>
  <c r="CB400" i="1" s="1"/>
  <c r="CB404" i="1"/>
  <c r="CB405" i="1" s="1"/>
  <c r="DA386" i="1"/>
  <c r="CV389" i="1"/>
  <c r="CM167" i="5"/>
  <c r="M22" i="128"/>
  <c r="DT206" i="5"/>
  <c r="BT226" i="5"/>
  <c r="BU226" i="5" s="1"/>
  <c r="BT97" i="6"/>
  <c r="BV90" i="6"/>
  <c r="BY154" i="6"/>
  <c r="BX90" i="6"/>
  <c r="BX54" i="6"/>
  <c r="BP361" i="1"/>
  <c r="BT102" i="6"/>
  <c r="BT415" i="1"/>
  <c r="BT107" i="6" s="1"/>
  <c r="EC16" i="6"/>
  <c r="EB71" i="6"/>
  <c r="EG67" i="6"/>
  <c r="BF380" i="1"/>
  <c r="BF98" i="6"/>
  <c r="AX98" i="6"/>
  <c r="BA67" i="6"/>
  <c r="BO250" i="1"/>
  <c r="BQ250" i="1"/>
  <c r="BM250" i="1"/>
  <c r="BL277" i="1"/>
  <c r="BC82" i="1"/>
  <c r="BF48" i="1"/>
  <c r="BF51" i="1" s="1"/>
  <c r="BB64" i="1"/>
  <c r="BB79" i="1"/>
  <c r="BB107" i="1"/>
  <c r="AB48" i="1"/>
  <c r="AB51" i="1" s="1"/>
  <c r="BT248" i="1"/>
  <c r="BT250" i="1"/>
  <c r="BH107" i="1"/>
  <c r="G48" i="1"/>
  <c r="G82" i="1" s="1"/>
  <c r="BI51" i="1"/>
  <c r="BF369" i="1"/>
  <c r="BK369" i="1"/>
  <c r="AO216" i="5"/>
  <c r="BG357" i="1"/>
  <c r="AX51" i="1"/>
  <c r="AA209" i="5"/>
  <c r="AA218" i="5" s="1"/>
  <c r="AO218" i="5"/>
  <c r="EF99" i="1"/>
  <c r="BS447" i="1"/>
  <c r="AO215" i="5"/>
  <c r="AR129" i="1"/>
  <c r="AP101" i="1"/>
  <c r="AS215" i="5"/>
  <c r="BS53" i="5"/>
  <c r="BS58" i="5" s="1"/>
  <c r="BQ448" i="1"/>
  <c r="AS216" i="5"/>
  <c r="BQ58" i="5"/>
  <c r="AX437" i="1"/>
  <c r="BB53" i="5"/>
  <c r="BB58" i="5" s="1"/>
  <c r="AT48" i="1"/>
  <c r="AT51" i="1" s="1"/>
  <c r="AX82" i="1"/>
  <c r="AX372" i="1" s="1"/>
  <c r="AX376" i="1" s="1"/>
  <c r="AY210" i="5"/>
  <c r="AY217" i="5" s="1"/>
  <c r="BL365" i="1"/>
  <c r="BK44" i="1"/>
  <c r="EN38" i="1"/>
  <c r="BC58" i="5"/>
  <c r="BD58" i="5"/>
  <c r="AF233" i="1"/>
  <c r="AF234" i="1" s="1"/>
  <c r="AL215" i="5"/>
  <c r="AA116" i="1"/>
  <c r="F19" i="128" s="1"/>
  <c r="BF367" i="1"/>
  <c r="BO82" i="1"/>
  <c r="BO372" i="1" s="1"/>
  <c r="BO376" i="1" s="1"/>
  <c r="EG9" i="1"/>
  <c r="EG87" i="1" s="1"/>
  <c r="AK171" i="6"/>
  <c r="Z215" i="5"/>
  <c r="BF353" i="1"/>
  <c r="BI58" i="5"/>
  <c r="BC59" i="1"/>
  <c r="BF224" i="1"/>
  <c r="BF229" i="1" s="1"/>
  <c r="Z216" i="5"/>
  <c r="BF364" i="1"/>
  <c r="BF365" i="1" s="1"/>
  <c r="BL357" i="1"/>
  <c r="CE38" i="1"/>
  <c r="AK169" i="6"/>
  <c r="BK353" i="1"/>
  <c r="EF75" i="1"/>
  <c r="EF77" i="1"/>
  <c r="BK364" i="1"/>
  <c r="BQ336" i="1"/>
  <c r="DD14" i="6"/>
  <c r="EF39" i="1"/>
  <c r="EF78" i="1" s="1"/>
  <c r="EF76" i="1"/>
  <c r="BH365" i="1"/>
  <c r="AH54" i="5"/>
  <c r="AG54" i="5"/>
  <c r="BR58" i="5"/>
  <c r="AE215" i="5"/>
  <c r="AJ215" i="5" s="1"/>
  <c r="DT14" i="6"/>
  <c r="DG14" i="6"/>
  <c r="DG206" i="5"/>
  <c r="CT206" i="5"/>
  <c r="CU205" i="5"/>
  <c r="CV205" i="5" s="1"/>
  <c r="CW205" i="5" s="1"/>
  <c r="CX205" i="5" s="1"/>
  <c r="CY205" i="5" s="1"/>
  <c r="DQ37" i="1"/>
  <c r="DH14" i="6"/>
  <c r="DH206" i="5"/>
  <c r="DN37" i="1"/>
  <c r="DR37" i="1"/>
  <c r="DK14" i="6"/>
  <c r="DK206" i="5"/>
  <c r="DU37" i="1"/>
  <c r="BC49" i="5"/>
  <c r="CN83" i="5"/>
  <c r="CO83" i="5" s="1"/>
  <c r="U54" i="5"/>
  <c r="V54" i="5" s="1"/>
  <c r="CL11" i="5"/>
  <c r="BO38" i="6"/>
  <c r="BO150" i="1" s="1"/>
  <c r="BS250" i="1"/>
  <c r="CD250" i="1"/>
  <c r="CE250" i="1" s="1"/>
  <c r="BA49" i="5"/>
  <c r="AT210" i="5"/>
  <c r="AL216" i="5"/>
  <c r="AU101" i="1"/>
  <c r="AX210" i="5"/>
  <c r="AX217" i="5" s="1"/>
  <c r="BF9" i="1"/>
  <c r="BC436" i="1"/>
  <c r="BD436" i="1"/>
  <c r="BE436" i="1"/>
  <c r="BF436" i="1" s="1"/>
  <c r="BG436" i="1"/>
  <c r="AX216" i="5"/>
  <c r="AX215" i="5"/>
  <c r="AE216" i="5"/>
  <c r="AF209" i="5"/>
  <c r="AF215" i="5" s="1"/>
  <c r="BB218" i="5"/>
  <c r="BB215" i="5"/>
  <c r="AU27" i="6"/>
  <c r="AU38" i="6" s="1"/>
  <c r="AU88" i="6" s="1"/>
  <c r="BK78" i="1"/>
  <c r="EL78" i="1" s="1"/>
  <c r="BK48" i="1"/>
  <c r="BK51" i="1" s="1"/>
  <c r="BK84" i="1" s="1"/>
  <c r="EL84" i="1" s="1"/>
  <c r="BK442" i="1"/>
  <c r="BK41" i="1"/>
  <c r="BX73" i="5"/>
  <c r="AW38" i="6"/>
  <c r="AW88" i="6" s="1"/>
  <c r="AF221" i="5"/>
  <c r="AF37" i="5"/>
  <c r="AE48" i="5"/>
  <c r="BF361" i="1"/>
  <c r="AU361" i="1"/>
  <c r="AX361" i="1"/>
  <c r="BC362" i="1" s="1"/>
  <c r="BN362" i="1"/>
  <c r="AL361" i="1"/>
  <c r="AP361" i="1"/>
  <c r="BG361" i="1"/>
  <c r="BL361" i="1"/>
  <c r="BK361" i="1"/>
  <c r="BA229" i="1"/>
  <c r="EK39" i="1"/>
  <c r="BK106" i="1"/>
  <c r="EL106" i="1" s="1"/>
  <c r="L64" i="1"/>
  <c r="X48" i="1"/>
  <c r="X61" i="1" s="1"/>
  <c r="S48" i="1"/>
  <c r="T48" i="1"/>
  <c r="AJ82" i="1"/>
  <c r="AJ372" i="1" s="1"/>
  <c r="AJ51" i="1"/>
  <c r="CC208" i="1"/>
  <c r="CC224" i="1" s="1"/>
  <c r="BF78" i="1"/>
  <c r="EK78" i="1" s="1"/>
  <c r="BC356" i="1"/>
  <c r="BC357" i="1"/>
  <c r="BH357" i="1"/>
  <c r="CE389" i="1"/>
  <c r="AN48" i="1"/>
  <c r="BO160" i="1"/>
  <c r="BO165" i="1" s="1"/>
  <c r="BO189" i="1" s="1"/>
  <c r="BO64" i="1"/>
  <c r="BO71" i="5"/>
  <c r="BO74" i="5" s="1"/>
  <c r="BO75" i="5" s="1"/>
  <c r="BO76" i="5" s="1"/>
  <c r="BO84" i="1"/>
  <c r="AB189" i="1"/>
  <c r="R65" i="5"/>
  <c r="R48" i="1"/>
  <c r="T65" i="5"/>
  <c r="S65" i="5"/>
  <c r="BV102" i="6"/>
  <c r="CA415" i="1"/>
  <c r="CC410" i="1"/>
  <c r="BS78" i="1"/>
  <c r="BS41" i="1"/>
  <c r="BS48" i="1"/>
  <c r="BS106" i="1"/>
  <c r="BS442" i="1"/>
  <c r="BS187" i="1"/>
  <c r="BS229" i="5" s="1"/>
  <c r="CC176" i="1"/>
  <c r="CE176" i="1" s="1"/>
  <c r="BS224" i="1"/>
  <c r="BU208" i="1"/>
  <c r="BK357" i="1"/>
  <c r="AW51" i="1"/>
  <c r="AW82" i="1"/>
  <c r="AW372" i="1" s="1"/>
  <c r="AS48" i="1"/>
  <c r="BN63" i="1"/>
  <c r="BJ51" i="1"/>
  <c r="BJ82" i="1"/>
  <c r="BM79" i="1"/>
  <c r="BM107" i="1"/>
  <c r="BP105" i="1"/>
  <c r="EM105" i="1" s="1"/>
  <c r="EM34" i="1"/>
  <c r="BP104" i="1"/>
  <c r="EM104" i="1" s="1"/>
  <c r="EM33" i="1"/>
  <c r="BM51" i="1"/>
  <c r="BM82" i="1"/>
  <c r="BM372" i="1" s="1"/>
  <c r="EE76" i="1"/>
  <c r="EE75" i="1"/>
  <c r="EE79" i="1"/>
  <c r="EE39" i="1"/>
  <c r="EE78" i="1" s="1"/>
  <c r="EE77" i="1"/>
  <c r="BD357" i="1"/>
  <c r="AY356" i="1"/>
  <c r="BN64" i="1"/>
  <c r="BN160" i="1"/>
  <c r="BN71" i="5"/>
  <c r="BN74" i="5" s="1"/>
  <c r="BN75" i="5" s="1"/>
  <c r="BN76" i="5" s="1"/>
  <c r="BN84" i="1"/>
  <c r="BP211" i="5"/>
  <c r="AW79" i="1"/>
  <c r="BC95" i="6"/>
  <c r="BC92" i="6"/>
  <c r="B48" i="1"/>
  <c r="AY209" i="5"/>
  <c r="AY437" i="1"/>
  <c r="AR48" i="1"/>
  <c r="BC442" i="1"/>
  <c r="BB65" i="5"/>
  <c r="BK189" i="1"/>
  <c r="BF53" i="5"/>
  <c r="BE51" i="1"/>
  <c r="BE52" i="5" s="1"/>
  <c r="BE82" i="1"/>
  <c r="AH48" i="1"/>
  <c r="Z48" i="1"/>
  <c r="Z61" i="1" s="1"/>
  <c r="AA59" i="1"/>
  <c r="AL48" i="1"/>
  <c r="W48" i="1"/>
  <c r="W61" i="1" s="1"/>
  <c r="BI448" i="1"/>
  <c r="BQ372" i="1"/>
  <c r="BD233" i="1"/>
  <c r="BD228" i="1"/>
  <c r="BD235" i="1" s="1"/>
  <c r="BD236" i="1" s="1"/>
  <c r="BG82" i="1"/>
  <c r="BG51" i="1"/>
  <c r="BG107" i="1"/>
  <c r="BG79" i="1"/>
  <c r="BF106" i="1"/>
  <c r="EK106" i="1" s="1"/>
  <c r="BA78" i="1"/>
  <c r="BA48" i="1"/>
  <c r="BR79" i="1"/>
  <c r="BR448" i="1"/>
  <c r="BR107" i="1"/>
  <c r="BR82" i="1"/>
  <c r="BR51" i="1"/>
  <c r="BJ58" i="5"/>
  <c r="BK58" i="5" s="1"/>
  <c r="BJ57" i="5"/>
  <c r="BK57" i="5" s="1"/>
  <c r="BK53" i="5"/>
  <c r="CE384" i="1"/>
  <c r="CB385" i="1"/>
  <c r="EM134" i="1"/>
  <c r="BP364" i="1"/>
  <c r="AG361" i="1"/>
  <c r="AK361" i="1"/>
  <c r="AF361" i="1"/>
  <c r="AH215" i="5"/>
  <c r="AI215" i="5" s="1"/>
  <c r="Z60" i="1"/>
  <c r="V59" i="1"/>
  <c r="U60" i="1"/>
  <c r="BP102" i="6"/>
  <c r="BP415" i="1"/>
  <c r="BP107" i="6" s="1"/>
  <c r="BP411" i="1"/>
  <c r="BP103" i="6" s="1"/>
  <c r="BP355" i="1"/>
  <c r="BP369" i="1"/>
  <c r="BJ410" i="1"/>
  <c r="BJ71" i="6"/>
  <c r="BJ158" i="6"/>
  <c r="BJ226" i="5"/>
  <c r="BK226" i="5" s="1"/>
  <c r="BJ97" i="6"/>
  <c r="BJ63" i="1"/>
  <c r="AO94" i="6"/>
  <c r="AW91" i="6"/>
  <c r="AW95" i="6" s="1"/>
  <c r="BA361" i="1"/>
  <c r="AO54" i="6"/>
  <c r="AH216" i="5"/>
  <c r="AN74" i="6"/>
  <c r="AO48" i="1"/>
  <c r="AX442" i="1"/>
  <c r="BP353" i="1"/>
  <c r="BF41" i="6"/>
  <c r="BF49" i="6"/>
  <c r="EG73" i="6"/>
  <c r="AX60" i="1"/>
  <c r="CZ383" i="1"/>
  <c r="CY383" i="1"/>
  <c r="AI56" i="5"/>
  <c r="AG56" i="5"/>
  <c r="AE56" i="5"/>
  <c r="AF56" i="5" s="1"/>
  <c r="AH56" i="5"/>
  <c r="EG63" i="6"/>
  <c r="AG48" i="1"/>
  <c r="BB60" i="1"/>
  <c r="DB386" i="1"/>
  <c r="CY386" i="1"/>
  <c r="BV179" i="5"/>
  <c r="BV95" i="5" s="1"/>
  <c r="BW179" i="5" s="1"/>
  <c r="BZ179" i="5" s="1"/>
  <c r="EK44" i="6"/>
  <c r="BZ94" i="6"/>
  <c r="AJ94" i="6"/>
  <c r="AM87" i="1"/>
  <c r="AK9" i="1"/>
  <c r="H10" i="128" s="1"/>
  <c r="U48" i="1"/>
  <c r="U65" i="5"/>
  <c r="V65" i="5" s="1"/>
  <c r="W65" i="5"/>
  <c r="U53" i="5"/>
  <c r="X65" i="5"/>
  <c r="V209" i="5"/>
  <c r="V215" i="5" s="1"/>
  <c r="U215" i="5"/>
  <c r="CJ308" i="1"/>
  <c r="Q48" i="1"/>
  <c r="BF9" i="6"/>
  <c r="AE48" i="1"/>
  <c r="AM88" i="6"/>
  <c r="AM91" i="6" s="1"/>
  <c r="AM74" i="6"/>
  <c r="AU59" i="1"/>
  <c r="AT60" i="1"/>
  <c r="AW60" i="1"/>
  <c r="BF94" i="6"/>
  <c r="EG44" i="6"/>
  <c r="AF171" i="6"/>
  <c r="AF169" i="6"/>
  <c r="BE60" i="1"/>
  <c r="AZ60" i="1"/>
  <c r="EJ59" i="1"/>
  <c r="AW361" i="1"/>
  <c r="AZ87" i="1"/>
  <c r="BB436" i="1"/>
  <c r="AD49" i="5"/>
  <c r="W60" i="1"/>
  <c r="BU411" i="1"/>
  <c r="N42" i="128" s="1"/>
  <c r="N43" i="128" s="1"/>
  <c r="AH88" i="6"/>
  <c r="AH91" i="6" s="1"/>
  <c r="AH74" i="6"/>
  <c r="AT38" i="6"/>
  <c r="EF44" i="6"/>
  <c r="BA94" i="6"/>
  <c r="AR74" i="6"/>
  <c r="AR88" i="6"/>
  <c r="AR91" i="6" s="1"/>
  <c r="W87" i="1"/>
  <c r="BH60" i="1"/>
  <c r="AP169" i="6"/>
  <c r="AP171" i="6"/>
  <c r="ED44" i="6"/>
  <c r="X60" i="1"/>
  <c r="X92" i="6"/>
  <c r="X95" i="6"/>
  <c r="BC175" i="6"/>
  <c r="BR95" i="6"/>
  <c r="BR92" i="6"/>
  <c r="AA48" i="1"/>
  <c r="AC218" i="5"/>
  <c r="AC215" i="5"/>
  <c r="AC216" i="5"/>
  <c r="BU106" i="5"/>
  <c r="DQ383" i="1"/>
  <c r="AF87" i="1"/>
  <c r="AM216" i="5"/>
  <c r="AM215" i="5"/>
  <c r="AM218" i="5"/>
  <c r="BE106" i="1"/>
  <c r="AZ78" i="1"/>
  <c r="BB447" i="1"/>
  <c r="AZ41" i="1"/>
  <c r="BD448" i="1" s="1"/>
  <c r="AZ48" i="1"/>
  <c r="BD447" i="1"/>
  <c r="AI218" i="5"/>
  <c r="AI216" i="5"/>
  <c r="AB216" i="5"/>
  <c r="AB215" i="5"/>
  <c r="AB218" i="5"/>
  <c r="EG61" i="6"/>
  <c r="BF179" i="6"/>
  <c r="AQ87" i="1"/>
  <c r="EH9" i="1"/>
  <c r="AL87" i="1"/>
  <c r="AP9" i="1"/>
  <c r="I10" i="128" s="1"/>
  <c r="BG87" i="1"/>
  <c r="BJ436" i="1"/>
  <c r="BK436" i="1" s="1"/>
  <c r="BK9" i="1"/>
  <c r="L10" i="128" s="1"/>
  <c r="BF48" i="5"/>
  <c r="AJ27" i="6"/>
  <c r="ED27" i="6" s="1"/>
  <c r="AJ218" i="5"/>
  <c r="AJ216" i="5"/>
  <c r="AK209" i="5"/>
  <c r="BD63" i="1"/>
  <c r="EG12" i="6"/>
  <c r="AS88" i="6"/>
  <c r="AS91" i="6" s="1"/>
  <c r="AS175" i="6"/>
  <c r="AC53" i="5"/>
  <c r="AC57" i="5" s="1"/>
  <c r="AC48" i="1"/>
  <c r="AC447" i="1"/>
  <c r="AC65" i="5"/>
  <c r="BD445" i="1"/>
  <c r="BI445" i="1"/>
  <c r="BF164" i="1"/>
  <c r="BD165" i="1"/>
  <c r="BD189" i="1" s="1"/>
  <c r="BD192" i="1" s="1"/>
  <c r="AX27" i="6"/>
  <c r="BA30" i="6"/>
  <c r="AI38" i="6"/>
  <c r="AI150" i="1" s="1"/>
  <c r="AI152" i="1" s="1"/>
  <c r="AP49" i="5"/>
  <c r="EG30" i="6"/>
  <c r="AO88" i="6"/>
  <c r="EE38" i="6"/>
  <c r="AQ175" i="6"/>
  <c r="AO175" i="6"/>
  <c r="AP175" i="6" s="1"/>
  <c r="AR175" i="6"/>
  <c r="AU54" i="6"/>
  <c r="AU90" i="6"/>
  <c r="AX90" i="6"/>
  <c r="AX54" i="6"/>
  <c r="BK215" i="5"/>
  <c r="BK218" i="5"/>
  <c r="BK216" i="5"/>
  <c r="AE54" i="6"/>
  <c r="AC91" i="6"/>
  <c r="CI208" i="1"/>
  <c r="BS88" i="6"/>
  <c r="BS91" i="6" s="1"/>
  <c r="EF66" i="6"/>
  <c r="BA97" i="6"/>
  <c r="BA167" i="6" s="1"/>
  <c r="AO447" i="1"/>
  <c r="AP447" i="1" s="1"/>
  <c r="AN447" i="1"/>
  <c r="AM48" i="1"/>
  <c r="AM447" i="1"/>
  <c r="AN65" i="5"/>
  <c r="AO53" i="5"/>
  <c r="AM65" i="5"/>
  <c r="AM53" i="5"/>
  <c r="AM57" i="5" s="1"/>
  <c r="AN53" i="5"/>
  <c r="AN57" i="5" s="1"/>
  <c r="AO65" i="5"/>
  <c r="AP65" i="5" s="1"/>
  <c r="BN92" i="6"/>
  <c r="BN95" i="6"/>
  <c r="AI447" i="1"/>
  <c r="AI48" i="1"/>
  <c r="AJ65" i="5"/>
  <c r="AK65" i="5" s="1"/>
  <c r="AL447" i="1"/>
  <c r="AJ447" i="1"/>
  <c r="AK447" i="1" s="1"/>
  <c r="AJ53" i="5"/>
  <c r="AL53" i="5"/>
  <c r="AL57" i="5" s="1"/>
  <c r="AL65" i="5"/>
  <c r="AI65" i="5"/>
  <c r="AI53" i="5"/>
  <c r="AI57" i="5" s="1"/>
  <c r="BU90" i="6"/>
  <c r="EJ43" i="6"/>
  <c r="BA356" i="1"/>
  <c r="BF357" i="1"/>
  <c r="BJ445" i="1"/>
  <c r="BO445" i="1"/>
  <c r="Y48" i="1"/>
  <c r="AB447" i="1"/>
  <c r="Y65" i="5"/>
  <c r="AB65" i="5"/>
  <c r="AB53" i="5"/>
  <c r="AB57" i="5" s="1"/>
  <c r="Z65" i="5"/>
  <c r="AA65" i="5" s="1"/>
  <c r="Z53" i="5"/>
  <c r="CM308" i="1"/>
  <c r="CM38" i="1" s="1"/>
  <c r="BD74" i="6"/>
  <c r="BF71" i="6"/>
  <c r="AD216" i="5"/>
  <c r="AD215" i="5"/>
  <c r="AD218" i="5"/>
  <c r="AE71" i="6"/>
  <c r="BI87" i="1"/>
  <c r="EG42" i="6"/>
  <c r="BA169" i="6"/>
  <c r="BA54" i="6"/>
  <c r="EF54" i="6" s="1"/>
  <c r="BA90" i="6"/>
  <c r="EF43" i="6"/>
  <c r="AN218" i="5"/>
  <c r="AN216" i="5"/>
  <c r="AN215" i="5"/>
  <c r="BE49" i="5"/>
  <c r="AP215" i="5"/>
  <c r="AP218" i="5"/>
  <c r="AP216" i="5"/>
  <c r="BD88" i="6"/>
  <c r="BD91" i="6" s="1"/>
  <c r="BD107" i="1"/>
  <c r="BD79" i="1"/>
  <c r="CL308" i="1"/>
  <c r="CL38" i="1" s="1"/>
  <c r="EF63" i="6"/>
  <c r="EG39" i="1"/>
  <c r="EG76" i="1"/>
  <c r="EG75" i="1"/>
  <c r="EG77" i="1"/>
  <c r="EG99" i="1"/>
  <c r="CA224" i="1"/>
  <c r="CA59" i="1" s="1"/>
  <c r="CN308" i="1"/>
  <c r="CN38" i="1" s="1"/>
  <c r="EJ72" i="1"/>
  <c r="EJ39" i="1"/>
  <c r="EJ101" i="1"/>
  <c r="Y63" i="1"/>
  <c r="BJ79" i="1"/>
  <c r="BJ448" i="1"/>
  <c r="BK448" i="1" s="1"/>
  <c r="BJ107" i="1"/>
  <c r="BO107" i="1"/>
  <c r="AQ48" i="1"/>
  <c r="AX447" i="1"/>
  <c r="AR447" i="1"/>
  <c r="BA442" i="1"/>
  <c r="BB442" i="1"/>
  <c r="AQ447" i="1"/>
  <c r="AS53" i="5"/>
  <c r="AS57" i="5" s="1"/>
  <c r="AT53" i="5"/>
  <c r="AQ53" i="5"/>
  <c r="AQ57" i="5" s="1"/>
  <c r="AT65" i="5"/>
  <c r="AU65" i="5" s="1"/>
  <c r="AS65" i="5"/>
  <c r="AR65" i="5"/>
  <c r="AW447" i="1"/>
  <c r="AQ65" i="5"/>
  <c r="AR53" i="5"/>
  <c r="AR57" i="5" s="1"/>
  <c r="AQ218" i="5"/>
  <c r="AQ215" i="5"/>
  <c r="AQ216" i="5"/>
  <c r="BR57" i="5"/>
  <c r="AE27" i="6"/>
  <c r="EC27" i="6" s="1"/>
  <c r="EI71" i="6"/>
  <c r="EF36" i="6"/>
  <c r="BU97" i="6"/>
  <c r="EJ66" i="6"/>
  <c r="AD447" i="1"/>
  <c r="AE53" i="5"/>
  <c r="AG447" i="1"/>
  <c r="AD48" i="1"/>
  <c r="AE447" i="1"/>
  <c r="AF447" i="1" s="1"/>
  <c r="AH447" i="1"/>
  <c r="AG65" i="5"/>
  <c r="AH65" i="5"/>
  <c r="AD53" i="5"/>
  <c r="AD57" i="5" s="1"/>
  <c r="AD65" i="5"/>
  <c r="AH53" i="5"/>
  <c r="AG53" i="5"/>
  <c r="AE65" i="5"/>
  <c r="AF65" i="5" s="1"/>
  <c r="CO303" i="1"/>
  <c r="EB54" i="6"/>
  <c r="CH176" i="1"/>
  <c r="CH208" i="1"/>
  <c r="BF444" i="1"/>
  <c r="BK445" i="1" s="1"/>
  <c r="BF171" i="6"/>
  <c r="BF443" i="1"/>
  <c r="EG11" i="6"/>
  <c r="BF41" i="1"/>
  <c r="ED32" i="6"/>
  <c r="BF215" i="5"/>
  <c r="BF216" i="5"/>
  <c r="BF218" i="5"/>
  <c r="EH54" i="6"/>
  <c r="BM95" i="6"/>
  <c r="BM92" i="6"/>
  <c r="EC62" i="6"/>
  <c r="BP60" i="1"/>
  <c r="Y74" i="6"/>
  <c r="Y88" i="6"/>
  <c r="Y91" i="6" s="1"/>
  <c r="Y95" i="6" s="1"/>
  <c r="BC84" i="1"/>
  <c r="BC64" i="1"/>
  <c r="BC160" i="1"/>
  <c r="BC71" i="5"/>
  <c r="V77" i="6"/>
  <c r="AX17" i="6"/>
  <c r="CB59" i="1"/>
  <c r="EG62" i="6"/>
  <c r="BS74" i="6"/>
  <c r="BH160" i="1"/>
  <c r="BH113" i="1"/>
  <c r="BH84" i="1"/>
  <c r="BH64" i="1"/>
  <c r="BH71" i="5"/>
  <c r="BF54" i="6"/>
  <c r="BI436" i="1"/>
  <c r="Z38" i="6"/>
  <c r="EB38" i="6" s="1"/>
  <c r="AT216" i="5"/>
  <c r="AT215" i="5"/>
  <c r="AT218" i="5"/>
  <c r="AU209" i="5"/>
  <c r="AR216" i="5"/>
  <c r="AR215" i="5"/>
  <c r="AR218" i="5"/>
  <c r="V48" i="1"/>
  <c r="BQ57" i="5"/>
  <c r="AD38" i="6"/>
  <c r="AD150" i="1" s="1"/>
  <c r="AD152" i="1" s="1"/>
  <c r="EE71" i="6"/>
  <c r="BE38" i="6"/>
  <c r="BE150" i="1" s="1"/>
  <c r="BE152" i="1" s="1"/>
  <c r="BE79" i="1"/>
  <c r="BH448" i="1"/>
  <c r="BE448" i="1"/>
  <c r="BF448" i="1" s="1"/>
  <c r="BG448" i="1"/>
  <c r="BE445" i="1" l="1"/>
  <c r="BK59" i="1"/>
  <c r="FB38" i="1"/>
  <c r="BP384" i="1"/>
  <c r="BP385" i="1" s="1"/>
  <c r="AX164" i="1"/>
  <c r="BA164" i="1" s="1"/>
  <c r="BA11" i="6"/>
  <c r="AX41" i="1"/>
  <c r="EJ41" i="1" s="1"/>
  <c r="EE54" i="6"/>
  <c r="AO74" i="6"/>
  <c r="BK71" i="6"/>
  <c r="BQ52" i="5"/>
  <c r="BQ59" i="5" s="1"/>
  <c r="ED54" i="6"/>
  <c r="AK54" i="6"/>
  <c r="CK176" i="1"/>
  <c r="BB362" i="1"/>
  <c r="DN173" i="1"/>
  <c r="AU39" i="6"/>
  <c r="AS74" i="6"/>
  <c r="EG33" i="6"/>
  <c r="CX391" i="1"/>
  <c r="DC391" i="1" s="1"/>
  <c r="DH391" i="1" s="1"/>
  <c r="DM391" i="1" s="1"/>
  <c r="DR391" i="1" s="1"/>
  <c r="DW391" i="1" s="1"/>
  <c r="EB391" i="1" s="1"/>
  <c r="CW391" i="1"/>
  <c r="DB391" i="1" s="1"/>
  <c r="DG391" i="1" s="1"/>
  <c r="DL391" i="1" s="1"/>
  <c r="DQ391" i="1" s="1"/>
  <c r="DV391" i="1" s="1"/>
  <c r="EA391" i="1" s="1"/>
  <c r="BQ84" i="1"/>
  <c r="CU29" i="5"/>
  <c r="CU45" i="5"/>
  <c r="DU173" i="1"/>
  <c r="CJ21" i="5"/>
  <c r="CL21" i="5" s="1"/>
  <c r="CM21" i="5" s="1"/>
  <c r="CN21" i="5" s="1"/>
  <c r="CC41" i="5"/>
  <c r="BQ160" i="1"/>
  <c r="BQ165" i="1" s="1"/>
  <c r="BQ189" i="1" s="1"/>
  <c r="CL29" i="6"/>
  <c r="DR173" i="1"/>
  <c r="DQ173" i="1"/>
  <c r="CJ20" i="5"/>
  <c r="CU14" i="5"/>
  <c r="BZ46" i="5"/>
  <c r="BY72" i="5"/>
  <c r="CJ18" i="5"/>
  <c r="CJ19" i="5"/>
  <c r="CJ36" i="5"/>
  <c r="CJ35" i="5"/>
  <c r="CJ34" i="5"/>
  <c r="CN208" i="1"/>
  <c r="CM208" i="1"/>
  <c r="CL208" i="1"/>
  <c r="BQ64" i="1"/>
  <c r="BD373" i="1"/>
  <c r="BP120" i="1"/>
  <c r="CD46" i="5"/>
  <c r="CC72" i="5"/>
  <c r="CQ390" i="1"/>
  <c r="AX38" i="6"/>
  <c r="AX88" i="6" s="1"/>
  <c r="AX91" i="6" s="1"/>
  <c r="AX95" i="6" s="1"/>
  <c r="BO152" i="1"/>
  <c r="EI106" i="1"/>
  <c r="CK208" i="1"/>
  <c r="AE120" i="1"/>
  <c r="Z120" i="1"/>
  <c r="CG176" i="1"/>
  <c r="CJ176" i="1" s="1"/>
  <c r="CJ38" i="1"/>
  <c r="BO373" i="1"/>
  <c r="AG120" i="1"/>
  <c r="BG362" i="1"/>
  <c r="EH78" i="1"/>
  <c r="CF392" i="1"/>
  <c r="CF410" i="1"/>
  <c r="CJ208" i="1"/>
  <c r="CJ224" i="1" s="1"/>
  <c r="BI376" i="1"/>
  <c r="EH106" i="1"/>
  <c r="AY64" i="1"/>
  <c r="BD117" i="1" s="1"/>
  <c r="AY84" i="1"/>
  <c r="AY160" i="1"/>
  <c r="AY165" i="1" s="1"/>
  <c r="AY189" i="1" s="1"/>
  <c r="AY192" i="1" s="1"/>
  <c r="AY43" i="1" s="1"/>
  <c r="AY80" i="1" s="1"/>
  <c r="AX71" i="5"/>
  <c r="AX74" i="5" s="1"/>
  <c r="AX75" i="5" s="1"/>
  <c r="AX76" i="5" s="1"/>
  <c r="AY196" i="1"/>
  <c r="AY198" i="1" s="1"/>
  <c r="AY226" i="1" s="1"/>
  <c r="AY228" i="1" s="1"/>
  <c r="AY235" i="1" s="1"/>
  <c r="AY236" i="1" s="1"/>
  <c r="BQ120" i="1"/>
  <c r="AF120" i="1"/>
  <c r="CC59" i="1"/>
  <c r="CE224" i="1"/>
  <c r="DC307" i="1"/>
  <c r="DD307" i="1" s="1"/>
  <c r="CY307" i="1"/>
  <c r="CX303" i="1"/>
  <c r="CT303" i="1"/>
  <c r="AU210" i="5"/>
  <c r="AU217" i="5" s="1"/>
  <c r="AT217" i="5"/>
  <c r="DE302" i="1"/>
  <c r="AX58" i="6"/>
  <c r="AX99" i="6" s="1"/>
  <c r="AT99" i="6"/>
  <c r="AT71" i="6"/>
  <c r="BB175" i="6"/>
  <c r="AX150" i="1"/>
  <c r="AX152" i="1" s="1"/>
  <c r="AT150" i="1"/>
  <c r="AT152" i="1" s="1"/>
  <c r="AT179" i="6"/>
  <c r="BF151" i="1"/>
  <c r="BF90" i="6"/>
  <c r="EG90" i="6" s="1"/>
  <c r="EG43" i="6"/>
  <c r="BF169" i="6"/>
  <c r="EG15" i="6"/>
  <c r="AW99" i="6"/>
  <c r="AW71" i="6"/>
  <c r="AW74" i="6" s="1"/>
  <c r="CN165" i="5"/>
  <c r="CO165" i="5" s="1"/>
  <c r="EK9" i="1"/>
  <c r="K10" i="128"/>
  <c r="L11" i="128" s="1"/>
  <c r="I23" i="128"/>
  <c r="H23" i="128"/>
  <c r="BI64" i="1"/>
  <c r="BA57" i="6"/>
  <c r="BH373" i="1"/>
  <c r="BE58" i="5"/>
  <c r="BF58" i="5" s="1"/>
  <c r="AB82" i="1"/>
  <c r="AB372" i="1" s="1"/>
  <c r="EG35" i="6"/>
  <c r="BE57" i="5"/>
  <c r="BF57" i="5" s="1"/>
  <c r="BE372" i="1"/>
  <c r="BE376" i="1" s="1"/>
  <c r="BC372" i="1"/>
  <c r="BC373" i="1" s="1"/>
  <c r="BG372" i="1"/>
  <c r="BG373" i="1" s="1"/>
  <c r="BJ372" i="1"/>
  <c r="BJ373" i="1" s="1"/>
  <c r="AA215" i="5"/>
  <c r="BB75" i="5"/>
  <c r="BB76" i="5" s="1"/>
  <c r="BB42" i="1"/>
  <c r="CB122" i="1"/>
  <c r="BI71" i="5"/>
  <c r="BI74" i="5" s="1"/>
  <c r="BI75" i="5" s="1"/>
  <c r="BI76" i="5" s="1"/>
  <c r="BI84" i="1"/>
  <c r="BB196" i="1"/>
  <c r="BB198" i="1" s="1"/>
  <c r="BB226" i="1" s="1"/>
  <c r="BB228" i="1" s="1"/>
  <c r="BB235" i="1" s="1"/>
  <c r="BB236" i="1" s="1"/>
  <c r="BN113" i="1"/>
  <c r="BS448" i="1"/>
  <c r="AT71" i="5"/>
  <c r="AT74" i="5" s="1"/>
  <c r="AT75" i="5" s="1"/>
  <c r="AT76" i="5" s="1"/>
  <c r="AT82" i="1"/>
  <c r="AJ120" i="1"/>
  <c r="AY175" i="6"/>
  <c r="AZ175" i="6"/>
  <c r="BD175" i="6"/>
  <c r="AT175" i="6"/>
  <c r="AT74" i="6"/>
  <c r="AT88" i="6"/>
  <c r="AT91" i="6" s="1"/>
  <c r="AT95" i="6" s="1"/>
  <c r="BK365" i="1"/>
  <c r="BF120" i="1"/>
  <c r="AM120" i="1"/>
  <c r="AR120" i="1"/>
  <c r="BE126" i="1"/>
  <c r="AC120" i="1"/>
  <c r="BC126" i="1"/>
  <c r="EK139" i="1"/>
  <c r="EJ139" i="1"/>
  <c r="BH131" i="1"/>
  <c r="CP82" i="5"/>
  <c r="DW97" i="5"/>
  <c r="AD120" i="1"/>
  <c r="BH126" i="1"/>
  <c r="AI120" i="1"/>
  <c r="BK120" i="1"/>
  <c r="AS120" i="1"/>
  <c r="AH120" i="1"/>
  <c r="AL120" i="1"/>
  <c r="AQ120" i="1"/>
  <c r="AN120" i="1"/>
  <c r="BD126" i="1"/>
  <c r="BI126" i="1"/>
  <c r="BB120" i="1"/>
  <c r="AU120" i="1"/>
  <c r="BJ126" i="1"/>
  <c r="AP120" i="1"/>
  <c r="BZ151" i="6"/>
  <c r="CC404" i="1"/>
  <c r="CC405" i="1" s="1"/>
  <c r="CC399" i="1"/>
  <c r="CC400" i="1" s="1"/>
  <c r="DF386" i="1"/>
  <c r="DA389" i="1"/>
  <c r="CB407" i="1"/>
  <c r="CJ390" i="1"/>
  <c r="CS389" i="1"/>
  <c r="CT389" i="1" s="1"/>
  <c r="CU390" i="1" s="1"/>
  <c r="CV390" i="1"/>
  <c r="CW389" i="1"/>
  <c r="CW390" i="1" s="1"/>
  <c r="CN167" i="5"/>
  <c r="CO167" i="5" s="1"/>
  <c r="AX373" i="1"/>
  <c r="BF82" i="1"/>
  <c r="EK48" i="1"/>
  <c r="BU415" i="1"/>
  <c r="BU107" i="6" s="1"/>
  <c r="DU206" i="5"/>
  <c r="AU74" i="6"/>
  <c r="BU151" i="6"/>
  <c r="BZ154" i="6"/>
  <c r="BP151" i="6"/>
  <c r="BY90" i="6"/>
  <c r="BY54" i="6"/>
  <c r="BH129" i="1"/>
  <c r="EF67" i="6"/>
  <c r="BA380" i="1"/>
  <c r="BA98" i="6"/>
  <c r="BA178" i="6"/>
  <c r="BP250" i="1"/>
  <c r="BU250" i="1"/>
  <c r="BQ277" i="1"/>
  <c r="BO272" i="1"/>
  <c r="BO277" i="1"/>
  <c r="BL272" i="1"/>
  <c r="BN272" i="1"/>
  <c r="BN277" i="1"/>
  <c r="BS57" i="5"/>
  <c r="G51" i="1"/>
  <c r="G64" i="1" s="1"/>
  <c r="BC113" i="1"/>
  <c r="EO38" i="1"/>
  <c r="AX84" i="1"/>
  <c r="BC173" i="6"/>
  <c r="AX160" i="1"/>
  <c r="AX165" i="1" s="1"/>
  <c r="AX189" i="1" s="1"/>
  <c r="AX196" i="1"/>
  <c r="AX198" i="1" s="1"/>
  <c r="AX226" i="1" s="1"/>
  <c r="BD52" i="5"/>
  <c r="BD59" i="5" s="1"/>
  <c r="CE208" i="1"/>
  <c r="BD173" i="6"/>
  <c r="AX64" i="1"/>
  <c r="BK42" i="1"/>
  <c r="BI113" i="1"/>
  <c r="BI160" i="1"/>
  <c r="BF59" i="1"/>
  <c r="AA216" i="5"/>
  <c r="AK129" i="1"/>
  <c r="AT189" i="1"/>
  <c r="EL48" i="1"/>
  <c r="EF106" i="1"/>
  <c r="BB57" i="5"/>
  <c r="BQ175" i="6"/>
  <c r="AH57" i="5"/>
  <c r="BF362" i="1"/>
  <c r="BP362" i="1"/>
  <c r="BM113" i="1"/>
  <c r="BC60" i="1"/>
  <c r="BC63" i="1" s="1"/>
  <c r="BP365" i="1"/>
  <c r="AJ189" i="1"/>
  <c r="BC52" i="5"/>
  <c r="BC59" i="5" s="1"/>
  <c r="BQ173" i="6"/>
  <c r="BO175" i="6"/>
  <c r="BP175" i="6" s="1"/>
  <c r="BO88" i="6"/>
  <c r="BO91" i="6" s="1"/>
  <c r="BO95" i="6" s="1"/>
  <c r="BO74" i="6"/>
  <c r="BS175" i="6"/>
  <c r="BP38" i="6"/>
  <c r="BP150" i="1" s="1"/>
  <c r="BP152" i="1" s="1"/>
  <c r="AG57" i="5"/>
  <c r="BR175" i="6"/>
  <c r="BR173" i="6"/>
  <c r="DS37" i="1"/>
  <c r="DI14" i="6"/>
  <c r="CO38" i="1"/>
  <c r="DL14" i="6"/>
  <c r="DL206" i="5"/>
  <c r="DU14" i="6"/>
  <c r="DM14" i="6"/>
  <c r="DM206" i="5"/>
  <c r="DV37" i="1"/>
  <c r="DP14" i="6"/>
  <c r="DP206" i="5"/>
  <c r="DW37" i="1"/>
  <c r="CY206" i="5"/>
  <c r="CZ205" i="5"/>
  <c r="DA205" i="5" s="1"/>
  <c r="DB205" i="5" s="1"/>
  <c r="DC205" i="5" s="1"/>
  <c r="DD205" i="5" s="1"/>
  <c r="CN166" i="5"/>
  <c r="CO166" i="5" s="1"/>
  <c r="CP83" i="5"/>
  <c r="EK13" i="6"/>
  <c r="CM11" i="5"/>
  <c r="BE74" i="6"/>
  <c r="BR336" i="1"/>
  <c r="BQ337" i="1"/>
  <c r="CF250" i="1"/>
  <c r="AF218" i="5"/>
  <c r="AF216" i="5"/>
  <c r="BK362" i="1"/>
  <c r="BK64" i="1"/>
  <c r="BK71" i="5"/>
  <c r="BK74" i="5" s="1"/>
  <c r="BK75" i="5" s="1"/>
  <c r="BK76" i="5" s="1"/>
  <c r="EL51" i="1"/>
  <c r="BK82" i="1"/>
  <c r="BE107" i="1"/>
  <c r="BL292" i="1"/>
  <c r="BK79" i="1"/>
  <c r="EL79" i="1" s="1"/>
  <c r="EL41" i="1"/>
  <c r="BZ44" i="5"/>
  <c r="AE49" i="5"/>
  <c r="AF48" i="5"/>
  <c r="BS336" i="1"/>
  <c r="BL362" i="1"/>
  <c r="BQ361" i="1"/>
  <c r="S51" i="1"/>
  <c r="AJ233" i="1"/>
  <c r="AJ234" i="1" s="1"/>
  <c r="AJ71" i="5"/>
  <c r="AJ74" i="5" s="1"/>
  <c r="AJ75" i="5" s="1"/>
  <c r="AJ76" i="5" s="1"/>
  <c r="AJ64" i="1"/>
  <c r="AJ57" i="1"/>
  <c r="T51" i="1"/>
  <c r="X51" i="1"/>
  <c r="X82" i="1"/>
  <c r="X372" i="1" s="1"/>
  <c r="AJ376" i="1"/>
  <c r="AJ373" i="1"/>
  <c r="BV107" i="6"/>
  <c r="BV71" i="6"/>
  <c r="R51" i="1"/>
  <c r="BO196" i="1"/>
  <c r="BO198" i="1" s="1"/>
  <c r="BO226" i="1" s="1"/>
  <c r="BO235" i="1" s="1"/>
  <c r="BO236" i="1" s="1"/>
  <c r="BO192" i="1"/>
  <c r="AN189" i="1"/>
  <c r="BX102" i="6"/>
  <c r="CC415" i="1"/>
  <c r="AB190" i="1"/>
  <c r="AN82" i="1"/>
  <c r="AN372" i="1" s="1"/>
  <c r="AN51" i="1"/>
  <c r="AT160" i="1"/>
  <c r="AT64" i="1"/>
  <c r="AB71" i="5"/>
  <c r="AB74" i="5" s="1"/>
  <c r="AB75" i="5" s="1"/>
  <c r="AB76" i="5" s="1"/>
  <c r="AB64" i="1"/>
  <c r="AB57" i="1"/>
  <c r="BS79" i="1"/>
  <c r="BS107" i="1"/>
  <c r="BS59" i="1"/>
  <c r="BS82" i="1"/>
  <c r="BS51" i="1"/>
  <c r="BH52" i="5"/>
  <c r="BH59" i="5" s="1"/>
  <c r="AY216" i="5"/>
  <c r="AY215" i="5"/>
  <c r="AY218" i="5"/>
  <c r="AR51" i="1"/>
  <c r="AR82" i="1"/>
  <c r="AR372" i="1" s="1"/>
  <c r="BN165" i="1"/>
  <c r="BN189" i="1" s="1"/>
  <c r="BN192" i="1" s="1"/>
  <c r="BN196" i="1"/>
  <c r="BN198" i="1" s="1"/>
  <c r="BN226" i="1" s="1"/>
  <c r="BN235" i="1" s="1"/>
  <c r="BN236" i="1" s="1"/>
  <c r="AW373" i="1"/>
  <c r="AW376" i="1"/>
  <c r="B82" i="1"/>
  <c r="B51" i="1"/>
  <c r="BN376" i="1"/>
  <c r="BN373" i="1"/>
  <c r="AR189" i="1"/>
  <c r="AY448" i="1"/>
  <c r="BA448" i="1" s="1"/>
  <c r="BM373" i="1"/>
  <c r="BM376" i="1"/>
  <c r="BJ160" i="1"/>
  <c r="BJ84" i="1"/>
  <c r="BJ71" i="5"/>
  <c r="BJ74" i="5" s="1"/>
  <c r="BJ75" i="5" s="1"/>
  <c r="BJ76" i="5" s="1"/>
  <c r="BJ64" i="1"/>
  <c r="BO113" i="1"/>
  <c r="AW196" i="1"/>
  <c r="AW198" i="1" s="1"/>
  <c r="AW226" i="1" s="1"/>
  <c r="AW84" i="1"/>
  <c r="AW160" i="1"/>
  <c r="AW165" i="1" s="1"/>
  <c r="AW189" i="1" s="1"/>
  <c r="AW192" i="1" s="1"/>
  <c r="AW64" i="1"/>
  <c r="AS71" i="5"/>
  <c r="AS74" i="5" s="1"/>
  <c r="AS75" i="5" s="1"/>
  <c r="AS76" i="5" s="1"/>
  <c r="BB113" i="1"/>
  <c r="BM84" i="1"/>
  <c r="BM71" i="5"/>
  <c r="BM74" i="5" s="1"/>
  <c r="BM75" i="5" s="1"/>
  <c r="BM76" i="5" s="1"/>
  <c r="BM160" i="1"/>
  <c r="BM64" i="1"/>
  <c r="BM117" i="1" s="1"/>
  <c r="AS82" i="1"/>
  <c r="AS51" i="1"/>
  <c r="BE64" i="1"/>
  <c r="BE160" i="1"/>
  <c r="BF160" i="1" s="1"/>
  <c r="BJ113" i="1"/>
  <c r="BE84" i="1"/>
  <c r="BE71" i="5"/>
  <c r="BE74" i="5" s="1"/>
  <c r="BE75" i="5" s="1"/>
  <c r="BE76" i="5" s="1"/>
  <c r="AL189" i="1"/>
  <c r="AL82" i="1"/>
  <c r="AL372" i="1" s="1"/>
  <c r="AL51" i="1"/>
  <c r="Z82" i="1"/>
  <c r="Z372" i="1" s="1"/>
  <c r="Z51" i="1"/>
  <c r="W82" i="1"/>
  <c r="W372" i="1" s="1"/>
  <c r="W51" i="1"/>
  <c r="Z189" i="1"/>
  <c r="AH51" i="1"/>
  <c r="AH82" i="1"/>
  <c r="AH372" i="1" s="1"/>
  <c r="AH189" i="1"/>
  <c r="BQ74" i="5"/>
  <c r="BQ75" i="5" s="1"/>
  <c r="BQ76" i="5" s="1"/>
  <c r="BQ196" i="1"/>
  <c r="BQ198" i="1" s="1"/>
  <c r="BQ226" i="1" s="1"/>
  <c r="BQ235" i="1" s="1"/>
  <c r="BQ236" i="1" s="1"/>
  <c r="AS189" i="1"/>
  <c r="BQ376" i="1"/>
  <c r="BQ373" i="1"/>
  <c r="DF302" i="1"/>
  <c r="BJ52" i="5"/>
  <c r="BK52" i="5" s="1"/>
  <c r="BG52" i="5"/>
  <c r="BG59" i="5" s="1"/>
  <c r="BI52" i="5"/>
  <c r="BI59" i="5" s="1"/>
  <c r="BD234" i="1"/>
  <c r="BD57" i="1"/>
  <c r="BA51" i="1"/>
  <c r="BF113" i="1" s="1"/>
  <c r="EK113" i="1" s="1"/>
  <c r="BA82" i="1"/>
  <c r="BA372" i="1" s="1"/>
  <c r="BR71" i="5"/>
  <c r="BR74" i="5" s="1"/>
  <c r="BR75" i="5" s="1"/>
  <c r="BR76" i="5" s="1"/>
  <c r="BR84" i="1"/>
  <c r="BR64" i="1"/>
  <c r="BR52" i="5"/>
  <c r="BR59" i="5" s="1"/>
  <c r="BR160" i="1"/>
  <c r="BR113" i="1"/>
  <c r="BG64" i="1"/>
  <c r="BG160" i="1"/>
  <c r="BG113" i="1"/>
  <c r="BG9" i="6"/>
  <c r="BG84" i="1"/>
  <c r="BG71" i="5"/>
  <c r="BR372" i="1"/>
  <c r="CC385" i="1"/>
  <c r="BV98" i="6"/>
  <c r="BV178" i="6"/>
  <c r="EK63" i="6"/>
  <c r="BW178" i="6"/>
  <c r="BW98" i="6"/>
  <c r="AX467" i="1"/>
  <c r="AX63" i="1"/>
  <c r="AO82" i="1"/>
  <c r="AO372" i="1" s="1"/>
  <c r="AO51" i="1"/>
  <c r="BP357" i="1"/>
  <c r="EH71" i="6"/>
  <c r="EG41" i="6"/>
  <c r="EG49" i="6"/>
  <c r="AA60" i="1"/>
  <c r="BJ102" i="6"/>
  <c r="BJ415" i="1"/>
  <c r="BJ107" i="6" s="1"/>
  <c r="U63" i="1"/>
  <c r="V60" i="1"/>
  <c r="Z63" i="1"/>
  <c r="AH92" i="6"/>
  <c r="AH95" i="6"/>
  <c r="Q82" i="1"/>
  <c r="Q372" i="1" s="1"/>
  <c r="Q51" i="1"/>
  <c r="BU103" i="6"/>
  <c r="BU412" i="1"/>
  <c r="BU104" i="6" s="1"/>
  <c r="EL59" i="1"/>
  <c r="BK60" i="1"/>
  <c r="AZ63" i="1"/>
  <c r="BB467" i="1"/>
  <c r="EG9" i="6"/>
  <c r="BF167" i="6"/>
  <c r="U57" i="5"/>
  <c r="V57" i="5" s="1"/>
  <c r="V53" i="5"/>
  <c r="AG189" i="1"/>
  <c r="BU33" i="5"/>
  <c r="BU148" i="1" s="1"/>
  <c r="BE63" i="1"/>
  <c r="BV99" i="5"/>
  <c r="AU91" i="6"/>
  <c r="BK233" i="1"/>
  <c r="BK228" i="1"/>
  <c r="AZ467" i="1"/>
  <c r="BA467" i="1" s="1"/>
  <c r="AW467" i="1"/>
  <c r="AT63" i="1"/>
  <c r="AY467" i="1"/>
  <c r="AU60" i="1"/>
  <c r="AU63" i="1" s="1"/>
  <c r="AT57" i="1"/>
  <c r="AM92" i="6"/>
  <c r="AM95" i="6"/>
  <c r="AE82" i="1"/>
  <c r="AE51" i="1"/>
  <c r="AE189" i="1"/>
  <c r="BB43" i="1"/>
  <c r="AR92" i="6"/>
  <c r="AR95" i="6"/>
  <c r="DG386" i="1"/>
  <c r="DD386" i="1"/>
  <c r="DE383" i="1"/>
  <c r="DD383" i="1"/>
  <c r="AK87" i="1"/>
  <c r="X63" i="1"/>
  <c r="BH63" i="1"/>
  <c r="W63" i="1"/>
  <c r="U61" i="1"/>
  <c r="U51" i="1"/>
  <c r="EE48" i="1"/>
  <c r="EE51" i="1" s="1"/>
  <c r="BB63" i="1"/>
  <c r="AG51" i="1"/>
  <c r="AG82" i="1"/>
  <c r="AG372" i="1" s="1"/>
  <c r="BE175" i="6"/>
  <c r="BF175" i="6" s="1"/>
  <c r="BE88" i="6"/>
  <c r="BE91" i="6" s="1"/>
  <c r="AU215" i="5"/>
  <c r="AU216" i="5"/>
  <c r="AU218" i="5"/>
  <c r="BH74" i="5"/>
  <c r="BH75" i="5" s="1"/>
  <c r="BH76" i="5" s="1"/>
  <c r="BC196" i="1"/>
  <c r="BC198" i="1" s="1"/>
  <c r="BC226" i="1" s="1"/>
  <c r="BC165" i="1"/>
  <c r="BC189" i="1" s="1"/>
  <c r="BC192" i="1" s="1"/>
  <c r="CO308" i="1"/>
  <c r="AF53" i="5"/>
  <c r="AE57" i="5"/>
  <c r="AF57" i="5" s="1"/>
  <c r="AE38" i="6"/>
  <c r="AI175" i="6" s="1"/>
  <c r="AW448" i="1"/>
  <c r="AS62" i="5" s="1"/>
  <c r="EI41" i="1"/>
  <c r="AQ189" i="1"/>
  <c r="AQ448" i="1"/>
  <c r="AQ62" i="5" s="1"/>
  <c r="AR448" i="1"/>
  <c r="AR62" i="5" s="1"/>
  <c r="BD95" i="6"/>
  <c r="BD92" i="6"/>
  <c r="BF38" i="6"/>
  <c r="BF150" i="1" s="1"/>
  <c r="EJ90" i="6"/>
  <c r="AI448" i="1"/>
  <c r="AI62" i="5" s="1"/>
  <c r="AL448" i="1"/>
  <c r="AL62" i="5" s="1"/>
  <c r="AJ448" i="1"/>
  <c r="AI189" i="1"/>
  <c r="AI88" i="6"/>
  <c r="AI74" i="6"/>
  <c r="AC82" i="1"/>
  <c r="AC372" i="1" s="1"/>
  <c r="AF48" i="1"/>
  <c r="AC51" i="1"/>
  <c r="EF48" i="1"/>
  <c r="EF51" i="1" s="1"/>
  <c r="EF41" i="1"/>
  <c r="AC189" i="1"/>
  <c r="AC448" i="1"/>
  <c r="AC62" i="5" s="1"/>
  <c r="EH87" i="1"/>
  <c r="EI87" i="1"/>
  <c r="BA17" i="6"/>
  <c r="EE74" i="6"/>
  <c r="AD175" i="6"/>
  <c r="AD88" i="6"/>
  <c r="V82" i="1"/>
  <c r="V372" i="1" s="1"/>
  <c r="V51" i="1"/>
  <c r="V189" i="1"/>
  <c r="Z88" i="6"/>
  <c r="AB175" i="6"/>
  <c r="AC175" i="6"/>
  <c r="BH117" i="1"/>
  <c r="BH165" i="1"/>
  <c r="BH189" i="1" s="1"/>
  <c r="BH192" i="1" s="1"/>
  <c r="BH196" i="1"/>
  <c r="BH198" i="1" s="1"/>
  <c r="BH226" i="1" s="1"/>
  <c r="BH235" i="1" s="1"/>
  <c r="BH236" i="1" s="1"/>
  <c r="AA75" i="6"/>
  <c r="W75" i="6"/>
  <c r="V79" i="6"/>
  <c r="BK107" i="1"/>
  <c r="EL107" i="1" s="1"/>
  <c r="EK41" i="1"/>
  <c r="BF79" i="1"/>
  <c r="EK79" i="1" s="1"/>
  <c r="AD51" i="1"/>
  <c r="EG48" i="1"/>
  <c r="EG51" i="1" s="1"/>
  <c r="AD82" i="1"/>
  <c r="AD372" i="1" s="1"/>
  <c r="AD189" i="1"/>
  <c r="AD448" i="1"/>
  <c r="AD62" i="5" s="1"/>
  <c r="AH448" i="1"/>
  <c r="AH62" i="5" s="1"/>
  <c r="EG41" i="1"/>
  <c r="AE448" i="1"/>
  <c r="AG448" i="1"/>
  <c r="AG62" i="5" s="1"/>
  <c r="AD74" i="6"/>
  <c r="BZ15" i="5"/>
  <c r="BF71" i="5"/>
  <c r="EK51" i="1"/>
  <c r="BK113" i="1"/>
  <c r="EL113" i="1" s="1"/>
  <c r="BF84" i="1"/>
  <c r="EK84" i="1" s="1"/>
  <c r="BF64" i="1"/>
  <c r="AW87" i="1"/>
  <c r="BB87" i="1"/>
  <c r="BA9" i="1"/>
  <c r="J10" i="128" s="1"/>
  <c r="AW436" i="1"/>
  <c r="AZ436" i="1"/>
  <c r="BA436" i="1" s="1"/>
  <c r="EJ9" i="1"/>
  <c r="EJ87" i="1" s="1"/>
  <c r="EF90" i="6"/>
  <c r="CM176" i="1"/>
  <c r="M21" i="128"/>
  <c r="Z57" i="5"/>
  <c r="AA57" i="5" s="1"/>
  <c r="AA53" i="5"/>
  <c r="BD42" i="1"/>
  <c r="AK215" i="5"/>
  <c r="AK218" i="5"/>
  <c r="AK216" i="5"/>
  <c r="BF49" i="5"/>
  <c r="EL9" i="1"/>
  <c r="BK87" i="1"/>
  <c r="EL87" i="1" s="1"/>
  <c r="DV383" i="1"/>
  <c r="EA383" i="1" s="1"/>
  <c r="AA51" i="1"/>
  <c r="AA82" i="1"/>
  <c r="AA372" i="1" s="1"/>
  <c r="AA189" i="1"/>
  <c r="BC74" i="5"/>
  <c r="BC75" i="5" s="1"/>
  <c r="BC76" i="5" s="1"/>
  <c r="Z74" i="6"/>
  <c r="EG106" i="1"/>
  <c r="EG78" i="1"/>
  <c r="CL176" i="1"/>
  <c r="EG71" i="6"/>
  <c r="EK33" i="6"/>
  <c r="BZ26" i="5"/>
  <c r="Y51" i="1"/>
  <c r="Y82" i="1"/>
  <c r="Y372" i="1" s="1"/>
  <c r="Y61" i="1"/>
  <c r="BS92" i="6"/>
  <c r="BS95" i="6"/>
  <c r="AI51" i="1"/>
  <c r="AI82" i="1"/>
  <c r="AI372" i="1" s="1"/>
  <c r="AK48" i="1"/>
  <c r="EC54" i="6"/>
  <c r="EG27" i="6"/>
  <c r="AS92" i="6"/>
  <c r="AS95" i="6"/>
  <c r="AU87" i="1"/>
  <c r="AP87" i="1"/>
  <c r="EJ48" i="1"/>
  <c r="AZ51" i="1"/>
  <c r="AZ82" i="1"/>
  <c r="EG54" i="6"/>
  <c r="BE59" i="5"/>
  <c r="BF59" i="5" s="1"/>
  <c r="BF52" i="5"/>
  <c r="BP63" i="1"/>
  <c r="EM63" i="1" s="1"/>
  <c r="EM60" i="1"/>
  <c r="DG307" i="1"/>
  <c r="AT57" i="5"/>
  <c r="AU57" i="5" s="1"/>
  <c r="AU53" i="5"/>
  <c r="AQ82" i="1"/>
  <c r="AQ372" i="1" s="1"/>
  <c r="EI48" i="1"/>
  <c r="AQ51" i="1"/>
  <c r="AU48" i="1"/>
  <c r="AU82" i="1" s="1"/>
  <c r="AU372" i="1" s="1"/>
  <c r="EJ78" i="1"/>
  <c r="CN176" i="1"/>
  <c r="CQ308" i="1"/>
  <c r="CQ38" i="1" s="1"/>
  <c r="EC71" i="6"/>
  <c r="Z448" i="1"/>
  <c r="AA448" i="1" s="1"/>
  <c r="AA62" i="5" s="1"/>
  <c r="Y448" i="1"/>
  <c r="Y189" i="1"/>
  <c r="AB448" i="1"/>
  <c r="AB62" i="5" s="1"/>
  <c r="AK53" i="5"/>
  <c r="AJ57" i="5"/>
  <c r="AK57" i="5" s="1"/>
  <c r="AP53" i="5"/>
  <c r="AO57" i="5"/>
  <c r="AP57" i="5" s="1"/>
  <c r="AM82" i="1"/>
  <c r="AM372" i="1" s="1"/>
  <c r="EH48" i="1"/>
  <c r="EH51" i="1" s="1"/>
  <c r="AM51" i="1"/>
  <c r="AP48" i="1"/>
  <c r="AO448" i="1"/>
  <c r="AM448" i="1"/>
  <c r="AM62" i="5" s="1"/>
  <c r="EH41" i="1"/>
  <c r="AN448" i="1"/>
  <c r="AN62" i="5" s="1"/>
  <c r="AM189" i="1"/>
  <c r="AC92" i="6"/>
  <c r="AC95" i="6"/>
  <c r="AO91" i="6"/>
  <c r="EE88" i="6"/>
  <c r="EF30" i="6"/>
  <c r="BA27" i="6"/>
  <c r="EF27" i="6" s="1"/>
  <c r="AJ38" i="6"/>
  <c r="AJ150" i="1" s="1"/>
  <c r="AJ152" i="1" s="1"/>
  <c r="AZ79" i="1"/>
  <c r="AX448" i="1" l="1"/>
  <c r="AT62" i="5" s="1"/>
  <c r="BB448" i="1"/>
  <c r="EF11" i="6"/>
  <c r="BA171" i="6"/>
  <c r="BA443" i="1"/>
  <c r="BA41" i="1"/>
  <c r="BC448" i="1"/>
  <c r="AX79" i="1"/>
  <c r="BC107" i="1"/>
  <c r="AT92" i="6"/>
  <c r="BA92" i="6" s="1"/>
  <c r="AK74" i="6"/>
  <c r="CJ39" i="5"/>
  <c r="EP38" i="1"/>
  <c r="AX71" i="6"/>
  <c r="AX74" i="6" s="1"/>
  <c r="BA58" i="6"/>
  <c r="EF58" i="6" s="1"/>
  <c r="DS173" i="1"/>
  <c r="DV173" i="1"/>
  <c r="CA46" i="5"/>
  <c r="CV29" i="5"/>
  <c r="CA73" i="5"/>
  <c r="DW173" i="1"/>
  <c r="CV45" i="5"/>
  <c r="CM29" i="6"/>
  <c r="CE46" i="5"/>
  <c r="CV14" i="5"/>
  <c r="CA15" i="5"/>
  <c r="CJ108" i="5"/>
  <c r="CD41" i="5"/>
  <c r="CQ208" i="1"/>
  <c r="L113" i="1"/>
  <c r="AK120" i="1"/>
  <c r="DJ302" i="1"/>
  <c r="AY233" i="1"/>
  <c r="AY234" i="1" s="1"/>
  <c r="AY42" i="1"/>
  <c r="BD108" i="1" s="1"/>
  <c r="BD190" i="1"/>
  <c r="BE373" i="1"/>
  <c r="BR120" i="1"/>
  <c r="CP308" i="1"/>
  <c r="CP38" i="1" s="1"/>
  <c r="CY303" i="1"/>
  <c r="DC303" i="1"/>
  <c r="DD303" i="1" s="1"/>
  <c r="BI117" i="1"/>
  <c r="CO390" i="1"/>
  <c r="BF152" i="1"/>
  <c r="EC38" i="6"/>
  <c r="AE150" i="1"/>
  <c r="AE152" i="1" s="1"/>
  <c r="CP165" i="5"/>
  <c r="K11" i="128"/>
  <c r="BN117" i="1"/>
  <c r="AP129" i="1"/>
  <c r="BG376" i="1"/>
  <c r="BJ376" i="1"/>
  <c r="BC376" i="1"/>
  <c r="EF57" i="6"/>
  <c r="BA99" i="6"/>
  <c r="BA179" i="6"/>
  <c r="BA71" i="6"/>
  <c r="EF71" i="6" s="1"/>
  <c r="BF372" i="1"/>
  <c r="BF373" i="1" s="1"/>
  <c r="BY122" i="1"/>
  <c r="EQ38" i="1"/>
  <c r="BI131" i="1"/>
  <c r="BY176" i="6"/>
  <c r="BZ176" i="6" s="1"/>
  <c r="BY277" i="1"/>
  <c r="BY272" i="1"/>
  <c r="BB233" i="1"/>
  <c r="BQ192" i="1"/>
  <c r="BV193" i="1" s="1"/>
  <c r="BV190" i="1"/>
  <c r="BQ362" i="1"/>
  <c r="BS52" i="5"/>
  <c r="BS59" i="5" s="1"/>
  <c r="EK82" i="1"/>
  <c r="CS390" i="1"/>
  <c r="CT390" i="1" s="1"/>
  <c r="BC117" i="1"/>
  <c r="BB126" i="1"/>
  <c r="CQ82" i="5"/>
  <c r="CP166" i="5"/>
  <c r="BV102" i="5"/>
  <c r="DX97" i="5"/>
  <c r="L22" i="128"/>
  <c r="K22" i="128"/>
  <c r="BO126" i="1"/>
  <c r="BM126" i="1"/>
  <c r="BG126" i="1"/>
  <c r="DK386" i="1"/>
  <c r="DF389" i="1"/>
  <c r="CX389" i="1"/>
  <c r="CY389" i="1" s="1"/>
  <c r="CZ390" i="1" s="1"/>
  <c r="CC407" i="1"/>
  <c r="CD404" i="1"/>
  <c r="CD405" i="1" s="1"/>
  <c r="CD399" i="1"/>
  <c r="CD400" i="1" s="1"/>
  <c r="DA390" i="1"/>
  <c r="DB389" i="1"/>
  <c r="DB390" i="1" s="1"/>
  <c r="CP167" i="5"/>
  <c r="G113" i="1"/>
  <c r="EK59" i="1"/>
  <c r="DW206" i="5"/>
  <c r="AE74" i="6"/>
  <c r="CB154" i="6"/>
  <c r="CG151" i="1" s="1"/>
  <c r="CA154" i="6"/>
  <c r="BW90" i="6"/>
  <c r="BW54" i="6"/>
  <c r="BX176" i="6"/>
  <c r="BW176" i="6"/>
  <c r="BI129" i="1"/>
  <c r="BF129" i="1"/>
  <c r="EK129" i="1" s="1"/>
  <c r="BG129" i="1"/>
  <c r="AX192" i="1"/>
  <c r="AX43" i="1" s="1"/>
  <c r="AX80" i="1" s="1"/>
  <c r="BM291" i="1"/>
  <c r="BQ291" i="1"/>
  <c r="BS291" i="1"/>
  <c r="BR291" i="1"/>
  <c r="BR292" i="1"/>
  <c r="BS292" i="1"/>
  <c r="BL288" i="1"/>
  <c r="BL291" i="1"/>
  <c r="BG131" i="1"/>
  <c r="BJ131" i="1"/>
  <c r="BR277" i="1"/>
  <c r="BS277" i="1"/>
  <c r="BS272" i="1"/>
  <c r="BR272" i="1"/>
  <c r="CD272" i="1"/>
  <c r="CD277" i="1"/>
  <c r="EL42" i="1"/>
  <c r="AX42" i="1"/>
  <c r="BF60" i="1"/>
  <c r="EK60" i="1" s="1"/>
  <c r="AX233" i="1"/>
  <c r="AX228" i="1"/>
  <c r="AX235" i="1" s="1"/>
  <c r="AX236" i="1" s="1"/>
  <c r="BI196" i="1"/>
  <c r="BI198" i="1" s="1"/>
  <c r="BI226" i="1" s="1"/>
  <c r="BI235" i="1" s="1"/>
  <c r="BI236" i="1" s="1"/>
  <c r="BI165" i="1"/>
  <c r="BI189" i="1" s="1"/>
  <c r="BI192" i="1" s="1"/>
  <c r="BO92" i="6"/>
  <c r="BP92" i="6" s="1"/>
  <c r="BE467" i="1"/>
  <c r="BF467" i="1" s="1"/>
  <c r="BC467" i="1"/>
  <c r="BD467" i="1"/>
  <c r="BP88" i="6"/>
  <c r="BP91" i="6" s="1"/>
  <c r="EI38" i="6"/>
  <c r="BP74" i="6"/>
  <c r="EI74" i="6" s="1"/>
  <c r="EL64" i="1"/>
  <c r="BR337" i="1"/>
  <c r="DN14" i="6"/>
  <c r="DX37" i="1"/>
  <c r="AW113" i="1"/>
  <c r="DD206" i="5"/>
  <c r="DE205" i="5"/>
  <c r="DF205" i="5" s="1"/>
  <c r="DG205" i="5" s="1"/>
  <c r="DH205" i="5" s="1"/>
  <c r="DI205" i="5" s="1"/>
  <c r="DR14" i="6"/>
  <c r="DR206" i="5"/>
  <c r="DW14" i="6"/>
  <c r="BB52" i="5"/>
  <c r="BB59" i="5" s="1"/>
  <c r="DQ14" i="6"/>
  <c r="DQ206" i="5"/>
  <c r="CQ83" i="5"/>
  <c r="CN11" i="5"/>
  <c r="BF74" i="6"/>
  <c r="EG74" i="6" s="1"/>
  <c r="BM336" i="1"/>
  <c r="CG250" i="1"/>
  <c r="BV182" i="5"/>
  <c r="BJ59" i="5"/>
  <c r="BK59" i="5" s="1"/>
  <c r="EL82" i="1"/>
  <c r="BK372" i="1"/>
  <c r="AB173" i="6"/>
  <c r="BZ73" i="5"/>
  <c r="AF49" i="5"/>
  <c r="BS337" i="1"/>
  <c r="BR361" i="1"/>
  <c r="X113" i="1"/>
  <c r="X64" i="1"/>
  <c r="AJ61" i="1"/>
  <c r="T64" i="1"/>
  <c r="S64" i="1"/>
  <c r="AN376" i="1"/>
  <c r="AN373" i="1"/>
  <c r="BX107" i="6"/>
  <c r="BX410" i="1"/>
  <c r="R64" i="1"/>
  <c r="BO43" i="1"/>
  <c r="BO80" i="1" s="1"/>
  <c r="BO42" i="1"/>
  <c r="BV97" i="6"/>
  <c r="BV226" i="5"/>
  <c r="AB61" i="1"/>
  <c r="AB449" i="1" s="1"/>
  <c r="AT196" i="1"/>
  <c r="AT198" i="1" s="1"/>
  <c r="AT226" i="1" s="1"/>
  <c r="AT165" i="1"/>
  <c r="BO233" i="1"/>
  <c r="BO228" i="1"/>
  <c r="BO229" i="1" s="1"/>
  <c r="AN64" i="1"/>
  <c r="AN71" i="5"/>
  <c r="AN74" i="5" s="1"/>
  <c r="AN75" i="5" s="1"/>
  <c r="AN76" i="5" s="1"/>
  <c r="AN57" i="1"/>
  <c r="AN233" i="1"/>
  <c r="AN234" i="1" s="1"/>
  <c r="AN160" i="1"/>
  <c r="BS60" i="1"/>
  <c r="BS160" i="1"/>
  <c r="BS84" i="1"/>
  <c r="BS64" i="1"/>
  <c r="BS71" i="5"/>
  <c r="BS74" i="5" s="1"/>
  <c r="BS75" i="5" s="1"/>
  <c r="BS76" i="5" s="1"/>
  <c r="BS173" i="6"/>
  <c r="BS113" i="1"/>
  <c r="BS372" i="1"/>
  <c r="BR117" i="1"/>
  <c r="BB117" i="1"/>
  <c r="AW229" i="1"/>
  <c r="AW228" i="1"/>
  <c r="AW233" i="1"/>
  <c r="BN228" i="1"/>
  <c r="BN229" i="1" s="1"/>
  <c r="BN233" i="1"/>
  <c r="BM165" i="1"/>
  <c r="BM189" i="1" s="1"/>
  <c r="BM196" i="1"/>
  <c r="BM198" i="1" s="1"/>
  <c r="BM226" i="1" s="1"/>
  <c r="BM235" i="1" s="1"/>
  <c r="BM236" i="1" s="1"/>
  <c r="AW42" i="1"/>
  <c r="BB190" i="1"/>
  <c r="BN42" i="1"/>
  <c r="AR373" i="1"/>
  <c r="AR376" i="1"/>
  <c r="AS113" i="1"/>
  <c r="AS64" i="1"/>
  <c r="AS160" i="1"/>
  <c r="AS57" i="1"/>
  <c r="AS61" i="1" s="1"/>
  <c r="BO117" i="1"/>
  <c r="BJ196" i="1"/>
  <c r="BJ198" i="1" s="1"/>
  <c r="BJ226" i="1" s="1"/>
  <c r="BJ235" i="1" s="1"/>
  <c r="BJ236" i="1" s="1"/>
  <c r="BJ165" i="1"/>
  <c r="BJ189" i="1" s="1"/>
  <c r="BJ192" i="1" s="1"/>
  <c r="B64" i="1"/>
  <c r="AR57" i="1"/>
  <c r="AR160" i="1"/>
  <c r="AR233" i="1"/>
  <c r="AR234" i="1" s="1"/>
  <c r="AR64" i="1"/>
  <c r="AR71" i="5"/>
  <c r="AR74" i="5" s="1"/>
  <c r="AR75" i="5" s="1"/>
  <c r="AR76" i="5" s="1"/>
  <c r="BB173" i="6"/>
  <c r="AY173" i="6"/>
  <c r="BE196" i="1"/>
  <c r="BE198" i="1" s="1"/>
  <c r="BE226" i="1" s="1"/>
  <c r="BE165" i="1"/>
  <c r="BE189" i="1" s="1"/>
  <c r="BE192" i="1" s="1"/>
  <c r="BF192" i="1" s="1"/>
  <c r="BJ117" i="1"/>
  <c r="AH233" i="1"/>
  <c r="AH234" i="1" s="1"/>
  <c r="AH71" i="5"/>
  <c r="AH74" i="5" s="1"/>
  <c r="AH75" i="5" s="1"/>
  <c r="AH76" i="5" s="1"/>
  <c r="AH57" i="1"/>
  <c r="AH64" i="1"/>
  <c r="Z64" i="1"/>
  <c r="AL373" i="1"/>
  <c r="AL376" i="1"/>
  <c r="AB113" i="1"/>
  <c r="W113" i="1"/>
  <c r="W64" i="1"/>
  <c r="AH373" i="1"/>
  <c r="AH376" i="1"/>
  <c r="AL64" i="1"/>
  <c r="AL71" i="5"/>
  <c r="AL74" i="5" s="1"/>
  <c r="AL75" i="5" s="1"/>
  <c r="AL76" i="5" s="1"/>
  <c r="AL57" i="1"/>
  <c r="AL160" i="1"/>
  <c r="BQ233" i="1"/>
  <c r="BQ228" i="1"/>
  <c r="BQ229" i="1" s="1"/>
  <c r="BQ42" i="1"/>
  <c r="DK302" i="1"/>
  <c r="DH302" i="1"/>
  <c r="BD61" i="1"/>
  <c r="BD1" i="1" s="1"/>
  <c r="BD3" i="1" s="1"/>
  <c r="BG74" i="5"/>
  <c r="BG75" i="5" s="1"/>
  <c r="BG76" i="5" s="1"/>
  <c r="BA373" i="1"/>
  <c r="BA376" i="1"/>
  <c r="BG165" i="1"/>
  <c r="BG189" i="1" s="1"/>
  <c r="BG192" i="1" s="1"/>
  <c r="BG196" i="1"/>
  <c r="BG198" i="1" s="1"/>
  <c r="BG226" i="1" s="1"/>
  <c r="BG235" i="1" s="1"/>
  <c r="BG236" i="1" s="1"/>
  <c r="BA64" i="1"/>
  <c r="BF117" i="1" s="1"/>
  <c r="EK117" i="1" s="1"/>
  <c r="BA84" i="1"/>
  <c r="BR373" i="1"/>
  <c r="BR376" i="1"/>
  <c r="BG38" i="6"/>
  <c r="BG150" i="1" s="1"/>
  <c r="BG152" i="1" s="1"/>
  <c r="BH9" i="6"/>
  <c r="BI9" i="6" s="1"/>
  <c r="BG117" i="1"/>
  <c r="BR165" i="1"/>
  <c r="BR189" i="1" s="1"/>
  <c r="BR196" i="1"/>
  <c r="BR198" i="1" s="1"/>
  <c r="BR226" i="1" s="1"/>
  <c r="BR235" i="1" s="1"/>
  <c r="BR236" i="1" s="1"/>
  <c r="BX178" i="6"/>
  <c r="BX98" i="6"/>
  <c r="CF381" i="1"/>
  <c r="CD385" i="1"/>
  <c r="W449" i="1"/>
  <c r="CO176" i="1"/>
  <c r="V63" i="1"/>
  <c r="EK26" i="6"/>
  <c r="AO233" i="1"/>
  <c r="AO234" i="1" s="1"/>
  <c r="AO113" i="1"/>
  <c r="AO64" i="1"/>
  <c r="AX113" i="1"/>
  <c r="AO160" i="1"/>
  <c r="AO57" i="1"/>
  <c r="AT113" i="1"/>
  <c r="AO71" i="5"/>
  <c r="AO74" i="5" s="1"/>
  <c r="AO75" i="5" s="1"/>
  <c r="AO76" i="5" s="1"/>
  <c r="AO373" i="1"/>
  <c r="AO376" i="1"/>
  <c r="AG373" i="1"/>
  <c r="AG376" i="1"/>
  <c r="AE71" i="5"/>
  <c r="AE74" i="5" s="1"/>
  <c r="AE75" i="5" s="1"/>
  <c r="AE76" i="5" s="1"/>
  <c r="AJ113" i="1"/>
  <c r="AE64" i="1"/>
  <c r="AL113" i="1"/>
  <c r="AG71" i="5"/>
  <c r="AG64" i="1"/>
  <c r="AG113" i="1"/>
  <c r="AG233" i="1"/>
  <c r="AG234" i="1" s="1"/>
  <c r="AG57" i="1"/>
  <c r="U52" i="5"/>
  <c r="U64" i="1"/>
  <c r="DJ383" i="1"/>
  <c r="DI383" i="1"/>
  <c r="DL386" i="1"/>
  <c r="DI386" i="1"/>
  <c r="BB80" i="1"/>
  <c r="BK63" i="1"/>
  <c r="EL60" i="1"/>
  <c r="Q64" i="1"/>
  <c r="Q113" i="1"/>
  <c r="AE190" i="1"/>
  <c r="X449" i="1"/>
  <c r="AT61" i="1"/>
  <c r="EE82" i="1"/>
  <c r="AE372" i="1"/>
  <c r="AE60" i="1"/>
  <c r="AE57" i="1" s="1"/>
  <c r="BK234" i="1"/>
  <c r="BK57" i="1"/>
  <c r="BN87" i="1"/>
  <c r="AO95" i="6"/>
  <c r="EE91" i="6"/>
  <c r="AO92" i="6"/>
  <c r="AP92" i="6" s="1"/>
  <c r="AM57" i="1"/>
  <c r="AR113" i="1"/>
  <c r="AM160" i="1"/>
  <c r="AM64" i="1"/>
  <c r="AM113" i="1"/>
  <c r="AM233" i="1"/>
  <c r="AM234" i="1" s="1"/>
  <c r="AP51" i="1"/>
  <c r="AN52" i="5"/>
  <c r="AN59" i="5" s="1"/>
  <c r="AM71" i="5"/>
  <c r="AO52" i="5"/>
  <c r="AM52" i="5"/>
  <c r="AM59" i="5" s="1"/>
  <c r="AQ233" i="1"/>
  <c r="AQ234" i="1" s="1"/>
  <c r="AY113" i="1"/>
  <c r="AQ64" i="1"/>
  <c r="BA113" i="1"/>
  <c r="AU51" i="1"/>
  <c r="AQ160" i="1"/>
  <c r="AQ57" i="1"/>
  <c r="AQ113" i="1"/>
  <c r="AR52" i="5"/>
  <c r="AR59" i="5" s="1"/>
  <c r="AT52" i="5"/>
  <c r="AQ52" i="5"/>
  <c r="AQ59" i="5" s="1"/>
  <c r="AQ71" i="5"/>
  <c r="AS52" i="5"/>
  <c r="AS59" i="5" s="1"/>
  <c r="AS173" i="6"/>
  <c r="AR173" i="6"/>
  <c r="AT173" i="6"/>
  <c r="AQ173" i="6"/>
  <c r="EJ51" i="1"/>
  <c r="EJ82" i="1"/>
  <c r="EH82" i="1"/>
  <c r="EI82" i="1"/>
  <c r="EI51" i="1"/>
  <c r="BZ40" i="5"/>
  <c r="DF307" i="1"/>
  <c r="BM87" i="1"/>
  <c r="BR87" i="1"/>
  <c r="BA87" i="1"/>
  <c r="BF87" i="1"/>
  <c r="EK87" i="1" s="1"/>
  <c r="AD190" i="1"/>
  <c r="AD57" i="1"/>
  <c r="AD64" i="1"/>
  <c r="AH52" i="5"/>
  <c r="AH59" i="5" s="1"/>
  <c r="AD71" i="5"/>
  <c r="AE52" i="5"/>
  <c r="AD52" i="5"/>
  <c r="AD59" i="5" s="1"/>
  <c r="AG52" i="5"/>
  <c r="AG59" i="5" s="1"/>
  <c r="W77" i="6"/>
  <c r="Z91" i="6"/>
  <c r="EB88" i="6"/>
  <c r="V113" i="1"/>
  <c r="V64" i="1"/>
  <c r="EF17" i="6"/>
  <c r="BA38" i="6"/>
  <c r="AF189" i="1"/>
  <c r="EF79" i="1"/>
  <c r="AK189" i="1"/>
  <c r="BF88" i="6"/>
  <c r="EG38" i="6"/>
  <c r="BF173" i="6"/>
  <c r="BE173" i="6" s="1"/>
  <c r="AU189" i="1"/>
  <c r="BF165" i="1"/>
  <c r="BF189" i="1" s="1"/>
  <c r="BF196" i="1"/>
  <c r="BF198" i="1" s="1"/>
  <c r="BF226" i="1" s="1"/>
  <c r="BF235" i="1" s="1"/>
  <c r="BF236" i="1" s="1"/>
  <c r="BE95" i="6"/>
  <c r="BE92" i="6"/>
  <c r="BF92" i="6" s="1"/>
  <c r="EJ79" i="1"/>
  <c r="Z449" i="1"/>
  <c r="AA449" i="1" s="1"/>
  <c r="Y449" i="1"/>
  <c r="AP448" i="1"/>
  <c r="AP62" i="5" s="1"/>
  <c r="AO62" i="5"/>
  <c r="AP82" i="1"/>
  <c r="AP372" i="1" s="1"/>
  <c r="AM376" i="1"/>
  <c r="AM373" i="1"/>
  <c r="CQ176" i="1"/>
  <c r="AQ373" i="1"/>
  <c r="AQ376" i="1"/>
  <c r="DL307" i="1"/>
  <c r="DE303" i="1"/>
  <c r="AI233" i="1"/>
  <c r="AI234" i="1" s="1"/>
  <c r="AI57" i="1"/>
  <c r="AI64" i="1"/>
  <c r="AI113" i="1"/>
  <c r="AN113" i="1"/>
  <c r="AL52" i="5"/>
  <c r="AL59" i="5" s="1"/>
  <c r="AI52" i="5"/>
  <c r="AI59" i="5" s="1"/>
  <c r="AJ52" i="5"/>
  <c r="AI71" i="5"/>
  <c r="EB74" i="6"/>
  <c r="EK64" i="1"/>
  <c r="BK117" i="1"/>
  <c r="EL117" i="1" s="1"/>
  <c r="BH233" i="1"/>
  <c r="BH228" i="1"/>
  <c r="BH229" i="1" s="1"/>
  <c r="EF82" i="1"/>
  <c r="AI91" i="6"/>
  <c r="EI79" i="1"/>
  <c r="AG173" i="6"/>
  <c r="AE175" i="6"/>
  <c r="AF175" i="6" s="1"/>
  <c r="AG175" i="6"/>
  <c r="AH173" i="6"/>
  <c r="AE88" i="6"/>
  <c r="AE91" i="6" s="1"/>
  <c r="AH175" i="6"/>
  <c r="DE307" i="1"/>
  <c r="AL175" i="6"/>
  <c r="AJ88" i="6"/>
  <c r="AJ91" i="6" s="1"/>
  <c r="AN175" i="6"/>
  <c r="AJ175" i="6"/>
  <c r="AK175" i="6" s="1"/>
  <c r="AN173" i="6"/>
  <c r="AL173" i="6"/>
  <c r="AM173" i="6"/>
  <c r="AM175" i="6"/>
  <c r="AJ74" i="6"/>
  <c r="EH79" i="1"/>
  <c r="AP189" i="1"/>
  <c r="AU376" i="1"/>
  <c r="AU373" i="1"/>
  <c r="DH307" i="1"/>
  <c r="BE113" i="1"/>
  <c r="AZ84" i="1"/>
  <c r="AZ113" i="1"/>
  <c r="AY71" i="5"/>
  <c r="AZ160" i="1"/>
  <c r="AZ64" i="1"/>
  <c r="AZ196" i="1"/>
  <c r="AZ173" i="6"/>
  <c r="AK82" i="1"/>
  <c r="AK51" i="1"/>
  <c r="Y64" i="1"/>
  <c r="AB52" i="5"/>
  <c r="AB59" i="5" s="1"/>
  <c r="Z52" i="5"/>
  <c r="BO336" i="1"/>
  <c r="AE62" i="5"/>
  <c r="AF448" i="1"/>
  <c r="AF62" i="5" s="1"/>
  <c r="EG82" i="1"/>
  <c r="AA77" i="6"/>
  <c r="BN336" i="1"/>
  <c r="BH190" i="1"/>
  <c r="BH42" i="1"/>
  <c r="AC64" i="1"/>
  <c r="AC57" i="1"/>
  <c r="AC113" i="1"/>
  <c r="AH113" i="1"/>
  <c r="AC52" i="5"/>
  <c r="AC59" i="5" s="1"/>
  <c r="AC71" i="5"/>
  <c r="ED38" i="6"/>
  <c r="AI173" i="6"/>
  <c r="AK448" i="1"/>
  <c r="AK62" i="5" s="1"/>
  <c r="AJ62" i="5"/>
  <c r="BC190" i="1"/>
  <c r="BC42" i="1"/>
  <c r="BR71" i="1"/>
  <c r="AI373" i="1"/>
  <c r="AI376" i="1"/>
  <c r="AA57" i="1"/>
  <c r="AA71" i="5"/>
  <c r="AA113" i="1"/>
  <c r="AA64" i="1"/>
  <c r="BD43" i="1"/>
  <c r="BD193" i="1"/>
  <c r="EM133" i="1"/>
  <c r="BF74" i="5"/>
  <c r="BF75" i="5" s="1"/>
  <c r="BF76" i="5" s="1"/>
  <c r="EG79" i="1"/>
  <c r="AC173" i="6"/>
  <c r="AD173" i="6"/>
  <c r="AD91" i="6"/>
  <c r="CO208" i="1"/>
  <c r="AC190" i="1"/>
  <c r="AF82" i="1"/>
  <c r="AF372" i="1" s="1"/>
  <c r="AF51" i="1"/>
  <c r="BS87" i="1"/>
  <c r="CE59" i="1"/>
  <c r="BC228" i="1"/>
  <c r="BC235" i="1" s="1"/>
  <c r="BC236" i="1" s="1"/>
  <c r="BC233" i="1"/>
  <c r="EY38" i="1" l="1"/>
  <c r="BA79" i="1"/>
  <c r="BF107" i="1"/>
  <c r="EK107" i="1" s="1"/>
  <c r="DX173" i="1"/>
  <c r="AY57" i="1"/>
  <c r="AY61" i="1" s="1"/>
  <c r="AY1" i="1" s="1"/>
  <c r="AY3" i="1" s="1"/>
  <c r="CL19" i="5"/>
  <c r="CL35" i="5"/>
  <c r="CW29" i="5"/>
  <c r="BZ54" i="6"/>
  <c r="CL39" i="5"/>
  <c r="CW14" i="5"/>
  <c r="CA47" i="5"/>
  <c r="CB72" i="5"/>
  <c r="CO11" i="5"/>
  <c r="CL34" i="5"/>
  <c r="CE41" i="5"/>
  <c r="CA16" i="5"/>
  <c r="CL18" i="5"/>
  <c r="CF46" i="5"/>
  <c r="CW45" i="5"/>
  <c r="CL36" i="5"/>
  <c r="CL20" i="5"/>
  <c r="DO302" i="1"/>
  <c r="BF376" i="1"/>
  <c r="BS120" i="1"/>
  <c r="CR308" i="1"/>
  <c r="CR38" i="1" s="1"/>
  <c r="CP208" i="1"/>
  <c r="CP224" i="1" s="1"/>
  <c r="CP176" i="1"/>
  <c r="BA175" i="6"/>
  <c r="BA150" i="1"/>
  <c r="BA152" i="1" s="1"/>
  <c r="L23" i="128"/>
  <c r="M23" i="128"/>
  <c r="CQ166" i="5"/>
  <c r="BV104" i="5"/>
  <c r="EC74" i="6"/>
  <c r="CD122" i="1"/>
  <c r="BQ43" i="1"/>
  <c r="BQ80" i="1" s="1"/>
  <c r="BB234" i="1"/>
  <c r="BB57" i="1"/>
  <c r="BX415" i="1"/>
  <c r="BR362" i="1"/>
  <c r="BR192" i="1"/>
  <c r="AW235" i="1"/>
  <c r="AW236" i="1" s="1"/>
  <c r="BR324" i="1"/>
  <c r="BQ126" i="1"/>
  <c r="CR82" i="5"/>
  <c r="CQ165" i="5"/>
  <c r="BF126" i="1"/>
  <c r="BK126" i="1"/>
  <c r="BP126" i="1"/>
  <c r="CD407" i="1"/>
  <c r="CX390" i="1"/>
  <c r="CY390" i="1" s="1"/>
  <c r="CF399" i="1"/>
  <c r="CF400" i="1" s="1"/>
  <c r="CF404" i="1"/>
  <c r="CF405" i="1" s="1"/>
  <c r="DC389" i="1"/>
  <c r="DD389" i="1" s="1"/>
  <c r="DE390" i="1" s="1"/>
  <c r="DG389" i="1"/>
  <c r="DF390" i="1"/>
  <c r="DP386" i="1"/>
  <c r="DK389" i="1"/>
  <c r="CQ167" i="5"/>
  <c r="EI88" i="6"/>
  <c r="BK192" i="1"/>
  <c r="BK43" i="1" s="1"/>
  <c r="L16" i="128" s="1"/>
  <c r="DV206" i="5"/>
  <c r="CC154" i="6"/>
  <c r="CH151" i="1" s="1"/>
  <c r="BZ90" i="6"/>
  <c r="EK90" i="6" s="1"/>
  <c r="EK43" i="6"/>
  <c r="CF151" i="1"/>
  <c r="BJ129" i="1"/>
  <c r="BK129" i="1"/>
  <c r="EL129" i="1" s="1"/>
  <c r="BM190" i="1"/>
  <c r="BM192" i="1"/>
  <c r="BM43" i="1" s="1"/>
  <c r="BM80" i="1" s="1"/>
  <c r="BK131" i="1"/>
  <c r="EL131" i="1" s="1"/>
  <c r="BP286" i="1"/>
  <c r="BP291" i="1" s="1"/>
  <c r="BS288" i="1"/>
  <c r="BS293" i="1" s="1"/>
  <c r="BO292" i="1"/>
  <c r="BM131" i="1"/>
  <c r="BM277" i="1"/>
  <c r="BP276" i="1"/>
  <c r="BP277" i="1" s="1"/>
  <c r="BN292" i="1"/>
  <c r="BL293" i="1"/>
  <c r="BN291" i="1"/>
  <c r="BR288" i="1"/>
  <c r="BR293" i="1" s="1"/>
  <c r="BO291" i="1"/>
  <c r="BM272" i="1"/>
  <c r="BP271" i="1"/>
  <c r="BP272" i="1" s="1"/>
  <c r="BF63" i="1"/>
  <c r="BU271" i="1"/>
  <c r="BU276" i="1"/>
  <c r="BU277" i="1" s="1"/>
  <c r="AY438" i="1"/>
  <c r="AX57" i="1"/>
  <c r="AX439" i="1" s="1"/>
  <c r="AX440" i="1" s="1"/>
  <c r="AX234" i="1"/>
  <c r="BN193" i="1"/>
  <c r="BI42" i="1"/>
  <c r="BI190" i="1"/>
  <c r="BN190" i="1"/>
  <c r="BI233" i="1"/>
  <c r="BI228" i="1"/>
  <c r="BI229" i="1" s="1"/>
  <c r="BM337" i="1"/>
  <c r="BV322" i="1"/>
  <c r="DS14" i="6"/>
  <c r="BR338" i="1"/>
  <c r="DV14" i="6"/>
  <c r="DI206" i="5"/>
  <c r="DJ205" i="5"/>
  <c r="DK205" i="5" s="1"/>
  <c r="DL205" i="5" s="1"/>
  <c r="DM205" i="5" s="1"/>
  <c r="DN205" i="5" s="1"/>
  <c r="BV184" i="5"/>
  <c r="BV187" i="5" s="1"/>
  <c r="CR83" i="5"/>
  <c r="CN29" i="6"/>
  <c r="CP11" i="5"/>
  <c r="EC88" i="6"/>
  <c r="CH250" i="1"/>
  <c r="BE336" i="1"/>
  <c r="BQ267" i="1"/>
  <c r="BK373" i="1"/>
  <c r="BK376" i="1"/>
  <c r="BD336" i="1"/>
  <c r="AS117" i="1"/>
  <c r="BS361" i="1"/>
  <c r="BH336" i="1"/>
  <c r="X117" i="1"/>
  <c r="AW117" i="1"/>
  <c r="BO234" i="1"/>
  <c r="BO57" i="1"/>
  <c r="BO61" i="1" s="1"/>
  <c r="AT228" i="1"/>
  <c r="AT235" i="1" s="1"/>
  <c r="AT236" i="1" s="1"/>
  <c r="AT233" i="1"/>
  <c r="AT234" i="1" s="1"/>
  <c r="AN61" i="1"/>
  <c r="AB116" i="1"/>
  <c r="AN196" i="1"/>
  <c r="AN198" i="1" s="1"/>
  <c r="AN226" i="1" s="1"/>
  <c r="AN165" i="1"/>
  <c r="BX97" i="6"/>
  <c r="BX226" i="5"/>
  <c r="BS196" i="1"/>
  <c r="BS198" i="1" s="1"/>
  <c r="BS226" i="1" s="1"/>
  <c r="BS235" i="1" s="1"/>
  <c r="BS236" i="1" s="1"/>
  <c r="BS165" i="1"/>
  <c r="BS189" i="1" s="1"/>
  <c r="BS117" i="1"/>
  <c r="BS373" i="1"/>
  <c r="BS376" i="1"/>
  <c r="BS63" i="1"/>
  <c r="AR196" i="1"/>
  <c r="AR198" i="1" s="1"/>
  <c r="AR226" i="1" s="1"/>
  <c r="AR165" i="1"/>
  <c r="BO190" i="1"/>
  <c r="BJ42" i="1"/>
  <c r="AW43" i="1"/>
  <c r="BB193" i="1"/>
  <c r="BN234" i="1"/>
  <c r="BN57" i="1"/>
  <c r="AR61" i="1"/>
  <c r="BJ228" i="1"/>
  <c r="BJ229" i="1" s="1"/>
  <c r="BJ233" i="1"/>
  <c r="BN43" i="1"/>
  <c r="BM233" i="1"/>
  <c r="BM228" i="1"/>
  <c r="BM229" i="1" s="1"/>
  <c r="DG302" i="1"/>
  <c r="AS196" i="1"/>
  <c r="AS198" i="1" s="1"/>
  <c r="AS226" i="1" s="1"/>
  <c r="AS165" i="1"/>
  <c r="BM42" i="1"/>
  <c r="AW234" i="1"/>
  <c r="AW57" i="1"/>
  <c r="AW439" i="1" s="1"/>
  <c r="AW440" i="1" s="1"/>
  <c r="BB108" i="1"/>
  <c r="BJ190" i="1"/>
  <c r="BE42" i="1"/>
  <c r="BE233" i="1"/>
  <c r="BE228" i="1"/>
  <c r="BE235" i="1" s="1"/>
  <c r="BE236" i="1" s="1"/>
  <c r="AL165" i="1"/>
  <c r="AL196" i="1"/>
  <c r="AL198" i="1" s="1"/>
  <c r="AL226" i="1" s="1"/>
  <c r="AL61" i="1"/>
  <c r="W117" i="1"/>
  <c r="AB117" i="1"/>
  <c r="AH61" i="1"/>
  <c r="DM302" i="1"/>
  <c r="BQ57" i="1"/>
  <c r="BQ234" i="1"/>
  <c r="DP302" i="1"/>
  <c r="BI38" i="6"/>
  <c r="BI150" i="1" s="1"/>
  <c r="BI152" i="1" s="1"/>
  <c r="BR42" i="1"/>
  <c r="BR190" i="1"/>
  <c r="BG233" i="1"/>
  <c r="BG228" i="1"/>
  <c r="BG229" i="1" s="1"/>
  <c r="BH38" i="6"/>
  <c r="BH150" i="1" s="1"/>
  <c r="BH152" i="1" s="1"/>
  <c r="BG42" i="1"/>
  <c r="BG190" i="1"/>
  <c r="BR228" i="1"/>
  <c r="BR229" i="1" s="1"/>
  <c r="BR233" i="1"/>
  <c r="BJ9" i="6"/>
  <c r="BG74" i="6"/>
  <c r="BG88" i="6"/>
  <c r="BG91" i="6" s="1"/>
  <c r="BG175" i="6"/>
  <c r="BG173" i="6"/>
  <c r="BY98" i="6"/>
  <c r="BY178" i="6"/>
  <c r="BJ336" i="1"/>
  <c r="CF385" i="1"/>
  <c r="CF384" i="1" s="1"/>
  <c r="CG381" i="1"/>
  <c r="CE380" i="1"/>
  <c r="CE385" i="1" s="1"/>
  <c r="AO117" i="1"/>
  <c r="AX117" i="1"/>
  <c r="AT117" i="1"/>
  <c r="AO61" i="1"/>
  <c r="AO196" i="1"/>
  <c r="AO198" i="1" s="1"/>
  <c r="AO226" i="1" s="1"/>
  <c r="AO165" i="1"/>
  <c r="AE61" i="1"/>
  <c r="EL63" i="1"/>
  <c r="DO383" i="1"/>
  <c r="DN383" i="1"/>
  <c r="AG117" i="1"/>
  <c r="AL117" i="1"/>
  <c r="AE63" i="1"/>
  <c r="AF60" i="1"/>
  <c r="EE84" i="1"/>
  <c r="EE64" i="1"/>
  <c r="AG61" i="1"/>
  <c r="AG74" i="5"/>
  <c r="AG75" i="5" s="1"/>
  <c r="AG76" i="5" s="1"/>
  <c r="AJ117" i="1"/>
  <c r="DQ386" i="1"/>
  <c r="DN386" i="1"/>
  <c r="BK61" i="1"/>
  <c r="L18" i="128" s="1"/>
  <c r="EL57" i="1"/>
  <c r="V52" i="5"/>
  <c r="U59" i="5"/>
  <c r="V59" i="5" s="1"/>
  <c r="EO59" i="1"/>
  <c r="DE308" i="1"/>
  <c r="DE38" i="1" s="1"/>
  <c r="DJ303" i="1"/>
  <c r="EI113" i="1"/>
  <c r="EI84" i="1"/>
  <c r="EI64" i="1"/>
  <c r="AF113" i="1"/>
  <c r="AF64" i="1"/>
  <c r="AF71" i="5"/>
  <c r="AF173" i="6"/>
  <c r="AE173" i="6" s="1"/>
  <c r="EF42" i="1"/>
  <c r="AA74" i="5"/>
  <c r="AA75" i="5" s="1"/>
  <c r="AA76" i="5" s="1"/>
  <c r="EY24" i="1"/>
  <c r="BS71" i="1"/>
  <c r="EY71" i="1" s="1"/>
  <c r="BC43" i="1"/>
  <c r="BC193" i="1"/>
  <c r="AC61" i="1"/>
  <c r="BH108" i="1"/>
  <c r="BS338" i="1"/>
  <c r="BN337" i="1"/>
  <c r="AK233" i="1"/>
  <c r="AK234" i="1" s="1"/>
  <c r="AK57" i="1"/>
  <c r="AK71" i="5"/>
  <c r="AK113" i="1"/>
  <c r="AK64" i="1"/>
  <c r="AK173" i="6"/>
  <c r="AJ173" i="6" s="1"/>
  <c r="AY74" i="5"/>
  <c r="AY75" i="5" s="1"/>
  <c r="AY76" i="5" s="1"/>
  <c r="DM307" i="1"/>
  <c r="ED74" i="6"/>
  <c r="BH234" i="1"/>
  <c r="BH57" i="1"/>
  <c r="AK52" i="5"/>
  <c r="AJ59" i="5"/>
  <c r="AK59" i="5" s="1"/>
  <c r="AI61" i="1"/>
  <c r="DQ307" i="1"/>
  <c r="AP373" i="1"/>
  <c r="AP376" i="1"/>
  <c r="BP95" i="6"/>
  <c r="EI91" i="6"/>
  <c r="EH42" i="1"/>
  <c r="AF190" i="1"/>
  <c r="Z95" i="6"/>
  <c r="Z92" i="6"/>
  <c r="EB91" i="6"/>
  <c r="AC170" i="6"/>
  <c r="AE59" i="5"/>
  <c r="AF59" i="5" s="1"/>
  <c r="AF52" i="5"/>
  <c r="BT161" i="1"/>
  <c r="BU161" i="1" s="1"/>
  <c r="BU46" i="1"/>
  <c r="AT59" i="5"/>
  <c r="AU59" i="5" s="1"/>
  <c r="AU52" i="5"/>
  <c r="AU57" i="1"/>
  <c r="AU61" i="1" s="1"/>
  <c r="EI57" i="1"/>
  <c r="EI61" i="1" s="1"/>
  <c r="AQ61" i="1"/>
  <c r="AQ117" i="1"/>
  <c r="AY117" i="1"/>
  <c r="BA117" i="1"/>
  <c r="AP71" i="5"/>
  <c r="AP64" i="1"/>
  <c r="AP233" i="1"/>
  <c r="AP234" i="1" s="1"/>
  <c r="AP113" i="1"/>
  <c r="AP173" i="6"/>
  <c r="AO173" i="6" s="1"/>
  <c r="AP57" i="1"/>
  <c r="AM61" i="1"/>
  <c r="EH57" i="1"/>
  <c r="EH61" i="1" s="1"/>
  <c r="BD80" i="1"/>
  <c r="BD111" i="1"/>
  <c r="AJ95" i="6"/>
  <c r="AJ92" i="6"/>
  <c r="AI74" i="5"/>
  <c r="AI75" i="5" s="1"/>
  <c r="AI76" i="5" s="1"/>
  <c r="AN117" i="1"/>
  <c r="AI117" i="1"/>
  <c r="EF38" i="6"/>
  <c r="BA173" i="6"/>
  <c r="BA88" i="6"/>
  <c r="BA74" i="6"/>
  <c r="EF74" i="6" s="1"/>
  <c r="EH113" i="1"/>
  <c r="EH84" i="1"/>
  <c r="EH64" i="1"/>
  <c r="BC234" i="1"/>
  <c r="BC57" i="1"/>
  <c r="BI336" i="1"/>
  <c r="AH117" i="1"/>
  <c r="AC117" i="1"/>
  <c r="BH43" i="1"/>
  <c r="BH193" i="1"/>
  <c r="BO337" i="1"/>
  <c r="Z59" i="5"/>
  <c r="AA59" i="5" s="1"/>
  <c r="AA52" i="5"/>
  <c r="AK372" i="1"/>
  <c r="AZ198" i="1"/>
  <c r="AZ226" i="1" s="1"/>
  <c r="BA196" i="1"/>
  <c r="BA198" i="1" s="1"/>
  <c r="BA226" i="1" s="1"/>
  <c r="DI307" i="1"/>
  <c r="DJ307" i="1"/>
  <c r="AI95" i="6"/>
  <c r="ED91" i="6"/>
  <c r="AI92" i="6"/>
  <c r="EF113" i="1"/>
  <c r="EF84" i="1"/>
  <c r="EF64" i="1"/>
  <c r="BF228" i="1"/>
  <c r="BF233" i="1"/>
  <c r="BU114" i="6"/>
  <c r="X75" i="6"/>
  <c r="AD74" i="5"/>
  <c r="AD75" i="5" s="1"/>
  <c r="AD76" i="5" s="1"/>
  <c r="BV71" i="1"/>
  <c r="DK307" i="1"/>
  <c r="AQ165" i="1"/>
  <c r="AQ196" i="1"/>
  <c r="AQ198" i="1" s="1"/>
  <c r="AQ226" i="1" s="1"/>
  <c r="AU160" i="1"/>
  <c r="AP52" i="5"/>
  <c r="AO59" i="5"/>
  <c r="AP59" i="5" s="1"/>
  <c r="AM117" i="1"/>
  <c r="AR117" i="1"/>
  <c r="DH303" i="1"/>
  <c r="CC26" i="5"/>
  <c r="BC108" i="1"/>
  <c r="BA160" i="1"/>
  <c r="BA165" i="1" s="1"/>
  <c r="BA189" i="1" s="1"/>
  <c r="BF190" i="1" s="1"/>
  <c r="AZ165" i="1"/>
  <c r="AZ189" i="1" s="1"/>
  <c r="AZ192" i="1" s="1"/>
  <c r="BA192" i="1" s="1"/>
  <c r="BF91" i="6"/>
  <c r="EG88" i="6"/>
  <c r="EG42" i="1"/>
  <c r="AD92" i="6"/>
  <c r="EC91" i="6"/>
  <c r="AD95" i="6"/>
  <c r="AA117" i="1"/>
  <c r="BU115" i="6"/>
  <c r="AC74" i="5"/>
  <c r="AC75" i="5" s="1"/>
  <c r="AC76" i="5" s="1"/>
  <c r="AB75" i="6"/>
  <c r="AF75" i="6"/>
  <c r="AA78" i="6"/>
  <c r="EG64" i="1"/>
  <c r="EG113" i="1"/>
  <c r="EG84" i="1"/>
  <c r="DG303" i="1"/>
  <c r="AZ117" i="1"/>
  <c r="BE117" i="1"/>
  <c r="DF303" i="1"/>
  <c r="BC336" i="1"/>
  <c r="AE92" i="6"/>
  <c r="AH170" i="6"/>
  <c r="AE95" i="6"/>
  <c r="AW438" i="1"/>
  <c r="EI42" i="1"/>
  <c r="EI80" i="1" s="1"/>
  <c r="AX438" i="1"/>
  <c r="ED88" i="6"/>
  <c r="BF42" i="1"/>
  <c r="BK190" i="1"/>
  <c r="AD61" i="1"/>
  <c r="EG57" i="1"/>
  <c r="EG61" i="1" s="1"/>
  <c r="BB336" i="1"/>
  <c r="EJ84" i="1"/>
  <c r="EJ64" i="1"/>
  <c r="AQ74" i="5"/>
  <c r="AQ75" i="5" s="1"/>
  <c r="AQ76" i="5" s="1"/>
  <c r="AU233" i="1"/>
  <c r="AU234" i="1" s="1"/>
  <c r="AU64" i="1"/>
  <c r="AU71" i="5"/>
  <c r="AU113" i="1"/>
  <c r="AM74" i="5"/>
  <c r="AM75" i="5" s="1"/>
  <c r="AM76" i="5" s="1"/>
  <c r="AM165" i="1"/>
  <c r="AP160" i="1"/>
  <c r="AM196" i="1"/>
  <c r="AM198" i="1" s="1"/>
  <c r="AM226" i="1" s="1"/>
  <c r="FA38" i="1" l="1"/>
  <c r="FC38" i="1"/>
  <c r="BD116" i="1"/>
  <c r="AY439" i="1"/>
  <c r="AY440" i="1" s="1"/>
  <c r="DT302" i="1"/>
  <c r="DY302" i="1" s="1"/>
  <c r="CM39" i="5"/>
  <c r="CX45" i="5"/>
  <c r="CM34" i="5"/>
  <c r="CX14" i="5"/>
  <c r="CX29" i="5"/>
  <c r="CM35" i="5"/>
  <c r="CM20" i="5"/>
  <c r="CM18" i="5"/>
  <c r="EK54" i="6"/>
  <c r="CM36" i="5"/>
  <c r="CG46" i="5"/>
  <c r="CF41" i="5"/>
  <c r="CB70" i="5"/>
  <c r="CA61" i="5"/>
  <c r="CA48" i="5"/>
  <c r="CA22" i="5"/>
  <c r="CA221" i="5"/>
  <c r="DE208" i="1"/>
  <c r="DX14" i="6"/>
  <c r="CM19" i="5"/>
  <c r="EN134" i="1"/>
  <c r="BR126" i="1"/>
  <c r="BT120" i="1"/>
  <c r="BU120" i="1"/>
  <c r="CS308" i="1"/>
  <c r="CS38" i="1" s="1"/>
  <c r="CR208" i="1"/>
  <c r="CR176" i="1"/>
  <c r="CR166" i="5"/>
  <c r="BL131" i="1"/>
  <c r="CN39" i="5"/>
  <c r="DI302" i="1"/>
  <c r="BE212" i="5"/>
  <c r="BN108" i="1"/>
  <c r="BB61" i="1"/>
  <c r="BS192" i="1"/>
  <c r="BV436" i="1"/>
  <c r="BS362" i="1"/>
  <c r="BZ97" i="6"/>
  <c r="BY410" i="1"/>
  <c r="BS324" i="1"/>
  <c r="BP323" i="1"/>
  <c r="CR165" i="5"/>
  <c r="BF131" i="1"/>
  <c r="EK131" i="1" s="1"/>
  <c r="CS82" i="5"/>
  <c r="CE393" i="1"/>
  <c r="EO67" i="1"/>
  <c r="DU386" i="1"/>
  <c r="DZ386" i="1" s="1"/>
  <c r="DP389" i="1"/>
  <c r="DC390" i="1"/>
  <c r="DH389" i="1"/>
  <c r="DI389" i="1" s="1"/>
  <c r="DJ390" i="1" s="1"/>
  <c r="CG404" i="1"/>
  <c r="CG405" i="1" s="1"/>
  <c r="CG399" i="1"/>
  <c r="CG400" i="1" s="1"/>
  <c r="DK390" i="1"/>
  <c r="DL389" i="1"/>
  <c r="DL390" i="1" s="1"/>
  <c r="DG390" i="1"/>
  <c r="CF407" i="1"/>
  <c r="CR167" i="5"/>
  <c r="BQ272" i="1"/>
  <c r="EL43" i="1"/>
  <c r="BK80" i="1"/>
  <c r="EL80" i="1" s="1"/>
  <c r="CA176" i="6"/>
  <c r="CB176" i="6"/>
  <c r="CC176" i="6"/>
  <c r="CC54" i="6"/>
  <c r="CC90" i="6"/>
  <c r="BN288" i="1"/>
  <c r="BN293" i="1" s="1"/>
  <c r="BO288" i="1"/>
  <c r="BO293" i="1" s="1"/>
  <c r="BM292" i="1"/>
  <c r="BM288" i="1"/>
  <c r="BQ292" i="1"/>
  <c r="BQ288" i="1"/>
  <c r="EK63" i="1"/>
  <c r="AX61" i="1"/>
  <c r="AX116" i="1" s="1"/>
  <c r="BI57" i="1"/>
  <c r="BI234" i="1"/>
  <c r="BI108" i="1"/>
  <c r="BI43" i="1"/>
  <c r="BN111" i="1" s="1"/>
  <c r="BI193" i="1"/>
  <c r="BJ212" i="5"/>
  <c r="BR267" i="1"/>
  <c r="BE337" i="1"/>
  <c r="DN206" i="5"/>
  <c r="DO205" i="5"/>
  <c r="DP205" i="5" s="1"/>
  <c r="DQ205" i="5" s="1"/>
  <c r="DR205" i="5" s="1"/>
  <c r="DS205" i="5" s="1"/>
  <c r="DT205" i="5" s="1"/>
  <c r="DU205" i="5" s="1"/>
  <c r="DV205" i="5" s="1"/>
  <c r="DW205" i="5" s="1"/>
  <c r="DX205" i="5" s="1"/>
  <c r="DX206" i="5" s="1"/>
  <c r="CA44" i="1"/>
  <c r="CS83" i="5"/>
  <c r="CT83" i="5" s="1"/>
  <c r="CO29" i="6"/>
  <c r="CQ11" i="5"/>
  <c r="CP29" i="6"/>
  <c r="CI250" i="1"/>
  <c r="CJ250" i="1" s="1"/>
  <c r="BS267" i="1"/>
  <c r="BD337" i="1"/>
  <c r="BM193" i="1"/>
  <c r="BJ337" i="1"/>
  <c r="BC337" i="1"/>
  <c r="BM338" i="1"/>
  <c r="BH337" i="1"/>
  <c r="EF80" i="1"/>
  <c r="EG80" i="1"/>
  <c r="EH80" i="1"/>
  <c r="BI212" i="5"/>
  <c r="BE438" i="1"/>
  <c r="BE62" i="5" s="1"/>
  <c r="EF117" i="1"/>
  <c r="BY97" i="6"/>
  <c r="BY226" i="5"/>
  <c r="BZ226" i="5" s="1"/>
  <c r="EK66" i="6"/>
  <c r="AS116" i="1"/>
  <c r="BS42" i="1"/>
  <c r="BS190" i="1"/>
  <c r="BS233" i="1"/>
  <c r="BS228" i="1"/>
  <c r="BS229" i="1" s="1"/>
  <c r="BM108" i="1"/>
  <c r="BQ438" i="1"/>
  <c r="BQ63" i="5" s="1"/>
  <c r="BJ438" i="1"/>
  <c r="BK438" i="1" s="1"/>
  <c r="BG212" i="5"/>
  <c r="BG438" i="1"/>
  <c r="BG63" i="5" s="1"/>
  <c r="BI438" i="1"/>
  <c r="BI63" i="5" s="1"/>
  <c r="BH212" i="5"/>
  <c r="BK229" i="1"/>
  <c r="BQ212" i="5"/>
  <c r="BJ338" i="1"/>
  <c r="AW61" i="1"/>
  <c r="AW449" i="1" s="1"/>
  <c r="BJ57" i="1"/>
  <c r="BJ234" i="1"/>
  <c r="BN61" i="1"/>
  <c r="BO108" i="1"/>
  <c r="AS233" i="1"/>
  <c r="AS234" i="1" s="1"/>
  <c r="AS229" i="1"/>
  <c r="AS228" i="1"/>
  <c r="BM234" i="1"/>
  <c r="BM57" i="1"/>
  <c r="BM61" i="1" s="1"/>
  <c r="DL302" i="1"/>
  <c r="BN80" i="1"/>
  <c r="AW80" i="1"/>
  <c r="BB111" i="1"/>
  <c r="BJ43" i="1"/>
  <c r="BO193" i="1"/>
  <c r="BH438" i="1"/>
  <c r="BH63" i="5" s="1"/>
  <c r="BE43" i="1"/>
  <c r="BJ193" i="1"/>
  <c r="BE234" i="1"/>
  <c r="BE57" i="1"/>
  <c r="BE439" i="1" s="1"/>
  <c r="BJ108" i="1"/>
  <c r="DU302" i="1"/>
  <c r="BQ61" i="1"/>
  <c r="DR302" i="1"/>
  <c r="AF57" i="1"/>
  <c r="DI303" i="1"/>
  <c r="BH338" i="1"/>
  <c r="BF334" i="1"/>
  <c r="BH74" i="6"/>
  <c r="BH88" i="6"/>
  <c r="BH91" i="6" s="1"/>
  <c r="BH175" i="6"/>
  <c r="BH173" i="6"/>
  <c r="BG95" i="6"/>
  <c r="BG92" i="6"/>
  <c r="BJ38" i="6"/>
  <c r="BJ150" i="1" s="1"/>
  <c r="BJ152" i="1" s="1"/>
  <c r="BR43" i="1"/>
  <c r="BR193" i="1"/>
  <c r="BG43" i="1"/>
  <c r="BG193" i="1"/>
  <c r="BR212" i="5"/>
  <c r="BR438" i="1"/>
  <c r="BR108" i="1"/>
  <c r="BO338" i="1"/>
  <c r="BR57" i="1"/>
  <c r="BR234" i="1"/>
  <c r="BG108" i="1"/>
  <c r="BG234" i="1"/>
  <c r="BG57" i="1"/>
  <c r="BI74" i="6"/>
  <c r="BI88" i="6"/>
  <c r="BI91" i="6" s="1"/>
  <c r="BI175" i="6"/>
  <c r="BI173" i="6"/>
  <c r="CJ384" i="1"/>
  <c r="EL63" i="6"/>
  <c r="BZ98" i="6"/>
  <c r="BZ178" i="6"/>
  <c r="EK67" i="6"/>
  <c r="CG385" i="1"/>
  <c r="CH381" i="1"/>
  <c r="AO116" i="1"/>
  <c r="AT116" i="1"/>
  <c r="AU117" i="1"/>
  <c r="DT383" i="1"/>
  <c r="DY383" i="1" s="1"/>
  <c r="EC383" i="1" s="1"/>
  <c r="EC381" i="1" s="1"/>
  <c r="DS383" i="1"/>
  <c r="EH117" i="1"/>
  <c r="EL61" i="1"/>
  <c r="AG116" i="1"/>
  <c r="AL116" i="1"/>
  <c r="DV386" i="1"/>
  <c r="EA386" i="1" s="1"/>
  <c r="DS386" i="1"/>
  <c r="AE116" i="1"/>
  <c r="AJ116" i="1"/>
  <c r="BF43" i="1"/>
  <c r="K16" i="128" s="1"/>
  <c r="BK193" i="1"/>
  <c r="AP61" i="1"/>
  <c r="EN46" i="1"/>
  <c r="AK117" i="1"/>
  <c r="AP165" i="1"/>
  <c r="AP196" i="1"/>
  <c r="AP198" i="1" s="1"/>
  <c r="AP226" i="1" s="1"/>
  <c r="EK42" i="1"/>
  <c r="BK108" i="1"/>
  <c r="EL108" i="1" s="1"/>
  <c r="BG336" i="1"/>
  <c r="BK334" i="1"/>
  <c r="DL303" i="1"/>
  <c r="DG308" i="1"/>
  <c r="DG38" i="1" s="1"/>
  <c r="EG117" i="1"/>
  <c r="AF92" i="6"/>
  <c r="AZ42" i="1"/>
  <c r="BE190" i="1"/>
  <c r="DM303" i="1"/>
  <c r="DH308" i="1"/>
  <c r="DH38" i="1" s="1"/>
  <c r="AU165" i="1"/>
  <c r="AU196" i="1"/>
  <c r="AU198" i="1" s="1"/>
  <c r="AU226" i="1" s="1"/>
  <c r="DP307" i="1"/>
  <c r="BA228" i="1"/>
  <c r="BA235" i="1" s="1"/>
  <c r="BA236" i="1" s="1"/>
  <c r="BA233" i="1"/>
  <c r="BI337" i="1"/>
  <c r="BI338" i="1"/>
  <c r="AN116" i="1"/>
  <c r="AJ449" i="1"/>
  <c r="AK449" i="1" s="1"/>
  <c r="AI116" i="1"/>
  <c r="AI449" i="1"/>
  <c r="AL449" i="1"/>
  <c r="AK61" i="1"/>
  <c r="H18" i="128" s="1"/>
  <c r="BN338" i="1"/>
  <c r="AC449" i="1"/>
  <c r="AH116" i="1"/>
  <c r="AC116" i="1"/>
  <c r="BC80" i="1"/>
  <c r="BC111" i="1"/>
  <c r="AF117" i="1"/>
  <c r="BF95" i="6"/>
  <c r="EG91" i="6"/>
  <c r="CC15" i="5"/>
  <c r="DV307" i="1"/>
  <c r="DE176" i="1"/>
  <c r="AU74" i="5"/>
  <c r="AU75" i="5" s="1"/>
  <c r="AU76" i="5" s="1"/>
  <c r="DK303" i="1"/>
  <c r="DF308" i="1"/>
  <c r="DF38" i="1" s="1"/>
  <c r="AF77" i="6"/>
  <c r="BA42" i="1"/>
  <c r="BA43" i="1"/>
  <c r="J16" i="128" s="1"/>
  <c r="CD26" i="5"/>
  <c r="X77" i="6"/>
  <c r="AZ233" i="1"/>
  <c r="AZ228" i="1"/>
  <c r="AZ235" i="1" s="1"/>
  <c r="AZ236" i="1" s="1"/>
  <c r="EF88" i="6"/>
  <c r="BA91" i="6"/>
  <c r="AP117" i="1"/>
  <c r="AQ116" i="1"/>
  <c r="AQ449" i="1"/>
  <c r="AR449" i="1"/>
  <c r="AY116" i="1"/>
  <c r="BH61" i="1"/>
  <c r="BU19" i="1"/>
  <c r="BT98" i="1"/>
  <c r="FC71" i="1"/>
  <c r="FA71" i="1"/>
  <c r="AD449" i="1"/>
  <c r="AD116" i="1"/>
  <c r="AG449" i="1"/>
  <c r="AE449" i="1"/>
  <c r="AF449" i="1" s="1"/>
  <c r="AH449" i="1"/>
  <c r="BT69" i="1"/>
  <c r="BT95" i="1"/>
  <c r="BT71" i="1"/>
  <c r="BT70" i="1"/>
  <c r="BU15" i="1"/>
  <c r="BB337" i="1"/>
  <c r="BF336" i="1"/>
  <c r="BF337" i="1" s="1"/>
  <c r="AB77" i="6"/>
  <c r="BT436" i="1"/>
  <c r="BU436" i="1" s="1"/>
  <c r="BU9" i="1"/>
  <c r="N10" i="128" s="1"/>
  <c r="BZ114" i="6"/>
  <c r="BF234" i="1"/>
  <c r="BF57" i="1"/>
  <c r="AK92" i="6"/>
  <c r="DO307" i="1"/>
  <c r="DN307" i="1"/>
  <c r="AK373" i="1"/>
  <c r="AK376" i="1"/>
  <c r="BH111" i="1"/>
  <c r="BH80" i="1"/>
  <c r="BM111" i="1"/>
  <c r="BC61" i="1"/>
  <c r="BC1" i="1" s="1"/>
  <c r="BC3" i="1" s="1"/>
  <c r="AM116" i="1"/>
  <c r="AN449" i="1"/>
  <c r="AR116" i="1"/>
  <c r="AO449" i="1"/>
  <c r="AP449" i="1" s="1"/>
  <c r="AM449" i="1"/>
  <c r="AP74" i="5"/>
  <c r="AP75" i="5" s="1"/>
  <c r="AP76" i="5" s="1"/>
  <c r="DR307" i="1"/>
  <c r="AK74" i="5"/>
  <c r="AK75" i="5" s="1"/>
  <c r="AK76" i="5" s="1"/>
  <c r="FA24" i="1"/>
  <c r="AF74" i="5"/>
  <c r="AF75" i="5" s="1"/>
  <c r="AF76" i="5" s="1"/>
  <c r="EI117" i="1"/>
  <c r="DJ308" i="1"/>
  <c r="DJ38" i="1" s="1"/>
  <c r="DO303" i="1"/>
  <c r="N20" i="128" l="1"/>
  <c r="CN35" i="5"/>
  <c r="CY45" i="5"/>
  <c r="DH208" i="1"/>
  <c r="CN19" i="5"/>
  <c r="CG41" i="5"/>
  <c r="CF47" i="5"/>
  <c r="CN36" i="5"/>
  <c r="CN20" i="5"/>
  <c r="CY29" i="5"/>
  <c r="CH46" i="5"/>
  <c r="CI46" i="5" s="1"/>
  <c r="CN18" i="5"/>
  <c r="CY14" i="5"/>
  <c r="DJ208" i="1"/>
  <c r="CQ29" i="6"/>
  <c r="CT38" i="1"/>
  <c r="CN34" i="5"/>
  <c r="CO34" i="5" s="1"/>
  <c r="DG208" i="1"/>
  <c r="DF208" i="1"/>
  <c r="EA307" i="1"/>
  <c r="DZ389" i="1"/>
  <c r="EC386" i="1"/>
  <c r="DZ302" i="1"/>
  <c r="CV305" i="1"/>
  <c r="CU305" i="1"/>
  <c r="CT308" i="1"/>
  <c r="CS208" i="1"/>
  <c r="CT208" i="1" s="1"/>
  <c r="CS176" i="1"/>
  <c r="CT176" i="1" s="1"/>
  <c r="CT82" i="5"/>
  <c r="CU82" i="5" s="1"/>
  <c r="AU116" i="1"/>
  <c r="I18" i="128"/>
  <c r="CF122" i="1"/>
  <c r="K17" i="128"/>
  <c r="L17" i="128"/>
  <c r="CO39" i="5"/>
  <c r="DN302" i="1"/>
  <c r="DI308" i="1"/>
  <c r="BW71" i="1"/>
  <c r="BW277" i="1"/>
  <c r="BW272" i="1"/>
  <c r="BB1" i="1"/>
  <c r="BB3" i="1" s="1"/>
  <c r="BU430" i="1"/>
  <c r="BS438" i="1"/>
  <c r="BS63" i="5" s="1"/>
  <c r="BQ324" i="1"/>
  <c r="BV324" i="1"/>
  <c r="BY415" i="1"/>
  <c r="BZ415" i="1" s="1"/>
  <c r="BY416" i="1"/>
  <c r="BZ416" i="1" s="1"/>
  <c r="BZ410" i="1"/>
  <c r="BZ411" i="1" s="1"/>
  <c r="BZ412" i="1" s="1"/>
  <c r="BS327" i="1"/>
  <c r="BS342" i="1" s="1"/>
  <c r="BR327" i="1"/>
  <c r="BR342" i="1" s="1"/>
  <c r="BS126" i="1"/>
  <c r="BQ327" i="1"/>
  <c r="BQ342" i="1" s="1"/>
  <c r="AS235" i="1"/>
  <c r="AS236" i="1" s="1"/>
  <c r="BQ244" i="1"/>
  <c r="CS165" i="5"/>
  <c r="CT165" i="5" s="1"/>
  <c r="CS166" i="5"/>
  <c r="CT166" i="5" s="1"/>
  <c r="BR244" i="1"/>
  <c r="BR248" i="1"/>
  <c r="N22" i="128"/>
  <c r="N23" i="128" s="1"/>
  <c r="CG407" i="1"/>
  <c r="DH390" i="1"/>
  <c r="DI390" i="1" s="1"/>
  <c r="DD390" i="1"/>
  <c r="CH404" i="1"/>
  <c r="CH405" i="1" s="1"/>
  <c r="CH399" i="1"/>
  <c r="CH400" i="1" s="1"/>
  <c r="DP390" i="1"/>
  <c r="DQ389" i="1"/>
  <c r="DQ390" i="1" s="1"/>
  <c r="DM389" i="1"/>
  <c r="DN389" i="1" s="1"/>
  <c r="DO390" i="1" s="1"/>
  <c r="DU389" i="1"/>
  <c r="CS167" i="5"/>
  <c r="CT167" i="5" s="1"/>
  <c r="CD154" i="6"/>
  <c r="CE151" i="6"/>
  <c r="CF154" i="6"/>
  <c r="BO131" i="1"/>
  <c r="BM293" i="1"/>
  <c r="BP288" i="1"/>
  <c r="BQ293" i="1"/>
  <c r="CG277" i="1"/>
  <c r="CG272" i="1"/>
  <c r="CB277" i="1"/>
  <c r="CB272" i="1"/>
  <c r="CI272" i="1"/>
  <c r="CI277" i="1"/>
  <c r="AX1" i="1"/>
  <c r="AX3" i="1" s="1"/>
  <c r="BI80" i="1"/>
  <c r="BI111" i="1"/>
  <c r="BI61" i="1"/>
  <c r="BS322" i="1"/>
  <c r="BE63" i="5"/>
  <c r="DI38" i="1"/>
  <c r="BJ63" i="5"/>
  <c r="DS206" i="5"/>
  <c r="CU83" i="5"/>
  <c r="CR11" i="5"/>
  <c r="BO267" i="1"/>
  <c r="BU25" i="1"/>
  <c r="CK250" i="1"/>
  <c r="AF61" i="1"/>
  <c r="BF438" i="1"/>
  <c r="BF63" i="5" s="1"/>
  <c r="BJ62" i="5"/>
  <c r="BU16" i="1"/>
  <c r="DX383" i="1"/>
  <c r="DX386" i="1"/>
  <c r="BS212" i="5"/>
  <c r="BG62" i="5"/>
  <c r="BH439" i="1"/>
  <c r="BH440" i="1" s="1"/>
  <c r="BI439" i="1"/>
  <c r="BI440" i="1" s="1"/>
  <c r="AX449" i="1"/>
  <c r="BS234" i="1"/>
  <c r="BS57" i="1"/>
  <c r="BS108" i="1"/>
  <c r="BS43" i="1"/>
  <c r="BS193" i="1"/>
  <c r="BI62" i="5"/>
  <c r="BQ62" i="5"/>
  <c r="BH62" i="5"/>
  <c r="BQ439" i="1"/>
  <c r="BQ440" i="1" s="1"/>
  <c r="DQ302" i="1"/>
  <c r="BJ61" i="1"/>
  <c r="BJ80" i="1"/>
  <c r="BO111" i="1"/>
  <c r="AW1" i="1"/>
  <c r="AW3" i="1" s="1"/>
  <c r="AW63" i="1"/>
  <c r="AY449" i="1"/>
  <c r="BA449" i="1" s="1"/>
  <c r="BB116" i="1"/>
  <c r="AW116" i="1"/>
  <c r="BE61" i="1"/>
  <c r="BE449" i="1" s="1"/>
  <c r="BF449" i="1" s="1"/>
  <c r="BJ111" i="1"/>
  <c r="BE80" i="1"/>
  <c r="BQ449" i="1"/>
  <c r="DW302" i="1"/>
  <c r="EB302" i="1" s="1"/>
  <c r="BR61" i="1"/>
  <c r="BR439" i="1"/>
  <c r="BR80" i="1"/>
  <c r="BR111" i="1"/>
  <c r="BJ439" i="1"/>
  <c r="BJ440" i="1" s="1"/>
  <c r="BK440" i="1" s="1"/>
  <c r="BR63" i="5"/>
  <c r="BR62" i="5"/>
  <c r="BH95" i="6"/>
  <c r="BH92" i="6"/>
  <c r="BI92" i="6"/>
  <c r="BI95" i="6"/>
  <c r="BN175" i="6"/>
  <c r="BJ88" i="6"/>
  <c r="BJ91" i="6" s="1"/>
  <c r="BL175" i="6"/>
  <c r="BJ74" i="6"/>
  <c r="BJ175" i="6"/>
  <c r="BK175" i="6" s="1"/>
  <c r="BM175" i="6"/>
  <c r="BK38" i="6"/>
  <c r="BK150" i="1" s="1"/>
  <c r="BK152" i="1" s="1"/>
  <c r="BG61" i="1"/>
  <c r="BG439" i="1"/>
  <c r="BG440" i="1" s="1"/>
  <c r="BG80" i="1"/>
  <c r="BG111" i="1"/>
  <c r="CB178" i="6"/>
  <c r="CA178" i="6"/>
  <c r="CH385" i="1"/>
  <c r="CI381" i="1"/>
  <c r="CK382" i="1" s="1"/>
  <c r="BQ71" i="1"/>
  <c r="EN24" i="1"/>
  <c r="DN303" i="1"/>
  <c r="BU69" i="1"/>
  <c r="EN69" i="1" s="1"/>
  <c r="EN15" i="1"/>
  <c r="BU70" i="1"/>
  <c r="EN70" i="1" s="1"/>
  <c r="DH176" i="1"/>
  <c r="AZ438" i="1"/>
  <c r="BA438" i="1" s="1"/>
  <c r="EJ42" i="1"/>
  <c r="EJ80" i="1" s="1"/>
  <c r="BC438" i="1"/>
  <c r="BD438" i="1"/>
  <c r="BB438" i="1"/>
  <c r="BE108" i="1"/>
  <c r="CE114" i="6"/>
  <c r="CD15" i="5"/>
  <c r="DR303" i="1"/>
  <c r="DM308" i="1"/>
  <c r="DM38" i="1" s="1"/>
  <c r="AZ43" i="1"/>
  <c r="BE193" i="1"/>
  <c r="BG337" i="1"/>
  <c r="BG338" i="1"/>
  <c r="BK336" i="1"/>
  <c r="AP116" i="1"/>
  <c r="I19" i="128" s="1"/>
  <c r="BA95" i="6"/>
  <c r="EF91" i="6"/>
  <c r="DQ303" i="1"/>
  <c r="DL308" i="1"/>
  <c r="DL38" i="1" s="1"/>
  <c r="BF193" i="1"/>
  <c r="DT303" i="1"/>
  <c r="DY303" i="1" s="1"/>
  <c r="DO308" i="1"/>
  <c r="DO38" i="1" s="1"/>
  <c r="EN9" i="1"/>
  <c r="BH116" i="1"/>
  <c r="BM116" i="1"/>
  <c r="Y75" i="6"/>
  <c r="EL33" i="6"/>
  <c r="CE26" i="5"/>
  <c r="DF176" i="1"/>
  <c r="BU116" i="6"/>
  <c r="BE440" i="1"/>
  <c r="BF440" i="1" s="1"/>
  <c r="BF439" i="1"/>
  <c r="DT307" i="1"/>
  <c r="DY307" i="1" s="1"/>
  <c r="DS307" i="1"/>
  <c r="AB78" i="6"/>
  <c r="AC75" i="6"/>
  <c r="EN19" i="1"/>
  <c r="BU98" i="1"/>
  <c r="EN98" i="1" s="1"/>
  <c r="BA80" i="1"/>
  <c r="DJ176" i="1"/>
  <c r="DW307" i="1"/>
  <c r="BT101" i="1"/>
  <c r="BT72" i="1"/>
  <c r="BC116" i="1"/>
  <c r="BC449" i="1"/>
  <c r="EK57" i="1"/>
  <c r="BF61" i="1"/>
  <c r="K18" i="128" s="1"/>
  <c r="BK63" i="5"/>
  <c r="BK62" i="5"/>
  <c r="BU329" i="1"/>
  <c r="BT32" i="1"/>
  <c r="AZ57" i="1"/>
  <c r="AZ234" i="1"/>
  <c r="AF78" i="6"/>
  <c r="AG75" i="6"/>
  <c r="AK75" i="6"/>
  <c r="DP303" i="1"/>
  <c r="DK308" i="1"/>
  <c r="DK38" i="1" s="1"/>
  <c r="BA57" i="1"/>
  <c r="BA61" i="1" s="1"/>
  <c r="BA234" i="1"/>
  <c r="DU307" i="1"/>
  <c r="DG176" i="1"/>
  <c r="BF108" i="1"/>
  <c r="EK108" i="1" s="1"/>
  <c r="BT74" i="1"/>
  <c r="BU31" i="1"/>
  <c r="BT102" i="1"/>
  <c r="EK43" i="1"/>
  <c r="BF80" i="1"/>
  <c r="EK80" i="1" s="1"/>
  <c r="BF111" i="1"/>
  <c r="EK111" i="1" s="1"/>
  <c r="BK111" i="1"/>
  <c r="EL111" i="1" s="1"/>
  <c r="BM267" i="1" l="1"/>
  <c r="BN267" i="1"/>
  <c r="BR322" i="1"/>
  <c r="CG47" i="5"/>
  <c r="CF26" i="5"/>
  <c r="BU112" i="6"/>
  <c r="BU121" i="6" s="1"/>
  <c r="BT120" i="6"/>
  <c r="DO208" i="1"/>
  <c r="CR29" i="6"/>
  <c r="CZ45" i="5"/>
  <c r="DM208" i="1"/>
  <c r="DI208" i="1"/>
  <c r="CZ14" i="5"/>
  <c r="CO20" i="5"/>
  <c r="CO19" i="5"/>
  <c r="CO35" i="5"/>
  <c r="CE15" i="5"/>
  <c r="ER38" i="1"/>
  <c r="CO18" i="5"/>
  <c r="CZ29" i="5"/>
  <c r="CO36" i="5"/>
  <c r="CH41" i="5"/>
  <c r="CO21" i="5"/>
  <c r="CP21" i="5" s="1"/>
  <c r="CQ21" i="5" s="1"/>
  <c r="CR21" i="5" s="1"/>
  <c r="CS21" i="5" s="1"/>
  <c r="DL208" i="1"/>
  <c r="DK208" i="1"/>
  <c r="EA389" i="1"/>
  <c r="EA390" i="1" s="1"/>
  <c r="DZ390" i="1"/>
  <c r="DZ307" i="1"/>
  <c r="DY308" i="1"/>
  <c r="DY38" i="1" s="1"/>
  <c r="EB307" i="1"/>
  <c r="CW305" i="1"/>
  <c r="CV308" i="1"/>
  <c r="CV38" i="1" s="1"/>
  <c r="CU308" i="1"/>
  <c r="CU38" i="1" s="1"/>
  <c r="CB30" i="1"/>
  <c r="CG122" i="1"/>
  <c r="BI267" i="1"/>
  <c r="CU165" i="5"/>
  <c r="AK116" i="1"/>
  <c r="H19" i="128" s="1"/>
  <c r="G18" i="128"/>
  <c r="BA1" i="1"/>
  <c r="BA3" i="1" s="1"/>
  <c r="J18" i="128"/>
  <c r="K19" i="128" s="1"/>
  <c r="L19" i="128"/>
  <c r="CP39" i="5"/>
  <c r="BV120" i="1"/>
  <c r="BV361" i="1"/>
  <c r="BV362" i="1" s="1"/>
  <c r="CA71" i="1"/>
  <c r="BX71" i="1"/>
  <c r="BS62" i="5"/>
  <c r="BS439" i="1"/>
  <c r="BS416" i="1" s="1"/>
  <c r="BS108" i="6" s="1"/>
  <c r="BT126" i="1"/>
  <c r="BR257" i="1"/>
  <c r="CV82" i="5"/>
  <c r="CU166" i="5"/>
  <c r="CH407" i="1"/>
  <c r="BU126" i="1"/>
  <c r="DM390" i="1"/>
  <c r="DN390" i="1" s="1"/>
  <c r="DV389" i="1"/>
  <c r="DV390" i="1" s="1"/>
  <c r="DU390" i="1"/>
  <c r="DR389" i="1"/>
  <c r="DS389" i="1" s="1"/>
  <c r="DT390" i="1" s="1"/>
  <c r="CI399" i="1"/>
  <c r="CI400" i="1" s="1"/>
  <c r="CI404" i="1"/>
  <c r="CI405" i="1" s="1"/>
  <c r="CU167" i="5"/>
  <c r="CI151" i="1"/>
  <c r="CE154" i="6"/>
  <c r="BP131" i="1"/>
  <c r="EM131" i="1" s="1"/>
  <c r="BN131" i="1"/>
  <c r="BP287" i="1"/>
  <c r="BP292" i="1" s="1"/>
  <c r="BP293" i="1"/>
  <c r="CH277" i="1"/>
  <c r="CH272" i="1"/>
  <c r="BR251" i="1"/>
  <c r="BR252" i="1" s="1"/>
  <c r="BI116" i="1"/>
  <c r="BN116" i="1"/>
  <c r="BJ449" i="1"/>
  <c r="BK449" i="1" s="1"/>
  <c r="BH449" i="1"/>
  <c r="BF62" i="5"/>
  <c r="BT26" i="1"/>
  <c r="BU26" i="1" s="1"/>
  <c r="DN38" i="1"/>
  <c r="AF116" i="1"/>
  <c r="G19" i="128" s="1"/>
  <c r="BI449" i="1"/>
  <c r="BG449" i="1"/>
  <c r="CV83" i="5"/>
  <c r="CS11" i="5"/>
  <c r="EL26" i="6"/>
  <c r="CL250" i="1"/>
  <c r="BO257" i="1"/>
  <c r="BO248" i="1"/>
  <c r="BU18" i="1"/>
  <c r="BU20" i="1" s="1"/>
  <c r="N12" i="128" s="1"/>
  <c r="BT16" i="1"/>
  <c r="CD73" i="5"/>
  <c r="CE44" i="5"/>
  <c r="N21" i="128"/>
  <c r="BK439" i="1"/>
  <c r="BS80" i="1"/>
  <c r="BS111" i="1"/>
  <c r="BS61" i="1"/>
  <c r="BQ416" i="1"/>
  <c r="BQ108" i="6" s="1"/>
  <c r="BO116" i="1"/>
  <c r="DV302" i="1"/>
  <c r="DS302" i="1"/>
  <c r="BE1" i="1"/>
  <c r="BE3" i="1" s="1"/>
  <c r="BJ116" i="1"/>
  <c r="DI176" i="1"/>
  <c r="DN308" i="1"/>
  <c r="BG116" i="1"/>
  <c r="BK74" i="6"/>
  <c r="EH38" i="6"/>
  <c r="BK173" i="6"/>
  <c r="BJ173" i="6" s="1"/>
  <c r="BK88" i="6"/>
  <c r="BR416" i="1"/>
  <c r="BR108" i="6" s="1"/>
  <c r="BR440" i="1"/>
  <c r="BJ95" i="6"/>
  <c r="BJ92" i="6"/>
  <c r="BK92" i="6" s="1"/>
  <c r="BR116" i="1"/>
  <c r="BR449" i="1"/>
  <c r="BU71" i="1"/>
  <c r="EN71" i="1" s="1"/>
  <c r="CC178" i="6"/>
  <c r="CC98" i="6"/>
  <c r="CI385" i="1"/>
  <c r="CE67" i="6"/>
  <c r="DS303" i="1"/>
  <c r="BA116" i="1"/>
  <c r="EK61" i="1"/>
  <c r="BF116" i="1"/>
  <c r="EK116" i="1" s="1"/>
  <c r="BK116" i="1"/>
  <c r="EL116" i="1" s="1"/>
  <c r="DL176" i="1"/>
  <c r="BC63" i="5"/>
  <c r="BC62" i="5"/>
  <c r="BT103" i="1"/>
  <c r="BU32" i="1"/>
  <c r="EN28" i="1"/>
  <c r="BU101" i="1"/>
  <c r="EN101" i="1" s="1"/>
  <c r="BU72" i="1"/>
  <c r="EN72" i="1" s="1"/>
  <c r="DV303" i="1"/>
  <c r="EA303" i="1" s="1"/>
  <c r="DQ308" i="1"/>
  <c r="DQ38" i="1" s="1"/>
  <c r="BU74" i="1"/>
  <c r="EN74" i="1" s="1"/>
  <c r="EN31" i="1"/>
  <c r="BU102" i="1"/>
  <c r="EN102" i="1" s="1"/>
  <c r="CA70" i="1"/>
  <c r="CA69" i="1"/>
  <c r="BU343" i="1"/>
  <c r="DK176" i="1"/>
  <c r="AK77" i="6"/>
  <c r="EJ57" i="1"/>
  <c r="EJ61" i="1" s="1"/>
  <c r="AZ61" i="1"/>
  <c r="AZ1" i="1" s="1"/>
  <c r="AZ3" i="1" s="1"/>
  <c r="BD439" i="1"/>
  <c r="BD440" i="1" s="1"/>
  <c r="BC439" i="1"/>
  <c r="BC440" i="1" s="1"/>
  <c r="AZ439" i="1"/>
  <c r="BB439" i="1"/>
  <c r="BB440" i="1" s="1"/>
  <c r="AC77" i="6"/>
  <c r="DX307" i="1"/>
  <c r="DO176" i="1"/>
  <c r="DM176" i="1"/>
  <c r="BB63" i="5"/>
  <c r="BB62" i="5"/>
  <c r="DU303" i="1"/>
  <c r="DZ303" i="1" s="1"/>
  <c r="DP308" i="1"/>
  <c r="DP38" i="1" s="1"/>
  <c r="AG77" i="6"/>
  <c r="Y77" i="6"/>
  <c r="DT308" i="1"/>
  <c r="DT38" i="1" s="1"/>
  <c r="BK337" i="1"/>
  <c r="BK338" i="1"/>
  <c r="AZ80" i="1"/>
  <c r="BE111" i="1"/>
  <c r="DW303" i="1"/>
  <c r="EB303" i="1" s="1"/>
  <c r="DR308" i="1"/>
  <c r="DR38" i="1" s="1"/>
  <c r="BD62" i="5"/>
  <c r="BD63" i="5"/>
  <c r="DZ308" i="1" l="1"/>
  <c r="DZ38" i="1" s="1"/>
  <c r="EC307" i="1"/>
  <c r="CT11" i="5"/>
  <c r="CQ39" i="5"/>
  <c r="CP36" i="5"/>
  <c r="CP18" i="5"/>
  <c r="CP19" i="5"/>
  <c r="DA14" i="5"/>
  <c r="CG26" i="5"/>
  <c r="DY208" i="1"/>
  <c r="DY224" i="1" s="1"/>
  <c r="DY59" i="1" s="1"/>
  <c r="CJ46" i="5"/>
  <c r="CI41" i="5"/>
  <c r="DA29" i="5"/>
  <c r="CP35" i="5"/>
  <c r="CP20" i="5"/>
  <c r="CP34" i="5"/>
  <c r="CO108" i="5"/>
  <c r="DR208" i="1"/>
  <c r="DT208" i="1"/>
  <c r="DA45" i="5"/>
  <c r="DN208" i="1"/>
  <c r="DQ208" i="1"/>
  <c r="DP208" i="1"/>
  <c r="CG154" i="6"/>
  <c r="DY176" i="1"/>
  <c r="DY187" i="1" s="1"/>
  <c r="DZ410" i="1"/>
  <c r="DZ415" i="1" s="1"/>
  <c r="EB389" i="1"/>
  <c r="EC389" i="1" s="1"/>
  <c r="EA410" i="1"/>
  <c r="EA415" i="1" s="1"/>
  <c r="EA302" i="1"/>
  <c r="BV126" i="1"/>
  <c r="CU208" i="1"/>
  <c r="CU176" i="1"/>
  <c r="CV208" i="1"/>
  <c r="CV176" i="1"/>
  <c r="CX305" i="1"/>
  <c r="CW308" i="1"/>
  <c r="CW38" i="1" s="1"/>
  <c r="EC303" i="1"/>
  <c r="EB308" i="1"/>
  <c r="EB38" i="1" s="1"/>
  <c r="CE24" i="1"/>
  <c r="BY210" i="5"/>
  <c r="BY217" i="5" s="1"/>
  <c r="BW210" i="5"/>
  <c r="BW217" i="5" s="1"/>
  <c r="BX210" i="5"/>
  <c r="BX217" i="5" s="1"/>
  <c r="CB72" i="1"/>
  <c r="CV166" i="5"/>
  <c r="BM257" i="1"/>
  <c r="BM248" i="1"/>
  <c r="BS440" i="1"/>
  <c r="CE29" i="1"/>
  <c r="BW361" i="1"/>
  <c r="BW362" i="1" s="1"/>
  <c r="BW436" i="1"/>
  <c r="BX277" i="1"/>
  <c r="BX272" i="1"/>
  <c r="BV277" i="1"/>
  <c r="BV272" i="1"/>
  <c r="EN121" i="1"/>
  <c r="BS449" i="1"/>
  <c r="BU330" i="1"/>
  <c r="BL248" i="1"/>
  <c r="BL257" i="1"/>
  <c r="BM244" i="1"/>
  <c r="CA120" i="1"/>
  <c r="CW82" i="5"/>
  <c r="CV165" i="5"/>
  <c r="CI407" i="1"/>
  <c r="CJ67" i="1" s="1"/>
  <c r="DR390" i="1"/>
  <c r="DS390" i="1" s="1"/>
  <c r="DW389" i="1"/>
  <c r="DX389" i="1" s="1"/>
  <c r="DY390" i="1" s="1"/>
  <c r="CK404" i="1"/>
  <c r="CK405" i="1" s="1"/>
  <c r="CK399" i="1"/>
  <c r="CK400" i="1" s="1"/>
  <c r="CV167" i="5"/>
  <c r="CH154" i="6"/>
  <c r="CD90" i="6"/>
  <c r="CD176" i="6"/>
  <c r="CE176" i="6" s="1"/>
  <c r="CD54" i="6"/>
  <c r="CJ151" i="1"/>
  <c r="EN20" i="1"/>
  <c r="CC272" i="1"/>
  <c r="CC277" i="1"/>
  <c r="CL277" i="1"/>
  <c r="CL272" i="1"/>
  <c r="CA272" i="1"/>
  <c r="CA277" i="1"/>
  <c r="BS244" i="1"/>
  <c r="CA324" i="1"/>
  <c r="BU169" i="6"/>
  <c r="DS38" i="1"/>
  <c r="CW83" i="5"/>
  <c r="CW167" i="5" s="1"/>
  <c r="CS29" i="6"/>
  <c r="CU11" i="5"/>
  <c r="CM250" i="1"/>
  <c r="BJ267" i="1"/>
  <c r="BH267" i="1"/>
  <c r="BT18" i="1"/>
  <c r="BT20" i="1" s="1"/>
  <c r="BU344" i="1"/>
  <c r="BU351" i="1"/>
  <c r="BZ353" i="1" s="1"/>
  <c r="CE73" i="5"/>
  <c r="EN133" i="1"/>
  <c r="BS116" i="1"/>
  <c r="CJ380" i="1"/>
  <c r="CJ381" i="1" s="1"/>
  <c r="CJ385" i="1" s="1"/>
  <c r="DX302" i="1"/>
  <c r="DS308" i="1"/>
  <c r="EH88" i="6"/>
  <c r="BK91" i="6"/>
  <c r="EH74" i="6"/>
  <c r="CD178" i="6"/>
  <c r="CD98" i="6"/>
  <c r="DX303" i="1"/>
  <c r="EL67" i="6"/>
  <c r="CE178" i="6"/>
  <c r="CE98" i="6"/>
  <c r="CK385" i="1"/>
  <c r="CK384" i="1" s="1"/>
  <c r="CL381" i="1"/>
  <c r="DN176" i="1"/>
  <c r="BZ115" i="6"/>
  <c r="AH75" i="6"/>
  <c r="AG78" i="6"/>
  <c r="AC78" i="6"/>
  <c r="AD75" i="6"/>
  <c r="AZ440" i="1"/>
  <c r="BA440" i="1" s="1"/>
  <c r="BA439" i="1"/>
  <c r="AP75" i="6"/>
  <c r="AL75" i="6"/>
  <c r="AK78" i="6"/>
  <c r="DV308" i="1"/>
  <c r="DV38" i="1" s="1"/>
  <c r="CB69" i="1"/>
  <c r="CB70" i="1"/>
  <c r="CB71" i="1"/>
  <c r="DR176" i="1"/>
  <c r="Z75" i="6"/>
  <c r="DP176" i="1"/>
  <c r="BU13" i="5"/>
  <c r="EJ31" i="6"/>
  <c r="CE40" i="5"/>
  <c r="BU103" i="1"/>
  <c r="EN103" i="1" s="1"/>
  <c r="EN32" i="1"/>
  <c r="BU75" i="1"/>
  <c r="EN75" i="1" s="1"/>
  <c r="DT176" i="1"/>
  <c r="DU308" i="1"/>
  <c r="DU38" i="1" s="1"/>
  <c r="BU27" i="5"/>
  <c r="EJ34" i="6"/>
  <c r="DW308" i="1"/>
  <c r="DW38" i="1" s="1"/>
  <c r="BU12" i="5"/>
  <c r="AZ116" i="1"/>
  <c r="BB449" i="1"/>
  <c r="BE116" i="1"/>
  <c r="BD449" i="1"/>
  <c r="DQ176" i="1"/>
  <c r="BG267" i="1" l="1"/>
  <c r="DS208" i="1"/>
  <c r="DZ208" i="1"/>
  <c r="DZ224" i="1" s="1"/>
  <c r="DZ59" i="1" s="1"/>
  <c r="DZ176" i="1"/>
  <c r="DZ187" i="1" s="1"/>
  <c r="CE54" i="6"/>
  <c r="DB45" i="5"/>
  <c r="CQ35" i="5"/>
  <c r="CJ41" i="5"/>
  <c r="DW208" i="1"/>
  <c r="DB14" i="5"/>
  <c r="CQ18" i="5"/>
  <c r="CR39" i="5"/>
  <c r="EP67" i="1"/>
  <c r="CQ20" i="5"/>
  <c r="DB29" i="5"/>
  <c r="CQ34" i="5"/>
  <c r="CQ19" i="5"/>
  <c r="CQ36" i="5"/>
  <c r="DV208" i="1"/>
  <c r="DU208" i="1"/>
  <c r="EO24" i="1"/>
  <c r="CL151" i="1"/>
  <c r="CG90" i="6"/>
  <c r="CG54" i="6"/>
  <c r="EB390" i="1"/>
  <c r="EB410" i="1" s="1"/>
  <c r="EB415" i="1" s="1"/>
  <c r="EA308" i="1"/>
  <c r="EA38" i="1" s="1"/>
  <c r="EC302" i="1"/>
  <c r="EC308" i="1" s="1"/>
  <c r="BI244" i="1"/>
  <c r="CX308" i="1"/>
  <c r="CX38" i="1" s="1"/>
  <c r="CY305" i="1"/>
  <c r="CW208" i="1"/>
  <c r="CW176" i="1"/>
  <c r="EB208" i="1"/>
  <c r="EB176" i="1"/>
  <c r="BW126" i="1"/>
  <c r="CB120" i="1"/>
  <c r="CJ393" i="1"/>
  <c r="CJ391" i="1" s="1"/>
  <c r="CW165" i="5"/>
  <c r="CG176" i="6"/>
  <c r="CK151" i="1"/>
  <c r="FB151" i="1" s="1"/>
  <c r="CC87" i="1"/>
  <c r="CC95" i="1"/>
  <c r="BX361" i="1"/>
  <c r="BX362" i="1" s="1"/>
  <c r="BW120" i="1"/>
  <c r="BX436" i="1"/>
  <c r="BZ276" i="1"/>
  <c r="BZ277" i="1" s="1"/>
  <c r="BV244" i="1"/>
  <c r="BZ271" i="1"/>
  <c r="BZ272" i="1" s="1"/>
  <c r="BT330" i="1"/>
  <c r="BX437" i="1"/>
  <c r="BW446" i="1"/>
  <c r="BX446" i="1"/>
  <c r="BV446" i="1"/>
  <c r="BV437" i="1"/>
  <c r="BW437" i="1"/>
  <c r="CI122" i="1"/>
  <c r="EO121" i="1"/>
  <c r="CW166" i="5"/>
  <c r="BM251" i="1"/>
  <c r="BM252" i="1" s="1"/>
  <c r="CA126" i="1"/>
  <c r="CX82" i="5"/>
  <c r="BP248" i="1"/>
  <c r="DW390" i="1"/>
  <c r="DX390" i="1" s="1"/>
  <c r="BP257" i="1"/>
  <c r="CL399" i="1"/>
  <c r="CL400" i="1" s="1"/>
  <c r="CL404" i="1"/>
  <c r="CL405" i="1" s="1"/>
  <c r="CK407" i="1"/>
  <c r="BQ257" i="1"/>
  <c r="BQ248" i="1"/>
  <c r="CE271" i="1"/>
  <c r="CE272" i="1" s="1"/>
  <c r="CF90" i="6"/>
  <c r="CF54" i="6"/>
  <c r="CF176" i="6"/>
  <c r="CE90" i="6"/>
  <c r="EL90" i="6" s="1"/>
  <c r="EL43" i="6"/>
  <c r="BT209" i="5"/>
  <c r="BU209" i="5" s="1"/>
  <c r="CE276" i="1"/>
  <c r="CE277" i="1" s="1"/>
  <c r="CE258" i="1" s="1"/>
  <c r="CB20" i="1"/>
  <c r="CM272" i="1"/>
  <c r="CM277" i="1"/>
  <c r="BN244" i="1"/>
  <c r="BH244" i="1"/>
  <c r="DX38" i="1"/>
  <c r="CX83" i="5"/>
  <c r="CY83" i="5" s="1"/>
  <c r="CV11" i="5"/>
  <c r="CT29" i="6"/>
  <c r="CU29" i="6"/>
  <c r="CN250" i="1"/>
  <c r="CO250" i="1" s="1"/>
  <c r="BN257" i="1"/>
  <c r="BK267" i="1"/>
  <c r="BN248" i="1"/>
  <c r="BT344" i="1"/>
  <c r="BT437" i="1"/>
  <c r="BU437" i="1" s="1"/>
  <c r="BT446" i="1"/>
  <c r="BU446" i="1" s="1"/>
  <c r="BT169" i="6"/>
  <c r="BT99" i="1"/>
  <c r="BT75" i="1"/>
  <c r="CF73" i="5"/>
  <c r="BZ116" i="6"/>
  <c r="DX308" i="1"/>
  <c r="DS176" i="1"/>
  <c r="BK95" i="6"/>
  <c r="EH91" i="6"/>
  <c r="CL385" i="1"/>
  <c r="CM381" i="1"/>
  <c r="CO384" i="1"/>
  <c r="CC71" i="1"/>
  <c r="CC70" i="1"/>
  <c r="CC69" i="1"/>
  <c r="AP77" i="6"/>
  <c r="DW176" i="1"/>
  <c r="DU176" i="1"/>
  <c r="DV176" i="1"/>
  <c r="O20" i="128"/>
  <c r="Z77" i="6"/>
  <c r="AD77" i="6"/>
  <c r="AH77" i="6"/>
  <c r="AL77" i="6"/>
  <c r="DX208" i="1" l="1"/>
  <c r="CR18" i="5"/>
  <c r="CR36" i="5"/>
  <c r="CL46" i="5"/>
  <c r="CR20" i="5"/>
  <c r="CR35" i="5"/>
  <c r="DC45" i="5"/>
  <c r="CV29" i="6"/>
  <c r="CS39" i="5"/>
  <c r="DC14" i="5"/>
  <c r="CR19" i="5"/>
  <c r="CR34" i="5"/>
  <c r="DC29" i="5"/>
  <c r="EL54" i="6"/>
  <c r="EC38" i="1"/>
  <c r="CI154" i="6"/>
  <c r="EC390" i="1"/>
  <c r="EA176" i="1"/>
  <c r="EA187" i="1" s="1"/>
  <c r="EA208" i="1"/>
  <c r="EA224" i="1" s="1"/>
  <c r="CB126" i="1"/>
  <c r="EO122" i="1"/>
  <c r="DA305" i="1"/>
  <c r="CZ305" i="1"/>
  <c r="CY308" i="1"/>
  <c r="CX208" i="1"/>
  <c r="CY208" i="1" s="1"/>
  <c r="CX176" i="1"/>
  <c r="CY176" i="1" s="1"/>
  <c r="CY38" i="1"/>
  <c r="EB187" i="1"/>
  <c r="EB224" i="1"/>
  <c r="CY82" i="5"/>
  <c r="CB344" i="1"/>
  <c r="CB330" i="1"/>
  <c r="BU215" i="5"/>
  <c r="BU218" i="5"/>
  <c r="BU216" i="5"/>
  <c r="BX120" i="1"/>
  <c r="CB99" i="1"/>
  <c r="BY361" i="1"/>
  <c r="BW267" i="1"/>
  <c r="BW322" i="1"/>
  <c r="BW444" i="1"/>
  <c r="BW445" i="1" s="1"/>
  <c r="CB324" i="1"/>
  <c r="BU272" i="1"/>
  <c r="CA20" i="1"/>
  <c r="CZ82" i="5"/>
  <c r="CX166" i="5"/>
  <c r="CY166" i="5" s="1"/>
  <c r="CX165" i="5"/>
  <c r="CY165" i="5" s="1"/>
  <c r="BS248" i="1"/>
  <c r="CM404" i="1"/>
  <c r="CM405" i="1" s="1"/>
  <c r="CM399" i="1"/>
  <c r="CM400" i="1" s="1"/>
  <c r="CL407" i="1"/>
  <c r="FB121" i="1"/>
  <c r="EP121" i="1"/>
  <c r="CX167" i="5"/>
  <c r="CY167" i="5" s="1"/>
  <c r="BQ251" i="1"/>
  <c r="BQ252" i="1" s="1"/>
  <c r="BS257" i="1"/>
  <c r="BT215" i="5"/>
  <c r="BT216" i="5"/>
  <c r="BW169" i="6"/>
  <c r="CJ151" i="6"/>
  <c r="CK154" i="6"/>
  <c r="CJ154" i="6"/>
  <c r="BT218" i="5"/>
  <c r="CH291" i="1"/>
  <c r="CN277" i="1"/>
  <c r="CN272" i="1"/>
  <c r="CF277" i="1"/>
  <c r="CJ276" i="1"/>
  <c r="CJ277" i="1" s="1"/>
  <c r="CJ258" i="1" s="1"/>
  <c r="CJ271" i="1"/>
  <c r="CJ272" i="1" s="1"/>
  <c r="CF272" i="1"/>
  <c r="BN251" i="1"/>
  <c r="BN252" i="1" s="1"/>
  <c r="BG244" i="1"/>
  <c r="CZ83" i="5"/>
  <c r="CW11" i="5"/>
  <c r="CP250" i="1"/>
  <c r="BK244" i="1"/>
  <c r="CC98" i="1"/>
  <c r="BJ244" i="1"/>
  <c r="CG73" i="5"/>
  <c r="CE116" i="6"/>
  <c r="CF98" i="6"/>
  <c r="CF178" i="6"/>
  <c r="CM385" i="1"/>
  <c r="CN381" i="1"/>
  <c r="CG178" i="6"/>
  <c r="CG98" i="6"/>
  <c r="DX176" i="1"/>
  <c r="AL78" i="6"/>
  <c r="AM75" i="6"/>
  <c r="CJ26" i="5"/>
  <c r="AI75" i="6"/>
  <c r="AH78" i="6"/>
  <c r="AP78" i="6"/>
  <c r="AU75" i="6"/>
  <c r="AU77" i="6" s="1"/>
  <c r="AQ75" i="6"/>
  <c r="EJ30" i="6"/>
  <c r="EO134" i="1"/>
  <c r="AD78" i="6"/>
  <c r="AE75" i="6"/>
  <c r="CW29" i="6" l="1"/>
  <c r="CL41" i="5"/>
  <c r="DD14" i="5"/>
  <c r="CS35" i="5"/>
  <c r="CS20" i="5"/>
  <c r="CS36" i="5"/>
  <c r="CS18" i="5"/>
  <c r="CS34" i="5"/>
  <c r="CT39" i="5"/>
  <c r="DD45" i="5"/>
  <c r="CM46" i="5"/>
  <c r="CJ15" i="5"/>
  <c r="DD29" i="5"/>
  <c r="CS19" i="5"/>
  <c r="CK122" i="1"/>
  <c r="FB122" i="1" s="1"/>
  <c r="EC208" i="1"/>
  <c r="EC176" i="1"/>
  <c r="EC187" i="1"/>
  <c r="EA59" i="1"/>
  <c r="CZ308" i="1"/>
  <c r="CZ38" i="1" s="1"/>
  <c r="DB305" i="1"/>
  <c r="DA308" i="1"/>
  <c r="DA38" i="1" s="1"/>
  <c r="EC224" i="1"/>
  <c r="EC59" i="1" s="1"/>
  <c r="EB59" i="1"/>
  <c r="CC120" i="1"/>
  <c r="BY126" i="1"/>
  <c r="CZ165" i="5"/>
  <c r="CA446" i="1"/>
  <c r="CM151" i="1"/>
  <c r="BV169" i="6"/>
  <c r="BV209" i="5"/>
  <c r="BW209" i="5"/>
  <c r="BW218" i="5" s="1"/>
  <c r="BY120" i="1"/>
  <c r="BX322" i="1"/>
  <c r="BX267" i="1"/>
  <c r="CA437" i="1"/>
  <c r="CA99" i="1"/>
  <c r="CA39" i="1"/>
  <c r="BZ120" i="1"/>
  <c r="BZ361" i="1"/>
  <c r="BW336" i="1"/>
  <c r="BW443" i="1"/>
  <c r="BW41" i="1"/>
  <c r="BW79" i="1" s="1"/>
  <c r="BY165" i="1"/>
  <c r="BY189" i="1" s="1"/>
  <c r="BW324" i="1"/>
  <c r="BW327" i="1"/>
  <c r="BW165" i="1"/>
  <c r="BW189" i="1" s="1"/>
  <c r="CA344" i="1"/>
  <c r="CA330" i="1"/>
  <c r="CB446" i="1"/>
  <c r="CA75" i="1"/>
  <c r="CA77" i="1"/>
  <c r="CA76" i="1"/>
  <c r="CB437" i="1"/>
  <c r="DA82" i="5"/>
  <c r="CZ166" i="5"/>
  <c r="BS251" i="1"/>
  <c r="BS252" i="1" s="1"/>
  <c r="CM407" i="1"/>
  <c r="CN404" i="1"/>
  <c r="CN405" i="1" s="1"/>
  <c r="CN399" i="1"/>
  <c r="CN400" i="1" s="1"/>
  <c r="CZ167" i="5"/>
  <c r="CH176" i="6"/>
  <c r="CH90" i="6"/>
  <c r="CH54" i="6"/>
  <c r="CH288" i="1"/>
  <c r="CH293" i="1" s="1"/>
  <c r="CO271" i="1"/>
  <c r="CO272" i="1" s="1"/>
  <c r="CK272" i="1"/>
  <c r="CK277" i="1"/>
  <c r="CO276" i="1"/>
  <c r="CO277" i="1" s="1"/>
  <c r="CO258" i="1" s="1"/>
  <c r="CC20" i="1"/>
  <c r="DA83" i="5"/>
  <c r="CX11" i="5"/>
  <c r="CQ250" i="1"/>
  <c r="CB267" i="1"/>
  <c r="CH73" i="5"/>
  <c r="AT58" i="1"/>
  <c r="O21" i="128"/>
  <c r="CN385" i="1"/>
  <c r="CP381" i="1"/>
  <c r="BW229" i="5"/>
  <c r="AM77" i="6"/>
  <c r="CL26" i="5"/>
  <c r="AQ77" i="6"/>
  <c r="BT444" i="1"/>
  <c r="BT171" i="6"/>
  <c r="BU17" i="5"/>
  <c r="BT164" i="1"/>
  <c r="BW171" i="6"/>
  <c r="AE77" i="6"/>
  <c r="AI77" i="6"/>
  <c r="CK15" i="5" l="1"/>
  <c r="CL122" i="1"/>
  <c r="CY11" i="5"/>
  <c r="DE29" i="5"/>
  <c r="CN46" i="5"/>
  <c r="DE45" i="5"/>
  <c r="CT18" i="5"/>
  <c r="CT20" i="5"/>
  <c r="DE14" i="5"/>
  <c r="CT34" i="5"/>
  <c r="CL33" i="6"/>
  <c r="CT19" i="5"/>
  <c r="CT21" i="5"/>
  <c r="CU21" i="5" s="1"/>
  <c r="CV21" i="5" s="1"/>
  <c r="CW21" i="5" s="1"/>
  <c r="CX21" i="5" s="1"/>
  <c r="CU39" i="5"/>
  <c r="CT36" i="5"/>
  <c r="CT35" i="5"/>
  <c r="CM41" i="5"/>
  <c r="CL154" i="6"/>
  <c r="CD120" i="1"/>
  <c r="DA208" i="1"/>
  <c r="DA176" i="1"/>
  <c r="CZ208" i="1"/>
  <c r="CZ176" i="1"/>
  <c r="DC305" i="1"/>
  <c r="DB308" i="1"/>
  <c r="DB38" i="1" s="1"/>
  <c r="DD305" i="1"/>
  <c r="CC344" i="1"/>
  <c r="CB342" i="1"/>
  <c r="BW215" i="5"/>
  <c r="DA165" i="5"/>
  <c r="P21" i="128"/>
  <c r="BW216" i="5"/>
  <c r="BX209" i="5"/>
  <c r="DA166" i="5"/>
  <c r="CA106" i="1"/>
  <c r="BV65" i="5"/>
  <c r="BV216" i="5"/>
  <c r="BV218" i="5"/>
  <c r="BV215" i="5"/>
  <c r="BX336" i="1"/>
  <c r="CC99" i="1"/>
  <c r="BW338" i="1"/>
  <c r="BW337" i="1"/>
  <c r="BV257" i="1"/>
  <c r="BW192" i="1"/>
  <c r="BW42" i="1"/>
  <c r="BW190" i="1"/>
  <c r="BW342" i="1"/>
  <c r="BY42" i="1"/>
  <c r="BY81" i="1" s="1"/>
  <c r="BY192" i="1"/>
  <c r="BY43" i="1" s="1"/>
  <c r="BT445" i="1"/>
  <c r="CC324" i="1"/>
  <c r="CA41" i="1"/>
  <c r="CA78" i="1"/>
  <c r="DB82" i="5"/>
  <c r="CN407" i="1"/>
  <c r="CP404" i="1"/>
  <c r="CP405" i="1" s="1"/>
  <c r="CP399" i="1"/>
  <c r="CP400" i="1" s="1"/>
  <c r="DB83" i="5"/>
  <c r="DA167" i="5"/>
  <c r="CC437" i="1"/>
  <c r="CP272" i="1"/>
  <c r="CP277" i="1"/>
  <c r="CB322" i="1"/>
  <c r="CX29" i="6"/>
  <c r="BX169" i="6"/>
  <c r="CC446" i="1"/>
  <c r="CZ11" i="5"/>
  <c r="CR250" i="1"/>
  <c r="CC267" i="1"/>
  <c r="CB444" i="1"/>
  <c r="CB445" i="1" s="1"/>
  <c r="CJ44" i="5"/>
  <c r="CI73" i="5"/>
  <c r="EO133" i="1"/>
  <c r="CP385" i="1"/>
  <c r="CP384" i="1" s="1"/>
  <c r="CQ381" i="1"/>
  <c r="CH98" i="6"/>
  <c r="CH178" i="6"/>
  <c r="AS58" i="1"/>
  <c r="BU171" i="6"/>
  <c r="BU444" i="1"/>
  <c r="BU443" i="1"/>
  <c r="EJ11" i="6"/>
  <c r="CM26" i="5"/>
  <c r="AN75" i="6"/>
  <c r="AM78" i="6"/>
  <c r="AI78" i="6"/>
  <c r="AJ75" i="6"/>
  <c r="AE78" i="6"/>
  <c r="BU164" i="1"/>
  <c r="CL15" i="5"/>
  <c r="CC167" i="1"/>
  <c r="AQ78" i="6"/>
  <c r="AR75" i="6"/>
  <c r="CM122" i="1" l="1"/>
  <c r="CU35" i="5"/>
  <c r="CU34" i="5"/>
  <c r="CT108" i="5"/>
  <c r="CU20" i="5"/>
  <c r="CU19" i="5"/>
  <c r="DF45" i="5"/>
  <c r="DF29" i="5"/>
  <c r="CY29" i="6"/>
  <c r="CO67" i="1"/>
  <c r="CN41" i="5"/>
  <c r="CU36" i="5"/>
  <c r="DF14" i="5"/>
  <c r="CU18" i="5"/>
  <c r="CM33" i="6"/>
  <c r="CV39" i="5"/>
  <c r="CO46" i="5"/>
  <c r="CM154" i="6"/>
  <c r="CD126" i="1"/>
  <c r="CJ29" i="1"/>
  <c r="DD308" i="1"/>
  <c r="DC308" i="1"/>
  <c r="DC38" i="1" s="1"/>
  <c r="DB208" i="1"/>
  <c r="DB176" i="1"/>
  <c r="BW81" i="1"/>
  <c r="DB166" i="5"/>
  <c r="CF120" i="1"/>
  <c r="CE115" i="6"/>
  <c r="BY80" i="1"/>
  <c r="FB133" i="1"/>
  <c r="BX216" i="5"/>
  <c r="BX218" i="5"/>
  <c r="BX215" i="5"/>
  <c r="BX337" i="1"/>
  <c r="BX338" i="1"/>
  <c r="CE120" i="1"/>
  <c r="BX324" i="1"/>
  <c r="BX327" i="1"/>
  <c r="BX342" i="1" s="1"/>
  <c r="CA79" i="1"/>
  <c r="CA107" i="1"/>
  <c r="CC102" i="1"/>
  <c r="BW244" i="1"/>
  <c r="BX444" i="1"/>
  <c r="BX445" i="1" s="1"/>
  <c r="BX41" i="1"/>
  <c r="BW43" i="1"/>
  <c r="BW193" i="1"/>
  <c r="BV248" i="1"/>
  <c r="BV251" i="1"/>
  <c r="BV252" i="1" s="1"/>
  <c r="BW257" i="1"/>
  <c r="BU445" i="1"/>
  <c r="CB328" i="1"/>
  <c r="BV72" i="5"/>
  <c r="DB165" i="5"/>
  <c r="DC82" i="5"/>
  <c r="CP407" i="1"/>
  <c r="CQ399" i="1"/>
  <c r="CQ400" i="1" s="1"/>
  <c r="CQ404" i="1"/>
  <c r="CQ405" i="1" s="1"/>
  <c r="DC83" i="5"/>
  <c r="DC167" i="5" s="1"/>
  <c r="DB167" i="5"/>
  <c r="CN154" i="6"/>
  <c r="CA248" i="1"/>
  <c r="CA257" i="1"/>
  <c r="CB352" i="1"/>
  <c r="CB353" i="1"/>
  <c r="CC366" i="1"/>
  <c r="CC367" i="1" s="1"/>
  <c r="CC322" i="1"/>
  <c r="CA342" i="1"/>
  <c r="DA11" i="5"/>
  <c r="CZ29" i="6"/>
  <c r="CL26" i="6"/>
  <c r="CS250" i="1"/>
  <c r="CA267" i="1"/>
  <c r="BX171" i="6"/>
  <c r="CC444" i="1"/>
  <c r="CC445" i="1" s="1"/>
  <c r="EO101" i="1"/>
  <c r="CJ73" i="5"/>
  <c r="CR381" i="1"/>
  <c r="CQ385" i="1"/>
  <c r="CT384" i="1"/>
  <c r="CC187" i="1"/>
  <c r="BX229" i="5" s="1"/>
  <c r="AN77" i="6"/>
  <c r="CM15" i="5"/>
  <c r="CJ40" i="5"/>
  <c r="AR77" i="6"/>
  <c r="CA444" i="1"/>
  <c r="CA445" i="1" s="1"/>
  <c r="BV171" i="6"/>
  <c r="AJ77" i="6"/>
  <c r="CN26" i="5"/>
  <c r="CN122" i="1" l="1"/>
  <c r="CO393" i="1"/>
  <c r="CO391" i="1" s="1"/>
  <c r="CU391" i="1" s="1"/>
  <c r="CZ391" i="1" s="1"/>
  <c r="DE391" i="1" s="1"/>
  <c r="DJ391" i="1" s="1"/>
  <c r="DO391" i="1" s="1"/>
  <c r="DT391" i="1" s="1"/>
  <c r="DY391" i="1" s="1"/>
  <c r="EQ67" i="1"/>
  <c r="DA29" i="6"/>
  <c r="DD38" i="1"/>
  <c r="CP46" i="5"/>
  <c r="CW39" i="5"/>
  <c r="CV18" i="5"/>
  <c r="CV19" i="5"/>
  <c r="CV34" i="5"/>
  <c r="CN33" i="6"/>
  <c r="CV36" i="5"/>
  <c r="DG45" i="5"/>
  <c r="CM26" i="6"/>
  <c r="CO63" i="6"/>
  <c r="DG14" i="5"/>
  <c r="CV20" i="5"/>
  <c r="CO41" i="5"/>
  <c r="DG29" i="5"/>
  <c r="CV35" i="5"/>
  <c r="DC208" i="1"/>
  <c r="DD208" i="1" s="1"/>
  <c r="DC176" i="1"/>
  <c r="DD176" i="1" s="1"/>
  <c r="CG120" i="1"/>
  <c r="DD82" i="5"/>
  <c r="DE82" i="5" s="1"/>
  <c r="CF126" i="1"/>
  <c r="DD83" i="5"/>
  <c r="CB104" i="1"/>
  <c r="CB76" i="1"/>
  <c r="CB248" i="1"/>
  <c r="CB257" i="1"/>
  <c r="BW248" i="1"/>
  <c r="BX244" i="1"/>
  <c r="BX79" i="1"/>
  <c r="BW80" i="1"/>
  <c r="BX165" i="1"/>
  <c r="BX189" i="1" s="1"/>
  <c r="BZ164" i="1"/>
  <c r="BZ165" i="1" s="1"/>
  <c r="BZ189" i="1" s="1"/>
  <c r="BZ42" i="1" s="1"/>
  <c r="BZ81" i="1" s="1"/>
  <c r="CA328" i="1"/>
  <c r="DC166" i="5"/>
  <c r="DD166" i="5" s="1"/>
  <c r="DC165" i="5"/>
  <c r="DD165" i="5" s="1"/>
  <c r="CQ407" i="1"/>
  <c r="CQ393" i="1" s="1"/>
  <c r="CQ67" i="1" s="1"/>
  <c r="CR399" i="1"/>
  <c r="CR400" i="1" s="1"/>
  <c r="CR404" i="1"/>
  <c r="CR405" i="1" s="1"/>
  <c r="DE83" i="5"/>
  <c r="DF167" i="5" s="1"/>
  <c r="CP154" i="6"/>
  <c r="CO151" i="6"/>
  <c r="CL291" i="1"/>
  <c r="CR277" i="1"/>
  <c r="CR272" i="1"/>
  <c r="CQ272" i="1"/>
  <c r="CQ277" i="1"/>
  <c r="CB244" i="1"/>
  <c r="CT250" i="1"/>
  <c r="CA322" i="1"/>
  <c r="BW72" i="5"/>
  <c r="DD167" i="5"/>
  <c r="DB11" i="5"/>
  <c r="FB29" i="1"/>
  <c r="CU250" i="1"/>
  <c r="CL44" i="5"/>
  <c r="CK73" i="5"/>
  <c r="CK98" i="6"/>
  <c r="CK178" i="6"/>
  <c r="CL178" i="6"/>
  <c r="CL98" i="6"/>
  <c r="CR385" i="1"/>
  <c r="CS381" i="1"/>
  <c r="BX72" i="5"/>
  <c r="AJ78" i="6"/>
  <c r="BA75" i="6"/>
  <c r="BA77" i="6" s="1"/>
  <c r="AS75" i="6"/>
  <c r="AR78" i="6"/>
  <c r="AW75" i="6"/>
  <c r="AW77" i="6" s="1"/>
  <c r="CN15" i="5"/>
  <c r="AO75" i="6"/>
  <c r="AN78" i="6"/>
  <c r="CO26" i="5"/>
  <c r="EP134" i="1"/>
  <c r="DB29" i="6" l="1"/>
  <c r="DH29" i="5"/>
  <c r="CW36" i="5"/>
  <c r="CW19" i="5"/>
  <c r="CX39" i="5"/>
  <c r="CP26" i="5"/>
  <c r="CQ26" i="5" s="1"/>
  <c r="CW20" i="5"/>
  <c r="CW35" i="5"/>
  <c r="CP41" i="5"/>
  <c r="DH45" i="5"/>
  <c r="CO33" i="6"/>
  <c r="CW34" i="5"/>
  <c r="CW18" i="5"/>
  <c r="CQ46" i="5"/>
  <c r="CO15" i="5"/>
  <c r="DH14" i="5"/>
  <c r="CG126" i="1"/>
  <c r="DE166" i="5"/>
  <c r="CB251" i="1"/>
  <c r="CB252" i="1" s="1"/>
  <c r="CC248" i="1"/>
  <c r="BW251" i="1"/>
  <c r="BW252" i="1" s="1"/>
  <c r="BX42" i="1"/>
  <c r="BX81" i="1" s="1"/>
  <c r="BX192" i="1"/>
  <c r="BX190" i="1"/>
  <c r="CH120" i="1"/>
  <c r="EN119" i="1"/>
  <c r="DE165" i="5"/>
  <c r="DF82" i="5"/>
  <c r="CS404" i="1"/>
  <c r="CS405" i="1" s="1"/>
  <c r="CS399" i="1"/>
  <c r="CS400" i="1" s="1"/>
  <c r="CR407" i="1"/>
  <c r="CR393" i="1" s="1"/>
  <c r="CR67" i="1" s="1"/>
  <c r="EQ121" i="1"/>
  <c r="DE167" i="5"/>
  <c r="DI167" i="5" s="1"/>
  <c r="CO154" i="6"/>
  <c r="CL288" i="1"/>
  <c r="CL293" i="1" s="1"/>
  <c r="CM288" i="1"/>
  <c r="CM293" i="1" s="1"/>
  <c r="CC244" i="1"/>
  <c r="CA353" i="1"/>
  <c r="CA352" i="1"/>
  <c r="DC11" i="5"/>
  <c r="CN26" i="6"/>
  <c r="CV250" i="1"/>
  <c r="CL73" i="5"/>
  <c r="CM44" i="5"/>
  <c r="CU381" i="1"/>
  <c r="CS385" i="1"/>
  <c r="BF75" i="6"/>
  <c r="BA78" i="6"/>
  <c r="BB75" i="6"/>
  <c r="AO77" i="6"/>
  <c r="CL40" i="5"/>
  <c r="AS77" i="6"/>
  <c r="EY67" i="1" l="1"/>
  <c r="CP122" i="1"/>
  <c r="EY122" i="1" s="1"/>
  <c r="EY121" i="1"/>
  <c r="CP15" i="5"/>
  <c r="CX20" i="5"/>
  <c r="CP33" i="6"/>
  <c r="CX19" i="5"/>
  <c r="DI29" i="5"/>
  <c r="CX18" i="5"/>
  <c r="CQ41" i="5"/>
  <c r="CO26" i="6"/>
  <c r="CY39" i="5"/>
  <c r="CX36" i="5"/>
  <c r="CQ33" i="6"/>
  <c r="DD11" i="5"/>
  <c r="DI14" i="5"/>
  <c r="CR46" i="5"/>
  <c r="CX34" i="5"/>
  <c r="DI45" i="5"/>
  <c r="CX35" i="5"/>
  <c r="CQ154" i="6"/>
  <c r="EN120" i="1"/>
  <c r="DF166" i="5"/>
  <c r="CC257" i="1"/>
  <c r="BX257" i="1"/>
  <c r="BX248" i="1"/>
  <c r="CC251" i="1"/>
  <c r="CC252" i="1" s="1"/>
  <c r="BZ192" i="1"/>
  <c r="BZ43" i="1" s="1"/>
  <c r="BZ80" i="1" s="1"/>
  <c r="BX43" i="1"/>
  <c r="BX193" i="1"/>
  <c r="BY438" i="1"/>
  <c r="EN125" i="1"/>
  <c r="CI120" i="1"/>
  <c r="EO119" i="1"/>
  <c r="CO122" i="1"/>
  <c r="EQ122" i="1" s="1"/>
  <c r="DG82" i="5"/>
  <c r="DF165" i="5"/>
  <c r="EP119" i="1"/>
  <c r="CS407" i="1"/>
  <c r="CS393" i="1" s="1"/>
  <c r="CS67" i="1" s="1"/>
  <c r="CU404" i="1"/>
  <c r="CU405" i="1" s="1"/>
  <c r="CU399" i="1"/>
  <c r="CU400" i="1" s="1"/>
  <c r="CR154" i="6"/>
  <c r="CM291" i="1"/>
  <c r="CS277" i="1"/>
  <c r="CT276" i="1"/>
  <c r="CT277" i="1" s="1"/>
  <c r="CT258" i="1" s="1"/>
  <c r="CS272" i="1"/>
  <c r="CT271" i="1"/>
  <c r="CT272" i="1" s="1"/>
  <c r="CA244" i="1"/>
  <c r="CA251" i="1"/>
  <c r="DC29" i="6"/>
  <c r="DE11" i="5"/>
  <c r="CP26" i="6"/>
  <c r="CW250" i="1"/>
  <c r="CM73" i="5"/>
  <c r="CN44" i="5"/>
  <c r="CT380" i="1"/>
  <c r="CT381" i="1" s="1"/>
  <c r="CT385" i="1" s="1"/>
  <c r="CU385" i="1"/>
  <c r="CU384" i="1" s="1"/>
  <c r="CV381" i="1"/>
  <c r="CN178" i="6"/>
  <c r="CN98" i="6"/>
  <c r="CM178" i="6"/>
  <c r="CM98" i="6"/>
  <c r="CO67" i="6"/>
  <c r="AS78" i="6"/>
  <c r="AT75" i="6"/>
  <c r="AX75" i="6"/>
  <c r="AX77" i="6" s="1"/>
  <c r="CR26" i="5"/>
  <c r="BF77" i="6"/>
  <c r="BF86" i="6" s="1"/>
  <c r="CM40" i="5"/>
  <c r="AO78" i="6"/>
  <c r="BB77" i="6"/>
  <c r="FA67" i="1" l="1"/>
  <c r="FD55" i="1"/>
  <c r="FC67" i="1"/>
  <c r="CQ15" i="5"/>
  <c r="CQ122" i="1"/>
  <c r="DE29" i="6"/>
  <c r="CR33" i="6"/>
  <c r="DD29" i="6"/>
  <c r="CY35" i="5"/>
  <c r="CY34" i="5"/>
  <c r="DJ14" i="5"/>
  <c r="CY36" i="5"/>
  <c r="CR41" i="5"/>
  <c r="DJ29" i="5"/>
  <c r="CY20" i="5"/>
  <c r="CJ25" i="1"/>
  <c r="CY21" i="5"/>
  <c r="CZ21" i="5" s="1"/>
  <c r="DA21" i="5" s="1"/>
  <c r="DB21" i="5" s="1"/>
  <c r="DC21" i="5" s="1"/>
  <c r="CT67" i="1"/>
  <c r="DJ45" i="5"/>
  <c r="CS46" i="5"/>
  <c r="CZ39" i="5"/>
  <c r="CY18" i="5"/>
  <c r="CY19" i="5"/>
  <c r="EO120" i="1"/>
  <c r="DG166" i="5"/>
  <c r="Q21" i="128"/>
  <c r="BZ438" i="1"/>
  <c r="BT64" i="5"/>
  <c r="DX162" i="5"/>
  <c r="BX251" i="1"/>
  <c r="BX252" i="1" s="1"/>
  <c r="BX80" i="1"/>
  <c r="CI126" i="1"/>
  <c r="EO125" i="1"/>
  <c r="CJ120" i="1"/>
  <c r="EP120" i="1" s="1"/>
  <c r="DH82" i="5"/>
  <c r="DG165" i="5"/>
  <c r="FB119" i="1"/>
  <c r="CU407" i="1"/>
  <c r="CU393" i="1" s="1"/>
  <c r="CU67" i="1" s="1"/>
  <c r="CV399" i="1"/>
  <c r="CV400" i="1" s="1"/>
  <c r="CV404" i="1"/>
  <c r="CV405" i="1" s="1"/>
  <c r="CV277" i="1"/>
  <c r="CV272" i="1"/>
  <c r="CU277" i="1"/>
  <c r="CU272" i="1"/>
  <c r="CA252" i="1"/>
  <c r="DF11" i="5"/>
  <c r="CQ26" i="6"/>
  <c r="CX250" i="1"/>
  <c r="CY250" i="1" s="1"/>
  <c r="CN73" i="5"/>
  <c r="CO44" i="5"/>
  <c r="EK58" i="1"/>
  <c r="EP133" i="1"/>
  <c r="CW381" i="1"/>
  <c r="CV385" i="1"/>
  <c r="CP63" i="6"/>
  <c r="CY384" i="1"/>
  <c r="CO178" i="6"/>
  <c r="CO98" i="6"/>
  <c r="CN40" i="5"/>
  <c r="CS26" i="5"/>
  <c r="AT77" i="6"/>
  <c r="BB78" i="6"/>
  <c r="BC75" i="6"/>
  <c r="CR15" i="5"/>
  <c r="BK75" i="6"/>
  <c r="BF78" i="6"/>
  <c r="BG75" i="6"/>
  <c r="CT393" i="1" l="1"/>
  <c r="CT391" i="1" s="1"/>
  <c r="ER67" i="1"/>
  <c r="DK29" i="5"/>
  <c r="CZ36" i="5"/>
  <c r="CZ34" i="5"/>
  <c r="CY108" i="5"/>
  <c r="CZ18" i="5"/>
  <c r="CT46" i="5"/>
  <c r="CT63" i="6"/>
  <c r="CZ20" i="5"/>
  <c r="CS41" i="5"/>
  <c r="DK14" i="5"/>
  <c r="CZ35" i="5"/>
  <c r="CS33" i="6"/>
  <c r="CO29" i="1"/>
  <c r="DF29" i="6"/>
  <c r="CZ19" i="5"/>
  <c r="DA39" i="5"/>
  <c r="DK45" i="5"/>
  <c r="CS154" i="6"/>
  <c r="CK120" i="1"/>
  <c r="FB120" i="1" s="1"/>
  <c r="EO126" i="1"/>
  <c r="DI82" i="5"/>
  <c r="EP125" i="1"/>
  <c r="P22" i="128"/>
  <c r="DH166" i="5"/>
  <c r="DI166" i="5" s="1"/>
  <c r="DH165" i="5"/>
  <c r="DI165" i="5" s="1"/>
  <c r="FB125" i="1"/>
  <c r="CV407" i="1"/>
  <c r="CV393" i="1" s="1"/>
  <c r="CV67" i="1" s="1"/>
  <c r="CW399" i="1"/>
  <c r="CW400" i="1" s="1"/>
  <c r="CW404" i="1"/>
  <c r="CW405" i="1" s="1"/>
  <c r="CT151" i="6"/>
  <c r="CU154" i="6"/>
  <c r="CW272" i="1"/>
  <c r="CW277" i="1"/>
  <c r="CX277" i="1"/>
  <c r="DG11" i="5"/>
  <c r="CR26" i="6"/>
  <c r="CZ250" i="1"/>
  <c r="CO73" i="5"/>
  <c r="CP44" i="5"/>
  <c r="CQ178" i="6"/>
  <c r="CQ98" i="6"/>
  <c r="CP98" i="6"/>
  <c r="CP178" i="6"/>
  <c r="CW385" i="1"/>
  <c r="CX381" i="1"/>
  <c r="CS15" i="5"/>
  <c r="AT78" i="6"/>
  <c r="AY75" i="6"/>
  <c r="AY77" i="6" s="1"/>
  <c r="BG77" i="6"/>
  <c r="BG86" i="6" s="1"/>
  <c r="CT26" i="5"/>
  <c r="BK77" i="6"/>
  <c r="BK86" i="6" s="1"/>
  <c r="BC77" i="6"/>
  <c r="CO40" i="5"/>
  <c r="CR122" i="1" l="1"/>
  <c r="CL120" i="1"/>
  <c r="CT15" i="5"/>
  <c r="DB39" i="5"/>
  <c r="DA35" i="5"/>
  <c r="CT41" i="5"/>
  <c r="DA18" i="5"/>
  <c r="DA36" i="5"/>
  <c r="DL45" i="5"/>
  <c r="DA19" i="5"/>
  <c r="CT33" i="6"/>
  <c r="DL14" i="5"/>
  <c r="DA20" i="5"/>
  <c r="CU46" i="5"/>
  <c r="DA34" i="5"/>
  <c r="CU26" i="5"/>
  <c r="CV26" i="5" s="1"/>
  <c r="DL29" i="5"/>
  <c r="CT154" i="6"/>
  <c r="CK126" i="1"/>
  <c r="FB126" i="1" s="1"/>
  <c r="DJ82" i="5"/>
  <c r="EQ134" i="1"/>
  <c r="CW407" i="1"/>
  <c r="CW393" i="1" s="1"/>
  <c r="CW67" i="1" s="1"/>
  <c r="CX404" i="1"/>
  <c r="CX405" i="1" s="1"/>
  <c r="CX399" i="1"/>
  <c r="CX400" i="1" s="1"/>
  <c r="CQ291" i="1"/>
  <c r="CY276" i="1"/>
  <c r="CY277" i="1" s="1"/>
  <c r="CY258" i="1" s="1"/>
  <c r="CX272" i="1"/>
  <c r="CY271" i="1"/>
  <c r="CY272" i="1" s="1"/>
  <c r="DH11" i="5"/>
  <c r="CS26" i="6"/>
  <c r="DG29" i="6"/>
  <c r="DA250" i="1"/>
  <c r="CP73" i="5"/>
  <c r="CQ44" i="5"/>
  <c r="CX385" i="1"/>
  <c r="CZ381" i="1"/>
  <c r="BK78" i="6"/>
  <c r="BL75" i="6"/>
  <c r="BL77" i="6" s="1"/>
  <c r="BL86" i="6" s="1"/>
  <c r="BP75" i="6"/>
  <c r="BP77" i="6" s="1"/>
  <c r="BP86" i="6" s="1"/>
  <c r="AY78" i="6"/>
  <c r="AZ75" i="6"/>
  <c r="AZ77" i="6" s="1"/>
  <c r="AZ78" i="6" s="1"/>
  <c r="CP40" i="5"/>
  <c r="BD75" i="6"/>
  <c r="BC78" i="6"/>
  <c r="BG78" i="6"/>
  <c r="BH75" i="6"/>
  <c r="CS122" i="1" l="1"/>
  <c r="EY29" i="1"/>
  <c r="FB25" i="1"/>
  <c r="CM120" i="1"/>
  <c r="CU15" i="5"/>
  <c r="CU26" i="6" s="1"/>
  <c r="CL126" i="1"/>
  <c r="DM29" i="5"/>
  <c r="CT26" i="6"/>
  <c r="CU33" i="6"/>
  <c r="CV46" i="5"/>
  <c r="DM14" i="5"/>
  <c r="DB19" i="5"/>
  <c r="DB18" i="5"/>
  <c r="CU41" i="5"/>
  <c r="DC39" i="5"/>
  <c r="DI11" i="5"/>
  <c r="CV33" i="6"/>
  <c r="DB34" i="5"/>
  <c r="DB20" i="5"/>
  <c r="DM45" i="5"/>
  <c r="DB36" i="5"/>
  <c r="DB35" i="5"/>
  <c r="CV154" i="6"/>
  <c r="DK82" i="5"/>
  <c r="CZ404" i="1"/>
  <c r="CZ405" i="1" s="1"/>
  <c r="CZ399" i="1"/>
  <c r="CZ400" i="1" s="1"/>
  <c r="CX407" i="1"/>
  <c r="CX393" i="1" s="1"/>
  <c r="CX67" i="1" s="1"/>
  <c r="ER121" i="1"/>
  <c r="CQ288" i="1"/>
  <c r="CQ293" i="1" s="1"/>
  <c r="CR288" i="1"/>
  <c r="DH29" i="6"/>
  <c r="DB250" i="1"/>
  <c r="CQ73" i="5"/>
  <c r="CR44" i="5"/>
  <c r="CY380" i="1"/>
  <c r="CY381" i="1" s="1"/>
  <c r="CY385" i="1" s="1"/>
  <c r="CS98" i="6"/>
  <c r="CS178" i="6"/>
  <c r="CR178" i="6"/>
  <c r="CR98" i="6"/>
  <c r="CT67" i="6"/>
  <c r="CZ385" i="1"/>
  <c r="CZ384" i="1" s="1"/>
  <c r="DA381" i="1"/>
  <c r="CW26" i="5"/>
  <c r="EY134" i="1"/>
  <c r="BD77" i="6"/>
  <c r="BU75" i="6"/>
  <c r="BP78" i="6"/>
  <c r="BQ75" i="6"/>
  <c r="BQ77" i="6" s="1"/>
  <c r="BQ86" i="6" s="1"/>
  <c r="CQ40" i="5"/>
  <c r="BM75" i="6"/>
  <c r="BM77" i="6" s="1"/>
  <c r="BM86" i="6" s="1"/>
  <c r="BL78" i="6"/>
  <c r="BH77" i="6"/>
  <c r="BH86" i="6" s="1"/>
  <c r="FA134" i="1" l="1"/>
  <c r="FC134" i="1"/>
  <c r="CV15" i="5"/>
  <c r="CN120" i="1"/>
  <c r="DJ11" i="5"/>
  <c r="CM126" i="1"/>
  <c r="CY67" i="1"/>
  <c r="CW33" i="6"/>
  <c r="DN45" i="5"/>
  <c r="DC34" i="5"/>
  <c r="CV41" i="5"/>
  <c r="DC19" i="5"/>
  <c r="CW46" i="5"/>
  <c r="DN29" i="5"/>
  <c r="DI29" i="6"/>
  <c r="DC35" i="5"/>
  <c r="DC36" i="5"/>
  <c r="DC20" i="5"/>
  <c r="DD39" i="5"/>
  <c r="DC18" i="5"/>
  <c r="DN14" i="5"/>
  <c r="CW154" i="6"/>
  <c r="DL82" i="5"/>
  <c r="CT122" i="1"/>
  <c r="ER122" i="1" s="1"/>
  <c r="EQ119" i="1"/>
  <c r="DA399" i="1"/>
  <c r="DA400" i="1" s="1"/>
  <c r="DA404" i="1"/>
  <c r="DA405" i="1" s="1"/>
  <c r="CZ407" i="1"/>
  <c r="CZ393" i="1" s="1"/>
  <c r="CZ67" i="1" s="1"/>
  <c r="CX154" i="6"/>
  <c r="CR291" i="1"/>
  <c r="CR293" i="1"/>
  <c r="DB277" i="1"/>
  <c r="DB272" i="1"/>
  <c r="DA277" i="1"/>
  <c r="DA272" i="1"/>
  <c r="CZ277" i="1"/>
  <c r="CZ272" i="1"/>
  <c r="CV26" i="6"/>
  <c r="DC250" i="1"/>
  <c r="DD250" i="1" s="1"/>
  <c r="CR73" i="5"/>
  <c r="CS44" i="5"/>
  <c r="EL58" i="1"/>
  <c r="DB381" i="1"/>
  <c r="DA385" i="1"/>
  <c r="DD384" i="1"/>
  <c r="CU63" i="6"/>
  <c r="CT178" i="6"/>
  <c r="CT98" i="6"/>
  <c r="CW15" i="5"/>
  <c r="BD78" i="6"/>
  <c r="BE75" i="6"/>
  <c r="BI75" i="6"/>
  <c r="BH78" i="6"/>
  <c r="BM78" i="6"/>
  <c r="BN75" i="6"/>
  <c r="BN77" i="6" s="1"/>
  <c r="BN86" i="6" s="1"/>
  <c r="CR40" i="5"/>
  <c r="BQ78" i="6"/>
  <c r="BR75" i="6"/>
  <c r="BR77" i="6" s="1"/>
  <c r="BR86" i="6" s="1"/>
  <c r="CX26" i="5"/>
  <c r="DK11" i="5" l="1"/>
  <c r="DJ29" i="6"/>
  <c r="CN126" i="1"/>
  <c r="CX33" i="6"/>
  <c r="CY63" i="6"/>
  <c r="DK29" i="6"/>
  <c r="DO14" i="5"/>
  <c r="DE39" i="5"/>
  <c r="DD36" i="5"/>
  <c r="CX46" i="5"/>
  <c r="CW41" i="5"/>
  <c r="DO45" i="5"/>
  <c r="DD18" i="5"/>
  <c r="DD20" i="5"/>
  <c r="DD35" i="5"/>
  <c r="DO29" i="5"/>
  <c r="DD19" i="5"/>
  <c r="DD34" i="5"/>
  <c r="DD21" i="5"/>
  <c r="CY393" i="1"/>
  <c r="CY391" i="1" s="1"/>
  <c r="DM82" i="5"/>
  <c r="EQ133" i="1"/>
  <c r="CO120" i="1"/>
  <c r="EQ120" i="1" s="1"/>
  <c r="DA407" i="1"/>
  <c r="DA393" i="1" s="1"/>
  <c r="DA67" i="1" s="1"/>
  <c r="DB399" i="1"/>
  <c r="DB400" i="1" s="1"/>
  <c r="DB404" i="1"/>
  <c r="DB405" i="1" s="1"/>
  <c r="CY151" i="6"/>
  <c r="CZ154" i="6"/>
  <c r="DL11" i="5"/>
  <c r="CW26" i="6"/>
  <c r="DE250" i="1"/>
  <c r="CS73" i="5"/>
  <c r="CT44" i="5"/>
  <c r="DC381" i="1"/>
  <c r="DB385" i="1"/>
  <c r="CV98" i="6"/>
  <c r="CV178" i="6"/>
  <c r="CU98" i="6"/>
  <c r="CU178" i="6"/>
  <c r="BS75" i="6"/>
  <c r="BS77" i="6" s="1"/>
  <c r="BS86" i="6" s="1"/>
  <c r="BR78" i="6"/>
  <c r="CS40" i="5"/>
  <c r="BN78" i="6"/>
  <c r="BO75" i="6"/>
  <c r="BO77" i="6" s="1"/>
  <c r="BE77" i="6"/>
  <c r="CX15" i="5"/>
  <c r="BI77" i="6"/>
  <c r="BI86" i="6" s="1"/>
  <c r="CY26" i="5"/>
  <c r="CT29" i="1" l="1"/>
  <c r="DE21" i="5"/>
  <c r="DE19" i="5"/>
  <c r="DE35" i="5"/>
  <c r="DE18" i="5"/>
  <c r="CX41" i="5"/>
  <c r="DE36" i="5"/>
  <c r="DP14" i="5"/>
  <c r="CY15" i="5"/>
  <c r="CZ26" i="5"/>
  <c r="DA26" i="5" s="1"/>
  <c r="DD108" i="5"/>
  <c r="DE34" i="5"/>
  <c r="DP29" i="5"/>
  <c r="DE20" i="5"/>
  <c r="DP45" i="5"/>
  <c r="CY46" i="5"/>
  <c r="DF39" i="5"/>
  <c r="CY33" i="6"/>
  <c r="BO78" i="6"/>
  <c r="BO86" i="6"/>
  <c r="DN82" i="5"/>
  <c r="EQ125" i="1"/>
  <c r="Q22" i="128"/>
  <c r="Q23" i="128" s="1"/>
  <c r="CQ120" i="1"/>
  <c r="CO126" i="1"/>
  <c r="EQ126" i="1" s="1"/>
  <c r="DB407" i="1"/>
  <c r="DB393" i="1" s="1"/>
  <c r="DB67" i="1" s="1"/>
  <c r="DC404" i="1"/>
  <c r="DC405" i="1" s="1"/>
  <c r="DC399" i="1"/>
  <c r="DC400" i="1" s="1"/>
  <c r="CY154" i="6"/>
  <c r="CX26" i="6"/>
  <c r="DM11" i="5"/>
  <c r="DL29" i="6"/>
  <c r="DF250" i="1"/>
  <c r="CU44" i="5"/>
  <c r="CT73" i="5"/>
  <c r="EY133" i="1"/>
  <c r="CW98" i="6"/>
  <c r="CW178" i="6"/>
  <c r="DC385" i="1"/>
  <c r="DE381" i="1"/>
  <c r="CT40" i="5"/>
  <c r="BS78" i="6"/>
  <c r="BT75" i="6"/>
  <c r="BI78" i="6"/>
  <c r="BJ75" i="6"/>
  <c r="CZ15" i="5"/>
  <c r="BE78" i="6"/>
  <c r="CP126" i="1" l="1"/>
  <c r="EY126" i="1" s="1"/>
  <c r="EY125" i="1"/>
  <c r="CP120" i="1"/>
  <c r="EY120" i="1" s="1"/>
  <c r="EY119" i="1"/>
  <c r="FC133" i="1"/>
  <c r="FA133" i="1"/>
  <c r="DN11" i="5"/>
  <c r="DQ29" i="5"/>
  <c r="DQ14" i="5"/>
  <c r="CY41" i="5"/>
  <c r="DF35" i="5"/>
  <c r="DF21" i="5"/>
  <c r="CY26" i="6"/>
  <c r="CZ46" i="5"/>
  <c r="DF34" i="5"/>
  <c r="CZ33" i="6"/>
  <c r="DF20" i="5"/>
  <c r="DF36" i="5"/>
  <c r="DF18" i="5"/>
  <c r="DF19" i="5"/>
  <c r="DA33" i="6"/>
  <c r="DG39" i="5"/>
  <c r="DQ45" i="5"/>
  <c r="DA154" i="6"/>
  <c r="DO82" i="5"/>
  <c r="CR120" i="1"/>
  <c r="CQ126" i="1"/>
  <c r="DC407" i="1"/>
  <c r="DC393" i="1" s="1"/>
  <c r="DC67" i="1" s="1"/>
  <c r="DE404" i="1"/>
  <c r="DE405" i="1" s="1"/>
  <c r="DE399" i="1"/>
  <c r="DE400" i="1" s="1"/>
  <c r="CV291" i="1"/>
  <c r="DC272" i="1"/>
  <c r="DD271" i="1"/>
  <c r="DD272" i="1" s="1"/>
  <c r="DC277" i="1"/>
  <c r="DD276" i="1"/>
  <c r="DD277" i="1" s="1"/>
  <c r="DD258" i="1" s="1"/>
  <c r="DM29" i="6"/>
  <c r="CZ26" i="6"/>
  <c r="DG250" i="1"/>
  <c r="CV44" i="5"/>
  <c r="CU73" i="5"/>
  <c r="DE385" i="1"/>
  <c r="DE384" i="1" s="1"/>
  <c r="DF381" i="1"/>
  <c r="DD380" i="1"/>
  <c r="DD381" i="1" s="1"/>
  <c r="DD385" i="1" s="1"/>
  <c r="DA15" i="5"/>
  <c r="CU40" i="5"/>
  <c r="BJ77" i="6"/>
  <c r="BJ86" i="6" s="1"/>
  <c r="DB26" i="5"/>
  <c r="DO11" i="5" l="1"/>
  <c r="DN29" i="6"/>
  <c r="DH39" i="5"/>
  <c r="DG19" i="5"/>
  <c r="DG36" i="5"/>
  <c r="DG34" i="5"/>
  <c r="DG21" i="5"/>
  <c r="CZ41" i="5"/>
  <c r="DR29" i="5"/>
  <c r="DB33" i="6"/>
  <c r="DD67" i="1"/>
  <c r="DR45" i="5"/>
  <c r="DG18" i="5"/>
  <c r="DG20" i="5"/>
  <c r="DA46" i="5"/>
  <c r="DG35" i="5"/>
  <c r="DR14" i="5"/>
  <c r="DB154" i="6"/>
  <c r="R20" i="128"/>
  <c r="ER134" i="1"/>
  <c r="DP82" i="5"/>
  <c r="CR126" i="1"/>
  <c r="CS120" i="1"/>
  <c r="DF399" i="1"/>
  <c r="DF400" i="1" s="1"/>
  <c r="DF404" i="1"/>
  <c r="DF405" i="1" s="1"/>
  <c r="DE407" i="1"/>
  <c r="DE393" i="1" s="1"/>
  <c r="DE67" i="1" s="1"/>
  <c r="DC154" i="6"/>
  <c r="CV288" i="1"/>
  <c r="CV293" i="1" s="1"/>
  <c r="CW288" i="1"/>
  <c r="CW293" i="1" s="1"/>
  <c r="DG272" i="1"/>
  <c r="DG277" i="1"/>
  <c r="DF277" i="1"/>
  <c r="DF272" i="1"/>
  <c r="DE272" i="1"/>
  <c r="DE277" i="1"/>
  <c r="DP11" i="5"/>
  <c r="DA26" i="6"/>
  <c r="DO29" i="6"/>
  <c r="DH250" i="1"/>
  <c r="DI250" i="1" s="1"/>
  <c r="DE154" i="6"/>
  <c r="CV73" i="5"/>
  <c r="CW44" i="5"/>
  <c r="DG381" i="1"/>
  <c r="DF385" i="1"/>
  <c r="CX178" i="6"/>
  <c r="CX98" i="6"/>
  <c r="CY67" i="6"/>
  <c r="CZ63" i="6"/>
  <c r="DI384" i="1"/>
  <c r="CV40" i="5"/>
  <c r="DB15" i="5"/>
  <c r="BJ78" i="6"/>
  <c r="DC26" i="5"/>
  <c r="DP29" i="6" l="1"/>
  <c r="DS29" i="5"/>
  <c r="DH21" i="5"/>
  <c r="DH36" i="5"/>
  <c r="DI39" i="5"/>
  <c r="DB26" i="6"/>
  <c r="DH35" i="5"/>
  <c r="DH20" i="5"/>
  <c r="DS45" i="5"/>
  <c r="DC33" i="6"/>
  <c r="DD393" i="1"/>
  <c r="DD391" i="1" s="1"/>
  <c r="DA41" i="5"/>
  <c r="DH34" i="5"/>
  <c r="DH19" i="5"/>
  <c r="DD63" i="6"/>
  <c r="DS14" i="5"/>
  <c r="DB46" i="5"/>
  <c r="DH18" i="5"/>
  <c r="R21" i="128"/>
  <c r="ER133" i="1"/>
  <c r="DQ82" i="5"/>
  <c r="CS126" i="1"/>
  <c r="ER119" i="1"/>
  <c r="DG399" i="1"/>
  <c r="DG400" i="1" s="1"/>
  <c r="DG404" i="1"/>
  <c r="DG405" i="1" s="1"/>
  <c r="DF407" i="1"/>
  <c r="DF393" i="1" s="1"/>
  <c r="DF67" i="1" s="1"/>
  <c r="DD151" i="6"/>
  <c r="CW291" i="1"/>
  <c r="DQ11" i="5"/>
  <c r="DJ250" i="1"/>
  <c r="CX44" i="5"/>
  <c r="CW73" i="5"/>
  <c r="CZ98" i="6"/>
  <c r="CZ178" i="6"/>
  <c r="DA98" i="6"/>
  <c r="DA178" i="6"/>
  <c r="CY178" i="6"/>
  <c r="CY98" i="6"/>
  <c r="DG385" i="1"/>
  <c r="DH381" i="1"/>
  <c r="DD26" i="5"/>
  <c r="DC15" i="5"/>
  <c r="CW40" i="5"/>
  <c r="DI18" i="5" l="1"/>
  <c r="DT14" i="5"/>
  <c r="DI34" i="5"/>
  <c r="DD33" i="6"/>
  <c r="DI20" i="5"/>
  <c r="DJ39" i="5"/>
  <c r="DI21" i="5"/>
  <c r="DD15" i="5"/>
  <c r="DE26" i="5"/>
  <c r="DF26" i="5" s="1"/>
  <c r="DC46" i="5"/>
  <c r="DI19" i="5"/>
  <c r="DB41" i="5"/>
  <c r="DT45" i="5"/>
  <c r="DI35" i="5"/>
  <c r="DI36" i="5"/>
  <c r="DT29" i="5"/>
  <c r="DF154" i="6"/>
  <c r="DR82" i="5"/>
  <c r="CT120" i="1"/>
  <c r="ER120" i="1" s="1"/>
  <c r="DH404" i="1"/>
  <c r="DH405" i="1" s="1"/>
  <c r="DH399" i="1"/>
  <c r="DH400" i="1" s="1"/>
  <c r="DG407" i="1"/>
  <c r="DG393" i="1" s="1"/>
  <c r="DG67" i="1" s="1"/>
  <c r="DD154" i="6"/>
  <c r="DR11" i="5"/>
  <c r="DQ29" i="6"/>
  <c r="DC26" i="6"/>
  <c r="DK250" i="1"/>
  <c r="CY44" i="5"/>
  <c r="CX73" i="5"/>
  <c r="DD67" i="6"/>
  <c r="DJ381" i="1"/>
  <c r="DH385" i="1"/>
  <c r="DB178" i="6"/>
  <c r="DB98" i="6"/>
  <c r="DE15" i="5"/>
  <c r="CX40" i="5"/>
  <c r="CU120" i="1" l="1"/>
  <c r="CY29" i="1"/>
  <c r="DK39" i="5"/>
  <c r="DU14" i="5"/>
  <c r="DF33" i="6"/>
  <c r="DD26" i="6"/>
  <c r="DJ36" i="5"/>
  <c r="DU45" i="5"/>
  <c r="DJ19" i="5"/>
  <c r="DE33" i="6"/>
  <c r="DJ21" i="5"/>
  <c r="DJ20" i="5"/>
  <c r="DI108" i="5"/>
  <c r="DJ34" i="5"/>
  <c r="DJ18" i="5"/>
  <c r="DS11" i="5"/>
  <c r="DU29" i="5"/>
  <c r="DJ35" i="5"/>
  <c r="DC41" i="5"/>
  <c r="DD46" i="5"/>
  <c r="DG154" i="6"/>
  <c r="R22" i="128"/>
  <c r="R23" i="128" s="1"/>
  <c r="ER125" i="1"/>
  <c r="DS82" i="5"/>
  <c r="CV120" i="1"/>
  <c r="CT126" i="1"/>
  <c r="ER126" i="1" s="1"/>
  <c r="DH407" i="1"/>
  <c r="DH393" i="1" s="1"/>
  <c r="DH67" i="1" s="1"/>
  <c r="DJ404" i="1"/>
  <c r="DJ405" i="1" s="1"/>
  <c r="DJ399" i="1"/>
  <c r="DJ400" i="1" s="1"/>
  <c r="DH272" i="1"/>
  <c r="DI271" i="1"/>
  <c r="DI272" i="1" s="1"/>
  <c r="DH277" i="1"/>
  <c r="DI276" i="1"/>
  <c r="DI277" i="1" s="1"/>
  <c r="DI258" i="1" s="1"/>
  <c r="DK277" i="1"/>
  <c r="DK272" i="1"/>
  <c r="DJ272" i="1"/>
  <c r="DJ277" i="1"/>
  <c r="DR29" i="6"/>
  <c r="DE26" i="6"/>
  <c r="DL250" i="1"/>
  <c r="CZ44" i="5"/>
  <c r="CY73" i="5"/>
  <c r="DI380" i="1"/>
  <c r="DI381" i="1" s="1"/>
  <c r="DI385" i="1" s="1"/>
  <c r="DJ385" i="1"/>
  <c r="DJ384" i="1" s="1"/>
  <c r="DK381" i="1"/>
  <c r="DD98" i="6"/>
  <c r="DD178" i="6"/>
  <c r="DC98" i="6"/>
  <c r="DC178" i="6"/>
  <c r="CY40" i="5"/>
  <c r="DF15" i="5"/>
  <c r="DG26" i="5"/>
  <c r="S20" i="128" l="1"/>
  <c r="DI67" i="1"/>
  <c r="DK21" i="5"/>
  <c r="DS29" i="6"/>
  <c r="DE46" i="5"/>
  <c r="DK35" i="5"/>
  <c r="DT11" i="5"/>
  <c r="DK18" i="5"/>
  <c r="DV45" i="5"/>
  <c r="DV14" i="5"/>
  <c r="DG33" i="6"/>
  <c r="DK34" i="5"/>
  <c r="DK20" i="5"/>
  <c r="DD41" i="5"/>
  <c r="DV29" i="5"/>
  <c r="DK19" i="5"/>
  <c r="DK36" i="5"/>
  <c r="DL39" i="5"/>
  <c r="DH154" i="6"/>
  <c r="DI154" i="6" s="1"/>
  <c r="DT82" i="5"/>
  <c r="CW120" i="1"/>
  <c r="DJ407" i="1"/>
  <c r="DJ393" i="1" s="1"/>
  <c r="DJ67" i="1" s="1"/>
  <c r="DK399" i="1"/>
  <c r="DK400" i="1" s="1"/>
  <c r="DK404" i="1"/>
  <c r="DK405" i="1" s="1"/>
  <c r="DI151" i="6"/>
  <c r="DA288" i="1"/>
  <c r="DA293" i="1" s="1"/>
  <c r="DL272" i="1"/>
  <c r="DL277" i="1"/>
  <c r="DF26" i="6"/>
  <c r="DM250" i="1"/>
  <c r="DN250" i="1" s="1"/>
  <c r="DA44" i="5"/>
  <c r="CZ73" i="5"/>
  <c r="DE63" i="6"/>
  <c r="DN384" i="1"/>
  <c r="DL381" i="1"/>
  <c r="DK385" i="1"/>
  <c r="DG15" i="5"/>
  <c r="DH26" i="5"/>
  <c r="CZ40" i="5"/>
  <c r="DG26" i="6" l="1"/>
  <c r="DI63" i="6"/>
  <c r="DM39" i="5"/>
  <c r="DL19" i="5"/>
  <c r="DE41" i="5"/>
  <c r="DL34" i="5"/>
  <c r="DI393" i="1"/>
  <c r="DI391" i="1" s="1"/>
  <c r="DW45" i="5"/>
  <c r="DU11" i="5"/>
  <c r="DT29" i="6"/>
  <c r="DF46" i="5"/>
  <c r="DL21" i="5"/>
  <c r="DL36" i="5"/>
  <c r="DW29" i="5"/>
  <c r="DL20" i="5"/>
  <c r="DH33" i="6"/>
  <c r="DW14" i="5"/>
  <c r="DL18" i="5"/>
  <c r="DL35" i="5"/>
  <c r="DU82" i="5"/>
  <c r="CX120" i="1"/>
  <c r="DL399" i="1"/>
  <c r="DL400" i="1" s="1"/>
  <c r="DL404" i="1"/>
  <c r="DL405" i="1" s="1"/>
  <c r="DK407" i="1"/>
  <c r="DK393" i="1" s="1"/>
  <c r="DK67" i="1" s="1"/>
  <c r="DJ154" i="6"/>
  <c r="DA291" i="1"/>
  <c r="DB291" i="1"/>
  <c r="DA73" i="5"/>
  <c r="DB44" i="5"/>
  <c r="DF178" i="6"/>
  <c r="DF98" i="6"/>
  <c r="DL385" i="1"/>
  <c r="DM381" i="1"/>
  <c r="DE178" i="6"/>
  <c r="DE98" i="6"/>
  <c r="DI26" i="5"/>
  <c r="DA40" i="5"/>
  <c r="DH15" i="5"/>
  <c r="DX29" i="5" l="1"/>
  <c r="DG46" i="5"/>
  <c r="DM35" i="5"/>
  <c r="DX14" i="5"/>
  <c r="DX45" i="5"/>
  <c r="DF41" i="5"/>
  <c r="DN39" i="5"/>
  <c r="DM20" i="5"/>
  <c r="DM36" i="5"/>
  <c r="DM21" i="5"/>
  <c r="DI15" i="5"/>
  <c r="DJ26" i="5"/>
  <c r="DK26" i="5" s="1"/>
  <c r="DM18" i="5"/>
  <c r="DI33" i="6"/>
  <c r="DV11" i="5"/>
  <c r="DU29" i="6"/>
  <c r="DM34" i="5"/>
  <c r="DM19" i="5"/>
  <c r="DV82" i="5"/>
  <c r="DM404" i="1"/>
  <c r="DM405" i="1" s="1"/>
  <c r="DM399" i="1"/>
  <c r="DM400" i="1" s="1"/>
  <c r="DL407" i="1"/>
  <c r="DL393" i="1" s="1"/>
  <c r="DL67" i="1" s="1"/>
  <c r="DB288" i="1"/>
  <c r="DB293" i="1" s="1"/>
  <c r="DM277" i="1"/>
  <c r="DN276" i="1"/>
  <c r="DN277" i="1" s="1"/>
  <c r="DN258" i="1" s="1"/>
  <c r="DM272" i="1"/>
  <c r="DN271" i="1"/>
  <c r="DN272" i="1" s="1"/>
  <c r="DH26" i="6"/>
  <c r="DV29" i="6"/>
  <c r="DB73" i="5"/>
  <c r="DC44" i="5"/>
  <c r="S21" i="128"/>
  <c r="DO381" i="1"/>
  <c r="DM385" i="1"/>
  <c r="DB40" i="5"/>
  <c r="DJ15" i="5"/>
  <c r="DN19" i="5" l="1"/>
  <c r="DJ33" i="6"/>
  <c r="DG41" i="5"/>
  <c r="DH46" i="5"/>
  <c r="DI26" i="6"/>
  <c r="DW11" i="5"/>
  <c r="DW29" i="6" s="1"/>
  <c r="DN18" i="5"/>
  <c r="DN21" i="5"/>
  <c r="DN20" i="5"/>
  <c r="DN34" i="5"/>
  <c r="DO39" i="5"/>
  <c r="DN35" i="5"/>
  <c r="DK33" i="6"/>
  <c r="DN36" i="5"/>
  <c r="DK154" i="6"/>
  <c r="DW82" i="5"/>
  <c r="CY120" i="1"/>
  <c r="DM407" i="1"/>
  <c r="DM393" i="1" s="1"/>
  <c r="DM67" i="1" s="1"/>
  <c r="DO399" i="1"/>
  <c r="DO400" i="1" s="1"/>
  <c r="DO404" i="1"/>
  <c r="DO405" i="1" s="1"/>
  <c r="DJ26" i="6"/>
  <c r="DD44" i="5"/>
  <c r="DC73" i="5"/>
  <c r="DN380" i="1"/>
  <c r="DN381" i="1" s="1"/>
  <c r="DN385" i="1" s="1"/>
  <c r="DO385" i="1"/>
  <c r="DO384" i="1" s="1"/>
  <c r="DP381" i="1"/>
  <c r="DH178" i="6"/>
  <c r="DH98" i="6"/>
  <c r="DG98" i="6"/>
  <c r="DG178" i="6"/>
  <c r="DI67" i="6"/>
  <c r="DL26" i="5"/>
  <c r="DC40" i="5"/>
  <c r="DK15" i="5"/>
  <c r="CZ120" i="1" l="1"/>
  <c r="DN67" i="1"/>
  <c r="DO36" i="5"/>
  <c r="DP39" i="5"/>
  <c r="DO20" i="5"/>
  <c r="DX11" i="5"/>
  <c r="DI46" i="5"/>
  <c r="DD29" i="1"/>
  <c r="DK26" i="6"/>
  <c r="DO35" i="5"/>
  <c r="DN108" i="5"/>
  <c r="DO34" i="5"/>
  <c r="DO21" i="5"/>
  <c r="DO18" i="5"/>
  <c r="DH41" i="5"/>
  <c r="DO19" i="5"/>
  <c r="DL33" i="6"/>
  <c r="DX29" i="6"/>
  <c r="DL154" i="6"/>
  <c r="DX82" i="5"/>
  <c r="DA120" i="1"/>
  <c r="DO407" i="1"/>
  <c r="DO393" i="1" s="1"/>
  <c r="DO67" i="1" s="1"/>
  <c r="DP399" i="1"/>
  <c r="DP400" i="1" s="1"/>
  <c r="DP404" i="1"/>
  <c r="DP405" i="1" s="1"/>
  <c r="DM154" i="6"/>
  <c r="DD73" i="5"/>
  <c r="DE44" i="5"/>
  <c r="DI98" i="6"/>
  <c r="DI178" i="6"/>
  <c r="DS384" i="1"/>
  <c r="DJ63" i="6"/>
  <c r="DP385" i="1"/>
  <c r="DQ381" i="1"/>
  <c r="DL15" i="5"/>
  <c r="DD40" i="5"/>
  <c r="DM26" i="5"/>
  <c r="DN63" i="6" l="1"/>
  <c r="DI41" i="5"/>
  <c r="DP21" i="5"/>
  <c r="DJ46" i="5"/>
  <c r="DP20" i="5"/>
  <c r="DP36" i="5"/>
  <c r="DP34" i="5"/>
  <c r="DP35" i="5"/>
  <c r="DL26" i="6"/>
  <c r="DM33" i="6"/>
  <c r="DP19" i="5"/>
  <c r="DP18" i="5"/>
  <c r="DQ39" i="5"/>
  <c r="DN393" i="1"/>
  <c r="DN391" i="1" s="1"/>
  <c r="DB120" i="1"/>
  <c r="DP407" i="1"/>
  <c r="DP393" i="1" s="1"/>
  <c r="DP67" i="1" s="1"/>
  <c r="DQ404" i="1"/>
  <c r="DQ405" i="1" s="1"/>
  <c r="DQ399" i="1"/>
  <c r="DQ400" i="1" s="1"/>
  <c r="DN151" i="6"/>
  <c r="DO154" i="6"/>
  <c r="DN154" i="6"/>
  <c r="DF288" i="1"/>
  <c r="DF293" i="1" s="1"/>
  <c r="DE73" i="5"/>
  <c r="DF44" i="5"/>
  <c r="DQ385" i="1"/>
  <c r="DR381" i="1"/>
  <c r="DJ178" i="6"/>
  <c r="DJ98" i="6"/>
  <c r="DK178" i="6"/>
  <c r="DK98" i="6"/>
  <c r="T20" i="128"/>
  <c r="DE40" i="5"/>
  <c r="DN26" i="5"/>
  <c r="DM15" i="5"/>
  <c r="DR39" i="5" l="1"/>
  <c r="DQ19" i="5"/>
  <c r="DN33" i="6"/>
  <c r="DQ35" i="5"/>
  <c r="DQ20" i="5"/>
  <c r="DQ21" i="5"/>
  <c r="DN15" i="5"/>
  <c r="DQ18" i="5"/>
  <c r="DQ34" i="5"/>
  <c r="DO26" i="5"/>
  <c r="DP26" i="5" s="1"/>
  <c r="DQ36" i="5"/>
  <c r="DK46" i="5"/>
  <c r="DJ41" i="5"/>
  <c r="DC120" i="1"/>
  <c r="DQ407" i="1"/>
  <c r="DQ393" i="1" s="1"/>
  <c r="DQ67" i="1" s="1"/>
  <c r="DR404" i="1"/>
  <c r="DR405" i="1" s="1"/>
  <c r="DR399" i="1"/>
  <c r="DR400" i="1" s="1"/>
  <c r="DF291" i="1"/>
  <c r="DG288" i="1"/>
  <c r="DM26" i="6"/>
  <c r="DF73" i="5"/>
  <c r="DG44" i="5"/>
  <c r="DR385" i="1"/>
  <c r="DT381" i="1"/>
  <c r="DL178" i="6"/>
  <c r="DL98" i="6"/>
  <c r="DF40" i="5"/>
  <c r="DO15" i="5" l="1"/>
  <c r="DK41" i="5"/>
  <c r="DR36" i="5"/>
  <c r="DR34" i="5"/>
  <c r="DR21" i="5"/>
  <c r="DS39" i="5"/>
  <c r="DN26" i="6"/>
  <c r="DL46" i="5"/>
  <c r="DO33" i="6"/>
  <c r="DR18" i="5"/>
  <c r="DR20" i="5"/>
  <c r="DP33" i="6"/>
  <c r="DR35" i="5"/>
  <c r="DR19" i="5"/>
  <c r="DP154" i="6"/>
  <c r="DR407" i="1"/>
  <c r="DR393" i="1" s="1"/>
  <c r="DR67" i="1" s="1"/>
  <c r="DT399" i="1"/>
  <c r="DT400" i="1" s="1"/>
  <c r="DT404" i="1"/>
  <c r="DT405" i="1" s="1"/>
  <c r="DQ154" i="6"/>
  <c r="DG291" i="1"/>
  <c r="DG293" i="1"/>
  <c r="DO26" i="6"/>
  <c r="DH44" i="5"/>
  <c r="DG73" i="5"/>
  <c r="T21" i="128"/>
  <c r="DS380" i="1"/>
  <c r="DS381" i="1" s="1"/>
  <c r="DS385" i="1" s="1"/>
  <c r="DU381" i="1"/>
  <c r="DT385" i="1"/>
  <c r="DT384" i="1" s="1"/>
  <c r="DM178" i="6"/>
  <c r="DM98" i="6"/>
  <c r="DN67" i="6"/>
  <c r="DG40" i="5"/>
  <c r="DP15" i="5"/>
  <c r="DQ26" i="5"/>
  <c r="DS18" i="5" l="1"/>
  <c r="DM46" i="5"/>
  <c r="DT39" i="5"/>
  <c r="DS21" i="5"/>
  <c r="DS36" i="5"/>
  <c r="DS35" i="5"/>
  <c r="DQ33" i="6"/>
  <c r="DS67" i="1"/>
  <c r="DS20" i="5"/>
  <c r="DS34" i="5"/>
  <c r="DL41" i="5"/>
  <c r="DS19" i="5"/>
  <c r="DD120" i="1"/>
  <c r="DE120" i="1"/>
  <c r="DU399" i="1"/>
  <c r="DU400" i="1" s="1"/>
  <c r="DU404" i="1"/>
  <c r="DU405" i="1" s="1"/>
  <c r="DT407" i="1"/>
  <c r="DT393" i="1" s="1"/>
  <c r="DT67" i="1" s="1"/>
  <c r="DP26" i="6"/>
  <c r="DI44" i="5"/>
  <c r="DH73" i="5"/>
  <c r="DO63" i="6"/>
  <c r="DX384" i="1"/>
  <c r="DV381" i="1"/>
  <c r="DU385" i="1"/>
  <c r="DN178" i="6"/>
  <c r="DN98" i="6"/>
  <c r="DH40" i="5"/>
  <c r="DQ15" i="5"/>
  <c r="DR26" i="5"/>
  <c r="DI29" i="1" l="1"/>
  <c r="DT34" i="5"/>
  <c r="DS108" i="5"/>
  <c r="DS393" i="1"/>
  <c r="DS391" i="1" s="1"/>
  <c r="DT35" i="5"/>
  <c r="DT21" i="5"/>
  <c r="DN46" i="5"/>
  <c r="DR33" i="6"/>
  <c r="DQ26" i="6"/>
  <c r="DT19" i="5"/>
  <c r="DM41" i="5"/>
  <c r="DT20" i="5"/>
  <c r="DT36" i="5"/>
  <c r="DU39" i="5"/>
  <c r="DT18" i="5"/>
  <c r="DS63" i="6"/>
  <c r="DR154" i="6"/>
  <c r="DF120" i="1"/>
  <c r="DV404" i="1"/>
  <c r="DV405" i="1" s="1"/>
  <c r="DV399" i="1"/>
  <c r="DV400" i="1" s="1"/>
  <c r="DU407" i="1"/>
  <c r="DU393" i="1" s="1"/>
  <c r="DU67" i="1" s="1"/>
  <c r="DS151" i="6"/>
  <c r="DT154" i="6"/>
  <c r="DJ44" i="5"/>
  <c r="DI73" i="5"/>
  <c r="DO98" i="6"/>
  <c r="DO178" i="6"/>
  <c r="DW381" i="1"/>
  <c r="DY381" i="1" s="1"/>
  <c r="DV385" i="1"/>
  <c r="DP178" i="6"/>
  <c r="DP98" i="6"/>
  <c r="DS26" i="5"/>
  <c r="DR15" i="5"/>
  <c r="DI40" i="5"/>
  <c r="DS15" i="5" l="1"/>
  <c r="DT26" i="5"/>
  <c r="DU18" i="5"/>
  <c r="DU36" i="5"/>
  <c r="DN41" i="5"/>
  <c r="DO46" i="5"/>
  <c r="DU35" i="5"/>
  <c r="DU34" i="5"/>
  <c r="DV39" i="5"/>
  <c r="DU20" i="5"/>
  <c r="DU19" i="5"/>
  <c r="DS33" i="6"/>
  <c r="DU21" i="5"/>
  <c r="DS154" i="6"/>
  <c r="DY404" i="1"/>
  <c r="DY405" i="1" s="1"/>
  <c r="DY399" i="1"/>
  <c r="DY400" i="1" s="1"/>
  <c r="DY385" i="1"/>
  <c r="DY384" i="1" s="1"/>
  <c r="EC384" i="1" s="1"/>
  <c r="EC385" i="1" s="1"/>
  <c r="DZ381" i="1"/>
  <c r="DG120" i="1"/>
  <c r="DV407" i="1"/>
  <c r="DV393" i="1" s="1"/>
  <c r="DV67" i="1" s="1"/>
  <c r="DW404" i="1"/>
  <c r="DW405" i="1" s="1"/>
  <c r="DW399" i="1"/>
  <c r="DW400" i="1" s="1"/>
  <c r="DK291" i="1"/>
  <c r="DT33" i="6"/>
  <c r="DR26" i="6"/>
  <c r="DK44" i="5"/>
  <c r="DJ73" i="5"/>
  <c r="U20" i="128"/>
  <c r="DW385" i="1"/>
  <c r="DQ178" i="6"/>
  <c r="DQ98" i="6"/>
  <c r="DJ40" i="5"/>
  <c r="DV21" i="5" l="1"/>
  <c r="DV19" i="5"/>
  <c r="DW39" i="5"/>
  <c r="DP46" i="5"/>
  <c r="DV36" i="5"/>
  <c r="DU26" i="5"/>
  <c r="DS26" i="6"/>
  <c r="DV20" i="5"/>
  <c r="DV34" i="5"/>
  <c r="DV35" i="5"/>
  <c r="DO41" i="5"/>
  <c r="DV18" i="5"/>
  <c r="DT15" i="5"/>
  <c r="DT26" i="6" s="1"/>
  <c r="DY407" i="1"/>
  <c r="DY393" i="1" s="1"/>
  <c r="DY67" i="1" s="1"/>
  <c r="DU154" i="6"/>
  <c r="EA381" i="1"/>
  <c r="DZ385" i="1"/>
  <c r="DZ404" i="1"/>
  <c r="DZ405" i="1" s="1"/>
  <c r="DZ399" i="1"/>
  <c r="DZ400" i="1" s="1"/>
  <c r="DW407" i="1"/>
  <c r="DW393" i="1" s="1"/>
  <c r="DW67" i="1" s="1"/>
  <c r="DH120" i="1"/>
  <c r="DK288" i="1"/>
  <c r="DK293" i="1" s="1"/>
  <c r="DL288" i="1"/>
  <c r="DT98" i="6"/>
  <c r="DT178" i="6"/>
  <c r="DU33" i="6"/>
  <c r="DL44" i="5"/>
  <c r="DK73" i="5"/>
  <c r="DX380" i="1"/>
  <c r="DX381" i="1" s="1"/>
  <c r="DX385" i="1" s="1"/>
  <c r="DR178" i="6"/>
  <c r="DR98" i="6"/>
  <c r="DS67" i="6"/>
  <c r="DK40" i="5"/>
  <c r="DX67" i="1" l="1"/>
  <c r="DV26" i="5"/>
  <c r="DV33" i="6" s="1"/>
  <c r="DQ46" i="5"/>
  <c r="DU15" i="5"/>
  <c r="DU26" i="6" s="1"/>
  <c r="DP41" i="5"/>
  <c r="DW34" i="5"/>
  <c r="DX39" i="5"/>
  <c r="DW21" i="5"/>
  <c r="DW36" i="5"/>
  <c r="DW18" i="5"/>
  <c r="DW35" i="5"/>
  <c r="DW20" i="5"/>
  <c r="DW19" i="5"/>
  <c r="DV154" i="6"/>
  <c r="DZ407" i="1"/>
  <c r="DZ393" i="1" s="1"/>
  <c r="DZ67" i="1" s="1"/>
  <c r="EB381" i="1"/>
  <c r="EA385" i="1"/>
  <c r="EA404" i="1"/>
  <c r="EA405" i="1" s="1"/>
  <c r="EA399" i="1"/>
  <c r="EA400" i="1" s="1"/>
  <c r="DT63" i="6"/>
  <c r="DI120" i="1"/>
  <c r="DL291" i="1"/>
  <c r="DL293" i="1"/>
  <c r="DU178" i="6"/>
  <c r="DU98" i="6"/>
  <c r="DL73" i="5"/>
  <c r="DM44" i="5"/>
  <c r="DS98" i="6"/>
  <c r="DS178" i="6"/>
  <c r="DL40" i="5"/>
  <c r="DX63" i="6" l="1"/>
  <c r="DX19" i="5"/>
  <c r="DX35" i="5"/>
  <c r="DX36" i="5"/>
  <c r="DX21" i="5"/>
  <c r="DX34" i="5"/>
  <c r="DV15" i="5"/>
  <c r="DW26" i="5"/>
  <c r="DW33" i="6" s="1"/>
  <c r="DX20" i="5"/>
  <c r="DX18" i="5"/>
  <c r="DQ41" i="5"/>
  <c r="DR46" i="5"/>
  <c r="DX393" i="1"/>
  <c r="DX391" i="1" s="1"/>
  <c r="DW154" i="6"/>
  <c r="EB399" i="1"/>
  <c r="EB400" i="1" s="1"/>
  <c r="EB385" i="1"/>
  <c r="EB404" i="1"/>
  <c r="EB405" i="1" s="1"/>
  <c r="EA407" i="1"/>
  <c r="EA393" i="1" s="1"/>
  <c r="EA67" i="1" s="1"/>
  <c r="DJ120" i="1"/>
  <c r="DX151" i="6"/>
  <c r="DV98" i="6"/>
  <c r="DV178" i="6"/>
  <c r="DM73" i="5"/>
  <c r="DN44" i="5"/>
  <c r="U21" i="128"/>
  <c r="DM40" i="5"/>
  <c r="DN29" i="1" l="1"/>
  <c r="DR41" i="5"/>
  <c r="DX26" i="5"/>
  <c r="DX108" i="5"/>
  <c r="DX33" i="6"/>
  <c r="DS46" i="5"/>
  <c r="DW15" i="5"/>
  <c r="DV26" i="6"/>
  <c r="DX154" i="6"/>
  <c r="EB407" i="1"/>
  <c r="EB393" i="1" s="1"/>
  <c r="EB67" i="1" s="1"/>
  <c r="DK120" i="1"/>
  <c r="DW26" i="6"/>
  <c r="DO44" i="5"/>
  <c r="DN73" i="5"/>
  <c r="DN40" i="5"/>
  <c r="V20" i="128"/>
  <c r="DX26" i="6" l="1"/>
  <c r="DX15" i="5"/>
  <c r="DS41" i="5"/>
  <c r="EC67" i="1"/>
  <c r="DT46" i="5"/>
  <c r="DL120" i="1"/>
  <c r="DW178" i="6"/>
  <c r="DW98" i="6"/>
  <c r="DX67" i="6"/>
  <c r="DO73" i="5"/>
  <c r="DP44" i="5"/>
  <c r="DO40" i="5"/>
  <c r="DU46" i="5" l="1"/>
  <c r="DT41" i="5"/>
  <c r="EC393" i="1"/>
  <c r="EC391" i="1" s="1"/>
  <c r="DM120" i="1"/>
  <c r="DX98" i="6"/>
  <c r="DX178" i="6"/>
  <c r="DP73" i="5"/>
  <c r="DQ44" i="5"/>
  <c r="DP40" i="5"/>
  <c r="DV46" i="5" l="1"/>
  <c r="DU41" i="5"/>
  <c r="DN120" i="1"/>
  <c r="DR44" i="5"/>
  <c r="DQ73" i="5"/>
  <c r="V21" i="128"/>
  <c r="DQ40" i="5"/>
  <c r="DV41" i="5" l="1"/>
  <c r="DW46" i="5"/>
  <c r="DO120" i="1"/>
  <c r="DR73" i="5"/>
  <c r="DS44" i="5"/>
  <c r="DR40" i="5"/>
  <c r="DX46" i="5" l="1"/>
  <c r="DW41" i="5"/>
  <c r="DT44" i="5"/>
  <c r="DS29" i="1"/>
  <c r="DP120" i="1"/>
  <c r="DS73" i="5"/>
  <c r="W20" i="128"/>
  <c r="DS40" i="5"/>
  <c r="DU44" i="5" l="1"/>
  <c r="DT73" i="5"/>
  <c r="DT40" i="5"/>
  <c r="DX41" i="5"/>
  <c r="DQ120" i="1"/>
  <c r="DV44" i="5" l="1"/>
  <c r="DU73" i="5"/>
  <c r="DU40" i="5"/>
  <c r="DR120" i="1"/>
  <c r="DW44" i="5" l="1"/>
  <c r="DV73" i="5"/>
  <c r="DV40" i="5"/>
  <c r="DS120" i="1"/>
  <c r="DW73" i="5" l="1"/>
  <c r="DX44" i="5"/>
  <c r="DX73" i="5" s="1"/>
  <c r="DW40" i="5"/>
  <c r="DT120" i="1"/>
  <c r="W21" i="128"/>
  <c r="DX29" i="1" l="1"/>
  <c r="DX40" i="5"/>
  <c r="DU120" i="1"/>
  <c r="DV120" i="1" l="1"/>
  <c r="X20" i="128"/>
  <c r="DW120" i="1" l="1"/>
  <c r="DX120" i="1" l="1"/>
  <c r="DY120" i="1" l="1"/>
  <c r="Y20" i="128"/>
  <c r="X21" i="128"/>
  <c r="DZ120" i="1" l="1"/>
  <c r="EA120" i="1" l="1"/>
  <c r="EB120" i="1" l="1"/>
  <c r="EC120" i="1"/>
  <c r="Y21" i="128"/>
  <c r="BT336" i="1" l="1"/>
  <c r="BT337" i="1" l="1"/>
  <c r="BT338" i="1"/>
  <c r="BU336" i="1"/>
  <c r="BU334" i="1"/>
  <c r="BU337" i="1" l="1"/>
  <c r="CD167" i="1"/>
  <c r="BT335" i="1"/>
  <c r="BU333" i="1"/>
  <c r="BZ335" i="1" s="1"/>
  <c r="BT267" i="1" l="1"/>
  <c r="EK23" i="6"/>
  <c r="CD187" i="1"/>
  <c r="CE167" i="1"/>
  <c r="BT352" i="1"/>
  <c r="BT353" i="1"/>
  <c r="BT33" i="1"/>
  <c r="BT367" i="1"/>
  <c r="BT361" i="1"/>
  <c r="BY362" i="1" s="1"/>
  <c r="BT369" i="1"/>
  <c r="BU368" i="1"/>
  <c r="BZ369" i="1" s="1"/>
  <c r="BU335" i="1"/>
  <c r="BU366" i="1"/>
  <c r="BZ367" i="1" s="1"/>
  <c r="CE187" i="1" l="1"/>
  <c r="BZ229" i="5" s="1"/>
  <c r="BY229" i="5"/>
  <c r="BU321" i="1"/>
  <c r="BT322" i="1"/>
  <c r="BU267" i="1"/>
  <c r="BZ42" i="5"/>
  <c r="BU367" i="1"/>
  <c r="BU369" i="1"/>
  <c r="BU361" i="1"/>
  <c r="BZ362" i="1" s="1"/>
  <c r="BU355" i="1"/>
  <c r="BZ357" i="1" s="1"/>
  <c r="BT362" i="1"/>
  <c r="BT76" i="1"/>
  <c r="BT104" i="1"/>
  <c r="BU33" i="1"/>
  <c r="BT356" i="1"/>
  <c r="BT357" i="1"/>
  <c r="BU352" i="1"/>
  <c r="BU353" i="1"/>
  <c r="BU364" i="1"/>
  <c r="BZ365" i="1" s="1"/>
  <c r="BT365" i="1"/>
  <c r="CA72" i="5" l="1"/>
  <c r="BZ72" i="5"/>
  <c r="BU365" i="1"/>
  <c r="EN33" i="1"/>
  <c r="BU76" i="1"/>
  <c r="EN76" i="1" s="1"/>
  <c r="BU104" i="1"/>
  <c r="EN104" i="1" s="1"/>
  <c r="BT77" i="1"/>
  <c r="BT105" i="1"/>
  <c r="BU34" i="1"/>
  <c r="BU356" i="1"/>
  <c r="BU357" i="1"/>
  <c r="BU362" i="1"/>
  <c r="BU77" i="1" l="1"/>
  <c r="EN77" i="1" s="1"/>
  <c r="EN34" i="1"/>
  <c r="BU105" i="1"/>
  <c r="EN105" i="1" s="1"/>
  <c r="BU25" i="5" l="1"/>
  <c r="BU217" i="5" s="1"/>
  <c r="BT32" i="5"/>
  <c r="BU49" i="1" l="1"/>
  <c r="BT163" i="1"/>
  <c r="BU222" i="5"/>
  <c r="BU32" i="5"/>
  <c r="BT37" i="5"/>
  <c r="BU37" i="5" l="1"/>
  <c r="BT48" i="5"/>
  <c r="EJ32" i="6"/>
  <c r="BT197" i="1"/>
  <c r="BU163" i="1"/>
  <c r="BU197" i="1" s="1"/>
  <c r="EN49" i="1"/>
  <c r="EJ27" i="6" l="1"/>
  <c r="BU43" i="5"/>
  <c r="BT61" i="5" l="1"/>
  <c r="BU47" i="5"/>
  <c r="BU48" i="5" s="1"/>
  <c r="EJ9" i="6"/>
  <c r="BU167" i="6"/>
  <c r="BU61" i="5" l="1"/>
  <c r="BV70" i="5"/>
  <c r="BZ70" i="5"/>
  <c r="BT394" i="1" l="1"/>
  <c r="BT16" i="5"/>
  <c r="BU10" i="5"/>
  <c r="BU147" i="1" l="1"/>
  <c r="BU63" i="5"/>
  <c r="BU128" i="5"/>
  <c r="BU64" i="5"/>
  <c r="BU16" i="5"/>
  <c r="BT221" i="5"/>
  <c r="BT22" i="5"/>
  <c r="DQ58" i="6"/>
  <c r="DR58" i="6"/>
  <c r="DP58" i="6"/>
  <c r="BU159" i="5"/>
  <c r="BU394" i="1"/>
  <c r="BT54" i="5" l="1"/>
  <c r="BT56" i="5"/>
  <c r="BU56" i="5" s="1"/>
  <c r="BT55" i="5"/>
  <c r="CS100" i="5"/>
  <c r="CU58" i="6"/>
  <c r="CH100" i="5"/>
  <c r="DQ179" i="6"/>
  <c r="DQ99" i="6"/>
  <c r="BU221" i="5"/>
  <c r="BU22" i="5"/>
  <c r="BU49" i="5" s="1"/>
  <c r="DG58" i="6"/>
  <c r="DF100" i="5"/>
  <c r="DE100" i="5"/>
  <c r="DF58" i="6"/>
  <c r="DR179" i="6"/>
  <c r="DR99" i="6"/>
  <c r="DJ100" i="5"/>
  <c r="DK58" i="6"/>
  <c r="DA58" i="6"/>
  <c r="CN100" i="5"/>
  <c r="CP58" i="6"/>
  <c r="CZ58" i="6"/>
  <c r="CG100" i="5"/>
  <c r="DP179" i="6"/>
  <c r="DP99" i="6"/>
  <c r="DL58" i="6"/>
  <c r="DK100" i="5"/>
  <c r="DC100" i="5"/>
  <c r="DE58" i="6"/>
  <c r="CK100" i="5"/>
  <c r="CL58" i="6"/>
  <c r="DB58" i="6"/>
  <c r="CX58" i="6"/>
  <c r="CW100" i="5"/>
  <c r="CR58" i="6"/>
  <c r="CQ100" i="5"/>
  <c r="CM100" i="5"/>
  <c r="CN58" i="6"/>
  <c r="BT49" i="5"/>
  <c r="CM58" i="6"/>
  <c r="CL100" i="5"/>
  <c r="DN111" i="5"/>
  <c r="DH100" i="5"/>
  <c r="DJ58" i="6"/>
  <c r="DO58" i="6"/>
  <c r="DM100" i="5"/>
  <c r="DH58" i="6"/>
  <c r="DG100" i="5"/>
  <c r="DM58" i="6"/>
  <c r="DL100" i="5"/>
  <c r="CV58" i="6"/>
  <c r="CU100" i="5"/>
  <c r="CQ58" i="6"/>
  <c r="CP100" i="5"/>
  <c r="CI100" i="5"/>
  <c r="CW58" i="6"/>
  <c r="CV100" i="5"/>
  <c r="CS58" i="6"/>
  <c r="CR100" i="5"/>
  <c r="BU55" i="5" l="1"/>
  <c r="DB179" i="6"/>
  <c r="DB99" i="6"/>
  <c r="DA179" i="6"/>
  <c r="DA99" i="6"/>
  <c r="CF179" i="6"/>
  <c r="CF99" i="6"/>
  <c r="CE100" i="5"/>
  <c r="CK179" i="6"/>
  <c r="CK99" i="6"/>
  <c r="CO58" i="6"/>
  <c r="CQ179" i="6"/>
  <c r="CQ99" i="6"/>
  <c r="DM99" i="6"/>
  <c r="DM179" i="6"/>
  <c r="DO179" i="6"/>
  <c r="DS58" i="6"/>
  <c r="DO99" i="6"/>
  <c r="DJ179" i="6"/>
  <c r="DJ99" i="6"/>
  <c r="DN58" i="6"/>
  <c r="CM179" i="6"/>
  <c r="CM99" i="6"/>
  <c r="CN179" i="6"/>
  <c r="CN99" i="6"/>
  <c r="DE179" i="6"/>
  <c r="DI58" i="6"/>
  <c r="DE99" i="6"/>
  <c r="DL99" i="6"/>
  <c r="DL179" i="6"/>
  <c r="BY99" i="6"/>
  <c r="BY179" i="6"/>
  <c r="BY71" i="6"/>
  <c r="CH179" i="6"/>
  <c r="CH99" i="6"/>
  <c r="CB179" i="6"/>
  <c r="DO100" i="5"/>
  <c r="DT100" i="5" s="1"/>
  <c r="DF179" i="6"/>
  <c r="DF99" i="6"/>
  <c r="CC99" i="6"/>
  <c r="CC179" i="6"/>
  <c r="CA179" i="6"/>
  <c r="CR99" i="6"/>
  <c r="CR179" i="6"/>
  <c r="CZ99" i="6"/>
  <c r="CZ179" i="6"/>
  <c r="CS99" i="6"/>
  <c r="CS179" i="6"/>
  <c r="CV99" i="6"/>
  <c r="CV179" i="6"/>
  <c r="DH179" i="6"/>
  <c r="DH99" i="6"/>
  <c r="BX99" i="6"/>
  <c r="BX179" i="6"/>
  <c r="BX71" i="6"/>
  <c r="CL99" i="6"/>
  <c r="CL179" i="6"/>
  <c r="CD99" i="6"/>
  <c r="CD179" i="6"/>
  <c r="CT58" i="6"/>
  <c r="CP99" i="6"/>
  <c r="CP179" i="6"/>
  <c r="CY58" i="6"/>
  <c r="CU179" i="6"/>
  <c r="CU99" i="6"/>
  <c r="CJ100" i="5"/>
  <c r="DI100" i="5"/>
  <c r="DD100" i="5"/>
  <c r="CW99" i="6"/>
  <c r="CW179" i="6"/>
  <c r="DQ100" i="5"/>
  <c r="DV100" i="5" s="1"/>
  <c r="DN100" i="5"/>
  <c r="DR100" i="5"/>
  <c r="DW100" i="5" s="1"/>
  <c r="BU54" i="5"/>
  <c r="CG99" i="6"/>
  <c r="CG179" i="6"/>
  <c r="CX179" i="6"/>
  <c r="CX99" i="6"/>
  <c r="DP100" i="5"/>
  <c r="DU100" i="5" s="1"/>
  <c r="CO100" i="5"/>
  <c r="DK179" i="6"/>
  <c r="DK99" i="6"/>
  <c r="DG179" i="6"/>
  <c r="DG99" i="6"/>
  <c r="CT100" i="5"/>
  <c r="DX100" i="5" l="1"/>
  <c r="EK58" i="6"/>
  <c r="DI179" i="6"/>
  <c r="DI99" i="6"/>
  <c r="BZ31" i="5"/>
  <c r="CT99" i="6"/>
  <c r="CT179" i="6"/>
  <c r="CE179" i="6"/>
  <c r="EL58" i="6"/>
  <c r="CE99" i="6"/>
  <c r="DS179" i="6"/>
  <c r="DS99" i="6"/>
  <c r="DS100" i="5"/>
  <c r="CY179" i="6"/>
  <c r="CY99" i="6"/>
  <c r="BZ80" i="5"/>
  <c r="DN179" i="6"/>
  <c r="DN99" i="6"/>
  <c r="CO179" i="6"/>
  <c r="CO99" i="6"/>
  <c r="CB99" i="5" l="1"/>
  <c r="BZ162" i="5"/>
  <c r="CA162" i="5" l="1"/>
  <c r="CB162" i="5" l="1"/>
  <c r="CD163" i="5" l="1"/>
  <c r="CE163" i="5" s="1"/>
  <c r="CE80" i="5"/>
  <c r="CC162" i="5"/>
  <c r="CC184" i="5" s="1"/>
  <c r="CC187" i="5" s="1"/>
  <c r="CF80" i="5" l="1"/>
  <c r="CG80" i="5" s="1"/>
  <c r="CG163" i="5" s="1"/>
  <c r="CE107" i="5"/>
  <c r="CF107" i="5" s="1"/>
  <c r="CE31" i="5"/>
  <c r="CD162" i="5"/>
  <c r="CH80" i="5" l="1"/>
  <c r="CI80" i="5" s="1"/>
  <c r="CJ80" i="5" s="1"/>
  <c r="CK80" i="5" s="1"/>
  <c r="CF163" i="5"/>
  <c r="CG107" i="5"/>
  <c r="CE162" i="5"/>
  <c r="CI163" i="5" l="1"/>
  <c r="CL80" i="5"/>
  <c r="CK163" i="5"/>
  <c r="CH163" i="5"/>
  <c r="CH107" i="5"/>
  <c r="CD182" i="5"/>
  <c r="CE182" i="5" s="1"/>
  <c r="CE106" i="5"/>
  <c r="CF162" i="5"/>
  <c r="CJ163" i="5" l="1"/>
  <c r="CM80" i="5"/>
  <c r="CL163" i="5"/>
  <c r="CI107" i="5"/>
  <c r="CF106" i="5"/>
  <c r="CG162" i="5"/>
  <c r="CN80" i="5" l="1"/>
  <c r="CM163" i="5"/>
  <c r="CJ107" i="5"/>
  <c r="CK107" i="5" s="1"/>
  <c r="CG106" i="5"/>
  <c r="CG182" i="5" s="1"/>
  <c r="CF108" i="5"/>
  <c r="CH162" i="5"/>
  <c r="CJ31" i="5" l="1"/>
  <c r="CO80" i="5"/>
  <c r="CP80" i="5" s="1"/>
  <c r="CN163" i="5"/>
  <c r="CO163" i="5" s="1"/>
  <c r="CL107" i="5"/>
  <c r="CG108" i="5"/>
  <c r="CH106" i="5"/>
  <c r="CH182" i="5" s="1"/>
  <c r="CQ80" i="5" l="1"/>
  <c r="CP163" i="5"/>
  <c r="CM107" i="5"/>
  <c r="CL31" i="5"/>
  <c r="CI106" i="5"/>
  <c r="CH108" i="5"/>
  <c r="CJ162" i="5"/>
  <c r="CR80" i="5" l="1"/>
  <c r="CQ163" i="5"/>
  <c r="CN107" i="5"/>
  <c r="CM31" i="5"/>
  <c r="CI182" i="5"/>
  <c r="CJ106" i="5"/>
  <c r="CI108" i="5"/>
  <c r="CS80" i="5" l="1"/>
  <c r="CR163" i="5"/>
  <c r="CO107" i="5"/>
  <c r="CP107" i="5" s="1"/>
  <c r="CN31" i="5"/>
  <c r="CK106" i="5"/>
  <c r="CK182" i="5" s="1"/>
  <c r="CJ182" i="5"/>
  <c r="CJ156" i="5" s="1"/>
  <c r="CO31" i="5" l="1"/>
  <c r="CT80" i="5"/>
  <c r="CU80" i="5" s="1"/>
  <c r="CS163" i="5"/>
  <c r="CT163" i="5" s="1"/>
  <c r="CQ107" i="5"/>
  <c r="CP31" i="5"/>
  <c r="CK108" i="5"/>
  <c r="CL106" i="5"/>
  <c r="CV80" i="5" l="1"/>
  <c r="CU163" i="5"/>
  <c r="CR107" i="5"/>
  <c r="CQ31" i="5"/>
  <c r="CL182" i="5"/>
  <c r="CM106" i="5"/>
  <c r="CM182" i="5" s="1"/>
  <c r="CL108" i="5"/>
  <c r="CW80" i="5" l="1"/>
  <c r="CV163" i="5"/>
  <c r="CS107" i="5"/>
  <c r="CR31" i="5"/>
  <c r="CM108" i="5"/>
  <c r="CN106" i="5"/>
  <c r="CO162" i="5"/>
  <c r="CW163" i="5" l="1"/>
  <c r="CX80" i="5"/>
  <c r="CT107" i="5"/>
  <c r="CU107" i="5" s="1"/>
  <c r="CS31" i="5"/>
  <c r="CN182" i="5"/>
  <c r="CO182" i="5" s="1"/>
  <c r="CO156" i="5" s="1"/>
  <c r="CO106" i="5"/>
  <c r="CN108" i="5"/>
  <c r="CT31" i="5" l="1"/>
  <c r="CX163" i="5"/>
  <c r="CY163" i="5" s="1"/>
  <c r="CY80" i="5"/>
  <c r="CZ80" i="5" s="1"/>
  <c r="CV107" i="5"/>
  <c r="CU31" i="5"/>
  <c r="CP106" i="5"/>
  <c r="CP182" i="5" s="1"/>
  <c r="DA80" i="5" l="1"/>
  <c r="CZ163" i="5"/>
  <c r="CW107" i="5"/>
  <c r="CV31" i="5"/>
  <c r="CQ106" i="5"/>
  <c r="CQ182" i="5" s="1"/>
  <c r="CP108" i="5"/>
  <c r="DB80" i="5" l="1"/>
  <c r="DA163" i="5"/>
  <c r="CX107" i="5"/>
  <c r="CY107" i="5" s="1"/>
  <c r="CZ107" i="5" s="1"/>
  <c r="DA107" i="5" s="1"/>
  <c r="DB107" i="5" s="1"/>
  <c r="DC107" i="5" s="1"/>
  <c r="CW31" i="5"/>
  <c r="CQ108" i="5"/>
  <c r="CR106" i="5"/>
  <c r="CR182" i="5" s="1"/>
  <c r="DB163" i="5" l="1"/>
  <c r="DC80" i="5"/>
  <c r="DD107" i="5"/>
  <c r="DE107" i="5" s="1"/>
  <c r="DC31" i="5"/>
  <c r="CS106" i="5"/>
  <c r="CS182" i="5" s="1"/>
  <c r="CT182" i="5" s="1"/>
  <c r="CT156" i="5" s="1"/>
  <c r="CR108" i="5"/>
  <c r="CT162" i="5"/>
  <c r="DD31" i="5" l="1"/>
  <c r="DD80" i="5"/>
  <c r="DE80" i="5" s="1"/>
  <c r="DC163" i="5"/>
  <c r="DD163" i="5" s="1"/>
  <c r="DF107" i="5"/>
  <c r="DE31" i="5"/>
  <c r="CT106" i="5"/>
  <c r="CS108" i="5"/>
  <c r="DE163" i="5" l="1"/>
  <c r="DF80" i="5"/>
  <c r="DG107" i="5"/>
  <c r="DF31" i="5"/>
  <c r="CU106" i="5"/>
  <c r="CU182" i="5" s="1"/>
  <c r="DF163" i="5" l="1"/>
  <c r="DG80" i="5"/>
  <c r="DH107" i="5"/>
  <c r="DG31" i="5"/>
  <c r="CU108" i="5"/>
  <c r="CV106" i="5"/>
  <c r="CV182" i="5" s="1"/>
  <c r="DH80" i="5" l="1"/>
  <c r="DG163" i="5"/>
  <c r="DI107" i="5"/>
  <c r="DJ107" i="5" s="1"/>
  <c r="DH31" i="5"/>
  <c r="CV108" i="5"/>
  <c r="CW106" i="5"/>
  <c r="CW182" i="5" s="1"/>
  <c r="DI31" i="5" l="1"/>
  <c r="DI80" i="5"/>
  <c r="DH163" i="5"/>
  <c r="DI163" i="5" s="1"/>
  <c r="DK107" i="5"/>
  <c r="DJ31" i="5"/>
  <c r="CX106" i="5"/>
  <c r="CW108" i="5"/>
  <c r="CY162" i="5"/>
  <c r="DJ80" i="5" l="1"/>
  <c r="DL107" i="5"/>
  <c r="DK31" i="5"/>
  <c r="CY106" i="5"/>
  <c r="CX108" i="5"/>
  <c r="CX182" i="5"/>
  <c r="DK80" i="5" l="1"/>
  <c r="DJ163" i="5"/>
  <c r="DM107" i="5"/>
  <c r="DL31" i="5"/>
  <c r="CY182" i="5"/>
  <c r="CY156" i="5" s="1"/>
  <c r="CZ106" i="5"/>
  <c r="CZ182" i="5" s="1"/>
  <c r="DL80" i="5" l="1"/>
  <c r="DK163" i="5"/>
  <c r="DN107" i="5"/>
  <c r="DO107" i="5" s="1"/>
  <c r="DM31" i="5"/>
  <c r="DA106" i="5"/>
  <c r="DA182" i="5" s="1"/>
  <c r="CZ108" i="5"/>
  <c r="DN31" i="5" l="1"/>
  <c r="DM80" i="5"/>
  <c r="DL163" i="5"/>
  <c r="DP107" i="5"/>
  <c r="DO31" i="5"/>
  <c r="DA108" i="5"/>
  <c r="DB106" i="5"/>
  <c r="DM163" i="5" l="1"/>
  <c r="DN163" i="5" s="1"/>
  <c r="DN80" i="5"/>
  <c r="DQ107" i="5"/>
  <c r="DP31" i="5"/>
  <c r="DB108" i="5"/>
  <c r="DC106" i="5"/>
  <c r="DC182" i="5" s="1"/>
  <c r="DB182" i="5"/>
  <c r="DD162" i="5"/>
  <c r="DO80" i="5" l="1"/>
  <c r="DR107" i="5"/>
  <c r="DQ31" i="5"/>
  <c r="DD182" i="5"/>
  <c r="DD156" i="5" s="1"/>
  <c r="DC108" i="5"/>
  <c r="DD106" i="5"/>
  <c r="DO163" i="5" l="1"/>
  <c r="DP80" i="5"/>
  <c r="DS107" i="5"/>
  <c r="DT107" i="5" s="1"/>
  <c r="DR31" i="5"/>
  <c r="DE106" i="5"/>
  <c r="DE182" i="5" s="1"/>
  <c r="DS31" i="5" l="1"/>
  <c r="DQ80" i="5"/>
  <c r="DP163" i="5"/>
  <c r="DU107" i="5"/>
  <c r="DT31" i="5"/>
  <c r="DF106" i="5"/>
  <c r="DF182" i="5" s="1"/>
  <c r="DE108" i="5"/>
  <c r="DR80" i="5" l="1"/>
  <c r="DQ163" i="5"/>
  <c r="DV107" i="5"/>
  <c r="DU31" i="5"/>
  <c r="DF108" i="5"/>
  <c r="DG106" i="5"/>
  <c r="DS80" i="5" l="1"/>
  <c r="DR163" i="5"/>
  <c r="DS163" i="5" s="1"/>
  <c r="DW107" i="5"/>
  <c r="DV31" i="5"/>
  <c r="DH106" i="5"/>
  <c r="DH182" i="5" s="1"/>
  <c r="DG108" i="5"/>
  <c r="DG182" i="5"/>
  <c r="DI162" i="5"/>
  <c r="DT80" i="5" l="1"/>
  <c r="DX107" i="5"/>
  <c r="DW31" i="5"/>
  <c r="DI182" i="5"/>
  <c r="DI156" i="5" s="1"/>
  <c r="DH108" i="5"/>
  <c r="DI106" i="5"/>
  <c r="DJ106" i="5" s="1"/>
  <c r="DX31" i="5" l="1"/>
  <c r="DU80" i="5"/>
  <c r="DT163" i="5"/>
  <c r="DJ182" i="5"/>
  <c r="DJ108" i="5"/>
  <c r="DK106" i="5"/>
  <c r="DU163" i="5" l="1"/>
  <c r="DV80" i="5"/>
  <c r="DK182" i="5"/>
  <c r="DL106" i="5"/>
  <c r="DK108" i="5"/>
  <c r="DV163" i="5" l="1"/>
  <c r="DW80" i="5"/>
  <c r="DL182" i="5"/>
  <c r="DM106" i="5"/>
  <c r="DL108" i="5"/>
  <c r="DX80" i="5" l="1"/>
  <c r="DW163" i="5"/>
  <c r="DX163" i="5" s="1"/>
  <c r="DM182" i="5"/>
  <c r="DN182" i="5" s="1"/>
  <c r="DN156" i="5" s="1"/>
  <c r="DM108" i="5"/>
  <c r="DN106" i="5"/>
  <c r="DO106" i="5" s="1"/>
  <c r="DN162" i="5"/>
  <c r="DO182" i="5" l="1"/>
  <c r="DO108" i="5"/>
  <c r="DP106" i="5"/>
  <c r="DP182" i="5" s="1"/>
  <c r="DP108" i="5" l="1"/>
  <c r="DQ106" i="5"/>
  <c r="DQ182" i="5" l="1"/>
  <c r="DQ184" i="5" s="1"/>
  <c r="DR106" i="5"/>
  <c r="DQ108" i="5"/>
  <c r="DR182" i="5" l="1"/>
  <c r="DS182" i="5" s="1"/>
  <c r="DS156" i="5" s="1"/>
  <c r="DR108" i="5"/>
  <c r="DS106" i="5"/>
  <c r="DT106" i="5" s="1"/>
  <c r="DQ187" i="5"/>
  <c r="DV44" i="1"/>
  <c r="DV46" i="1" l="1"/>
  <c r="DT182" i="5"/>
  <c r="DT108" i="5"/>
  <c r="DU106" i="5"/>
  <c r="DU182" i="5" s="1"/>
  <c r="DU184" i="5" s="1"/>
  <c r="DR184" i="5"/>
  <c r="DW44" i="1" s="1"/>
  <c r="DS162" i="5"/>
  <c r="DV161" i="1" l="1"/>
  <c r="DU187" i="5"/>
  <c r="DZ44" i="1"/>
  <c r="DV106" i="5"/>
  <c r="DV182" i="5" s="1"/>
  <c r="DV184" i="5" s="1"/>
  <c r="DU108" i="5"/>
  <c r="DT184" i="5"/>
  <c r="DY44" i="1" s="1"/>
  <c r="DW46" i="1"/>
  <c r="DR187" i="5"/>
  <c r="DZ46" i="1" l="1"/>
  <c r="DV187" i="5"/>
  <c r="EA44" i="1"/>
  <c r="DY46" i="1"/>
  <c r="DT187" i="5"/>
  <c r="DW106" i="5"/>
  <c r="DV108" i="5"/>
  <c r="EA46" i="1" l="1"/>
  <c r="DZ161" i="1"/>
  <c r="DY161" i="1"/>
  <c r="DW182" i="5"/>
  <c r="DW108" i="5"/>
  <c r="DX106" i="5"/>
  <c r="DW161" i="1"/>
  <c r="EA161" i="1" l="1"/>
  <c r="DW184" i="5"/>
  <c r="EB44" i="1" s="1"/>
  <c r="DX182" i="5"/>
  <c r="DX156" i="5" s="1"/>
  <c r="EB46" i="1" l="1"/>
  <c r="EC44" i="1"/>
  <c r="DW187" i="5"/>
  <c r="DX184" i="5"/>
  <c r="DX187" i="5" s="1"/>
  <c r="EB161" i="1" l="1"/>
  <c r="EC161" i="1" s="1"/>
  <c r="EC46" i="1"/>
  <c r="BL71" i="1" l="1"/>
  <c r="BL72" i="1"/>
  <c r="BL70" i="1"/>
  <c r="BL95" i="1"/>
  <c r="BL69" i="1"/>
  <c r="BQ95" i="1"/>
  <c r="BP15" i="1"/>
  <c r="BL20" i="1"/>
  <c r="BL330" i="1" l="1"/>
  <c r="BL39" i="1"/>
  <c r="BM65" i="5" s="1"/>
  <c r="BP70" i="1"/>
  <c r="EM70" i="1" s="1"/>
  <c r="BP69" i="1"/>
  <c r="EM69" i="1" s="1"/>
  <c r="EM15" i="1"/>
  <c r="BP72" i="1"/>
  <c r="EM72" i="1" s="1"/>
  <c r="BU95" i="1"/>
  <c r="EN95" i="1" s="1"/>
  <c r="BP71" i="1"/>
  <c r="EM71" i="1" s="1"/>
  <c r="BP95" i="1"/>
  <c r="EM95" i="1" s="1"/>
  <c r="BP20" i="1"/>
  <c r="M12" i="128" s="1"/>
  <c r="BL99" i="1"/>
  <c r="BM54" i="5"/>
  <c r="BL352" i="1"/>
  <c r="BN54" i="5"/>
  <c r="BL171" i="6"/>
  <c r="BM55" i="5"/>
  <c r="BN209" i="5"/>
  <c r="BM209" i="5"/>
  <c r="BL209" i="5"/>
  <c r="BO437" i="1"/>
  <c r="BP437" i="1" s="1"/>
  <c r="BO209" i="5"/>
  <c r="BO54" i="5"/>
  <c r="BP54" i="5" s="1"/>
  <c r="BL55" i="5"/>
  <c r="BL344" i="1"/>
  <c r="BM446" i="1"/>
  <c r="BN55" i="5"/>
  <c r="BL356" i="1"/>
  <c r="BQ99" i="1"/>
  <c r="BL169" i="6"/>
  <c r="BL77" i="1"/>
  <c r="BL54" i="5"/>
  <c r="BL75" i="1"/>
  <c r="BM437" i="1"/>
  <c r="BN437" i="1"/>
  <c r="BN446" i="1"/>
  <c r="BL446" i="1"/>
  <c r="BL76" i="1"/>
  <c r="BL437" i="1"/>
  <c r="BO446" i="1"/>
  <c r="BP446" i="1" s="1"/>
  <c r="BO55" i="5"/>
  <c r="BP55" i="5" s="1"/>
  <c r="BL443" i="1"/>
  <c r="N13" i="128" l="1"/>
  <c r="M13" i="128"/>
  <c r="BP330" i="1"/>
  <c r="BN447" i="1"/>
  <c r="BN65" i="5"/>
  <c r="BO53" i="5"/>
  <c r="BP53" i="5" s="1"/>
  <c r="BQ442" i="1"/>
  <c r="BL65" i="5"/>
  <c r="BL48" i="1"/>
  <c r="BL51" i="1" s="1"/>
  <c r="BM447" i="1"/>
  <c r="BL53" i="5"/>
  <c r="BL57" i="5" s="1"/>
  <c r="BL41" i="1"/>
  <c r="BL448" i="1" s="1"/>
  <c r="BL442" i="1"/>
  <c r="BO447" i="1"/>
  <c r="BP447" i="1" s="1"/>
  <c r="BQ106" i="1"/>
  <c r="BL78" i="1"/>
  <c r="BL106" i="1"/>
  <c r="BL447" i="1"/>
  <c r="BO65" i="5"/>
  <c r="BP65" i="5" s="1"/>
  <c r="BM53" i="5"/>
  <c r="BM58" i="5" s="1"/>
  <c r="BN53" i="5"/>
  <c r="BN58" i="5" s="1"/>
  <c r="BP39" i="1"/>
  <c r="M14" i="128" s="1"/>
  <c r="BM218" i="5"/>
  <c r="BM215" i="5"/>
  <c r="BM216" i="5"/>
  <c r="BO215" i="5"/>
  <c r="BP209" i="5"/>
  <c r="BO218" i="5"/>
  <c r="BO216" i="5"/>
  <c r="BN216" i="5"/>
  <c r="BN218" i="5"/>
  <c r="BN215" i="5"/>
  <c r="BL216" i="5"/>
  <c r="BL215" i="5"/>
  <c r="BL218" i="5"/>
  <c r="BP344" i="1"/>
  <c r="BP171" i="6"/>
  <c r="BP77" i="1"/>
  <c r="EM77" i="1" s="1"/>
  <c r="BP356" i="1"/>
  <c r="BP352" i="1"/>
  <c r="EM20" i="1"/>
  <c r="BP169" i="6"/>
  <c r="BP76" i="1"/>
  <c r="EM76" i="1" s="1"/>
  <c r="BP75" i="1"/>
  <c r="EM75" i="1" s="1"/>
  <c r="BU99" i="1"/>
  <c r="EN99" i="1" s="1"/>
  <c r="BP443" i="1"/>
  <c r="BP99" i="1"/>
  <c r="EM99" i="1" s="1"/>
  <c r="M15" i="128" l="1"/>
  <c r="BM57" i="5"/>
  <c r="BL107" i="1"/>
  <c r="BL79" i="1"/>
  <c r="BO57" i="5"/>
  <c r="BP57" i="5" s="1"/>
  <c r="BN448" i="1"/>
  <c r="BO448" i="1"/>
  <c r="BP448" i="1" s="1"/>
  <c r="BQ107" i="1"/>
  <c r="BM448" i="1"/>
  <c r="BL82" i="1"/>
  <c r="BL372" i="1" s="1"/>
  <c r="BL376" i="1" s="1"/>
  <c r="BP48" i="1"/>
  <c r="BP82" i="1" s="1"/>
  <c r="BO58" i="5"/>
  <c r="BP58" i="5" s="1"/>
  <c r="BL58" i="5"/>
  <c r="BN57" i="5"/>
  <c r="BN173" i="6"/>
  <c r="BL84" i="1"/>
  <c r="BL71" i="5"/>
  <c r="BL113" i="1"/>
  <c r="BL173" i="6"/>
  <c r="BO52" i="5"/>
  <c r="BM52" i="5"/>
  <c r="BM59" i="5" s="1"/>
  <c r="BM173" i="6"/>
  <c r="BL52" i="5"/>
  <c r="BL59" i="5" s="1"/>
  <c r="BQ113" i="1"/>
  <c r="BL64" i="1"/>
  <c r="BN52" i="5"/>
  <c r="BN59" i="5" s="1"/>
  <c r="BL160" i="1"/>
  <c r="BP216" i="5"/>
  <c r="BP218" i="5"/>
  <c r="BP215" i="5"/>
  <c r="EM39" i="1"/>
  <c r="BP442" i="1"/>
  <c r="BP41" i="1"/>
  <c r="BP78" i="1"/>
  <c r="EM78" i="1" s="1"/>
  <c r="BP106" i="1"/>
  <c r="EM106" i="1" s="1"/>
  <c r="BL373" i="1" l="1"/>
  <c r="BP51" i="1"/>
  <c r="BP113" i="1" s="1"/>
  <c r="EM113" i="1" s="1"/>
  <c r="EM48" i="1"/>
  <c r="BL165" i="1"/>
  <c r="BL189" i="1" s="1"/>
  <c r="BL192" i="1" s="1"/>
  <c r="BP192" i="1" s="1"/>
  <c r="BP160" i="1"/>
  <c r="BL196" i="1"/>
  <c r="BL198" i="1" s="1"/>
  <c r="BL226" i="1" s="1"/>
  <c r="BL235" i="1" s="1"/>
  <c r="BL236" i="1" s="1"/>
  <c r="BP52" i="5"/>
  <c r="BO59" i="5"/>
  <c r="BP59" i="5" s="1"/>
  <c r="BP372" i="1"/>
  <c r="EM82" i="1"/>
  <c r="EM41" i="1"/>
  <c r="BP107" i="1"/>
  <c r="EM107" i="1" s="1"/>
  <c r="BP79" i="1"/>
  <c r="EM79" i="1" s="1"/>
  <c r="BL117" i="1"/>
  <c r="BQ117" i="1"/>
  <c r="BL74" i="5"/>
  <c r="BL75" i="5" s="1"/>
  <c r="BL76" i="5" s="1"/>
  <c r="BP84" i="1" l="1"/>
  <c r="EM84" i="1" s="1"/>
  <c r="BP64" i="1"/>
  <c r="EM64" i="1" s="1"/>
  <c r="BP173" i="6"/>
  <c r="BO173" i="6" s="1"/>
  <c r="BP71" i="5"/>
  <c r="BP74" i="5" s="1"/>
  <c r="BP75" i="5" s="1"/>
  <c r="BP76" i="5" s="1"/>
  <c r="EM51" i="1"/>
  <c r="BM129" i="1"/>
  <c r="BO436" i="1"/>
  <c r="BP436" i="1" s="1"/>
  <c r="BP196" i="1"/>
  <c r="BP198" i="1" s="1"/>
  <c r="BP226" i="1" s="1"/>
  <c r="BP235" i="1" s="1"/>
  <c r="BP236" i="1" s="1"/>
  <c r="BP165" i="1"/>
  <c r="BP189" i="1" s="1"/>
  <c r="BL233" i="1"/>
  <c r="BL228" i="1"/>
  <c r="BL229" i="1" s="1"/>
  <c r="BP229" i="1" s="1"/>
  <c r="BP373" i="1"/>
  <c r="BP376" i="1"/>
  <c r="BL190" i="1"/>
  <c r="BQ190" i="1"/>
  <c r="BL42" i="1"/>
  <c r="BN436" i="1"/>
  <c r="BL436" i="1"/>
  <c r="BQ87" i="1"/>
  <c r="BL87" i="1"/>
  <c r="BM436" i="1"/>
  <c r="BP117" i="1" l="1"/>
  <c r="EM117" i="1" s="1"/>
  <c r="BN129" i="1"/>
  <c r="BO129" i="1"/>
  <c r="BW129" i="1"/>
  <c r="BX129" i="1"/>
  <c r="BL129" i="1"/>
  <c r="BP9" i="1"/>
  <c r="BL43" i="1"/>
  <c r="BQ193" i="1"/>
  <c r="BL193" i="1"/>
  <c r="BP190" i="1"/>
  <c r="BP42" i="1"/>
  <c r="BM212" i="5"/>
  <c r="BL212" i="5"/>
  <c r="BQ108" i="1"/>
  <c r="BL108" i="1"/>
  <c r="BN212" i="5"/>
  <c r="BO212" i="5"/>
  <c r="BN438" i="1"/>
  <c r="BO438" i="1"/>
  <c r="BM438" i="1"/>
  <c r="BL438" i="1"/>
  <c r="BP228" i="1"/>
  <c r="BP233" i="1"/>
  <c r="BL57" i="1"/>
  <c r="BL234" i="1"/>
  <c r="BR436" i="1"/>
  <c r="BQ436" i="1"/>
  <c r="BO87" i="1"/>
  <c r="BS436" i="1"/>
  <c r="BT87" i="1"/>
  <c r="BU87" i="1" l="1"/>
  <c r="EN87" i="1" s="1"/>
  <c r="M10" i="128"/>
  <c r="BV129" i="1"/>
  <c r="CA129" i="1"/>
  <c r="BQ129" i="1"/>
  <c r="BS129" i="1"/>
  <c r="CC129" i="1"/>
  <c r="BR129" i="1"/>
  <c r="CB129" i="1"/>
  <c r="BT129" i="1"/>
  <c r="EM9" i="1"/>
  <c r="BP87" i="1"/>
  <c r="EM87" i="1" s="1"/>
  <c r="BN63" i="5"/>
  <c r="BN62" i="5"/>
  <c r="BP193" i="1"/>
  <c r="BP43" i="1"/>
  <c r="M16" i="128" s="1"/>
  <c r="BL61" i="1"/>
  <c r="BL439" i="1"/>
  <c r="BL440" i="1" s="1"/>
  <c r="BN439" i="1"/>
  <c r="BN440" i="1" s="1"/>
  <c r="BM439" i="1"/>
  <c r="BM440" i="1" s="1"/>
  <c r="BO439" i="1"/>
  <c r="BL63" i="5"/>
  <c r="BL62" i="5"/>
  <c r="EM42" i="1"/>
  <c r="BP108" i="1"/>
  <c r="EM108" i="1" s="1"/>
  <c r="BM63" i="5"/>
  <c r="BM62" i="5"/>
  <c r="BP234" i="1"/>
  <c r="BP57" i="1"/>
  <c r="BO63" i="5"/>
  <c r="BO62" i="5"/>
  <c r="BP438" i="1"/>
  <c r="BQ111" i="1"/>
  <c r="BL111" i="1"/>
  <c r="BL80" i="1"/>
  <c r="N11" i="128" l="1"/>
  <c r="M11" i="128"/>
  <c r="M17" i="128"/>
  <c r="BP129" i="1"/>
  <c r="EM129" i="1" s="1"/>
  <c r="BU129" i="1"/>
  <c r="EN129" i="1" s="1"/>
  <c r="BO416" i="1"/>
  <c r="BO440" i="1"/>
  <c r="BP440" i="1" s="1"/>
  <c r="BP439" i="1"/>
  <c r="BL116" i="1"/>
  <c r="BQ116" i="1"/>
  <c r="BM449" i="1"/>
  <c r="BL449" i="1"/>
  <c r="BN449" i="1"/>
  <c r="BO449" i="1"/>
  <c r="BP449" i="1" s="1"/>
  <c r="BP111" i="1"/>
  <c r="EM111" i="1" s="1"/>
  <c r="EM43" i="1"/>
  <c r="BP80" i="1"/>
  <c r="EM80" i="1" s="1"/>
  <c r="BP62" i="5"/>
  <c r="BP63" i="5"/>
  <c r="EM57" i="1"/>
  <c r="BP61" i="1"/>
  <c r="M18" i="128" s="1"/>
  <c r="M19" i="128" l="1"/>
  <c r="EM58" i="1"/>
  <c r="BO244" i="1"/>
  <c r="BO251" i="1"/>
  <c r="BO252" i="1" s="1"/>
  <c r="BP334" i="1"/>
  <c r="BL336" i="1"/>
  <c r="EM61" i="1"/>
  <c r="BP116" i="1"/>
  <c r="EM116" i="1" s="1"/>
  <c r="BP416" i="1"/>
  <c r="BP108" i="6" s="1"/>
  <c r="BO108" i="6"/>
  <c r="BL337" i="1" l="1"/>
  <c r="BP336" i="1"/>
  <c r="BQ338" i="1"/>
  <c r="BL338" i="1"/>
  <c r="BP337" i="1" l="1"/>
  <c r="BP338" i="1"/>
  <c r="BU338" i="1"/>
  <c r="BL267" i="1" l="1"/>
  <c r="BP321" i="1"/>
  <c r="BU322" i="1" s="1"/>
  <c r="BP267" i="1" l="1"/>
  <c r="BQ322" i="1"/>
  <c r="BP244" i="1" l="1"/>
  <c r="BL251" i="1"/>
  <c r="BP251" i="1" s="1"/>
  <c r="BP252" i="1" s="1"/>
  <c r="BL252" i="1" l="1"/>
  <c r="BL244" i="1"/>
  <c r="EJ18" i="6"/>
  <c r="BT18" i="6"/>
  <c r="EJ21" i="6"/>
  <c r="BT21" i="6"/>
  <c r="EJ22" i="6"/>
  <c r="BT22" i="6"/>
  <c r="EJ24" i="6"/>
  <c r="BT24" i="6"/>
  <c r="BT38" i="6" l="1"/>
  <c r="BT150" i="1" s="1"/>
  <c r="BT152" i="1" s="1"/>
  <c r="BU88" i="6"/>
  <c r="EJ38" i="6"/>
  <c r="BT175" i="6" l="1"/>
  <c r="BU175" i="6" s="1"/>
  <c r="BT88" i="6"/>
  <c r="BT91" i="6" s="1"/>
  <c r="BT95" i="6" s="1"/>
  <c r="BU91" i="6"/>
  <c r="N39" i="128" s="1"/>
  <c r="N40" i="128" s="1"/>
  <c r="EJ88" i="6"/>
  <c r="BT92" i="6" l="1"/>
  <c r="BU92" i="6" s="1"/>
  <c r="BU95" i="6"/>
  <c r="EJ91" i="6"/>
  <c r="EJ46" i="6"/>
  <c r="BT46" i="6"/>
  <c r="EJ47" i="6"/>
  <c r="BT47" i="6"/>
  <c r="BT54" i="6" l="1"/>
  <c r="BU54" i="6" s="1"/>
  <c r="EJ54" i="6" s="1"/>
  <c r="EJ64" i="6"/>
  <c r="BT64" i="6"/>
  <c r="EJ67" i="6"/>
  <c r="BU178" i="6"/>
  <c r="BU98" i="6"/>
  <c r="BT67" i="6"/>
  <c r="BT178" i="6" l="1"/>
  <c r="BT71" i="6"/>
  <c r="BT98" i="6"/>
  <c r="BT74" i="6" l="1"/>
  <c r="BT77" i="6" s="1"/>
  <c r="BU71" i="6"/>
  <c r="BT78" i="6" l="1"/>
  <c r="BT86" i="6"/>
  <c r="BU74" i="6"/>
  <c r="EJ71" i="6"/>
  <c r="EJ74" i="6" l="1"/>
  <c r="BU77" i="6"/>
  <c r="BU86" i="6" s="1"/>
  <c r="BV75" i="6" l="1"/>
  <c r="BZ75" i="6"/>
  <c r="BU78" i="6"/>
  <c r="BT175" i="5" l="1"/>
  <c r="BT176" i="5"/>
  <c r="BT184" i="5" l="1"/>
  <c r="BT44" i="1" s="1"/>
  <c r="BT187" i="5" l="1"/>
  <c r="BU184" i="5"/>
  <c r="BU44" i="1" s="1"/>
  <c r="BU187" i="5" l="1"/>
  <c r="CA365" i="1"/>
  <c r="CA367" i="1"/>
  <c r="CA361" i="1"/>
  <c r="CA369" i="1"/>
  <c r="CA362" i="1" l="1"/>
  <c r="CA357" i="1"/>
  <c r="CA356" i="1"/>
  <c r="EO103" i="1"/>
  <c r="EO75" i="1"/>
  <c r="BV222" i="5" l="1"/>
  <c r="BV32" i="5"/>
  <c r="BX222" i="5"/>
  <c r="BX32" i="5"/>
  <c r="CA442" i="1"/>
  <c r="BW222" i="5"/>
  <c r="BW32" i="5"/>
  <c r="BW27" i="6"/>
  <c r="BV37" i="5" l="1"/>
  <c r="BW37" i="5"/>
  <c r="BX27" i="6"/>
  <c r="BX2" i="6"/>
  <c r="BV48" i="5" l="1"/>
  <c r="BW99" i="6"/>
  <c r="BW179" i="6"/>
  <c r="BZ71" i="6" l="1"/>
  <c r="BZ179" i="6"/>
  <c r="EK57" i="6"/>
  <c r="BZ99" i="6"/>
  <c r="EK71" i="6" l="1"/>
  <c r="CB161" i="1" l="1"/>
  <c r="CB163" i="1" l="1"/>
  <c r="CB197" i="1" l="1"/>
  <c r="BW38" i="6" l="1"/>
  <c r="BW150" i="1" l="1"/>
  <c r="BW152" i="1" s="1"/>
  <c r="CB150" i="1"/>
  <c r="BW88" i="6"/>
  <c r="BW91" i="6" s="1"/>
  <c r="BW74" i="6"/>
  <c r="CB152" i="1" l="1"/>
  <c r="BW95" i="6"/>
  <c r="BW92" i="6"/>
  <c r="CB60" i="1"/>
  <c r="CB63" i="1" l="1"/>
  <c r="EP75" i="1" l="1"/>
  <c r="EP103" i="1"/>
  <c r="CA161" i="1" l="1"/>
  <c r="CA48" i="1"/>
  <c r="CA82" i="1" l="1"/>
  <c r="CA372" i="1" l="1"/>
  <c r="CA163" i="1"/>
  <c r="CA51" i="1"/>
  <c r="CA84" i="1" l="1"/>
  <c r="CA113" i="1"/>
  <c r="CA373" i="1"/>
  <c r="CA376" i="1"/>
  <c r="CA56" i="1"/>
  <c r="BV71" i="5"/>
  <c r="CA160" i="1"/>
  <c r="CA197" i="1"/>
  <c r="CA114" i="1" l="1"/>
  <c r="CA64" i="1"/>
  <c r="BV38" i="6"/>
  <c r="CA196" i="1"/>
  <c r="CA198" i="1" s="1"/>
  <c r="CA226" i="1" s="1"/>
  <c r="CA233" i="1" s="1"/>
  <c r="CA165" i="1"/>
  <c r="CA189" i="1" s="1"/>
  <c r="CA192" i="1" s="1"/>
  <c r="CA60" i="1"/>
  <c r="BV74" i="5"/>
  <c r="BV75" i="5" s="1"/>
  <c r="BV150" i="1" l="1"/>
  <c r="BV152" i="1" s="1"/>
  <c r="CA150" i="1"/>
  <c r="CA152" i="1" s="1"/>
  <c r="CA117" i="1"/>
  <c r="BV74" i="6"/>
  <c r="CA228" i="1"/>
  <c r="CA83" i="1" s="1"/>
  <c r="CA235" i="1"/>
  <c r="CA236" i="1" s="1"/>
  <c r="CA62" i="1" s="1"/>
  <c r="CA229" i="1"/>
  <c r="CA234" i="1"/>
  <c r="CA42" i="1"/>
  <c r="BV76" i="5"/>
  <c r="BV61" i="5"/>
  <c r="BW70" i="5"/>
  <c r="BW175" i="6"/>
  <c r="BV175" i="6"/>
  <c r="BV88" i="6"/>
  <c r="BV91" i="6" s="1"/>
  <c r="BW47" i="5"/>
  <c r="CA190" i="1"/>
  <c r="BW48" i="5" l="1"/>
  <c r="CA81" i="1"/>
  <c r="CA108" i="1"/>
  <c r="BV212" i="5"/>
  <c r="CA63" i="1"/>
  <c r="CA57" i="1"/>
  <c r="BV77" i="6"/>
  <c r="CA193" i="1"/>
  <c r="CA43" i="1"/>
  <c r="BW61" i="5"/>
  <c r="BX70" i="5"/>
  <c r="BV95" i="6"/>
  <c r="BV92" i="6"/>
  <c r="BV86" i="6" l="1"/>
  <c r="CA61" i="1"/>
  <c r="CA115" i="1"/>
  <c r="CA80" i="1"/>
  <c r="CA111" i="1"/>
  <c r="BV128" i="5"/>
  <c r="BV103" i="5"/>
  <c r="CA394" i="1"/>
  <c r="BV16" i="5"/>
  <c r="BV185" i="5"/>
  <c r="BV78" i="6"/>
  <c r="BW75" i="6"/>
  <c r="CA3" i="1" l="1"/>
  <c r="BW77" i="6"/>
  <c r="BW78" i="6" s="1"/>
  <c r="CA112" i="1"/>
  <c r="CA116" i="1"/>
  <c r="BW103" i="5"/>
  <c r="BW394" i="1"/>
  <c r="BW185" i="5"/>
  <c r="BW128" i="5"/>
  <c r="BV22" i="5"/>
  <c r="BV221" i="5"/>
  <c r="CB394" i="1"/>
  <c r="BW16" i="5"/>
  <c r="BW86" i="6" l="1"/>
  <c r="BX75" i="6"/>
  <c r="BV49" i="5"/>
  <c r="BV56" i="5"/>
  <c r="BV55" i="5"/>
  <c r="BV54" i="5"/>
  <c r="BW221" i="5"/>
  <c r="BW22" i="5"/>
  <c r="BW55" i="5" l="1"/>
  <c r="BW49" i="5"/>
  <c r="BW56" i="5"/>
  <c r="BW54" i="5"/>
  <c r="CE45" i="1"/>
  <c r="CJ45" i="1" l="1"/>
  <c r="CO45" i="1" l="1"/>
  <c r="CY45" i="1" l="1"/>
  <c r="DD45" i="1" l="1"/>
  <c r="DN45" i="1" l="1"/>
  <c r="DS45" i="1" l="1"/>
  <c r="BU318" i="1" l="1"/>
  <c r="BT318" i="1" l="1"/>
  <c r="BT37" i="1" s="1"/>
  <c r="BT224" i="1"/>
  <c r="BT173" i="1" l="1"/>
  <c r="BU37" i="1"/>
  <c r="BT39" i="1"/>
  <c r="BT65" i="5" s="1"/>
  <c r="BU65" i="5" s="1"/>
  <c r="BT59" i="1"/>
  <c r="BU224" i="1"/>
  <c r="BT229" i="1"/>
  <c r="BU39" i="1" l="1"/>
  <c r="EN39" i="1" s="1"/>
  <c r="BT78" i="1"/>
  <c r="BW447" i="1"/>
  <c r="BV447" i="1"/>
  <c r="BX447" i="1"/>
  <c r="BY442" i="1"/>
  <c r="BT442" i="1"/>
  <c r="BT447" i="1"/>
  <c r="BU447" i="1" s="1"/>
  <c r="BT41" i="1"/>
  <c r="BT48" i="1"/>
  <c r="BU48" i="1" s="1"/>
  <c r="CA447" i="1"/>
  <c r="BT53" i="5"/>
  <c r="BT58" i="5" s="1"/>
  <c r="BU58" i="5" s="1"/>
  <c r="BV53" i="5"/>
  <c r="BT106" i="1"/>
  <c r="BU173" i="1"/>
  <c r="BT187" i="1"/>
  <c r="BU59" i="1"/>
  <c r="BV58" i="5" l="1"/>
  <c r="BU442" i="1"/>
  <c r="N14" i="128"/>
  <c r="N15" i="128" s="1"/>
  <c r="BU41" i="1"/>
  <c r="BU107" i="1" s="1"/>
  <c r="EN107" i="1" s="1"/>
  <c r="BU78" i="1"/>
  <c r="EN78" i="1" s="1"/>
  <c r="BU106" i="1"/>
  <c r="EN106" i="1" s="1"/>
  <c r="BZ442" i="1"/>
  <c r="BU187" i="1"/>
  <c r="BU229" i="5" s="1"/>
  <c r="BT229" i="5"/>
  <c r="BT79" i="1"/>
  <c r="BV448" i="1"/>
  <c r="BW448" i="1"/>
  <c r="BX448" i="1"/>
  <c r="BU53" i="5"/>
  <c r="BT57" i="5"/>
  <c r="BU57" i="5" s="1"/>
  <c r="BT107" i="1"/>
  <c r="BT448" i="1"/>
  <c r="BU448" i="1" s="1"/>
  <c r="CA448" i="1"/>
  <c r="BV57" i="5"/>
  <c r="BT51" i="1"/>
  <c r="BT244" i="1"/>
  <c r="EN59" i="1"/>
  <c r="EN48" i="1"/>
  <c r="BU82" i="1"/>
  <c r="BU51" i="1"/>
  <c r="EN41" i="1" l="1"/>
  <c r="BU79" i="1"/>
  <c r="EN79" i="1" s="1"/>
  <c r="BV173" i="6"/>
  <c r="BU244" i="1"/>
  <c r="BT52" i="5"/>
  <c r="BT59" i="5" s="1"/>
  <c r="BU59" i="5" s="1"/>
  <c r="BV52" i="5"/>
  <c r="BT160" i="1"/>
  <c r="BT196" i="1" s="1"/>
  <c r="BT198" i="1" s="1"/>
  <c r="BT226" i="1" s="1"/>
  <c r="BT84" i="1"/>
  <c r="BT71" i="5"/>
  <c r="BT74" i="5" s="1"/>
  <c r="BT75" i="5" s="1"/>
  <c r="BT76" i="5" s="1"/>
  <c r="BT113" i="1"/>
  <c r="BT56" i="1"/>
  <c r="BT64" i="1"/>
  <c r="BT117" i="1" s="1"/>
  <c r="BT251" i="1"/>
  <c r="BT252" i="1" s="1"/>
  <c r="EN82" i="1"/>
  <c r="BU372" i="1"/>
  <c r="BU56" i="1"/>
  <c r="BU173" i="6"/>
  <c r="BT173" i="6" s="1"/>
  <c r="EN51" i="1"/>
  <c r="BU113" i="1"/>
  <c r="EN113" i="1" s="1"/>
  <c r="BU71" i="5"/>
  <c r="BU64" i="1"/>
  <c r="BU84" i="1"/>
  <c r="EN84" i="1" s="1"/>
  <c r="BV59" i="5" l="1"/>
  <c r="BT165" i="1"/>
  <c r="BT189" i="1" s="1"/>
  <c r="BT190" i="1" s="1"/>
  <c r="BU52" i="5"/>
  <c r="BU160" i="1"/>
  <c r="BU165" i="1" s="1"/>
  <c r="BU189" i="1" s="1"/>
  <c r="BZ190" i="1" s="1"/>
  <c r="BU251" i="1"/>
  <c r="BU252" i="1" s="1"/>
  <c r="EN58" i="1"/>
  <c r="BU376" i="1"/>
  <c r="BU74" i="5"/>
  <c r="BU75" i="5" s="1"/>
  <c r="BU76" i="5" s="1"/>
  <c r="BU117" i="1"/>
  <c r="EN117" i="1" s="1"/>
  <c r="EN64" i="1"/>
  <c r="BT227" i="1"/>
  <c r="BT233" i="1" s="1"/>
  <c r="BY190" i="1" l="1"/>
  <c r="BT42" i="1"/>
  <c r="BT192" i="1"/>
  <c r="BT43" i="1" s="1"/>
  <c r="BU196" i="1"/>
  <c r="BU198" i="1" s="1"/>
  <c r="BU226" i="1" s="1"/>
  <c r="BT235" i="1"/>
  <c r="BT236" i="1" s="1"/>
  <c r="BT234" i="1"/>
  <c r="BT57" i="1"/>
  <c r="BU42" i="1"/>
  <c r="BU190" i="1"/>
  <c r="BU227" i="1"/>
  <c r="BT60" i="1"/>
  <c r="BT63" i="1" s="1"/>
  <c r="BT438" i="1" l="1"/>
  <c r="BU438" i="1" s="1"/>
  <c r="BW438" i="1"/>
  <c r="BT212" i="5"/>
  <c r="BT193" i="1"/>
  <c r="BY193" i="1"/>
  <c r="BT108" i="1"/>
  <c r="BX438" i="1"/>
  <c r="CA438" i="1"/>
  <c r="BV63" i="5" s="1"/>
  <c r="BV438" i="1"/>
  <c r="BU192" i="1"/>
  <c r="BZ193" i="1" s="1"/>
  <c r="BU235" i="1"/>
  <c r="BU236" i="1" s="1"/>
  <c r="BX439" i="1"/>
  <c r="BW439" i="1"/>
  <c r="BV439" i="1"/>
  <c r="BT80" i="1"/>
  <c r="BT111" i="1"/>
  <c r="EN42" i="1"/>
  <c r="BU108" i="1"/>
  <c r="EN108" i="1" s="1"/>
  <c r="BU228" i="1"/>
  <c r="BU83" i="1" s="1"/>
  <c r="BU229" i="1"/>
  <c r="BU60" i="1"/>
  <c r="BU233" i="1"/>
  <c r="BT439" i="1"/>
  <c r="CA439" i="1"/>
  <c r="BT61" i="1"/>
  <c r="BT62" i="5" l="1"/>
  <c r="BT63" i="5"/>
  <c r="BV62" i="5"/>
  <c r="BV64" i="5"/>
  <c r="BU193" i="1"/>
  <c r="BU43" i="1"/>
  <c r="N16" i="128" s="1"/>
  <c r="N37" i="128" s="1"/>
  <c r="BV416" i="1"/>
  <c r="BV440" i="1"/>
  <c r="BW440" i="1"/>
  <c r="BW416" i="1"/>
  <c r="BW449" i="1"/>
  <c r="BV449" i="1"/>
  <c r="BX449" i="1"/>
  <c r="BX440" i="1"/>
  <c r="BX416" i="1"/>
  <c r="EN60" i="1"/>
  <c r="BU63" i="1"/>
  <c r="EN63" i="1" s="1"/>
  <c r="CA449" i="1"/>
  <c r="BT449" i="1"/>
  <c r="BU449" i="1" s="1"/>
  <c r="BT116" i="1"/>
  <c r="CA440" i="1"/>
  <c r="CA416" i="1"/>
  <c r="BV108" i="6" s="1"/>
  <c r="BU62" i="5"/>
  <c r="BU57" i="1"/>
  <c r="BU234" i="1"/>
  <c r="BT440" i="1"/>
  <c r="BU440" i="1" s="1"/>
  <c r="BT416" i="1"/>
  <c r="BU439" i="1"/>
  <c r="BU111" i="1" l="1"/>
  <c r="EN111" i="1" s="1"/>
  <c r="BU80" i="1"/>
  <c r="EN80" i="1" s="1"/>
  <c r="N17" i="128"/>
  <c r="EN43" i="1"/>
  <c r="BU61" i="1"/>
  <c r="N18" i="128" s="1"/>
  <c r="EN57" i="1"/>
  <c r="BU416" i="1"/>
  <c r="BU108" i="6" s="1"/>
  <c r="BT108" i="6"/>
  <c r="N38" i="128" l="1"/>
  <c r="N19" i="128"/>
  <c r="EN61" i="1"/>
  <c r="BU116" i="1"/>
  <c r="EN116" i="1" s="1"/>
  <c r="DX45" i="1" l="1"/>
  <c r="CL410" i="1" l="1"/>
  <c r="CF103" i="6"/>
  <c r="CK412" i="1"/>
  <c r="CF104" i="6" s="1"/>
  <c r="CF412" i="1"/>
  <c r="CA104" i="6" s="1"/>
  <c r="CB103" i="6" l="1"/>
  <c r="CG412" i="1"/>
  <c r="CB104" i="6" s="1"/>
  <c r="CB102" i="6"/>
  <c r="CM410" i="1"/>
  <c r="CL412" i="1"/>
  <c r="CG104" i="6" s="1"/>
  <c r="CN410" i="1" l="1"/>
  <c r="CM412" i="1"/>
  <c r="CH104" i="6" s="1"/>
  <c r="CC103" i="6"/>
  <c r="CH412" i="1"/>
  <c r="CC104" i="6" s="1"/>
  <c r="CG102" i="6"/>
  <c r="CL415" i="1"/>
  <c r="CG415" i="1"/>
  <c r="CK103" i="6"/>
  <c r="CQ411" i="1"/>
  <c r="CQ412" i="1" l="1"/>
  <c r="CL104" i="6" s="1"/>
  <c r="CV412" i="1"/>
  <c r="CQ104" i="6" s="1"/>
  <c r="CB107" i="6"/>
  <c r="CI412" i="1"/>
  <c r="CD104" i="6" s="1"/>
  <c r="CD103" i="6"/>
  <c r="CN412" i="1"/>
  <c r="CI104" i="6" s="1"/>
  <c r="CG107" i="6"/>
  <c r="CH415" i="1"/>
  <c r="CC102" i="6"/>
  <c r="CM415" i="1"/>
  <c r="CH102" i="6"/>
  <c r="CL103" i="6"/>
  <c r="CR411" i="1"/>
  <c r="CQ410" i="1"/>
  <c r="CP103" i="6"/>
  <c r="CR412" i="1" l="1"/>
  <c r="CM104" i="6" s="1"/>
  <c r="CW412" i="1"/>
  <c r="CR104" i="6" s="1"/>
  <c r="CQ103" i="6"/>
  <c r="CV410" i="1"/>
  <c r="CI415" i="1"/>
  <c r="CD102" i="6"/>
  <c r="CC107" i="6"/>
  <c r="CL102" i="6"/>
  <c r="CQ415" i="1"/>
  <c r="CG71" i="6"/>
  <c r="CG226" i="5"/>
  <c r="CG97" i="6"/>
  <c r="CM103" i="6"/>
  <c r="CS411" i="1"/>
  <c r="CR410" i="1"/>
  <c r="CH107" i="6"/>
  <c r="CZ103" i="6"/>
  <c r="CI102" i="6"/>
  <c r="CN415" i="1"/>
  <c r="CS412" i="1" l="1"/>
  <c r="CN104" i="6" s="1"/>
  <c r="CX412" i="1"/>
  <c r="CS104" i="6" s="1"/>
  <c r="CI107" i="6"/>
  <c r="DA103" i="6"/>
  <c r="DF410" i="1"/>
  <c r="CN103" i="6"/>
  <c r="CS410" i="1"/>
  <c r="CL107" i="6"/>
  <c r="CL66" i="6"/>
  <c r="CU103" i="6"/>
  <c r="CH97" i="6"/>
  <c r="CH226" i="5"/>
  <c r="CH71" i="6"/>
  <c r="CM102" i="6"/>
  <c r="CR415" i="1"/>
  <c r="CC226" i="5"/>
  <c r="CC97" i="6"/>
  <c r="CC71" i="6"/>
  <c r="DE103" i="6"/>
  <c r="CR103" i="6"/>
  <c r="CW410" i="1"/>
  <c r="CV415" i="1"/>
  <c r="CQ102" i="6"/>
  <c r="CD107" i="6"/>
  <c r="CW415" i="1" l="1"/>
  <c r="CR102" i="6"/>
  <c r="DF103" i="6"/>
  <c r="DK410" i="1"/>
  <c r="CM107" i="6"/>
  <c r="CM66" i="6"/>
  <c r="DA102" i="6"/>
  <c r="DF415" i="1"/>
  <c r="CD97" i="6"/>
  <c r="CD226" i="5"/>
  <c r="CD71" i="6"/>
  <c r="CQ107" i="6"/>
  <c r="CQ66" i="6"/>
  <c r="DG410" i="1"/>
  <c r="DB103" i="6"/>
  <c r="CS415" i="1"/>
  <c r="CN102" i="6"/>
  <c r="CX410" i="1"/>
  <c r="CS103" i="6"/>
  <c r="CV103" i="6"/>
  <c r="DA410" i="1"/>
  <c r="CL226" i="5"/>
  <c r="CL97" i="6"/>
  <c r="CL71" i="6"/>
  <c r="CW103" i="6" l="1"/>
  <c r="DB410" i="1"/>
  <c r="DG103" i="6"/>
  <c r="DL410" i="1"/>
  <c r="CR107" i="6"/>
  <c r="CR66" i="6"/>
  <c r="DC103" i="6"/>
  <c r="DH410" i="1"/>
  <c r="CQ97" i="6"/>
  <c r="CQ71" i="6"/>
  <c r="CQ226" i="5"/>
  <c r="DA107" i="6"/>
  <c r="DA66" i="6"/>
  <c r="DF102" i="6"/>
  <c r="DK415" i="1"/>
  <c r="CM226" i="5"/>
  <c r="CM97" i="6"/>
  <c r="CM71" i="6"/>
  <c r="CV102" i="6"/>
  <c r="DA415" i="1"/>
  <c r="CX415" i="1"/>
  <c r="CS102" i="6"/>
  <c r="DJ103" i="6"/>
  <c r="CN107" i="6"/>
  <c r="CN66" i="6"/>
  <c r="DB102" i="6"/>
  <c r="DG415" i="1"/>
  <c r="CV66" i="6" l="1"/>
  <c r="CV107" i="6"/>
  <c r="DG102" i="6"/>
  <c r="DL415" i="1"/>
  <c r="CX103" i="6"/>
  <c r="DC410" i="1"/>
  <c r="CN97" i="6"/>
  <c r="CN226" i="5"/>
  <c r="CN71" i="6"/>
  <c r="DM410" i="1"/>
  <c r="DH103" i="6"/>
  <c r="DF107" i="6"/>
  <c r="DF66" i="6"/>
  <c r="CR226" i="5"/>
  <c r="CR97" i="6"/>
  <c r="CR71" i="6"/>
  <c r="DA97" i="6"/>
  <c r="DA226" i="5"/>
  <c r="DA71" i="6"/>
  <c r="DC102" i="6"/>
  <c r="DH415" i="1"/>
  <c r="DB107" i="6"/>
  <c r="DB66" i="6"/>
  <c r="DK103" i="6"/>
  <c r="DP410" i="1"/>
  <c r="CS107" i="6"/>
  <c r="CS66" i="6"/>
  <c r="CW102" i="6"/>
  <c r="DB415" i="1"/>
  <c r="CS97" i="6" l="1"/>
  <c r="CS71" i="6"/>
  <c r="CS226" i="5"/>
  <c r="DO103" i="6"/>
  <c r="DK102" i="6"/>
  <c r="DP415" i="1"/>
  <c r="DC107" i="6"/>
  <c r="DC66" i="6"/>
  <c r="CX102" i="6"/>
  <c r="DC415" i="1"/>
  <c r="DG107" i="6"/>
  <c r="DG66" i="6"/>
  <c r="CW107" i="6"/>
  <c r="CW66" i="6"/>
  <c r="DL103" i="6"/>
  <c r="DQ410" i="1"/>
  <c r="CV97" i="6"/>
  <c r="CV226" i="5"/>
  <c r="CV71" i="6"/>
  <c r="DH102" i="6"/>
  <c r="DM415" i="1"/>
  <c r="DB97" i="6"/>
  <c r="DB226" i="5"/>
  <c r="DB71" i="6"/>
  <c r="DF97" i="6"/>
  <c r="DF226" i="5"/>
  <c r="DF71" i="6"/>
  <c r="DH107" i="6" l="1"/>
  <c r="DH66" i="6"/>
  <c r="DG97" i="6"/>
  <c r="DG226" i="5"/>
  <c r="DG71" i="6"/>
  <c r="CX107" i="6"/>
  <c r="CX66" i="6"/>
  <c r="DT103" i="6"/>
  <c r="DM103" i="6"/>
  <c r="DR410" i="1"/>
  <c r="DK66" i="6"/>
  <c r="DK107" i="6"/>
  <c r="DL102" i="6"/>
  <c r="DQ415" i="1"/>
  <c r="CW226" i="5"/>
  <c r="CW97" i="6"/>
  <c r="CW71" i="6"/>
  <c r="DC97" i="6"/>
  <c r="DC226" i="5"/>
  <c r="DP103" i="6"/>
  <c r="DU410" i="1"/>
  <c r="DP102" i="6" l="1"/>
  <c r="DU415" i="1"/>
  <c r="DK97" i="6"/>
  <c r="DK226" i="5"/>
  <c r="DK71" i="6"/>
  <c r="DM102" i="6"/>
  <c r="DR415" i="1"/>
  <c r="CX97" i="6"/>
  <c r="CX226" i="5"/>
  <c r="CX71" i="6"/>
  <c r="DH226" i="5"/>
  <c r="DH97" i="6"/>
  <c r="DH71" i="6"/>
  <c r="DV410" i="1"/>
  <c r="DQ103" i="6"/>
  <c r="DL107" i="6"/>
  <c r="DL66" i="6"/>
  <c r="DU103" i="6"/>
  <c r="DU102" i="6" l="1"/>
  <c r="DM107" i="6"/>
  <c r="DM66" i="6"/>
  <c r="DV103" i="6"/>
  <c r="DQ102" i="6"/>
  <c r="DV415" i="1"/>
  <c r="DR103" i="6"/>
  <c r="DW410" i="1"/>
  <c r="DL97" i="6"/>
  <c r="DL226" i="5"/>
  <c r="DL71" i="6"/>
  <c r="DP107" i="6"/>
  <c r="DP66" i="6"/>
  <c r="DV102" i="6" l="1"/>
  <c r="DP97" i="6"/>
  <c r="DP226" i="5"/>
  <c r="DP71" i="6"/>
  <c r="DR102" i="6"/>
  <c r="DW415" i="1"/>
  <c r="DQ107" i="6"/>
  <c r="DQ66" i="6"/>
  <c r="DW103" i="6"/>
  <c r="DU107" i="6"/>
  <c r="DU66" i="6"/>
  <c r="DM97" i="6"/>
  <c r="DM226" i="5"/>
  <c r="DM71" i="6"/>
  <c r="DU226" i="5" l="1"/>
  <c r="DR66" i="6"/>
  <c r="DR107" i="6"/>
  <c r="DU97" i="6"/>
  <c r="DU71" i="6"/>
  <c r="DQ226" i="5"/>
  <c r="DQ97" i="6"/>
  <c r="DQ71" i="6"/>
  <c r="DW102" i="6"/>
  <c r="DV107" i="6"/>
  <c r="DV66" i="6"/>
  <c r="DV226" i="5" l="1"/>
  <c r="DV97" i="6"/>
  <c r="DV71" i="6"/>
  <c r="DW107" i="6"/>
  <c r="DW66" i="6"/>
  <c r="DR97" i="6"/>
  <c r="DR226" i="5"/>
  <c r="DR71" i="6"/>
  <c r="DW226" i="5" l="1"/>
  <c r="DW71" i="6"/>
  <c r="DW97" i="6"/>
  <c r="CF167" i="1" l="1"/>
  <c r="CF187" i="1" s="1"/>
  <c r="CA229" i="5" s="1"/>
  <c r="CF224" i="1" l="1"/>
  <c r="CF59" i="1" l="1"/>
  <c r="CG167" i="1" l="1"/>
  <c r="CG187" i="1" s="1"/>
  <c r="CB229" i="5" s="1"/>
  <c r="CG59" i="1" l="1"/>
  <c r="CH167" i="1" l="1"/>
  <c r="CH187" i="1" s="1"/>
  <c r="CH224" i="1"/>
  <c r="CC229" i="5" l="1"/>
  <c r="CH59" i="1"/>
  <c r="CE42" i="5" l="1"/>
  <c r="EL23" i="6"/>
  <c r="CI224" i="1"/>
  <c r="CI59" i="1" s="1"/>
  <c r="CJ341" i="1"/>
  <c r="CE72" i="5" l="1"/>
  <c r="CD72" i="5"/>
  <c r="CI187" i="1"/>
  <c r="CJ167" i="1"/>
  <c r="CJ187" i="1" l="1"/>
  <c r="CE229" i="5" s="1"/>
  <c r="CD229" i="5"/>
  <c r="CJ59" i="1"/>
  <c r="EP59" i="1" l="1"/>
  <c r="BW111" i="5" l="1"/>
  <c r="BW81" i="5" s="1"/>
  <c r="BW164" i="5" s="1"/>
  <c r="BZ113" i="5"/>
  <c r="BZ111" i="5" l="1"/>
  <c r="BW99" i="5"/>
  <c r="BY81" i="5" l="1"/>
  <c r="BX37" i="5" l="1"/>
  <c r="BY99" i="5"/>
  <c r="BZ81" i="5"/>
  <c r="CA112" i="5" s="1"/>
  <c r="BX184" i="5"/>
  <c r="BY164" i="5"/>
  <c r="CA111" i="5" l="1"/>
  <c r="CE112" i="5"/>
  <c r="CA102" i="5"/>
  <c r="CA104" i="5" s="1"/>
  <c r="CA184" i="5"/>
  <c r="CA187" i="5" s="1"/>
  <c r="BZ164" i="5"/>
  <c r="BZ99" i="5"/>
  <c r="BX187" i="5"/>
  <c r="BZ33" i="5"/>
  <c r="CA127" i="5" l="1"/>
  <c r="CE127" i="5" s="1"/>
  <c r="CE111" i="5"/>
  <c r="BY100" i="5"/>
  <c r="BW100" i="5"/>
  <c r="BZ148" i="1"/>
  <c r="CE148" i="1"/>
  <c r="BW107" i="5" l="1"/>
  <c r="BW102" i="5"/>
  <c r="BZ100" i="5"/>
  <c r="BY102" i="5"/>
  <c r="CB102" i="5"/>
  <c r="CB104" i="5" s="1"/>
  <c r="CC161" i="1"/>
  <c r="CF44" i="1"/>
  <c r="CA107" i="5" l="1"/>
  <c r="CA106" i="5" s="1"/>
  <c r="CE156" i="5" s="1"/>
  <c r="BZ102" i="5"/>
  <c r="BW104" i="5"/>
  <c r="BW116" i="5"/>
  <c r="BX107" i="5"/>
  <c r="BW106" i="5"/>
  <c r="BW182" i="5" s="1"/>
  <c r="BW184" i="5" s="1"/>
  <c r="CC99" i="5"/>
  <c r="CC102" i="5" s="1"/>
  <c r="CB184" i="5"/>
  <c r="BY107" i="5" l="1"/>
  <c r="BX106" i="5"/>
  <c r="BZ116" i="5"/>
  <c r="BW127" i="5"/>
  <c r="BZ127" i="5" s="1"/>
  <c r="BW187" i="5"/>
  <c r="CB44" i="1"/>
  <c r="CH44" i="1"/>
  <c r="CD164" i="5"/>
  <c r="CD184" i="5" s="1"/>
  <c r="CE184" i="5" s="1"/>
  <c r="CE187" i="5" s="1"/>
  <c r="CD99" i="5"/>
  <c r="CD102" i="5" s="1"/>
  <c r="CI148" i="1" s="1"/>
  <c r="CH148" i="1"/>
  <c r="CG148" i="1"/>
  <c r="CB187" i="5"/>
  <c r="CG44" i="1"/>
  <c r="CE81" i="5"/>
  <c r="CE99" i="5" s="1"/>
  <c r="CF161" i="1"/>
  <c r="BY106" i="5" l="1"/>
  <c r="BZ106" i="5" s="1"/>
  <c r="BZ107" i="5"/>
  <c r="CH161" i="1"/>
  <c r="CE164" i="5"/>
  <c r="CI44" i="1"/>
  <c r="CD187" i="5"/>
  <c r="CE33" i="5"/>
  <c r="CJ148" i="1" l="1"/>
  <c r="CI161" i="1"/>
  <c r="CJ44" i="1"/>
  <c r="CF164" i="5"/>
  <c r="CF184" i="5" s="1"/>
  <c r="CF99" i="5"/>
  <c r="CF102" i="5" s="1"/>
  <c r="CK148" i="1" s="1"/>
  <c r="FB148" i="1" s="1"/>
  <c r="CG161" i="1"/>
  <c r="CJ161" i="1" s="1"/>
  <c r="CJ46" i="1"/>
  <c r="CE102" i="5"/>
  <c r="CG81" i="5"/>
  <c r="CG164" i="5" l="1"/>
  <c r="CG184" i="5" s="1"/>
  <c r="CG99" i="5"/>
  <c r="CG102" i="5" s="1"/>
  <c r="CH81" i="5"/>
  <c r="EP46" i="1"/>
  <c r="CL44" i="1" l="1"/>
  <c r="CG188" i="5" s="1"/>
  <c r="CH164" i="5"/>
  <c r="CH184" i="5" s="1"/>
  <c r="CH99" i="5"/>
  <c r="CH102" i="5" s="1"/>
  <c r="CI81" i="5"/>
  <c r="CL161" i="1"/>
  <c r="CM44" i="1" l="1"/>
  <c r="CH188" i="5" s="1"/>
  <c r="CL148" i="1"/>
  <c r="CM148" i="1"/>
  <c r="CI164" i="5"/>
  <c r="CJ164" i="5" s="1"/>
  <c r="CJ81" i="5"/>
  <c r="CK161" i="1"/>
  <c r="CM161" i="1" l="1"/>
  <c r="CN148" i="1"/>
  <c r="CJ33" i="5"/>
  <c r="CK81" i="5"/>
  <c r="CL81" i="5" l="1"/>
  <c r="CK164" i="5"/>
  <c r="CO148" i="1"/>
  <c r="CL164" i="5" l="1"/>
  <c r="CM81" i="5"/>
  <c r="CO46" i="1" l="1"/>
  <c r="CN161" i="1"/>
  <c r="CO161" i="1" s="1"/>
  <c r="CN81" i="5"/>
  <c r="CM164" i="5"/>
  <c r="EQ46" i="1" l="1"/>
  <c r="CN164" i="5"/>
  <c r="CO81" i="5"/>
  <c r="CO164" i="5" l="1"/>
  <c r="CP81" i="5"/>
  <c r="CQ81" i="5" l="1"/>
  <c r="CP164" i="5"/>
  <c r="CQ164" i="5" l="1"/>
  <c r="CR81" i="5"/>
  <c r="CR164" i="5" l="1"/>
  <c r="CS81" i="5"/>
  <c r="CS164" i="5" l="1"/>
  <c r="CT164" i="5" s="1"/>
  <c r="CT81" i="5"/>
  <c r="CU81" i="5" l="1"/>
  <c r="CU164" i="5" l="1"/>
  <c r="CV81" i="5"/>
  <c r="CW81" i="5" l="1"/>
  <c r="CV164" i="5"/>
  <c r="CX81" i="5" l="1"/>
  <c r="CW164" i="5"/>
  <c r="CX164" i="5" l="1"/>
  <c r="CY81" i="5"/>
  <c r="CY164" i="5" l="1"/>
  <c r="CZ81" i="5"/>
  <c r="DA81" i="5" l="1"/>
  <c r="CZ164" i="5"/>
  <c r="DA164" i="5" l="1"/>
  <c r="DB81" i="5"/>
  <c r="DC113" i="5" l="1"/>
  <c r="DB164" i="5"/>
  <c r="DC111" i="5" l="1"/>
  <c r="DD113" i="5"/>
  <c r="DD127" i="5" s="1"/>
  <c r="DC127" i="5"/>
  <c r="DC58" i="6" s="1"/>
  <c r="DC71" i="6" l="1"/>
  <c r="DC99" i="6"/>
  <c r="DD58" i="6"/>
  <c r="DC179" i="6"/>
  <c r="CX100" i="5"/>
  <c r="DB100" i="5"/>
  <c r="CZ100" i="5"/>
  <c r="DA100" i="5"/>
  <c r="DD111" i="5"/>
  <c r="DC81" i="5"/>
  <c r="DD81" i="5" l="1"/>
  <c r="DC164" i="5"/>
  <c r="DB31" i="5"/>
  <c r="DD99" i="6"/>
  <c r="DD179" i="6"/>
  <c r="CX31" i="5"/>
  <c r="CY100" i="5"/>
  <c r="DA31" i="5"/>
  <c r="CZ31" i="5"/>
  <c r="CY31" i="5" l="1"/>
  <c r="DD164" i="5"/>
  <c r="CB75" i="1" l="1"/>
  <c r="CB34" i="1"/>
  <c r="CB105" i="1" l="1"/>
  <c r="BW211" i="5"/>
  <c r="CB77" i="1"/>
  <c r="CB39" i="1"/>
  <c r="CB365" i="1"/>
  <c r="CB366" i="1"/>
  <c r="CB368" i="1"/>
  <c r="CB78" i="1" l="1"/>
  <c r="CB106" i="1"/>
  <c r="CB48" i="1"/>
  <c r="CB41" i="1"/>
  <c r="BW65" i="5"/>
  <c r="CB442" i="1"/>
  <c r="BW53" i="5"/>
  <c r="CB447" i="1"/>
  <c r="CB367" i="1"/>
  <c r="CB369" i="1"/>
  <c r="CB355" i="1"/>
  <c r="CB361" i="1"/>
  <c r="CB362" i="1" s="1"/>
  <c r="CB82" i="1" l="1"/>
  <c r="CB51" i="1"/>
  <c r="BW58" i="5"/>
  <c r="BW57" i="5"/>
  <c r="CB79" i="1"/>
  <c r="CB107" i="1"/>
  <c r="CB448" i="1"/>
  <c r="CB357" i="1"/>
  <c r="CB356" i="1"/>
  <c r="CB113" i="1" l="1"/>
  <c r="CB160" i="1"/>
  <c r="CB165" i="1" s="1"/>
  <c r="CB189" i="1" s="1"/>
  <c r="CB192" i="1" s="1"/>
  <c r="CB84" i="1"/>
  <c r="CB56" i="1"/>
  <c r="BW71" i="5"/>
  <c r="BW52" i="5"/>
  <c r="BW173" i="6"/>
  <c r="CB372" i="1"/>
  <c r="BW59" i="5" l="1"/>
  <c r="CB64" i="1"/>
  <c r="CB114" i="1"/>
  <c r="CB196" i="1"/>
  <c r="CB198" i="1" s="1"/>
  <c r="CB226" i="1" s="1"/>
  <c r="CB235" i="1" s="1"/>
  <c r="CB236" i="1" s="1"/>
  <c r="CB376" i="1"/>
  <c r="CB373" i="1"/>
  <c r="BW74" i="5"/>
  <c r="BW75" i="5" s="1"/>
  <c r="BW76" i="5" s="1"/>
  <c r="CB117" i="1" l="1"/>
  <c r="CB62" i="1"/>
  <c r="CB233" i="1"/>
  <c r="CB234" i="1" s="1"/>
  <c r="CB229" i="1"/>
  <c r="CB228" i="1"/>
  <c r="CB83" i="1" s="1"/>
  <c r="CB42" i="1"/>
  <c r="CB190" i="1"/>
  <c r="CB81" i="1" l="1"/>
  <c r="CB108" i="1"/>
  <c r="BW212" i="5"/>
  <c r="CB438" i="1"/>
  <c r="CB57" i="1"/>
  <c r="CB193" i="1"/>
  <c r="CB43" i="1"/>
  <c r="CB115" i="1" l="1"/>
  <c r="CB61" i="1"/>
  <c r="CB439" i="1"/>
  <c r="CB111" i="1"/>
  <c r="CB80" i="1"/>
  <c r="BW64" i="5"/>
  <c r="BW63" i="5"/>
  <c r="BW62" i="5"/>
  <c r="CB3" i="1" l="1"/>
  <c r="CB112" i="1"/>
  <c r="CB440" i="1"/>
  <c r="CB416" i="1"/>
  <c r="BW108" i="6" s="1"/>
  <c r="CB116" i="1"/>
  <c r="CB449" i="1"/>
  <c r="CC60" i="1" l="1"/>
  <c r="CC163" i="1"/>
  <c r="CC197" i="1" s="1"/>
  <c r="CC63" i="1" l="1"/>
  <c r="BX38" i="6"/>
  <c r="BX150" i="1" l="1"/>
  <c r="BX152" i="1" s="1"/>
  <c r="CC150" i="1"/>
  <c r="BX47" i="5"/>
  <c r="BX88" i="6"/>
  <c r="BX91" i="6" s="1"/>
  <c r="BX175" i="6"/>
  <c r="BX74" i="6"/>
  <c r="BY70" i="5" l="1"/>
  <c r="CC152" i="1"/>
  <c r="BX77" i="6"/>
  <c r="BX95" i="6"/>
  <c r="BX92" i="6"/>
  <c r="BX48" i="5"/>
  <c r="BX61" i="5"/>
  <c r="BX86" i="6" l="1"/>
  <c r="BY75" i="6"/>
  <c r="BX78" i="6"/>
  <c r="BX16" i="5"/>
  <c r="BX103" i="5"/>
  <c r="BX128" i="5"/>
  <c r="BX394" i="1"/>
  <c r="CC394" i="1"/>
  <c r="BX22" i="5" l="1"/>
  <c r="BX221" i="5"/>
  <c r="BX49" i="5" l="1"/>
  <c r="BX54" i="5"/>
  <c r="BX56" i="5"/>
  <c r="BX55" i="5"/>
  <c r="CF95" i="1" l="1"/>
  <c r="CF70" i="1"/>
  <c r="CF69" i="1"/>
  <c r="CP70" i="1" l="1"/>
  <c r="FB23" i="1"/>
  <c r="CL70" i="1"/>
  <c r="CK70" i="1"/>
  <c r="CH70" i="1"/>
  <c r="CH95" i="1"/>
  <c r="CG95" i="1"/>
  <c r="CG70" i="1"/>
  <c r="CL95" i="1"/>
  <c r="FB22" i="1"/>
  <c r="CK95" i="1"/>
  <c r="FB95" i="1" s="1"/>
  <c r="CP71" i="1"/>
  <c r="FB24" i="1"/>
  <c r="CP95" i="1"/>
  <c r="EY95" i="1" s="1"/>
  <c r="CP69" i="1"/>
  <c r="CU95" i="1"/>
  <c r="CQ95" i="1"/>
  <c r="CM95" i="1"/>
  <c r="CL71" i="1" l="1"/>
  <c r="CG69" i="1"/>
  <c r="CK71" i="1"/>
  <c r="CL69" i="1"/>
  <c r="CG71" i="1"/>
  <c r="CH69" i="1"/>
  <c r="CH71" i="1"/>
  <c r="CK69" i="1"/>
  <c r="CF71" i="1"/>
  <c r="CH267" i="1"/>
  <c r="CG267" i="1"/>
  <c r="CL267" i="1"/>
  <c r="CZ95" i="1"/>
  <c r="CR95" i="1"/>
  <c r="CR70" i="1"/>
  <c r="CM71" i="1" l="1"/>
  <c r="CM70" i="1"/>
  <c r="CM69" i="1"/>
  <c r="CR71" i="1"/>
  <c r="CR69" i="1"/>
  <c r="CV95" i="1"/>
  <c r="CV70" i="1"/>
  <c r="CV69" i="1"/>
  <c r="CV267" i="1"/>
  <c r="CQ267" i="1"/>
  <c r="DA95" i="1"/>
  <c r="DA70" i="1"/>
  <c r="CQ69" i="1"/>
  <c r="CU70" i="1"/>
  <c r="CR267" i="1"/>
  <c r="CQ71" i="1"/>
  <c r="CU71" i="1"/>
  <c r="CW95" i="1"/>
  <c r="CU69" i="1"/>
  <c r="CM267" i="1"/>
  <c r="CQ70" i="1"/>
  <c r="DE95" i="1"/>
  <c r="DA71" i="1" l="1"/>
  <c r="CV71" i="1"/>
  <c r="DA69" i="1"/>
  <c r="DF70" i="1"/>
  <c r="CZ70" i="1"/>
  <c r="CZ69" i="1"/>
  <c r="DF95" i="1"/>
  <c r="CW267" i="1"/>
  <c r="DJ95" i="1"/>
  <c r="DA267" i="1"/>
  <c r="DB95" i="1"/>
  <c r="CZ71" i="1"/>
  <c r="DF69" i="1" l="1"/>
  <c r="DF71" i="1"/>
  <c r="CH244" i="1"/>
  <c r="CG244" i="1"/>
  <c r="CL244" i="1"/>
  <c r="CW71" i="1"/>
  <c r="DK95" i="1"/>
  <c r="DO95" i="1"/>
  <c r="DE70" i="1"/>
  <c r="CW70" i="1"/>
  <c r="DF267" i="1"/>
  <c r="DE71" i="1"/>
  <c r="CW69" i="1"/>
  <c r="DK70" i="1"/>
  <c r="DG95" i="1"/>
  <c r="DE69" i="1"/>
  <c r="DK71" i="1" l="1"/>
  <c r="DK69" i="1"/>
  <c r="DY95" i="1"/>
  <c r="DB267" i="1"/>
  <c r="DB71" i="1"/>
  <c r="DK267" i="1"/>
  <c r="DP70" i="1"/>
  <c r="DG267" i="1"/>
  <c r="DJ70" i="1"/>
  <c r="DJ71" i="1"/>
  <c r="DJ69" i="1"/>
  <c r="DP95" i="1"/>
  <c r="DT95" i="1"/>
  <c r="CV244" i="1"/>
  <c r="DB70" i="1"/>
  <c r="CR244" i="1"/>
  <c r="DB69" i="1"/>
  <c r="CQ244" i="1"/>
  <c r="DL95" i="1"/>
  <c r="DP71" i="1" l="1"/>
  <c r="DP69" i="1"/>
  <c r="DZ95" i="1"/>
  <c r="DO70" i="1"/>
  <c r="CM244" i="1"/>
  <c r="DO71" i="1"/>
  <c r="DP267" i="1"/>
  <c r="DU95" i="1"/>
  <c r="DU70" i="1"/>
  <c r="CW244" i="1"/>
  <c r="DQ95" i="1"/>
  <c r="DO69" i="1"/>
  <c r="DA244" i="1"/>
  <c r="DG69" i="1"/>
  <c r="DG70" i="1"/>
  <c r="DG71" i="1"/>
  <c r="EA95" i="1" l="1"/>
  <c r="DY70" i="1"/>
  <c r="DZ70" i="1"/>
  <c r="DU69" i="1"/>
  <c r="DU71" i="1"/>
  <c r="DY69" i="1"/>
  <c r="DZ69" i="1"/>
  <c r="DL71" i="1"/>
  <c r="DL70" i="1"/>
  <c r="DT71" i="1"/>
  <c r="DL69" i="1"/>
  <c r="DV95" i="1"/>
  <c r="DF244" i="1"/>
  <c r="DL267" i="1"/>
  <c r="DU267" i="1"/>
  <c r="DT70" i="1"/>
  <c r="DZ267" i="1"/>
  <c r="DT69" i="1"/>
  <c r="DQ71" i="1" l="1"/>
  <c r="DZ71" i="1"/>
  <c r="DY71" i="1"/>
  <c r="DQ69" i="1"/>
  <c r="DB244" i="1"/>
  <c r="DK244" i="1"/>
  <c r="DQ267" i="1"/>
  <c r="DG244" i="1"/>
  <c r="DP244" i="1"/>
  <c r="DQ70" i="1"/>
  <c r="EA70" i="1" l="1"/>
  <c r="EA69" i="1"/>
  <c r="DZ244" i="1"/>
  <c r="DV70" i="1"/>
  <c r="DV69" i="1"/>
  <c r="DU244" i="1"/>
  <c r="EA267" i="1"/>
  <c r="DV71" i="1"/>
  <c r="DV267" i="1"/>
  <c r="EA71" i="1" l="1"/>
  <c r="DQ244" i="1"/>
  <c r="DL244" i="1" l="1"/>
  <c r="EA244" i="1"/>
  <c r="DV244" i="1" l="1"/>
  <c r="BY436" i="1" l="1"/>
  <c r="BZ436" i="1" s="1"/>
  <c r="BY71" i="1"/>
  <c r="BZ15" i="1"/>
  <c r="BY70" i="1"/>
  <c r="BY69" i="1"/>
  <c r="CE25" i="1"/>
  <c r="CD69" i="1" l="1"/>
  <c r="CE15" i="1"/>
  <c r="CD70" i="1"/>
  <c r="CD71" i="1"/>
  <c r="BZ9" i="1"/>
  <c r="BZ70" i="1"/>
  <c r="BZ69" i="1"/>
  <c r="BZ16" i="1"/>
  <c r="BY16" i="1" s="1"/>
  <c r="BZ71" i="1"/>
  <c r="CJ15" i="1"/>
  <c r="CI95" i="1"/>
  <c r="CE71" i="1" l="1"/>
  <c r="EO71" i="1" s="1"/>
  <c r="CE69" i="1"/>
  <c r="EO69" i="1" s="1"/>
  <c r="EO15" i="1"/>
  <c r="CE70" i="1"/>
  <c r="EO70" i="1" s="1"/>
  <c r="CD129" i="1"/>
  <c r="BY129" i="1"/>
  <c r="CE129" i="1"/>
  <c r="EO129" i="1" s="1"/>
  <c r="BZ129" i="1"/>
  <c r="EP15" i="1"/>
  <c r="CJ95" i="1"/>
  <c r="EP95" i="1" s="1"/>
  <c r="CO15" i="1"/>
  <c r="CN95" i="1"/>
  <c r="CD267" i="1" l="1"/>
  <c r="BY267" i="1"/>
  <c r="CJ22" i="1"/>
  <c r="CI69" i="1"/>
  <c r="CI267" i="1"/>
  <c r="CJ23" i="1"/>
  <c r="CI70" i="1"/>
  <c r="EQ15" i="1"/>
  <c r="CO95" i="1"/>
  <c r="EQ95" i="1" s="1"/>
  <c r="CT15" i="1"/>
  <c r="CS95" i="1"/>
  <c r="CJ24" i="1"/>
  <c r="CI71" i="1"/>
  <c r="CN69" i="1" l="1"/>
  <c r="CN70" i="1"/>
  <c r="CN71" i="1"/>
  <c r="CT95" i="1"/>
  <c r="ER95" i="1" s="1"/>
  <c r="ER15" i="1"/>
  <c r="BY322" i="1"/>
  <c r="BZ321" i="1"/>
  <c r="BZ322" i="1" s="1"/>
  <c r="CE267" i="1"/>
  <c r="BZ267" i="1"/>
  <c r="BY336" i="1"/>
  <c r="CN267" i="1"/>
  <c r="EP24" i="1"/>
  <c r="CJ71" i="1"/>
  <c r="EP71" i="1" s="1"/>
  <c r="CO24" i="1"/>
  <c r="EP22" i="1"/>
  <c r="CJ69" i="1"/>
  <c r="EP69" i="1" s="1"/>
  <c r="EP23" i="1"/>
  <c r="CJ70" i="1"/>
  <c r="EP70" i="1" s="1"/>
  <c r="CY15" i="1"/>
  <c r="CX95" i="1"/>
  <c r="CO23" i="1"/>
  <c r="CO22" i="1"/>
  <c r="CY95" i="1" l="1"/>
  <c r="BY337" i="1"/>
  <c r="BY338" i="1"/>
  <c r="CT24" i="1"/>
  <c r="CS71" i="1"/>
  <c r="DD15" i="1"/>
  <c r="DC95" i="1"/>
  <c r="CT22" i="1"/>
  <c r="CS69" i="1"/>
  <c r="EQ23" i="1"/>
  <c r="CO70" i="1"/>
  <c r="EQ70" i="1" s="1"/>
  <c r="EQ22" i="1"/>
  <c r="CO69" i="1"/>
  <c r="EQ69" i="1" s="1"/>
  <c r="CT23" i="1"/>
  <c r="CS70" i="1"/>
  <c r="EQ24" i="1"/>
  <c r="CO71" i="1"/>
  <c r="EQ71" i="1" s="1"/>
  <c r="CS267" i="1"/>
  <c r="DD95" i="1" l="1"/>
  <c r="CT71" i="1"/>
  <c r="ER71" i="1" s="1"/>
  <c r="ER24" i="1"/>
  <c r="CT70" i="1"/>
  <c r="ER70" i="1" s="1"/>
  <c r="ER23" i="1"/>
  <c r="CT69" i="1"/>
  <c r="ER69" i="1" s="1"/>
  <c r="ER22" i="1"/>
  <c r="CD244" i="1"/>
  <c r="BY244" i="1"/>
  <c r="CY23" i="1"/>
  <c r="CX70" i="1"/>
  <c r="CY22" i="1"/>
  <c r="CX69" i="1"/>
  <c r="CI244" i="1"/>
  <c r="DI15" i="1"/>
  <c r="DH95" i="1"/>
  <c r="CY24" i="1"/>
  <c r="CX71" i="1"/>
  <c r="CX267" i="1"/>
  <c r="DI95" i="1" l="1"/>
  <c r="CY71" i="1"/>
  <c r="CY70" i="1"/>
  <c r="CY69" i="1"/>
  <c r="BZ244" i="1"/>
  <c r="DD22" i="1"/>
  <c r="DC69" i="1"/>
  <c r="DD23" i="1"/>
  <c r="DC70" i="1"/>
  <c r="DD24" i="1"/>
  <c r="DC71" i="1"/>
  <c r="DN15" i="1"/>
  <c r="DM95" i="1"/>
  <c r="DC267" i="1"/>
  <c r="CN244" i="1"/>
  <c r="DN95" i="1" l="1"/>
  <c r="DD71" i="1"/>
  <c r="DD70" i="1"/>
  <c r="DD69" i="1"/>
  <c r="CE241" i="1"/>
  <c r="CE244" i="1"/>
  <c r="DI22" i="1"/>
  <c r="DH69" i="1"/>
  <c r="DI23" i="1"/>
  <c r="DH70" i="1"/>
  <c r="DS15" i="1"/>
  <c r="DR95" i="1"/>
  <c r="DI24" i="1"/>
  <c r="DH71" i="1"/>
  <c r="DH267" i="1"/>
  <c r="DS95" i="1" l="1"/>
  <c r="DI71" i="1"/>
  <c r="DI70" i="1"/>
  <c r="DI69" i="1"/>
  <c r="EB95" i="1"/>
  <c r="EC15" i="1"/>
  <c r="DN24" i="1"/>
  <c r="DM71" i="1"/>
  <c r="DN23" i="1"/>
  <c r="DM70" i="1"/>
  <c r="DX15" i="1"/>
  <c r="DW95" i="1"/>
  <c r="DM267" i="1"/>
  <c r="DN22" i="1"/>
  <c r="DM69" i="1"/>
  <c r="CS244" i="1"/>
  <c r="DN69" i="1" l="1"/>
  <c r="DN71" i="1"/>
  <c r="DX95" i="1"/>
  <c r="DN70" i="1"/>
  <c r="EC95" i="1"/>
  <c r="DS22" i="1"/>
  <c r="DR69" i="1"/>
  <c r="CX244" i="1"/>
  <c r="DS23" i="1"/>
  <c r="DR70" i="1"/>
  <c r="DR267" i="1"/>
  <c r="DS24" i="1"/>
  <c r="DR71" i="1"/>
  <c r="DS70" i="1" l="1"/>
  <c r="DS71" i="1"/>
  <c r="DS69" i="1"/>
  <c r="EC23" i="1"/>
  <c r="EB70" i="1"/>
  <c r="EB69" i="1"/>
  <c r="EC22" i="1"/>
  <c r="DW267" i="1"/>
  <c r="DX23" i="1"/>
  <c r="DW70" i="1"/>
  <c r="DX22" i="1"/>
  <c r="DW69" i="1"/>
  <c r="DC244" i="1"/>
  <c r="DX24" i="1"/>
  <c r="DW71" i="1"/>
  <c r="DX69" i="1" l="1"/>
  <c r="DX70" i="1"/>
  <c r="DX71" i="1"/>
  <c r="EC69" i="1"/>
  <c r="EC70" i="1"/>
  <c r="EB267" i="1"/>
  <c r="EB71" i="1"/>
  <c r="EC24" i="1"/>
  <c r="DH244" i="1"/>
  <c r="EC71" i="1" l="1"/>
  <c r="DM244" i="1"/>
  <c r="DR244" i="1"/>
  <c r="EB244" i="1" l="1"/>
  <c r="DW244" i="1"/>
  <c r="CK288" i="1" l="1"/>
  <c r="CK291" i="1"/>
  <c r="CP288" i="1" l="1"/>
  <c r="CP291" i="1"/>
  <c r="CK293" i="1"/>
  <c r="CU288" i="1" l="1"/>
  <c r="CU291" i="1"/>
  <c r="CP293" i="1"/>
  <c r="CU293" i="1" l="1"/>
  <c r="CZ291" i="1"/>
  <c r="CZ288" i="1"/>
  <c r="CZ293" i="1" l="1"/>
  <c r="DE288" i="1"/>
  <c r="DE291" i="1"/>
  <c r="DJ288" i="1" l="1"/>
  <c r="DJ291" i="1"/>
  <c r="DE293" i="1"/>
  <c r="DJ293" i="1" l="1"/>
  <c r="BT291" i="1" l="1"/>
  <c r="BU286" i="1"/>
  <c r="BU291" i="1" s="1"/>
  <c r="BT288" i="1"/>
  <c r="BT293" i="1" l="1"/>
  <c r="BU288" i="1"/>
  <c r="BU293" i="1" l="1"/>
  <c r="BU287" i="1"/>
  <c r="BU292" i="1" s="1"/>
  <c r="CI291" i="1" l="1"/>
  <c r="CI288" i="1"/>
  <c r="CO17" i="1" l="1"/>
  <c r="CI293" i="1"/>
  <c r="CN291" i="1"/>
  <c r="CO286" i="1"/>
  <c r="CO291" i="1" s="1"/>
  <c r="CN288" i="1"/>
  <c r="CT17" i="1" l="1"/>
  <c r="CS291" i="1"/>
  <c r="CS288" i="1"/>
  <c r="CT286" i="1"/>
  <c r="CT291" i="1" s="1"/>
  <c r="CN293" i="1"/>
  <c r="CO288" i="1"/>
  <c r="CY17" i="1" l="1"/>
  <c r="CO287" i="1"/>
  <c r="CO292" i="1" s="1"/>
  <c r="CO293" i="1"/>
  <c r="CS293" i="1"/>
  <c r="CT288" i="1"/>
  <c r="CX291" i="1"/>
  <c r="CX288" i="1"/>
  <c r="CY286" i="1"/>
  <c r="CY291" i="1" s="1"/>
  <c r="DD17" i="1" l="1"/>
  <c r="DC291" i="1"/>
  <c r="DC288" i="1"/>
  <c r="DD286" i="1"/>
  <c r="DD291" i="1" s="1"/>
  <c r="CO259" i="1"/>
  <c r="CT287" i="1"/>
  <c r="CT292" i="1" s="1"/>
  <c r="CT293" i="1"/>
  <c r="CX293" i="1"/>
  <c r="CY288" i="1"/>
  <c r="DI17" i="1" l="1"/>
  <c r="DI286" i="1"/>
  <c r="DI291" i="1" s="1"/>
  <c r="DH291" i="1"/>
  <c r="DH288" i="1"/>
  <c r="DC293" i="1"/>
  <c r="DD288" i="1"/>
  <c r="CT259" i="1"/>
  <c r="CY287" i="1"/>
  <c r="CY292" i="1" s="1"/>
  <c r="CY293" i="1"/>
  <c r="DN17" i="1" l="1"/>
  <c r="CY259" i="1"/>
  <c r="DH293" i="1"/>
  <c r="DI288" i="1"/>
  <c r="DD293" i="1"/>
  <c r="DD287" i="1"/>
  <c r="DD292" i="1" s="1"/>
  <c r="DM291" i="1"/>
  <c r="DN286" i="1"/>
  <c r="DN291" i="1" s="1"/>
  <c r="DM288" i="1"/>
  <c r="DS17" i="1" l="1"/>
  <c r="EC17" i="1"/>
  <c r="DM293" i="1"/>
  <c r="DN288" i="1"/>
  <c r="DI287" i="1"/>
  <c r="DI292" i="1" s="1"/>
  <c r="DI293" i="1"/>
  <c r="DI259" i="1" s="1"/>
  <c r="DD259" i="1"/>
  <c r="DX17" i="1" l="1"/>
  <c r="DN287" i="1"/>
  <c r="DN292" i="1" s="1"/>
  <c r="DN293" i="1"/>
  <c r="DN259" i="1" s="1"/>
  <c r="BZ28" i="5" l="1"/>
  <c r="CD444" i="1" l="1"/>
  <c r="CD445" i="1" s="1"/>
  <c r="BY41" i="1"/>
  <c r="BY444" i="1"/>
  <c r="BY445" i="1" s="1"/>
  <c r="CE164" i="1"/>
  <c r="BZ17" i="5"/>
  <c r="EK11" i="6" l="1"/>
  <c r="CE444" i="1"/>
  <c r="CE445" i="1" s="1"/>
  <c r="BZ444" i="1"/>
  <c r="BZ445" i="1" s="1"/>
  <c r="BZ41" i="1"/>
  <c r="BZ79" i="1" s="1"/>
  <c r="BZ443" i="1"/>
  <c r="BY79" i="1"/>
  <c r="BY448" i="1"/>
  <c r="BZ448" i="1" s="1"/>
  <c r="CH444" i="1" l="1"/>
  <c r="CH445" i="1" s="1"/>
  <c r="CG444" i="1"/>
  <c r="CG445" i="1" s="1"/>
  <c r="CG98" i="1" l="1"/>
  <c r="CG102" i="1" l="1"/>
  <c r="CG74" i="1"/>
  <c r="CG322" i="1" l="1"/>
  <c r="BY182" i="5" l="1"/>
  <c r="BZ182" i="5" s="1"/>
  <c r="BZ156" i="5" s="1"/>
  <c r="BY184" i="5" l="1"/>
  <c r="CD44" i="1" l="1"/>
  <c r="BZ184" i="5"/>
  <c r="BZ187" i="5" s="1"/>
  <c r="BY187" i="5"/>
  <c r="CE44" i="1" l="1"/>
  <c r="CD161" i="1"/>
  <c r="CE161" i="1" s="1"/>
  <c r="CE46" i="1"/>
  <c r="EO46" i="1" l="1"/>
  <c r="CC75" i="1" l="1"/>
  <c r="CC329" i="1"/>
  <c r="CC327" i="1" l="1"/>
  <c r="CC330" i="1"/>
  <c r="CC331" i="1" l="1"/>
  <c r="CC368" i="1" s="1"/>
  <c r="CC369" i="1" s="1"/>
  <c r="CC351" i="1"/>
  <c r="CC364" i="1" s="1"/>
  <c r="CC34" i="1" s="1"/>
  <c r="CC342" i="1"/>
  <c r="CC328" i="1"/>
  <c r="BX211" i="5" l="1"/>
  <c r="CC361" i="1"/>
  <c r="CC362" i="1" s="1"/>
  <c r="CC39" i="1"/>
  <c r="CC105" i="1"/>
  <c r="CC355" i="1"/>
  <c r="CC356" i="1" s="1"/>
  <c r="CC77" i="1"/>
  <c r="CC33" i="1"/>
  <c r="CC352" i="1"/>
  <c r="CC353" i="1"/>
  <c r="CC48" i="1" l="1"/>
  <c r="CC357" i="1"/>
  <c r="CC41" i="1"/>
  <c r="CC442" i="1"/>
  <c r="CC447" i="1"/>
  <c r="CC78" i="1"/>
  <c r="BX65" i="5"/>
  <c r="BX53" i="5"/>
  <c r="CC106" i="1"/>
  <c r="CC365" i="1"/>
  <c r="CC104" i="1"/>
  <c r="CC76" i="1"/>
  <c r="CC82" i="1" l="1"/>
  <c r="CC372" i="1" s="1"/>
  <c r="CC373" i="1" s="1"/>
  <c r="CC79" i="1"/>
  <c r="CC51" i="1"/>
  <c r="BX173" i="6" s="1"/>
  <c r="BX58" i="5"/>
  <c r="CC107" i="1"/>
  <c r="CC448" i="1"/>
  <c r="BX57" i="5"/>
  <c r="CC376" i="1" l="1"/>
  <c r="CC160" i="1"/>
  <c r="CC165" i="1" s="1"/>
  <c r="CC189" i="1" s="1"/>
  <c r="CC190" i="1" s="1"/>
  <c r="CC84" i="1"/>
  <c r="CC113" i="1"/>
  <c r="CC56" i="1"/>
  <c r="BX52" i="5"/>
  <c r="BX71" i="5"/>
  <c r="BX74" i="5" s="1"/>
  <c r="BX75" i="5" s="1"/>
  <c r="BX76" i="5" s="1"/>
  <c r="CC196" i="1" l="1"/>
  <c r="CC198" i="1" s="1"/>
  <c r="CC226" i="1" s="1"/>
  <c r="CC229" i="1" s="1"/>
  <c r="CC192" i="1"/>
  <c r="CC43" i="1" s="1"/>
  <c r="CC42" i="1"/>
  <c r="CC64" i="1"/>
  <c r="BX59" i="5"/>
  <c r="CC114" i="1"/>
  <c r="CC81" i="1" l="1"/>
  <c r="CC193" i="1"/>
  <c r="CC108" i="1"/>
  <c r="CC438" i="1"/>
  <c r="BX64" i="5" s="1"/>
  <c r="BX212" i="5"/>
  <c r="CC235" i="1"/>
  <c r="CC236" i="1" s="1"/>
  <c r="CC62" i="1" s="1"/>
  <c r="CC228" i="1"/>
  <c r="CC83" i="1" s="1"/>
  <c r="CC233" i="1"/>
  <c r="CC57" i="1" s="1"/>
  <c r="CC117" i="1"/>
  <c r="CC111" i="1"/>
  <c r="CC80" i="1"/>
  <c r="CC439" i="1" l="1"/>
  <c r="CC440" i="1" s="1"/>
  <c r="BX62" i="5"/>
  <c r="CC115" i="1"/>
  <c r="CC234" i="1"/>
  <c r="BX63" i="5"/>
  <c r="CC61" i="1"/>
  <c r="CC112" i="1"/>
  <c r="CC116" i="1" l="1"/>
  <c r="CC416" i="1"/>
  <c r="BX108" i="6" s="1"/>
  <c r="CC3" i="1"/>
  <c r="CC449" i="1"/>
  <c r="CD28" i="1" l="1"/>
  <c r="CE26" i="1"/>
  <c r="CD95" i="1"/>
  <c r="CE18" i="1"/>
  <c r="CE95" i="1" l="1"/>
  <c r="EO95" i="1" s="1"/>
  <c r="CE20" i="1"/>
  <c r="FA95" i="1"/>
  <c r="CE28" i="1"/>
  <c r="O12" i="128" l="1"/>
  <c r="O13" i="128" s="1"/>
  <c r="EO28" i="1"/>
  <c r="CE30" i="1"/>
  <c r="CD72" i="1"/>
  <c r="CE323" i="1"/>
  <c r="CE72" i="1" l="1"/>
  <c r="EO72" i="1" s="1"/>
  <c r="BZ210" i="5"/>
  <c r="BZ25" i="5" l="1"/>
  <c r="EK32" i="6"/>
  <c r="BZ217" i="5" l="1"/>
  <c r="CH129" i="1" l="1"/>
  <c r="CG129" i="1"/>
  <c r="CF129" i="1"/>
  <c r="CJ129" i="1"/>
  <c r="EP129" i="1" s="1"/>
  <c r="FB128" i="1"/>
  <c r="CM129" i="1" l="1"/>
  <c r="CL129" i="1"/>
  <c r="CK129" i="1"/>
  <c r="FB129" i="1" s="1"/>
  <c r="CI129" i="1"/>
  <c r="BZ112" i="6"/>
  <c r="CE112" i="6"/>
  <c r="CO129" i="1"/>
  <c r="EQ129" i="1" s="1"/>
  <c r="CR129" i="1"/>
  <c r="CQ129" i="1"/>
  <c r="CF267" i="1"/>
  <c r="CP129" i="1" l="1"/>
  <c r="EY129" i="1" s="1"/>
  <c r="FA129" i="1" s="1"/>
  <c r="EY128" i="1"/>
  <c r="FA128" i="1" s="1"/>
  <c r="CN129" i="1"/>
  <c r="CS129" i="1"/>
  <c r="CT129" i="1"/>
  <c r="ER129" i="1" s="1"/>
  <c r="CJ267" i="1"/>
  <c r="CV129" i="1"/>
  <c r="CU129" i="1"/>
  <c r="CW129" i="1"/>
  <c r="CK267" i="1"/>
  <c r="CO267" i="1" l="1"/>
  <c r="DA129" i="1"/>
  <c r="DB129" i="1"/>
  <c r="CZ129" i="1"/>
  <c r="BZ334" i="1"/>
  <c r="BV336" i="1"/>
  <c r="CP267" i="1"/>
  <c r="CX129" i="1"/>
  <c r="CY129" i="1"/>
  <c r="CF444" i="1" l="1"/>
  <c r="CF445" i="1" s="1"/>
  <c r="DE129" i="1"/>
  <c r="DF129" i="1"/>
  <c r="DG129" i="1"/>
  <c r="CT267" i="1"/>
  <c r="DC129" i="1"/>
  <c r="DD129" i="1"/>
  <c r="CU267" i="1"/>
  <c r="BV338" i="1"/>
  <c r="BV337" i="1"/>
  <c r="BZ336" i="1"/>
  <c r="DI129" i="1" l="1"/>
  <c r="DH129" i="1"/>
  <c r="CY267" i="1"/>
  <c r="DL129" i="1"/>
  <c r="DJ129" i="1"/>
  <c r="DK129" i="1"/>
  <c r="CF244" i="1"/>
  <c r="BZ338" i="1"/>
  <c r="BZ337" i="1"/>
  <c r="CJ244" i="1"/>
  <c r="CZ267" i="1"/>
  <c r="DD267" i="1" l="1"/>
  <c r="DE267" i="1"/>
  <c r="CO244" i="1"/>
  <c r="DO129" i="1"/>
  <c r="DP129" i="1"/>
  <c r="DQ129" i="1"/>
  <c r="DM129" i="1"/>
  <c r="DN129" i="1"/>
  <c r="CP244" i="1"/>
  <c r="CK244" i="1"/>
  <c r="DJ267" i="1" l="1"/>
  <c r="DI267" i="1"/>
  <c r="CT244" i="1"/>
  <c r="DV129" i="1"/>
  <c r="DT129" i="1"/>
  <c r="DU129" i="1"/>
  <c r="DR129" i="1"/>
  <c r="DS129" i="1"/>
  <c r="CF98" i="1" l="1"/>
  <c r="DY129" i="1"/>
  <c r="EA129" i="1"/>
  <c r="DZ129" i="1"/>
  <c r="DW129" i="1"/>
  <c r="DX129" i="1"/>
  <c r="DN267" i="1"/>
  <c r="CU244" i="1"/>
  <c r="DO267" i="1"/>
  <c r="CY244" i="1"/>
  <c r="CF74" i="1" l="1"/>
  <c r="EB129" i="1"/>
  <c r="CF322" i="1"/>
  <c r="CF102" i="1"/>
  <c r="CZ244" i="1"/>
  <c r="DD244" i="1"/>
  <c r="DT267" i="1"/>
  <c r="DS267" i="1"/>
  <c r="EC129" i="1"/>
  <c r="DY267" i="1"/>
  <c r="DX267" i="1" l="1"/>
  <c r="DI244" i="1"/>
  <c r="DE244" i="1"/>
  <c r="DJ244" i="1" l="1"/>
  <c r="DO244" i="1"/>
  <c r="DN244" i="1"/>
  <c r="DT244" i="1" l="1"/>
  <c r="DS244" i="1"/>
  <c r="DY244" i="1"/>
  <c r="DX244" i="1" l="1"/>
  <c r="EC267" i="1" l="1"/>
  <c r="EC244" i="1" l="1"/>
  <c r="CD98" i="1" l="1"/>
  <c r="CD20" i="1"/>
  <c r="CD344" i="1" l="1"/>
  <c r="BY209" i="5"/>
  <c r="BY169" i="6"/>
  <c r="CD99" i="1"/>
  <c r="BY171" i="6"/>
  <c r="CD446" i="1"/>
  <c r="CE446" i="1" s="1"/>
  <c r="CD437" i="1"/>
  <c r="CE437" i="1" s="1"/>
  <c r="CD102" i="1"/>
  <c r="CD74" i="1"/>
  <c r="CE31" i="1"/>
  <c r="CE98" i="1"/>
  <c r="EO98" i="1" s="1"/>
  <c r="EO19" i="1"/>
  <c r="BY216" i="5" l="1"/>
  <c r="BY218" i="5"/>
  <c r="BY215" i="5"/>
  <c r="BZ209" i="5"/>
  <c r="CE343" i="1"/>
  <c r="BZ169" i="6"/>
  <c r="BZ171" i="6"/>
  <c r="EO20" i="1"/>
  <c r="CE443" i="1"/>
  <c r="CE99" i="1"/>
  <c r="EO99" i="1" s="1"/>
  <c r="EO31" i="1"/>
  <c r="CE102" i="1"/>
  <c r="EO102" i="1" s="1"/>
  <c r="CE74" i="1"/>
  <c r="EO74" i="1" s="1"/>
  <c r="CD322" i="1"/>
  <c r="CE321" i="1"/>
  <c r="CE322" i="1" s="1"/>
  <c r="CD366" i="1"/>
  <c r="BZ12" i="5" l="1"/>
  <c r="CD367" i="1"/>
  <c r="CE366" i="1"/>
  <c r="CE367" i="1" s="1"/>
  <c r="EK31" i="6"/>
  <c r="BZ13" i="5"/>
  <c r="BY32" i="5"/>
  <c r="BZ27" i="5"/>
  <c r="EK34" i="6"/>
  <c r="BZ218" i="5" l="1"/>
  <c r="BZ32" i="5"/>
  <c r="BY37" i="5"/>
  <c r="BZ216" i="5"/>
  <c r="BZ222" i="5"/>
  <c r="BZ215" i="5"/>
  <c r="BZ37" i="5" l="1"/>
  <c r="EK30" i="6"/>
  <c r="CE49" i="1" l="1"/>
  <c r="CD163" i="1"/>
  <c r="CE163" i="1" l="1"/>
  <c r="CE197" i="1" s="1"/>
  <c r="CD197" i="1"/>
  <c r="EO49" i="1"/>
  <c r="BY47" i="5" l="1"/>
  <c r="BZ43" i="5"/>
  <c r="BZ167" i="6" l="1"/>
  <c r="EK9" i="6"/>
  <c r="BY48" i="5"/>
  <c r="BY61" i="5"/>
  <c r="BZ47" i="5"/>
  <c r="CA70" i="5" l="1"/>
  <c r="BZ61" i="5"/>
  <c r="BZ48" i="5"/>
  <c r="CE70" i="5"/>
  <c r="CE227" i="1"/>
  <c r="CD60" i="1"/>
  <c r="CD63" i="1" l="1"/>
  <c r="CE229" i="1"/>
  <c r="CE60" i="1"/>
  <c r="BY128" i="5"/>
  <c r="BY103" i="5"/>
  <c r="CD394" i="1"/>
  <c r="BY394" i="1"/>
  <c r="BY16" i="5"/>
  <c r="BY185" i="5"/>
  <c r="BZ185" i="5" s="1"/>
  <c r="BZ159" i="5" s="1"/>
  <c r="BZ10" i="5"/>
  <c r="BY221" i="5" l="1"/>
  <c r="BZ147" i="1"/>
  <c r="CE147" i="1"/>
  <c r="BZ16" i="5"/>
  <c r="BY22" i="5"/>
  <c r="BZ103" i="5"/>
  <c r="BZ394" i="1"/>
  <c r="CE394" i="1"/>
  <c r="BZ128" i="5"/>
  <c r="EO60" i="1"/>
  <c r="CE63" i="1"/>
  <c r="EO63" i="1" l="1"/>
  <c r="CA56" i="5"/>
  <c r="BZ221" i="5"/>
  <c r="BZ22" i="5"/>
  <c r="BY49" i="5"/>
  <c r="BY56" i="5"/>
  <c r="BY54" i="5"/>
  <c r="BY55" i="5"/>
  <c r="BZ56" i="5" l="1"/>
  <c r="BZ49" i="5"/>
  <c r="BZ55" i="5"/>
  <c r="BZ54" i="5"/>
  <c r="CE32" i="1" l="1"/>
  <c r="CD329" i="1"/>
  <c r="EO32" i="1" l="1"/>
  <c r="CD330" i="1"/>
  <c r="CE329" i="1"/>
  <c r="CE330" i="1" s="1"/>
  <c r="CD327" i="1"/>
  <c r="CD331" i="1" s="1"/>
  <c r="CD351" i="1" s="1"/>
  <c r="CD364" i="1" s="1"/>
  <c r="CD342" i="1" l="1"/>
  <c r="CE327" i="1"/>
  <c r="CE342" i="1" l="1"/>
  <c r="CE331" i="1"/>
  <c r="CE351" i="1" s="1"/>
  <c r="CD368" i="1"/>
  <c r="CD353" i="1" l="1"/>
  <c r="CD33" i="1"/>
  <c r="CD34" i="1"/>
  <c r="CD352" i="1"/>
  <c r="CD355" i="1"/>
  <c r="CE368" i="1"/>
  <c r="CD361" i="1"/>
  <c r="CD369" i="1"/>
  <c r="CE353" i="1"/>
  <c r="CE352" i="1"/>
  <c r="BY211" i="5" l="1"/>
  <c r="BZ211" i="5" s="1"/>
  <c r="CD105" i="1"/>
  <c r="CD77" i="1"/>
  <c r="CE34" i="1"/>
  <c r="CD39" i="1"/>
  <c r="CD365" i="1"/>
  <c r="CE364" i="1"/>
  <c r="CE369" i="1"/>
  <c r="CE355" i="1"/>
  <c r="CE361" i="1"/>
  <c r="CE33" i="1"/>
  <c r="CD76" i="1"/>
  <c r="CD104" i="1"/>
  <c r="CD357" i="1"/>
  <c r="CD356" i="1"/>
  <c r="CD362" i="1"/>
  <c r="CD48" i="1" l="1"/>
  <c r="BY65" i="5"/>
  <c r="BZ65" i="5" s="1"/>
  <c r="CD41" i="1"/>
  <c r="CD78" i="1"/>
  <c r="BY53" i="5"/>
  <c r="CD447" i="1"/>
  <c r="CE447" i="1" s="1"/>
  <c r="CD442" i="1"/>
  <c r="CD106" i="1"/>
  <c r="CE39" i="1"/>
  <c r="CE105" i="1"/>
  <c r="EO105" i="1" s="1"/>
  <c r="EO34" i="1"/>
  <c r="CE77" i="1"/>
  <c r="EO77" i="1" s="1"/>
  <c r="CE76" i="1"/>
  <c r="EO76" i="1" s="1"/>
  <c r="EO33" i="1"/>
  <c r="CE104" i="1"/>
  <c r="EO104" i="1" s="1"/>
  <c r="CE362" i="1"/>
  <c r="CE356" i="1"/>
  <c r="CE357" i="1"/>
  <c r="CE365" i="1"/>
  <c r="CE48" i="1" l="1"/>
  <c r="O14" i="128"/>
  <c r="O15" i="128" s="1"/>
  <c r="CE78" i="1"/>
  <c r="EO78" i="1" s="1"/>
  <c r="CD448" i="1"/>
  <c r="CE448" i="1" s="1"/>
  <c r="CD79" i="1"/>
  <c r="CD107" i="1"/>
  <c r="BZ53" i="5"/>
  <c r="BY57" i="5"/>
  <c r="BY58" i="5"/>
  <c r="CE442" i="1"/>
  <c r="EO39" i="1"/>
  <c r="CE41" i="1"/>
  <c r="CE106" i="1"/>
  <c r="EO106" i="1" s="1"/>
  <c r="CD82" i="1"/>
  <c r="CD51" i="1"/>
  <c r="CE51" i="1" l="1"/>
  <c r="BZ58" i="5"/>
  <c r="BZ57" i="5"/>
  <c r="BY71" i="5"/>
  <c r="BY74" i="5" s="1"/>
  <c r="BY75" i="5" s="1"/>
  <c r="BY76" i="5" s="1"/>
  <c r="EO41" i="1"/>
  <c r="CE107" i="1"/>
  <c r="EO107" i="1" s="1"/>
  <c r="CE79" i="1"/>
  <c r="EO79" i="1" s="1"/>
  <c r="CD56" i="1"/>
  <c r="CD84" i="1"/>
  <c r="CD113" i="1"/>
  <c r="BY52" i="5"/>
  <c r="CD160" i="1"/>
  <c r="CD372" i="1"/>
  <c r="EO48" i="1"/>
  <c r="CE82" i="1"/>
  <c r="CE372" i="1" l="1"/>
  <c r="EO82" i="1"/>
  <c r="CD196" i="1"/>
  <c r="CD198" i="1" s="1"/>
  <c r="CD226" i="1" s="1"/>
  <c r="CD233" i="1" s="1"/>
  <c r="CE160" i="1"/>
  <c r="CD165" i="1"/>
  <c r="CD189" i="1" s="1"/>
  <c r="CD192" i="1" s="1"/>
  <c r="CE56" i="1"/>
  <c r="BZ71" i="5"/>
  <c r="BZ74" i="5" s="1"/>
  <c r="BZ75" i="5" s="1"/>
  <c r="BZ76" i="5" s="1"/>
  <c r="CE84" i="1"/>
  <c r="EO84" i="1" s="1"/>
  <c r="EO51" i="1"/>
  <c r="CE113" i="1"/>
  <c r="EO113" i="1" s="1"/>
  <c r="CD376" i="1"/>
  <c r="CD373" i="1"/>
  <c r="BZ52" i="5"/>
  <c r="BY59" i="5"/>
  <c r="CD64" i="1"/>
  <c r="CD114" i="1"/>
  <c r="BZ59" i="5" l="1"/>
  <c r="CD190" i="1"/>
  <c r="CD42" i="1"/>
  <c r="CE165" i="1"/>
  <c r="CE189" i="1" s="1"/>
  <c r="CE196" i="1"/>
  <c r="CE198" i="1" s="1"/>
  <c r="CE226" i="1" s="1"/>
  <c r="CD117" i="1"/>
  <c r="CD228" i="1"/>
  <c r="CD83" i="1" s="1"/>
  <c r="CD235" i="1"/>
  <c r="CD236" i="1" s="1"/>
  <c r="CD62" i="1" s="1"/>
  <c r="CD229" i="1"/>
  <c r="CE64" i="1"/>
  <c r="CE376" i="1"/>
  <c r="CE373" i="1"/>
  <c r="CD81" i="1" l="1"/>
  <c r="CD234" i="1"/>
  <c r="CD57" i="1"/>
  <c r="CE228" i="1"/>
  <c r="CE83" i="1" s="1"/>
  <c r="CE235" i="1"/>
  <c r="CE236" i="1" s="1"/>
  <c r="CE62" i="1" s="1"/>
  <c r="CE233" i="1"/>
  <c r="CD193" i="1"/>
  <c r="CE192" i="1"/>
  <c r="CE190" i="1"/>
  <c r="CE42" i="1"/>
  <c r="BY212" i="5"/>
  <c r="CD438" i="1"/>
  <c r="CD108" i="1"/>
  <c r="CD43" i="1"/>
  <c r="EO64" i="1"/>
  <c r="CE117" i="1"/>
  <c r="EO117" i="1" s="1"/>
  <c r="CE81" i="1" l="1"/>
  <c r="EO62" i="1"/>
  <c r="CD111" i="1"/>
  <c r="CD80" i="1"/>
  <c r="CD61" i="1"/>
  <c r="CD439" i="1"/>
  <c r="CD115" i="1"/>
  <c r="EO42" i="1"/>
  <c r="CE108" i="1"/>
  <c r="CE43" i="1"/>
  <c r="CE193" i="1"/>
  <c r="CE195" i="1"/>
  <c r="CE234" i="1"/>
  <c r="CE57" i="1"/>
  <c r="BY64" i="5"/>
  <c r="BY63" i="5"/>
  <c r="BY62" i="5"/>
  <c r="CE438" i="1"/>
  <c r="CD3" i="1" l="1"/>
  <c r="CD112" i="1"/>
  <c r="CE111" i="1"/>
  <c r="EO111" i="1" s="1"/>
  <c r="O16" i="128"/>
  <c r="EO108" i="1"/>
  <c r="CE61" i="1"/>
  <c r="EO57" i="1"/>
  <c r="CD449" i="1"/>
  <c r="CE449" i="1" s="1"/>
  <c r="CD116" i="1"/>
  <c r="BZ62" i="5"/>
  <c r="BZ64" i="5"/>
  <c r="BZ63" i="5"/>
  <c r="EO43" i="1"/>
  <c r="CE80" i="1"/>
  <c r="EO80" i="1" s="1"/>
  <c r="CE439" i="1"/>
  <c r="CD440" i="1"/>
  <c r="CE440" i="1" s="1"/>
  <c r="CE112" i="1" l="1"/>
  <c r="O18" i="128"/>
  <c r="O38" i="128" s="1"/>
  <c r="O37" i="128"/>
  <c r="O17" i="128"/>
  <c r="CE116" i="1"/>
  <c r="EO116" i="1" s="1"/>
  <c r="EO61" i="1"/>
  <c r="O19" i="128" l="1"/>
  <c r="BY29" i="6" l="1"/>
  <c r="BZ27" i="6"/>
  <c r="EK27" i="6" l="1"/>
  <c r="BY27" i="6"/>
  <c r="EK18" i="6" l="1"/>
  <c r="BY18" i="6"/>
  <c r="EK21" i="6"/>
  <c r="BY21" i="6"/>
  <c r="EK22" i="6"/>
  <c r="BY22" i="6"/>
  <c r="EK24" i="6"/>
  <c r="BY24" i="6"/>
  <c r="EK35" i="6"/>
  <c r="BY35" i="6"/>
  <c r="BY38" i="6" l="1"/>
  <c r="CD150" i="1" l="1"/>
  <c r="CD152" i="1" s="1"/>
  <c r="BY175" i="6"/>
  <c r="BZ175" i="6" s="1"/>
  <c r="BY88" i="6"/>
  <c r="BY91" i="6" s="1"/>
  <c r="BY95" i="6" s="1"/>
  <c r="BY74" i="6"/>
  <c r="BY150" i="1"/>
  <c r="BY152" i="1" s="1"/>
  <c r="BZ38" i="6"/>
  <c r="BY77" i="6" l="1"/>
  <c r="CE150" i="1"/>
  <c r="CE152" i="1" s="1"/>
  <c r="BY92" i="6"/>
  <c r="BZ92" i="6" s="1"/>
  <c r="BZ88" i="6"/>
  <c r="BZ91" i="6" s="1"/>
  <c r="O39" i="128" s="1"/>
  <c r="O40" i="128" s="1"/>
  <c r="BZ173" i="6"/>
  <c r="BY173" i="6" s="1"/>
  <c r="BZ150" i="1"/>
  <c r="BZ152" i="1" s="1"/>
  <c r="EK38" i="6"/>
  <c r="BZ74" i="6"/>
  <c r="BY78" i="6" l="1"/>
  <c r="BY86" i="6"/>
  <c r="EK74" i="6"/>
  <c r="EK88" i="6"/>
  <c r="BZ77" i="6"/>
  <c r="EK91" i="6"/>
  <c r="BZ95" i="6"/>
  <c r="CA75" i="6" l="1"/>
  <c r="CE75" i="6"/>
  <c r="BZ86" i="6"/>
  <c r="BZ78" i="6"/>
  <c r="CA77" i="6" l="1"/>
  <c r="CA86" i="6" l="1"/>
  <c r="CB75" i="6"/>
  <c r="CB77" i="6" l="1"/>
  <c r="CF28" i="1"/>
  <c r="FA75" i="1" l="1"/>
  <c r="CF30" i="1"/>
  <c r="CF324" i="1"/>
  <c r="CA210" i="5" l="1"/>
  <c r="CA217" i="5" s="1"/>
  <c r="CF366" i="1"/>
  <c r="CF368" i="1"/>
  <c r="CF327" i="1"/>
  <c r="CF342" i="1" s="1"/>
  <c r="CF331" i="1" l="1"/>
  <c r="CF351" i="1" s="1"/>
  <c r="CF364" i="1" s="1"/>
  <c r="CF328" i="1"/>
  <c r="CF361" i="1"/>
  <c r="CF362" i="1" s="1"/>
  <c r="CF369" i="1"/>
  <c r="CF355" i="1"/>
  <c r="CF367" i="1"/>
  <c r="CF357" i="1" l="1"/>
  <c r="CF33" i="1"/>
  <c r="CF353" i="1"/>
  <c r="CF34" i="1" l="1"/>
  <c r="CF365" i="1"/>
  <c r="CF104" i="1"/>
  <c r="CA211" i="5" l="1"/>
  <c r="CF105" i="1"/>
  <c r="CF163" i="1" l="1"/>
  <c r="CF197" i="1" l="1"/>
  <c r="CA175" i="6" l="1"/>
  <c r="CF150" i="1"/>
  <c r="CF60" i="1" l="1"/>
  <c r="CF152" i="1"/>
  <c r="CF63" i="1" l="1"/>
  <c r="CA102" i="6" l="1"/>
  <c r="CF415" i="1" l="1"/>
  <c r="CA107" i="6" s="1"/>
  <c r="CJ410" i="1"/>
  <c r="CE102" i="6" l="1"/>
  <c r="CJ411" i="1"/>
  <c r="CJ415" i="1"/>
  <c r="CE107" i="6" s="1"/>
  <c r="CA226" i="5" l="1"/>
  <c r="CE226" i="5" s="1"/>
  <c r="CE103" i="6"/>
  <c r="P42" i="128"/>
  <c r="P43" i="128" s="1"/>
  <c r="CE71" i="6" l="1"/>
  <c r="EL66" i="6"/>
  <c r="CE97" i="6"/>
  <c r="EL71" i="6" l="1"/>
  <c r="CE109" i="6"/>
  <c r="CA78" i="6" l="1"/>
  <c r="CA128" i="5"/>
  <c r="CA103" i="5"/>
  <c r="CF147" i="1"/>
  <c r="CF394" i="1"/>
  <c r="CA49" i="5" l="1"/>
  <c r="CD410" i="1" l="1"/>
  <c r="CE410" i="1" s="1"/>
  <c r="CE390" i="1"/>
  <c r="CE392" i="1" s="1"/>
  <c r="CD392" i="1"/>
  <c r="CJ392" i="1" s="1"/>
  <c r="CO392" i="1" s="1"/>
  <c r="CQ392" i="1" s="1"/>
  <c r="CR392" i="1" s="1"/>
  <c r="CS392" i="1" s="1"/>
  <c r="CT392" i="1" s="1"/>
  <c r="CU392" i="1" s="1"/>
  <c r="CV392" i="1" s="1"/>
  <c r="CW392" i="1" s="1"/>
  <c r="CX392" i="1" s="1"/>
  <c r="CY392" i="1" s="1"/>
  <c r="CZ392" i="1" s="1"/>
  <c r="DA392" i="1" s="1"/>
  <c r="DB392" i="1" s="1"/>
  <c r="DC392" i="1" s="1"/>
  <c r="DD392" i="1" s="1"/>
  <c r="DE392" i="1" s="1"/>
  <c r="DF392" i="1" s="1"/>
  <c r="DG392" i="1" s="1"/>
  <c r="DH392" i="1" s="1"/>
  <c r="DI392" i="1" s="1"/>
  <c r="DJ392" i="1" s="1"/>
  <c r="DK392" i="1" s="1"/>
  <c r="DL392" i="1" s="1"/>
  <c r="DM392" i="1" s="1"/>
  <c r="DN392" i="1" s="1"/>
  <c r="DO392" i="1" s="1"/>
  <c r="DP392" i="1" s="1"/>
  <c r="DQ392" i="1" s="1"/>
  <c r="DR392" i="1" s="1"/>
  <c r="DS392" i="1" s="1"/>
  <c r="DT392" i="1" s="1"/>
  <c r="DU392" i="1" s="1"/>
  <c r="DV392" i="1" s="1"/>
  <c r="DW392" i="1" s="1"/>
  <c r="DX392" i="1" s="1"/>
  <c r="DY392" i="1" s="1"/>
  <c r="DZ392" i="1" s="1"/>
  <c r="EA392" i="1" s="1"/>
  <c r="EB392" i="1" s="1"/>
  <c r="EC392" i="1" s="1"/>
  <c r="BZ102" i="6" l="1"/>
  <c r="CE411" i="1"/>
  <c r="CD416" i="1"/>
  <c r="CD415" i="1"/>
  <c r="BY102" i="6"/>
  <c r="CE416" i="1" l="1"/>
  <c r="BZ108" i="6" s="1"/>
  <c r="BY108" i="6"/>
  <c r="BY107" i="6"/>
  <c r="CE415" i="1"/>
  <c r="BZ107" i="6" s="1"/>
  <c r="CJ412" i="1"/>
  <c r="CE104" i="6" s="1"/>
  <c r="BZ103" i="6"/>
  <c r="CE412" i="1"/>
  <c r="BZ104" i="6" s="1"/>
  <c r="O42" i="128"/>
  <c r="O43" i="128" s="1"/>
  <c r="CG20" i="1" l="1"/>
  <c r="CG443" i="1" l="1"/>
  <c r="CG330" i="1"/>
  <c r="CG344" i="1"/>
  <c r="CG28" i="1"/>
  <c r="CG324" i="1"/>
  <c r="CB169" i="6"/>
  <c r="CB171" i="6"/>
  <c r="CG99" i="1"/>
  <c r="CG327" i="1" l="1"/>
  <c r="CG328" i="1" s="1"/>
  <c r="CG366" i="1"/>
  <c r="CG368" i="1"/>
  <c r="CG101" i="1"/>
  <c r="CG30" i="1"/>
  <c r="CG342" i="1" l="1"/>
  <c r="CB210" i="5"/>
  <c r="CB217" i="5" s="1"/>
  <c r="CG369" i="1"/>
  <c r="CG355" i="1"/>
  <c r="CG361" i="1"/>
  <c r="CG362" i="1" s="1"/>
  <c r="CG72" i="1"/>
  <c r="CG367" i="1"/>
  <c r="CG331" i="1"/>
  <c r="CG351" i="1" s="1"/>
  <c r="CG357" i="1" l="1"/>
  <c r="CG356" i="1"/>
  <c r="CG353" i="1" l="1"/>
  <c r="CG352" i="1"/>
  <c r="CG33" i="1"/>
  <c r="CG364" i="1"/>
  <c r="CG365" i="1" l="1"/>
  <c r="CG34" i="1"/>
  <c r="CG76" i="1"/>
  <c r="CG104" i="1"/>
  <c r="CB211" i="5" l="1"/>
  <c r="CG77" i="1"/>
  <c r="CG105" i="1"/>
  <c r="CG39" i="1"/>
  <c r="CK224" i="1"/>
  <c r="CK59" i="1" l="1"/>
  <c r="FB59" i="1" s="1"/>
  <c r="CG442" i="1"/>
  <c r="CG41" i="1"/>
  <c r="CG106" i="1"/>
  <c r="CG78" i="1"/>
  <c r="CG48" i="1"/>
  <c r="CL224" i="1"/>
  <c r="CG82" i="1" l="1"/>
  <c r="CM224" i="1"/>
  <c r="CL59" i="1"/>
  <c r="CN224" i="1"/>
  <c r="CG79" i="1"/>
  <c r="CG107" i="1"/>
  <c r="CG372" i="1" l="1"/>
  <c r="CG373" i="1" s="1"/>
  <c r="CO224" i="1"/>
  <c r="CO59" i="1" s="1"/>
  <c r="CG163" i="1"/>
  <c r="CM59" i="1"/>
  <c r="CN59" i="1"/>
  <c r="CG51" i="1"/>
  <c r="CG376" i="1" l="1"/>
  <c r="CB71" i="5"/>
  <c r="CG56" i="1"/>
  <c r="CG84" i="1"/>
  <c r="CG113" i="1"/>
  <c r="CG160" i="1"/>
  <c r="CG197" i="1"/>
  <c r="EQ59" i="1"/>
  <c r="CG64" i="1" l="1"/>
  <c r="CG114" i="1"/>
  <c r="CB74" i="5"/>
  <c r="CB75" i="5" s="1"/>
  <c r="CB47" i="5"/>
  <c r="CG196" i="1"/>
  <c r="CG198" i="1" s="1"/>
  <c r="CG226" i="1" s="1"/>
  <c r="CG165" i="1"/>
  <c r="CG189" i="1" s="1"/>
  <c r="CG117" i="1" l="1"/>
  <c r="CC70" i="5"/>
  <c r="CB61" i="5"/>
  <c r="CB76" i="5"/>
  <c r="CG228" i="1"/>
  <c r="CG83" i="1" s="1"/>
  <c r="CG229" i="1"/>
  <c r="CG233" i="1"/>
  <c r="CG190" i="1"/>
  <c r="CG42" i="1"/>
  <c r="CG192" i="1"/>
  <c r="CQ224" i="1"/>
  <c r="CP59" i="1"/>
  <c r="EY59" i="1" l="1"/>
  <c r="CG81" i="1"/>
  <c r="CS224" i="1"/>
  <c r="CG193" i="1"/>
  <c r="CG43" i="1"/>
  <c r="CG108" i="1"/>
  <c r="CG234" i="1"/>
  <c r="CG57" i="1"/>
  <c r="CG60" i="1"/>
  <c r="CR224" i="1"/>
  <c r="CQ59" i="1"/>
  <c r="CG235" i="1"/>
  <c r="CG236" i="1" s="1"/>
  <c r="CG62" i="1" s="1"/>
  <c r="FA59" i="1" l="1"/>
  <c r="FC59" i="1"/>
  <c r="CG115" i="1"/>
  <c r="CR59" i="1"/>
  <c r="CT224" i="1"/>
  <c r="CS59" i="1"/>
  <c r="CS229" i="1"/>
  <c r="CG111" i="1"/>
  <c r="CG80" i="1"/>
  <c r="CG61" i="1"/>
  <c r="CG63" i="1"/>
  <c r="CG112" i="1" l="1"/>
  <c r="CG116" i="1"/>
  <c r="CT59" i="1"/>
  <c r="ER59" i="1" l="1"/>
  <c r="CU224" i="1"/>
  <c r="CU59" i="1" l="1"/>
  <c r="CV224" i="1"/>
  <c r="CV59" i="1" l="1"/>
  <c r="CX224" i="1"/>
  <c r="CW224" i="1"/>
  <c r="CY224" i="1" l="1"/>
  <c r="CY59" i="1" s="1"/>
  <c r="CX59" i="1"/>
  <c r="CW59" i="1"/>
  <c r="CZ224" i="1" l="1"/>
  <c r="DA224" i="1" l="1"/>
  <c r="CZ59" i="1"/>
  <c r="DA59" i="1" l="1"/>
  <c r="DC224" i="1"/>
  <c r="DB224" i="1"/>
  <c r="DC59" i="1" l="1"/>
  <c r="DB59" i="1"/>
  <c r="DD224" i="1"/>
  <c r="DD59" i="1" l="1"/>
  <c r="DE224" i="1" l="1"/>
  <c r="DE59" i="1" l="1"/>
  <c r="DF224" i="1"/>
  <c r="DG224" i="1" l="1"/>
  <c r="DF59" i="1"/>
  <c r="DH224" i="1"/>
  <c r="DI224" i="1" l="1"/>
  <c r="DI59" i="1" s="1"/>
  <c r="DG59" i="1"/>
  <c r="DH59" i="1"/>
  <c r="DJ224" i="1" l="1"/>
  <c r="DK224" i="1" l="1"/>
  <c r="DJ59" i="1"/>
  <c r="DK59" i="1" l="1"/>
  <c r="DL224" i="1"/>
  <c r="DM224" i="1"/>
  <c r="DM59" i="1" l="1"/>
  <c r="DL59" i="1"/>
  <c r="DN224" i="1"/>
  <c r="DN59" i="1" l="1"/>
  <c r="DO224" i="1" l="1"/>
  <c r="DO59" i="1" l="1"/>
  <c r="DP224" i="1"/>
  <c r="DR224" i="1" l="1"/>
  <c r="DP59" i="1"/>
  <c r="DQ224" i="1"/>
  <c r="DR59" i="1" l="1"/>
  <c r="DQ59" i="1"/>
  <c r="DS224" i="1"/>
  <c r="DS59" i="1" l="1"/>
  <c r="DT224" i="1"/>
  <c r="DU224" i="1" l="1"/>
  <c r="DT59" i="1"/>
  <c r="DU59" i="1" l="1"/>
  <c r="DW224" i="1"/>
  <c r="DV224" i="1"/>
  <c r="DW59" i="1" l="1"/>
  <c r="DV59" i="1"/>
  <c r="DX224" i="1"/>
  <c r="DX59" i="1" l="1"/>
  <c r="BX122" i="1" l="1"/>
  <c r="BX126" i="1" l="1"/>
  <c r="CC122" i="1"/>
  <c r="CH122" i="1"/>
  <c r="EN122" i="1" l="1"/>
  <c r="CC126" i="1"/>
  <c r="CH126" i="1"/>
  <c r="EN126" i="1" l="1"/>
  <c r="BX291" i="1" l="1"/>
  <c r="BX288" i="1"/>
  <c r="BX293" i="1" s="1"/>
  <c r="CC291" i="1"/>
  <c r="CC288" i="1"/>
  <c r="CC293" i="1" s="1"/>
  <c r="BZ122" i="1"/>
  <c r="BZ126" i="1" l="1"/>
  <c r="CE122" i="1"/>
  <c r="CJ122" i="1"/>
  <c r="EP122" i="1" s="1"/>
  <c r="O22" i="128" l="1"/>
  <c r="CE126" i="1"/>
  <c r="CJ126" i="1"/>
  <c r="EP126" i="1" s="1"/>
  <c r="BY291" i="1" l="1"/>
  <c r="BY288" i="1"/>
  <c r="BY293" i="1" s="1"/>
  <c r="O23" i="128"/>
  <c r="P23" i="128"/>
  <c r="CD291" i="1"/>
  <c r="CD288" i="1"/>
  <c r="CD293" i="1" s="1"/>
  <c r="CJ17" i="1" l="1"/>
  <c r="CH28" i="1"/>
  <c r="CF291" i="1"/>
  <c r="CJ286" i="1"/>
  <c r="CJ291" i="1" s="1"/>
  <c r="CF288" i="1"/>
  <c r="CG291" i="1"/>
  <c r="CG288" i="1"/>
  <c r="CG293" i="1" s="1"/>
  <c r="CH324" i="1"/>
  <c r="CG219" i="5" l="1"/>
  <c r="CF293" i="1"/>
  <c r="CJ288" i="1"/>
  <c r="CH101" i="1"/>
  <c r="CH30" i="1"/>
  <c r="CH72" i="1" l="1"/>
  <c r="CC210" i="5"/>
  <c r="CC217" i="5" s="1"/>
  <c r="CH98" i="1"/>
  <c r="CJ287" i="1"/>
  <c r="CJ292" i="1" s="1"/>
  <c r="CJ293" i="1"/>
  <c r="CB32" i="5"/>
  <c r="CL219" i="5"/>
  <c r="CQ219" i="5" s="1"/>
  <c r="CV219" i="5" s="1"/>
  <c r="DA219" i="5" s="1"/>
  <c r="DF219" i="5" s="1"/>
  <c r="DK219" i="5" s="1"/>
  <c r="DP219" i="5" s="1"/>
  <c r="DU219" i="5" s="1"/>
  <c r="CH20" i="1" l="1"/>
  <c r="CJ18" i="1"/>
  <c r="CB37" i="5"/>
  <c r="CF20" i="1"/>
  <c r="CF72" i="1"/>
  <c r="CJ259" i="1"/>
  <c r="CH74" i="1"/>
  <c r="CH102" i="1"/>
  <c r="CI28" i="1"/>
  <c r="CJ26" i="1"/>
  <c r="CI324" i="1"/>
  <c r="CH437" i="1" l="1"/>
  <c r="CC209" i="5"/>
  <c r="CC216" i="5" s="1"/>
  <c r="CC169" i="6"/>
  <c r="CH344" i="1"/>
  <c r="CC171" i="6"/>
  <c r="CH446" i="1"/>
  <c r="CH99" i="1"/>
  <c r="CH443" i="1"/>
  <c r="CF446" i="1"/>
  <c r="CF99" i="1"/>
  <c r="CA169" i="6"/>
  <c r="CA55" i="5"/>
  <c r="CF344" i="1"/>
  <c r="CF75" i="1"/>
  <c r="CF330" i="1"/>
  <c r="CA209" i="5"/>
  <c r="CF437" i="1"/>
  <c r="CA54" i="5"/>
  <c r="CF443" i="1"/>
  <c r="CA171" i="6"/>
  <c r="CF356" i="1"/>
  <c r="CF352" i="1"/>
  <c r="CF76" i="1"/>
  <c r="CF39" i="1"/>
  <c r="CF77" i="1"/>
  <c r="CG446" i="1"/>
  <c r="CB209" i="5"/>
  <c r="CG437" i="1"/>
  <c r="CB48" i="5"/>
  <c r="CH366" i="1"/>
  <c r="CH322" i="1"/>
  <c r="CH368" i="1"/>
  <c r="CJ323" i="1"/>
  <c r="CJ324" i="1" s="1"/>
  <c r="CI30" i="1"/>
  <c r="CI101" i="1"/>
  <c r="CJ28" i="1"/>
  <c r="CD210" i="5"/>
  <c r="CD217" i="5" s="1"/>
  <c r="CB175" i="6"/>
  <c r="CG150" i="1"/>
  <c r="CC215" i="5" l="1"/>
  <c r="CC218" i="5"/>
  <c r="CF48" i="1"/>
  <c r="CA65" i="5"/>
  <c r="CF442" i="1"/>
  <c r="CF78" i="1"/>
  <c r="CF106" i="1"/>
  <c r="CF447" i="1"/>
  <c r="CF41" i="1"/>
  <c r="CA53" i="5"/>
  <c r="CG447" i="1"/>
  <c r="CB53" i="5"/>
  <c r="CB65" i="5"/>
  <c r="FC75" i="1"/>
  <c r="CB218" i="5"/>
  <c r="CB216" i="5"/>
  <c r="CB215" i="5"/>
  <c r="CA216" i="5"/>
  <c r="CA215" i="5"/>
  <c r="CA218" i="5"/>
  <c r="CI72" i="1"/>
  <c r="CJ30" i="1"/>
  <c r="CE210" i="5"/>
  <c r="EP28" i="1"/>
  <c r="CJ101" i="1"/>
  <c r="EP101" i="1" s="1"/>
  <c r="CC32" i="5"/>
  <c r="CH367" i="1"/>
  <c r="CG152" i="1"/>
  <c r="CH369" i="1"/>
  <c r="CA57" i="5" l="1"/>
  <c r="CA58" i="5"/>
  <c r="CF82" i="1"/>
  <c r="CF51" i="1"/>
  <c r="CF448" i="1"/>
  <c r="CF107" i="1"/>
  <c r="CF79" i="1"/>
  <c r="CG448" i="1"/>
  <c r="CJ72" i="1"/>
  <c r="EP72" i="1" s="1"/>
  <c r="CC37" i="5"/>
  <c r="CB86" i="6"/>
  <c r="CB103" i="5"/>
  <c r="CG394" i="1"/>
  <c r="CB128" i="5"/>
  <c r="CB16" i="5"/>
  <c r="CG147" i="1"/>
  <c r="CB78" i="6"/>
  <c r="CC75" i="6"/>
  <c r="EL32" i="6"/>
  <c r="CE25" i="5"/>
  <c r="CF84" i="1" l="1"/>
  <c r="CF113" i="1"/>
  <c r="CA52" i="5"/>
  <c r="CF56" i="1"/>
  <c r="CA71" i="5"/>
  <c r="CA74" i="5" s="1"/>
  <c r="CA75" i="5" s="1"/>
  <c r="CA76" i="5" s="1"/>
  <c r="CF160" i="1"/>
  <c r="CA173" i="6"/>
  <c r="CB52" i="5"/>
  <c r="CB173" i="6"/>
  <c r="CB221" i="5"/>
  <c r="CE217" i="5"/>
  <c r="CF372" i="1"/>
  <c r="CB22" i="5"/>
  <c r="CB56" i="5" l="1"/>
  <c r="CB55" i="5"/>
  <c r="CB54" i="5"/>
  <c r="CF165" i="1"/>
  <c r="CF189" i="1" s="1"/>
  <c r="CF196" i="1"/>
  <c r="CF198" i="1" s="1"/>
  <c r="CF226" i="1" s="1"/>
  <c r="CF376" i="1"/>
  <c r="CF373" i="1"/>
  <c r="CF114" i="1"/>
  <c r="CF64" i="1"/>
  <c r="CA59" i="5"/>
  <c r="CB49" i="5"/>
  <c r="CB57" i="5" l="1"/>
  <c r="CB58" i="5"/>
  <c r="CF117" i="1"/>
  <c r="CF233" i="1"/>
  <c r="CF235" i="1"/>
  <c r="CF236" i="1" s="1"/>
  <c r="CF62" i="1" s="1"/>
  <c r="CF229" i="1"/>
  <c r="CF228" i="1"/>
  <c r="CF83" i="1" s="1"/>
  <c r="CB59" i="5"/>
  <c r="CF192" i="1"/>
  <c r="CF42" i="1"/>
  <c r="CF190" i="1"/>
  <c r="CF57" i="1" l="1"/>
  <c r="CF234" i="1"/>
  <c r="CF108" i="1"/>
  <c r="CF438" i="1"/>
  <c r="CA212" i="5"/>
  <c r="CF81" i="1"/>
  <c r="CB212" i="5"/>
  <c r="CG438" i="1"/>
  <c r="CF43" i="1"/>
  <c r="CF193" i="1"/>
  <c r="CA64" i="5" l="1"/>
  <c r="CA62" i="5"/>
  <c r="CA63" i="5"/>
  <c r="CB63" i="5"/>
  <c r="CB64" i="5"/>
  <c r="CB62" i="5"/>
  <c r="CF111" i="1"/>
  <c r="CF80" i="1"/>
  <c r="CF115" i="1"/>
  <c r="CF61" i="1"/>
  <c r="CF439" i="1"/>
  <c r="CG439" i="1"/>
  <c r="CF116" i="1" l="1"/>
  <c r="CF449" i="1"/>
  <c r="CG449" i="1"/>
  <c r="CG440" i="1"/>
  <c r="CG416" i="1"/>
  <c r="CB108" i="6" s="1"/>
  <c r="CF440" i="1"/>
  <c r="CF416" i="1"/>
  <c r="CA108" i="6" s="1"/>
  <c r="CF112" i="1"/>
  <c r="BZ286" i="1" l="1"/>
  <c r="BZ291" i="1" s="1"/>
  <c r="CE286" i="1"/>
  <c r="CE291" i="1" s="1"/>
  <c r="BV288" i="1"/>
  <c r="BV291" i="1"/>
  <c r="CA291" i="1"/>
  <c r="CA288" i="1"/>
  <c r="CE17" i="1" l="1"/>
  <c r="CA293" i="1"/>
  <c r="BV293" i="1"/>
  <c r="CB288" i="1"/>
  <c r="CB293" i="1" s="1"/>
  <c r="CB291" i="1"/>
  <c r="BW288" i="1"/>
  <c r="BW293" i="1" s="1"/>
  <c r="BW291" i="1"/>
  <c r="CE288" i="1" l="1"/>
  <c r="CE293" i="1" s="1"/>
  <c r="BZ288" i="1"/>
  <c r="CE287" i="1" l="1"/>
  <c r="CE292" i="1" s="1"/>
  <c r="CE259" i="1"/>
  <c r="BZ293" i="1"/>
  <c r="BZ287" i="1"/>
  <c r="BZ292" i="1" s="1"/>
  <c r="CH329" i="1" l="1"/>
  <c r="CH361" i="1" s="1"/>
  <c r="CH362" i="1" s="1"/>
  <c r="CH355" i="1" l="1"/>
  <c r="CH356" i="1" s="1"/>
  <c r="CH327" i="1"/>
  <c r="CH331" i="1" s="1"/>
  <c r="CH351" i="1" s="1"/>
  <c r="CH330" i="1"/>
  <c r="CH357" i="1" l="1"/>
  <c r="CH328" i="1"/>
  <c r="CH342" i="1"/>
  <c r="CH33" i="1"/>
  <c r="CH364" i="1"/>
  <c r="CH353" i="1"/>
  <c r="CH352" i="1"/>
  <c r="CH34" i="1" l="1"/>
  <c r="CH365" i="1"/>
  <c r="CH104" i="1"/>
  <c r="CH76" i="1"/>
  <c r="CH39" i="1" l="1"/>
  <c r="CC211" i="5"/>
  <c r="CH77" i="1"/>
  <c r="CH105" i="1"/>
  <c r="CC53" i="5" l="1"/>
  <c r="CC65" i="5"/>
  <c r="CH48" i="1"/>
  <c r="CH41" i="1"/>
  <c r="CH78" i="1"/>
  <c r="CH106" i="1"/>
  <c r="CH442" i="1"/>
  <c r="CH447" i="1"/>
  <c r="CH82" i="1" l="1"/>
  <c r="CH51" i="1"/>
  <c r="CF72" i="5"/>
  <c r="CK167" i="1"/>
  <c r="CH79" i="1"/>
  <c r="CH448" i="1"/>
  <c r="CH107" i="1"/>
  <c r="CH372" i="1" l="1"/>
  <c r="CH376" i="1" s="1"/>
  <c r="CH64" i="1"/>
  <c r="CC71" i="5"/>
  <c r="CC52" i="5"/>
  <c r="CH56" i="1"/>
  <c r="CH84" i="1"/>
  <c r="CH113" i="1"/>
  <c r="CH160" i="1"/>
  <c r="CL167" i="1"/>
  <c r="CL187" i="1" s="1"/>
  <c r="CG229" i="5" s="1"/>
  <c r="CH163" i="1"/>
  <c r="CK187" i="1"/>
  <c r="CF229" i="5" s="1"/>
  <c r="CG72" i="5"/>
  <c r="CH373" i="1" l="1"/>
  <c r="CC74" i="5"/>
  <c r="CC75" i="5" s="1"/>
  <c r="CO341" i="1"/>
  <c r="CH72" i="5"/>
  <c r="CN167" i="1"/>
  <c r="CN187" i="1" s="1"/>
  <c r="CI229" i="5" s="1"/>
  <c r="CH197" i="1"/>
  <c r="CH196" i="1"/>
  <c r="CH165" i="1"/>
  <c r="CH189" i="1" s="1"/>
  <c r="CH192" i="1" s="1"/>
  <c r="CH114" i="1"/>
  <c r="CM167" i="1"/>
  <c r="CM187" i="1" s="1"/>
  <c r="CH117" i="1"/>
  <c r="CC38" i="6"/>
  <c r="CC47" i="5"/>
  <c r="CC76" i="5" l="1"/>
  <c r="CH198" i="1"/>
  <c r="CH226" i="1" s="1"/>
  <c r="CC88" i="6"/>
  <c r="CC91" i="6" s="1"/>
  <c r="CC74" i="6"/>
  <c r="CC173" i="6"/>
  <c r="CC175" i="6"/>
  <c r="CH150" i="1"/>
  <c r="CC48" i="5"/>
  <c r="CC61" i="5"/>
  <c r="CD70" i="5"/>
  <c r="CO167" i="1"/>
  <c r="CH42" i="1"/>
  <c r="CH190" i="1"/>
  <c r="CJ42" i="5"/>
  <c r="CI72" i="5"/>
  <c r="CH81" i="1" l="1"/>
  <c r="CC212" i="5"/>
  <c r="CH233" i="1"/>
  <c r="CH57" i="1" s="1"/>
  <c r="CH235" i="1"/>
  <c r="CH236" i="1" s="1"/>
  <c r="CH62" i="1" s="1"/>
  <c r="CH228" i="1"/>
  <c r="CJ72" i="5"/>
  <c r="CH229" i="5"/>
  <c r="CO187" i="1"/>
  <c r="CJ229" i="5" s="1"/>
  <c r="CC77" i="6"/>
  <c r="CH60" i="1"/>
  <c r="CC92" i="6"/>
  <c r="CC95" i="6"/>
  <c r="CH108" i="1"/>
  <c r="CH438" i="1"/>
  <c r="CC62" i="5" s="1"/>
  <c r="CH152" i="1"/>
  <c r="CH43" i="1"/>
  <c r="CH193" i="1"/>
  <c r="CH229" i="1" l="1"/>
  <c r="CH83" i="1"/>
  <c r="CH61" i="1"/>
  <c r="CH234" i="1"/>
  <c r="CH80" i="1"/>
  <c r="CH111" i="1"/>
  <c r="CC16" i="5"/>
  <c r="CC103" i="5"/>
  <c r="CC63" i="5"/>
  <c r="CC128" i="5"/>
  <c r="CC86" i="6"/>
  <c r="CC64" i="5"/>
  <c r="CH147" i="1"/>
  <c r="CH394" i="1"/>
  <c r="CP167" i="1"/>
  <c r="CH63" i="1"/>
  <c r="CH439" i="1"/>
  <c r="CH115" i="1"/>
  <c r="CC78" i="6"/>
  <c r="CD75" i="6"/>
  <c r="CL42" i="5"/>
  <c r="CK72" i="5"/>
  <c r="CH112" i="1" l="1"/>
  <c r="CC221" i="5"/>
  <c r="CH116" i="1"/>
  <c r="CH449" i="1"/>
  <c r="CQ167" i="1"/>
  <c r="CQ187" i="1" s="1"/>
  <c r="CL229" i="5" s="1"/>
  <c r="CP187" i="1"/>
  <c r="CM42" i="5"/>
  <c r="CL72" i="5"/>
  <c r="CH416" i="1"/>
  <c r="CC108" i="6" s="1"/>
  <c r="CH440" i="1"/>
  <c r="CC22" i="5"/>
  <c r="CO23" i="6"/>
  <c r="CK229" i="5" l="1"/>
  <c r="CC49" i="5"/>
  <c r="CC54" i="5"/>
  <c r="CC55" i="5"/>
  <c r="CC56" i="5"/>
  <c r="CN42" i="5"/>
  <c r="CM72" i="5"/>
  <c r="CS167" i="1"/>
  <c r="CS187" i="1" s="1"/>
  <c r="CN229" i="5" s="1"/>
  <c r="CR167" i="1"/>
  <c r="CC58" i="5" l="1"/>
  <c r="CR187" i="1"/>
  <c r="CT167" i="1"/>
  <c r="CO42" i="5"/>
  <c r="CN72" i="5"/>
  <c r="CC57" i="5"/>
  <c r="CC59" i="5"/>
  <c r="CF102" i="6" l="1"/>
  <c r="CO410" i="1"/>
  <c r="CK415" i="1"/>
  <c r="CP42" i="5"/>
  <c r="CO72" i="5"/>
  <c r="CU167" i="1"/>
  <c r="CM229" i="5"/>
  <c r="CT187" i="1"/>
  <c r="CO229" i="5" s="1"/>
  <c r="CJ102" i="6" l="1"/>
  <c r="CO411" i="1"/>
  <c r="CV167" i="1"/>
  <c r="CV187" i="1" s="1"/>
  <c r="CQ229" i="5" s="1"/>
  <c r="CF107" i="6"/>
  <c r="CO415" i="1"/>
  <c r="CJ107" i="6" s="1"/>
  <c r="CU187" i="1"/>
  <c r="CQ42" i="5"/>
  <c r="CP72" i="5"/>
  <c r="CR42" i="5" l="1"/>
  <c r="CQ72" i="5"/>
  <c r="CF71" i="6"/>
  <c r="CF97" i="6"/>
  <c r="Q42" i="128"/>
  <c r="Q43" i="128" s="1"/>
  <c r="CJ103" i="6"/>
  <c r="CO412" i="1"/>
  <c r="CJ104" i="6" s="1"/>
  <c r="CW167" i="1"/>
  <c r="CX167" i="1"/>
  <c r="CX187" i="1" s="1"/>
  <c r="CS229" i="5" s="1"/>
  <c r="CP229" i="5"/>
  <c r="CS42" i="5" l="1"/>
  <c r="CR72" i="5"/>
  <c r="CW187" i="1"/>
  <c r="CY167" i="1"/>
  <c r="CX228" i="1" l="1"/>
  <c r="CX229" i="1" s="1"/>
  <c r="CU228" i="1"/>
  <c r="CU229" i="1" s="1"/>
  <c r="CR229" i="5"/>
  <c r="CY187" i="1"/>
  <c r="CT229" i="5" s="1"/>
  <c r="CT42" i="5"/>
  <c r="CS72" i="5"/>
  <c r="CX372" i="1" l="1"/>
  <c r="CU372" i="1"/>
  <c r="CT72" i="5"/>
  <c r="CX373" i="1" l="1"/>
  <c r="CX376" i="1"/>
  <c r="CU373" i="1"/>
  <c r="CU376" i="1"/>
  <c r="CZ228" i="1" l="1"/>
  <c r="CZ229" i="1" s="1"/>
  <c r="DC228" i="1"/>
  <c r="DC229" i="1" s="1"/>
  <c r="CZ372" i="1" l="1"/>
  <c r="DC372" i="1"/>
  <c r="DC373" i="1" l="1"/>
  <c r="DC376" i="1"/>
  <c r="CZ376" i="1"/>
  <c r="CZ373" i="1"/>
  <c r="CU23" i="6" l="1"/>
  <c r="CV23" i="6"/>
  <c r="CW23" i="6"/>
  <c r="CX23" i="6"/>
  <c r="CZ167" i="1"/>
  <c r="CZ187" i="1" s="1"/>
  <c r="CU229" i="5" s="1"/>
  <c r="DA167" i="1"/>
  <c r="DA187" i="1" s="1"/>
  <c r="DB167" i="1"/>
  <c r="DC167" i="1"/>
  <c r="DC187" i="1" s="1"/>
  <c r="CX229" i="5" s="1"/>
  <c r="DD341" i="1"/>
  <c r="CU42" i="5" l="1"/>
  <c r="CY23" i="6"/>
  <c r="CV229" i="5"/>
  <c r="DD167" i="1"/>
  <c r="DB187" i="1"/>
  <c r="CW229" i="5" s="1"/>
  <c r="CU72" i="5" l="1"/>
  <c r="CV42" i="5"/>
  <c r="DD187" i="1"/>
  <c r="CY229" i="5" s="1"/>
  <c r="CW42" i="5" l="1"/>
  <c r="CV72" i="5"/>
  <c r="CW72" i="5" l="1"/>
  <c r="CX42" i="5"/>
  <c r="CY42" i="5" l="1"/>
  <c r="CX72" i="5"/>
  <c r="CY72" i="5" l="1"/>
  <c r="CZ23" i="6"/>
  <c r="DA23" i="6"/>
  <c r="DB23" i="6"/>
  <c r="DC23" i="6"/>
  <c r="DE167" i="1"/>
  <c r="DE187" i="1" s="1"/>
  <c r="CZ229" i="5" s="1"/>
  <c r="DF167" i="1"/>
  <c r="DG167" i="1"/>
  <c r="DG187" i="1" s="1"/>
  <c r="DB229" i="5" s="1"/>
  <c r="DH167" i="1"/>
  <c r="DH187" i="1" s="1"/>
  <c r="DC229" i="5" s="1"/>
  <c r="DI341" i="1"/>
  <c r="CZ42" i="5" l="1"/>
  <c r="DD23" i="6"/>
  <c r="DI167" i="1"/>
  <c r="DF187" i="1"/>
  <c r="CZ72" i="5" l="1"/>
  <c r="DA42" i="5"/>
  <c r="DA229" i="5"/>
  <c r="DI187" i="1"/>
  <c r="DD229" i="5" s="1"/>
  <c r="DB42" i="5" l="1"/>
  <c r="DA72" i="5"/>
  <c r="DB72" i="5" l="1"/>
  <c r="DC42" i="5"/>
  <c r="DD42" i="5" l="1"/>
  <c r="DC72" i="5"/>
  <c r="DD72" i="5" l="1"/>
  <c r="DE23" i="6"/>
  <c r="DF23" i="6"/>
  <c r="DG23" i="6"/>
  <c r="DH23" i="6"/>
  <c r="DJ167" i="1"/>
  <c r="DJ187" i="1" s="1"/>
  <c r="DE229" i="5" s="1"/>
  <c r="DK167" i="1"/>
  <c r="DK187" i="1" s="1"/>
  <c r="DL167" i="1"/>
  <c r="DL187" i="1" s="1"/>
  <c r="DG229" i="5" s="1"/>
  <c r="DM167" i="1"/>
  <c r="DM187" i="1" s="1"/>
  <c r="DH229" i="5" s="1"/>
  <c r="DN341" i="1"/>
  <c r="DE42" i="5" l="1"/>
  <c r="DI23" i="6"/>
  <c r="DF229" i="5"/>
  <c r="DN187" i="1"/>
  <c r="DN167" i="1"/>
  <c r="DE72" i="5" l="1"/>
  <c r="DF42" i="5"/>
  <c r="DI229" i="5"/>
  <c r="DF72" i="5" l="1"/>
  <c r="DG42" i="5"/>
  <c r="DG72" i="5" l="1"/>
  <c r="DH42" i="5"/>
  <c r="DH72" i="5" l="1"/>
  <c r="DI42" i="5"/>
  <c r="DI72" i="5" l="1"/>
  <c r="DJ23" i="6"/>
  <c r="DK23" i="6"/>
  <c r="DL23" i="6"/>
  <c r="DM23" i="6"/>
  <c r="DO167" i="1"/>
  <c r="DP167" i="1"/>
  <c r="DQ167" i="1"/>
  <c r="DQ187" i="1" s="1"/>
  <c r="DL229" i="5" s="1"/>
  <c r="DR167" i="1"/>
  <c r="DR187" i="1" s="1"/>
  <c r="DM229" i="5" s="1"/>
  <c r="DO187" i="1"/>
  <c r="DJ229" i="5" s="1"/>
  <c r="DS341" i="1"/>
  <c r="DJ42" i="5" l="1"/>
  <c r="DS167" i="1"/>
  <c r="DP187" i="1"/>
  <c r="DN23" i="6"/>
  <c r="DK42" i="5" l="1"/>
  <c r="DJ72" i="5"/>
  <c r="DK229" i="5"/>
  <c r="DS187" i="1"/>
  <c r="DN229" i="5" s="1"/>
  <c r="DK72" i="5" l="1"/>
  <c r="DL42" i="5"/>
  <c r="DM42" i="5" l="1"/>
  <c r="DL72" i="5"/>
  <c r="DM72" i="5" l="1"/>
  <c r="DN42" i="5"/>
  <c r="DN72" i="5" l="1"/>
  <c r="DX341" i="1"/>
  <c r="DT167" i="1"/>
  <c r="DV167" i="1"/>
  <c r="DV187" i="1" s="1"/>
  <c r="DQ229" i="5" s="1"/>
  <c r="DW167" i="1"/>
  <c r="DW187" i="1" s="1"/>
  <c r="DR229" i="5" s="1"/>
  <c r="DU167" i="1"/>
  <c r="DU187" i="1" s="1"/>
  <c r="DP229" i="5" s="1"/>
  <c r="DX167" i="1" l="1"/>
  <c r="DT187" i="1"/>
  <c r="DO229" i="5" l="1"/>
  <c r="DX187" i="1"/>
  <c r="DS229" i="5" s="1"/>
  <c r="DV229" i="5" l="1"/>
  <c r="DT229" i="5"/>
  <c r="DW229" i="5"/>
  <c r="DU229" i="5"/>
  <c r="DX229" i="5" l="1"/>
  <c r="BR131" i="1" l="1"/>
  <c r="BQ131" i="1"/>
  <c r="BS131" i="1"/>
  <c r="CL322" i="1" l="1"/>
  <c r="CK322" i="1" l="1"/>
  <c r="EO139" i="1"/>
  <c r="FB139" i="1" l="1"/>
  <c r="EP139" i="1"/>
  <c r="EO58" i="1" l="1"/>
  <c r="EQ139" i="1"/>
  <c r="EY139" i="1"/>
  <c r="FA139" i="1" s="1"/>
  <c r="FC139" i="1" l="1"/>
  <c r="ER139" i="1"/>
  <c r="CB87" i="1"/>
  <c r="CG87" i="1"/>
  <c r="CA436" i="1"/>
  <c r="CC436" i="1"/>
  <c r="CB436" i="1"/>
  <c r="CA87" i="1"/>
  <c r="CF87" i="1"/>
  <c r="CE16" i="1" l="1"/>
  <c r="CH87" i="1"/>
  <c r="CJ16" i="1" l="1"/>
  <c r="CA131" i="1"/>
  <c r="BV131" i="1"/>
  <c r="CD324" i="1"/>
  <c r="BT324" i="1"/>
  <c r="BT327" i="1"/>
  <c r="BU323" i="1"/>
  <c r="BT131" i="1"/>
  <c r="BW131" i="1"/>
  <c r="CB131" i="1"/>
  <c r="CD87" i="1"/>
  <c r="CH436" i="1"/>
  <c r="CG436" i="1"/>
  <c r="CF436" i="1"/>
  <c r="CD436" i="1"/>
  <c r="CE436" i="1" s="1"/>
  <c r="CE9" i="1"/>
  <c r="BX131" i="1"/>
  <c r="CO16" i="1" l="1"/>
  <c r="CG257" i="1"/>
  <c r="CE324" i="1"/>
  <c r="BU324" i="1"/>
  <c r="CH219" i="5"/>
  <c r="CH257" i="1"/>
  <c r="CI87" i="1"/>
  <c r="CI436" i="1"/>
  <c r="CJ436" i="1" s="1"/>
  <c r="CJ9" i="1"/>
  <c r="O10" i="128"/>
  <c r="O11" i="128" s="1"/>
  <c r="CE87" i="1"/>
  <c r="EO87" i="1" s="1"/>
  <c r="EO9" i="1"/>
  <c r="BU131" i="1"/>
  <c r="EN131" i="1" s="1"/>
  <c r="CC131" i="1"/>
  <c r="FB19" i="1"/>
  <c r="BT342" i="1"/>
  <c r="CD328" i="1"/>
  <c r="BU327" i="1"/>
  <c r="BY131" i="1"/>
  <c r="BY257" i="1" l="1"/>
  <c r="CG131" i="1"/>
  <c r="CT16" i="1"/>
  <c r="CF131" i="1"/>
  <c r="CD131" i="1"/>
  <c r="CK98" i="1"/>
  <c r="FB98" i="1" s="1"/>
  <c r="CI131" i="1"/>
  <c r="FB130" i="1"/>
  <c r="CF257" i="1"/>
  <c r="CL257" i="1"/>
  <c r="BZ131" i="1"/>
  <c r="CE131" i="1"/>
  <c r="EO131" i="1" s="1"/>
  <c r="BU342" i="1"/>
  <c r="CE328" i="1"/>
  <c r="CH251" i="1"/>
  <c r="CH252" i="1" s="1"/>
  <c r="CH248" i="1"/>
  <c r="CM219" i="5"/>
  <c r="CR219" i="5" s="1"/>
  <c r="CW219" i="5" s="1"/>
  <c r="DB219" i="5" s="1"/>
  <c r="DG219" i="5" s="1"/>
  <c r="DL219" i="5" s="1"/>
  <c r="DQ219" i="5" s="1"/>
  <c r="DV219" i="5" s="1"/>
  <c r="CJ87" i="1"/>
  <c r="EP87" i="1" s="1"/>
  <c r="EP9" i="1"/>
  <c r="P10" i="128"/>
  <c r="P11" i="128" s="1"/>
  <c r="CD257" i="1"/>
  <c r="CH131" i="1"/>
  <c r="BY324" i="1"/>
  <c r="BY327" i="1"/>
  <c r="BZ323" i="1"/>
  <c r="FB31" i="1"/>
  <c r="CG251" i="1"/>
  <c r="CG252" i="1" s="1"/>
  <c r="CG248" i="1"/>
  <c r="CM257" i="1"/>
  <c r="CN131" i="1" l="1"/>
  <c r="CM131" i="1"/>
  <c r="CL131" i="1"/>
  <c r="CY16" i="1"/>
  <c r="CK131" i="1"/>
  <c r="FB131" i="1" s="1"/>
  <c r="CJ131" i="1"/>
  <c r="EP131" i="1" s="1"/>
  <c r="CR131" i="1"/>
  <c r="BU248" i="1"/>
  <c r="BU257" i="1"/>
  <c r="BZ257" i="1"/>
  <c r="BZ248" i="1"/>
  <c r="CE248" i="1"/>
  <c r="CE257" i="1"/>
  <c r="CE260" i="1" s="1"/>
  <c r="CK444" i="1"/>
  <c r="CK445" i="1" s="1"/>
  <c r="CK164" i="1"/>
  <c r="CL251" i="1"/>
  <c r="CL252" i="1" s="1"/>
  <c r="CL248" i="1"/>
  <c r="CO131" i="1"/>
  <c r="EQ131" i="1" s="1"/>
  <c r="CE28" i="5"/>
  <c r="CK102" i="1"/>
  <c r="FB102" i="1" s="1"/>
  <c r="CK74" i="1"/>
  <c r="FB74" i="1" s="1"/>
  <c r="CM248" i="1"/>
  <c r="CM251" i="1"/>
  <c r="CM252" i="1" s="1"/>
  <c r="CN219" i="5"/>
  <c r="CS219" i="5" s="1"/>
  <c r="CX219" i="5" s="1"/>
  <c r="DC219" i="5" s="1"/>
  <c r="DH219" i="5" s="1"/>
  <c r="DM219" i="5" s="1"/>
  <c r="DR219" i="5" s="1"/>
  <c r="DW219" i="5" s="1"/>
  <c r="CI444" i="1"/>
  <c r="CI445" i="1" s="1"/>
  <c r="CE17" i="5"/>
  <c r="BZ324" i="1"/>
  <c r="CD248" i="1"/>
  <c r="CD251" i="1"/>
  <c r="BY248" i="1"/>
  <c r="BY251" i="1"/>
  <c r="CF248" i="1"/>
  <c r="CF251" i="1"/>
  <c r="CQ131" i="1"/>
  <c r="CQ257" i="1"/>
  <c r="BY342" i="1"/>
  <c r="BZ327" i="1"/>
  <c r="BZ342" i="1" s="1"/>
  <c r="CI257" i="1" l="1"/>
  <c r="FB26" i="1"/>
  <c r="CP131" i="1"/>
  <c r="EY131" i="1" s="1"/>
  <c r="FA131" i="1" s="1"/>
  <c r="EY130" i="1"/>
  <c r="FA130" i="1" s="1"/>
  <c r="CJ28" i="5"/>
  <c r="DD16" i="1"/>
  <c r="CD252" i="1"/>
  <c r="CE251" i="1"/>
  <c r="CE252" i="1" s="1"/>
  <c r="CW131" i="1"/>
  <c r="CV257" i="1"/>
  <c r="CS131" i="1"/>
  <c r="EL11" i="6"/>
  <c r="CJ444" i="1"/>
  <c r="CJ445" i="1" s="1"/>
  <c r="CK28" i="1"/>
  <c r="FB28" i="1" s="1"/>
  <c r="CR257" i="1"/>
  <c r="CK257" i="1"/>
  <c r="BZ251" i="1"/>
  <c r="BZ252" i="1" s="1"/>
  <c r="BY252" i="1"/>
  <c r="CU131" i="1"/>
  <c r="CP324" i="1"/>
  <c r="CI248" i="1"/>
  <c r="CI251" i="1"/>
  <c r="CI252" i="1" s="1"/>
  <c r="CQ251" i="1"/>
  <c r="CQ252" i="1" s="1"/>
  <c r="CQ248" i="1"/>
  <c r="CF252" i="1"/>
  <c r="CV131" i="1"/>
  <c r="CJ248" i="1"/>
  <c r="CJ257" i="1"/>
  <c r="CJ260" i="1" s="1"/>
  <c r="CK324" i="1" l="1"/>
  <c r="CK327" i="1"/>
  <c r="DI16" i="1"/>
  <c r="CO28" i="5"/>
  <c r="CN257" i="1"/>
  <c r="CN248" i="1"/>
  <c r="CJ251" i="1"/>
  <c r="CJ252" i="1" s="1"/>
  <c r="CZ131" i="1"/>
  <c r="CK101" i="1"/>
  <c r="FB101" i="1" s="1"/>
  <c r="CK30" i="1"/>
  <c r="CF210" i="5"/>
  <c r="CW257" i="1"/>
  <c r="CV248" i="1"/>
  <c r="CV251" i="1"/>
  <c r="CV252" i="1" s="1"/>
  <c r="DA131" i="1"/>
  <c r="DA257" i="1"/>
  <c r="CP257" i="1"/>
  <c r="CK368" i="1"/>
  <c r="CK366" i="1"/>
  <c r="DB131" i="1"/>
  <c r="CK248" i="1"/>
  <c r="CK251" i="1"/>
  <c r="CR248" i="1"/>
  <c r="CR251" i="1"/>
  <c r="CR252" i="1" s="1"/>
  <c r="CT131" i="1"/>
  <c r="ER131" i="1" s="1"/>
  <c r="CX131" i="1"/>
  <c r="CF217" i="5" l="1"/>
  <c r="CK217" i="5" s="1"/>
  <c r="CP217" i="5" s="1"/>
  <c r="CU217" i="5" s="1"/>
  <c r="CZ217" i="5" s="1"/>
  <c r="DE217" i="5" s="1"/>
  <c r="DJ217" i="5" s="1"/>
  <c r="DO217" i="5" s="1"/>
  <c r="DT217" i="5" s="1"/>
  <c r="DN16" i="1"/>
  <c r="CT28" i="5"/>
  <c r="CO257" i="1"/>
  <c r="CO260" i="1" s="1"/>
  <c r="CU251" i="1"/>
  <c r="CU257" i="1"/>
  <c r="CN251" i="1"/>
  <c r="CN252" i="1" s="1"/>
  <c r="CO248" i="1"/>
  <c r="CP248" i="1"/>
  <c r="CP251" i="1"/>
  <c r="CS257" i="1"/>
  <c r="DB257" i="1"/>
  <c r="DE131" i="1"/>
  <c r="DF131" i="1"/>
  <c r="CK252" i="1"/>
  <c r="CK367" i="1"/>
  <c r="CY131" i="1"/>
  <c r="DC131" i="1"/>
  <c r="CK369" i="1"/>
  <c r="DA251" i="1"/>
  <c r="DA252" i="1" s="1"/>
  <c r="DA248" i="1"/>
  <c r="CW251" i="1"/>
  <c r="CW252" i="1" s="1"/>
  <c r="CW248" i="1"/>
  <c r="DG131" i="1"/>
  <c r="DF257" i="1"/>
  <c r="DS16" i="1" l="1"/>
  <c r="CY28" i="5"/>
  <c r="CO251" i="1"/>
  <c r="CO252" i="1" s="1"/>
  <c r="CU248" i="1"/>
  <c r="DJ131" i="1"/>
  <c r="DL131" i="1"/>
  <c r="CU252" i="1"/>
  <c r="CS248" i="1"/>
  <c r="CS251" i="1"/>
  <c r="CS252" i="1" s="1"/>
  <c r="CP252" i="1"/>
  <c r="DD131" i="1"/>
  <c r="CZ257" i="1"/>
  <c r="CT248" i="1"/>
  <c r="CT257" i="1"/>
  <c r="CT260" i="1" s="1"/>
  <c r="DL257" i="1"/>
  <c r="DB248" i="1"/>
  <c r="DB251" i="1"/>
  <c r="DB252" i="1" s="1"/>
  <c r="DF248" i="1"/>
  <c r="DF251" i="1"/>
  <c r="DF252" i="1" s="1"/>
  <c r="DH131" i="1"/>
  <c r="DK131" i="1"/>
  <c r="DG257" i="1"/>
  <c r="CX257" i="1"/>
  <c r="DD28" i="5" l="1"/>
  <c r="DX16" i="1"/>
  <c r="DE257" i="1"/>
  <c r="DE251" i="1"/>
  <c r="DG251" i="1"/>
  <c r="DG252" i="1" s="1"/>
  <c r="DG248" i="1"/>
  <c r="DO131" i="1"/>
  <c r="DI131" i="1"/>
  <c r="DC257" i="1"/>
  <c r="DH257" i="1"/>
  <c r="DL248" i="1"/>
  <c r="DL251" i="1"/>
  <c r="DL252" i="1" s="1"/>
  <c r="CZ251" i="1"/>
  <c r="CZ248" i="1"/>
  <c r="DD248" i="1"/>
  <c r="DD257" i="1"/>
  <c r="DD260" i="1" s="1"/>
  <c r="DM131" i="1"/>
  <c r="DP131" i="1"/>
  <c r="DK257" i="1"/>
  <c r="CY257" i="1"/>
  <c r="CY260" i="1" s="1"/>
  <c r="CY248" i="1"/>
  <c r="CX251" i="1"/>
  <c r="CX248" i="1"/>
  <c r="DQ131" i="1"/>
  <c r="CT251" i="1"/>
  <c r="CT252" i="1" s="1"/>
  <c r="DI28" i="5" l="1"/>
  <c r="EC16" i="1"/>
  <c r="DE248" i="1"/>
  <c r="DN131" i="1"/>
  <c r="DI257" i="1"/>
  <c r="DI260" i="1" s="1"/>
  <c r="DI248" i="1"/>
  <c r="DJ257" i="1"/>
  <c r="CZ252" i="1"/>
  <c r="DH248" i="1"/>
  <c r="DH251" i="1"/>
  <c r="DH252" i="1" s="1"/>
  <c r="DT131" i="1"/>
  <c r="DE252" i="1"/>
  <c r="CX252" i="1"/>
  <c r="CY251" i="1"/>
  <c r="CY252" i="1" s="1"/>
  <c r="DC248" i="1"/>
  <c r="DC251" i="1"/>
  <c r="DC252" i="1" s="1"/>
  <c r="DM257" i="1"/>
  <c r="DU131" i="1"/>
  <c r="DR131" i="1"/>
  <c r="DK251" i="1"/>
  <c r="DK252" i="1" s="1"/>
  <c r="DK248" i="1"/>
  <c r="DV131" i="1"/>
  <c r="DN28" i="5" l="1"/>
  <c r="DZ131" i="1"/>
  <c r="DY131" i="1"/>
  <c r="EA131" i="1"/>
  <c r="DI251" i="1"/>
  <c r="DI252" i="1" s="1"/>
  <c r="DD251" i="1"/>
  <c r="DD252" i="1" s="1"/>
  <c r="DS131" i="1"/>
  <c r="DN257" i="1"/>
  <c r="DN260" i="1" s="1"/>
  <c r="DN248" i="1"/>
  <c r="DM251" i="1"/>
  <c r="DM252" i="1" s="1"/>
  <c r="DM248" i="1"/>
  <c r="DW131" i="1"/>
  <c r="EB131" i="1"/>
  <c r="DJ248" i="1"/>
  <c r="DJ251" i="1"/>
  <c r="DS28" i="5" l="1"/>
  <c r="DX28" i="5"/>
  <c r="DX131" i="1"/>
  <c r="DJ252" i="1"/>
  <c r="DN251" i="1"/>
  <c r="DN252" i="1" s="1"/>
  <c r="EC131" i="1"/>
  <c r="CI98" i="1" l="1"/>
  <c r="CI20" i="1"/>
  <c r="CJ19" i="1"/>
  <c r="CI330" i="1" l="1"/>
  <c r="CI443" i="1"/>
  <c r="CI344" i="1"/>
  <c r="CD171" i="6"/>
  <c r="CI437" i="1"/>
  <c r="CJ437" i="1" s="1"/>
  <c r="CD169" i="6"/>
  <c r="CI99" i="1"/>
  <c r="CI446" i="1"/>
  <c r="CJ446" i="1" s="1"/>
  <c r="CD209" i="5"/>
  <c r="CI74" i="1"/>
  <c r="CI102" i="1"/>
  <c r="CJ31" i="1"/>
  <c r="EP19" i="1"/>
  <c r="CJ98" i="1"/>
  <c r="EP98" i="1" s="1"/>
  <c r="CJ20" i="1"/>
  <c r="CI327" i="1"/>
  <c r="CD218" i="5" l="1"/>
  <c r="CD215" i="5"/>
  <c r="CD216" i="5"/>
  <c r="CI368" i="1"/>
  <c r="CI366" i="1"/>
  <c r="EP31" i="1"/>
  <c r="CJ74" i="1"/>
  <c r="EP74" i="1" s="1"/>
  <c r="CJ102" i="1"/>
  <c r="EP102" i="1" s="1"/>
  <c r="CJ343" i="1"/>
  <c r="CE171" i="6"/>
  <c r="CE169" i="6"/>
  <c r="P12" i="128"/>
  <c r="CJ99" i="1"/>
  <c r="EP99" i="1" s="1"/>
  <c r="CJ443" i="1"/>
  <c r="EP20" i="1"/>
  <c r="CI322" i="1"/>
  <c r="CJ321" i="1"/>
  <c r="CJ322" i="1" s="1"/>
  <c r="CE209" i="5"/>
  <c r="CE27" i="5" l="1"/>
  <c r="EL34" i="6"/>
  <c r="CD32" i="5"/>
  <c r="CE13" i="5"/>
  <c r="EL31" i="6"/>
  <c r="CI369" i="1"/>
  <c r="CJ368" i="1"/>
  <c r="P13" i="128"/>
  <c r="CI367" i="1"/>
  <c r="CJ366" i="1"/>
  <c r="CJ367" i="1" s="1"/>
  <c r="CD222" i="5"/>
  <c r="CE12" i="5"/>
  <c r="CE218" i="5" l="1"/>
  <c r="CE215" i="5"/>
  <c r="CE222" i="5"/>
  <c r="CE32" i="5"/>
  <c r="CD37" i="5"/>
  <c r="CD27" i="6"/>
  <c r="CJ369" i="1"/>
  <c r="CE216" i="5"/>
  <c r="CE37" i="5" l="1"/>
  <c r="EL30" i="6"/>
  <c r="CE27" i="6"/>
  <c r="EL27" i="6" l="1"/>
  <c r="CJ329" i="1" l="1"/>
  <c r="CJ330" i="1" s="1"/>
  <c r="CJ355" i="1" l="1"/>
  <c r="CJ361" i="1"/>
  <c r="CJ362" i="1" s="1"/>
  <c r="CI355" i="1"/>
  <c r="CI32" i="1"/>
  <c r="CI361" i="1"/>
  <c r="CI362" i="1" s="1"/>
  <c r="CI356" i="1" l="1"/>
  <c r="CI357" i="1"/>
  <c r="CI342" i="1"/>
  <c r="CI328" i="1"/>
  <c r="CJ327" i="1"/>
  <c r="CI331" i="1"/>
  <c r="CJ32" i="1"/>
  <c r="CJ357" i="1"/>
  <c r="CJ356" i="1"/>
  <c r="EP32" i="1" l="1"/>
  <c r="CJ328" i="1"/>
  <c r="CJ342" i="1"/>
  <c r="CJ331" i="1"/>
  <c r="CJ351" i="1" s="1"/>
  <c r="CI351" i="1"/>
  <c r="CI352" i="1" l="1"/>
  <c r="CI353" i="1"/>
  <c r="CI33" i="1"/>
  <c r="CI364" i="1"/>
  <c r="CJ353" i="1"/>
  <c r="CJ352" i="1"/>
  <c r="CI365" i="1" l="1"/>
  <c r="CJ364" i="1"/>
  <c r="CJ365" i="1" s="1"/>
  <c r="CI34" i="1"/>
  <c r="CI104" i="1"/>
  <c r="CJ33" i="1"/>
  <c r="CI76" i="1"/>
  <c r="EP33" i="1" l="1"/>
  <c r="CJ104" i="1"/>
  <c r="EP104" i="1" s="1"/>
  <c r="CJ76" i="1"/>
  <c r="EP76" i="1" s="1"/>
  <c r="CD211" i="5"/>
  <c r="CE211" i="5" s="1"/>
  <c r="CI77" i="1"/>
  <c r="CI105" i="1"/>
  <c r="CJ34" i="1"/>
  <c r="CI39" i="1"/>
  <c r="CI442" i="1" l="1"/>
  <c r="CI447" i="1"/>
  <c r="CJ447" i="1" s="1"/>
  <c r="CD65" i="5"/>
  <c r="CE65" i="5" s="1"/>
  <c r="CI78" i="1"/>
  <c r="CI106" i="1"/>
  <c r="CI41" i="1"/>
  <c r="CD53" i="5"/>
  <c r="CI48" i="1"/>
  <c r="EP34" i="1"/>
  <c r="CJ105" i="1"/>
  <c r="EP105" i="1" s="1"/>
  <c r="CJ77" i="1"/>
  <c r="EP77" i="1" s="1"/>
  <c r="CJ39" i="1"/>
  <c r="CI82" i="1" l="1"/>
  <c r="CE53" i="5"/>
  <c r="CI107" i="1"/>
  <c r="CI448" i="1"/>
  <c r="CJ448" i="1" s="1"/>
  <c r="CI79" i="1"/>
  <c r="CJ442" i="1"/>
  <c r="P14" i="128"/>
  <c r="EP39" i="1"/>
  <c r="CJ78" i="1"/>
  <c r="EP78" i="1" s="1"/>
  <c r="CJ106" i="1"/>
  <c r="EP106" i="1" s="1"/>
  <c r="CJ41" i="1"/>
  <c r="CJ48" i="1"/>
  <c r="CI372" i="1" l="1"/>
  <c r="CI376" i="1" s="1"/>
  <c r="CJ49" i="1"/>
  <c r="CI163" i="1"/>
  <c r="EP48" i="1"/>
  <c r="P15" i="128"/>
  <c r="CI51" i="1"/>
  <c r="CJ107" i="1"/>
  <c r="EP107" i="1" s="1"/>
  <c r="EP41" i="1"/>
  <c r="CJ79" i="1"/>
  <c r="EP79" i="1" s="1"/>
  <c r="CI64" i="1" l="1"/>
  <c r="CI373" i="1"/>
  <c r="CJ51" i="1"/>
  <c r="CI56" i="1"/>
  <c r="CD71" i="5"/>
  <c r="CI84" i="1"/>
  <c r="CI113" i="1"/>
  <c r="CD52" i="5"/>
  <c r="CI160" i="1"/>
  <c r="CI197" i="1"/>
  <c r="CJ163" i="1"/>
  <c r="CJ197" i="1" s="1"/>
  <c r="EP49" i="1"/>
  <c r="CJ82" i="1"/>
  <c r="CJ56" i="1" l="1"/>
  <c r="EP51" i="1"/>
  <c r="CE71" i="5"/>
  <c r="CJ64" i="1"/>
  <c r="CJ113" i="1"/>
  <c r="EP113" i="1" s="1"/>
  <c r="CJ84" i="1"/>
  <c r="EP84" i="1" s="1"/>
  <c r="CE52" i="5"/>
  <c r="EP82" i="1"/>
  <c r="CJ372" i="1"/>
  <c r="CD74" i="5"/>
  <c r="CD75" i="5" s="1"/>
  <c r="CD47" i="5"/>
  <c r="CE43" i="5"/>
  <c r="CI114" i="1"/>
  <c r="CI196" i="1"/>
  <c r="CI198" i="1" s="1"/>
  <c r="CI226" i="1" s="1"/>
  <c r="CI165" i="1"/>
  <c r="CI189" i="1" s="1"/>
  <c r="CI192" i="1" s="1"/>
  <c r="CJ160" i="1"/>
  <c r="CI117" i="1"/>
  <c r="EP64" i="1" l="1"/>
  <c r="CJ117" i="1"/>
  <c r="EP117" i="1" s="1"/>
  <c r="CI235" i="1"/>
  <c r="CI228" i="1"/>
  <c r="CE74" i="5"/>
  <c r="CE75" i="5" s="1"/>
  <c r="CI190" i="1"/>
  <c r="CI42" i="1"/>
  <c r="CJ196" i="1"/>
  <c r="CJ198" i="1" s="1"/>
  <c r="CJ226" i="1" s="1"/>
  <c r="CJ165" i="1"/>
  <c r="CJ189" i="1" s="1"/>
  <c r="CE167" i="6"/>
  <c r="EL9" i="6"/>
  <c r="CD61" i="5"/>
  <c r="CD48" i="5"/>
  <c r="CD76" i="5"/>
  <c r="CE47" i="5"/>
  <c r="CJ376" i="1"/>
  <c r="CJ373" i="1"/>
  <c r="CI229" i="1" l="1"/>
  <c r="CI83" i="1"/>
  <c r="CJ190" i="1"/>
  <c r="CJ42" i="1"/>
  <c r="CJ227" i="1"/>
  <c r="CJ235" i="1" s="1"/>
  <c r="CJ236" i="1" s="1"/>
  <c r="CJ62" i="1" s="1"/>
  <c r="CI60" i="1"/>
  <c r="CD212" i="5"/>
  <c r="CI81" i="1"/>
  <c r="CI438" i="1"/>
  <c r="CI108" i="1"/>
  <c r="CE61" i="5"/>
  <c r="CE48" i="5"/>
  <c r="CE76" i="5"/>
  <c r="CF70" i="5"/>
  <c r="CJ70" i="5"/>
  <c r="CI236" i="1"/>
  <c r="CI62" i="1" s="1"/>
  <c r="CI233" i="1"/>
  <c r="CI193" i="1"/>
  <c r="CJ192" i="1"/>
  <c r="CI43" i="1"/>
  <c r="CI63" i="1" l="1"/>
  <c r="EP62" i="1"/>
  <c r="CJ228" i="1"/>
  <c r="CJ83" i="1" s="1"/>
  <c r="CJ229" i="1"/>
  <c r="CJ60" i="1"/>
  <c r="CI80" i="1"/>
  <c r="CI111" i="1"/>
  <c r="CJ193" i="1"/>
  <c r="CJ43" i="1"/>
  <c r="CD62" i="5"/>
  <c r="CJ438" i="1"/>
  <c r="CE62" i="5" s="1"/>
  <c r="CJ81" i="1"/>
  <c r="EP42" i="1"/>
  <c r="CJ108" i="1"/>
  <c r="CI234" i="1"/>
  <c r="CI57" i="1"/>
  <c r="CJ233" i="1"/>
  <c r="EP108" i="1" l="1"/>
  <c r="CI112" i="1"/>
  <c r="CJ234" i="1"/>
  <c r="CJ57" i="1"/>
  <c r="CI115" i="1"/>
  <c r="CI439" i="1"/>
  <c r="CI61" i="1"/>
  <c r="P16" i="128"/>
  <c r="EP43" i="1"/>
  <c r="CJ111" i="1"/>
  <c r="EP111" i="1" s="1"/>
  <c r="CJ80" i="1"/>
  <c r="EP80" i="1" s="1"/>
  <c r="CJ63" i="1"/>
  <c r="EP60" i="1"/>
  <c r="CJ112" i="1" l="1"/>
  <c r="EP63" i="1"/>
  <c r="P17" i="128"/>
  <c r="P37" i="128"/>
  <c r="CI449" i="1"/>
  <c r="CJ449" i="1" s="1"/>
  <c r="CI116" i="1"/>
  <c r="CJ439" i="1"/>
  <c r="CI416" i="1"/>
  <c r="CI440" i="1"/>
  <c r="CJ440" i="1" s="1"/>
  <c r="EP57" i="1"/>
  <c r="CJ61" i="1"/>
  <c r="CD108" i="6" l="1"/>
  <c r="CJ416" i="1"/>
  <c r="CE108" i="6" s="1"/>
  <c r="CJ116" i="1"/>
  <c r="P18" i="128"/>
  <c r="EP61" i="1"/>
  <c r="EP116" i="1" l="1"/>
  <c r="P19" i="128"/>
  <c r="P38" i="128"/>
  <c r="EP58" i="1" l="1"/>
  <c r="DE372" i="1" l="1"/>
  <c r="DE228" i="1"/>
  <c r="DE229" i="1" s="1"/>
  <c r="DE373" i="1" l="1"/>
  <c r="DE376" i="1"/>
  <c r="EL24" i="6" l="1"/>
  <c r="CD38" i="6"/>
  <c r="CD74" i="6" l="1"/>
  <c r="CE38" i="6"/>
  <c r="CI150" i="1"/>
  <c r="CD175" i="6"/>
  <c r="CE175" i="6" s="1"/>
  <c r="CD88" i="6"/>
  <c r="CD91" i="6" s="1"/>
  <c r="CD77" i="6" l="1"/>
  <c r="EL38" i="6"/>
  <c r="CE173" i="6"/>
  <c r="CD173" i="6" s="1"/>
  <c r="CE88" i="6"/>
  <c r="CJ150" i="1"/>
  <c r="CJ152" i="1" s="1"/>
  <c r="CE74" i="6"/>
  <c r="CD95" i="6"/>
  <c r="CD92" i="6"/>
  <c r="CE92" i="6" s="1"/>
  <c r="CI152" i="1"/>
  <c r="CD63" i="5"/>
  <c r="CI394" i="1"/>
  <c r="CD103" i="5"/>
  <c r="CD64" i="5"/>
  <c r="CD128" i="5"/>
  <c r="CD185" i="5"/>
  <c r="CE185" i="5" s="1"/>
  <c r="CE159" i="5" s="1"/>
  <c r="CD16" i="5"/>
  <c r="CI147" i="1"/>
  <c r="CE10" i="5"/>
  <c r="CD86" i="6" l="1"/>
  <c r="CD78" i="6"/>
  <c r="CE103" i="5"/>
  <c r="CE64" i="5"/>
  <c r="CJ147" i="1"/>
  <c r="CE128" i="5"/>
  <c r="CJ394" i="1"/>
  <c r="CE63" i="5"/>
  <c r="EL88" i="6"/>
  <c r="CE91" i="6"/>
  <c r="CD221" i="5"/>
  <c r="CE16" i="5"/>
  <c r="CD22" i="5"/>
  <c r="EL74" i="6"/>
  <c r="CE77" i="6"/>
  <c r="CE86" i="6" l="1"/>
  <c r="CE22" i="5"/>
  <c r="CE221" i="5"/>
  <c r="CD54" i="5"/>
  <c r="CD49" i="5"/>
  <c r="CD55" i="5"/>
  <c r="CD56" i="5"/>
  <c r="CE78" i="6"/>
  <c r="CF75" i="6"/>
  <c r="EL91" i="6"/>
  <c r="CE95" i="6"/>
  <c r="P39" i="128"/>
  <c r="CE49" i="5" l="1"/>
  <c r="CE56" i="5"/>
  <c r="CD57" i="5"/>
  <c r="CE54" i="5"/>
  <c r="CD59" i="5"/>
  <c r="P40" i="128"/>
  <c r="CD58" i="5"/>
  <c r="CE55" i="5"/>
  <c r="CE57" i="5" l="1"/>
  <c r="CE59" i="5"/>
  <c r="CE58" i="5"/>
  <c r="FB87" i="1" l="1"/>
  <c r="CK436" i="1"/>
  <c r="CL326" i="1" l="1"/>
  <c r="CK355" i="1" l="1"/>
  <c r="CK361" i="1"/>
  <c r="CK362" i="1" s="1"/>
  <c r="CK357" i="1" l="1"/>
  <c r="CK163" i="1" l="1"/>
  <c r="CK197" i="1" l="1"/>
  <c r="CK60" i="1" l="1"/>
  <c r="FB60" i="1" s="1"/>
  <c r="CK63" i="1" l="1"/>
  <c r="FB63" i="1" s="1"/>
  <c r="CL9" i="1" l="1"/>
  <c r="FB18" i="1" l="1"/>
  <c r="CM9" i="1"/>
  <c r="CK72" i="1"/>
  <c r="FB72" i="1" s="1"/>
  <c r="CK20" i="1"/>
  <c r="FB20" i="1" s="1"/>
  <c r="CK330" i="1" l="1"/>
  <c r="CK344" i="1"/>
  <c r="CK443" i="1"/>
  <c r="CM87" i="1"/>
  <c r="CM436" i="1"/>
  <c r="CL436" i="1"/>
  <c r="CL87" i="1"/>
  <c r="CK356" i="1"/>
  <c r="CF169" i="6"/>
  <c r="CK169" i="6" s="1"/>
  <c r="CP169" i="6" s="1"/>
  <c r="CU169" i="6" s="1"/>
  <c r="CZ169" i="6" s="1"/>
  <c r="DE169" i="6" s="1"/>
  <c r="DJ169" i="6" s="1"/>
  <c r="DO169" i="6" s="1"/>
  <c r="DT169" i="6" s="1"/>
  <c r="CF171" i="6"/>
  <c r="CK446" i="1"/>
  <c r="CK437" i="1"/>
  <c r="CK99" i="1"/>
  <c r="FB99" i="1" s="1"/>
  <c r="CF209" i="5"/>
  <c r="CF218" i="5" l="1"/>
  <c r="CK218" i="5" s="1"/>
  <c r="CP218" i="5" s="1"/>
  <c r="CU218" i="5" s="1"/>
  <c r="CZ218" i="5" s="1"/>
  <c r="DE218" i="5" s="1"/>
  <c r="DJ218" i="5" s="1"/>
  <c r="DO218" i="5" s="1"/>
  <c r="DT218" i="5" s="1"/>
  <c r="CF216" i="5"/>
  <c r="CF215" i="5"/>
  <c r="CK215" i="5" s="1"/>
  <c r="CP215" i="5" s="1"/>
  <c r="CU215" i="5" s="1"/>
  <c r="CZ215" i="5" s="1"/>
  <c r="DE215" i="5" s="1"/>
  <c r="DJ215" i="5" s="1"/>
  <c r="DO215" i="5" s="1"/>
  <c r="DT215" i="5" s="1"/>
  <c r="CL74" i="1"/>
  <c r="CL98" i="1"/>
  <c r="CK216" i="5" l="1"/>
  <c r="CP216" i="5" s="1"/>
  <c r="CU216" i="5" s="1"/>
  <c r="CZ216" i="5" s="1"/>
  <c r="DE216" i="5" s="1"/>
  <c r="DJ216" i="5" s="1"/>
  <c r="DO216" i="5" s="1"/>
  <c r="DT216" i="5" s="1"/>
  <c r="CL102" i="1"/>
  <c r="CF32" i="5"/>
  <c r="CG121" i="6" l="1"/>
  <c r="CF37" i="5"/>
  <c r="CL324" i="1"/>
  <c r="CL28" i="1"/>
  <c r="CL444" i="1" l="1"/>
  <c r="CL445" i="1" s="1"/>
  <c r="CL164" i="1"/>
  <c r="CL101" i="1"/>
  <c r="CL30" i="1"/>
  <c r="CG210" i="5"/>
  <c r="CG217" i="5" s="1"/>
  <c r="CL217" i="5" s="1"/>
  <c r="CQ217" i="5" s="1"/>
  <c r="CV217" i="5" s="1"/>
  <c r="DA217" i="5" s="1"/>
  <c r="DF217" i="5" s="1"/>
  <c r="DK217" i="5" s="1"/>
  <c r="DP217" i="5" s="1"/>
  <c r="DU217" i="5" s="1"/>
  <c r="CL366" i="1"/>
  <c r="CL368" i="1"/>
  <c r="CM324" i="1"/>
  <c r="CO26" i="1" l="1"/>
  <c r="CL367" i="1"/>
  <c r="CF88" i="6"/>
  <c r="CF91" i="6" s="1"/>
  <c r="CF175" i="6"/>
  <c r="CK150" i="1"/>
  <c r="FB150" i="1" s="1"/>
  <c r="CF74" i="6"/>
  <c r="CL369" i="1"/>
  <c r="CF48" i="5"/>
  <c r="CF61" i="5"/>
  <c r="CG70" i="5"/>
  <c r="CO323" i="1" l="1"/>
  <c r="CO324" i="1" s="1"/>
  <c r="CN324" i="1"/>
  <c r="CF77" i="6"/>
  <c r="CK152" i="1"/>
  <c r="FB152" i="1" s="1"/>
  <c r="CF95" i="6"/>
  <c r="CF92" i="6"/>
  <c r="CF86" i="6" l="1"/>
  <c r="CF103" i="5"/>
  <c r="CF128" i="5"/>
  <c r="CK147" i="1"/>
  <c r="FB147" i="1" s="1"/>
  <c r="CF16" i="5"/>
  <c r="CF185" i="5"/>
  <c r="CF187" i="5" s="1"/>
  <c r="CF78" i="6"/>
  <c r="CG75" i="6"/>
  <c r="CF221" i="5" l="1"/>
  <c r="CF22" i="5"/>
  <c r="CF56" i="5" l="1"/>
  <c r="CF54" i="5"/>
  <c r="CF55" i="5"/>
  <c r="CF49" i="5"/>
  <c r="DH372" i="1" l="1"/>
  <c r="DH228" i="1"/>
  <c r="DH229" i="1" s="1"/>
  <c r="DH376" i="1" l="1"/>
  <c r="DH373" i="1"/>
  <c r="CQ322" i="1" l="1"/>
  <c r="CV322" i="1" l="1"/>
  <c r="DA322" i="1"/>
  <c r="DF322" i="1" l="1"/>
  <c r="DK322" i="1" l="1"/>
  <c r="DP322" i="1" l="1"/>
  <c r="DU322" i="1" l="1"/>
  <c r="DZ322" i="1" l="1"/>
  <c r="CL72" i="1" l="1"/>
  <c r="CL20" i="1" l="1"/>
  <c r="CL330" i="1" l="1"/>
  <c r="CL344" i="1"/>
  <c r="CG209" i="5"/>
  <c r="CG171" i="6"/>
  <c r="CL437" i="1"/>
  <c r="CL99" i="1"/>
  <c r="CL446" i="1"/>
  <c r="CG169" i="6"/>
  <c r="CL169" i="6" s="1"/>
  <c r="CQ169" i="6" s="1"/>
  <c r="CV169" i="6" s="1"/>
  <c r="DA169" i="6" s="1"/>
  <c r="DF169" i="6" s="1"/>
  <c r="DK169" i="6" s="1"/>
  <c r="DP169" i="6" s="1"/>
  <c r="DU169" i="6" s="1"/>
  <c r="CG218" i="5" l="1"/>
  <c r="CL218" i="5" s="1"/>
  <c r="CQ218" i="5" s="1"/>
  <c r="CV218" i="5" s="1"/>
  <c r="DA218" i="5" s="1"/>
  <c r="DF218" i="5" s="1"/>
  <c r="DK218" i="5" s="1"/>
  <c r="DP218" i="5" s="1"/>
  <c r="DU218" i="5" s="1"/>
  <c r="CG216" i="5"/>
  <c r="CL216" i="5" s="1"/>
  <c r="CQ216" i="5" s="1"/>
  <c r="CV216" i="5" s="1"/>
  <c r="DA216" i="5" s="1"/>
  <c r="DF216" i="5" s="1"/>
  <c r="DK216" i="5" s="1"/>
  <c r="DP216" i="5" s="1"/>
  <c r="DU216" i="5" s="1"/>
  <c r="CG215" i="5"/>
  <c r="CL215" i="5" s="1"/>
  <c r="CQ215" i="5" s="1"/>
  <c r="CV215" i="5" s="1"/>
  <c r="DA215" i="5" s="1"/>
  <c r="DF215" i="5" s="1"/>
  <c r="DK215" i="5" s="1"/>
  <c r="DP215" i="5" s="1"/>
  <c r="DU215" i="5" s="1"/>
  <c r="CL327" i="1"/>
  <c r="CL361" i="1"/>
  <c r="CL362" i="1" s="1"/>
  <c r="CL355" i="1"/>
  <c r="CL357" i="1" l="1"/>
  <c r="CL356" i="1"/>
  <c r="CL331" i="1"/>
  <c r="CL351" i="1" s="1"/>
  <c r="CL342" i="1"/>
  <c r="CL328" i="1"/>
  <c r="CG32" i="5"/>
  <c r="CG222" i="5"/>
  <c r="CG27" i="6" l="1"/>
  <c r="CG37" i="5"/>
  <c r="CL33" i="1"/>
  <c r="CL76" i="1" s="1"/>
  <c r="CL353" i="1" l="1"/>
  <c r="CL352" i="1"/>
  <c r="CL364" i="1"/>
  <c r="CL104" i="1" l="1"/>
  <c r="CL365" i="1"/>
  <c r="CL34" i="1"/>
  <c r="CL77" i="1" s="1"/>
  <c r="CL105" i="1" l="1"/>
  <c r="CL39" i="1"/>
  <c r="CL78" i="1" s="1"/>
  <c r="CL48" i="1" l="1"/>
  <c r="CL41" i="1"/>
  <c r="CL79" i="1" s="1"/>
  <c r="CL442" i="1"/>
  <c r="CL106" i="1"/>
  <c r="CL82" i="1" l="1"/>
  <c r="CL51" i="1"/>
  <c r="CL84" i="1" s="1"/>
  <c r="CL107" i="1"/>
  <c r="CL372" i="1" l="1"/>
  <c r="CL160" i="1"/>
  <c r="CG71" i="5"/>
  <c r="CL56" i="1"/>
  <c r="CL64" i="1" s="1"/>
  <c r="CL113" i="1"/>
  <c r="CL163" i="1"/>
  <c r="CL376" i="1" l="1"/>
  <c r="CL373" i="1"/>
  <c r="CQ228" i="1"/>
  <c r="CQ229" i="1" s="1"/>
  <c r="CQ372" i="1"/>
  <c r="CL165" i="1"/>
  <c r="CL189" i="1" s="1"/>
  <c r="CL196" i="1"/>
  <c r="CL197" i="1"/>
  <c r="CG74" i="5"/>
  <c r="CG75" i="5" s="1"/>
  <c r="CL117" i="1"/>
  <c r="CG38" i="6"/>
  <c r="CQ373" i="1" l="1"/>
  <c r="CQ376" i="1"/>
  <c r="CV228" i="1"/>
  <c r="CV229" i="1" s="1"/>
  <c r="CV372" i="1"/>
  <c r="CL198" i="1"/>
  <c r="CL226" i="1" s="1"/>
  <c r="CL228" i="1" s="1"/>
  <c r="CL42" i="1"/>
  <c r="CL81" i="1" s="1"/>
  <c r="CL190" i="1"/>
  <c r="CL192" i="1"/>
  <c r="CH70" i="5"/>
  <c r="CG61" i="5"/>
  <c r="CG48" i="5"/>
  <c r="CG76" i="5"/>
  <c r="CL150" i="1"/>
  <c r="CG175" i="6"/>
  <c r="CG88" i="6"/>
  <c r="CG91" i="6" s="1"/>
  <c r="CG74" i="6"/>
  <c r="CL229" i="1" l="1"/>
  <c r="CL83" i="1"/>
  <c r="CV373" i="1"/>
  <c r="CV376" i="1"/>
  <c r="DA228" i="1"/>
  <c r="DA229" i="1" s="1"/>
  <c r="DA372" i="1"/>
  <c r="CL108" i="1"/>
  <c r="CL152" i="1"/>
  <c r="CL60" i="1"/>
  <c r="CG77" i="6"/>
  <c r="CG95" i="6"/>
  <c r="CG92" i="6"/>
  <c r="CL235" i="1"/>
  <c r="CL236" i="1" s="1"/>
  <c r="CL62" i="1" s="1"/>
  <c r="CL233" i="1"/>
  <c r="CL43" i="1"/>
  <c r="CL80" i="1" s="1"/>
  <c r="CL193" i="1"/>
  <c r="DF372" i="1" l="1"/>
  <c r="DF228" i="1"/>
  <c r="DF229" i="1" s="1"/>
  <c r="DA373" i="1"/>
  <c r="DA376" i="1"/>
  <c r="CL111" i="1"/>
  <c r="CL57" i="1"/>
  <c r="CL234" i="1"/>
  <c r="CG78" i="6"/>
  <c r="CH75" i="6"/>
  <c r="CL147" i="1"/>
  <c r="CG86" i="6"/>
  <c r="CL394" i="1"/>
  <c r="CG185" i="5"/>
  <c r="CG187" i="5" s="1"/>
  <c r="CG128" i="5"/>
  <c r="CG16" i="5"/>
  <c r="CG103" i="5"/>
  <c r="CL63" i="1"/>
  <c r="DF376" i="1" l="1"/>
  <c r="DF373" i="1"/>
  <c r="CL112" i="1"/>
  <c r="CL61" i="1"/>
  <c r="CG22" i="5"/>
  <c r="CG221" i="5"/>
  <c r="CG56" i="5" l="1"/>
  <c r="CG49" i="5"/>
  <c r="CG55" i="5"/>
  <c r="CG54" i="5"/>
  <c r="CL116" i="1"/>
  <c r="CM322" i="1" l="1"/>
  <c r="CM366" i="1" l="1"/>
  <c r="CM368" i="1"/>
  <c r="CM369" i="1" l="1"/>
  <c r="CM367" i="1"/>
  <c r="CR322" i="1" l="1"/>
  <c r="CW322" i="1" l="1"/>
  <c r="DB322" i="1" l="1"/>
  <c r="DG322" i="1" l="1"/>
  <c r="DL322" i="1" l="1"/>
  <c r="DQ322" i="1" l="1"/>
  <c r="DV322" i="1" l="1"/>
  <c r="EA322" i="1" l="1"/>
  <c r="CM28" i="1" l="1"/>
  <c r="CH210" i="5" l="1"/>
  <c r="CH217" i="5" s="1"/>
  <c r="CM217" i="5" s="1"/>
  <c r="CR217" i="5" s="1"/>
  <c r="CW217" i="5" s="1"/>
  <c r="DB217" i="5" s="1"/>
  <c r="DG217" i="5" s="1"/>
  <c r="DL217" i="5" s="1"/>
  <c r="DQ217" i="5" s="1"/>
  <c r="DV217" i="5" s="1"/>
  <c r="CM30" i="1"/>
  <c r="CM72" i="1" s="1"/>
  <c r="CM101" i="1"/>
  <c r="CM74" i="1" l="1"/>
  <c r="CM20" i="1"/>
  <c r="CM98" i="1"/>
  <c r="CM330" i="1" l="1"/>
  <c r="CM344" i="1"/>
  <c r="CM326" i="1"/>
  <c r="CN9" i="1"/>
  <c r="CH209" i="5"/>
  <c r="CH169" i="6"/>
  <c r="CM169" i="6" s="1"/>
  <c r="CR169" i="6" s="1"/>
  <c r="CW169" i="6" s="1"/>
  <c r="DB169" i="6" s="1"/>
  <c r="DG169" i="6" s="1"/>
  <c r="DL169" i="6" s="1"/>
  <c r="DQ169" i="6" s="1"/>
  <c r="DV169" i="6" s="1"/>
  <c r="CM99" i="1"/>
  <c r="CM446" i="1"/>
  <c r="CM437" i="1"/>
  <c r="CM102" i="1"/>
  <c r="CH218" i="5" l="1"/>
  <c r="CM218" i="5" s="1"/>
  <c r="CR218" i="5" s="1"/>
  <c r="CW218" i="5" s="1"/>
  <c r="DB218" i="5" s="1"/>
  <c r="DG218" i="5" s="1"/>
  <c r="DL218" i="5" s="1"/>
  <c r="DQ218" i="5" s="1"/>
  <c r="DV218" i="5" s="1"/>
  <c r="CH216" i="5"/>
  <c r="CM216" i="5" s="1"/>
  <c r="CR216" i="5" s="1"/>
  <c r="CW216" i="5" s="1"/>
  <c r="DB216" i="5" s="1"/>
  <c r="DG216" i="5" s="1"/>
  <c r="DL216" i="5" s="1"/>
  <c r="DQ216" i="5" s="1"/>
  <c r="DV216" i="5" s="1"/>
  <c r="CH215" i="5"/>
  <c r="CM215" i="5" s="1"/>
  <c r="CR215" i="5" s="1"/>
  <c r="CW215" i="5" s="1"/>
  <c r="DB215" i="5" s="1"/>
  <c r="DG215" i="5" s="1"/>
  <c r="DL215" i="5" s="1"/>
  <c r="DQ215" i="5" s="1"/>
  <c r="DV215" i="5" s="1"/>
  <c r="CM32" i="1"/>
  <c r="CM361" i="1"/>
  <c r="CM362" i="1" s="1"/>
  <c r="CM355" i="1"/>
  <c r="CH121" i="6"/>
  <c r="CO9" i="1"/>
  <c r="CN87" i="1"/>
  <c r="CN436" i="1"/>
  <c r="CO436" i="1" s="1"/>
  <c r="CM327" i="1"/>
  <c r="CM331" i="1" s="1"/>
  <c r="Q10" i="128" l="1"/>
  <c r="Q11" i="128" s="1"/>
  <c r="EQ9" i="1"/>
  <c r="CO87" i="1"/>
  <c r="EQ87" i="1" s="1"/>
  <c r="CH32" i="5"/>
  <c r="CH171" i="6"/>
  <c r="CM164" i="1"/>
  <c r="CM444" i="1"/>
  <c r="CM445" i="1" s="1"/>
  <c r="CM342" i="1"/>
  <c r="CM328" i="1"/>
  <c r="CH222" i="5"/>
  <c r="CM357" i="1"/>
  <c r="CM356" i="1"/>
  <c r="CM351" i="1" l="1"/>
  <c r="CH37" i="5"/>
  <c r="CH27" i="6"/>
  <c r="CM33" i="1" l="1"/>
  <c r="CM76" i="1" s="1"/>
  <c r="CM353" i="1"/>
  <c r="CM352" i="1"/>
  <c r="CM364" i="1"/>
  <c r="CM104" i="1" l="1"/>
  <c r="CM34" i="1"/>
  <c r="CM77" i="1" s="1"/>
  <c r="CM365" i="1"/>
  <c r="CM105" i="1" l="1"/>
  <c r="CM39" i="1"/>
  <c r="CM78" i="1" l="1"/>
  <c r="CM48" i="1"/>
  <c r="CM82" i="1" s="1"/>
  <c r="CM41" i="1"/>
  <c r="CM79" i="1" s="1"/>
  <c r="CM106" i="1"/>
  <c r="CM442" i="1"/>
  <c r="CM372" i="1" l="1"/>
  <c r="CM107" i="1"/>
  <c r="CM373" i="1" l="1"/>
  <c r="CM376" i="1"/>
  <c r="CR228" i="1"/>
  <c r="CR229" i="1" s="1"/>
  <c r="CR372" i="1"/>
  <c r="CM163" i="1"/>
  <c r="CM51" i="1"/>
  <c r="CM84" i="1" l="1"/>
  <c r="CM56" i="1"/>
  <c r="CW228" i="1"/>
  <c r="CW229" i="1" s="1"/>
  <c r="CW372" i="1"/>
  <c r="CR376" i="1"/>
  <c r="CR373" i="1"/>
  <c r="CM197" i="1"/>
  <c r="CH71" i="5"/>
  <c r="CM64" i="1"/>
  <c r="CM113" i="1"/>
  <c r="CM160" i="1"/>
  <c r="CW373" i="1" l="1"/>
  <c r="CW376" i="1"/>
  <c r="DB228" i="1"/>
  <c r="DB229" i="1" s="1"/>
  <c r="DB372" i="1"/>
  <c r="CM117" i="1"/>
  <c r="CM196" i="1"/>
  <c r="CM198" i="1" s="1"/>
  <c r="CM226" i="1" s="1"/>
  <c r="CM228" i="1" s="1"/>
  <c r="CM165" i="1"/>
  <c r="CM189" i="1" s="1"/>
  <c r="CM192" i="1" s="1"/>
  <c r="CH47" i="5"/>
  <c r="CH74" i="5"/>
  <c r="CH75" i="5" s="1"/>
  <c r="CH38" i="6"/>
  <c r="CM229" i="1" l="1"/>
  <c r="CM83" i="1"/>
  <c r="DG372" i="1"/>
  <c r="DG228" i="1"/>
  <c r="DG229" i="1" s="1"/>
  <c r="DB376" i="1"/>
  <c r="DB373" i="1"/>
  <c r="CM233" i="1"/>
  <c r="CM42" i="1"/>
  <c r="CM81" i="1" s="1"/>
  <c r="CM190" i="1"/>
  <c r="CH74" i="6"/>
  <c r="CH88" i="6"/>
  <c r="CH91" i="6" s="1"/>
  <c r="CH175" i="6"/>
  <c r="CM150" i="1"/>
  <c r="CH48" i="5"/>
  <c r="CH61" i="5"/>
  <c r="CH76" i="5"/>
  <c r="CI70" i="5"/>
  <c r="DG373" i="1" l="1"/>
  <c r="DG376" i="1"/>
  <c r="CM152" i="1"/>
  <c r="CH92" i="6"/>
  <c r="CH95" i="6"/>
  <c r="CM43" i="1"/>
  <c r="CM80" i="1" s="1"/>
  <c r="CM193" i="1"/>
  <c r="CH77" i="6"/>
  <c r="CM108" i="1"/>
  <c r="CM57" i="1"/>
  <c r="CM234" i="1"/>
  <c r="CM60" i="1"/>
  <c r="CM235" i="1"/>
  <c r="CM236" i="1" s="1"/>
  <c r="CM62" i="1" s="1"/>
  <c r="CI75" i="6" l="1"/>
  <c r="CH78" i="6"/>
  <c r="CM111" i="1"/>
  <c r="CM61" i="1"/>
  <c r="CH16" i="5"/>
  <c r="CH103" i="5"/>
  <c r="CH128" i="5"/>
  <c r="CH185" i="5"/>
  <c r="CH187" i="5" s="1"/>
  <c r="CH86" i="6"/>
  <c r="CM147" i="1"/>
  <c r="CM394" i="1"/>
  <c r="CM63" i="1"/>
  <c r="CM112" i="1" l="1"/>
  <c r="CM116" i="1"/>
  <c r="CH22" i="5"/>
  <c r="CH221" i="5"/>
  <c r="CH49" i="5" l="1"/>
  <c r="CH56" i="5"/>
  <c r="CH55" i="5"/>
  <c r="CH54" i="5"/>
  <c r="CK328" i="1" l="1"/>
  <c r="CK331" i="1"/>
  <c r="CK342" i="1"/>
  <c r="CK351" i="1" l="1"/>
  <c r="CK33" i="1" s="1"/>
  <c r="FB33" i="1" l="1"/>
  <c r="CK76" i="1"/>
  <c r="FB76" i="1" s="1"/>
  <c r="CK352" i="1"/>
  <c r="CK353" i="1"/>
  <c r="CK364" i="1"/>
  <c r="CK34" i="1" s="1"/>
  <c r="FB34" i="1" s="1"/>
  <c r="CK104" i="1"/>
  <c r="FB104" i="1" s="1"/>
  <c r="CK365" i="1" l="1"/>
  <c r="CF211" i="5"/>
  <c r="CK77" i="1"/>
  <c r="FB77" i="1" s="1"/>
  <c r="CK39" i="1"/>
  <c r="FB39" i="1" s="1"/>
  <c r="CG211" i="5"/>
  <c r="CK105" i="1"/>
  <c r="FB105" i="1" s="1"/>
  <c r="CH211" i="5"/>
  <c r="CH53" i="5" l="1"/>
  <c r="CG65" i="5"/>
  <c r="CK41" i="1"/>
  <c r="FB41" i="1" s="1"/>
  <c r="CK442" i="1"/>
  <c r="CH65" i="5"/>
  <c r="CK48" i="1"/>
  <c r="FB48" i="1" s="1"/>
  <c r="CK447" i="1"/>
  <c r="CM447" i="1"/>
  <c r="CF53" i="5"/>
  <c r="CK106" i="1"/>
  <c r="FB106" i="1" s="1"/>
  <c r="CL447" i="1"/>
  <c r="CG53" i="5"/>
  <c r="CF65" i="5"/>
  <c r="CK78" i="1"/>
  <c r="FB78" i="1" s="1"/>
  <c r="CF58" i="5" l="1"/>
  <c r="CF57" i="5"/>
  <c r="CK79" i="1"/>
  <c r="FB79" i="1" s="1"/>
  <c r="CL448" i="1"/>
  <c r="CM448" i="1"/>
  <c r="CK107" i="1"/>
  <c r="FB107" i="1" s="1"/>
  <c r="CK448" i="1"/>
  <c r="CG58" i="5"/>
  <c r="CG57" i="5"/>
  <c r="CH57" i="5"/>
  <c r="CH58" i="5"/>
  <c r="CK51" i="1"/>
  <c r="FB51" i="1" s="1"/>
  <c r="CK82" i="1"/>
  <c r="FB82" i="1" s="1"/>
  <c r="CK372" i="1" l="1"/>
  <c r="CH52" i="5"/>
  <c r="CH173" i="6"/>
  <c r="CK84" i="1"/>
  <c r="FB84" i="1" s="1"/>
  <c r="CK160" i="1"/>
  <c r="CF71" i="5"/>
  <c r="CK56" i="1"/>
  <c r="FB56" i="1" s="1"/>
  <c r="CG173" i="6"/>
  <c r="CF52" i="5"/>
  <c r="CF173" i="6"/>
  <c r="CK113" i="1"/>
  <c r="FB113" i="1" s="1"/>
  <c r="CG52" i="5"/>
  <c r="CF59" i="5" l="1"/>
  <c r="CF74" i="5"/>
  <c r="CF75" i="5" s="1"/>
  <c r="CF76" i="5" s="1"/>
  <c r="CK376" i="1"/>
  <c r="CK373" i="1"/>
  <c r="CG59" i="5"/>
  <c r="CH59" i="5"/>
  <c r="CK64" i="1"/>
  <c r="FB64" i="1" s="1"/>
  <c r="CK165" i="1"/>
  <c r="CK189" i="1" s="1"/>
  <c r="CK196" i="1"/>
  <c r="CK198" i="1" s="1"/>
  <c r="CK226" i="1" s="1"/>
  <c r="CK42" i="1" l="1"/>
  <c r="FB42" i="1" s="1"/>
  <c r="CK192" i="1"/>
  <c r="CK190" i="1"/>
  <c r="CK233" i="1"/>
  <c r="CK228" i="1"/>
  <c r="CK235" i="1"/>
  <c r="CK236" i="1" s="1"/>
  <c r="CK62" i="1" s="1"/>
  <c r="CK117" i="1"/>
  <c r="FB117" i="1" s="1"/>
  <c r="CK229" i="1" l="1"/>
  <c r="CK83" i="1"/>
  <c r="CK57" i="1"/>
  <c r="FB57" i="1" s="1"/>
  <c r="CK234" i="1"/>
  <c r="CK43" i="1"/>
  <c r="FB43" i="1" s="1"/>
  <c r="CK193" i="1"/>
  <c r="CK438" i="1"/>
  <c r="CK81" i="1"/>
  <c r="CK108" i="1"/>
  <c r="FB108" i="1" s="1"/>
  <c r="CL438" i="1"/>
  <c r="CM438" i="1"/>
  <c r="CK439" i="1" l="1"/>
  <c r="CL439" i="1"/>
  <c r="CK61" i="1"/>
  <c r="FB61" i="1" s="1"/>
  <c r="CM439" i="1"/>
  <c r="CH63" i="5"/>
  <c r="CH62" i="5"/>
  <c r="CH64" i="5"/>
  <c r="CF63" i="5"/>
  <c r="CF62" i="5"/>
  <c r="CF64" i="5"/>
  <c r="CG62" i="5"/>
  <c r="CG64" i="5"/>
  <c r="CG63" i="5"/>
  <c r="CK111" i="1"/>
  <c r="CK80" i="1"/>
  <c r="FB80" i="1" s="1"/>
  <c r="FB58" i="1" l="1"/>
  <c r="CK112" i="1"/>
  <c r="FB111" i="1"/>
  <c r="CL440" i="1"/>
  <c r="CL416" i="1"/>
  <c r="CG108" i="6" s="1"/>
  <c r="CK116" i="1"/>
  <c r="FB116" i="1" s="1"/>
  <c r="CK449" i="1"/>
  <c r="CL449" i="1"/>
  <c r="CM449" i="1"/>
  <c r="CM416" i="1"/>
  <c r="CH108" i="6" s="1"/>
  <c r="CM440" i="1"/>
  <c r="CK440" i="1"/>
  <c r="CK416" i="1"/>
  <c r="CF108" i="6" s="1"/>
  <c r="DJ228" i="1" l="1"/>
  <c r="DJ229" i="1" s="1"/>
  <c r="DK228" i="1"/>
  <c r="DK229" i="1" s="1"/>
  <c r="DL228" i="1"/>
  <c r="DL229" i="1" s="1"/>
  <c r="DM228" i="1"/>
  <c r="DM229" i="1" s="1"/>
  <c r="DJ372" i="1"/>
  <c r="DJ373" i="1" s="1"/>
  <c r="DK372" i="1"/>
  <c r="DK373" i="1" s="1"/>
  <c r="DL372" i="1"/>
  <c r="DL373" i="1" s="1"/>
  <c r="DM372" i="1"/>
  <c r="DM373" i="1" s="1"/>
  <c r="DO228" i="1"/>
  <c r="DP228" i="1"/>
  <c r="DQ228" i="1"/>
  <c r="DR228" i="1"/>
  <c r="DO229" i="1"/>
  <c r="DP229" i="1"/>
  <c r="DQ229" i="1"/>
  <c r="DR229" i="1"/>
  <c r="DO372" i="1"/>
  <c r="DP372" i="1"/>
  <c r="DQ372" i="1"/>
  <c r="DR372" i="1"/>
  <c r="DO373" i="1"/>
  <c r="DP373" i="1"/>
  <c r="DQ373" i="1"/>
  <c r="DR373" i="1"/>
  <c r="DO376" i="1"/>
  <c r="DP376" i="1"/>
  <c r="DQ376" i="1"/>
  <c r="DR376" i="1"/>
  <c r="DT228" i="1"/>
  <c r="DU228" i="1"/>
  <c r="DU229" i="1" s="1"/>
  <c r="DV228" i="1"/>
  <c r="DV229" i="1" s="1"/>
  <c r="DW228" i="1"/>
  <c r="DW229" i="1" s="1"/>
  <c r="DT229" i="1"/>
  <c r="DT372" i="1"/>
  <c r="DT376" i="1" s="1"/>
  <c r="DU372" i="1"/>
  <c r="DU376" i="1" s="1"/>
  <c r="DV372" i="1"/>
  <c r="DV376" i="1" s="1"/>
  <c r="DW372" i="1"/>
  <c r="DW373" i="1" s="1"/>
  <c r="DT373" i="1"/>
  <c r="DU373" i="1"/>
  <c r="DV373" i="1"/>
  <c r="DW376" i="1"/>
  <c r="DY228" i="1"/>
  <c r="DY229" i="1" s="1"/>
  <c r="DZ228" i="1"/>
  <c r="DZ229" i="1" s="1"/>
  <c r="EA228" i="1"/>
  <c r="EA229" i="1" s="1"/>
  <c r="EB228" i="1"/>
  <c r="EB229" i="1" s="1"/>
  <c r="DY372" i="1"/>
  <c r="DY376" i="1" s="1"/>
  <c r="DZ372" i="1"/>
  <c r="DZ376" i="1" s="1"/>
  <c r="EA372" i="1"/>
  <c r="EA376" i="1" s="1"/>
  <c r="EB372" i="1"/>
  <c r="EB373" i="1" s="1"/>
  <c r="DY373" i="1"/>
  <c r="DZ373" i="1"/>
  <c r="DK376" i="1" l="1"/>
  <c r="DJ376" i="1"/>
  <c r="DM376" i="1"/>
  <c r="DL376" i="1"/>
  <c r="EA373" i="1"/>
  <c r="EB376" i="1"/>
  <c r="CO25" i="1" l="1"/>
  <c r="CN368" i="1" l="1"/>
  <c r="CO321" i="1"/>
  <c r="CO322" i="1" s="1"/>
  <c r="CN366" i="1"/>
  <c r="CN322" i="1"/>
  <c r="CO366" i="1" l="1"/>
  <c r="CO367" i="1" s="1"/>
  <c r="CN367" i="1"/>
  <c r="CO368" i="1"/>
  <c r="CN369" i="1"/>
  <c r="CO369" i="1" l="1"/>
  <c r="CS322" i="1" l="1"/>
  <c r="CX322" i="1" l="1"/>
  <c r="DC322" i="1" l="1"/>
  <c r="DH322" i="1" l="1"/>
  <c r="DM322" i="1" l="1"/>
  <c r="DR322" i="1" l="1"/>
  <c r="DW322" i="1" l="1"/>
  <c r="EB322" i="1" l="1"/>
  <c r="CO27" i="1" l="1"/>
  <c r="CN28" i="1"/>
  <c r="CO18" i="1"/>
  <c r="CI210" i="5" l="1"/>
  <c r="CI217" i="5" s="1"/>
  <c r="CN217" i="5" s="1"/>
  <c r="CS217" i="5" s="1"/>
  <c r="CX217" i="5" s="1"/>
  <c r="DC217" i="5" s="1"/>
  <c r="DH217" i="5" s="1"/>
  <c r="DM217" i="5" s="1"/>
  <c r="DR217" i="5" s="1"/>
  <c r="DW217" i="5" s="1"/>
  <c r="CO28" i="1"/>
  <c r="CN30" i="1"/>
  <c r="CN72" i="1" s="1"/>
  <c r="CN101" i="1"/>
  <c r="CO101" i="1" l="1"/>
  <c r="EQ101" i="1" s="1"/>
  <c r="EQ28" i="1"/>
  <c r="CJ210" i="5"/>
  <c r="CO30" i="1"/>
  <c r="CJ25" i="5" l="1"/>
  <c r="CO72" i="1"/>
  <c r="EQ72" i="1" s="1"/>
  <c r="CJ217" i="5" l="1"/>
  <c r="CN74" i="1" l="1"/>
  <c r="CO19" i="1"/>
  <c r="CN20" i="1"/>
  <c r="CN344" i="1" s="1"/>
  <c r="CN98" i="1"/>
  <c r="CO20" i="1" l="1"/>
  <c r="CO98" i="1"/>
  <c r="EQ98" i="1" s="1"/>
  <c r="EQ19" i="1"/>
  <c r="CI209" i="5"/>
  <c r="CN99" i="1"/>
  <c r="CN446" i="1"/>
  <c r="CO446" i="1" s="1"/>
  <c r="CN437" i="1"/>
  <c r="CO437" i="1" s="1"/>
  <c r="CO31" i="1"/>
  <c r="CN102" i="1"/>
  <c r="CI216" i="5" l="1"/>
  <c r="CN216" i="5" s="1"/>
  <c r="CS216" i="5" s="1"/>
  <c r="CX216" i="5" s="1"/>
  <c r="DC216" i="5" s="1"/>
  <c r="DH216" i="5" s="1"/>
  <c r="DM216" i="5" s="1"/>
  <c r="DR216" i="5" s="1"/>
  <c r="DW216" i="5" s="1"/>
  <c r="CI218" i="5"/>
  <c r="CN218" i="5" s="1"/>
  <c r="CS218" i="5" s="1"/>
  <c r="CX218" i="5" s="1"/>
  <c r="DC218" i="5" s="1"/>
  <c r="DH218" i="5" s="1"/>
  <c r="DM218" i="5" s="1"/>
  <c r="DR218" i="5" s="1"/>
  <c r="DW218" i="5" s="1"/>
  <c r="CI215" i="5"/>
  <c r="CN215" i="5" s="1"/>
  <c r="CS215" i="5" s="1"/>
  <c r="CX215" i="5" s="1"/>
  <c r="DC215" i="5" s="1"/>
  <c r="DH215" i="5" s="1"/>
  <c r="DM215" i="5" s="1"/>
  <c r="DR215" i="5" s="1"/>
  <c r="DW215" i="5" s="1"/>
  <c r="EQ31" i="1"/>
  <c r="CO74" i="1"/>
  <c r="EQ74" i="1" s="1"/>
  <c r="CO102" i="1"/>
  <c r="EQ102" i="1" s="1"/>
  <c r="CO343" i="1"/>
  <c r="Q12" i="128"/>
  <c r="EQ20" i="1"/>
  <c r="CO99" i="1"/>
  <c r="EQ99" i="1" s="1"/>
  <c r="CN326" i="1"/>
  <c r="CJ209" i="5"/>
  <c r="CI121" i="6"/>
  <c r="CJ119" i="6"/>
  <c r="CJ121" i="6" s="1"/>
  <c r="CJ27" i="5" l="1"/>
  <c r="CI32" i="5"/>
  <c r="CJ12" i="5"/>
  <c r="CI222" i="5"/>
  <c r="CJ13" i="5"/>
  <c r="Q13" i="128"/>
  <c r="CJ17" i="5" l="1"/>
  <c r="CJ215" i="5"/>
  <c r="CJ222" i="5"/>
  <c r="CJ216" i="5"/>
  <c r="CJ32" i="5"/>
  <c r="CI37" i="5"/>
  <c r="CJ218" i="5"/>
  <c r="CJ37" i="5" l="1"/>
  <c r="CO49" i="1" l="1"/>
  <c r="CN163" i="1"/>
  <c r="CN197" i="1" l="1"/>
  <c r="CO163" i="1"/>
  <c r="CO197" i="1" s="1"/>
  <c r="EQ49" i="1"/>
  <c r="CO227" i="1" l="1"/>
  <c r="CN60" i="1"/>
  <c r="CN63" i="1" l="1"/>
  <c r="CO229" i="1"/>
  <c r="CO60" i="1"/>
  <c r="CO63" i="1" l="1"/>
  <c r="EQ60" i="1"/>
  <c r="EQ63" i="1" l="1"/>
  <c r="CJ10" i="5"/>
  <c r="CJ103" i="5" s="1"/>
  <c r="CI16" i="5"/>
  <c r="CJ16" i="5" s="1"/>
  <c r="CJ22" i="5" s="1"/>
  <c r="CI103" i="5"/>
  <c r="CI128" i="5"/>
  <c r="CJ128" i="5"/>
  <c r="CI185" i="5"/>
  <c r="CJ185" i="5" s="1"/>
  <c r="CJ159" i="5" s="1"/>
  <c r="CN147" i="1"/>
  <c r="CO147" i="1"/>
  <c r="CO394" i="1"/>
  <c r="CI221" i="5" l="1"/>
  <c r="CJ221" i="5"/>
  <c r="CI22" i="5"/>
  <c r="CI55" i="5" l="1"/>
  <c r="CI54" i="5"/>
  <c r="CJ54" i="5" l="1"/>
  <c r="CJ55" i="5"/>
  <c r="CJ43" i="5"/>
  <c r="CI47" i="5"/>
  <c r="CI56" i="5"/>
  <c r="CJ56" i="5" s="1"/>
  <c r="CJ47" i="5" l="1"/>
  <c r="CJ48" i="5" s="1"/>
  <c r="CI48" i="5"/>
  <c r="CI61" i="5"/>
  <c r="CO70" i="5" l="1"/>
  <c r="CK70" i="5"/>
  <c r="CJ61" i="5"/>
  <c r="CJ49" i="5"/>
  <c r="CI49" i="5"/>
  <c r="CI9" i="6"/>
  <c r="CI11" i="6"/>
  <c r="CN164" i="1" s="1"/>
  <c r="CO164" i="1" s="1"/>
  <c r="CJ171" i="6"/>
  <c r="CO443" i="1"/>
  <c r="CO444" i="1"/>
  <c r="CO445" i="1" s="1"/>
  <c r="CI12" i="6"/>
  <c r="CI13" i="6"/>
  <c r="CI14" i="6"/>
  <c r="CI15" i="6"/>
  <c r="CI16" i="6"/>
  <c r="CI17" i="6"/>
  <c r="CI23" i="6"/>
  <c r="CN444" i="1" l="1"/>
  <c r="CN445" i="1" s="1"/>
  <c r="CI171" i="6"/>
  <c r="CI26" i="6"/>
  <c r="CI36" i="6"/>
  <c r="CI29" i="6"/>
  <c r="CI18" i="6"/>
  <c r="CI19" i="6"/>
  <c r="CI20" i="6"/>
  <c r="CI21" i="6"/>
  <c r="CI22" i="6" l="1"/>
  <c r="CI24" i="6"/>
  <c r="CI30" i="6"/>
  <c r="CI31" i="6"/>
  <c r="CI32" i="6"/>
  <c r="CI33" i="6"/>
  <c r="CJ27" i="6"/>
  <c r="CI34" i="6"/>
  <c r="CI43" i="6"/>
  <c r="CI169" i="6" s="1"/>
  <c r="CN169" i="6" s="1"/>
  <c r="CS169" i="6" s="1"/>
  <c r="CX169" i="6" s="1"/>
  <c r="DC169" i="6" s="1"/>
  <c r="DH169" i="6" s="1"/>
  <c r="DM169" i="6" s="1"/>
  <c r="DR169" i="6" s="1"/>
  <c r="DW169" i="6" s="1"/>
  <c r="CJ90" i="6"/>
  <c r="CJ169" i="6"/>
  <c r="CO151" i="1"/>
  <c r="CI41" i="6"/>
  <c r="CI42" i="6"/>
  <c r="CI44" i="6"/>
  <c r="CJ94" i="6"/>
  <c r="CI45" i="6"/>
  <c r="CI46" i="6"/>
  <c r="CI47" i="6"/>
  <c r="CI48" i="6"/>
  <c r="CI49" i="6"/>
  <c r="CI50" i="6"/>
  <c r="CI51" i="6"/>
  <c r="CI52" i="6"/>
  <c r="CI57" i="6"/>
  <c r="CI176" i="6" l="1"/>
  <c r="CJ176" i="6" s="1"/>
  <c r="CN151" i="1"/>
  <c r="CI54" i="6"/>
  <c r="CJ54" i="6" s="1"/>
  <c r="CI90" i="6"/>
  <c r="CI94" i="6"/>
  <c r="CI27" i="6"/>
  <c r="CJ84" i="5"/>
  <c r="CI99" i="5"/>
  <c r="CI102" i="5" s="1"/>
  <c r="CI168" i="5"/>
  <c r="CJ99" i="5" l="1"/>
  <c r="CK84" i="5"/>
  <c r="CJ168" i="5"/>
  <c r="CI184" i="5"/>
  <c r="CI187" i="5" s="1"/>
  <c r="CJ102" i="5" l="1"/>
  <c r="CJ184" i="5"/>
  <c r="CJ187" i="5" s="1"/>
  <c r="CN44" i="1"/>
  <c r="CI188" i="5" s="1"/>
  <c r="CL84" i="5"/>
  <c r="CL168" i="5" s="1"/>
  <c r="CL184" i="5" s="1"/>
  <c r="CL187" i="5" s="1"/>
  <c r="CK99" i="5"/>
  <c r="CK102" i="5" s="1"/>
  <c r="CK168" i="5"/>
  <c r="CQ44" i="1" l="1"/>
  <c r="CK184" i="5"/>
  <c r="CK187" i="5" s="1"/>
  <c r="CP148" i="1"/>
  <c r="EY148" i="1" s="1"/>
  <c r="CO44" i="1"/>
  <c r="CM84" i="5"/>
  <c r="CM168" i="5" s="1"/>
  <c r="CM184" i="5" s="1"/>
  <c r="CL99" i="5"/>
  <c r="CL102" i="5" s="1"/>
  <c r="CL33" i="5" s="1"/>
  <c r="FA148" i="1" l="1"/>
  <c r="FC148" i="1"/>
  <c r="CQ148" i="1"/>
  <c r="CM187" i="5"/>
  <c r="CR44" i="1"/>
  <c r="CP44" i="1"/>
  <c r="EY44" i="1" s="1"/>
  <c r="FA44" i="1" s="1"/>
  <c r="CN84" i="5"/>
  <c r="CM99" i="5"/>
  <c r="CM102" i="5" s="1"/>
  <c r="CM33" i="5" s="1"/>
  <c r="CQ46" i="1"/>
  <c r="CR148" i="1" l="1"/>
  <c r="CN99" i="5"/>
  <c r="CN102" i="5" s="1"/>
  <c r="CO84" i="5"/>
  <c r="CN168" i="5"/>
  <c r="CR46" i="1"/>
  <c r="CQ161" i="1"/>
  <c r="CN184" i="5" l="1"/>
  <c r="CO168" i="5"/>
  <c r="CP84" i="5"/>
  <c r="CP168" i="5" s="1"/>
  <c r="CO99" i="5"/>
  <c r="CN33" i="5"/>
  <c r="CR161" i="1"/>
  <c r="CO33" i="5" l="1"/>
  <c r="CS148" i="1"/>
  <c r="CO102" i="5"/>
  <c r="CP184" i="5"/>
  <c r="CQ84" i="5"/>
  <c r="CP99" i="5"/>
  <c r="CP102" i="5" s="1"/>
  <c r="CN187" i="5"/>
  <c r="CS44" i="1"/>
  <c r="CO184" i="5"/>
  <c r="CO187" i="5" s="1"/>
  <c r="CN78" i="5"/>
  <c r="CP33" i="5" l="1"/>
  <c r="CS46" i="1"/>
  <c r="CT44" i="1"/>
  <c r="CR84" i="5"/>
  <c r="CQ99" i="5"/>
  <c r="CQ102" i="5" s="1"/>
  <c r="CO78" i="5"/>
  <c r="CT148" i="1"/>
  <c r="CQ168" i="5"/>
  <c r="CP187" i="5"/>
  <c r="CU44" i="1"/>
  <c r="CU46" i="1" l="1"/>
  <c r="CQ33" i="5"/>
  <c r="CQ78" i="5" s="1"/>
  <c r="CU148" i="1"/>
  <c r="CR99" i="5"/>
  <c r="CR102" i="5" s="1"/>
  <c r="CS84" i="5"/>
  <c r="CS168" i="5" s="1"/>
  <c r="CS184" i="5" s="1"/>
  <c r="CS161" i="1"/>
  <c r="CQ184" i="5"/>
  <c r="CR168" i="5"/>
  <c r="CR184" i="5" s="1"/>
  <c r="CP78" i="5"/>
  <c r="CS187" i="5" l="1"/>
  <c r="CX44" i="1"/>
  <c r="CV148" i="1"/>
  <c r="CQ187" i="5"/>
  <c r="CV44" i="1"/>
  <c r="CT184" i="5"/>
  <c r="CT187" i="5" s="1"/>
  <c r="CR33" i="5"/>
  <c r="CR78" i="5" s="1"/>
  <c r="CT84" i="5"/>
  <c r="CS99" i="5"/>
  <c r="CS102" i="5" s="1"/>
  <c r="CR187" i="5"/>
  <c r="CW44" i="1"/>
  <c r="CT168" i="5"/>
  <c r="CU161" i="1"/>
  <c r="CS33" i="5" l="1"/>
  <c r="CU84" i="5"/>
  <c r="CT99" i="5"/>
  <c r="CU168" i="5"/>
  <c r="CV46" i="1"/>
  <c r="CY44" i="1"/>
  <c r="CW46" i="1"/>
  <c r="CW148" i="1"/>
  <c r="CX46" i="1"/>
  <c r="CX161" i="1" l="1"/>
  <c r="CW161" i="1"/>
  <c r="CT102" i="5"/>
  <c r="CT33" i="5"/>
  <c r="CX148" i="1"/>
  <c r="CV84" i="5"/>
  <c r="CV168" i="5" s="1"/>
  <c r="CV184" i="5" s="1"/>
  <c r="CU99" i="5"/>
  <c r="CU102" i="5" s="1"/>
  <c r="CU184" i="5"/>
  <c r="CV161" i="1"/>
  <c r="CY46" i="1"/>
  <c r="CS78" i="5"/>
  <c r="CT78" i="5" l="1"/>
  <c r="CU187" i="5"/>
  <c r="CZ44" i="1"/>
  <c r="CU33" i="5"/>
  <c r="CU78" i="5"/>
  <c r="CY148" i="1"/>
  <c r="CV187" i="5"/>
  <c r="DA44" i="1"/>
  <c r="CY161" i="1"/>
  <c r="CV99" i="5"/>
  <c r="CV102" i="5" s="1"/>
  <c r="CW84" i="5"/>
  <c r="DA46" i="1" l="1"/>
  <c r="CX84" i="5"/>
  <c r="CX168" i="5" s="1"/>
  <c r="CX184" i="5" s="1"/>
  <c r="CW99" i="5"/>
  <c r="CW102" i="5" s="1"/>
  <c r="CW168" i="5"/>
  <c r="CZ148" i="1"/>
  <c r="CZ46" i="1"/>
  <c r="CV33" i="5"/>
  <c r="CV78" i="5"/>
  <c r="CW33" i="5" l="1"/>
  <c r="CX187" i="5"/>
  <c r="DC44" i="1"/>
  <c r="DA148" i="1"/>
  <c r="CY84" i="5"/>
  <c r="CX99" i="5"/>
  <c r="CX102" i="5" s="1"/>
  <c r="DA161" i="1"/>
  <c r="CZ161" i="1"/>
  <c r="CW184" i="5"/>
  <c r="CY168" i="5"/>
  <c r="CW187" i="5" l="1"/>
  <c r="DB44" i="1"/>
  <c r="CY184" i="5"/>
  <c r="CY187" i="5" s="1"/>
  <c r="DB148" i="1"/>
  <c r="DC46" i="1"/>
  <c r="CX33" i="5"/>
  <c r="CX78" i="5" s="1"/>
  <c r="CZ84" i="5"/>
  <c r="CY99" i="5"/>
  <c r="CW78" i="5"/>
  <c r="DC161" i="1" l="1"/>
  <c r="CZ99" i="5"/>
  <c r="CZ102" i="5" s="1"/>
  <c r="DA84" i="5"/>
  <c r="DA168" i="5" s="1"/>
  <c r="DA184" i="5" s="1"/>
  <c r="CY102" i="5"/>
  <c r="CY33" i="5"/>
  <c r="DC148" i="1"/>
  <c r="CZ168" i="5"/>
  <c r="DB46" i="1"/>
  <c r="DD44" i="1"/>
  <c r="DA187" i="5" l="1"/>
  <c r="DF44" i="1"/>
  <c r="DD148" i="1"/>
  <c r="CZ33" i="5"/>
  <c r="CZ78" i="5" s="1"/>
  <c r="DB84" i="5"/>
  <c r="DB168" i="5" s="1"/>
  <c r="DB184" i="5" s="1"/>
  <c r="DA99" i="5"/>
  <c r="DA102" i="5" s="1"/>
  <c r="DB161" i="1"/>
  <c r="DD161" i="1" s="1"/>
  <c r="DD46" i="1"/>
  <c r="CZ184" i="5"/>
  <c r="CY78" i="5"/>
  <c r="DB187" i="5" l="1"/>
  <c r="DG44" i="1"/>
  <c r="DE148" i="1"/>
  <c r="DA33" i="5"/>
  <c r="DA78" i="5" s="1"/>
  <c r="CZ187" i="5"/>
  <c r="DE44" i="1"/>
  <c r="DC84" i="5"/>
  <c r="DC168" i="5" s="1"/>
  <c r="DB99" i="5"/>
  <c r="DB102" i="5" s="1"/>
  <c r="DF46" i="1"/>
  <c r="DB33" i="5" l="1"/>
  <c r="DE46" i="1"/>
  <c r="DF148" i="1"/>
  <c r="DD84" i="5"/>
  <c r="DC99" i="5"/>
  <c r="DC102" i="5" s="1"/>
  <c r="DC184" i="5"/>
  <c r="DD168" i="5"/>
  <c r="DF161" i="1"/>
  <c r="DG46" i="1"/>
  <c r="DC33" i="5" l="1"/>
  <c r="DC187" i="5"/>
  <c r="DH44" i="1"/>
  <c r="DD184" i="5"/>
  <c r="DD187" i="5" s="1"/>
  <c r="DD99" i="5"/>
  <c r="DE84" i="5"/>
  <c r="DE161" i="1"/>
  <c r="DG161" i="1"/>
  <c r="DG148" i="1"/>
  <c r="DB78" i="5"/>
  <c r="DD33" i="5" l="1"/>
  <c r="DH148" i="1"/>
  <c r="DF84" i="5"/>
  <c r="DF168" i="5" s="1"/>
  <c r="DF184" i="5" s="1"/>
  <c r="DE99" i="5"/>
  <c r="DE102" i="5" s="1"/>
  <c r="DH46" i="1"/>
  <c r="DI44" i="1"/>
  <c r="DE168" i="5"/>
  <c r="DD102" i="5"/>
  <c r="DC78" i="5"/>
  <c r="DF187" i="5" l="1"/>
  <c r="DK44" i="1"/>
  <c r="DE33" i="5"/>
  <c r="DE78" i="5" s="1"/>
  <c r="DE184" i="5"/>
  <c r="DI148" i="1"/>
  <c r="DD78" i="5"/>
  <c r="DG84" i="5"/>
  <c r="DF99" i="5"/>
  <c r="DF102" i="5" s="1"/>
  <c r="DH161" i="1"/>
  <c r="DI161" i="1" s="1"/>
  <c r="DI46" i="1"/>
  <c r="DH84" i="5" l="1"/>
  <c r="DH168" i="5" s="1"/>
  <c r="DH184" i="5" s="1"/>
  <c r="DG99" i="5"/>
  <c r="DG102" i="5" s="1"/>
  <c r="DE187" i="5"/>
  <c r="DJ44" i="1"/>
  <c r="DG168" i="5"/>
  <c r="DJ148" i="1"/>
  <c r="DF33" i="5"/>
  <c r="DF78" i="5" s="1"/>
  <c r="DK46" i="1"/>
  <c r="DK161" i="1" l="1"/>
  <c r="DG33" i="5"/>
  <c r="DG78" i="5" s="1"/>
  <c r="DH187" i="5"/>
  <c r="DM44" i="1"/>
  <c r="DK148" i="1"/>
  <c r="DG184" i="5"/>
  <c r="DI168" i="5"/>
  <c r="DJ46" i="1"/>
  <c r="DH99" i="5"/>
  <c r="DH102" i="5" s="1"/>
  <c r="DI84" i="5"/>
  <c r="DG187" i="5" l="1"/>
  <c r="DL44" i="1"/>
  <c r="DI184" i="5"/>
  <c r="DI187" i="5" s="1"/>
  <c r="DJ161" i="1"/>
  <c r="DL148" i="1"/>
  <c r="DH33" i="5"/>
  <c r="DH78" i="5" s="1"/>
  <c r="DJ84" i="5"/>
  <c r="DJ168" i="5" s="1"/>
  <c r="DI99" i="5"/>
  <c r="DM46" i="1"/>
  <c r="DJ184" i="5" l="1"/>
  <c r="DI33" i="5"/>
  <c r="DM148" i="1"/>
  <c r="DM161" i="1"/>
  <c r="DI102" i="5"/>
  <c r="DI78" i="5" s="1"/>
  <c r="DK84" i="5"/>
  <c r="DK168" i="5" s="1"/>
  <c r="DK184" i="5" s="1"/>
  <c r="DJ99" i="5"/>
  <c r="DJ102" i="5" s="1"/>
  <c r="DL46" i="1"/>
  <c r="DN44" i="1"/>
  <c r="DJ187" i="5" l="1"/>
  <c r="DO44" i="1"/>
  <c r="DJ33" i="5"/>
  <c r="DJ78" i="5" s="1"/>
  <c r="DN148" i="1"/>
  <c r="DL161" i="1"/>
  <c r="DN161" i="1" s="1"/>
  <c r="DN46" i="1"/>
  <c r="DK187" i="5"/>
  <c r="DP44" i="1"/>
  <c r="DL84" i="5"/>
  <c r="DL168" i="5" s="1"/>
  <c r="DK99" i="5"/>
  <c r="DK102" i="5" s="1"/>
  <c r="DL184" i="5" l="1"/>
  <c r="DO148" i="1"/>
  <c r="DL99" i="5"/>
  <c r="DL102" i="5" s="1"/>
  <c r="DM84" i="5"/>
  <c r="DM168" i="5" s="1"/>
  <c r="DM184" i="5" s="1"/>
  <c r="DP46" i="1"/>
  <c r="DO46" i="1"/>
  <c r="DK33" i="5"/>
  <c r="DK78" i="5" s="1"/>
  <c r="DP161" i="1" l="1"/>
  <c r="DL187" i="5"/>
  <c r="DQ44" i="1"/>
  <c r="DN184" i="5"/>
  <c r="DN187" i="5" s="1"/>
  <c r="DO161" i="1"/>
  <c r="DN84" i="5"/>
  <c r="DM99" i="5"/>
  <c r="DM102" i="5" s="1"/>
  <c r="DM187" i="5"/>
  <c r="DR44" i="1"/>
  <c r="DP148" i="1"/>
  <c r="DL33" i="5"/>
  <c r="DL78" i="5" s="1"/>
  <c r="DN168" i="5"/>
  <c r="DO84" i="5" l="1"/>
  <c r="DO168" i="5" s="1"/>
  <c r="DN99" i="5"/>
  <c r="DR46" i="1"/>
  <c r="DQ46" i="1"/>
  <c r="DS44" i="1"/>
  <c r="DQ148" i="1"/>
  <c r="DM33" i="5"/>
  <c r="DM78" i="5" s="1"/>
  <c r="DO184" i="5" l="1"/>
  <c r="DR161" i="1"/>
  <c r="DN33" i="5"/>
  <c r="DR148" i="1"/>
  <c r="DP84" i="5"/>
  <c r="DO99" i="5"/>
  <c r="DQ161" i="1"/>
  <c r="DS46" i="1"/>
  <c r="DN102" i="5"/>
  <c r="DS161" i="1" l="1"/>
  <c r="DN78" i="5"/>
  <c r="DO102" i="5"/>
  <c r="DP99" i="5"/>
  <c r="DQ84" i="5"/>
  <c r="DS148" i="1"/>
  <c r="DP168" i="5"/>
  <c r="DO187" i="5"/>
  <c r="DT44" i="1"/>
  <c r="DP184" i="5" l="1"/>
  <c r="DS168" i="5"/>
  <c r="DP102" i="5"/>
  <c r="DO33" i="5"/>
  <c r="DT46" i="1"/>
  <c r="DR84" i="5"/>
  <c r="DQ99" i="5"/>
  <c r="DQ102" i="5" s="1"/>
  <c r="DT148" i="1" l="1"/>
  <c r="DQ33" i="5"/>
  <c r="DQ78" i="5" s="1"/>
  <c r="DP33" i="5"/>
  <c r="DP78" i="5" s="1"/>
  <c r="DP187" i="5"/>
  <c r="DU44" i="1"/>
  <c r="DS184" i="5"/>
  <c r="DS187" i="5" s="1"/>
  <c r="DT161" i="1"/>
  <c r="DS84" i="5"/>
  <c r="DR99" i="5"/>
  <c r="DR102" i="5" s="1"/>
  <c r="DO78" i="5"/>
  <c r="DT84" i="5" l="1"/>
  <c r="DS99" i="5"/>
  <c r="DS102" i="5" s="1"/>
  <c r="DU148" i="1"/>
  <c r="DU46" i="1"/>
  <c r="DX44" i="1"/>
  <c r="DR33" i="5"/>
  <c r="DR78" i="5" s="1"/>
  <c r="DV148" i="1"/>
  <c r="DT99" i="5" l="1"/>
  <c r="DT102" i="5" s="1"/>
  <c r="DU84" i="5"/>
  <c r="DS33" i="5"/>
  <c r="DW148" i="1"/>
  <c r="DU161" i="1"/>
  <c r="DX161" i="1" s="1"/>
  <c r="DX46" i="1"/>
  <c r="DX148" i="1" l="1"/>
  <c r="DV84" i="5"/>
  <c r="DU99" i="5"/>
  <c r="DU102" i="5" s="1"/>
  <c r="DS78" i="5"/>
  <c r="DT33" i="5"/>
  <c r="DT78" i="5" s="1"/>
  <c r="DU33" i="5" l="1"/>
  <c r="DU78" i="5" s="1"/>
  <c r="DW84" i="5"/>
  <c r="DV99" i="5"/>
  <c r="DV102" i="5" s="1"/>
  <c r="DY148" i="1"/>
  <c r="DV33" i="5" l="1"/>
  <c r="DV78" i="5" s="1"/>
  <c r="DZ148" i="1"/>
  <c r="DX84" i="5"/>
  <c r="DX99" i="5" s="1"/>
  <c r="DX102" i="5" s="1"/>
  <c r="DW99" i="5"/>
  <c r="DW102" i="5" s="1"/>
  <c r="DW33" i="5" l="1"/>
  <c r="DW78" i="5" s="1"/>
  <c r="EA148" i="1"/>
  <c r="DX33" i="5" l="1"/>
  <c r="EB148" i="1"/>
  <c r="EC148" i="1" l="1"/>
  <c r="DX78" i="5"/>
  <c r="CI58" i="6"/>
  <c r="CI99" i="6" s="1"/>
  <c r="CJ99" i="6"/>
  <c r="CI59" i="6"/>
  <c r="CI60" i="6"/>
  <c r="CI61" i="6"/>
  <c r="CJ179" i="6"/>
  <c r="CI66" i="6"/>
  <c r="CI226" i="5" s="1"/>
  <c r="CJ226" i="5" s="1"/>
  <c r="CJ97" i="6"/>
  <c r="CJ167" i="6" s="1"/>
  <c r="CI62" i="6"/>
  <c r="CI63" i="6"/>
  <c r="CI64" i="6"/>
  <c r="CN380" i="1" s="1"/>
  <c r="CO380" i="1" s="1"/>
  <c r="CO381" i="1" s="1"/>
  <c r="CO385" i="1" s="1"/>
  <c r="CI65" i="6"/>
  <c r="CI67" i="6"/>
  <c r="CI98" i="6" s="1"/>
  <c r="CJ98" i="6"/>
  <c r="CJ178" i="6"/>
  <c r="CI68" i="6"/>
  <c r="CI73" i="6"/>
  <c r="CU122" i="1"/>
  <c r="CV122" i="1"/>
  <c r="CW122" i="1"/>
  <c r="CX122" i="1"/>
  <c r="CU126" i="1" l="1"/>
  <c r="CI178" i="6"/>
  <c r="CI179" i="6"/>
  <c r="CI71" i="6"/>
  <c r="CI89" i="6"/>
  <c r="CJ89" i="6" s="1"/>
  <c r="CI97" i="6"/>
  <c r="CX126" i="1"/>
  <c r="CY122" i="1"/>
  <c r="CJ71" i="6" l="1"/>
  <c r="CY126" i="1"/>
  <c r="CV126" i="1"/>
  <c r="CW126" i="1"/>
  <c r="S22" i="128" l="1"/>
  <c r="S23" i="128" s="1"/>
  <c r="CZ122" i="1" l="1"/>
  <c r="DA122" i="1"/>
  <c r="DB122" i="1"/>
  <c r="DC122" i="1"/>
  <c r="DD122" i="1"/>
  <c r="DA126" i="1"/>
  <c r="DB126" i="1" l="1"/>
  <c r="CZ126" i="1" l="1"/>
  <c r="DC126" i="1"/>
  <c r="T22" i="128" l="1"/>
  <c r="T23" i="128" s="1"/>
  <c r="DD126" i="1"/>
  <c r="DE122" i="1" l="1"/>
  <c r="DF122" i="1"/>
  <c r="DG122" i="1"/>
  <c r="DH122" i="1"/>
  <c r="DI122" i="1"/>
  <c r="DG126" i="1" l="1"/>
  <c r="DH126" i="1" l="1"/>
  <c r="DF126" i="1"/>
  <c r="DE126" i="1"/>
  <c r="U22" i="128" l="1"/>
  <c r="U23" i="128" s="1"/>
  <c r="DI126" i="1"/>
  <c r="DJ122" i="1" l="1"/>
  <c r="DK122" i="1"/>
  <c r="DL122" i="1"/>
  <c r="DM122" i="1"/>
  <c r="DN122" i="1"/>
  <c r="DJ126" i="1" l="1"/>
  <c r="DK126" i="1"/>
  <c r="DL126" i="1"/>
  <c r="DM126" i="1" l="1"/>
  <c r="V22" i="128" l="1"/>
  <c r="V23" i="128" s="1"/>
  <c r="DN126" i="1"/>
  <c r="DO122" i="1" l="1"/>
  <c r="DP122" i="1"/>
  <c r="DQ122" i="1"/>
  <c r="DR122" i="1"/>
  <c r="DS122" i="1"/>
  <c r="DO126" i="1" l="1"/>
  <c r="DR126" i="1"/>
  <c r="DQ126" i="1" l="1"/>
  <c r="DP126" i="1"/>
  <c r="DS126" i="1" l="1"/>
  <c r="W22" i="128"/>
  <c r="W23" i="128" s="1"/>
  <c r="DT122" i="1" l="1"/>
  <c r="DU122" i="1"/>
  <c r="DW122" i="1"/>
  <c r="DX122" i="1"/>
  <c r="DU126" i="1" l="1"/>
  <c r="DV122" i="1"/>
  <c r="DV126" i="1"/>
  <c r="DW126" i="1" l="1"/>
  <c r="DT126" i="1"/>
  <c r="DX126" i="1" l="1"/>
  <c r="X22" i="128"/>
  <c r="X23" i="128" s="1"/>
  <c r="DY122" i="1" l="1"/>
  <c r="DZ122" i="1"/>
  <c r="EA122" i="1"/>
  <c r="EB122" i="1"/>
  <c r="EC122" i="1"/>
  <c r="DY126" i="1" l="1"/>
  <c r="EB126" i="1" l="1"/>
  <c r="DZ126" i="1"/>
  <c r="EA126" i="1"/>
  <c r="Y22" i="128" l="1"/>
  <c r="Y23" i="128" s="1"/>
  <c r="EC126" i="1"/>
  <c r="CP45" i="1" l="1"/>
  <c r="EY46" i="1" l="1"/>
  <c r="EY45" i="1"/>
  <c r="CT45" i="1"/>
  <c r="FA46" i="1" l="1"/>
  <c r="FC46" i="1"/>
  <c r="CT46" i="1"/>
  <c r="CP161" i="1"/>
  <c r="CT161" i="1" s="1"/>
  <c r="FA45" i="1"/>
  <c r="FD46" i="1"/>
  <c r="ER46" i="1" l="1"/>
  <c r="CP9" i="1" l="1"/>
  <c r="EY9" i="1" l="1"/>
  <c r="FC9" i="1" s="1"/>
  <c r="CP91" i="1"/>
  <c r="EY91" i="1" s="1"/>
  <c r="FA9" i="1"/>
  <c r="CK326" i="1"/>
  <c r="CO325" i="1"/>
  <c r="CO326" i="1" s="1"/>
  <c r="CP87" i="1"/>
  <c r="EY87" i="1" s="1"/>
  <c r="CP436" i="1"/>
  <c r="FA87" i="1" l="1"/>
  <c r="CN355" i="1" l="1"/>
  <c r="CN361" i="1"/>
  <c r="CN362" i="1" s="1"/>
  <c r="CN327" i="1"/>
  <c r="CN331" i="1" s="1"/>
  <c r="CO331" i="1" s="1"/>
  <c r="CO351" i="1" s="1"/>
  <c r="CN32" i="1"/>
  <c r="CO32" i="1" s="1"/>
  <c r="CN330" i="1"/>
  <c r="CO329" i="1"/>
  <c r="EQ32" i="1" l="1"/>
  <c r="CO355" i="1"/>
  <c r="CO361" i="1"/>
  <c r="CO362" i="1" s="1"/>
  <c r="CO330" i="1"/>
  <c r="CN328" i="1"/>
  <c r="CN342" i="1"/>
  <c r="CO327" i="1"/>
  <c r="CN351" i="1"/>
  <c r="CO353" i="1"/>
  <c r="CO352" i="1"/>
  <c r="CN357" i="1"/>
  <c r="CN356" i="1"/>
  <c r="CO342" i="1" l="1"/>
  <c r="CO328" i="1"/>
  <c r="CN352" i="1"/>
  <c r="CN353" i="1"/>
  <c r="CN33" i="1"/>
  <c r="CN364" i="1"/>
  <c r="CO357" i="1"/>
  <c r="CO356" i="1"/>
  <c r="CN104" i="1" l="1"/>
  <c r="CO33" i="1"/>
  <c r="CN76" i="1"/>
  <c r="CN365" i="1"/>
  <c r="CO364" i="1"/>
  <c r="CO365" i="1" s="1"/>
  <c r="CN34" i="1"/>
  <c r="EQ33" i="1" l="1"/>
  <c r="CO76" i="1"/>
  <c r="EQ76" i="1" s="1"/>
  <c r="CO104" i="1"/>
  <c r="EQ104" i="1" s="1"/>
  <c r="CI211" i="5"/>
  <c r="CJ211" i="5" s="1"/>
  <c r="CN105" i="1"/>
  <c r="CN77" i="1"/>
  <c r="CO34" i="1"/>
  <c r="CN39" i="1"/>
  <c r="EQ34" i="1" l="1"/>
  <c r="CO105" i="1"/>
  <c r="EQ105" i="1" s="1"/>
  <c r="CO39" i="1"/>
  <c r="CO77" i="1"/>
  <c r="EQ77" i="1" s="1"/>
  <c r="CN442" i="1"/>
  <c r="CN447" i="1"/>
  <c r="CO447" i="1" s="1"/>
  <c r="CI65" i="5"/>
  <c r="CJ65" i="5" s="1"/>
  <c r="CN78" i="1"/>
  <c r="CI53" i="5"/>
  <c r="CN48" i="1"/>
  <c r="CN41" i="1"/>
  <c r="CN106" i="1"/>
  <c r="CI58" i="5" l="1"/>
  <c r="CJ53" i="5"/>
  <c r="CI57" i="5"/>
  <c r="CN448" i="1"/>
  <c r="CO448" i="1" s="1"/>
  <c r="CN107" i="1"/>
  <c r="CN79" i="1"/>
  <c r="CN82" i="1"/>
  <c r="CN51" i="1"/>
  <c r="CO48" i="1"/>
  <c r="Q14" i="128"/>
  <c r="CO442" i="1"/>
  <c r="EQ39" i="1"/>
  <c r="CO106" i="1"/>
  <c r="EQ106" i="1" s="1"/>
  <c r="CO41" i="1"/>
  <c r="CO78" i="1"/>
  <c r="EQ78" i="1" l="1"/>
  <c r="Q15" i="128"/>
  <c r="EQ48" i="1"/>
  <c r="CO51" i="1"/>
  <c r="CO82" i="1"/>
  <c r="CN56" i="1"/>
  <c r="CI71" i="5"/>
  <c r="CN84" i="1"/>
  <c r="CI52" i="5"/>
  <c r="CN64" i="1"/>
  <c r="CN113" i="1"/>
  <c r="CN160" i="1"/>
  <c r="CJ57" i="5"/>
  <c r="EQ41" i="1"/>
  <c r="CO107" i="1"/>
  <c r="CO79" i="1"/>
  <c r="EQ79" i="1" s="1"/>
  <c r="CJ58" i="5"/>
  <c r="CI59" i="5" l="1"/>
  <c r="CJ52" i="5"/>
  <c r="EQ51" i="1"/>
  <c r="CO56" i="1"/>
  <c r="CJ71" i="5"/>
  <c r="CO84" i="1"/>
  <c r="EQ84" i="1" s="1"/>
  <c r="CO64" i="1"/>
  <c r="CO113" i="1"/>
  <c r="EQ113" i="1" s="1"/>
  <c r="EQ107" i="1"/>
  <c r="CN165" i="1"/>
  <c r="CN189" i="1" s="1"/>
  <c r="CO160" i="1"/>
  <c r="CN196" i="1"/>
  <c r="CN198" i="1" s="1"/>
  <c r="CN226" i="1" s="1"/>
  <c r="EQ82" i="1"/>
  <c r="CN117" i="1"/>
  <c r="CI74" i="5"/>
  <c r="CI75" i="5" s="1"/>
  <c r="CI76" i="5" s="1"/>
  <c r="CN228" i="1" l="1"/>
  <c r="CN235" i="1"/>
  <c r="CN236" i="1" s="1"/>
  <c r="CN62" i="1" s="1"/>
  <c r="CN233" i="1"/>
  <c r="CJ59" i="5"/>
  <c r="CO196" i="1"/>
  <c r="CO198" i="1" s="1"/>
  <c r="CO226" i="1" s="1"/>
  <c r="CO165" i="1"/>
  <c r="CO189" i="1" s="1"/>
  <c r="CJ74" i="5"/>
  <c r="CJ75" i="5" s="1"/>
  <c r="CJ76" i="5" s="1"/>
  <c r="CN190" i="1"/>
  <c r="CN192" i="1"/>
  <c r="CN42" i="1"/>
  <c r="CO117" i="1"/>
  <c r="EQ117" i="1" s="1"/>
  <c r="EQ64" i="1"/>
  <c r="CO190" i="1" l="1"/>
  <c r="CO42" i="1"/>
  <c r="CN234" i="1"/>
  <c r="CN57" i="1"/>
  <c r="CO228" i="1"/>
  <c r="CO83" i="1" s="1"/>
  <c r="CO372" i="1" s="1"/>
  <c r="CO233" i="1"/>
  <c r="CO235" i="1"/>
  <c r="CO236" i="1" s="1"/>
  <c r="CO62" i="1" s="1"/>
  <c r="CN81" i="1"/>
  <c r="CN438" i="1"/>
  <c r="CN108" i="1"/>
  <c r="CN229" i="1"/>
  <c r="CN83" i="1"/>
  <c r="CN372" i="1" s="1"/>
  <c r="CN193" i="1"/>
  <c r="CN43" i="1"/>
  <c r="CO192" i="1"/>
  <c r="CN373" i="1" l="1"/>
  <c r="CN376" i="1"/>
  <c r="CI62" i="5"/>
  <c r="CI64" i="5"/>
  <c r="CI63" i="5"/>
  <c r="CO438" i="1"/>
  <c r="EQ62" i="1"/>
  <c r="CN80" i="1"/>
  <c r="CN111" i="1"/>
  <c r="CO234" i="1"/>
  <c r="CO57" i="1"/>
  <c r="CO81" i="1"/>
  <c r="EQ42" i="1"/>
  <c r="CO108" i="1"/>
  <c r="EQ108" i="1" s="1"/>
  <c r="CO193" i="1"/>
  <c r="CO43" i="1"/>
  <c r="CO373" i="1"/>
  <c r="CO376" i="1"/>
  <c r="CN439" i="1"/>
  <c r="CN61" i="1"/>
  <c r="CN449" i="1" l="1"/>
  <c r="CO449" i="1" s="1"/>
  <c r="CN116" i="1"/>
  <c r="CO80" i="1"/>
  <c r="EQ80" i="1" s="1"/>
  <c r="EQ43" i="1"/>
  <c r="Q16" i="128"/>
  <c r="CO111" i="1"/>
  <c r="EQ111" i="1" s="1"/>
  <c r="CJ62" i="5"/>
  <c r="CJ64" i="5"/>
  <c r="CJ63" i="5"/>
  <c r="CO439" i="1"/>
  <c r="CN416" i="1"/>
  <c r="CN440" i="1"/>
  <c r="CO440" i="1" s="1"/>
  <c r="EQ57" i="1"/>
  <c r="CO61" i="1"/>
  <c r="CN112" i="1"/>
  <c r="EQ58" i="1" l="1"/>
  <c r="Q17" i="128"/>
  <c r="Q37" i="128"/>
  <c r="EQ109" i="1"/>
  <c r="CO112" i="1"/>
  <c r="CI108" i="6"/>
  <c r="CO416" i="1"/>
  <c r="CJ108" i="6" s="1"/>
  <c r="Q18" i="128"/>
  <c r="CO116" i="1"/>
  <c r="EQ116" i="1" s="1"/>
  <c r="EQ61" i="1"/>
  <c r="Q38" i="128" l="1"/>
  <c r="Q19" i="128"/>
  <c r="CI35" i="6" l="1"/>
  <c r="CI38" i="6" l="1"/>
  <c r="CI74" i="6" s="1"/>
  <c r="CI175" i="6" l="1"/>
  <c r="CJ175" i="6" s="1"/>
  <c r="CJ38" i="6"/>
  <c r="CJ88" i="6" s="1"/>
  <c r="CJ91" i="6" s="1"/>
  <c r="CI88" i="6"/>
  <c r="CI91" i="6" s="1"/>
  <c r="CI95" i="6" s="1"/>
  <c r="CN150" i="1"/>
  <c r="CN152" i="1" s="1"/>
  <c r="CI77" i="6"/>
  <c r="CK75" i="6" s="1"/>
  <c r="CJ74" i="6"/>
  <c r="CJ173" i="6" l="1"/>
  <c r="CI173" i="6" s="1"/>
  <c r="CO150" i="1"/>
  <c r="CO152" i="1" s="1"/>
  <c r="CI92" i="6"/>
  <c r="CJ92" i="6" s="1"/>
  <c r="Q39" i="128"/>
  <c r="CJ95" i="6"/>
  <c r="CI78" i="6"/>
  <c r="CI86" i="6"/>
  <c r="CJ77" i="6"/>
  <c r="CO75" i="6" s="1"/>
  <c r="Q40" i="128" l="1"/>
  <c r="CJ86" i="6"/>
  <c r="CJ78" i="6"/>
  <c r="CR28" i="1" l="1"/>
  <c r="CQ28" i="1" l="1"/>
  <c r="CR101" i="1"/>
  <c r="CR30" i="1"/>
  <c r="CQ324" i="1" l="1"/>
  <c r="CQ366" i="1"/>
  <c r="CQ368" i="1"/>
  <c r="CR72" i="1"/>
  <c r="CU324" i="1"/>
  <c r="CQ101" i="1"/>
  <c r="CQ30" i="1"/>
  <c r="CR324" i="1"/>
  <c r="CR368" i="1"/>
  <c r="CR366" i="1"/>
  <c r="CR367" i="1" s="1"/>
  <c r="CR369" i="1" l="1"/>
  <c r="CV324" i="1"/>
  <c r="CV368" i="1"/>
  <c r="CV366" i="1"/>
  <c r="CV367" i="1" s="1"/>
  <c r="CQ369" i="1"/>
  <c r="CW324" i="1"/>
  <c r="CW368" i="1"/>
  <c r="CW366" i="1"/>
  <c r="CW367" i="1" s="1"/>
  <c r="CQ72" i="1"/>
  <c r="CQ367" i="1"/>
  <c r="CZ324" i="1"/>
  <c r="CT26" i="1" l="1"/>
  <c r="CS28" i="1"/>
  <c r="CW369" i="1"/>
  <c r="DB324" i="1"/>
  <c r="DB366" i="1"/>
  <c r="DB367" i="1" s="1"/>
  <c r="DB368" i="1"/>
  <c r="CV369" i="1"/>
  <c r="DE324" i="1"/>
  <c r="DA324" i="1"/>
  <c r="DA366" i="1"/>
  <c r="DA367" i="1" s="1"/>
  <c r="DA368" i="1"/>
  <c r="CY26" i="1" l="1"/>
  <c r="CS101" i="1"/>
  <c r="CS30" i="1"/>
  <c r="CT323" i="1"/>
  <c r="CT324" i="1" s="1"/>
  <c r="CS366" i="1"/>
  <c r="CS367" i="1" s="1"/>
  <c r="CS368" i="1"/>
  <c r="CS369" i="1" s="1"/>
  <c r="CS324" i="1"/>
  <c r="DA369" i="1"/>
  <c r="DB369" i="1"/>
  <c r="DJ324" i="1"/>
  <c r="DG324" i="1"/>
  <c r="DG366" i="1"/>
  <c r="DG367" i="1" s="1"/>
  <c r="DG368" i="1"/>
  <c r="DF324" i="1"/>
  <c r="DF366" i="1"/>
  <c r="DF367" i="1" s="1"/>
  <c r="DF368" i="1"/>
  <c r="CS72" i="1" l="1"/>
  <c r="CX324" i="1"/>
  <c r="CX368" i="1"/>
  <c r="CX369" i="1" s="1"/>
  <c r="CY323" i="1"/>
  <c r="CY324" i="1" s="1"/>
  <c r="CX366" i="1"/>
  <c r="CX367" i="1" s="1"/>
  <c r="DD26" i="1"/>
  <c r="DO324" i="1"/>
  <c r="EA102" i="1"/>
  <c r="DK324" i="1"/>
  <c r="DK368" i="1"/>
  <c r="DK366" i="1"/>
  <c r="DK367" i="1" s="1"/>
  <c r="DF369" i="1"/>
  <c r="DL324" i="1"/>
  <c r="DL368" i="1"/>
  <c r="DL366" i="1"/>
  <c r="DL367" i="1" s="1"/>
  <c r="DG369" i="1"/>
  <c r="DZ102" i="1"/>
  <c r="DC366" i="1" l="1"/>
  <c r="DC367" i="1" s="1"/>
  <c r="DD323" i="1"/>
  <c r="DD324" i="1" s="1"/>
  <c r="DC368" i="1"/>
  <c r="DC369" i="1" s="1"/>
  <c r="DC324" i="1"/>
  <c r="DI26" i="1"/>
  <c r="DQ366" i="1"/>
  <c r="DQ367" i="1" s="1"/>
  <c r="DQ368" i="1"/>
  <c r="DQ324" i="1"/>
  <c r="DL369" i="1"/>
  <c r="DP324" i="1"/>
  <c r="DP366" i="1"/>
  <c r="DP367" i="1" s="1"/>
  <c r="DP368" i="1"/>
  <c r="DK369" i="1"/>
  <c r="DT324" i="1"/>
  <c r="DN26" i="1" l="1"/>
  <c r="DI323" i="1"/>
  <c r="DI324" i="1" s="1"/>
  <c r="DH324" i="1"/>
  <c r="DH368" i="1"/>
  <c r="DH369" i="1" s="1"/>
  <c r="DH366" i="1"/>
  <c r="DH367" i="1" s="1"/>
  <c r="DY324" i="1"/>
  <c r="DQ369" i="1"/>
  <c r="DV324" i="1"/>
  <c r="DV368" i="1"/>
  <c r="DV366" i="1"/>
  <c r="DV367" i="1" s="1"/>
  <c r="DU324" i="1"/>
  <c r="DU366" i="1"/>
  <c r="DU367" i="1" s="1"/>
  <c r="DU368" i="1"/>
  <c r="DP369" i="1"/>
  <c r="DN323" i="1" l="1"/>
  <c r="DN324" i="1" s="1"/>
  <c r="DM368" i="1"/>
  <c r="DM369" i="1" s="1"/>
  <c r="DM366" i="1"/>
  <c r="DM367" i="1" s="1"/>
  <c r="DM324" i="1"/>
  <c r="DS26" i="1"/>
  <c r="DV369" i="1"/>
  <c r="DU369" i="1"/>
  <c r="DZ324" i="1"/>
  <c r="DZ368" i="1"/>
  <c r="DZ366" i="1"/>
  <c r="DZ367" i="1" s="1"/>
  <c r="EA324" i="1"/>
  <c r="EA366" i="1"/>
  <c r="EA367" i="1" s="1"/>
  <c r="EA368" i="1"/>
  <c r="DS323" i="1" l="1"/>
  <c r="DS324" i="1" s="1"/>
  <c r="DR366" i="1"/>
  <c r="DR367" i="1" s="1"/>
  <c r="DR368" i="1"/>
  <c r="DR369" i="1" s="1"/>
  <c r="DR324" i="1"/>
  <c r="EB102" i="1"/>
  <c r="DX26" i="1"/>
  <c r="DZ369" i="1"/>
  <c r="EA369" i="1"/>
  <c r="DW324" i="1" l="1"/>
  <c r="DW366" i="1"/>
  <c r="DW367" i="1" s="1"/>
  <c r="DX323" i="1"/>
  <c r="DX324" i="1" s="1"/>
  <c r="DW368" i="1"/>
  <c r="DW369" i="1" s="1"/>
  <c r="EC26" i="1"/>
  <c r="EB324" i="1" l="1"/>
  <c r="EB366" i="1"/>
  <c r="EB367" i="1" s="1"/>
  <c r="EC323" i="1"/>
  <c r="EC324" i="1" s="1"/>
  <c r="EB368" i="1"/>
  <c r="EB369" i="1" s="1"/>
  <c r="CT25" i="1" l="1"/>
  <c r="CP322" i="1" l="1"/>
  <c r="CP368" i="1"/>
  <c r="CP366" i="1"/>
  <c r="CP367" i="1" s="1"/>
  <c r="CT321" i="1"/>
  <c r="CT322" i="1" s="1"/>
  <c r="CP355" i="1" l="1"/>
  <c r="CP369" i="1"/>
  <c r="CT368" i="1"/>
  <c r="CT366" i="1"/>
  <c r="CT367" i="1" s="1"/>
  <c r="CP357" i="1" l="1"/>
  <c r="CT369" i="1"/>
  <c r="DI25" i="1" l="1"/>
  <c r="CU322" i="1" l="1"/>
  <c r="CY321" i="1"/>
  <c r="CY322" i="1" s="1"/>
  <c r="CU366" i="1"/>
  <c r="CU368" i="1"/>
  <c r="CU369" i="1" l="1"/>
  <c r="CY368" i="1"/>
  <c r="CY25" i="1"/>
  <c r="CU367" i="1"/>
  <c r="CY366" i="1"/>
  <c r="CY367" i="1" s="1"/>
  <c r="CZ322" i="1"/>
  <c r="DD321" i="1"/>
  <c r="DD322" i="1" s="1"/>
  <c r="CZ366" i="1"/>
  <c r="CZ368" i="1"/>
  <c r="CZ367" i="1" l="1"/>
  <c r="DD366" i="1"/>
  <c r="DD367" i="1" s="1"/>
  <c r="CY369" i="1"/>
  <c r="DE322" i="1"/>
  <c r="DI321" i="1"/>
  <c r="DI322" i="1" s="1"/>
  <c r="DE366" i="1"/>
  <c r="DE368" i="1"/>
  <c r="CZ369" i="1"/>
  <c r="DD368" i="1"/>
  <c r="DE367" i="1" l="1"/>
  <c r="DI366" i="1"/>
  <c r="DI367" i="1" s="1"/>
  <c r="DE369" i="1"/>
  <c r="DI368" i="1"/>
  <c r="DD369" i="1"/>
  <c r="DJ322" i="1"/>
  <c r="DN321" i="1"/>
  <c r="DN322" i="1" s="1"/>
  <c r="DJ366" i="1"/>
  <c r="DJ368" i="1"/>
  <c r="DN25" i="1" l="1"/>
  <c r="DX31" i="1"/>
  <c r="DI369" i="1"/>
  <c r="DS321" i="1"/>
  <c r="DS322" i="1" s="1"/>
  <c r="DO322" i="1"/>
  <c r="DO366" i="1"/>
  <c r="DO368" i="1"/>
  <c r="DJ369" i="1"/>
  <c r="DN368" i="1"/>
  <c r="DJ367" i="1"/>
  <c r="DN366" i="1"/>
  <c r="DN367" i="1" s="1"/>
  <c r="DD25" i="1" l="1"/>
  <c r="DT322" i="1"/>
  <c r="DX321" i="1"/>
  <c r="DX322" i="1" s="1"/>
  <c r="DT366" i="1"/>
  <c r="DT368" i="1"/>
  <c r="DN369" i="1"/>
  <c r="DO369" i="1"/>
  <c r="DS368" i="1"/>
  <c r="DY102" i="1"/>
  <c r="EC31" i="1"/>
  <c r="DO367" i="1"/>
  <c r="DS366" i="1"/>
  <c r="DS367" i="1" s="1"/>
  <c r="DS369" i="1" l="1"/>
  <c r="DT367" i="1"/>
  <c r="DX366" i="1"/>
  <c r="DX367" i="1" s="1"/>
  <c r="DY322" i="1"/>
  <c r="EC321" i="1"/>
  <c r="EC322" i="1" s="1"/>
  <c r="DY366" i="1"/>
  <c r="DY368" i="1"/>
  <c r="EC102" i="1"/>
  <c r="DT369" i="1"/>
  <c r="DX368" i="1"/>
  <c r="DX369" i="1" l="1"/>
  <c r="DY369" i="1"/>
  <c r="EC368" i="1"/>
  <c r="EC366" i="1"/>
  <c r="EC367" i="1" s="1"/>
  <c r="DY367" i="1"/>
  <c r="EC369" i="1" l="1"/>
  <c r="DS25" i="1" l="1"/>
  <c r="DX25" i="1" l="1"/>
  <c r="EC25" i="1" l="1"/>
  <c r="CT18" i="1" l="1"/>
  <c r="EY18" i="1" l="1"/>
  <c r="CT27" i="1" l="1"/>
  <c r="CP28" i="1"/>
  <c r="EY28" i="1" l="1"/>
  <c r="CP101" i="1"/>
  <c r="EY101" i="1" s="1"/>
  <c r="CT28" i="1"/>
  <c r="CN210" i="5"/>
  <c r="CM210" i="5"/>
  <c r="CM25" i="5" s="1"/>
  <c r="CP30" i="1"/>
  <c r="CP72" i="1" s="1"/>
  <c r="CL210" i="5"/>
  <c r="CL25" i="5" s="1"/>
  <c r="CK210" i="5"/>
  <c r="CY18" i="1"/>
  <c r="CL32" i="6" l="1"/>
  <c r="ER28" i="1"/>
  <c r="CT101" i="1"/>
  <c r="ER101" i="1" s="1"/>
  <c r="EY30" i="1"/>
  <c r="EY72" i="1"/>
  <c r="CT30" i="1"/>
  <c r="FA101" i="1"/>
  <c r="DD18" i="1"/>
  <c r="CM32" i="6"/>
  <c r="FA28" i="1"/>
  <c r="CO210" i="5"/>
  <c r="CN25" i="5"/>
  <c r="CU28" i="1" l="1"/>
  <c r="DI18" i="1"/>
  <c r="CT72" i="1"/>
  <c r="ER72" i="1" s="1"/>
  <c r="CO25" i="5"/>
  <c r="CN32" i="6"/>
  <c r="FA72" i="1"/>
  <c r="FC72" i="1"/>
  <c r="CU101" i="1" l="1"/>
  <c r="CU30" i="1"/>
  <c r="CP210" i="5"/>
  <c r="CP25" i="5" s="1"/>
  <c r="CO32" i="6"/>
  <c r="DN18" i="1"/>
  <c r="CO217" i="5"/>
  <c r="CV28" i="1"/>
  <c r="DS18" i="1" l="1"/>
  <c r="CV101" i="1"/>
  <c r="CV30" i="1"/>
  <c r="CQ210" i="5"/>
  <c r="CQ25" i="5" s="1"/>
  <c r="CP32" i="6"/>
  <c r="CW28" i="1"/>
  <c r="CY27" i="1"/>
  <c r="CU72" i="1"/>
  <c r="CW101" i="1" l="1"/>
  <c r="CW30" i="1"/>
  <c r="CR210" i="5"/>
  <c r="CR25" i="5" s="1"/>
  <c r="CQ32" i="6"/>
  <c r="CV72" i="1"/>
  <c r="CX28" i="1"/>
  <c r="CS210" i="5" s="1"/>
  <c r="DX18" i="1"/>
  <c r="CT210" i="5" l="1"/>
  <c r="CS25" i="5"/>
  <c r="CX101" i="1"/>
  <c r="CX30" i="1"/>
  <c r="CY30" i="1" s="1"/>
  <c r="CR32" i="6"/>
  <c r="CY28" i="1"/>
  <c r="EC18" i="1"/>
  <c r="CW72" i="1"/>
  <c r="CY101" i="1" l="1"/>
  <c r="CX72" i="1"/>
  <c r="CY72" i="1"/>
  <c r="CT25" i="5"/>
  <c r="CS32" i="6"/>
  <c r="CZ28" i="1" l="1"/>
  <c r="CT217" i="5"/>
  <c r="CT32" i="6"/>
  <c r="DA28" i="1" l="1"/>
  <c r="CZ101" i="1"/>
  <c r="CZ30" i="1"/>
  <c r="CU210" i="5"/>
  <c r="CU25" i="5" s="1"/>
  <c r="DB28" i="1" l="1"/>
  <c r="DD27" i="1"/>
  <c r="CU32" i="6"/>
  <c r="DA101" i="1"/>
  <c r="DA30" i="1"/>
  <c r="CV210" i="5"/>
  <c r="CV25" i="5" s="1"/>
  <c r="CZ72" i="1"/>
  <c r="CV32" i="6" l="1"/>
  <c r="DC28" i="1"/>
  <c r="DD28" i="1" s="1"/>
  <c r="DA72" i="1"/>
  <c r="DB101" i="1"/>
  <c r="DB30" i="1"/>
  <c r="CW210" i="5"/>
  <c r="CW25" i="5" s="1"/>
  <c r="CX210" i="5" l="1"/>
  <c r="CY210" i="5" s="1"/>
  <c r="CW32" i="6"/>
  <c r="DB72" i="1"/>
  <c r="DD101" i="1"/>
  <c r="DC101" i="1"/>
  <c r="DC30" i="1"/>
  <c r="DD30" i="1" s="1"/>
  <c r="CX25" i="5" l="1"/>
  <c r="CY25" i="5" s="1"/>
  <c r="DD72" i="1"/>
  <c r="DC72" i="1"/>
  <c r="DE28" i="1"/>
  <c r="CX32" i="6" l="1"/>
  <c r="CY32" i="6" s="1"/>
  <c r="CY217" i="5"/>
  <c r="DE101" i="1"/>
  <c r="DE30" i="1"/>
  <c r="CZ210" i="5"/>
  <c r="CZ25" i="5" s="1"/>
  <c r="DF28" i="1"/>
  <c r="DG28" i="1" l="1"/>
  <c r="DE72" i="1"/>
  <c r="DF101" i="1"/>
  <c r="DF30" i="1"/>
  <c r="DA210" i="5"/>
  <c r="DA25" i="5" s="1"/>
  <c r="CZ32" i="6"/>
  <c r="DH28" i="1" l="1"/>
  <c r="DA32" i="6"/>
  <c r="DI27" i="1"/>
  <c r="DF72" i="1"/>
  <c r="DG30" i="1"/>
  <c r="DG101" i="1"/>
  <c r="DB210" i="5"/>
  <c r="DB25" i="5" s="1"/>
  <c r="DB32" i="6" l="1"/>
  <c r="DH101" i="1"/>
  <c r="DH30" i="1"/>
  <c r="DI30" i="1" s="1"/>
  <c r="DC210" i="5"/>
  <c r="DI28" i="1"/>
  <c r="DG72" i="1"/>
  <c r="DD210" i="5" l="1"/>
  <c r="DC25" i="5"/>
  <c r="DH72" i="1"/>
  <c r="DI72" i="1"/>
  <c r="DI101" i="1"/>
  <c r="DJ28" i="1" l="1"/>
  <c r="DD25" i="5"/>
  <c r="DC32" i="6"/>
  <c r="DD217" i="5" l="1"/>
  <c r="DD32" i="6"/>
  <c r="DJ101" i="1"/>
  <c r="DJ30" i="1"/>
  <c r="DE210" i="5"/>
  <c r="DE25" i="5" s="1"/>
  <c r="DK28" i="1"/>
  <c r="DJ72" i="1" l="1"/>
  <c r="DK101" i="1"/>
  <c r="DK30" i="1"/>
  <c r="DF210" i="5"/>
  <c r="DF25" i="5" s="1"/>
  <c r="DE32" i="6"/>
  <c r="DL28" i="1"/>
  <c r="DN27" i="1"/>
  <c r="DM28" i="1" l="1"/>
  <c r="DH210" i="5" s="1"/>
  <c r="DF32" i="6"/>
  <c r="DK72" i="1"/>
  <c r="DL101" i="1"/>
  <c r="DL30" i="1"/>
  <c r="DG210" i="5"/>
  <c r="DG25" i="5" s="1"/>
  <c r="DI210" i="5" l="1"/>
  <c r="DH25" i="5"/>
  <c r="DG32" i="6"/>
  <c r="DL72" i="1"/>
  <c r="DM30" i="1"/>
  <c r="DM101" i="1"/>
  <c r="DN28" i="1"/>
  <c r="DI25" i="5" l="1"/>
  <c r="DH32" i="6"/>
  <c r="DN101" i="1"/>
  <c r="DO28" i="1"/>
  <c r="DM72" i="1"/>
  <c r="DI32" i="6"/>
  <c r="DN30" i="1"/>
  <c r="DN72" i="1" l="1"/>
  <c r="DO101" i="1"/>
  <c r="DO30" i="1"/>
  <c r="DJ210" i="5"/>
  <c r="DJ25" i="5" s="1"/>
  <c r="DI217" i="5"/>
  <c r="DP28" i="1"/>
  <c r="DP101" i="1" l="1"/>
  <c r="DP30" i="1"/>
  <c r="DK210" i="5"/>
  <c r="DK25" i="5" s="1"/>
  <c r="DJ32" i="6"/>
  <c r="DQ28" i="1"/>
  <c r="DO72" i="1"/>
  <c r="DP72" i="1" l="1"/>
  <c r="DQ30" i="1"/>
  <c r="DQ101" i="1"/>
  <c r="DL210" i="5"/>
  <c r="DL25" i="5" s="1"/>
  <c r="DR28" i="1"/>
  <c r="DS28" i="1" s="1"/>
  <c r="DS27" i="1"/>
  <c r="DK32" i="6"/>
  <c r="DS101" i="1" l="1"/>
  <c r="DQ72" i="1"/>
  <c r="DL32" i="6"/>
  <c r="DR101" i="1"/>
  <c r="DR30" i="1"/>
  <c r="DS30" i="1" s="1"/>
  <c r="DM210" i="5"/>
  <c r="DS72" i="1" l="1"/>
  <c r="DR72" i="1"/>
  <c r="DN210" i="5"/>
  <c r="DM25" i="5"/>
  <c r="DT28" i="1" l="1"/>
  <c r="DM32" i="6"/>
  <c r="DN25" i="5"/>
  <c r="DU28" i="1" l="1"/>
  <c r="DN217" i="5"/>
  <c r="DT101" i="1"/>
  <c r="DT30" i="1"/>
  <c r="DO210" i="5"/>
  <c r="DO25" i="5" s="1"/>
  <c r="DN32" i="6"/>
  <c r="DO32" i="6" l="1"/>
  <c r="DT72" i="1"/>
  <c r="DU101" i="1"/>
  <c r="DU30" i="1"/>
  <c r="DP210" i="5"/>
  <c r="DP25" i="5" s="1"/>
  <c r="DV28" i="1"/>
  <c r="DU72" i="1" l="1"/>
  <c r="DP32" i="6"/>
  <c r="DW28" i="1"/>
  <c r="DX27" i="1"/>
  <c r="DV30" i="1"/>
  <c r="DV101" i="1"/>
  <c r="DQ210" i="5"/>
  <c r="DQ25" i="5" s="1"/>
  <c r="DQ32" i="6" l="1"/>
  <c r="DW101" i="1"/>
  <c r="DW30" i="1"/>
  <c r="DR210" i="5"/>
  <c r="DV72" i="1"/>
  <c r="DX28" i="1"/>
  <c r="DX101" i="1" l="1"/>
  <c r="DW72" i="1"/>
  <c r="DX30" i="1"/>
  <c r="DS210" i="5"/>
  <c r="DR25" i="5"/>
  <c r="DX72" i="1" l="1"/>
  <c r="DR32" i="6"/>
  <c r="DS25" i="5"/>
  <c r="DY28" i="1"/>
  <c r="DY30" i="1" l="1"/>
  <c r="DY101" i="1"/>
  <c r="DT210" i="5"/>
  <c r="DT25" i="5" s="1"/>
  <c r="DS217" i="5"/>
  <c r="DS32" i="6"/>
  <c r="DZ28" i="1"/>
  <c r="DZ101" i="1" l="1"/>
  <c r="DZ30" i="1"/>
  <c r="DU210" i="5"/>
  <c r="DU25" i="5" s="1"/>
  <c r="EA28" i="1"/>
  <c r="DT32" i="6"/>
  <c r="EC27" i="1"/>
  <c r="DY72" i="1"/>
  <c r="EB28" i="1" l="1"/>
  <c r="EC28" i="1" s="1"/>
  <c r="DU32" i="6"/>
  <c r="EA101" i="1"/>
  <c r="EA30" i="1"/>
  <c r="DV210" i="5"/>
  <c r="DV25" i="5" s="1"/>
  <c r="DZ72" i="1"/>
  <c r="EA72" i="1" l="1"/>
  <c r="EC101" i="1"/>
  <c r="DV32" i="6"/>
  <c r="EB101" i="1"/>
  <c r="EB30" i="1"/>
  <c r="DW210" i="5"/>
  <c r="EB72" i="1" l="1"/>
  <c r="DX210" i="5"/>
  <c r="DW25" i="5"/>
  <c r="EC30" i="1"/>
  <c r="EC72" i="1" l="1"/>
  <c r="DX25" i="5"/>
  <c r="DW32" i="6"/>
  <c r="DX217" i="5" l="1"/>
  <c r="DX32" i="6"/>
  <c r="CP20" i="1" l="1"/>
  <c r="CP356" i="1" s="1"/>
  <c r="CP344" i="1" l="1"/>
  <c r="CQ344" i="1" s="1"/>
  <c r="CR344" i="1" s="1"/>
  <c r="CS344" i="1" s="1"/>
  <c r="CU344" i="1" s="1"/>
  <c r="CV344" i="1" s="1"/>
  <c r="CW344" i="1" s="1"/>
  <c r="CX344" i="1" s="1"/>
  <c r="CZ344" i="1" s="1"/>
  <c r="DA344" i="1" s="1"/>
  <c r="DB344" i="1" s="1"/>
  <c r="DC344" i="1" s="1"/>
  <c r="DE344" i="1" s="1"/>
  <c r="DF344" i="1" s="1"/>
  <c r="DG344" i="1" s="1"/>
  <c r="DH344" i="1" s="1"/>
  <c r="DJ344" i="1" s="1"/>
  <c r="DK344" i="1" s="1"/>
  <c r="DL344" i="1" s="1"/>
  <c r="DM344" i="1" s="1"/>
  <c r="DO344" i="1" s="1"/>
  <c r="DP344" i="1" s="1"/>
  <c r="DQ344" i="1" s="1"/>
  <c r="DR344" i="1" s="1"/>
  <c r="DT344" i="1" s="1"/>
  <c r="DU344" i="1" s="1"/>
  <c r="DV344" i="1" s="1"/>
  <c r="DW344" i="1" s="1"/>
  <c r="DY344" i="1" s="1"/>
  <c r="DZ344" i="1" s="1"/>
  <c r="EA344" i="1" s="1"/>
  <c r="EB344" i="1" s="1"/>
  <c r="CP330" i="1"/>
  <c r="CQ330" i="1" s="1"/>
  <c r="CR330" i="1" s="1"/>
  <c r="CS330" i="1" s="1"/>
  <c r="CP74" i="1"/>
  <c r="EY19" i="1"/>
  <c r="CP98" i="1"/>
  <c r="EY98" i="1" s="1"/>
  <c r="CP102" i="1" l="1"/>
  <c r="EY102" i="1" s="1"/>
  <c r="EY74" i="1"/>
  <c r="EY31" i="1"/>
  <c r="FA98" i="1"/>
  <c r="FC19" i="1"/>
  <c r="FA19" i="1"/>
  <c r="CP446" i="1"/>
  <c r="CP437" i="1"/>
  <c r="EY20" i="1"/>
  <c r="CP99" i="1"/>
  <c r="EY99" i="1" s="1"/>
  <c r="CK209" i="5"/>
  <c r="FC20" i="1" l="1"/>
  <c r="FA20" i="1"/>
  <c r="CK121" i="6"/>
  <c r="FC31" i="1"/>
  <c r="FA31" i="1"/>
  <c r="CP361" i="1"/>
  <c r="CP362" i="1" s="1"/>
  <c r="CP32" i="1"/>
  <c r="FA74" i="1"/>
  <c r="FC74" i="1"/>
  <c r="CP326" i="1"/>
  <c r="CP327" i="1"/>
  <c r="CP342" i="1" s="1"/>
  <c r="FA99" i="1"/>
  <c r="CK176" i="6"/>
  <c r="CK54" i="6"/>
  <c r="CP151" i="1"/>
  <c r="EY151" i="1" s="1"/>
  <c r="CK90" i="6"/>
  <c r="FA102" i="1"/>
  <c r="CQ9" i="1" l="1"/>
  <c r="FC151" i="1"/>
  <c r="FA151" i="1"/>
  <c r="CK32" i="5"/>
  <c r="CP328" i="1"/>
  <c r="CP331" i="1"/>
  <c r="CP351" i="1" s="1"/>
  <c r="EY32" i="1"/>
  <c r="CK171" i="6"/>
  <c r="CP444" i="1"/>
  <c r="CP445" i="1" s="1"/>
  <c r="CP164" i="1"/>
  <c r="CK222" i="5"/>
  <c r="CP353" i="1" l="1"/>
  <c r="CP352" i="1"/>
  <c r="CK37" i="5"/>
  <c r="CQ436" i="1"/>
  <c r="CQ87" i="1"/>
  <c r="FA32" i="1"/>
  <c r="FC32" i="1"/>
  <c r="CK27" i="6"/>
  <c r="CS9" i="1"/>
  <c r="CR9" i="1"/>
  <c r="CR436" i="1" s="1"/>
  <c r="CK48" i="5" l="1"/>
  <c r="CS436" i="1"/>
  <c r="CT436" i="1" s="1"/>
  <c r="CS87" i="1"/>
  <c r="CR87" i="1"/>
  <c r="CQ98" i="1"/>
  <c r="CQ20" i="1"/>
  <c r="CP33" i="1"/>
  <c r="CP76" i="1" s="1"/>
  <c r="CP364" i="1"/>
  <c r="CT9" i="1"/>
  <c r="CT19" i="1" l="1"/>
  <c r="ER19" i="1" s="1"/>
  <c r="CN121" i="6"/>
  <c r="CN11" i="6" s="1"/>
  <c r="CP365" i="1"/>
  <c r="CP34" i="1"/>
  <c r="CP77" i="1" s="1"/>
  <c r="CR98" i="1"/>
  <c r="CR20" i="1"/>
  <c r="CR437" i="1" s="1"/>
  <c r="ER9" i="1"/>
  <c r="R10" i="128"/>
  <c r="R11" i="128" s="1"/>
  <c r="CT87" i="1"/>
  <c r="ER87" i="1" s="1"/>
  <c r="CS98" i="1"/>
  <c r="CS20" i="1"/>
  <c r="EY33" i="1"/>
  <c r="CP104" i="1"/>
  <c r="EY104" i="1" s="1"/>
  <c r="EY76" i="1"/>
  <c r="CQ99" i="1"/>
  <c r="CQ446" i="1"/>
  <c r="CQ343" i="1"/>
  <c r="CQ329" i="1"/>
  <c r="CL43" i="6"/>
  <c r="CL209" i="5"/>
  <c r="CQ437" i="1"/>
  <c r="CM121" i="6"/>
  <c r="CM11" i="6" s="1"/>
  <c r="CQ74" i="1"/>
  <c r="CQ102" i="1"/>
  <c r="CT98" i="1" l="1"/>
  <c r="ER98" i="1" s="1"/>
  <c r="CT20" i="1"/>
  <c r="ER20" i="1" s="1"/>
  <c r="CS437" i="1"/>
  <c r="CT437" i="1" s="1"/>
  <c r="CR102" i="1"/>
  <c r="CR74" i="1"/>
  <c r="CQ355" i="1"/>
  <c r="CQ361" i="1"/>
  <c r="CQ362" i="1" s="1"/>
  <c r="CQ32" i="1"/>
  <c r="CS102" i="1"/>
  <c r="CS74" i="1"/>
  <c r="CU9" i="1"/>
  <c r="CL176" i="6"/>
  <c r="CQ151" i="1"/>
  <c r="CL90" i="6"/>
  <c r="CL54" i="6"/>
  <c r="FA33" i="1"/>
  <c r="FC33" i="1"/>
  <c r="CL13" i="5"/>
  <c r="CL27" i="5"/>
  <c r="CL12" i="5"/>
  <c r="FA76" i="1"/>
  <c r="FC76" i="1"/>
  <c r="CS99" i="1"/>
  <c r="CS329" i="1"/>
  <c r="CS343" i="1"/>
  <c r="CN43" i="6"/>
  <c r="CS446" i="1"/>
  <c r="CT446" i="1" s="1"/>
  <c r="CN209" i="5"/>
  <c r="CQ326" i="1"/>
  <c r="CQ327" i="1"/>
  <c r="CT325" i="1"/>
  <c r="CT326" i="1" s="1"/>
  <c r="CR99" i="1"/>
  <c r="CR446" i="1"/>
  <c r="CR329" i="1"/>
  <c r="CR343" i="1"/>
  <c r="CM43" i="6"/>
  <c r="CM209" i="5"/>
  <c r="CK211" i="5"/>
  <c r="EY34" i="1"/>
  <c r="EY77" i="1"/>
  <c r="CP105" i="1"/>
  <c r="EY105" i="1" s="1"/>
  <c r="CP39" i="1"/>
  <c r="CP78" i="1" s="1"/>
  <c r="CL121" i="6"/>
  <c r="CL11" i="6" s="1"/>
  <c r="CL17" i="5" s="1"/>
  <c r="CO119" i="6"/>
  <c r="CO121" i="6" s="1"/>
  <c r="CT31" i="1"/>
  <c r="CR164" i="1"/>
  <c r="CM171" i="6"/>
  <c r="CR444" i="1"/>
  <c r="CR445" i="1" s="1"/>
  <c r="FA104" i="1"/>
  <c r="CN171" i="6"/>
  <c r="CS164" i="1"/>
  <c r="CS444" i="1"/>
  <c r="CS445" i="1" s="1"/>
  <c r="CT99" i="1" l="1"/>
  <c r="ER99" i="1" s="1"/>
  <c r="R12" i="128"/>
  <c r="R13" i="128" s="1"/>
  <c r="CT343" i="1"/>
  <c r="CT329" i="1"/>
  <c r="CT361" i="1" s="1"/>
  <c r="CT362" i="1" s="1"/>
  <c r="CM17" i="5"/>
  <c r="FA105" i="1"/>
  <c r="CM176" i="6"/>
  <c r="CR151" i="1"/>
  <c r="CM54" i="6"/>
  <c r="CM90" i="6"/>
  <c r="CL32" i="5"/>
  <c r="CL34" i="6"/>
  <c r="FC77" i="1"/>
  <c r="FA77" i="1"/>
  <c r="CL31" i="6"/>
  <c r="CP442" i="1"/>
  <c r="CP447" i="1"/>
  <c r="CK65" i="5"/>
  <c r="CP106" i="1"/>
  <c r="EY106" i="1" s="1"/>
  <c r="EY39" i="1"/>
  <c r="CK53" i="5"/>
  <c r="CP41" i="1"/>
  <c r="CP79" i="1" s="1"/>
  <c r="EY78" i="1"/>
  <c r="CP48" i="1"/>
  <c r="CP82" i="1" s="1"/>
  <c r="FA34" i="1"/>
  <c r="FC34" i="1"/>
  <c r="CQ328" i="1"/>
  <c r="CQ342" i="1"/>
  <c r="CQ331" i="1"/>
  <c r="CQ351" i="1" s="1"/>
  <c r="CR326" i="1"/>
  <c r="CR327" i="1"/>
  <c r="CU87" i="1"/>
  <c r="CU436" i="1"/>
  <c r="CQ357" i="1"/>
  <c r="CQ356" i="1"/>
  <c r="CQ164" i="1"/>
  <c r="CT164" i="1" s="1"/>
  <c r="CL171" i="6"/>
  <c r="CQ444" i="1"/>
  <c r="CQ445" i="1" s="1"/>
  <c r="CO11" i="6"/>
  <c r="CS151" i="1"/>
  <c r="CN90" i="6"/>
  <c r="CN176" i="6"/>
  <c r="CO176" i="6" s="1"/>
  <c r="CN54" i="6"/>
  <c r="CT74" i="1"/>
  <c r="ER74" i="1" s="1"/>
  <c r="ER31" i="1"/>
  <c r="CT102" i="1"/>
  <c r="ER102" i="1" s="1"/>
  <c r="CM13" i="5"/>
  <c r="CM31" i="6" s="1"/>
  <c r="CM12" i="5"/>
  <c r="CM30" i="6" s="1"/>
  <c r="CM27" i="5"/>
  <c r="CR355" i="1"/>
  <c r="CR361" i="1"/>
  <c r="CR362" i="1" s="1"/>
  <c r="CR32" i="1"/>
  <c r="CN13" i="5"/>
  <c r="CO209" i="5"/>
  <c r="CN12" i="5"/>
  <c r="CN27" i="5"/>
  <c r="CS361" i="1"/>
  <c r="CS362" i="1" s="1"/>
  <c r="CS355" i="1"/>
  <c r="CS32" i="1"/>
  <c r="CL222" i="5"/>
  <c r="CL30" i="6"/>
  <c r="CO43" i="6"/>
  <c r="CS326" i="1"/>
  <c r="CS327" i="1"/>
  <c r="CV9" i="1"/>
  <c r="CT355" i="1" l="1"/>
  <c r="CT356" i="1" s="1"/>
  <c r="CT330" i="1"/>
  <c r="CU330" i="1" s="1"/>
  <c r="CT32" i="1"/>
  <c r="ER32" i="1" s="1"/>
  <c r="EY82" i="1"/>
  <c r="CP372" i="1"/>
  <c r="CT327" i="1"/>
  <c r="CT342" i="1" s="1"/>
  <c r="CO54" i="6"/>
  <c r="CL27" i="6"/>
  <c r="CO27" i="5"/>
  <c r="CN34" i="6"/>
  <c r="CN32" i="5"/>
  <c r="CM34" i="6"/>
  <c r="CM32" i="5"/>
  <c r="CO171" i="6"/>
  <c r="CT443" i="1"/>
  <c r="CT444" i="1"/>
  <c r="CT445" i="1" s="1"/>
  <c r="CP448" i="1"/>
  <c r="EY41" i="1"/>
  <c r="CP107" i="1"/>
  <c r="EY107" i="1" s="1"/>
  <c r="EY79" i="1"/>
  <c r="CW9" i="1"/>
  <c r="CL37" i="5"/>
  <c r="CX9" i="1"/>
  <c r="CT151" i="1"/>
  <c r="CO169" i="6"/>
  <c r="CO90" i="6"/>
  <c r="CS342" i="1"/>
  <c r="CS328" i="1"/>
  <c r="CS331" i="1"/>
  <c r="CS351" i="1" s="1"/>
  <c r="EY48" i="1"/>
  <c r="CV330" i="1"/>
  <c r="CV87" i="1"/>
  <c r="CN222" i="5"/>
  <c r="CO12" i="5"/>
  <c r="CM222" i="5"/>
  <c r="CN30" i="6"/>
  <c r="CO30" i="6" s="1"/>
  <c r="CS356" i="1"/>
  <c r="CS357" i="1"/>
  <c r="CR356" i="1"/>
  <c r="CR357" i="1"/>
  <c r="CN31" i="6"/>
  <c r="CV436" i="1"/>
  <c r="CR342" i="1"/>
  <c r="CR328" i="1"/>
  <c r="CR331" i="1"/>
  <c r="CR351" i="1" s="1"/>
  <c r="FA39" i="1"/>
  <c r="FC39" i="1"/>
  <c r="CO13" i="5"/>
  <c r="FC78" i="1"/>
  <c r="FA78" i="1"/>
  <c r="FA106" i="1"/>
  <c r="CU98" i="1"/>
  <c r="CU20" i="1"/>
  <c r="CN17" i="5"/>
  <c r="CT357" i="1" l="1"/>
  <c r="CP376" i="1"/>
  <c r="CP373" i="1"/>
  <c r="EY58" i="1"/>
  <c r="FA82" i="1"/>
  <c r="FD38" i="1"/>
  <c r="FC82" i="1"/>
  <c r="CY9" i="1"/>
  <c r="CO31" i="6"/>
  <c r="CO34" i="6"/>
  <c r="CT328" i="1"/>
  <c r="CM27" i="6"/>
  <c r="CR33" i="1"/>
  <c r="CR352" i="1"/>
  <c r="CR353" i="1"/>
  <c r="CR364" i="1"/>
  <c r="CU74" i="1"/>
  <c r="CU102" i="1"/>
  <c r="FD51" i="1"/>
  <c r="FC48" i="1"/>
  <c r="FA48" i="1"/>
  <c r="CQ121" i="6"/>
  <c r="CQ11" i="6" s="1"/>
  <c r="CX87" i="1"/>
  <c r="CO32" i="5"/>
  <c r="CN37" i="5"/>
  <c r="CU99" i="1"/>
  <c r="CU446" i="1"/>
  <c r="CU343" i="1"/>
  <c r="CP43" i="6"/>
  <c r="CP209" i="5"/>
  <c r="CU437" i="1"/>
  <c r="CO222" i="5"/>
  <c r="CO215" i="5"/>
  <c r="EY49" i="1"/>
  <c r="FD49" i="1" s="1"/>
  <c r="CP163" i="1"/>
  <c r="CS352" i="1"/>
  <c r="CS33" i="1"/>
  <c r="CS353" i="1"/>
  <c r="CS364" i="1"/>
  <c r="FC79" i="1"/>
  <c r="FA79" i="1"/>
  <c r="CM37" i="5"/>
  <c r="CO216" i="5"/>
  <c r="CW330" i="1"/>
  <c r="CO17" i="5"/>
  <c r="CN27" i="6"/>
  <c r="CU329" i="1"/>
  <c r="CP51" i="1"/>
  <c r="CP84" i="1" s="1"/>
  <c r="CT331" i="1"/>
  <c r="CT351" i="1" s="1"/>
  <c r="FA107" i="1"/>
  <c r="CO218" i="5"/>
  <c r="CQ352" i="1"/>
  <c r="CQ353" i="1"/>
  <c r="CQ33" i="1"/>
  <c r="CQ364" i="1"/>
  <c r="CV98" i="1"/>
  <c r="CV20" i="1"/>
  <c r="CV329" i="1" s="1"/>
  <c r="CW87" i="1"/>
  <c r="FC41" i="1"/>
  <c r="FA41" i="1"/>
  <c r="CX436" i="1"/>
  <c r="CY436" i="1" s="1"/>
  <c r="CW436" i="1"/>
  <c r="CY87" i="1" l="1"/>
  <c r="S10" i="128"/>
  <c r="S11" i="128" s="1"/>
  <c r="FA58" i="1"/>
  <c r="FC58" i="1"/>
  <c r="CO27" i="6"/>
  <c r="CV355" i="1"/>
  <c r="CV361" i="1"/>
  <c r="CV362" i="1" s="1"/>
  <c r="CV32" i="1"/>
  <c r="CZ9" i="1"/>
  <c r="CS121" i="6"/>
  <c r="CS11" i="6" s="1"/>
  <c r="CS365" i="1"/>
  <c r="CS34" i="1"/>
  <c r="FA49" i="1"/>
  <c r="FC49" i="1"/>
  <c r="CO37" i="5"/>
  <c r="CQ365" i="1"/>
  <c r="CQ34" i="1"/>
  <c r="CT364" i="1"/>
  <c r="CT365" i="1" s="1"/>
  <c r="CX98" i="1"/>
  <c r="CX20" i="1"/>
  <c r="CP121" i="6"/>
  <c r="CP11" i="6" s="1"/>
  <c r="CP176" i="6"/>
  <c r="CU151" i="1"/>
  <c r="CP54" i="6"/>
  <c r="CP90" i="6"/>
  <c r="CR365" i="1"/>
  <c r="CR34" i="1"/>
  <c r="CT353" i="1"/>
  <c r="CT352" i="1"/>
  <c r="CX330" i="1"/>
  <c r="CP197" i="1"/>
  <c r="CW98" i="1"/>
  <c r="CW20" i="1"/>
  <c r="CW329" i="1" s="1"/>
  <c r="CY19" i="1"/>
  <c r="CU326" i="1"/>
  <c r="CU327" i="1"/>
  <c r="CU355" i="1"/>
  <c r="CU361" i="1"/>
  <c r="CU362" i="1" s="1"/>
  <c r="CU32" i="1"/>
  <c r="CV99" i="1"/>
  <c r="CV446" i="1"/>
  <c r="CV343" i="1"/>
  <c r="CQ209" i="5"/>
  <c r="CQ43" i="6"/>
  <c r="CQ104" i="1"/>
  <c r="CQ76" i="1"/>
  <c r="CT33" i="1"/>
  <c r="CV74" i="1"/>
  <c r="CV102" i="1"/>
  <c r="CK52" i="5"/>
  <c r="CK71" i="5"/>
  <c r="CP56" i="1"/>
  <c r="CP64" i="1"/>
  <c r="EY84" i="1"/>
  <c r="CP113" i="1"/>
  <c r="EY113" i="1" s="1"/>
  <c r="EY51" i="1"/>
  <c r="CP160" i="1"/>
  <c r="CS76" i="1"/>
  <c r="CS104" i="1"/>
  <c r="CV437" i="1"/>
  <c r="CP12" i="5"/>
  <c r="CP13" i="5"/>
  <c r="CP27" i="5"/>
  <c r="CV164" i="1"/>
  <c r="CQ171" i="6"/>
  <c r="CV444" i="1"/>
  <c r="CV445" i="1" s="1"/>
  <c r="CR104" i="1"/>
  <c r="CR76" i="1"/>
  <c r="CX329" i="1" l="1"/>
  <c r="CY329" i="1" s="1"/>
  <c r="CY355" i="1" s="1"/>
  <c r="CK38" i="6"/>
  <c r="EY56" i="1"/>
  <c r="FA56" i="1" s="1"/>
  <c r="CQ176" i="6"/>
  <c r="CV151" i="1"/>
  <c r="CQ54" i="6"/>
  <c r="CQ90" i="6"/>
  <c r="CU328" i="1"/>
  <c r="CU342" i="1"/>
  <c r="CU331" i="1"/>
  <c r="CU351" i="1" s="1"/>
  <c r="CM211" i="5"/>
  <c r="CR105" i="1"/>
  <c r="CR77" i="1"/>
  <c r="CR39" i="1"/>
  <c r="CP171" i="6"/>
  <c r="CU164" i="1"/>
  <c r="CU444" i="1"/>
  <c r="CU445" i="1" s="1"/>
  <c r="CS105" i="1"/>
  <c r="CS77" i="1"/>
  <c r="CS39" i="1"/>
  <c r="CZ87" i="1"/>
  <c r="CZ436" i="1"/>
  <c r="CV357" i="1"/>
  <c r="CV356" i="1"/>
  <c r="FA51" i="1"/>
  <c r="FC51" i="1"/>
  <c r="ER33" i="1"/>
  <c r="CT104" i="1"/>
  <c r="ER104" i="1" s="1"/>
  <c r="CT76" i="1"/>
  <c r="ER76" i="1" s="1"/>
  <c r="CP34" i="6"/>
  <c r="CP32" i="5"/>
  <c r="CP31" i="6"/>
  <c r="DA9" i="1"/>
  <c r="FA113" i="1"/>
  <c r="CY98" i="1"/>
  <c r="CY20" i="1"/>
  <c r="CQ77" i="1"/>
  <c r="CL211" i="5"/>
  <c r="CQ105" i="1"/>
  <c r="CQ39" i="1"/>
  <c r="CN211" i="5"/>
  <c r="CO211" i="5" s="1"/>
  <c r="CT34" i="1"/>
  <c r="EY64" i="1"/>
  <c r="CP117" i="1"/>
  <c r="EY117" i="1" s="1"/>
  <c r="CP222" i="5"/>
  <c r="CP30" i="6"/>
  <c r="CP196" i="1"/>
  <c r="CP198" i="1" s="1"/>
  <c r="CP226" i="1" s="1"/>
  <c r="CP228" i="1" s="1"/>
  <c r="CP165" i="1"/>
  <c r="CP189" i="1" s="1"/>
  <c r="FC84" i="1"/>
  <c r="CQ27" i="5"/>
  <c r="CQ13" i="5"/>
  <c r="CQ12" i="5"/>
  <c r="CV326" i="1"/>
  <c r="CV327" i="1"/>
  <c r="CW446" i="1"/>
  <c r="CW99" i="1"/>
  <c r="CW343" i="1"/>
  <c r="CR43" i="6"/>
  <c r="CR209" i="5"/>
  <c r="CW437" i="1"/>
  <c r="CX437" i="1"/>
  <c r="CY437" i="1" s="1"/>
  <c r="CP17" i="5"/>
  <c r="CX99" i="1"/>
  <c r="CX343" i="1"/>
  <c r="CX446" i="1"/>
  <c r="CY446" i="1" s="1"/>
  <c r="CS209" i="5"/>
  <c r="CS43" i="6"/>
  <c r="CW102" i="1"/>
  <c r="CW74" i="1"/>
  <c r="CY31" i="1"/>
  <c r="CX164" i="1"/>
  <c r="CS171" i="6"/>
  <c r="CX444" i="1"/>
  <c r="CX445" i="1" s="1"/>
  <c r="CX102" i="1"/>
  <c r="CX74" i="1"/>
  <c r="CU357" i="1"/>
  <c r="CU356" i="1"/>
  <c r="CW355" i="1"/>
  <c r="CW361" i="1"/>
  <c r="CW362" i="1" s="1"/>
  <c r="CW32" i="1"/>
  <c r="CX361" i="1" l="1"/>
  <c r="CX362" i="1" s="1"/>
  <c r="CX32" i="1"/>
  <c r="CX355" i="1"/>
  <c r="CX357" i="1" s="1"/>
  <c r="CP229" i="1"/>
  <c r="CP83" i="1"/>
  <c r="CP190" i="1"/>
  <c r="CP192" i="1"/>
  <c r="CP193" i="1" s="1"/>
  <c r="CY361" i="1"/>
  <c r="CY362" i="1" s="1"/>
  <c r="CP235" i="1"/>
  <c r="CP236" i="1" s="1"/>
  <c r="CP62" i="1" s="1"/>
  <c r="CP233" i="1"/>
  <c r="CW357" i="1"/>
  <c r="CW356" i="1"/>
  <c r="CR12" i="5"/>
  <c r="CR30" i="6" s="1"/>
  <c r="CR13" i="5"/>
  <c r="CR31" i="6" s="1"/>
  <c r="CR27" i="5"/>
  <c r="CT209" i="5"/>
  <c r="CS27" i="5"/>
  <c r="CS13" i="5"/>
  <c r="CS12" i="5"/>
  <c r="CW151" i="1"/>
  <c r="CR176" i="6"/>
  <c r="CR54" i="6"/>
  <c r="CR90" i="6"/>
  <c r="CY343" i="1"/>
  <c r="CQ222" i="5"/>
  <c r="CP27" i="6"/>
  <c r="FA64" i="1"/>
  <c r="FC64" i="1"/>
  <c r="ER34" i="1"/>
  <c r="CT77" i="1"/>
  <c r="ER77" i="1" s="1"/>
  <c r="CT105" i="1"/>
  <c r="ER105" i="1" s="1"/>
  <c r="CT39" i="1"/>
  <c r="S12" i="128"/>
  <c r="CY99" i="1"/>
  <c r="DA436" i="1"/>
  <c r="CY102" i="1"/>
  <c r="CY74" i="1"/>
  <c r="CQ30" i="6"/>
  <c r="CX326" i="1"/>
  <c r="CX327" i="1"/>
  <c r="CQ31" i="6"/>
  <c r="CW326" i="1"/>
  <c r="CW327" i="1"/>
  <c r="CS78" i="1"/>
  <c r="CS106" i="1"/>
  <c r="CS442" i="1"/>
  <c r="CS447" i="1"/>
  <c r="CT447" i="1" s="1"/>
  <c r="CN65" i="5"/>
  <c r="CO65" i="5" s="1"/>
  <c r="CS41" i="1"/>
  <c r="CN53" i="5"/>
  <c r="CS48" i="1"/>
  <c r="CM65" i="5"/>
  <c r="CR442" i="1"/>
  <c r="CR447" i="1"/>
  <c r="CR78" i="1"/>
  <c r="CR106" i="1"/>
  <c r="CR41" i="1"/>
  <c r="CM53" i="5"/>
  <c r="CR48" i="1"/>
  <c r="DC9" i="1"/>
  <c r="CY325" i="1"/>
  <c r="CY326" i="1" s="1"/>
  <c r="CY330" i="1"/>
  <c r="CZ330" i="1" s="1"/>
  <c r="CQ17" i="5"/>
  <c r="CX151" i="1"/>
  <c r="CS176" i="6"/>
  <c r="CT176" i="6" s="1"/>
  <c r="CS54" i="6"/>
  <c r="CS90" i="6"/>
  <c r="CT43" i="6"/>
  <c r="CV342" i="1"/>
  <c r="CV328" i="1"/>
  <c r="CV331" i="1"/>
  <c r="CV351" i="1" s="1"/>
  <c r="CQ34" i="6"/>
  <c r="CQ32" i="5"/>
  <c r="FA117" i="1"/>
  <c r="DB9" i="1"/>
  <c r="DB436" i="1" s="1"/>
  <c r="CQ442" i="1"/>
  <c r="CQ447" i="1"/>
  <c r="CQ78" i="1"/>
  <c r="CQ106" i="1"/>
  <c r="CL65" i="5"/>
  <c r="CQ41" i="1"/>
  <c r="CL53" i="5"/>
  <c r="CQ48" i="1"/>
  <c r="CR121" i="6"/>
  <c r="CR11" i="6" s="1"/>
  <c r="CT119" i="6"/>
  <c r="CT121" i="6" s="1"/>
  <c r="CP42" i="1"/>
  <c r="CP81" i="1" s="1"/>
  <c r="CZ98" i="1"/>
  <c r="CZ20" i="1"/>
  <c r="DA87" i="1"/>
  <c r="CP37" i="5"/>
  <c r="CP60" i="1"/>
  <c r="CK175" i="6"/>
  <c r="CK173" i="6"/>
  <c r="CK88" i="6"/>
  <c r="CK91" i="6" s="1"/>
  <c r="CP150" i="1"/>
  <c r="CY357" i="1"/>
  <c r="CY356" i="1"/>
  <c r="CX356" i="1" l="1"/>
  <c r="CY32" i="1"/>
  <c r="DC436" i="1"/>
  <c r="DD436" i="1" s="1"/>
  <c r="CY327" i="1"/>
  <c r="CY342" i="1" s="1"/>
  <c r="DB87" i="1"/>
  <c r="CR17" i="5"/>
  <c r="DC87" i="1"/>
  <c r="DA98" i="1"/>
  <c r="DA20" i="1"/>
  <c r="DA437" i="1" s="1"/>
  <c r="R14" i="128"/>
  <c r="CT442" i="1"/>
  <c r="ER39" i="1"/>
  <c r="CT78" i="1"/>
  <c r="ER78" i="1" s="1"/>
  <c r="CT41" i="1"/>
  <c r="CT106" i="1"/>
  <c r="ER106" i="1" s="1"/>
  <c r="CS34" i="6"/>
  <c r="CT27" i="5"/>
  <c r="CS32" i="5"/>
  <c r="CR222" i="5"/>
  <c r="CS30" i="6"/>
  <c r="CP438" i="1"/>
  <c r="CK62" i="5" s="1"/>
  <c r="EY42" i="1"/>
  <c r="CP108" i="1"/>
  <c r="EY108" i="1" s="1"/>
  <c r="CQ49" i="1"/>
  <c r="CQ51" i="1" s="1"/>
  <c r="CL43" i="5" s="1"/>
  <c r="CT48" i="1"/>
  <c r="CQ79" i="1"/>
  <c r="CQ107" i="1"/>
  <c r="CQ448" i="1"/>
  <c r="CY151" i="1"/>
  <c r="CT169" i="6"/>
  <c r="CT90" i="6"/>
  <c r="CS49" i="1"/>
  <c r="CV121" i="6"/>
  <c r="CV11" i="6" s="1"/>
  <c r="CW328" i="1"/>
  <c r="CW342" i="1"/>
  <c r="CW331" i="1"/>
  <c r="CW351" i="1" s="1"/>
  <c r="CU352" i="1"/>
  <c r="CU353" i="1"/>
  <c r="CU33" i="1"/>
  <c r="CU364" i="1"/>
  <c r="S13" i="128"/>
  <c r="DD9" i="1"/>
  <c r="CK95" i="6"/>
  <c r="CK92" i="6"/>
  <c r="CQ37" i="5"/>
  <c r="CP152" i="1"/>
  <c r="EY152" i="1" s="1"/>
  <c r="EY150" i="1"/>
  <c r="CP63" i="1"/>
  <c r="EY60" i="1"/>
  <c r="CZ446" i="1"/>
  <c r="CZ99" i="1"/>
  <c r="CZ343" i="1"/>
  <c r="CU209" i="5"/>
  <c r="CU43" i="6"/>
  <c r="CZ437" i="1"/>
  <c r="CP43" i="1"/>
  <c r="CP80" i="1" s="1"/>
  <c r="CV33" i="1"/>
  <c r="CV353" i="1"/>
  <c r="CV352" i="1"/>
  <c r="CV364" i="1"/>
  <c r="CZ329" i="1"/>
  <c r="DA330" i="1"/>
  <c r="CR49" i="1"/>
  <c r="CR107" i="1"/>
  <c r="CR79" i="1"/>
  <c r="CR448" i="1"/>
  <c r="CO53" i="5"/>
  <c r="CZ102" i="1"/>
  <c r="CZ74" i="1"/>
  <c r="CT54" i="6"/>
  <c r="CS222" i="5"/>
  <c r="CT12" i="5"/>
  <c r="CR34" i="6"/>
  <c r="CR32" i="5"/>
  <c r="CP234" i="1"/>
  <c r="CP57" i="1"/>
  <c r="CR171" i="6"/>
  <c r="CW164" i="1"/>
  <c r="CY164" i="1" s="1"/>
  <c r="CW444" i="1"/>
  <c r="CW445" i="1" s="1"/>
  <c r="CT11" i="6"/>
  <c r="CS79" i="1"/>
  <c r="CS107" i="1"/>
  <c r="CS448" i="1"/>
  <c r="CT448" i="1" s="1"/>
  <c r="CX328" i="1"/>
  <c r="CX342" i="1"/>
  <c r="CX331" i="1"/>
  <c r="CX351" i="1" s="1"/>
  <c r="CQ27" i="6"/>
  <c r="CT13" i="5"/>
  <c r="CS31" i="6"/>
  <c r="CY328" i="1" l="1"/>
  <c r="CR27" i="6"/>
  <c r="CL71" i="5"/>
  <c r="CQ113" i="1"/>
  <c r="CQ84" i="1"/>
  <c r="CQ56" i="1"/>
  <c r="CQ64" i="1"/>
  <c r="CL9" i="6"/>
  <c r="CQ160" i="1"/>
  <c r="CL52" i="5"/>
  <c r="EY57" i="1"/>
  <c r="CP439" i="1"/>
  <c r="CP416" i="1" s="1"/>
  <c r="CP61" i="1"/>
  <c r="FA60" i="1"/>
  <c r="FC60" i="1"/>
  <c r="CT216" i="5"/>
  <c r="CR163" i="1"/>
  <c r="CR197" i="1" s="1"/>
  <c r="CZ355" i="1"/>
  <c r="CZ361" i="1"/>
  <c r="CZ362" i="1" s="1"/>
  <c r="CZ32" i="1"/>
  <c r="EY43" i="1"/>
  <c r="EY80" i="1"/>
  <c r="CP111" i="1"/>
  <c r="EY111" i="1" s="1"/>
  <c r="CU13" i="5"/>
  <c r="CU12" i="5"/>
  <c r="CU27" i="5"/>
  <c r="EY63" i="1"/>
  <c r="DA74" i="1"/>
  <c r="DA102" i="1"/>
  <c r="DC98" i="1"/>
  <c r="DC20" i="1"/>
  <c r="FA108" i="1"/>
  <c r="R15" i="128"/>
  <c r="DA99" i="1"/>
  <c r="DA446" i="1"/>
  <c r="DA343" i="1"/>
  <c r="CV43" i="6"/>
  <c r="CV209" i="5"/>
  <c r="CZ151" i="1"/>
  <c r="CU176" i="6"/>
  <c r="CU54" i="6"/>
  <c r="CU90" i="6"/>
  <c r="CX352" i="1"/>
  <c r="CX33" i="1"/>
  <c r="CX353" i="1"/>
  <c r="CX364" i="1"/>
  <c r="CT222" i="5"/>
  <c r="CT215" i="5"/>
  <c r="CU30" i="6"/>
  <c r="CR37" i="5"/>
  <c r="CR51" i="1"/>
  <c r="CV76" i="1"/>
  <c r="CV104" i="1"/>
  <c r="CX121" i="6"/>
  <c r="CX11" i="6" s="1"/>
  <c r="CU121" i="6"/>
  <c r="CU11" i="6" s="1"/>
  <c r="CU365" i="1"/>
  <c r="CU34" i="1"/>
  <c r="CS163" i="1"/>
  <c r="CS197" i="1" s="1"/>
  <c r="CS37" i="5"/>
  <c r="CT32" i="5"/>
  <c r="CT34" i="6"/>
  <c r="CS17" i="5"/>
  <c r="CT171" i="6"/>
  <c r="CY443" i="1"/>
  <c r="CY444" i="1"/>
  <c r="CY445" i="1" s="1"/>
  <c r="CZ326" i="1"/>
  <c r="CZ327" i="1"/>
  <c r="CV34" i="1"/>
  <c r="CV365" i="1"/>
  <c r="CT31" i="6"/>
  <c r="FC150" i="1"/>
  <c r="FA150" i="1"/>
  <c r="CU104" i="1"/>
  <c r="CU76" i="1"/>
  <c r="DB98" i="1"/>
  <c r="DB20" i="1"/>
  <c r="DD19" i="1"/>
  <c r="CS51" i="1"/>
  <c r="ER48" i="1"/>
  <c r="CS27" i="6"/>
  <c r="CY331" i="1"/>
  <c r="CY351" i="1" s="1"/>
  <c r="CT30" i="6"/>
  <c r="DA329" i="1"/>
  <c r="DB330" i="1"/>
  <c r="FC152" i="1"/>
  <c r="FA152" i="1"/>
  <c r="DD87" i="1"/>
  <c r="T10" i="128"/>
  <c r="T11" i="128" s="1"/>
  <c r="CW121" i="6"/>
  <c r="CW11" i="6" s="1"/>
  <c r="CW352" i="1"/>
  <c r="CW33" i="1"/>
  <c r="CW353" i="1"/>
  <c r="CW364" i="1"/>
  <c r="CV171" i="6"/>
  <c r="DA164" i="1"/>
  <c r="DA444" i="1"/>
  <c r="DA445" i="1" s="1"/>
  <c r="CQ163" i="1"/>
  <c r="CT49" i="1"/>
  <c r="FD42" i="1"/>
  <c r="FA42" i="1"/>
  <c r="FC42" i="1"/>
  <c r="CT218" i="5"/>
  <c r="ER41" i="1"/>
  <c r="CT107" i="1"/>
  <c r="ER107" i="1" s="1"/>
  <c r="CT79" i="1"/>
  <c r="ER79" i="1" s="1"/>
  <c r="CY364" i="1" l="1"/>
  <c r="CY365" i="1" s="1"/>
  <c r="ER49" i="1"/>
  <c r="CT82" i="1"/>
  <c r="CQ197" i="1"/>
  <c r="CT163" i="1"/>
  <c r="CT197" i="1" s="1"/>
  <c r="CT27" i="6"/>
  <c r="DA326" i="1"/>
  <c r="DA327" i="1"/>
  <c r="CV77" i="1"/>
  <c r="CV105" i="1"/>
  <c r="CQ211" i="5"/>
  <c r="CV39" i="1"/>
  <c r="CT17" i="5"/>
  <c r="CX34" i="1"/>
  <c r="CX365" i="1"/>
  <c r="CU222" i="5"/>
  <c r="FA80" i="1"/>
  <c r="FC80" i="1"/>
  <c r="CZ356" i="1"/>
  <c r="CZ357" i="1"/>
  <c r="CP449" i="1"/>
  <c r="EY61" i="1"/>
  <c r="CP116" i="1"/>
  <c r="EY116" i="1" s="1"/>
  <c r="CQ117" i="1"/>
  <c r="CW34" i="1"/>
  <c r="CW365" i="1"/>
  <c r="CY352" i="1"/>
  <c r="CY353" i="1"/>
  <c r="DB102" i="1"/>
  <c r="DB74" i="1"/>
  <c r="DD31" i="1"/>
  <c r="FA63" i="1"/>
  <c r="FC63" i="1"/>
  <c r="CP440" i="1"/>
  <c r="CW76" i="1"/>
  <c r="CW104" i="1"/>
  <c r="CW171" i="6"/>
  <c r="DB164" i="1"/>
  <c r="DB444" i="1"/>
  <c r="DB445" i="1" s="1"/>
  <c r="DC74" i="1"/>
  <c r="DC102" i="1"/>
  <c r="DC330" i="1"/>
  <c r="DC329" i="1" s="1"/>
  <c r="DB329" i="1"/>
  <c r="CT51" i="1"/>
  <c r="DD98" i="1"/>
  <c r="DD20" i="1"/>
  <c r="CY33" i="1"/>
  <c r="CZ342" i="1"/>
  <c r="CZ328" i="1"/>
  <c r="CZ331" i="1"/>
  <c r="CZ351" i="1" s="1"/>
  <c r="CU171" i="6"/>
  <c r="CZ444" i="1"/>
  <c r="CZ445" i="1" s="1"/>
  <c r="CZ164" i="1"/>
  <c r="CY11" i="6"/>
  <c r="CX171" i="6"/>
  <c r="DC164" i="1"/>
  <c r="DC444" i="1"/>
  <c r="DC445" i="1" s="1"/>
  <c r="CX76" i="1"/>
  <c r="CX104" i="1"/>
  <c r="CV13" i="5"/>
  <c r="CV31" i="6" s="1"/>
  <c r="CV12" i="5"/>
  <c r="CV27" i="5"/>
  <c r="FD43" i="1"/>
  <c r="FC43" i="1"/>
  <c r="FA43" i="1"/>
  <c r="CU31" i="6"/>
  <c r="CQ196" i="1"/>
  <c r="CQ165" i="1"/>
  <c r="CQ189" i="1" s="1"/>
  <c r="DA355" i="1"/>
  <c r="DA32" i="1"/>
  <c r="DA361" i="1"/>
  <c r="DA362" i="1" s="1"/>
  <c r="CS84" i="1"/>
  <c r="CS113" i="1"/>
  <c r="CN71" i="5"/>
  <c r="CS64" i="1"/>
  <c r="CS56" i="1"/>
  <c r="CN9" i="6"/>
  <c r="CS160" i="1"/>
  <c r="CN52" i="5"/>
  <c r="DB99" i="1"/>
  <c r="DB446" i="1"/>
  <c r="DB343" i="1"/>
  <c r="CW209" i="5"/>
  <c r="CW43" i="6"/>
  <c r="DC437" i="1"/>
  <c r="DD437" i="1" s="1"/>
  <c r="DB437" i="1"/>
  <c r="DE9" i="1"/>
  <c r="CT37" i="5"/>
  <c r="CP211" i="5"/>
  <c r="CU105" i="1"/>
  <c r="CU77" i="1"/>
  <c r="CU39" i="1"/>
  <c r="CY119" i="6"/>
  <c r="CY121" i="6" s="1"/>
  <c r="CM71" i="5"/>
  <c r="CR113" i="1"/>
  <c r="CR84" i="1"/>
  <c r="CR64" i="1"/>
  <c r="CR56" i="1"/>
  <c r="CM52" i="5"/>
  <c r="CR160" i="1"/>
  <c r="CM9" i="6"/>
  <c r="CV176" i="6"/>
  <c r="DA151" i="1"/>
  <c r="CV54" i="6"/>
  <c r="CV90" i="6"/>
  <c r="DC99" i="1"/>
  <c r="DC446" i="1"/>
  <c r="DD446" i="1" s="1"/>
  <c r="DC343" i="1"/>
  <c r="CX43" i="6"/>
  <c r="CX209" i="5"/>
  <c r="CU34" i="6"/>
  <c r="CU32" i="5"/>
  <c r="FC57" i="1"/>
  <c r="FA57" i="1"/>
  <c r="CL38" i="6"/>
  <c r="CO9" i="6" l="1"/>
  <c r="CS211" i="5"/>
  <c r="CT211" i="5" s="1"/>
  <c r="CY34" i="1"/>
  <c r="CY77" i="1" s="1"/>
  <c r="CU27" i="6"/>
  <c r="DD329" i="1"/>
  <c r="DD330" i="1" s="1"/>
  <c r="DE330" i="1" s="1"/>
  <c r="DB151" i="1"/>
  <c r="CW176" i="6"/>
  <c r="CW54" i="6"/>
  <c r="CW90" i="6"/>
  <c r="CO52" i="5"/>
  <c r="CS117" i="1"/>
  <c r="DA356" i="1"/>
  <c r="DA357" i="1"/>
  <c r="CQ192" i="1"/>
  <c r="CQ190" i="1"/>
  <c r="CQ42" i="1"/>
  <c r="CV222" i="5"/>
  <c r="DC355" i="1"/>
  <c r="DC361" i="1"/>
  <c r="DC362" i="1" s="1"/>
  <c r="DC32" i="1"/>
  <c r="DC326" i="1"/>
  <c r="DC327" i="1"/>
  <c r="DD325" i="1"/>
  <c r="DD326" i="1" s="1"/>
  <c r="CU17" i="5"/>
  <c r="CQ198" i="1"/>
  <c r="CQ226" i="1" s="1"/>
  <c r="CU37" i="5"/>
  <c r="CY209" i="5"/>
  <c r="CX13" i="5"/>
  <c r="CX12" i="5"/>
  <c r="CX27" i="5"/>
  <c r="CP65" i="5"/>
  <c r="CU447" i="1"/>
  <c r="CU442" i="1"/>
  <c r="CU106" i="1"/>
  <c r="CU78" i="1"/>
  <c r="CU41" i="1"/>
  <c r="CP53" i="5"/>
  <c r="CU48" i="1"/>
  <c r="DF9" i="1"/>
  <c r="DF436" i="1" s="1"/>
  <c r="DE87" i="1"/>
  <c r="DE436" i="1"/>
  <c r="DD343" i="1"/>
  <c r="CS196" i="1"/>
  <c r="CS198" i="1" s="1"/>
  <c r="CS226" i="1" s="1"/>
  <c r="CS165" i="1"/>
  <c r="CS189" i="1" s="1"/>
  <c r="CK102" i="6"/>
  <c r="CT410" i="1"/>
  <c r="CK108" i="6"/>
  <c r="CW77" i="1"/>
  <c r="CW105" i="1"/>
  <c r="CR211" i="5"/>
  <c r="CW39" i="1"/>
  <c r="CV30" i="6"/>
  <c r="DA342" i="1"/>
  <c r="DA328" i="1"/>
  <c r="DA331" i="1"/>
  <c r="DA351" i="1" s="1"/>
  <c r="CR196" i="1"/>
  <c r="CR198" i="1" s="1"/>
  <c r="CR226" i="1" s="1"/>
  <c r="CR165" i="1"/>
  <c r="CR189" i="1" s="1"/>
  <c r="DC151" i="1"/>
  <c r="CX90" i="6"/>
  <c r="CX54" i="6"/>
  <c r="CX176" i="6"/>
  <c r="CY176" i="6" s="1"/>
  <c r="CN38" i="6"/>
  <c r="CY171" i="6"/>
  <c r="DD444" i="1"/>
  <c r="DD445" i="1" s="1"/>
  <c r="DD443" i="1"/>
  <c r="CY104" i="1"/>
  <c r="CY76" i="1"/>
  <c r="CT56" i="1"/>
  <c r="CT84" i="1"/>
  <c r="ER84" i="1" s="1"/>
  <c r="CO71" i="5"/>
  <c r="CT64" i="1"/>
  <c r="ER51" i="1"/>
  <c r="CT113" i="1"/>
  <c r="ER113" i="1" s="1"/>
  <c r="DD74" i="1"/>
  <c r="DD102" i="1"/>
  <c r="DB326" i="1"/>
  <c r="DB327" i="1"/>
  <c r="FA116" i="1"/>
  <c r="CX77" i="1"/>
  <c r="CX105" i="1"/>
  <c r="CX39" i="1"/>
  <c r="CV78" i="1"/>
  <c r="CV447" i="1"/>
  <c r="CQ65" i="5"/>
  <c r="CV106" i="1"/>
  <c r="CV442" i="1"/>
  <c r="CV41" i="1"/>
  <c r="CQ53" i="5"/>
  <c r="CV48" i="1"/>
  <c r="CT372" i="1"/>
  <c r="ER82" i="1"/>
  <c r="CL88" i="6"/>
  <c r="CL91" i="6" s="1"/>
  <c r="CL173" i="6"/>
  <c r="CL175" i="6"/>
  <c r="CQ150" i="1"/>
  <c r="CQ152" i="1" s="1"/>
  <c r="CL74" i="6"/>
  <c r="CM38" i="6"/>
  <c r="CR117" i="1"/>
  <c r="CW12" i="5"/>
  <c r="CW30" i="6" s="1"/>
  <c r="CW13" i="5"/>
  <c r="CW27" i="5"/>
  <c r="CT160" i="1"/>
  <c r="CV34" i="6"/>
  <c r="CV32" i="5"/>
  <c r="DD164" i="1"/>
  <c r="DD99" i="1"/>
  <c r="T12" i="128"/>
  <c r="T13" i="128" s="1"/>
  <c r="DB355" i="1"/>
  <c r="DB361" i="1"/>
  <c r="DB362" i="1" s="1"/>
  <c r="DB32" i="1"/>
  <c r="FD57" i="1"/>
  <c r="FC61" i="1"/>
  <c r="FA61" i="1"/>
  <c r="CY43" i="6"/>
  <c r="CY39" i="1" l="1"/>
  <c r="S14" i="128" s="1"/>
  <c r="CY105" i="1"/>
  <c r="DD355" i="1"/>
  <c r="DD357" i="1" s="1"/>
  <c r="DD361" i="1"/>
  <c r="DD362" i="1" s="1"/>
  <c r="CY54" i="6"/>
  <c r="CX31" i="6"/>
  <c r="CM175" i="6"/>
  <c r="CM173" i="6"/>
  <c r="CM88" i="6"/>
  <c r="CM91" i="6" s="1"/>
  <c r="CR150" i="1"/>
  <c r="CR152" i="1" s="1"/>
  <c r="CM74" i="6"/>
  <c r="CO38" i="6"/>
  <c r="ER58" i="1"/>
  <c r="CZ353" i="1"/>
  <c r="CZ352" i="1"/>
  <c r="CZ33" i="1"/>
  <c r="CZ364" i="1"/>
  <c r="CN88" i="6"/>
  <c r="CN91" i="6" s="1"/>
  <c r="CN175" i="6"/>
  <c r="CO175" i="6" s="1"/>
  <c r="CS150" i="1"/>
  <c r="CS152" i="1" s="1"/>
  <c r="CN74" i="6"/>
  <c r="DA352" i="1"/>
  <c r="DA33" i="1"/>
  <c r="DA353" i="1"/>
  <c r="DA364" i="1"/>
  <c r="CW78" i="1"/>
  <c r="CW447" i="1"/>
  <c r="CW106" i="1"/>
  <c r="CW442" i="1"/>
  <c r="CR65" i="5"/>
  <c r="CW41" i="1"/>
  <c r="CW48" i="1"/>
  <c r="CR53" i="5"/>
  <c r="CW31" i="6"/>
  <c r="CU448" i="1"/>
  <c r="CU107" i="1"/>
  <c r="CU79" i="1"/>
  <c r="CY13" i="5"/>
  <c r="CQ227" i="1"/>
  <c r="CQ233" i="1" s="1"/>
  <c r="CV17" i="5"/>
  <c r="DC357" i="1"/>
  <c r="DC356" i="1"/>
  <c r="DB357" i="1"/>
  <c r="DB356" i="1"/>
  <c r="DD151" i="1"/>
  <c r="CY169" i="6"/>
  <c r="CY90" i="6"/>
  <c r="DD32" i="1"/>
  <c r="CW222" i="5"/>
  <c r="CX30" i="6"/>
  <c r="CY30" i="6" s="1"/>
  <c r="CX78" i="1"/>
  <c r="CX106" i="1"/>
  <c r="CX442" i="1"/>
  <c r="CX447" i="1"/>
  <c r="CY447" i="1" s="1"/>
  <c r="CS53" i="5"/>
  <c r="CX41" i="1"/>
  <c r="CS65" i="5"/>
  <c r="CT65" i="5" s="1"/>
  <c r="CU65" i="5" s="1"/>
  <c r="CV65" i="5" s="1"/>
  <c r="CW65" i="5" s="1"/>
  <c r="CX65" i="5" s="1"/>
  <c r="CY65" i="5" s="1"/>
  <c r="CZ65" i="5" s="1"/>
  <c r="DA65" i="5" s="1"/>
  <c r="DB65" i="5" s="1"/>
  <c r="DC65" i="5" s="1"/>
  <c r="DD65" i="5" s="1"/>
  <c r="DE65" i="5" s="1"/>
  <c r="DF65" i="5" s="1"/>
  <c r="DG65" i="5" s="1"/>
  <c r="DH65" i="5" s="1"/>
  <c r="DI65" i="5" s="1"/>
  <c r="DJ65" i="5" s="1"/>
  <c r="DK65" i="5" s="1"/>
  <c r="DL65" i="5" s="1"/>
  <c r="DM65" i="5" s="1"/>
  <c r="DN65" i="5" s="1"/>
  <c r="DO65" i="5" s="1"/>
  <c r="DP65" i="5" s="1"/>
  <c r="DQ65" i="5" s="1"/>
  <c r="DR65" i="5" s="1"/>
  <c r="DS65" i="5" s="1"/>
  <c r="DT65" i="5" s="1"/>
  <c r="DU65" i="5" s="1"/>
  <c r="DV65" i="5" s="1"/>
  <c r="DW65" i="5" s="1"/>
  <c r="DX65" i="5" s="1"/>
  <c r="CX48" i="1"/>
  <c r="CY48" i="1" s="1"/>
  <c r="CR190" i="1"/>
  <c r="CR192" i="1"/>
  <c r="CR42" i="1"/>
  <c r="CR438" i="1" s="1"/>
  <c r="CM62" i="5" s="1"/>
  <c r="CO102" i="6"/>
  <c r="CT411" i="1"/>
  <c r="DG9" i="1"/>
  <c r="DF87" i="1"/>
  <c r="DH9" i="1"/>
  <c r="CQ43" i="1"/>
  <c r="CQ193" i="1"/>
  <c r="DF330" i="1"/>
  <c r="DE98" i="1"/>
  <c r="DE20" i="1"/>
  <c r="DE329" i="1" s="1"/>
  <c r="CV37" i="5"/>
  <c r="CT196" i="1"/>
  <c r="CT198" i="1" s="1"/>
  <c r="CT226" i="1" s="1"/>
  <c r="CT165" i="1"/>
  <c r="CT189" i="1" s="1"/>
  <c r="CL92" i="6"/>
  <c r="CL95" i="6"/>
  <c r="CV49" i="1"/>
  <c r="CV51" i="1" s="1"/>
  <c r="CV79" i="1"/>
  <c r="CV448" i="1"/>
  <c r="CV107" i="1"/>
  <c r="DB342" i="1"/>
  <c r="DB328" i="1"/>
  <c r="DB331" i="1"/>
  <c r="DB351" i="1" s="1"/>
  <c r="DD327" i="1"/>
  <c r="CR227" i="1"/>
  <c r="CR60" i="1" s="1"/>
  <c r="CS190" i="1"/>
  <c r="CS192" i="1"/>
  <c r="CS42" i="1"/>
  <c r="CY27" i="5"/>
  <c r="CX34" i="6"/>
  <c r="CX32" i="5"/>
  <c r="CW34" i="6"/>
  <c r="CW32" i="5"/>
  <c r="CT373" i="1"/>
  <c r="CT376" i="1"/>
  <c r="CT117" i="1"/>
  <c r="ER117" i="1" s="1"/>
  <c r="ER64" i="1"/>
  <c r="CV27" i="6"/>
  <c r="CK107" i="6"/>
  <c r="CT415" i="1"/>
  <c r="CO107" i="6" s="1"/>
  <c r="CS227" i="1"/>
  <c r="CS60" i="1" s="1"/>
  <c r="CU49" i="1"/>
  <c r="CU51" i="1" s="1"/>
  <c r="CX222" i="5"/>
  <c r="CY12" i="5"/>
  <c r="DC328" i="1"/>
  <c r="DC342" i="1"/>
  <c r="DC331" i="1"/>
  <c r="DC351" i="1" s="1"/>
  <c r="CQ81" i="1"/>
  <c r="CQ108" i="1"/>
  <c r="CQ438" i="1"/>
  <c r="CL62" i="5" s="1"/>
  <c r="DD356" i="1" l="1"/>
  <c r="CY106" i="1"/>
  <c r="CY442" i="1"/>
  <c r="CY78" i="1"/>
  <c r="CY41" i="1"/>
  <c r="CY79" i="1" s="1"/>
  <c r="DH436" i="1"/>
  <c r="DI436" i="1" s="1"/>
  <c r="CS235" i="1"/>
  <c r="CS236" i="1" s="1"/>
  <c r="CS62" i="1" s="1"/>
  <c r="CS438" i="1"/>
  <c r="CT438" i="1" s="1"/>
  <c r="CO62" i="5" s="1"/>
  <c r="CT192" i="1"/>
  <c r="CT193" i="1" s="1"/>
  <c r="CQ235" i="1"/>
  <c r="CQ236" i="1" s="1"/>
  <c r="CQ62" i="1" s="1"/>
  <c r="DE361" i="1"/>
  <c r="DE362" i="1" s="1"/>
  <c r="DE355" i="1"/>
  <c r="DE32" i="1"/>
  <c r="CV113" i="1"/>
  <c r="CQ71" i="5"/>
  <c r="CV84" i="1"/>
  <c r="CV64" i="1"/>
  <c r="CV56" i="1"/>
  <c r="CQ52" i="5"/>
  <c r="CV160" i="1"/>
  <c r="CQ9" i="6"/>
  <c r="CY222" i="5"/>
  <c r="CY215" i="5"/>
  <c r="CS63" i="1"/>
  <c r="CY34" i="6"/>
  <c r="DA121" i="6"/>
  <c r="DA11" i="6" s="1"/>
  <c r="S15" i="128"/>
  <c r="DD331" i="1"/>
  <c r="DD351" i="1" s="1"/>
  <c r="CQ111" i="1"/>
  <c r="CQ80" i="1"/>
  <c r="DH87" i="1"/>
  <c r="DG87" i="1"/>
  <c r="DI9" i="1"/>
  <c r="DG436" i="1"/>
  <c r="CT53" i="5"/>
  <c r="CX27" i="6"/>
  <c r="CY216" i="5"/>
  <c r="CN95" i="6"/>
  <c r="CN92" i="6"/>
  <c r="CZ365" i="1"/>
  <c r="CZ34" i="1"/>
  <c r="CO88" i="6"/>
  <c r="CO91" i="6" s="1"/>
  <c r="CT150" i="1"/>
  <c r="CT152" i="1" s="1"/>
  <c r="CO173" i="6"/>
  <c r="CN173" i="6" s="1"/>
  <c r="CM92" i="6"/>
  <c r="CM95" i="6"/>
  <c r="CW37" i="5"/>
  <c r="DF98" i="1"/>
  <c r="DF20" i="1"/>
  <c r="DF329" i="1" s="1"/>
  <c r="CR233" i="1"/>
  <c r="CX49" i="1"/>
  <c r="CX51" i="1" s="1"/>
  <c r="CW17" i="5"/>
  <c r="CT227" i="1"/>
  <c r="CQ60" i="1"/>
  <c r="CY31" i="6"/>
  <c r="DA365" i="1"/>
  <c r="DA34" i="1"/>
  <c r="CZ104" i="1"/>
  <c r="CZ76" i="1"/>
  <c r="CU113" i="1"/>
  <c r="CP71" i="5"/>
  <c r="CU84" i="1"/>
  <c r="CU64" i="1"/>
  <c r="CU56" i="1"/>
  <c r="CP9" i="6"/>
  <c r="CU160" i="1"/>
  <c r="CP52" i="5"/>
  <c r="DC352" i="1"/>
  <c r="DC353" i="1"/>
  <c r="DC33" i="1"/>
  <c r="DC364" i="1"/>
  <c r="CK97" i="6"/>
  <c r="CO66" i="6"/>
  <c r="CK226" i="5"/>
  <c r="CO226" i="5" s="1"/>
  <c r="CK71" i="6"/>
  <c r="CU163" i="1"/>
  <c r="CS233" i="1"/>
  <c r="CY218" i="5"/>
  <c r="CS81" i="1"/>
  <c r="CS108" i="1"/>
  <c r="CR235" i="1"/>
  <c r="CR236" i="1" s="1"/>
  <c r="CR62" i="1" s="1"/>
  <c r="CO103" i="6"/>
  <c r="CT412" i="1"/>
  <c r="CO104" i="6" s="1"/>
  <c r="R42" i="128"/>
  <c r="R43" i="128" s="1"/>
  <c r="CR108" i="1"/>
  <c r="CR81" i="1"/>
  <c r="DE102" i="1"/>
  <c r="DE74" i="1"/>
  <c r="CW448" i="1"/>
  <c r="CW107" i="1"/>
  <c r="CW79" i="1"/>
  <c r="CY32" i="5"/>
  <c r="CX37" i="5"/>
  <c r="CS193" i="1"/>
  <c r="CS43" i="1"/>
  <c r="CR63" i="1"/>
  <c r="DD342" i="1"/>
  <c r="DD328" i="1"/>
  <c r="CV163" i="1"/>
  <c r="CV197" i="1" s="1"/>
  <c r="CT190" i="1"/>
  <c r="CT42" i="1"/>
  <c r="DE99" i="1"/>
  <c r="DE446" i="1"/>
  <c r="DE343" i="1"/>
  <c r="CZ43" i="6"/>
  <c r="CZ209" i="5"/>
  <c r="DE437" i="1"/>
  <c r="DG330" i="1"/>
  <c r="CR193" i="1"/>
  <c r="CR43" i="1"/>
  <c r="CX107" i="1"/>
  <c r="CX79" i="1"/>
  <c r="CX448" i="1"/>
  <c r="CY448" i="1" s="1"/>
  <c r="CQ234" i="1"/>
  <c r="CQ57" i="1"/>
  <c r="CW49" i="1"/>
  <c r="CW51" i="1" s="1"/>
  <c r="DA76" i="1"/>
  <c r="DA104" i="1"/>
  <c r="CW27" i="6"/>
  <c r="CN62" i="5" l="1"/>
  <c r="CY107" i="1"/>
  <c r="DF437" i="1"/>
  <c r="CO92" i="6"/>
  <c r="CT43" i="1"/>
  <c r="CT111" i="1" s="1"/>
  <c r="ER111" i="1" s="1"/>
  <c r="CW113" i="1"/>
  <c r="CR71" i="5"/>
  <c r="CW84" i="1"/>
  <c r="CW64" i="1"/>
  <c r="CW56" i="1"/>
  <c r="CR9" i="6"/>
  <c r="CR52" i="5"/>
  <c r="CW160" i="1"/>
  <c r="DG98" i="1"/>
  <c r="DG20" i="1"/>
  <c r="DG329" i="1" s="1"/>
  <c r="DF74" i="1"/>
  <c r="DF102" i="1"/>
  <c r="DH98" i="1"/>
  <c r="DH20" i="1"/>
  <c r="CY49" i="1"/>
  <c r="DC34" i="1"/>
  <c r="DC365" i="1"/>
  <c r="CU117" i="1"/>
  <c r="CR234" i="1"/>
  <c r="CR57" i="1"/>
  <c r="DI87" i="1"/>
  <c r="U10" i="128"/>
  <c r="U11" i="128" s="1"/>
  <c r="DD352" i="1"/>
  <c r="DD353" i="1"/>
  <c r="CZ12" i="5"/>
  <c r="CZ13" i="5"/>
  <c r="CZ27" i="5"/>
  <c r="CS80" i="1"/>
  <c r="CS111" i="1"/>
  <c r="CR111" i="1"/>
  <c r="CR80" i="1"/>
  <c r="DH330" i="1"/>
  <c r="CZ176" i="6"/>
  <c r="DE151" i="1"/>
  <c r="CZ54" i="6"/>
  <c r="CZ90" i="6"/>
  <c r="CY37" i="5"/>
  <c r="DC121" i="6"/>
  <c r="DC11" i="6" s="1"/>
  <c r="CU197" i="1"/>
  <c r="CO97" i="6"/>
  <c r="CO167" i="6" s="1"/>
  <c r="DC104" i="1"/>
  <c r="DC76" i="1"/>
  <c r="CU196" i="1"/>
  <c r="CU165" i="1"/>
  <c r="CU189" i="1" s="1"/>
  <c r="CV211" i="5"/>
  <c r="DA105" i="1"/>
  <c r="DA77" i="1"/>
  <c r="DA39" i="1"/>
  <c r="CQ63" i="1"/>
  <c r="DF99" i="1"/>
  <c r="DF446" i="1"/>
  <c r="DF343" i="1"/>
  <c r="DA209" i="5"/>
  <c r="DA43" i="6"/>
  <c r="CU211" i="5"/>
  <c r="CZ77" i="1"/>
  <c r="CZ105" i="1"/>
  <c r="CZ39" i="1"/>
  <c r="DB352" i="1"/>
  <c r="DB33" i="1"/>
  <c r="DB353" i="1"/>
  <c r="DB364" i="1"/>
  <c r="DA171" i="6"/>
  <c r="DF164" i="1"/>
  <c r="DF444" i="1"/>
  <c r="DF445" i="1" s="1"/>
  <c r="CW163" i="1"/>
  <c r="CW197" i="1" s="1"/>
  <c r="CQ61" i="1"/>
  <c r="CR439" i="1"/>
  <c r="CQ439" i="1"/>
  <c r="DF355" i="1"/>
  <c r="DF32" i="1"/>
  <c r="DF361" i="1"/>
  <c r="DF362" i="1" s="1"/>
  <c r="CT81" i="1"/>
  <c r="CT108" i="1"/>
  <c r="ER108" i="1" s="1"/>
  <c r="ER42" i="1"/>
  <c r="CK74" i="5"/>
  <c r="CK75" i="5" s="1"/>
  <c r="CP38" i="6"/>
  <c r="CT228" i="1"/>
  <c r="CT229" i="1"/>
  <c r="CT60" i="1"/>
  <c r="DE326" i="1"/>
  <c r="DE327" i="1"/>
  <c r="CX163" i="1"/>
  <c r="CX197" i="1" s="1"/>
  <c r="CT233" i="1"/>
  <c r="CQ38" i="6"/>
  <c r="CV117" i="1"/>
  <c r="DE356" i="1"/>
  <c r="DE357" i="1"/>
  <c r="CS234" i="1"/>
  <c r="CS57" i="1"/>
  <c r="CO71" i="6"/>
  <c r="CK74" i="6"/>
  <c r="CX17" i="5"/>
  <c r="DJ9" i="1"/>
  <c r="CX84" i="1"/>
  <c r="CX113" i="1"/>
  <c r="CS71" i="5"/>
  <c r="CX64" i="1"/>
  <c r="CX56" i="1"/>
  <c r="CS9" i="6"/>
  <c r="CS52" i="5"/>
  <c r="CX160" i="1"/>
  <c r="CO95" i="6"/>
  <c r="R39" i="128"/>
  <c r="CZ121" i="6"/>
  <c r="CZ11" i="6" s="1"/>
  <c r="CT235" i="1"/>
  <c r="CT236" i="1" s="1"/>
  <c r="CT62" i="1" s="1"/>
  <c r="CY27" i="6"/>
  <c r="DI19" i="1"/>
  <c r="CV196" i="1"/>
  <c r="CV198" i="1" s="1"/>
  <c r="CV226" i="1" s="1"/>
  <c r="CV165" i="1"/>
  <c r="CV189" i="1" s="1"/>
  <c r="CY160" i="1" l="1"/>
  <c r="CY196" i="1" s="1"/>
  <c r="CT80" i="1"/>
  <c r="ER80" i="1" s="1"/>
  <c r="R16" i="128"/>
  <c r="R17" i="128" s="1"/>
  <c r="ER43" i="1"/>
  <c r="CV227" i="1"/>
  <c r="CV60" i="1" s="1"/>
  <c r="CL74" i="5"/>
  <c r="CL47" i="5"/>
  <c r="CM43" i="5"/>
  <c r="CS439" i="1"/>
  <c r="DB365" i="1"/>
  <c r="DB34" i="1"/>
  <c r="DD364" i="1"/>
  <c r="DD365" i="1" s="1"/>
  <c r="CZ78" i="1"/>
  <c r="CZ447" i="1"/>
  <c r="CZ442" i="1"/>
  <c r="CZ106" i="1"/>
  <c r="CZ41" i="1"/>
  <c r="CU53" i="5"/>
  <c r="CZ48" i="1"/>
  <c r="CU42" i="1"/>
  <c r="CU190" i="1"/>
  <c r="CU192" i="1"/>
  <c r="CU227" i="1"/>
  <c r="CU198" i="1"/>
  <c r="CU226" i="1" s="1"/>
  <c r="DH164" i="1"/>
  <c r="DC171" i="6"/>
  <c r="DH444" i="1"/>
  <c r="DH445" i="1" s="1"/>
  <c r="DH102" i="1"/>
  <c r="DH74" i="1"/>
  <c r="CZ31" i="6"/>
  <c r="CR61" i="1"/>
  <c r="CT52" i="5"/>
  <c r="CK77" i="6"/>
  <c r="DE342" i="1"/>
  <c r="DE328" i="1"/>
  <c r="DE331" i="1"/>
  <c r="DE351" i="1" s="1"/>
  <c r="CZ171" i="6"/>
  <c r="DE444" i="1"/>
  <c r="DE445" i="1" s="1"/>
  <c r="DE164" i="1"/>
  <c r="CS38" i="6"/>
  <c r="CO74" i="6"/>
  <c r="CT234" i="1"/>
  <c r="CT57" i="1"/>
  <c r="CP175" i="6"/>
  <c r="CP173" i="6"/>
  <c r="CP88" i="6"/>
  <c r="CP91" i="6" s="1"/>
  <c r="CU150" i="1"/>
  <c r="CU152" i="1" s="1"/>
  <c r="CK61" i="5"/>
  <c r="CK76" i="5"/>
  <c r="CL70" i="5"/>
  <c r="DF357" i="1"/>
  <c r="DF356" i="1"/>
  <c r="DF151" i="1"/>
  <c r="DA176" i="6"/>
  <c r="DA90" i="6"/>
  <c r="DA54" i="6"/>
  <c r="DK9" i="1"/>
  <c r="DK436" i="1" s="1"/>
  <c r="CY163" i="1"/>
  <c r="CY197" i="1" s="1"/>
  <c r="CZ222" i="5"/>
  <c r="CZ30" i="6"/>
  <c r="DF326" i="1"/>
  <c r="DF327" i="1"/>
  <c r="DC105" i="1"/>
  <c r="DC77" i="1"/>
  <c r="DC39" i="1"/>
  <c r="DG99" i="1"/>
  <c r="DG446" i="1"/>
  <c r="DG343" i="1"/>
  <c r="DB209" i="5"/>
  <c r="DB43" i="6"/>
  <c r="DG437" i="1"/>
  <c r="DH437" i="1"/>
  <c r="DI437" i="1" s="1"/>
  <c r="CR38" i="6"/>
  <c r="DI98" i="1"/>
  <c r="DI20" i="1"/>
  <c r="DJ87" i="1"/>
  <c r="DJ436" i="1"/>
  <c r="CV190" i="1"/>
  <c r="CV192" i="1"/>
  <c r="CV42" i="1"/>
  <c r="CY17" i="5"/>
  <c r="ER60" i="1"/>
  <c r="CT63" i="1"/>
  <c r="CT9" i="6"/>
  <c r="DG74" i="1"/>
  <c r="DG102" i="1"/>
  <c r="CQ440" i="1"/>
  <c r="CQ416" i="1"/>
  <c r="CL108" i="6" s="1"/>
  <c r="CQ449" i="1"/>
  <c r="CQ116" i="1"/>
  <c r="DB76" i="1"/>
  <c r="DB104" i="1"/>
  <c r="DD33" i="1"/>
  <c r="DI31" i="1"/>
  <c r="DH329" i="1"/>
  <c r="CY82" i="1"/>
  <c r="CY51" i="1"/>
  <c r="ER62" i="1"/>
  <c r="R40" i="128"/>
  <c r="CX196" i="1"/>
  <c r="CX198" i="1" s="1"/>
  <c r="CX226" i="1" s="1"/>
  <c r="CX165" i="1"/>
  <c r="CX189" i="1" s="1"/>
  <c r="CX117" i="1"/>
  <c r="CS61" i="1"/>
  <c r="CQ88" i="6"/>
  <c r="CQ91" i="6" s="1"/>
  <c r="CQ175" i="6"/>
  <c r="CQ173" i="6"/>
  <c r="CV150" i="1"/>
  <c r="CV152" i="1" s="1"/>
  <c r="CQ74" i="6"/>
  <c r="CR440" i="1"/>
  <c r="CR416" i="1"/>
  <c r="CM108" i="6" s="1"/>
  <c r="DA12" i="5"/>
  <c r="DA13" i="5"/>
  <c r="DA27" i="5"/>
  <c r="DA442" i="1"/>
  <c r="DA78" i="1"/>
  <c r="DA447" i="1"/>
  <c r="DA106" i="1"/>
  <c r="DA41" i="1"/>
  <c r="CV53" i="5"/>
  <c r="DA48" i="1"/>
  <c r="DG355" i="1"/>
  <c r="DG32" i="1"/>
  <c r="DG361" i="1"/>
  <c r="DG362" i="1" s="1"/>
  <c r="CZ34" i="6"/>
  <c r="CZ32" i="5"/>
  <c r="DH99" i="1"/>
  <c r="DH343" i="1"/>
  <c r="DH446" i="1"/>
  <c r="DI446" i="1" s="1"/>
  <c r="DC43" i="6"/>
  <c r="DC209" i="5"/>
  <c r="CW196" i="1"/>
  <c r="CW198" i="1" s="1"/>
  <c r="CW226" i="1" s="1"/>
  <c r="CW165" i="1"/>
  <c r="CW189" i="1" s="1"/>
  <c r="CW117" i="1"/>
  <c r="R37" i="128" l="1"/>
  <c r="CY198" i="1"/>
  <c r="CY226" i="1" s="1"/>
  <c r="DD43" i="6"/>
  <c r="DI151" i="1" s="1"/>
  <c r="CL75" i="5"/>
  <c r="CL76" i="5" s="1"/>
  <c r="CT38" i="6"/>
  <c r="CW227" i="1"/>
  <c r="CW60" i="1" s="1"/>
  <c r="CX227" i="1"/>
  <c r="CX60" i="1" s="1"/>
  <c r="DD209" i="5"/>
  <c r="DC13" i="5"/>
  <c r="DC27" i="5"/>
  <c r="DC12" i="5"/>
  <c r="CX190" i="1"/>
  <c r="CX192" i="1"/>
  <c r="CX42" i="1"/>
  <c r="DH326" i="1"/>
  <c r="DH327" i="1"/>
  <c r="DA32" i="5"/>
  <c r="DA34" i="6"/>
  <c r="CT71" i="5"/>
  <c r="CY56" i="1"/>
  <c r="CY113" i="1"/>
  <c r="CY64" i="1"/>
  <c r="CY84" i="1"/>
  <c r="CV193" i="1"/>
  <c r="CV43" i="1"/>
  <c r="DI99" i="1"/>
  <c r="U12" i="128"/>
  <c r="U13" i="128" s="1"/>
  <c r="CZ27" i="6"/>
  <c r="DL9" i="1"/>
  <c r="DL436" i="1" s="1"/>
  <c r="ER57" i="1"/>
  <c r="CT61" i="1"/>
  <c r="CS88" i="6"/>
  <c r="CS91" i="6" s="1"/>
  <c r="CX150" i="1"/>
  <c r="CX152" i="1" s="1"/>
  <c r="CS175" i="6"/>
  <c r="CT175" i="6" s="1"/>
  <c r="CS74" i="6"/>
  <c r="CU60" i="1"/>
  <c r="CZ49" i="1"/>
  <c r="CZ51" i="1" s="1"/>
  <c r="CL61" i="5"/>
  <c r="CL48" i="5"/>
  <c r="CM70" i="5"/>
  <c r="DH151" i="1"/>
  <c r="DC176" i="6"/>
  <c r="DD176" i="6" s="1"/>
  <c r="DC90" i="6"/>
  <c r="DC54" i="6"/>
  <c r="DJ98" i="1"/>
  <c r="DJ20" i="1"/>
  <c r="CS116" i="1"/>
  <c r="CS449" i="1"/>
  <c r="CT449" i="1" s="1"/>
  <c r="DH355" i="1"/>
  <c r="DH32" i="1"/>
  <c r="DH361" i="1"/>
  <c r="DH362" i="1" s="1"/>
  <c r="DI329" i="1"/>
  <c r="DI102" i="1"/>
  <c r="DI74" i="1"/>
  <c r="CZ17" i="5"/>
  <c r="DB27" i="5"/>
  <c r="DB12" i="5"/>
  <c r="DB13" i="5"/>
  <c r="CK103" i="5"/>
  <c r="CK64" i="5"/>
  <c r="CK63" i="5"/>
  <c r="CK128" i="5"/>
  <c r="CP394" i="1"/>
  <c r="CK86" i="6"/>
  <c r="CK16" i="5"/>
  <c r="CL10" i="5"/>
  <c r="CL185" i="5" s="1"/>
  <c r="CK185" i="5"/>
  <c r="CP147" i="1"/>
  <c r="EY147" i="1" s="1"/>
  <c r="DA31" i="6"/>
  <c r="CU193" i="1"/>
  <c r="CU43" i="1"/>
  <c r="CZ107" i="1"/>
  <c r="CZ79" i="1"/>
  <c r="CZ448" i="1"/>
  <c r="CV233" i="1"/>
  <c r="CW190" i="1"/>
  <c r="CW42" i="1"/>
  <c r="CW438" i="1" s="1"/>
  <c r="CR62" i="5" s="1"/>
  <c r="CW192" i="1"/>
  <c r="CQ92" i="6"/>
  <c r="CQ95" i="6"/>
  <c r="DB121" i="6"/>
  <c r="DB11" i="6" s="1"/>
  <c r="DD119" i="6"/>
  <c r="DD121" i="6" s="1"/>
  <c r="CZ37" i="5"/>
  <c r="DG357" i="1"/>
  <c r="DG356" i="1"/>
  <c r="DA49" i="1"/>
  <c r="DA51" i="1" s="1"/>
  <c r="DA448" i="1"/>
  <c r="DA107" i="1"/>
  <c r="DA79" i="1"/>
  <c r="DA222" i="5"/>
  <c r="DB30" i="6"/>
  <c r="DG326" i="1"/>
  <c r="DG327" i="1"/>
  <c r="DI325" i="1"/>
  <c r="DI326" i="1" s="1"/>
  <c r="CY372" i="1"/>
  <c r="ER63" i="1"/>
  <c r="DB176" i="6"/>
  <c r="DG151" i="1"/>
  <c r="DB54" i="6"/>
  <c r="DB90" i="6"/>
  <c r="DC442" i="1"/>
  <c r="DC106" i="1"/>
  <c r="DC78" i="1"/>
  <c r="DC41" i="1"/>
  <c r="DC48" i="1"/>
  <c r="DF328" i="1"/>
  <c r="DF342" i="1"/>
  <c r="DF331" i="1"/>
  <c r="DF351" i="1" s="1"/>
  <c r="CO77" i="6"/>
  <c r="CK78" i="6"/>
  <c r="CL75" i="6"/>
  <c r="CR449" i="1"/>
  <c r="CR116" i="1"/>
  <c r="CT439" i="1"/>
  <c r="CS440" i="1"/>
  <c r="CT440" i="1" s="1"/>
  <c r="CS416" i="1"/>
  <c r="CV235" i="1"/>
  <c r="CV236" i="1" s="1"/>
  <c r="CV62" i="1" s="1"/>
  <c r="DD104" i="1"/>
  <c r="DD76" i="1"/>
  <c r="CV108" i="1"/>
  <c r="CV81" i="1"/>
  <c r="CR88" i="6"/>
  <c r="CR91" i="6" s="1"/>
  <c r="CR173" i="6"/>
  <c r="CR175" i="6"/>
  <c r="CW150" i="1"/>
  <c r="CW152" i="1" s="1"/>
  <c r="CR74" i="6"/>
  <c r="DI343" i="1"/>
  <c r="DA30" i="6"/>
  <c r="DK87" i="1"/>
  <c r="CP95" i="6"/>
  <c r="CP92" i="6"/>
  <c r="CU235" i="1"/>
  <c r="CU236" i="1" s="1"/>
  <c r="CU62" i="1" s="1"/>
  <c r="CU233" i="1"/>
  <c r="CU108" i="1"/>
  <c r="CU81" i="1"/>
  <c r="CU438" i="1"/>
  <c r="CP62" i="5" s="1"/>
  <c r="CV438" i="1"/>
  <c r="CQ62" i="5" s="1"/>
  <c r="DB77" i="1"/>
  <c r="CW211" i="5"/>
  <c r="DB105" i="1"/>
  <c r="DB39" i="1"/>
  <c r="DD34" i="1"/>
  <c r="CX211" i="5"/>
  <c r="CY211" i="5" s="1"/>
  <c r="CM74" i="5"/>
  <c r="CN43" i="5"/>
  <c r="CM47" i="5"/>
  <c r="CV63" i="1"/>
  <c r="CY165" i="1"/>
  <c r="CY189" i="1" s="1"/>
  <c r="DI327" i="1" l="1"/>
  <c r="DI342" i="1" s="1"/>
  <c r="DD90" i="6"/>
  <c r="DD169" i="6"/>
  <c r="DI32" i="1"/>
  <c r="CX438" i="1"/>
  <c r="CY438" i="1" s="1"/>
  <c r="CT62" i="5" s="1"/>
  <c r="CY227" i="1"/>
  <c r="CY229" i="1" s="1"/>
  <c r="CT88" i="6"/>
  <c r="CT91" i="6" s="1"/>
  <c r="S39" i="128" s="1"/>
  <c r="CY150" i="1"/>
  <c r="CY152" i="1" s="1"/>
  <c r="CT173" i="6"/>
  <c r="CS173" i="6" s="1"/>
  <c r="CY42" i="1"/>
  <c r="CY190" i="1"/>
  <c r="DD105" i="1"/>
  <c r="DD77" i="1"/>
  <c r="DD39" i="1"/>
  <c r="DB447" i="1"/>
  <c r="DB106" i="1"/>
  <c r="DB442" i="1"/>
  <c r="DB78" i="1"/>
  <c r="DB41" i="1"/>
  <c r="DC448" i="1" s="1"/>
  <c r="DD448" i="1" s="1"/>
  <c r="CW53" i="5"/>
  <c r="DB48" i="1"/>
  <c r="DC49" i="1"/>
  <c r="CW193" i="1"/>
  <c r="CW43" i="1"/>
  <c r="CY192" i="1"/>
  <c r="DC31" i="6"/>
  <c r="DA17" i="5"/>
  <c r="CZ113" i="1"/>
  <c r="CZ84" i="1"/>
  <c r="CU71" i="5"/>
  <c r="CZ56" i="1"/>
  <c r="CZ64" i="1"/>
  <c r="CU52" i="5"/>
  <c r="CZ160" i="1"/>
  <c r="CU9" i="6"/>
  <c r="DF121" i="6"/>
  <c r="DF11" i="6" s="1"/>
  <c r="CU63" i="1"/>
  <c r="CS92" i="6"/>
  <c r="CS95" i="6"/>
  <c r="DL87" i="1"/>
  <c r="CV111" i="1"/>
  <c r="CV80" i="1"/>
  <c r="CY117" i="1"/>
  <c r="DA37" i="5"/>
  <c r="CX193" i="1"/>
  <c r="CX43" i="1"/>
  <c r="DC222" i="5"/>
  <c r="DD12" i="5"/>
  <c r="CN108" i="6"/>
  <c r="CT416" i="1"/>
  <c r="CO108" i="6" s="1"/>
  <c r="DF33" i="1"/>
  <c r="DF352" i="1"/>
  <c r="DF353" i="1"/>
  <c r="DF364" i="1"/>
  <c r="CX53" i="5"/>
  <c r="DG328" i="1"/>
  <c r="DG342" i="1"/>
  <c r="DG331" i="1"/>
  <c r="DG351" i="1" s="1"/>
  <c r="DA163" i="1"/>
  <c r="DA197" i="1" s="1"/>
  <c r="DG164" i="1"/>
  <c r="DI164" i="1" s="1"/>
  <c r="DB171" i="6"/>
  <c r="DG444" i="1"/>
  <c r="DG445" i="1" s="1"/>
  <c r="DD11" i="6"/>
  <c r="CW108" i="1"/>
  <c r="CW81" i="1"/>
  <c r="DM9" i="1"/>
  <c r="CQ394" i="1"/>
  <c r="CL64" i="5"/>
  <c r="CL103" i="5"/>
  <c r="CL128" i="5"/>
  <c r="CQ147" i="1"/>
  <c r="CL63" i="5"/>
  <c r="CL16" i="5"/>
  <c r="CM10" i="5"/>
  <c r="DE33" i="1"/>
  <c r="DE352" i="1"/>
  <c r="DE353" i="1"/>
  <c r="DE364" i="1"/>
  <c r="DB222" i="5"/>
  <c r="DC30" i="6"/>
  <c r="DD30" i="6" s="1"/>
  <c r="DI355" i="1"/>
  <c r="DI361" i="1"/>
  <c r="DI362" i="1" s="1"/>
  <c r="DI330" i="1"/>
  <c r="DJ330" i="1" s="1"/>
  <c r="DH356" i="1"/>
  <c r="DH357" i="1"/>
  <c r="DJ99" i="1"/>
  <c r="DJ446" i="1"/>
  <c r="DJ343" i="1"/>
  <c r="DE43" i="6"/>
  <c r="DE209" i="5"/>
  <c r="DJ437" i="1"/>
  <c r="DB31" i="6"/>
  <c r="CZ163" i="1"/>
  <c r="R18" i="128"/>
  <c r="CT116" i="1"/>
  <c r="ER116" i="1" s="1"/>
  <c r="ER61" i="1"/>
  <c r="DH342" i="1"/>
  <c r="DH328" i="1"/>
  <c r="DH331" i="1"/>
  <c r="DH351" i="1" s="1"/>
  <c r="DD27" i="5"/>
  <c r="DC34" i="6"/>
  <c r="DC32" i="5"/>
  <c r="CX235" i="1"/>
  <c r="CX236" i="1" s="1"/>
  <c r="CX62" i="1" s="1"/>
  <c r="CW235" i="1"/>
  <c r="CW236" i="1" s="1"/>
  <c r="CW62" i="1" s="1"/>
  <c r="CN74" i="5"/>
  <c r="CN47" i="5"/>
  <c r="CO43" i="5"/>
  <c r="CM61" i="5"/>
  <c r="CM48" i="5"/>
  <c r="CN70" i="5"/>
  <c r="CU234" i="1"/>
  <c r="CU57" i="1"/>
  <c r="DA27" i="6"/>
  <c r="CR95" i="6"/>
  <c r="CR92" i="6"/>
  <c r="CL77" i="6"/>
  <c r="DC79" i="1"/>
  <c r="DC107" i="1"/>
  <c r="CY373" i="1"/>
  <c r="CY376" i="1"/>
  <c r="DA84" i="1"/>
  <c r="DA113" i="1"/>
  <c r="CV71" i="5"/>
  <c r="DA64" i="1"/>
  <c r="CV52" i="5"/>
  <c r="DA56" i="1"/>
  <c r="CV9" i="6"/>
  <c r="DA160" i="1"/>
  <c r="CK221" i="5"/>
  <c r="CK22" i="5"/>
  <c r="CK49" i="5" s="1"/>
  <c r="DB32" i="5"/>
  <c r="DB34" i="6"/>
  <c r="CM75" i="5"/>
  <c r="CM76" i="5" s="1"/>
  <c r="DD13" i="5"/>
  <c r="CX233" i="1"/>
  <c r="CW233" i="1"/>
  <c r="CP75" i="6"/>
  <c r="CT75" i="6"/>
  <c r="DC447" i="1"/>
  <c r="DD447" i="1" s="1"/>
  <c r="DD54" i="6"/>
  <c r="CV234" i="1"/>
  <c r="CV57" i="1"/>
  <c r="CU80" i="1"/>
  <c r="CU111" i="1"/>
  <c r="FC147" i="1"/>
  <c r="FA147" i="1"/>
  <c r="DK98" i="1"/>
  <c r="DK20" i="1"/>
  <c r="DK437" i="1" s="1"/>
  <c r="CX108" i="1"/>
  <c r="CX81" i="1"/>
  <c r="DJ74" i="1"/>
  <c r="DJ102" i="1"/>
  <c r="CX63" i="1"/>
  <c r="CW63" i="1"/>
  <c r="CS62" i="5" l="1"/>
  <c r="DI328" i="1"/>
  <c r="DB27" i="6"/>
  <c r="DD31" i="6"/>
  <c r="CY60" i="1"/>
  <c r="CY63" i="1" s="1"/>
  <c r="CY228" i="1"/>
  <c r="CT95" i="6"/>
  <c r="CT92" i="6"/>
  <c r="CY235" i="1"/>
  <c r="CY236" i="1" s="1"/>
  <c r="CY62" i="1" s="1"/>
  <c r="CY233" i="1"/>
  <c r="CN75" i="5"/>
  <c r="CN76" i="5" s="1"/>
  <c r="DE121" i="6"/>
  <c r="DE11" i="6" s="1"/>
  <c r="CW234" i="1"/>
  <c r="CW57" i="1"/>
  <c r="CW439" i="1" s="1"/>
  <c r="DD216" i="5"/>
  <c r="CK56" i="5"/>
  <c r="CK55" i="5"/>
  <c r="CK54" i="5"/>
  <c r="CV38" i="6"/>
  <c r="CL78" i="6"/>
  <c r="CM75" i="6"/>
  <c r="CO74" i="5"/>
  <c r="CO75" i="5" s="1"/>
  <c r="DD218" i="5"/>
  <c r="DI356" i="1"/>
  <c r="DI357" i="1"/>
  <c r="DE34" i="1"/>
  <c r="DE365" i="1"/>
  <c r="CM63" i="5"/>
  <c r="CM103" i="5"/>
  <c r="CR147" i="1"/>
  <c r="CM128" i="5"/>
  <c r="CM64" i="5"/>
  <c r="CR394" i="1"/>
  <c r="CM16" i="5"/>
  <c r="CN10" i="5"/>
  <c r="CN185" i="5" s="1"/>
  <c r="DF365" i="1"/>
  <c r="DF34" i="1"/>
  <c r="CX80" i="1"/>
  <c r="CX111" i="1"/>
  <c r="CZ117" i="1"/>
  <c r="DB17" i="5"/>
  <c r="DC163" i="1"/>
  <c r="DC197" i="1" s="1"/>
  <c r="CY81" i="1"/>
  <c r="CY108" i="1"/>
  <c r="S40" i="128"/>
  <c r="CX234" i="1"/>
  <c r="CX57" i="1"/>
  <c r="CU61" i="1"/>
  <c r="CU439" i="1"/>
  <c r="CV439" i="1"/>
  <c r="CN61" i="5"/>
  <c r="CN48" i="5"/>
  <c r="CO47" i="5"/>
  <c r="DC27" i="6"/>
  <c r="CL221" i="5"/>
  <c r="CL22" i="5"/>
  <c r="CM185" i="5"/>
  <c r="DD222" i="5"/>
  <c r="DD215" i="5"/>
  <c r="CU38" i="6"/>
  <c r="CY193" i="1"/>
  <c r="CY43" i="1"/>
  <c r="DL98" i="1"/>
  <c r="DL20" i="1"/>
  <c r="DL437" i="1" s="1"/>
  <c r="DB49" i="1"/>
  <c r="DB51" i="1" s="1"/>
  <c r="DD48" i="1"/>
  <c r="DB79" i="1"/>
  <c r="DB107" i="1"/>
  <c r="DB448" i="1"/>
  <c r="DK99" i="1"/>
  <c r="DK446" i="1"/>
  <c r="DK343" i="1"/>
  <c r="DF43" i="6"/>
  <c r="DF209" i="5"/>
  <c r="CV61" i="1"/>
  <c r="DK74" i="1"/>
  <c r="DK102" i="1"/>
  <c r="DD34" i="6"/>
  <c r="DC37" i="5"/>
  <c r="DD32" i="5"/>
  <c r="DH33" i="1"/>
  <c r="DH352" i="1"/>
  <c r="DH353" i="1"/>
  <c r="DH364" i="1"/>
  <c r="R38" i="128"/>
  <c r="R19" i="128"/>
  <c r="CZ197" i="1"/>
  <c r="DE12" i="5"/>
  <c r="DE30" i="6" s="1"/>
  <c r="DE27" i="5"/>
  <c r="DE13" i="5"/>
  <c r="DJ329" i="1"/>
  <c r="DJ327" i="1" s="1"/>
  <c r="DK330" i="1"/>
  <c r="CL86" i="6"/>
  <c r="DG33" i="1"/>
  <c r="DG352" i="1"/>
  <c r="DG353" i="1"/>
  <c r="DG364" i="1"/>
  <c r="CZ196" i="1"/>
  <c r="CZ165" i="1"/>
  <c r="CZ189" i="1" s="1"/>
  <c r="CW80" i="1"/>
  <c r="CW111" i="1"/>
  <c r="DC51" i="1"/>
  <c r="DB37" i="5"/>
  <c r="DA196" i="1"/>
  <c r="DA198" i="1" s="1"/>
  <c r="DA226" i="1" s="1"/>
  <c r="DA165" i="1"/>
  <c r="DA189" i="1" s="1"/>
  <c r="DA117" i="1"/>
  <c r="DJ151" i="1"/>
  <c r="DE176" i="6"/>
  <c r="DE54" i="6"/>
  <c r="DE90" i="6"/>
  <c r="DE76" i="1"/>
  <c r="DE104" i="1"/>
  <c r="DM87" i="1"/>
  <c r="DN9" i="1"/>
  <c r="DD171" i="6"/>
  <c r="DI444" i="1"/>
  <c r="DI445" i="1" s="1"/>
  <c r="DI443" i="1"/>
  <c r="DJ326" i="1"/>
  <c r="CY53" i="5"/>
  <c r="DF104" i="1"/>
  <c r="DF76" i="1"/>
  <c r="DM436" i="1"/>
  <c r="DN436" i="1" s="1"/>
  <c r="DK164" i="1"/>
  <c r="DF171" i="6"/>
  <c r="DK444" i="1"/>
  <c r="DK445" i="1" s="1"/>
  <c r="DI331" i="1"/>
  <c r="DI351" i="1" s="1"/>
  <c r="DD442" i="1"/>
  <c r="DD106" i="1"/>
  <c r="DD78" i="1"/>
  <c r="DD41" i="1"/>
  <c r="T14" i="128"/>
  <c r="T15" i="128" s="1"/>
  <c r="CX439" i="1" l="1"/>
  <c r="CY439" i="1" s="1"/>
  <c r="DI33" i="1"/>
  <c r="DI104" i="1" s="1"/>
  <c r="CY57" i="1"/>
  <c r="CY234" i="1"/>
  <c r="CO185" i="5"/>
  <c r="CO159" i="5" s="1"/>
  <c r="DA227" i="1"/>
  <c r="DA60" i="1" s="1"/>
  <c r="DJ328" i="1"/>
  <c r="DJ342" i="1"/>
  <c r="DJ331" i="1"/>
  <c r="DJ351" i="1" s="1"/>
  <c r="DA190" i="1"/>
  <c r="DA42" i="1"/>
  <c r="DA192" i="1"/>
  <c r="DC113" i="1"/>
  <c r="CX71" i="5"/>
  <c r="DC84" i="1"/>
  <c r="DC64" i="1"/>
  <c r="DC56" i="1"/>
  <c r="DC160" i="1"/>
  <c r="CX52" i="5"/>
  <c r="CX9" i="6"/>
  <c r="DG34" i="1"/>
  <c r="DG365" i="1"/>
  <c r="DH76" i="1"/>
  <c r="DH104" i="1"/>
  <c r="S16" i="128"/>
  <c r="CY111" i="1"/>
  <c r="CY80" i="1"/>
  <c r="CU440" i="1"/>
  <c r="CU410" i="1"/>
  <c r="DM98" i="1"/>
  <c r="DM20" i="1"/>
  <c r="DN19" i="1"/>
  <c r="DN31" i="1"/>
  <c r="CN63" i="5"/>
  <c r="CN128" i="5"/>
  <c r="CS147" i="1"/>
  <c r="CN64" i="5"/>
  <c r="CN103" i="5"/>
  <c r="CS394" i="1"/>
  <c r="CN16" i="5"/>
  <c r="CO10" i="5"/>
  <c r="CM77" i="6"/>
  <c r="DI352" i="1"/>
  <c r="DI353" i="1"/>
  <c r="DN87" i="1"/>
  <c r="V10" i="128"/>
  <c r="V11" i="128" s="1"/>
  <c r="DD79" i="1"/>
  <c r="DD107" i="1"/>
  <c r="DK326" i="1"/>
  <c r="DL330" i="1"/>
  <c r="DK329" i="1"/>
  <c r="DK327" i="1" s="1"/>
  <c r="DE32" i="5"/>
  <c r="DE34" i="6"/>
  <c r="CZ198" i="1"/>
  <c r="CZ226" i="1" s="1"/>
  <c r="CZ227" i="1"/>
  <c r="DH34" i="1"/>
  <c r="DH365" i="1"/>
  <c r="DF12" i="5"/>
  <c r="DF30" i="6" s="1"/>
  <c r="DF13" i="5"/>
  <c r="DF31" i="6" s="1"/>
  <c r="DF27" i="5"/>
  <c r="DL446" i="1"/>
  <c r="DL99" i="1"/>
  <c r="DL343" i="1"/>
  <c r="DG43" i="6"/>
  <c r="DG209" i="5"/>
  <c r="CO76" i="5"/>
  <c r="CO61" i="5"/>
  <c r="CO48" i="5"/>
  <c r="CP70" i="5"/>
  <c r="CT70" i="5"/>
  <c r="CX61" i="1"/>
  <c r="DL74" i="1"/>
  <c r="DL102" i="1"/>
  <c r="DH121" i="6"/>
  <c r="DH11" i="6" s="1"/>
  <c r="DC17" i="5"/>
  <c r="CM22" i="5"/>
  <c r="CM221" i="5"/>
  <c r="CZ211" i="5"/>
  <c r="DE105" i="1"/>
  <c r="DE77" i="1"/>
  <c r="DE39" i="1"/>
  <c r="CK57" i="5"/>
  <c r="CK59" i="5"/>
  <c r="DG104" i="1"/>
  <c r="DG76" i="1"/>
  <c r="CZ190" i="1"/>
  <c r="CZ42" i="1"/>
  <c r="CZ192" i="1"/>
  <c r="DJ355" i="1"/>
  <c r="DJ32" i="1"/>
  <c r="DJ361" i="1"/>
  <c r="DJ362" i="1" s="1"/>
  <c r="DE222" i="5"/>
  <c r="DD37" i="5"/>
  <c r="CV449" i="1"/>
  <c r="CV116" i="1"/>
  <c r="DF176" i="6"/>
  <c r="DK151" i="1"/>
  <c r="DF54" i="6"/>
  <c r="DF90" i="6"/>
  <c r="DB163" i="1"/>
  <c r="DD49" i="1"/>
  <c r="DO9" i="1"/>
  <c r="CL49" i="5"/>
  <c r="CL56" i="5"/>
  <c r="CL54" i="5"/>
  <c r="CL55" i="5"/>
  <c r="CW440" i="1"/>
  <c r="CW416" i="1"/>
  <c r="CR108" i="6" s="1"/>
  <c r="CU449" i="1"/>
  <c r="CU116" i="1"/>
  <c r="DA211" i="5"/>
  <c r="DF77" i="1"/>
  <c r="DF105" i="1"/>
  <c r="DF39" i="1"/>
  <c r="CK58" i="5"/>
  <c r="DD27" i="6"/>
  <c r="CW61" i="1"/>
  <c r="DB84" i="1"/>
  <c r="CW71" i="5"/>
  <c r="DB113" i="1"/>
  <c r="DB64" i="1"/>
  <c r="CW9" i="6"/>
  <c r="DB56" i="1"/>
  <c r="CW52" i="5"/>
  <c r="DB160" i="1"/>
  <c r="CU88" i="6"/>
  <c r="CU91" i="6" s="1"/>
  <c r="CU175" i="6"/>
  <c r="CU173" i="6"/>
  <c r="CZ150" i="1"/>
  <c r="CZ152" i="1" s="1"/>
  <c r="CV440" i="1"/>
  <c r="CV416" i="1"/>
  <c r="CQ108" i="6" s="1"/>
  <c r="DI364" i="1"/>
  <c r="DI365" i="1" s="1"/>
  <c r="CV88" i="6"/>
  <c r="CV91" i="6" s="1"/>
  <c r="CV173" i="6"/>
  <c r="CV175" i="6"/>
  <c r="DA150" i="1"/>
  <c r="DA152" i="1" s="1"/>
  <c r="CV74" i="6"/>
  <c r="DE31" i="6"/>
  <c r="DE171" i="6"/>
  <c r="DJ444" i="1"/>
  <c r="DJ445" i="1" s="1"/>
  <c r="DJ164" i="1"/>
  <c r="DE27" i="6" l="1"/>
  <c r="CX416" i="1"/>
  <c r="CS108" i="6" s="1"/>
  <c r="DI76" i="1"/>
  <c r="CX440" i="1"/>
  <c r="CY440" i="1" s="1"/>
  <c r="DC211" i="5"/>
  <c r="DD211" i="5" s="1"/>
  <c r="DI34" i="1"/>
  <c r="DI39" i="1" s="1"/>
  <c r="CY61" i="1"/>
  <c r="CV92" i="6"/>
  <c r="CV95" i="6"/>
  <c r="DB196" i="1"/>
  <c r="DB165" i="1"/>
  <c r="DB189" i="1" s="1"/>
  <c r="DD160" i="1"/>
  <c r="CL58" i="5"/>
  <c r="DB197" i="1"/>
  <c r="DD163" i="1"/>
  <c r="DD197" i="1" s="1"/>
  <c r="DP9" i="1"/>
  <c r="DP436" i="1" s="1"/>
  <c r="CW116" i="1"/>
  <c r="CW449" i="1"/>
  <c r="CL57" i="5"/>
  <c r="CL59" i="5"/>
  <c r="DO87" i="1"/>
  <c r="DO436" i="1"/>
  <c r="CZ43" i="1"/>
  <c r="CZ193" i="1"/>
  <c r="DG121" i="6"/>
  <c r="DG11" i="6" s="1"/>
  <c r="DI119" i="6"/>
  <c r="DI121" i="6" s="1"/>
  <c r="DD17" i="5"/>
  <c r="DF222" i="5"/>
  <c r="CZ233" i="1"/>
  <c r="CZ235" i="1"/>
  <c r="CZ236" i="1" s="1"/>
  <c r="CZ62" i="1" s="1"/>
  <c r="DK355" i="1"/>
  <c r="DK32" i="1"/>
  <c r="DK361" i="1"/>
  <c r="DK362" i="1" s="1"/>
  <c r="DM102" i="1"/>
  <c r="DM74" i="1"/>
  <c r="DG105" i="1"/>
  <c r="DB211" i="5"/>
  <c r="DG77" i="1"/>
  <c r="DG39" i="1"/>
  <c r="CZ108" i="1"/>
  <c r="CZ81" i="1"/>
  <c r="CZ438" i="1"/>
  <c r="CU62" i="5" s="1"/>
  <c r="DA438" i="1"/>
  <c r="CV62" i="5" s="1"/>
  <c r="DG176" i="6"/>
  <c r="DL151" i="1"/>
  <c r="DG54" i="6"/>
  <c r="DG90" i="6"/>
  <c r="DL329" i="1"/>
  <c r="DM330" i="1"/>
  <c r="DM329" i="1" s="1"/>
  <c r="DL326" i="1"/>
  <c r="CM78" i="6"/>
  <c r="CN75" i="6"/>
  <c r="CM86" i="6"/>
  <c r="CO128" i="5"/>
  <c r="CO86" i="6"/>
  <c r="CT394" i="1"/>
  <c r="CO64" i="5"/>
  <c r="CO103" i="5"/>
  <c r="CT147" i="1"/>
  <c r="CO63" i="5"/>
  <c r="CO78" i="6"/>
  <c r="S37" i="128"/>
  <c r="S17" i="128"/>
  <c r="CX38" i="6"/>
  <c r="DC117" i="1"/>
  <c r="DA235" i="1"/>
  <c r="DA236" i="1" s="1"/>
  <c r="DA62" i="1" s="1"/>
  <c r="CU95" i="6"/>
  <c r="CU92" i="6"/>
  <c r="CW38" i="6"/>
  <c r="CY9" i="6"/>
  <c r="DF442" i="1"/>
  <c r="DF78" i="1"/>
  <c r="DF447" i="1"/>
  <c r="DF106" i="1"/>
  <c r="DF41" i="1"/>
  <c r="DA53" i="5"/>
  <c r="DF48" i="1"/>
  <c r="DD82" i="1"/>
  <c r="DE106" i="1"/>
  <c r="DE78" i="1"/>
  <c r="DE442" i="1"/>
  <c r="DE447" i="1"/>
  <c r="DE41" i="1"/>
  <c r="CZ53" i="5"/>
  <c r="DE48" i="1"/>
  <c r="CM49" i="5"/>
  <c r="CM56" i="5"/>
  <c r="CM55" i="5"/>
  <c r="CM54" i="5"/>
  <c r="DN102" i="1"/>
  <c r="DN74" i="1"/>
  <c r="CX116" i="1"/>
  <c r="CX449" i="1"/>
  <c r="CY449" i="1" s="1"/>
  <c r="DG13" i="5"/>
  <c r="DG31" i="6" s="1"/>
  <c r="DG27" i="5"/>
  <c r="DG12" i="5"/>
  <c r="DD51" i="1"/>
  <c r="DF32" i="5"/>
  <c r="DF34" i="6"/>
  <c r="DH105" i="1"/>
  <c r="DH77" i="1"/>
  <c r="DH39" i="1"/>
  <c r="DE37" i="5"/>
  <c r="DK328" i="1"/>
  <c r="DK342" i="1"/>
  <c r="DK331" i="1"/>
  <c r="DK351" i="1" s="1"/>
  <c r="CN22" i="5"/>
  <c r="CN221" i="5"/>
  <c r="CO16" i="5"/>
  <c r="DN98" i="1"/>
  <c r="DN20" i="1"/>
  <c r="CU416" i="1"/>
  <c r="CP108" i="6" s="1"/>
  <c r="CP102" i="6"/>
  <c r="CU415" i="1"/>
  <c r="CY410" i="1"/>
  <c r="CY52" i="5"/>
  <c r="DA193" i="1"/>
  <c r="DA43" i="1"/>
  <c r="DA233" i="1"/>
  <c r="DB117" i="1"/>
  <c r="DJ356" i="1"/>
  <c r="DJ357" i="1"/>
  <c r="DM164" i="1"/>
  <c r="DH171" i="6"/>
  <c r="DM444" i="1"/>
  <c r="DM445" i="1" s="1"/>
  <c r="CZ60" i="1"/>
  <c r="DM99" i="1"/>
  <c r="DM343" i="1"/>
  <c r="DM446" i="1"/>
  <c r="DN446" i="1" s="1"/>
  <c r="DH43" i="6"/>
  <c r="DI43" i="6" s="1"/>
  <c r="DH209" i="5"/>
  <c r="DM437" i="1"/>
  <c r="DN437" i="1" s="1"/>
  <c r="DC196" i="1"/>
  <c r="DC198" i="1" s="1"/>
  <c r="DC226" i="1" s="1"/>
  <c r="DC165" i="1"/>
  <c r="DC189" i="1" s="1"/>
  <c r="DA81" i="1"/>
  <c r="DA108" i="1"/>
  <c r="DA63" i="1"/>
  <c r="CY416" i="1" l="1"/>
  <c r="CT108" i="6" s="1"/>
  <c r="DI105" i="1"/>
  <c r="DI77" i="1"/>
  <c r="DB198" i="1"/>
  <c r="DB226" i="1" s="1"/>
  <c r="DB227" i="1" s="1"/>
  <c r="DB235" i="1" s="1"/>
  <c r="DB236" i="1" s="1"/>
  <c r="DB62" i="1" s="1"/>
  <c r="S18" i="128"/>
  <c r="CY116" i="1"/>
  <c r="DI169" i="6"/>
  <c r="DN151" i="1"/>
  <c r="DI90" i="6"/>
  <c r="DC227" i="1"/>
  <c r="DC60" i="1" s="1"/>
  <c r="DN343" i="1"/>
  <c r="DA234" i="1"/>
  <c r="DA57" i="1"/>
  <c r="CY415" i="1"/>
  <c r="CT107" i="6" s="1"/>
  <c r="CP107" i="6"/>
  <c r="CP66" i="6"/>
  <c r="DF37" i="5"/>
  <c r="DG34" i="6"/>
  <c r="DG32" i="5"/>
  <c r="DM326" i="1"/>
  <c r="DM327" i="1"/>
  <c r="DE49" i="1"/>
  <c r="DE448" i="1"/>
  <c r="DE79" i="1"/>
  <c r="DE107" i="1"/>
  <c r="CX88" i="6"/>
  <c r="CX91" i="6" s="1"/>
  <c r="CX175" i="6"/>
  <c r="CY175" i="6" s="1"/>
  <c r="DC150" i="1"/>
  <c r="DC152" i="1" s="1"/>
  <c r="CX74" i="6"/>
  <c r="DM355" i="1"/>
  <c r="DM361" i="1"/>
  <c r="DM362" i="1" s="1"/>
  <c r="DM32" i="1"/>
  <c r="DK357" i="1"/>
  <c r="DK356" i="1"/>
  <c r="DI78" i="1"/>
  <c r="DI106" i="1"/>
  <c r="DI442" i="1"/>
  <c r="DI41" i="1"/>
  <c r="U14" i="128"/>
  <c r="U15" i="128" s="1"/>
  <c r="DD196" i="1"/>
  <c r="DD198" i="1" s="1"/>
  <c r="DD226" i="1" s="1"/>
  <c r="DD165" i="1"/>
  <c r="DD189" i="1" s="1"/>
  <c r="CZ63" i="1"/>
  <c r="DO98" i="1"/>
  <c r="DO20" i="1"/>
  <c r="CN49" i="5"/>
  <c r="CN56" i="5"/>
  <c r="CN55" i="5"/>
  <c r="CN54" i="5"/>
  <c r="DD372" i="1"/>
  <c r="DJ352" i="1"/>
  <c r="DJ33" i="1"/>
  <c r="DJ353" i="1"/>
  <c r="DJ364" i="1"/>
  <c r="DN325" i="1"/>
  <c r="DN326" i="1" s="1"/>
  <c r="DL355" i="1"/>
  <c r="DL361" i="1"/>
  <c r="DL362" i="1" s="1"/>
  <c r="DL32" i="1"/>
  <c r="DN329" i="1"/>
  <c r="DQ9" i="1"/>
  <c r="DQ436" i="1" s="1"/>
  <c r="DG78" i="1"/>
  <c r="DG106" i="1"/>
  <c r="DG442" i="1"/>
  <c r="DG447" i="1"/>
  <c r="DG41" i="1"/>
  <c r="DB53" i="5"/>
  <c r="DG48" i="1"/>
  <c r="CZ80" i="1"/>
  <c r="CZ111" i="1"/>
  <c r="DB190" i="1"/>
  <c r="DB42" i="1"/>
  <c r="DB192" i="1"/>
  <c r="DM151" i="1"/>
  <c r="DH176" i="6"/>
  <c r="DI176" i="6" s="1"/>
  <c r="DH90" i="6"/>
  <c r="DH54" i="6"/>
  <c r="DI54" i="6" s="1"/>
  <c r="DC190" i="1"/>
  <c r="DC42" i="1"/>
  <c r="DC192" i="1"/>
  <c r="DI209" i="5"/>
  <c r="DH13" i="5"/>
  <c r="DH31" i="6" s="1"/>
  <c r="DH12" i="5"/>
  <c r="DH30" i="6" s="1"/>
  <c r="DH27" i="5"/>
  <c r="DA111" i="1"/>
  <c r="DA80" i="1"/>
  <c r="DK352" i="1"/>
  <c r="DK353" i="1"/>
  <c r="DK33" i="1"/>
  <c r="DD84" i="1"/>
  <c r="CY71" i="5"/>
  <c r="DD113" i="1"/>
  <c r="DD64" i="1"/>
  <c r="DD56" i="1"/>
  <c r="CM57" i="5"/>
  <c r="CM59" i="5"/>
  <c r="CW88" i="6"/>
  <c r="CW91" i="6" s="1"/>
  <c r="CW173" i="6"/>
  <c r="CW175" i="6"/>
  <c r="DB150" i="1"/>
  <c r="DB152" i="1" s="1"/>
  <c r="CW74" i="6"/>
  <c r="CY38" i="6"/>
  <c r="DL327" i="1"/>
  <c r="DK364" i="1"/>
  <c r="CZ234" i="1"/>
  <c r="CZ57" i="1"/>
  <c r="DE17" i="5"/>
  <c r="DG171" i="6"/>
  <c r="DL164" i="1"/>
  <c r="DN164" i="1" s="1"/>
  <c r="DL444" i="1"/>
  <c r="DL445" i="1" s="1"/>
  <c r="DI11" i="6"/>
  <c r="DF27" i="6"/>
  <c r="CT102" i="6"/>
  <c r="CY411" i="1"/>
  <c r="DN99" i="1"/>
  <c r="V12" i="128"/>
  <c r="V13" i="128" s="1"/>
  <c r="CO221" i="5"/>
  <c r="CO22" i="5"/>
  <c r="DH442" i="1"/>
  <c r="DH106" i="1"/>
  <c r="DH78" i="1"/>
  <c r="DH447" i="1"/>
  <c r="DI447" i="1" s="1"/>
  <c r="DH41" i="1"/>
  <c r="DC53" i="5"/>
  <c r="DH48" i="1"/>
  <c r="DG222" i="5"/>
  <c r="CM58" i="5"/>
  <c r="DF49" i="1"/>
  <c r="DF51" i="1" s="1"/>
  <c r="DF107" i="1"/>
  <c r="DF448" i="1"/>
  <c r="DF79" i="1"/>
  <c r="CN77" i="6"/>
  <c r="DR9" i="1"/>
  <c r="DG30" i="6"/>
  <c r="DP87" i="1"/>
  <c r="S19" i="128" l="1"/>
  <c r="S38" i="128"/>
  <c r="DC235" i="1"/>
  <c r="DC236" i="1" s="1"/>
  <c r="DC62" i="1" s="1"/>
  <c r="DI48" i="1"/>
  <c r="DC233" i="1"/>
  <c r="DC57" i="1" s="1"/>
  <c r="DI31" i="6"/>
  <c r="DF113" i="1"/>
  <c r="DA71" i="5"/>
  <c r="DF84" i="1"/>
  <c r="DF64" i="1"/>
  <c r="DA9" i="6"/>
  <c r="DF160" i="1"/>
  <c r="DF56" i="1"/>
  <c r="CO55" i="5"/>
  <c r="CN58" i="5"/>
  <c r="DO99" i="1"/>
  <c r="DO446" i="1"/>
  <c r="DO343" i="1"/>
  <c r="DJ209" i="5"/>
  <c r="DJ43" i="6"/>
  <c r="DO437" i="1"/>
  <c r="DM356" i="1"/>
  <c r="DM357" i="1"/>
  <c r="CP97" i="6"/>
  <c r="CT66" i="6"/>
  <c r="CP226" i="5"/>
  <c r="CT226" i="5" s="1"/>
  <c r="CP71" i="6"/>
  <c r="CP43" i="5"/>
  <c r="DK365" i="1"/>
  <c r="DK34" i="1"/>
  <c r="DL356" i="1"/>
  <c r="DL357" i="1"/>
  <c r="DJ104" i="1"/>
  <c r="DJ76" i="1"/>
  <c r="DH79" i="1"/>
  <c r="DH107" i="1"/>
  <c r="DH448" i="1"/>
  <c r="DI448" i="1" s="1"/>
  <c r="DI171" i="6"/>
  <c r="DN444" i="1"/>
  <c r="DN445" i="1" s="1"/>
  <c r="DN443" i="1"/>
  <c r="DK76" i="1"/>
  <c r="DK104" i="1"/>
  <c r="DB193" i="1"/>
  <c r="DB43" i="1"/>
  <c r="DD192" i="1"/>
  <c r="DG49" i="1"/>
  <c r="DG51" i="1" s="1"/>
  <c r="DG448" i="1"/>
  <c r="DG107" i="1"/>
  <c r="DG79" i="1"/>
  <c r="DQ87" i="1"/>
  <c r="DS9" i="1"/>
  <c r="DN32" i="1"/>
  <c r="CO56" i="5"/>
  <c r="DD42" i="1"/>
  <c r="DD190" i="1"/>
  <c r="CX95" i="6"/>
  <c r="CX92" i="6"/>
  <c r="DE163" i="1"/>
  <c r="DM328" i="1"/>
  <c r="DM342" i="1"/>
  <c r="DM331" i="1"/>
  <c r="DM351" i="1" s="1"/>
  <c r="DC63" i="1"/>
  <c r="DD53" i="5"/>
  <c r="DK121" i="6"/>
  <c r="DK11" i="6" s="1"/>
  <c r="CW92" i="6"/>
  <c r="CW95" i="6"/>
  <c r="DD117" i="1"/>
  <c r="DI13" i="5"/>
  <c r="DN361" i="1"/>
  <c r="DN362" i="1" s="1"/>
  <c r="DN355" i="1"/>
  <c r="DN330" i="1"/>
  <c r="DO330" i="1" s="1"/>
  <c r="DD373" i="1"/>
  <c r="DD376" i="1"/>
  <c r="DB60" i="1"/>
  <c r="DD227" i="1"/>
  <c r="DD235" i="1" s="1"/>
  <c r="DD236" i="1" s="1"/>
  <c r="DD62" i="1" s="1"/>
  <c r="CO49" i="5"/>
  <c r="DB233" i="1"/>
  <c r="DG27" i="6"/>
  <c r="DI30" i="6"/>
  <c r="DR87" i="1"/>
  <c r="CN78" i="6"/>
  <c r="CN86" i="6"/>
  <c r="DH49" i="1"/>
  <c r="CT103" i="6"/>
  <c r="S42" i="128"/>
  <c r="S43" i="128" s="1"/>
  <c r="CY412" i="1"/>
  <c r="CT104" i="6" s="1"/>
  <c r="DF17" i="5"/>
  <c r="CZ61" i="1"/>
  <c r="CZ439" i="1"/>
  <c r="DA439" i="1"/>
  <c r="CY88" i="6"/>
  <c r="CY91" i="6" s="1"/>
  <c r="CY173" i="6"/>
  <c r="CX173" i="6" s="1"/>
  <c r="DD150" i="1"/>
  <c r="DD152" i="1" s="1"/>
  <c r="DI27" i="5"/>
  <c r="DH34" i="6"/>
  <c r="DH27" i="6" s="1"/>
  <c r="DH32" i="5"/>
  <c r="DC193" i="1"/>
  <c r="DC43" i="1"/>
  <c r="DB108" i="1"/>
  <c r="DB81" i="1"/>
  <c r="DC438" i="1"/>
  <c r="DB438" i="1"/>
  <c r="CW62" i="5" s="1"/>
  <c r="DJ365" i="1"/>
  <c r="DJ34" i="1"/>
  <c r="DT102" i="1"/>
  <c r="DO102" i="1"/>
  <c r="DO74" i="1"/>
  <c r="DI107" i="1"/>
  <c r="DI79" i="1"/>
  <c r="DE51" i="1"/>
  <c r="DA52" i="5" s="1"/>
  <c r="DF163" i="1"/>
  <c r="DF197" i="1" s="1"/>
  <c r="DP98" i="1"/>
  <c r="DP20" i="1"/>
  <c r="DL328" i="1"/>
  <c r="DL342" i="1"/>
  <c r="DL331" i="1"/>
  <c r="DL351" i="1" s="1"/>
  <c r="DN327" i="1"/>
  <c r="DH222" i="5"/>
  <c r="DI12" i="5"/>
  <c r="DC81" i="1"/>
  <c r="DC108" i="1"/>
  <c r="CO54" i="5"/>
  <c r="CN57" i="5"/>
  <c r="CN59" i="5"/>
  <c r="DR436" i="1"/>
  <c r="DS436" i="1" s="1"/>
  <c r="DG37" i="5"/>
  <c r="DA61" i="1"/>
  <c r="DC234" i="1" l="1"/>
  <c r="CY92" i="6"/>
  <c r="DR98" i="1"/>
  <c r="DR20" i="1"/>
  <c r="DC111" i="1"/>
  <c r="DC80" i="1"/>
  <c r="DI218" i="5"/>
  <c r="CY95" i="6"/>
  <c r="T39" i="128"/>
  <c r="T40" i="128" s="1"/>
  <c r="DU102" i="1"/>
  <c r="DP102" i="1"/>
  <c r="DP74" i="1"/>
  <c r="DB234" i="1"/>
  <c r="DB57" i="1"/>
  <c r="DB63" i="1"/>
  <c r="DN357" i="1"/>
  <c r="DN356" i="1"/>
  <c r="DS87" i="1"/>
  <c r="W10" i="128"/>
  <c r="W11" i="128" s="1"/>
  <c r="DG113" i="1"/>
  <c r="DG84" i="1"/>
  <c r="DB71" i="5"/>
  <c r="DG64" i="1"/>
  <c r="DG160" i="1"/>
  <c r="DB52" i="5"/>
  <c r="DB9" i="6"/>
  <c r="DG56" i="1"/>
  <c r="DF211" i="5"/>
  <c r="DK77" i="1"/>
  <c r="DK105" i="1"/>
  <c r="DK39" i="1"/>
  <c r="CP74" i="5"/>
  <c r="CP75" i="5" s="1"/>
  <c r="CQ43" i="5"/>
  <c r="CP47" i="5"/>
  <c r="DF196" i="1"/>
  <c r="DF198" i="1" s="1"/>
  <c r="DF226" i="1" s="1"/>
  <c r="DF165" i="1"/>
  <c r="DF189" i="1" s="1"/>
  <c r="CO57" i="5"/>
  <c r="DT9" i="1"/>
  <c r="DE211" i="5"/>
  <c r="DJ105" i="1"/>
  <c r="DJ77" i="1"/>
  <c r="DJ39" i="1"/>
  <c r="CX62" i="5"/>
  <c r="DD438" i="1"/>
  <c r="CY62" i="5" s="1"/>
  <c r="CZ440" i="1"/>
  <c r="CZ410" i="1"/>
  <c r="DH163" i="1"/>
  <c r="DH197" i="1" s="1"/>
  <c r="DI216" i="5"/>
  <c r="DJ121" i="6"/>
  <c r="DJ11" i="6" s="1"/>
  <c r="CT71" i="6"/>
  <c r="CP74" i="6"/>
  <c r="DA38" i="6"/>
  <c r="DN328" i="1"/>
  <c r="DN342" i="1"/>
  <c r="DP446" i="1"/>
  <c r="DP99" i="1"/>
  <c r="DP343" i="1"/>
  <c r="DK43" i="6"/>
  <c r="DK209" i="5"/>
  <c r="DQ98" i="1"/>
  <c r="DQ20" i="1"/>
  <c r="DH37" i="5"/>
  <c r="DI32" i="5"/>
  <c r="DO326" i="1"/>
  <c r="DG17" i="5"/>
  <c r="DH51" i="1"/>
  <c r="DE197" i="1"/>
  <c r="DD193" i="1"/>
  <c r="DD43" i="1"/>
  <c r="DC61" i="1"/>
  <c r="DP437" i="1"/>
  <c r="DA449" i="1"/>
  <c r="DA116" i="1"/>
  <c r="DS19" i="1"/>
  <c r="CO59" i="5"/>
  <c r="DM121" i="6"/>
  <c r="DM11" i="6" s="1"/>
  <c r="DI215" i="5"/>
  <c r="DI222" i="5"/>
  <c r="DN331" i="1"/>
  <c r="DN351" i="1" s="1"/>
  <c r="DL121" i="6"/>
  <c r="DL11" i="6" s="1"/>
  <c r="CZ71" i="5"/>
  <c r="DE113" i="1"/>
  <c r="DE84" i="1"/>
  <c r="DE64" i="1"/>
  <c r="CZ52" i="5"/>
  <c r="CZ9" i="6"/>
  <c r="DE56" i="1"/>
  <c r="DE160" i="1"/>
  <c r="DI34" i="6"/>
  <c r="DA416" i="1"/>
  <c r="CV108" i="6" s="1"/>
  <c r="DA440" i="1"/>
  <c r="CZ449" i="1"/>
  <c r="CZ116" i="1"/>
  <c r="DD228" i="1"/>
  <c r="DD229" i="1"/>
  <c r="DD60" i="1"/>
  <c r="DO329" i="1"/>
  <c r="DP330" i="1"/>
  <c r="DK171" i="6"/>
  <c r="DP164" i="1"/>
  <c r="DP444" i="1"/>
  <c r="DP445" i="1" s="1"/>
  <c r="DM352" i="1"/>
  <c r="DM33" i="1"/>
  <c r="DM353" i="1"/>
  <c r="DM364" i="1"/>
  <c r="DI49" i="1"/>
  <c r="DD81" i="1"/>
  <c r="DD108" i="1"/>
  <c r="DG163" i="1"/>
  <c r="DG197" i="1" s="1"/>
  <c r="DB80" i="1"/>
  <c r="DB111" i="1"/>
  <c r="DD233" i="1"/>
  <c r="CT97" i="6"/>
  <c r="CT167" i="6" s="1"/>
  <c r="DJ176" i="6"/>
  <c r="DO151" i="1"/>
  <c r="DJ90" i="6"/>
  <c r="DJ54" i="6"/>
  <c r="DJ13" i="5"/>
  <c r="DJ31" i="6" s="1"/>
  <c r="DJ12" i="5"/>
  <c r="DJ30" i="6" s="1"/>
  <c r="DJ27" i="5"/>
  <c r="CO58" i="5"/>
  <c r="DF117" i="1"/>
  <c r="DR437" i="1" l="1"/>
  <c r="DS437" i="1" s="1"/>
  <c r="DQ330" i="1"/>
  <c r="DP329" i="1"/>
  <c r="DJ34" i="6"/>
  <c r="DJ27" i="6" s="1"/>
  <c r="DJ32" i="5"/>
  <c r="DO355" i="1"/>
  <c r="DO32" i="1"/>
  <c r="DO361" i="1"/>
  <c r="DO362" i="1" s="1"/>
  <c r="DE196" i="1"/>
  <c r="DE198" i="1" s="1"/>
  <c r="DE226" i="1" s="1"/>
  <c r="DE165" i="1"/>
  <c r="DE189" i="1" s="1"/>
  <c r="DE117" i="1"/>
  <c r="DF227" i="1"/>
  <c r="DF60" i="1" s="1"/>
  <c r="DU9" i="1"/>
  <c r="DU436" i="1" s="1"/>
  <c r="DR164" i="1"/>
  <c r="DM171" i="6"/>
  <c r="DR444" i="1"/>
  <c r="DR445" i="1" s="1"/>
  <c r="DS98" i="1"/>
  <c r="DS20" i="1"/>
  <c r="DC116" i="1"/>
  <c r="DD80" i="1"/>
  <c r="T16" i="128"/>
  <c r="DD111" i="1"/>
  <c r="DP326" i="1"/>
  <c r="DH17" i="5"/>
  <c r="DW102" i="1"/>
  <c r="DR102" i="1"/>
  <c r="DR74" i="1"/>
  <c r="DT87" i="1"/>
  <c r="DT436" i="1"/>
  <c r="CP76" i="5"/>
  <c r="CP61" i="5"/>
  <c r="CQ70" i="5"/>
  <c r="CP48" i="5"/>
  <c r="DK78" i="1"/>
  <c r="DK447" i="1"/>
  <c r="DK442" i="1"/>
  <c r="DK106" i="1"/>
  <c r="DK41" i="1"/>
  <c r="DF53" i="5"/>
  <c r="DK48" i="1"/>
  <c r="DB38" i="6"/>
  <c r="DB61" i="1"/>
  <c r="DC439" i="1"/>
  <c r="DB439" i="1"/>
  <c r="DR99" i="1"/>
  <c r="DR343" i="1"/>
  <c r="DR446" i="1"/>
  <c r="DS446" i="1" s="1"/>
  <c r="DM43" i="6"/>
  <c r="DM209" i="5"/>
  <c r="DD57" i="1"/>
  <c r="DD234" i="1"/>
  <c r="DJ222" i="5"/>
  <c r="DM104" i="1"/>
  <c r="DM76" i="1"/>
  <c r="DD63" i="1"/>
  <c r="DN352" i="1"/>
  <c r="DN353" i="1"/>
  <c r="DK12" i="5"/>
  <c r="DK30" i="6" s="1"/>
  <c r="DK27" i="5"/>
  <c r="DK13" i="5"/>
  <c r="DK31" i="6" s="1"/>
  <c r="DP151" i="1"/>
  <c r="DK176" i="6"/>
  <c r="DK54" i="6"/>
  <c r="DK90" i="6"/>
  <c r="CT74" i="6"/>
  <c r="DN119" i="6"/>
  <c r="DN121" i="6" s="1"/>
  <c r="CZ416" i="1"/>
  <c r="CU108" i="6" s="1"/>
  <c r="DD410" i="1"/>
  <c r="CU102" i="6"/>
  <c r="CZ415" i="1"/>
  <c r="DJ106" i="1"/>
  <c r="DJ78" i="1"/>
  <c r="DJ442" i="1"/>
  <c r="DJ447" i="1"/>
  <c r="DJ41" i="1"/>
  <c r="DE53" i="5"/>
  <c r="DJ48" i="1"/>
  <c r="CQ74" i="5"/>
  <c r="CQ47" i="5"/>
  <c r="CR43" i="5"/>
  <c r="DI82" i="1"/>
  <c r="DI51" i="1"/>
  <c r="CZ38" i="6"/>
  <c r="DA175" i="6" s="1"/>
  <c r="DL171" i="6"/>
  <c r="DQ164" i="1"/>
  <c r="DQ444" i="1"/>
  <c r="DQ445" i="1" s="1"/>
  <c r="DL352" i="1"/>
  <c r="DL33" i="1"/>
  <c r="DL353" i="1"/>
  <c r="DL364" i="1"/>
  <c r="DI163" i="1"/>
  <c r="DI197" i="1" s="1"/>
  <c r="DO327" i="1"/>
  <c r="DI37" i="5"/>
  <c r="DQ446" i="1"/>
  <c r="DQ99" i="1"/>
  <c r="DQ343" i="1"/>
  <c r="DL209" i="5"/>
  <c r="DL43" i="6"/>
  <c r="DA88" i="6"/>
  <c r="DA91" i="6" s="1"/>
  <c r="DF150" i="1"/>
  <c r="DF152" i="1" s="1"/>
  <c r="DA74" i="6"/>
  <c r="DJ171" i="6"/>
  <c r="DN11" i="6"/>
  <c r="DO444" i="1"/>
  <c r="DO445" i="1" s="1"/>
  <c r="DO164" i="1"/>
  <c r="DQ102" i="1"/>
  <c r="DV102" i="1"/>
  <c r="DQ74" i="1"/>
  <c r="DS31" i="1"/>
  <c r="DF190" i="1"/>
  <c r="DF42" i="1"/>
  <c r="DF192" i="1"/>
  <c r="DG196" i="1"/>
  <c r="DG198" i="1" s="1"/>
  <c r="DG226" i="1" s="1"/>
  <c r="DG165" i="1"/>
  <c r="DG189" i="1" s="1"/>
  <c r="DM365" i="1"/>
  <c r="DM34" i="1"/>
  <c r="DE227" i="1"/>
  <c r="DC71" i="5"/>
  <c r="DH84" i="1"/>
  <c r="DH64" i="1"/>
  <c r="DH113" i="1"/>
  <c r="DH56" i="1"/>
  <c r="DC52" i="5"/>
  <c r="DC9" i="6"/>
  <c r="DH160" i="1"/>
  <c r="DI160" i="1" s="1"/>
  <c r="CP77" i="6"/>
  <c r="CP10" i="5"/>
  <c r="DI27" i="6"/>
  <c r="DG117" i="1"/>
  <c r="DQ437" i="1"/>
  <c r="DA173" i="6" l="1"/>
  <c r="DS164" i="1"/>
  <c r="DI196" i="1"/>
  <c r="DI198" i="1" s="1"/>
  <c r="DI226" i="1" s="1"/>
  <c r="DI165" i="1"/>
  <c r="DI189" i="1" s="1"/>
  <c r="DE233" i="1"/>
  <c r="DE235" i="1"/>
  <c r="DE236" i="1" s="1"/>
  <c r="DE62" i="1" s="1"/>
  <c r="DG227" i="1"/>
  <c r="DG60" i="1" s="1"/>
  <c r="DB416" i="1"/>
  <c r="CW108" i="6" s="1"/>
  <c r="DB440" i="1"/>
  <c r="DK448" i="1"/>
  <c r="DK79" i="1"/>
  <c r="DK107" i="1"/>
  <c r="DP355" i="1"/>
  <c r="DP361" i="1"/>
  <c r="DP362" i="1" s="1"/>
  <c r="DP32" i="1"/>
  <c r="DF108" i="1"/>
  <c r="DF81" i="1"/>
  <c r="DN171" i="6"/>
  <c r="DS444" i="1"/>
  <c r="DS445" i="1" s="1"/>
  <c r="DS443" i="1"/>
  <c r="DA95" i="6"/>
  <c r="DA92" i="6"/>
  <c r="DL104" i="1"/>
  <c r="DL76" i="1"/>
  <c r="DN33" i="1"/>
  <c r="CU107" i="6"/>
  <c r="DD415" i="1"/>
  <c r="CY107" i="6" s="1"/>
  <c r="CU66" i="6"/>
  <c r="DK34" i="6"/>
  <c r="DK32" i="5"/>
  <c r="DQ326" i="1"/>
  <c r="DS325" i="1"/>
  <c r="DS326" i="1" s="1"/>
  <c r="DD61" i="1"/>
  <c r="CQ75" i="5"/>
  <c r="CQ76" i="5" s="1"/>
  <c r="DI17" i="5"/>
  <c r="DU87" i="1"/>
  <c r="DF63" i="1"/>
  <c r="DR151" i="1"/>
  <c r="DM54" i="6"/>
  <c r="DM176" i="6"/>
  <c r="DN176" i="6" s="1"/>
  <c r="DM90" i="6"/>
  <c r="DB116" i="1"/>
  <c r="DB449" i="1"/>
  <c r="DS99" i="1"/>
  <c r="W12" i="128"/>
  <c r="W13" i="128" s="1"/>
  <c r="DT98" i="1"/>
  <c r="DT74" i="1"/>
  <c r="DT20" i="1"/>
  <c r="CP103" i="5"/>
  <c r="CP63" i="5"/>
  <c r="CU147" i="1"/>
  <c r="CP86" i="6"/>
  <c r="CU394" i="1"/>
  <c r="CP128" i="5"/>
  <c r="CP16" i="5"/>
  <c r="CQ10" i="5"/>
  <c r="CQ185" i="5" s="1"/>
  <c r="CP185" i="5"/>
  <c r="DC38" i="6"/>
  <c r="DD38" i="6" s="1"/>
  <c r="DH117" i="1"/>
  <c r="DM77" i="1"/>
  <c r="DM105" i="1"/>
  <c r="DM39" i="1"/>
  <c r="DL176" i="6"/>
  <c r="DQ151" i="1"/>
  <c r="DL54" i="6"/>
  <c r="DL90" i="6"/>
  <c r="DN43" i="6"/>
  <c r="DO342" i="1"/>
  <c r="DO328" i="1"/>
  <c r="DO331" i="1"/>
  <c r="DO351" i="1" s="1"/>
  <c r="DL365" i="1"/>
  <c r="DL34" i="1"/>
  <c r="DN364" i="1"/>
  <c r="DN365" i="1" s="1"/>
  <c r="CZ173" i="6"/>
  <c r="CZ175" i="6"/>
  <c r="CZ88" i="6"/>
  <c r="CZ91" i="6" s="1"/>
  <c r="DE150" i="1"/>
  <c r="DE152" i="1" s="1"/>
  <c r="DI372" i="1"/>
  <c r="DW9" i="1"/>
  <c r="CR74" i="5"/>
  <c r="CR47" i="5"/>
  <c r="CS43" i="5"/>
  <c r="CY102" i="6"/>
  <c r="DD411" i="1"/>
  <c r="CT77" i="6"/>
  <c r="DN209" i="5"/>
  <c r="DM13" i="5"/>
  <c r="DM27" i="5"/>
  <c r="DM12" i="5"/>
  <c r="DP327" i="1"/>
  <c r="DC449" i="1"/>
  <c r="DD449" i="1" s="1"/>
  <c r="DF233" i="1"/>
  <c r="DO357" i="1"/>
  <c r="DO356" i="1"/>
  <c r="DJ37" i="5"/>
  <c r="DQ329" i="1"/>
  <c r="DQ327" i="1" s="1"/>
  <c r="DR330" i="1"/>
  <c r="DR329" i="1" s="1"/>
  <c r="DR327" i="1" s="1"/>
  <c r="DH196" i="1"/>
  <c r="DH198" i="1" s="1"/>
  <c r="DH226" i="1" s="1"/>
  <c r="DH165" i="1"/>
  <c r="DH189" i="1" s="1"/>
  <c r="DG42" i="1"/>
  <c r="DG190" i="1"/>
  <c r="DG192" i="1"/>
  <c r="DI113" i="1"/>
  <c r="DD71" i="5"/>
  <c r="DI84" i="1"/>
  <c r="DI64" i="1"/>
  <c r="DI56" i="1"/>
  <c r="DK222" i="5"/>
  <c r="DK49" i="1"/>
  <c r="DR326" i="1"/>
  <c r="CP78" i="6"/>
  <c r="CQ75" i="6"/>
  <c r="DD52" i="5"/>
  <c r="DE60" i="1"/>
  <c r="DV9" i="1"/>
  <c r="DF193" i="1"/>
  <c r="DF43" i="1"/>
  <c r="DS102" i="1"/>
  <c r="DX102" i="1"/>
  <c r="DS74" i="1"/>
  <c r="DS343" i="1"/>
  <c r="DL27" i="5"/>
  <c r="DL13" i="5"/>
  <c r="DL12" i="5"/>
  <c r="DD9" i="6"/>
  <c r="CQ61" i="5"/>
  <c r="CQ48" i="5"/>
  <c r="CR70" i="5"/>
  <c r="DJ49" i="1"/>
  <c r="DJ107" i="1"/>
  <c r="DJ448" i="1"/>
  <c r="DJ79" i="1"/>
  <c r="DD439" i="1"/>
  <c r="DC440" i="1"/>
  <c r="DD440" i="1" s="1"/>
  <c r="DC416" i="1"/>
  <c r="DB173" i="6"/>
  <c r="DB175" i="6"/>
  <c r="DB88" i="6"/>
  <c r="DB91" i="6" s="1"/>
  <c r="DG150" i="1"/>
  <c r="DG152" i="1" s="1"/>
  <c r="DB74" i="6"/>
  <c r="T17" i="128"/>
  <c r="T37" i="128"/>
  <c r="DF235" i="1"/>
  <c r="DF236" i="1" s="1"/>
  <c r="DF62" i="1" s="1"/>
  <c r="DE42" i="1"/>
  <c r="DE192" i="1"/>
  <c r="DE190" i="1"/>
  <c r="DN54" i="6" l="1"/>
  <c r="DS329" i="1"/>
  <c r="DS330" i="1" s="1"/>
  <c r="DT330" i="1" s="1"/>
  <c r="DG235" i="1"/>
  <c r="DG236" i="1" s="1"/>
  <c r="DG62" i="1" s="1"/>
  <c r="DG233" i="1"/>
  <c r="DG234" i="1" s="1"/>
  <c r="DB95" i="6"/>
  <c r="DB92" i="6"/>
  <c r="DM31" i="6"/>
  <c r="CQ77" i="6"/>
  <c r="CQ86" i="6" s="1"/>
  <c r="DH190" i="1"/>
  <c r="DH42" i="1"/>
  <c r="DH438" i="1" s="1"/>
  <c r="DH192" i="1"/>
  <c r="DI192" i="1" s="1"/>
  <c r="DM222" i="5"/>
  <c r="DN12" i="5"/>
  <c r="T42" i="128"/>
  <c r="T43" i="128" s="1"/>
  <c r="CY103" i="6"/>
  <c r="DD412" i="1"/>
  <c r="CY104" i="6" s="1"/>
  <c r="DQ342" i="1"/>
  <c r="DQ328" i="1"/>
  <c r="DQ331" i="1"/>
  <c r="DQ351" i="1" s="1"/>
  <c r="DQ364" i="1" s="1"/>
  <c r="DE108" i="1"/>
  <c r="DE81" i="1"/>
  <c r="DF438" i="1"/>
  <c r="DA62" i="5" s="1"/>
  <c r="DG438" i="1"/>
  <c r="DB62" i="5" s="1"/>
  <c r="DE438" i="1"/>
  <c r="CZ62" i="5" s="1"/>
  <c r="DJ163" i="1"/>
  <c r="DL222" i="5"/>
  <c r="DM30" i="6"/>
  <c r="DF111" i="1"/>
  <c r="DF80" i="1"/>
  <c r="DE63" i="1"/>
  <c r="DK163" i="1"/>
  <c r="DK197" i="1" s="1"/>
  <c r="DG81" i="1"/>
  <c r="DG108" i="1"/>
  <c r="DQ355" i="1"/>
  <c r="DQ32" i="1"/>
  <c r="DQ361" i="1"/>
  <c r="DQ362" i="1" s="1"/>
  <c r="DP342" i="1"/>
  <c r="DP328" i="1"/>
  <c r="DP331" i="1"/>
  <c r="DP351" i="1" s="1"/>
  <c r="CR61" i="5"/>
  <c r="CS70" i="5"/>
  <c r="CR48" i="5"/>
  <c r="DW87" i="1"/>
  <c r="DI376" i="1"/>
  <c r="DI373" i="1"/>
  <c r="DG211" i="5"/>
  <c r="DL105" i="1"/>
  <c r="DL77" i="1"/>
  <c r="DL39" i="1"/>
  <c r="DM447" i="1" s="1"/>
  <c r="DN447" i="1" s="1"/>
  <c r="DN34" i="1"/>
  <c r="DH211" i="5"/>
  <c r="DI211" i="5" s="1"/>
  <c r="DS151" i="1"/>
  <c r="DN169" i="6"/>
  <c r="DN90" i="6"/>
  <c r="DP356" i="1"/>
  <c r="DP357" i="1"/>
  <c r="DK27" i="6"/>
  <c r="DN104" i="1"/>
  <c r="DN76" i="1"/>
  <c r="DL31" i="6"/>
  <c r="DJ51" i="1"/>
  <c r="DV87" i="1"/>
  <c r="DV436" i="1"/>
  <c r="DX9" i="1"/>
  <c r="DW436" i="1"/>
  <c r="DX436" i="1" s="1"/>
  <c r="DL30" i="6"/>
  <c r="DG43" i="1"/>
  <c r="DG193" i="1"/>
  <c r="DH227" i="1"/>
  <c r="DH233" i="1" s="1"/>
  <c r="DF234" i="1"/>
  <c r="DF57" i="1"/>
  <c r="DN27" i="5"/>
  <c r="DM34" i="6"/>
  <c r="DM32" i="5"/>
  <c r="DD88" i="6"/>
  <c r="DD91" i="6" s="1"/>
  <c r="DI150" i="1"/>
  <c r="DI152" i="1" s="1"/>
  <c r="DD173" i="6"/>
  <c r="DC173" i="6" s="1"/>
  <c r="DM106" i="1"/>
  <c r="DM442" i="1"/>
  <c r="DM78" i="1"/>
  <c r="DM41" i="1"/>
  <c r="DM48" i="1"/>
  <c r="DC88" i="6"/>
  <c r="DC91" i="6" s="1"/>
  <c r="DH150" i="1"/>
  <c r="DH152" i="1" s="1"/>
  <c r="DC175" i="6"/>
  <c r="DD175" i="6" s="1"/>
  <c r="DC74" i="6"/>
  <c r="CP221" i="5"/>
  <c r="CP22" i="5"/>
  <c r="DJ17" i="5"/>
  <c r="DP121" i="6"/>
  <c r="DP11" i="6" s="1"/>
  <c r="DI42" i="1"/>
  <c r="DI190" i="1"/>
  <c r="CX108" i="6"/>
  <c r="DD416" i="1"/>
  <c r="CY108" i="6" s="1"/>
  <c r="DI117" i="1"/>
  <c r="CV147" i="1"/>
  <c r="CQ103" i="5"/>
  <c r="CV394" i="1"/>
  <c r="CQ128" i="5"/>
  <c r="CQ63" i="5"/>
  <c r="CQ16" i="5"/>
  <c r="CR10" i="5"/>
  <c r="DT99" i="1"/>
  <c r="DT446" i="1"/>
  <c r="DT343" i="1"/>
  <c r="DO209" i="5"/>
  <c r="DO43" i="6"/>
  <c r="DT437" i="1"/>
  <c r="CR75" i="5"/>
  <c r="CR76" i="5" s="1"/>
  <c r="DL34" i="6"/>
  <c r="DL32" i="5"/>
  <c r="DE193" i="1"/>
  <c r="DE43" i="1"/>
  <c r="DR328" i="1"/>
  <c r="DR342" i="1"/>
  <c r="DR331" i="1"/>
  <c r="DK51" i="1"/>
  <c r="DR355" i="1"/>
  <c r="DR361" i="1"/>
  <c r="DR362" i="1" s="1"/>
  <c r="DR32" i="1"/>
  <c r="DN13" i="5"/>
  <c r="CU75" i="6"/>
  <c r="CY75" i="6"/>
  <c r="CS74" i="5"/>
  <c r="CS47" i="5"/>
  <c r="CT43" i="5"/>
  <c r="CZ95" i="6"/>
  <c r="CZ92" i="6"/>
  <c r="DS327" i="1"/>
  <c r="DD116" i="1"/>
  <c r="T18" i="128"/>
  <c r="DK37" i="5"/>
  <c r="CU97" i="6"/>
  <c r="CU226" i="5"/>
  <c r="CY226" i="5" s="1"/>
  <c r="CY66" i="6"/>
  <c r="CU71" i="6"/>
  <c r="DU98" i="1"/>
  <c r="DU74" i="1"/>
  <c r="DU20" i="1"/>
  <c r="DU437" i="1" s="1"/>
  <c r="DG63" i="1"/>
  <c r="DE234" i="1"/>
  <c r="DE57" i="1"/>
  <c r="DS361" i="1" l="1"/>
  <c r="DS362" i="1" s="1"/>
  <c r="DS355" i="1"/>
  <c r="DS356" i="1" s="1"/>
  <c r="DG57" i="1"/>
  <c r="DG439" i="1" s="1"/>
  <c r="DR351" i="1"/>
  <c r="DR364" i="1" s="1"/>
  <c r="DH235" i="1"/>
  <c r="DH236" i="1" s="1"/>
  <c r="DH62" i="1" s="1"/>
  <c r="DS32" i="1"/>
  <c r="DK113" i="1"/>
  <c r="DF71" i="5"/>
  <c r="DK84" i="1"/>
  <c r="DK64" i="1"/>
  <c r="DK56" i="1"/>
  <c r="DF52" i="5"/>
  <c r="DF9" i="6"/>
  <c r="DK160" i="1"/>
  <c r="CP49" i="5"/>
  <c r="CP56" i="5"/>
  <c r="CP54" i="5"/>
  <c r="CP55" i="5"/>
  <c r="DV74" i="1"/>
  <c r="DV98" i="1"/>
  <c r="DV20" i="1"/>
  <c r="DX19" i="1"/>
  <c r="DL442" i="1"/>
  <c r="DL106" i="1"/>
  <c r="DL447" i="1"/>
  <c r="DL78" i="1"/>
  <c r="DL41" i="1"/>
  <c r="DM448" i="1" s="1"/>
  <c r="DN448" i="1" s="1"/>
  <c r="DG53" i="5"/>
  <c r="DL48" i="1"/>
  <c r="DJ197" i="1"/>
  <c r="DC62" i="5"/>
  <c r="DI438" i="1"/>
  <c r="DD62" i="5" s="1"/>
  <c r="DE61" i="1"/>
  <c r="DE439" i="1"/>
  <c r="DF439" i="1"/>
  <c r="DS328" i="1"/>
  <c r="DS342" i="1"/>
  <c r="CS61" i="5"/>
  <c r="CS48" i="5"/>
  <c r="CT47" i="5"/>
  <c r="DR357" i="1"/>
  <c r="DR356" i="1"/>
  <c r="DR121" i="6"/>
  <c r="DR11" i="6" s="1"/>
  <c r="CQ221" i="5"/>
  <c r="CQ22" i="5"/>
  <c r="DI81" i="1"/>
  <c r="DI108" i="1"/>
  <c r="DH53" i="5"/>
  <c r="DN218" i="5"/>
  <c r="DG111" i="1"/>
  <c r="DG80" i="1"/>
  <c r="DN31" i="6"/>
  <c r="DS357" i="1"/>
  <c r="DN77" i="1"/>
  <c r="DN105" i="1"/>
  <c r="DN39" i="1"/>
  <c r="DQ34" i="1"/>
  <c r="DQ365" i="1"/>
  <c r="DK227" i="1"/>
  <c r="DK60" i="1" s="1"/>
  <c r="DM27" i="6"/>
  <c r="DQ352" i="1"/>
  <c r="DQ353" i="1"/>
  <c r="DQ33" i="1"/>
  <c r="DE111" i="1"/>
  <c r="DE80" i="1"/>
  <c r="DL27" i="6"/>
  <c r="DN30" i="6"/>
  <c r="DQ357" i="1"/>
  <c r="DQ356" i="1"/>
  <c r="CY71" i="6"/>
  <c r="CU74" i="6"/>
  <c r="T19" i="128"/>
  <c r="T38" i="128"/>
  <c r="DI193" i="1"/>
  <c r="DI43" i="1"/>
  <c r="DL37" i="5"/>
  <c r="DK17" i="5"/>
  <c r="DQ121" i="6"/>
  <c r="DQ11" i="6" s="1"/>
  <c r="DM79" i="1"/>
  <c r="DM107" i="1"/>
  <c r="DS331" i="1"/>
  <c r="DS351" i="1" s="1"/>
  <c r="DD95" i="6"/>
  <c r="U39" i="128"/>
  <c r="U40" i="128" s="1"/>
  <c r="DN32" i="5"/>
  <c r="DM37" i="5"/>
  <c r="DF61" i="1"/>
  <c r="DH60" i="1"/>
  <c r="DI227" i="1"/>
  <c r="DU330" i="1"/>
  <c r="DT329" i="1"/>
  <c r="DH193" i="1"/>
  <c r="DH43" i="1"/>
  <c r="CQ78" i="6"/>
  <c r="CR75" i="6"/>
  <c r="DO27" i="5"/>
  <c r="DO13" i="5"/>
  <c r="DO31" i="6" s="1"/>
  <c r="DO12" i="5"/>
  <c r="DO30" i="6" s="1"/>
  <c r="DH57" i="1"/>
  <c r="DH234" i="1"/>
  <c r="DT326" i="1"/>
  <c r="DU446" i="1"/>
  <c r="DU99" i="1"/>
  <c r="DU343" i="1"/>
  <c r="DP209" i="5"/>
  <c r="DP43" i="6"/>
  <c r="CY97" i="6"/>
  <c r="CY167" i="6" s="1"/>
  <c r="CT74" i="5"/>
  <c r="CT75" i="5" s="1"/>
  <c r="CU43" i="5"/>
  <c r="DN216" i="5"/>
  <c r="DN34" i="6"/>
  <c r="DW98" i="1"/>
  <c r="DW74" i="1"/>
  <c r="DW20" i="1"/>
  <c r="DO176" i="6"/>
  <c r="DT151" i="1"/>
  <c r="DO54" i="6"/>
  <c r="DO90" i="6"/>
  <c r="CR63" i="5"/>
  <c r="CR128" i="5"/>
  <c r="CW394" i="1"/>
  <c r="CW147" i="1"/>
  <c r="CR103" i="5"/>
  <c r="CS10" i="5"/>
  <c r="CR16" i="5"/>
  <c r="CR185" i="5"/>
  <c r="DU164" i="1"/>
  <c r="DP171" i="6"/>
  <c r="DU444" i="1"/>
  <c r="DU445" i="1" s="1"/>
  <c r="DC92" i="6"/>
  <c r="DD92" i="6" s="1"/>
  <c r="DC95" i="6"/>
  <c r="DM49" i="1"/>
  <c r="DM51" i="1" s="1"/>
  <c r="DO33" i="1"/>
  <c r="DO352" i="1"/>
  <c r="DO353" i="1"/>
  <c r="DO364" i="1"/>
  <c r="DX87" i="1"/>
  <c r="X10" i="128"/>
  <c r="X11" i="128" s="1"/>
  <c r="DJ84" i="1"/>
  <c r="DJ113" i="1"/>
  <c r="DE71" i="5"/>
  <c r="DJ64" i="1"/>
  <c r="DE52" i="5"/>
  <c r="DJ56" i="1"/>
  <c r="DJ160" i="1"/>
  <c r="DE9" i="6"/>
  <c r="CS75" i="5"/>
  <c r="CS76" i="5" s="1"/>
  <c r="DP353" i="1"/>
  <c r="DP352" i="1"/>
  <c r="DP33" i="1"/>
  <c r="DP364" i="1"/>
  <c r="DO121" i="6"/>
  <c r="DO11" i="6" s="1"/>
  <c r="DN222" i="5"/>
  <c r="DN215" i="5"/>
  <c r="DH108" i="1"/>
  <c r="DH81" i="1"/>
  <c r="DR353" i="1" l="1"/>
  <c r="DG61" i="1"/>
  <c r="DR352" i="1"/>
  <c r="DR33" i="1"/>
  <c r="DS33" i="1" s="1"/>
  <c r="DR365" i="1"/>
  <c r="DR34" i="1"/>
  <c r="DJ196" i="1"/>
  <c r="DJ198" i="1" s="1"/>
  <c r="DJ226" i="1" s="1"/>
  <c r="DJ165" i="1"/>
  <c r="DJ189" i="1" s="1"/>
  <c r="DT355" i="1"/>
  <c r="DT361" i="1"/>
  <c r="DT362" i="1" s="1"/>
  <c r="DT32" i="1"/>
  <c r="DR171" i="6"/>
  <c r="DW164" i="1"/>
  <c r="DW444" i="1"/>
  <c r="DW445" i="1" s="1"/>
  <c r="CT61" i="5"/>
  <c r="CT76" i="5"/>
  <c r="CT48" i="5"/>
  <c r="CU70" i="5"/>
  <c r="CY70" i="5"/>
  <c r="DE449" i="1"/>
  <c r="DE116" i="1"/>
  <c r="DJ227" i="1"/>
  <c r="DO171" i="6"/>
  <c r="DT164" i="1"/>
  <c r="DT444" i="1"/>
  <c r="DT445" i="1" s="1"/>
  <c r="DS11" i="6"/>
  <c r="DE38" i="6"/>
  <c r="DJ117" i="1"/>
  <c r="DH63" i="1"/>
  <c r="DN37" i="5"/>
  <c r="DN27" i="6"/>
  <c r="DF451" i="1"/>
  <c r="DF440" i="1"/>
  <c r="DF416" i="1"/>
  <c r="DA108" i="6" s="1"/>
  <c r="DY9" i="1"/>
  <c r="DX98" i="1"/>
  <c r="DX74" i="1"/>
  <c r="DX20" i="1"/>
  <c r="DP365" i="1"/>
  <c r="DP34" i="1"/>
  <c r="DM113" i="1"/>
  <c r="DH71" i="5"/>
  <c r="DM84" i="1"/>
  <c r="DM64" i="1"/>
  <c r="DM160" i="1"/>
  <c r="DH9" i="6"/>
  <c r="DM56" i="1"/>
  <c r="DW99" i="1"/>
  <c r="DW343" i="1"/>
  <c r="DW446" i="1"/>
  <c r="DX446" i="1" s="1"/>
  <c r="DR43" i="6"/>
  <c r="DR209" i="5"/>
  <c r="DS352" i="1"/>
  <c r="DS353" i="1"/>
  <c r="DQ104" i="1"/>
  <c r="DQ76" i="1"/>
  <c r="CQ49" i="5"/>
  <c r="CQ56" i="5"/>
  <c r="CQ55" i="5"/>
  <c r="CQ54" i="5"/>
  <c r="CP58" i="5"/>
  <c r="DP76" i="1"/>
  <c r="DP104" i="1"/>
  <c r="DO76" i="1"/>
  <c r="DO104" i="1"/>
  <c r="CS63" i="5"/>
  <c r="CS103" i="5"/>
  <c r="CX394" i="1"/>
  <c r="CX147" i="1"/>
  <c r="CS128" i="5"/>
  <c r="CS16" i="5"/>
  <c r="CT10" i="5"/>
  <c r="CU74" i="5"/>
  <c r="CU47" i="5"/>
  <c r="CV43" i="5"/>
  <c r="DP13" i="5"/>
  <c r="DP12" i="5"/>
  <c r="DP30" i="6" s="1"/>
  <c r="DP27" i="5"/>
  <c r="DH61" i="1"/>
  <c r="DH80" i="1"/>
  <c r="DH111" i="1"/>
  <c r="DU329" i="1"/>
  <c r="DU327" i="1" s="1"/>
  <c r="DV330" i="1"/>
  <c r="DI111" i="1"/>
  <c r="DI80" i="1"/>
  <c r="U16" i="128"/>
  <c r="CY74" i="6"/>
  <c r="DK63" i="1"/>
  <c r="DN106" i="1"/>
  <c r="DN78" i="1"/>
  <c r="DN442" i="1"/>
  <c r="DN41" i="1"/>
  <c r="V14" i="128"/>
  <c r="V15" i="128" s="1"/>
  <c r="DG440" i="1"/>
  <c r="DG451" i="1"/>
  <c r="DG416" i="1"/>
  <c r="DB108" i="6" s="1"/>
  <c r="DL49" i="1"/>
  <c r="DN48" i="1"/>
  <c r="DL107" i="1"/>
  <c r="DL79" i="1"/>
  <c r="DL448" i="1"/>
  <c r="CP57" i="5"/>
  <c r="CP59" i="5"/>
  <c r="DK196" i="1"/>
  <c r="DK198" i="1" s="1"/>
  <c r="DK226" i="1" s="1"/>
  <c r="DK165" i="1"/>
  <c r="DK189" i="1" s="1"/>
  <c r="DK117" i="1"/>
  <c r="CR221" i="5"/>
  <c r="CR22" i="5"/>
  <c r="DU151" i="1"/>
  <c r="DP176" i="6"/>
  <c r="DP54" i="6"/>
  <c r="DP90" i="6"/>
  <c r="DO34" i="6"/>
  <c r="DO27" i="6" s="1"/>
  <c r="DO32" i="5"/>
  <c r="DL17" i="5"/>
  <c r="DQ105" i="1"/>
  <c r="DQ77" i="1"/>
  <c r="DQ39" i="1"/>
  <c r="DE451" i="1"/>
  <c r="DE440" i="1"/>
  <c r="DE410" i="1"/>
  <c r="DV446" i="1"/>
  <c r="DV99" i="1"/>
  <c r="DV343" i="1"/>
  <c r="DQ43" i="6"/>
  <c r="DQ209" i="5"/>
  <c r="DW437" i="1"/>
  <c r="DX437" i="1" s="1"/>
  <c r="DS119" i="6"/>
  <c r="DS121" i="6" s="1"/>
  <c r="DO365" i="1"/>
  <c r="DS364" i="1"/>
  <c r="DS365" i="1" s="1"/>
  <c r="DO34" i="1"/>
  <c r="DM163" i="1"/>
  <c r="DM197" i="1" s="1"/>
  <c r="CS185" i="5"/>
  <c r="CT185" i="5" s="1"/>
  <c r="CT159" i="5" s="1"/>
  <c r="DT327" i="1"/>
  <c r="DO222" i="5"/>
  <c r="CR77" i="6"/>
  <c r="DI228" i="1"/>
  <c r="DI229" i="1"/>
  <c r="DI60" i="1"/>
  <c r="DI233" i="1"/>
  <c r="DI235" i="1"/>
  <c r="DI236" i="1" s="1"/>
  <c r="DI62" i="1" s="1"/>
  <c r="DF449" i="1"/>
  <c r="DF116" i="1"/>
  <c r="DQ171" i="6"/>
  <c r="DV164" i="1"/>
  <c r="DV444" i="1"/>
  <c r="DV445" i="1" s="1"/>
  <c r="DU326" i="1"/>
  <c r="DI53" i="5"/>
  <c r="CU77" i="6"/>
  <c r="DH439" i="1"/>
  <c r="DF38" i="6"/>
  <c r="DV437" i="1"/>
  <c r="DG449" i="1" l="1"/>
  <c r="DG116" i="1"/>
  <c r="DR104" i="1"/>
  <c r="DR76" i="1"/>
  <c r="DR39" i="1"/>
  <c r="DR77" i="1"/>
  <c r="DR105" i="1"/>
  <c r="DL211" i="5"/>
  <c r="DQ13" i="5"/>
  <c r="DQ31" i="6" s="1"/>
  <c r="DQ27" i="5"/>
  <c r="DQ12" i="5"/>
  <c r="DV326" i="1"/>
  <c r="DX325" i="1"/>
  <c r="DX326" i="1" s="1"/>
  <c r="DH116" i="1"/>
  <c r="DH449" i="1"/>
  <c r="DI449" i="1" s="1"/>
  <c r="DM196" i="1"/>
  <c r="DM198" i="1" s="1"/>
  <c r="DM226" i="1" s="1"/>
  <c r="DM165" i="1"/>
  <c r="DM189" i="1" s="1"/>
  <c r="DY87" i="1"/>
  <c r="DY436" i="1"/>
  <c r="DZ9" i="1"/>
  <c r="DZ87" i="1" s="1"/>
  <c r="CV75" i="6"/>
  <c r="DU328" i="1"/>
  <c r="DU342" i="1"/>
  <c r="DU331" i="1"/>
  <c r="DM227" i="1"/>
  <c r="DM60" i="1" s="1"/>
  <c r="DV151" i="1"/>
  <c r="DQ176" i="6"/>
  <c r="DQ54" i="6"/>
  <c r="DQ90" i="6"/>
  <c r="CZ102" i="6"/>
  <c r="DI410" i="1"/>
  <c r="DE416" i="1"/>
  <c r="CZ108" i="6" s="1"/>
  <c r="DE415" i="1"/>
  <c r="DK190" i="1"/>
  <c r="DK42" i="1"/>
  <c r="DK192" i="1"/>
  <c r="DN79" i="1"/>
  <c r="DN107" i="1"/>
  <c r="DU355" i="1"/>
  <c r="DU32" i="1"/>
  <c r="DU361" i="1"/>
  <c r="DU362" i="1" s="1"/>
  <c r="DP222" i="5"/>
  <c r="DQ30" i="6"/>
  <c r="CQ58" i="5"/>
  <c r="DS209" i="5"/>
  <c r="DR13" i="5"/>
  <c r="DR27" i="5"/>
  <c r="DR12" i="5"/>
  <c r="DH38" i="6"/>
  <c r="DP105" i="1"/>
  <c r="DK211" i="5"/>
  <c r="DP77" i="1"/>
  <c r="DP39" i="1"/>
  <c r="DX99" i="1"/>
  <c r="X12" i="128"/>
  <c r="X13" i="128" s="1"/>
  <c r="CU75" i="5"/>
  <c r="CU76" i="5" s="1"/>
  <c r="DJ190" i="1"/>
  <c r="DJ42" i="1"/>
  <c r="DJ192" i="1"/>
  <c r="DK233" i="1"/>
  <c r="DK235" i="1"/>
  <c r="DK236" i="1" s="1"/>
  <c r="DK62" i="1" s="1"/>
  <c r="DS171" i="6"/>
  <c r="DX444" i="1"/>
  <c r="DX445" i="1" s="1"/>
  <c r="DX443" i="1"/>
  <c r="DI234" i="1"/>
  <c r="DI57" i="1"/>
  <c r="DS43" i="6"/>
  <c r="DL163" i="1"/>
  <c r="DN49" i="1"/>
  <c r="U37" i="128"/>
  <c r="U17" i="128"/>
  <c r="CV74" i="5"/>
  <c r="CV47" i="5"/>
  <c r="CW43" i="5"/>
  <c r="CY394" i="1"/>
  <c r="CY147" i="1"/>
  <c r="CT128" i="5"/>
  <c r="CT64" i="5"/>
  <c r="CT86" i="6"/>
  <c r="CT103" i="5"/>
  <c r="CT63" i="5"/>
  <c r="CU10" i="5"/>
  <c r="CU78" i="6" s="1"/>
  <c r="CT78" i="6"/>
  <c r="DS76" i="1"/>
  <c r="DS104" i="1"/>
  <c r="DW151" i="1"/>
  <c r="DR176" i="6"/>
  <c r="DS176" i="6" s="1"/>
  <c r="DR54" i="6"/>
  <c r="DR90" i="6"/>
  <c r="DW326" i="1"/>
  <c r="DE175" i="6"/>
  <c r="DE88" i="6"/>
  <c r="DE91" i="6" s="1"/>
  <c r="DE173" i="6"/>
  <c r="DJ150" i="1"/>
  <c r="DJ152" i="1" s="1"/>
  <c r="DJ60" i="1"/>
  <c r="DM17" i="5"/>
  <c r="DT357" i="1"/>
  <c r="DT356" i="1"/>
  <c r="DF88" i="6"/>
  <c r="DF91" i="6" s="1"/>
  <c r="DF173" i="6"/>
  <c r="DF175" i="6"/>
  <c r="DK150" i="1"/>
  <c r="DK152" i="1" s="1"/>
  <c r="DF74" i="6"/>
  <c r="DH451" i="1"/>
  <c r="DI439" i="1"/>
  <c r="DI451" i="1" s="1"/>
  <c r="DH416" i="1"/>
  <c r="DH440" i="1"/>
  <c r="DI440" i="1" s="1"/>
  <c r="DX343" i="1"/>
  <c r="DI63" i="1"/>
  <c r="CR78" i="6"/>
  <c r="CS75" i="6"/>
  <c r="CR86" i="6"/>
  <c r="DT342" i="1"/>
  <c r="DT328" i="1"/>
  <c r="DT331" i="1"/>
  <c r="DT351" i="1" s="1"/>
  <c r="DO105" i="1"/>
  <c r="DJ211" i="5"/>
  <c r="DO77" i="1"/>
  <c r="DS34" i="1"/>
  <c r="DM211" i="5"/>
  <c r="DN211" i="5" s="1"/>
  <c r="DO39" i="1"/>
  <c r="DQ78" i="1"/>
  <c r="DQ106" i="1"/>
  <c r="DQ442" i="1"/>
  <c r="DQ41" i="1"/>
  <c r="DQ48" i="1"/>
  <c r="DO37" i="5"/>
  <c r="CR49" i="5"/>
  <c r="CR56" i="5"/>
  <c r="CR54" i="5"/>
  <c r="CR55" i="5"/>
  <c r="DL51" i="1"/>
  <c r="CY77" i="6"/>
  <c r="DW330" i="1"/>
  <c r="DW329" i="1" s="1"/>
  <c r="DV329" i="1"/>
  <c r="DV327" i="1" s="1"/>
  <c r="DP34" i="6"/>
  <c r="DP32" i="5"/>
  <c r="CU61" i="5"/>
  <c r="CU48" i="5"/>
  <c r="CV70" i="5"/>
  <c r="CS221" i="5"/>
  <c r="CS22" i="5"/>
  <c r="CT16" i="5"/>
  <c r="CQ57" i="5"/>
  <c r="CQ59" i="5"/>
  <c r="DM117" i="1"/>
  <c r="DP31" i="6"/>
  <c r="DX164" i="1"/>
  <c r="DJ233" i="1"/>
  <c r="DJ235" i="1"/>
  <c r="DJ236" i="1" s="1"/>
  <c r="DJ62" i="1" s="1"/>
  <c r="DR48" i="1" l="1"/>
  <c r="DR49" i="1" s="1"/>
  <c r="DR51" i="1" s="1"/>
  <c r="DR106" i="1"/>
  <c r="DR41" i="1"/>
  <c r="DR79" i="1" s="1"/>
  <c r="DR78" i="1"/>
  <c r="DR442" i="1"/>
  <c r="DU351" i="1"/>
  <c r="DU364" i="1" s="1"/>
  <c r="DP27" i="6"/>
  <c r="DQ447" i="1"/>
  <c r="DS54" i="6"/>
  <c r="CV75" i="5"/>
  <c r="CV76" i="5" s="1"/>
  <c r="DM53" i="5"/>
  <c r="DN53" i="5" s="1"/>
  <c r="DV342" i="1"/>
  <c r="DV328" i="1"/>
  <c r="DV331" i="1"/>
  <c r="DV351" i="1" s="1"/>
  <c r="DV364" i="1" s="1"/>
  <c r="DW355" i="1"/>
  <c r="DW32" i="1"/>
  <c r="DW361" i="1"/>
  <c r="DW362" i="1" s="1"/>
  <c r="DL84" i="1"/>
  <c r="DL113" i="1"/>
  <c r="DG71" i="5"/>
  <c r="DL64" i="1"/>
  <c r="DG9" i="6"/>
  <c r="DG52" i="5"/>
  <c r="DL56" i="1"/>
  <c r="DL160" i="1"/>
  <c r="DH52" i="5"/>
  <c r="DN82" i="1"/>
  <c r="DJ234" i="1"/>
  <c r="DJ57" i="1"/>
  <c r="EA9" i="1"/>
  <c r="EA87" i="1" s="1"/>
  <c r="CR58" i="5"/>
  <c r="DN17" i="5"/>
  <c r="DE95" i="6"/>
  <c r="DE92" i="6"/>
  <c r="CU185" i="5"/>
  <c r="CV61" i="5"/>
  <c r="CV48" i="5"/>
  <c r="CW70" i="5"/>
  <c r="DL197" i="1"/>
  <c r="DN163" i="1"/>
  <c r="DN197" i="1" s="1"/>
  <c r="DI61" i="1"/>
  <c r="DH88" i="6"/>
  <c r="DH91" i="6" s="1"/>
  <c r="DM150" i="1"/>
  <c r="DM152" i="1" s="1"/>
  <c r="DH74" i="6"/>
  <c r="DS13" i="5"/>
  <c r="DD102" i="6"/>
  <c r="DI411" i="1"/>
  <c r="DM233" i="1"/>
  <c r="DM235" i="1"/>
  <c r="DM236" i="1" s="1"/>
  <c r="DM62" i="1" s="1"/>
  <c r="DQ34" i="6"/>
  <c r="DQ32" i="5"/>
  <c r="CT221" i="5"/>
  <c r="CT22" i="5"/>
  <c r="DX151" i="1"/>
  <c r="DS169" i="6"/>
  <c r="DS90" i="6"/>
  <c r="DR447" i="1"/>
  <c r="DS447" i="1" s="1"/>
  <c r="DK234" i="1"/>
  <c r="DK57" i="1"/>
  <c r="DU357" i="1"/>
  <c r="DU356" i="1"/>
  <c r="DK193" i="1"/>
  <c r="DK43" i="1"/>
  <c r="DZ436" i="1"/>
  <c r="DR31" i="6"/>
  <c r="DO442" i="1"/>
  <c r="DO447" i="1"/>
  <c r="DO78" i="1"/>
  <c r="DO106" i="1"/>
  <c r="DO41" i="1"/>
  <c r="DJ53" i="5"/>
  <c r="DO48" i="1"/>
  <c r="CS77" i="6"/>
  <c r="CW74" i="5"/>
  <c r="CX43" i="5"/>
  <c r="CW47" i="5"/>
  <c r="DX329" i="1"/>
  <c r="DP37" i="5"/>
  <c r="CZ75" i="6"/>
  <c r="DD75" i="6"/>
  <c r="CR57" i="5"/>
  <c r="CR59" i="5"/>
  <c r="DL53" i="5"/>
  <c r="DS77" i="1"/>
  <c r="DS105" i="1"/>
  <c r="DS39" i="1"/>
  <c r="CS49" i="5"/>
  <c r="CS56" i="5"/>
  <c r="CS55" i="5"/>
  <c r="CS54" i="5"/>
  <c r="DV355" i="1"/>
  <c r="DV32" i="1"/>
  <c r="DV361" i="1"/>
  <c r="DV362" i="1" s="1"/>
  <c r="DQ49" i="1"/>
  <c r="DQ51" i="1" s="1"/>
  <c r="DQ107" i="1"/>
  <c r="DQ79" i="1"/>
  <c r="DC108" i="6"/>
  <c r="DI416" i="1"/>
  <c r="DD108" i="6" s="1"/>
  <c r="DF92" i="6"/>
  <c r="DF95" i="6"/>
  <c r="DJ63" i="1"/>
  <c r="DW327" i="1"/>
  <c r="DN51" i="1"/>
  <c r="DJ193" i="1"/>
  <c r="DJ43" i="1"/>
  <c r="DR222" i="5"/>
  <c r="DS12" i="5"/>
  <c r="DK81" i="1"/>
  <c r="DK108" i="1"/>
  <c r="CZ107" i="6"/>
  <c r="DI415" i="1"/>
  <c r="DD107" i="6" s="1"/>
  <c r="CZ66" i="6"/>
  <c r="CV77" i="6"/>
  <c r="DY98" i="1"/>
  <c r="DY74" i="1"/>
  <c r="DY20" i="1"/>
  <c r="CU63" i="5"/>
  <c r="CU86" i="6"/>
  <c r="CU128" i="5"/>
  <c r="CZ147" i="1"/>
  <c r="CZ394" i="1"/>
  <c r="CU103" i="5"/>
  <c r="CV10" i="5"/>
  <c r="CV185" i="5" s="1"/>
  <c r="CU16" i="5"/>
  <c r="DJ108" i="1"/>
  <c r="DJ81" i="1"/>
  <c r="DK438" i="1"/>
  <c r="DF62" i="5" s="1"/>
  <c r="DJ438" i="1"/>
  <c r="DE62" i="5" s="1"/>
  <c r="DP442" i="1"/>
  <c r="DP78" i="1"/>
  <c r="DP447" i="1"/>
  <c r="DP106" i="1"/>
  <c r="DP41" i="1"/>
  <c r="DK53" i="5"/>
  <c r="DP48" i="1"/>
  <c r="DS27" i="5"/>
  <c r="DR34" i="6"/>
  <c r="DR32" i="5"/>
  <c r="DM63" i="1"/>
  <c r="DM190" i="1"/>
  <c r="DM192" i="1"/>
  <c r="DM42" i="1"/>
  <c r="DQ222" i="5"/>
  <c r="DR30" i="6"/>
  <c r="EA436" i="1" l="1"/>
  <c r="DU353" i="1"/>
  <c r="DQ27" i="6"/>
  <c r="DR107" i="1"/>
  <c r="DU352" i="1"/>
  <c r="DU33" i="1"/>
  <c r="DU104" i="1" s="1"/>
  <c r="DU365" i="1"/>
  <c r="DP23" i="6" s="1"/>
  <c r="DU34" i="1"/>
  <c r="CV78" i="6"/>
  <c r="CW75" i="6"/>
  <c r="DR37" i="5"/>
  <c r="DS32" i="5"/>
  <c r="DP49" i="1"/>
  <c r="DP51" i="1" s="1"/>
  <c r="DP107" i="1"/>
  <c r="DP79" i="1"/>
  <c r="DP448" i="1"/>
  <c r="DA147" i="1"/>
  <c r="CV128" i="5"/>
  <c r="CV103" i="5"/>
  <c r="DA394" i="1"/>
  <c r="CV63" i="5"/>
  <c r="CV86" i="6"/>
  <c r="CV16" i="5"/>
  <c r="CW10" i="5"/>
  <c r="CW185" i="5" s="1"/>
  <c r="DV357" i="1"/>
  <c r="DV356" i="1"/>
  <c r="CW61" i="5"/>
  <c r="CX70" i="5"/>
  <c r="CW48" i="5"/>
  <c r="DS48" i="1"/>
  <c r="DO49" i="1"/>
  <c r="DZ74" i="1"/>
  <c r="DZ98" i="1"/>
  <c r="DZ20" i="1"/>
  <c r="DZ437" i="1" s="1"/>
  <c r="CT49" i="5"/>
  <c r="DM57" i="1"/>
  <c r="DM234" i="1"/>
  <c r="DS216" i="5"/>
  <c r="CW75" i="5"/>
  <c r="CW76" i="5" s="1"/>
  <c r="DO17" i="5"/>
  <c r="DN372" i="1"/>
  <c r="DL165" i="1"/>
  <c r="DL189" i="1" s="1"/>
  <c r="DL196" i="1"/>
  <c r="DL198" i="1" s="1"/>
  <c r="DL226" i="1" s="1"/>
  <c r="DN160" i="1"/>
  <c r="DL117" i="1"/>
  <c r="DW357" i="1"/>
  <c r="DW356" i="1"/>
  <c r="DM193" i="1"/>
  <c r="DM43" i="1"/>
  <c r="DV34" i="1"/>
  <c r="DV365" i="1"/>
  <c r="DQ23" i="6" s="1"/>
  <c r="DY99" i="1"/>
  <c r="DY446" i="1"/>
  <c r="DT209" i="5"/>
  <c r="DT43" i="6"/>
  <c r="DY343" i="1"/>
  <c r="DY437" i="1"/>
  <c r="DS215" i="5"/>
  <c r="DS222" i="5"/>
  <c r="DJ111" i="1"/>
  <c r="DJ80" i="1"/>
  <c r="EB9" i="1"/>
  <c r="EB436" i="1" s="1"/>
  <c r="EC436" i="1" s="1"/>
  <c r="DW342" i="1"/>
  <c r="DW328" i="1"/>
  <c r="DW331" i="1"/>
  <c r="DW351" i="1" s="1"/>
  <c r="DT352" i="1"/>
  <c r="DT353" i="1"/>
  <c r="DT33" i="1"/>
  <c r="DT364" i="1"/>
  <c r="CT54" i="5"/>
  <c r="CS57" i="5"/>
  <c r="CS59" i="5"/>
  <c r="DS31" i="6"/>
  <c r="CX74" i="5"/>
  <c r="CX47" i="5"/>
  <c r="CY43" i="5"/>
  <c r="DO107" i="1"/>
  <c r="DO79" i="1"/>
  <c r="DO448" i="1"/>
  <c r="DU121" i="6"/>
  <c r="DU11" i="6" s="1"/>
  <c r="DK61" i="1"/>
  <c r="DD103" i="6"/>
  <c r="DI412" i="1"/>
  <c r="DD104" i="6" s="1"/>
  <c r="U42" i="128"/>
  <c r="U43" i="128" s="1"/>
  <c r="DR448" i="1"/>
  <c r="DS448" i="1" s="1"/>
  <c r="DJ61" i="1"/>
  <c r="DJ439" i="1"/>
  <c r="DK439" i="1"/>
  <c r="DR163" i="1"/>
  <c r="DR197" i="1" s="1"/>
  <c r="DX327" i="1"/>
  <c r="DR27" i="6"/>
  <c r="DN113" i="1"/>
  <c r="DI71" i="5"/>
  <c r="DN84" i="1"/>
  <c r="DN64" i="1"/>
  <c r="DN56" i="1"/>
  <c r="DM81" i="1"/>
  <c r="DM108" i="1"/>
  <c r="DS218" i="5"/>
  <c r="CZ97" i="6"/>
  <c r="CZ226" i="5"/>
  <c r="DD226" i="5" s="1"/>
  <c r="CZ71" i="6"/>
  <c r="DD66" i="6"/>
  <c r="DQ448" i="1"/>
  <c r="DQ163" i="1"/>
  <c r="DQ197" i="1" s="1"/>
  <c r="DX32" i="1"/>
  <c r="CT55" i="5"/>
  <c r="CS58" i="5"/>
  <c r="DH92" i="6"/>
  <c r="DH95" i="6"/>
  <c r="DL227" i="1"/>
  <c r="DR113" i="1"/>
  <c r="DM71" i="5"/>
  <c r="DR84" i="1"/>
  <c r="DR64" i="1"/>
  <c r="DM9" i="6"/>
  <c r="DR56" i="1"/>
  <c r="DR160" i="1"/>
  <c r="DV352" i="1"/>
  <c r="DV353" i="1"/>
  <c r="DV33" i="1"/>
  <c r="CU221" i="5"/>
  <c r="CU22" i="5"/>
  <c r="DQ113" i="1"/>
  <c r="DQ84" i="1"/>
  <c r="DL71" i="5"/>
  <c r="DQ64" i="1"/>
  <c r="DQ56" i="1"/>
  <c r="DL9" i="6"/>
  <c r="DQ160" i="1"/>
  <c r="CT56" i="5"/>
  <c r="DS442" i="1"/>
  <c r="DS78" i="1"/>
  <c r="DS41" i="1"/>
  <c r="DS106" i="1"/>
  <c r="W14" i="128"/>
  <c r="W15" i="128" s="1"/>
  <c r="DX361" i="1"/>
  <c r="DX362" i="1" s="1"/>
  <c r="DX355" i="1"/>
  <c r="DX330" i="1"/>
  <c r="DY330" i="1" s="1"/>
  <c r="CS78" i="6"/>
  <c r="CS86" i="6"/>
  <c r="DK111" i="1"/>
  <c r="DK80" i="1"/>
  <c r="DQ37" i="5"/>
  <c r="DS34" i="6"/>
  <c r="DI116" i="1"/>
  <c r="U18" i="128"/>
  <c r="DI52" i="5"/>
  <c r="DG38" i="6"/>
  <c r="DI9" i="6"/>
  <c r="DS30" i="6"/>
  <c r="DU76" i="1" l="1"/>
  <c r="DU105" i="1"/>
  <c r="DU77" i="1"/>
  <c r="DU39" i="1"/>
  <c r="DU442" i="1" s="1"/>
  <c r="DS27" i="6"/>
  <c r="DY329" i="1"/>
  <c r="DY327" i="1" s="1"/>
  <c r="DZ330" i="1"/>
  <c r="DL38" i="6"/>
  <c r="DQ227" i="1"/>
  <c r="DQ60" i="1" s="1"/>
  <c r="DD97" i="6"/>
  <c r="DD167" i="6" s="1"/>
  <c r="DX342" i="1"/>
  <c r="DX328" i="1"/>
  <c r="DJ116" i="1"/>
  <c r="DJ449" i="1"/>
  <c r="DU171" i="6"/>
  <c r="DZ164" i="1"/>
  <c r="DZ444" i="1"/>
  <c r="DZ445" i="1" s="1"/>
  <c r="CT59" i="5"/>
  <c r="DT34" i="1"/>
  <c r="DT365" i="1"/>
  <c r="DO23" i="6" s="1"/>
  <c r="DT13" i="5"/>
  <c r="DT27" i="5"/>
  <c r="DT12" i="5"/>
  <c r="DN196" i="1"/>
  <c r="DN198" i="1" s="1"/>
  <c r="DN226" i="1" s="1"/>
  <c r="DN165" i="1"/>
  <c r="DN189" i="1" s="1"/>
  <c r="DB147" i="1"/>
  <c r="DB394" i="1"/>
  <c r="CW128" i="5"/>
  <c r="CW63" i="5"/>
  <c r="CW103" i="5"/>
  <c r="CX10" i="5"/>
  <c r="CW16" i="5"/>
  <c r="DX356" i="1"/>
  <c r="DX357" i="1"/>
  <c r="DS107" i="1"/>
  <c r="DS79" i="1"/>
  <c r="DV76" i="1"/>
  <c r="DV104" i="1"/>
  <c r="DM38" i="6"/>
  <c r="DD71" i="6"/>
  <c r="CZ74" i="6"/>
  <c r="DR227" i="1"/>
  <c r="DR60" i="1" s="1"/>
  <c r="DK440" i="1"/>
  <c r="DK451" i="1"/>
  <c r="DK416" i="1"/>
  <c r="DF108" i="6" s="1"/>
  <c r="EA74" i="1"/>
  <c r="EA98" i="1"/>
  <c r="EA20" i="1"/>
  <c r="DK449" i="1"/>
  <c r="DK116" i="1"/>
  <c r="CY74" i="5"/>
  <c r="CY75" i="5" s="1"/>
  <c r="CZ43" i="5"/>
  <c r="CT57" i="5"/>
  <c r="DT76" i="1"/>
  <c r="DT104" i="1"/>
  <c r="DV77" i="1"/>
  <c r="DV105" i="1"/>
  <c r="DQ211" i="5"/>
  <c r="DV39" i="1"/>
  <c r="DM61" i="1"/>
  <c r="DZ99" i="1"/>
  <c r="DZ446" i="1"/>
  <c r="DZ343" i="1"/>
  <c r="DU43" i="6"/>
  <c r="DU209" i="5"/>
  <c r="DO163" i="1"/>
  <c r="DS49" i="1"/>
  <c r="DS51" i="1" s="1"/>
  <c r="CV22" i="5"/>
  <c r="CV221" i="5"/>
  <c r="DG88" i="6"/>
  <c r="DG91" i="6" s="1"/>
  <c r="DG173" i="6"/>
  <c r="DG175" i="6"/>
  <c r="DL150" i="1"/>
  <c r="DL152" i="1" s="1"/>
  <c r="DG74" i="6"/>
  <c r="DI38" i="6"/>
  <c r="DH175" i="6"/>
  <c r="DI175" i="6" s="1"/>
  <c r="DQ117" i="1"/>
  <c r="CU49" i="5"/>
  <c r="CU56" i="5"/>
  <c r="CU55" i="5"/>
  <c r="CU54" i="5"/>
  <c r="DR196" i="1"/>
  <c r="DR198" i="1" s="1"/>
  <c r="DR226" i="1" s="1"/>
  <c r="DR165" i="1"/>
  <c r="DR189" i="1" s="1"/>
  <c r="DR117" i="1"/>
  <c r="DL233" i="1"/>
  <c r="DL235" i="1"/>
  <c r="DL236" i="1" s="1"/>
  <c r="DL62" i="1" s="1"/>
  <c r="DJ451" i="1"/>
  <c r="DJ440" i="1"/>
  <c r="DJ410" i="1"/>
  <c r="CX61" i="5"/>
  <c r="CY47" i="5"/>
  <c r="CX48" i="5"/>
  <c r="EB87" i="1"/>
  <c r="EC9" i="1"/>
  <c r="DY151" i="1"/>
  <c r="DT176" i="6"/>
  <c r="DT54" i="6"/>
  <c r="DT90" i="6"/>
  <c r="DM80" i="1"/>
  <c r="DM111" i="1"/>
  <c r="DL190" i="1"/>
  <c r="DL42" i="1"/>
  <c r="DL192" i="1"/>
  <c r="DN376" i="1"/>
  <c r="DN373" i="1"/>
  <c r="DP17" i="5"/>
  <c r="DO51" i="1"/>
  <c r="DK52" i="5" s="1"/>
  <c r="CX75" i="5"/>
  <c r="CX76" i="5" s="1"/>
  <c r="EC19" i="1"/>
  <c r="DP163" i="1"/>
  <c r="DP197" i="1" s="1"/>
  <c r="U19" i="128"/>
  <c r="U38" i="128"/>
  <c r="DQ165" i="1"/>
  <c r="DQ189" i="1" s="1"/>
  <c r="DQ196" i="1"/>
  <c r="DQ198" i="1" s="1"/>
  <c r="DQ226" i="1" s="1"/>
  <c r="DT121" i="6"/>
  <c r="DT11" i="6" s="1"/>
  <c r="DN227" i="1"/>
  <c r="DL60" i="1"/>
  <c r="CT58" i="5"/>
  <c r="DN117" i="1"/>
  <c r="DX331" i="1"/>
  <c r="DX351" i="1" s="1"/>
  <c r="DY326" i="1"/>
  <c r="DK71" i="5"/>
  <c r="DP84" i="1"/>
  <c r="DP113" i="1"/>
  <c r="DP64" i="1"/>
  <c r="DP56" i="1"/>
  <c r="DP160" i="1"/>
  <c r="DK9" i="6"/>
  <c r="DS37" i="5"/>
  <c r="CW77" i="6"/>
  <c r="CW86" i="6" s="1"/>
  <c r="DU41" i="1" l="1"/>
  <c r="DU78" i="1"/>
  <c r="DU106" i="1"/>
  <c r="DU48" i="1"/>
  <c r="DU49" i="1" s="1"/>
  <c r="DQ235" i="1"/>
  <c r="DQ236" i="1" s="1"/>
  <c r="DQ62" i="1" s="1"/>
  <c r="DQ233" i="1"/>
  <c r="EC98" i="1"/>
  <c r="EC74" i="1"/>
  <c r="EC20" i="1"/>
  <c r="DR233" i="1"/>
  <c r="DR235" i="1"/>
  <c r="DR236" i="1" s="1"/>
  <c r="DR62" i="1" s="1"/>
  <c r="DZ326" i="1"/>
  <c r="DY328" i="1"/>
  <c r="DY342" i="1"/>
  <c r="DY331" i="1"/>
  <c r="DY351" i="1" s="1"/>
  <c r="EC87" i="1"/>
  <c r="Y10" i="128"/>
  <c r="Y11" i="128" s="1"/>
  <c r="DR192" i="1"/>
  <c r="DR42" i="1"/>
  <c r="DR190" i="1"/>
  <c r="DI88" i="6"/>
  <c r="DI91" i="6" s="1"/>
  <c r="DI173" i="6"/>
  <c r="DH173" i="6" s="1"/>
  <c r="DN150" i="1"/>
  <c r="DN152" i="1" s="1"/>
  <c r="DV78" i="1"/>
  <c r="DV442" i="1"/>
  <c r="DV106" i="1"/>
  <c r="DV41" i="1"/>
  <c r="DV48" i="1"/>
  <c r="DD74" i="6"/>
  <c r="DY355" i="1"/>
  <c r="DY32" i="1"/>
  <c r="DY361" i="1"/>
  <c r="DY362" i="1" s="1"/>
  <c r="DT171" i="6"/>
  <c r="DY444" i="1"/>
  <c r="DY445" i="1" s="1"/>
  <c r="DY164" i="1"/>
  <c r="DW353" i="1"/>
  <c r="DW33" i="1"/>
  <c r="DW352" i="1"/>
  <c r="DW364" i="1"/>
  <c r="DK38" i="6"/>
  <c r="DP117" i="1"/>
  <c r="DL63" i="1"/>
  <c r="DP227" i="1"/>
  <c r="DP60" i="1" s="1"/>
  <c r="DW121" i="6"/>
  <c r="DW11" i="6" s="1"/>
  <c r="DE102" i="6"/>
  <c r="DJ416" i="1"/>
  <c r="DE108" i="6" s="1"/>
  <c r="DN410" i="1"/>
  <c r="DJ415" i="1"/>
  <c r="DL57" i="1"/>
  <c r="DL234" i="1"/>
  <c r="CV49" i="5"/>
  <c r="CV56" i="5"/>
  <c r="CV54" i="5"/>
  <c r="CV55" i="5"/>
  <c r="DZ151" i="1"/>
  <c r="DU176" i="6"/>
  <c r="DU90" i="6"/>
  <c r="DU54" i="6"/>
  <c r="EA446" i="1"/>
  <c r="EA99" i="1"/>
  <c r="EA343" i="1"/>
  <c r="DV43" i="6"/>
  <c r="DV209" i="5"/>
  <c r="EA437" i="1"/>
  <c r="DR63" i="1"/>
  <c r="DM88" i="6"/>
  <c r="DM91" i="6" s="1"/>
  <c r="DR150" i="1"/>
  <c r="DR152" i="1" s="1"/>
  <c r="DM74" i="6"/>
  <c r="CW221" i="5"/>
  <c r="CW22" i="5"/>
  <c r="DN42" i="1"/>
  <c r="DN190" i="1"/>
  <c r="DT222" i="5"/>
  <c r="DT30" i="6"/>
  <c r="DT105" i="1"/>
  <c r="DT77" i="1"/>
  <c r="DO211" i="5"/>
  <c r="DT39" i="1"/>
  <c r="DP211" i="5"/>
  <c r="DL88" i="6"/>
  <c r="DL91" i="6" s="1"/>
  <c r="DQ150" i="1"/>
  <c r="DQ152" i="1" s="1"/>
  <c r="DL74" i="6"/>
  <c r="DX353" i="1"/>
  <c r="DX352" i="1"/>
  <c r="EB98" i="1"/>
  <c r="EB74" i="1"/>
  <c r="EB20" i="1"/>
  <c r="CW78" i="6"/>
  <c r="CX75" i="6"/>
  <c r="DP196" i="1"/>
  <c r="DP198" i="1" s="1"/>
  <c r="DP226" i="1" s="1"/>
  <c r="DP165" i="1"/>
  <c r="DP189" i="1" s="1"/>
  <c r="DN71" i="5"/>
  <c r="DS84" i="1"/>
  <c r="DS113" i="1"/>
  <c r="DS64" i="1"/>
  <c r="DS56" i="1"/>
  <c r="DN228" i="1"/>
  <c r="DN229" i="1"/>
  <c r="DN60" i="1"/>
  <c r="DQ42" i="1"/>
  <c r="DQ192" i="1"/>
  <c r="DQ190" i="1"/>
  <c r="DO84" i="1"/>
  <c r="DJ71" i="5"/>
  <c r="DO113" i="1"/>
  <c r="DO64" i="1"/>
  <c r="DO56" i="1"/>
  <c r="DJ9" i="6"/>
  <c r="DO160" i="1"/>
  <c r="DJ52" i="5"/>
  <c r="DM52" i="5"/>
  <c r="DL52" i="5"/>
  <c r="DQ17" i="5"/>
  <c r="DL193" i="1"/>
  <c r="DL43" i="1"/>
  <c r="DN192" i="1"/>
  <c r="CU57" i="5"/>
  <c r="CU59" i="5"/>
  <c r="DG92" i="6"/>
  <c r="DI92" i="6" s="1"/>
  <c r="DG95" i="6"/>
  <c r="DS82" i="1"/>
  <c r="DM116" i="1"/>
  <c r="CZ77" i="6"/>
  <c r="CX63" i="5"/>
  <c r="DC147" i="1"/>
  <c r="CX103" i="5"/>
  <c r="CX128" i="5"/>
  <c r="DC394" i="1"/>
  <c r="CX16" i="5"/>
  <c r="CY10" i="5"/>
  <c r="CX185" i="5"/>
  <c r="CY185" i="5" s="1"/>
  <c r="CY159" i="5" s="1"/>
  <c r="DN233" i="1"/>
  <c r="DN235" i="1"/>
  <c r="DN236" i="1" s="1"/>
  <c r="DN62" i="1" s="1"/>
  <c r="DT32" i="5"/>
  <c r="DT34" i="6"/>
  <c r="DL81" i="1"/>
  <c r="DL108" i="1"/>
  <c r="DL438" i="1"/>
  <c r="DG62" i="5" s="1"/>
  <c r="DM438" i="1"/>
  <c r="CY76" i="5"/>
  <c r="CY61" i="5"/>
  <c r="CZ70" i="5"/>
  <c r="CY48" i="5"/>
  <c r="DD70" i="5"/>
  <c r="CU58" i="5"/>
  <c r="DO197" i="1"/>
  <c r="DS163" i="1"/>
  <c r="DS197" i="1" s="1"/>
  <c r="DU12" i="5"/>
  <c r="DU13" i="5"/>
  <c r="DU31" i="6" s="1"/>
  <c r="DU27" i="5"/>
  <c r="CZ74" i="5"/>
  <c r="CZ47" i="5"/>
  <c r="DA43" i="5"/>
  <c r="DT31" i="6"/>
  <c r="DO42" i="5"/>
  <c r="DQ63" i="1"/>
  <c r="DZ329" i="1"/>
  <c r="DZ327" i="1" s="1"/>
  <c r="EA330" i="1"/>
  <c r="DU79" i="1" l="1"/>
  <c r="DU107" i="1"/>
  <c r="DP233" i="1"/>
  <c r="DP235" i="1"/>
  <c r="DP236" i="1" s="1"/>
  <c r="DP62" i="1" s="1"/>
  <c r="DZ342" i="1"/>
  <c r="DZ328" i="1"/>
  <c r="DZ331" i="1"/>
  <c r="DO227" i="1"/>
  <c r="EA326" i="1"/>
  <c r="CY103" i="5"/>
  <c r="DD394" i="1"/>
  <c r="CY63" i="5"/>
  <c r="CY128" i="5"/>
  <c r="CY86" i="6"/>
  <c r="DD147" i="1"/>
  <c r="CZ10" i="5"/>
  <c r="CZ78" i="6" s="1"/>
  <c r="CY78" i="6"/>
  <c r="DL111" i="1"/>
  <c r="DL80" i="1"/>
  <c r="DN9" i="6"/>
  <c r="DJ38" i="6"/>
  <c r="DK173" i="6" s="1"/>
  <c r="DP42" i="1"/>
  <c r="DP190" i="1"/>
  <c r="DP192" i="1"/>
  <c r="DL95" i="6"/>
  <c r="DL92" i="6"/>
  <c r="CW49" i="5"/>
  <c r="CW56" i="5"/>
  <c r="CW55" i="5"/>
  <c r="CW54" i="5"/>
  <c r="CV57" i="5"/>
  <c r="CV59" i="5"/>
  <c r="DW34" i="1"/>
  <c r="DW365" i="1"/>
  <c r="DR23" i="6" s="1"/>
  <c r="DX364" i="1"/>
  <c r="DX365" i="1" s="1"/>
  <c r="DR81" i="1"/>
  <c r="DR108" i="1"/>
  <c r="DZ355" i="1"/>
  <c r="DZ32" i="1"/>
  <c r="DZ361" i="1"/>
  <c r="DZ362" i="1" s="1"/>
  <c r="DH62" i="5"/>
  <c r="DN438" i="1"/>
  <c r="DI62" i="5" s="1"/>
  <c r="CX221" i="5"/>
  <c r="CX22" i="5"/>
  <c r="CY16" i="5"/>
  <c r="DA75" i="6"/>
  <c r="DN52" i="5"/>
  <c r="DQ193" i="1"/>
  <c r="DQ43" i="1"/>
  <c r="EB99" i="1"/>
  <c r="EB343" i="1"/>
  <c r="EC343" i="1" s="1"/>
  <c r="EB446" i="1"/>
  <c r="EC446" i="1" s="1"/>
  <c r="DW209" i="5"/>
  <c r="DW43" i="6"/>
  <c r="DX43" i="6" s="1"/>
  <c r="DT78" i="1"/>
  <c r="DT447" i="1"/>
  <c r="DT442" i="1"/>
  <c r="DT106" i="1"/>
  <c r="DT41" i="1"/>
  <c r="DV448" i="1" s="1"/>
  <c r="DO53" i="5"/>
  <c r="DT48" i="1"/>
  <c r="DU447" i="1"/>
  <c r="DP53" i="5"/>
  <c r="DV27" i="5"/>
  <c r="DV12" i="5"/>
  <c r="DV30" i="6" s="1"/>
  <c r="DV13" i="5"/>
  <c r="DV31" i="6" s="1"/>
  <c r="DL61" i="1"/>
  <c r="DM439" i="1"/>
  <c r="DL439" i="1"/>
  <c r="DK88" i="6"/>
  <c r="DK91" i="6" s="1"/>
  <c r="DP150" i="1"/>
  <c r="DP152" i="1" s="1"/>
  <c r="DK74" i="6"/>
  <c r="DU163" i="1"/>
  <c r="DU197" i="1" s="1"/>
  <c r="DV49" i="1"/>
  <c r="DV51" i="1" s="1"/>
  <c r="DV107" i="1"/>
  <c r="DV79" i="1"/>
  <c r="DV447" i="1"/>
  <c r="DI95" i="6"/>
  <c r="V39" i="128"/>
  <c r="V40" i="128" s="1"/>
  <c r="DR193" i="1"/>
  <c r="DR43" i="1"/>
  <c r="DR234" i="1"/>
  <c r="DR57" i="1"/>
  <c r="DO72" i="5"/>
  <c r="DP42" i="5"/>
  <c r="DA74" i="5"/>
  <c r="DA47" i="5"/>
  <c r="DB43" i="5"/>
  <c r="DU222" i="5"/>
  <c r="DN234" i="1"/>
  <c r="DN57" i="1"/>
  <c r="DS372" i="1"/>
  <c r="DR17" i="5"/>
  <c r="DO117" i="1"/>
  <c r="DQ81" i="1"/>
  <c r="DQ108" i="1"/>
  <c r="CX77" i="6"/>
  <c r="DT27" i="6"/>
  <c r="DV176" i="6"/>
  <c r="EA151" i="1"/>
  <c r="DV54" i="6"/>
  <c r="DV90" i="6"/>
  <c r="DE107" i="6"/>
  <c r="DN415" i="1"/>
  <c r="DI107" i="6" s="1"/>
  <c r="DE66" i="6"/>
  <c r="EC325" i="1"/>
  <c r="EC326" i="1" s="1"/>
  <c r="DP63" i="1"/>
  <c r="DW104" i="1"/>
  <c r="DW76" i="1"/>
  <c r="DX33" i="1"/>
  <c r="DU51" i="1"/>
  <c r="DQ53" i="5"/>
  <c r="EC99" i="1"/>
  <c r="Y12" i="128"/>
  <c r="Y13" i="128" s="1"/>
  <c r="DQ234" i="1"/>
  <c r="DQ57" i="1"/>
  <c r="DV121" i="6"/>
  <c r="DV11" i="6" s="1"/>
  <c r="DX119" i="6"/>
  <c r="DX121" i="6" s="1"/>
  <c r="DU32" i="5"/>
  <c r="DU34" i="6"/>
  <c r="CZ75" i="5"/>
  <c r="CZ76" i="5" s="1"/>
  <c r="EA329" i="1"/>
  <c r="EB330" i="1"/>
  <c r="EB329" i="1" s="1"/>
  <c r="CZ61" i="5"/>
  <c r="CZ48" i="5"/>
  <c r="DA70" i="5"/>
  <c r="DT37" i="5"/>
  <c r="DN193" i="1"/>
  <c r="DN43" i="1"/>
  <c r="DO196" i="1"/>
  <c r="DO198" i="1" s="1"/>
  <c r="DO226" i="1" s="1"/>
  <c r="DS160" i="1"/>
  <c r="DO165" i="1"/>
  <c r="DO189" i="1" s="1"/>
  <c r="DN63" i="1"/>
  <c r="DS117" i="1"/>
  <c r="DU30" i="6"/>
  <c r="DN108" i="1"/>
  <c r="DN81" i="1"/>
  <c r="DM92" i="6"/>
  <c r="DM95" i="6"/>
  <c r="EB437" i="1"/>
  <c r="EC437" i="1" s="1"/>
  <c r="CV58" i="5"/>
  <c r="DI102" i="6"/>
  <c r="DN411" i="1"/>
  <c r="DW171" i="6"/>
  <c r="EB164" i="1"/>
  <c r="EB444" i="1"/>
  <c r="EB445" i="1" s="1"/>
  <c r="DY356" i="1"/>
  <c r="DY357" i="1"/>
  <c r="DD77" i="6"/>
  <c r="DA75" i="5" l="1"/>
  <c r="DA76" i="5" s="1"/>
  <c r="DZ351" i="1"/>
  <c r="DZ364" i="1" s="1"/>
  <c r="DK175" i="6"/>
  <c r="DO233" i="1"/>
  <c r="DO235" i="1"/>
  <c r="DO236" i="1" s="1"/>
  <c r="DO62" i="1" s="1"/>
  <c r="DN111" i="1"/>
  <c r="DN80" i="1"/>
  <c r="V16" i="128"/>
  <c r="EA355" i="1"/>
  <c r="EA32" i="1"/>
  <c r="EA361" i="1"/>
  <c r="EA362" i="1" s="1"/>
  <c r="DU84" i="1"/>
  <c r="DP71" i="5"/>
  <c r="DU113" i="1"/>
  <c r="DU64" i="1"/>
  <c r="DU160" i="1"/>
  <c r="DP9" i="6"/>
  <c r="DU56" i="1"/>
  <c r="DB74" i="5"/>
  <c r="DB47" i="5"/>
  <c r="DC43" i="5"/>
  <c r="DO192" i="1"/>
  <c r="DO190" i="1"/>
  <c r="DO42" i="1"/>
  <c r="DE97" i="6"/>
  <c r="DE226" i="5"/>
  <c r="DI226" i="5" s="1"/>
  <c r="DI66" i="6"/>
  <c r="DE71" i="6"/>
  <c r="DN61" i="1"/>
  <c r="DA61" i="5"/>
  <c r="DA48" i="5"/>
  <c r="DB70" i="5"/>
  <c r="DR111" i="1"/>
  <c r="DR80" i="1"/>
  <c r="DL440" i="1"/>
  <c r="DL451" i="1"/>
  <c r="DL416" i="1"/>
  <c r="DG108" i="6" s="1"/>
  <c r="DV34" i="6"/>
  <c r="DV32" i="5"/>
  <c r="DA77" i="6"/>
  <c r="DZ357" i="1"/>
  <c r="DZ356" i="1"/>
  <c r="DW77" i="1"/>
  <c r="DW105" i="1"/>
  <c r="DW39" i="1"/>
  <c r="DX34" i="1"/>
  <c r="DR211" i="5"/>
  <c r="DS211" i="5" s="1"/>
  <c r="CW58" i="5"/>
  <c r="DU27" i="6"/>
  <c r="DS196" i="1"/>
  <c r="DS198" i="1" s="1"/>
  <c r="DS226" i="1" s="1"/>
  <c r="DS165" i="1"/>
  <c r="DS189" i="1" s="1"/>
  <c r="EA164" i="1"/>
  <c r="EC164" i="1" s="1"/>
  <c r="DV171" i="6"/>
  <c r="EA444" i="1"/>
  <c r="EA445" i="1" s="1"/>
  <c r="DX11" i="6"/>
  <c r="EC151" i="1"/>
  <c r="DX169" i="6"/>
  <c r="DX90" i="6"/>
  <c r="DR61" i="1"/>
  <c r="DV113" i="1"/>
  <c r="DQ71" i="5"/>
  <c r="DV84" i="1"/>
  <c r="DV64" i="1"/>
  <c r="DQ9" i="6"/>
  <c r="DV160" i="1"/>
  <c r="DV56" i="1"/>
  <c r="DU227" i="1"/>
  <c r="DU60" i="1" s="1"/>
  <c r="DL449" i="1"/>
  <c r="DL116" i="1"/>
  <c r="DM449" i="1"/>
  <c r="DN449" i="1" s="1"/>
  <c r="DT49" i="1"/>
  <c r="DT51" i="1" s="1"/>
  <c r="DT107" i="1"/>
  <c r="DT79" i="1"/>
  <c r="DT448" i="1"/>
  <c r="DU448" i="1"/>
  <c r="CX49" i="5"/>
  <c r="CX56" i="5"/>
  <c r="CX54" i="5"/>
  <c r="CX55" i="5"/>
  <c r="DY33" i="1"/>
  <c r="DY353" i="1"/>
  <c r="DY352" i="1"/>
  <c r="DY364" i="1"/>
  <c r="DP108" i="1"/>
  <c r="DP81" i="1"/>
  <c r="CZ63" i="5"/>
  <c r="CZ128" i="5"/>
  <c r="DE147" i="1"/>
  <c r="DE394" i="1"/>
  <c r="CZ103" i="5"/>
  <c r="CZ86" i="6"/>
  <c r="DA10" i="5"/>
  <c r="DA185" i="5" s="1"/>
  <c r="CZ16" i="5"/>
  <c r="DS227" i="1"/>
  <c r="DO60" i="1"/>
  <c r="DE75" i="6"/>
  <c r="DI75" i="6"/>
  <c r="EC329" i="1"/>
  <c r="EB355" i="1"/>
  <c r="EB32" i="1"/>
  <c r="EB361" i="1"/>
  <c r="EB362" i="1" s="1"/>
  <c r="DU37" i="5"/>
  <c r="DQ61" i="1"/>
  <c r="EB326" i="1"/>
  <c r="EB327" i="1"/>
  <c r="DS373" i="1"/>
  <c r="DS376" i="1"/>
  <c r="DV163" i="1"/>
  <c r="DV197" i="1" s="1"/>
  <c r="DK92" i="6"/>
  <c r="DK95" i="6"/>
  <c r="DM451" i="1"/>
  <c r="DN439" i="1"/>
  <c r="DN451" i="1" s="1"/>
  <c r="DM440" i="1"/>
  <c r="DN440" i="1" s="1"/>
  <c r="DM416" i="1"/>
  <c r="EB151" i="1"/>
  <c r="DW176" i="6"/>
  <c r="DX176" i="6" s="1"/>
  <c r="DW90" i="6"/>
  <c r="DW54" i="6"/>
  <c r="DJ175" i="6"/>
  <c r="DJ88" i="6"/>
  <c r="DJ91" i="6" s="1"/>
  <c r="DJ173" i="6"/>
  <c r="DO150" i="1"/>
  <c r="DO152" i="1" s="1"/>
  <c r="DN38" i="6"/>
  <c r="DL173" i="6"/>
  <c r="DM175" i="6"/>
  <c r="DN175" i="6" s="1"/>
  <c r="DL175" i="6"/>
  <c r="CZ185" i="5"/>
  <c r="EA327" i="1"/>
  <c r="DN412" i="1"/>
  <c r="DI104" i="6" s="1"/>
  <c r="DI103" i="6"/>
  <c r="V42" i="128"/>
  <c r="V43" i="128" s="1"/>
  <c r="DX104" i="1"/>
  <c r="DX76" i="1"/>
  <c r="CX78" i="6"/>
  <c r="CX86" i="6"/>
  <c r="DS17" i="5"/>
  <c r="DP72" i="5"/>
  <c r="DQ42" i="5"/>
  <c r="DV222" i="5"/>
  <c r="DW12" i="5"/>
  <c r="DW13" i="5"/>
  <c r="DW31" i="6" s="1"/>
  <c r="DX209" i="5"/>
  <c r="DW27" i="5"/>
  <c r="DQ80" i="1"/>
  <c r="DQ111" i="1"/>
  <c r="CY22" i="5"/>
  <c r="CY221" i="5"/>
  <c r="DS23" i="6"/>
  <c r="CW57" i="5"/>
  <c r="CW59" i="5"/>
  <c r="DP193" i="1"/>
  <c r="DP43" i="1"/>
  <c r="DZ352" i="1"/>
  <c r="DP234" i="1"/>
  <c r="DP57" i="1"/>
  <c r="DZ33" i="1" l="1"/>
  <c r="DZ104" i="1" s="1"/>
  <c r="DZ353" i="1"/>
  <c r="DZ34" i="1"/>
  <c r="DZ105" i="1" s="1"/>
  <c r="DZ365" i="1"/>
  <c r="DU23" i="6" s="1"/>
  <c r="DB75" i="5"/>
  <c r="DB76" i="5" s="1"/>
  <c r="DT84" i="1"/>
  <c r="DO71" i="5"/>
  <c r="DT113" i="1"/>
  <c r="DT64" i="1"/>
  <c r="DO52" i="5"/>
  <c r="DT56" i="1"/>
  <c r="DO9" i="6"/>
  <c r="DT160" i="1"/>
  <c r="DQ52" i="5"/>
  <c r="DP52" i="5"/>
  <c r="DX31" i="6"/>
  <c r="DV227" i="1"/>
  <c r="DV60" i="1" s="1"/>
  <c r="EC330" i="1"/>
  <c r="EC355" i="1"/>
  <c r="EC361" i="1"/>
  <c r="EC362" i="1" s="1"/>
  <c r="DP111" i="1"/>
  <c r="DP80" i="1"/>
  <c r="DX13" i="5"/>
  <c r="DQ72" i="5"/>
  <c r="DR42" i="5"/>
  <c r="DN88" i="6"/>
  <c r="DN91" i="6" s="1"/>
  <c r="DN173" i="6"/>
  <c r="DM173" i="6" s="1"/>
  <c r="DS150" i="1"/>
  <c r="DS152" i="1" s="1"/>
  <c r="DJ95" i="6"/>
  <c r="DJ92" i="6"/>
  <c r="DN92" i="6" s="1"/>
  <c r="DQ116" i="1"/>
  <c r="DO63" i="1"/>
  <c r="CY55" i="5"/>
  <c r="CX58" i="5"/>
  <c r="DU63" i="1"/>
  <c r="DQ38" i="6"/>
  <c r="DS233" i="1"/>
  <c r="DS235" i="1"/>
  <c r="DS236" i="1" s="1"/>
  <c r="DS62" i="1" s="1"/>
  <c r="DO108" i="1"/>
  <c r="DO81" i="1"/>
  <c r="DR438" i="1"/>
  <c r="DQ438" i="1"/>
  <c r="DL62" i="5" s="1"/>
  <c r="DP438" i="1"/>
  <c r="DK62" i="5" s="1"/>
  <c r="DO438" i="1"/>
  <c r="DJ62" i="5" s="1"/>
  <c r="DB61" i="5"/>
  <c r="DB48" i="5"/>
  <c r="DC70" i="5"/>
  <c r="DP38" i="6"/>
  <c r="DU117" i="1"/>
  <c r="DW222" i="5"/>
  <c r="DX12" i="5"/>
  <c r="DW30" i="6"/>
  <c r="DT17" i="5"/>
  <c r="DH108" i="6"/>
  <c r="DN416" i="1"/>
  <c r="DI108" i="6" s="1"/>
  <c r="DS228" i="1"/>
  <c r="DS229" i="1"/>
  <c r="DS60" i="1"/>
  <c r="DY104" i="1"/>
  <c r="DY76" i="1"/>
  <c r="CY54" i="5"/>
  <c r="CX57" i="5"/>
  <c r="CX59" i="5"/>
  <c r="DV117" i="1"/>
  <c r="DE74" i="6"/>
  <c r="DI71" i="6"/>
  <c r="DU196" i="1"/>
  <c r="DU198" i="1" s="1"/>
  <c r="DU226" i="1" s="1"/>
  <c r="DU165" i="1"/>
  <c r="DU189" i="1" s="1"/>
  <c r="EC32" i="1"/>
  <c r="CY49" i="5"/>
  <c r="DX27" i="5"/>
  <c r="DW34" i="6"/>
  <c r="DW32" i="5"/>
  <c r="EB342" i="1"/>
  <c r="EB328" i="1"/>
  <c r="EB331" i="1"/>
  <c r="EB351" i="1" s="1"/>
  <c r="CZ22" i="5"/>
  <c r="CZ221" i="5"/>
  <c r="DY365" i="1"/>
  <c r="DT23" i="6" s="1"/>
  <c r="DY34" i="1"/>
  <c r="CY56" i="5"/>
  <c r="DT163" i="1"/>
  <c r="DV165" i="1"/>
  <c r="DV189" i="1" s="1"/>
  <c r="DV196" i="1"/>
  <c r="DV198" i="1" s="1"/>
  <c r="DV226" i="1" s="1"/>
  <c r="DX171" i="6"/>
  <c r="EC444" i="1"/>
  <c r="EC445" i="1" s="1"/>
  <c r="EC443" i="1"/>
  <c r="DX105" i="1"/>
  <c r="DX77" i="1"/>
  <c r="DX39" i="1"/>
  <c r="DA78" i="6"/>
  <c r="DB75" i="6"/>
  <c r="DV37" i="5"/>
  <c r="DI97" i="6"/>
  <c r="DI167" i="6" s="1"/>
  <c r="DO193" i="1"/>
  <c r="DO43" i="1"/>
  <c r="DS192" i="1"/>
  <c r="V17" i="128"/>
  <c r="V37" i="128"/>
  <c r="DP61" i="1"/>
  <c r="EA342" i="1"/>
  <c r="EA328" i="1"/>
  <c r="EA331" i="1"/>
  <c r="EA351" i="1" s="1"/>
  <c r="EC327" i="1"/>
  <c r="EB357" i="1"/>
  <c r="EB356" i="1"/>
  <c r="DF394" i="1"/>
  <c r="DF147" i="1"/>
  <c r="DA86" i="6"/>
  <c r="DA103" i="5"/>
  <c r="DA63" i="5"/>
  <c r="DA128" i="5"/>
  <c r="DB10" i="5"/>
  <c r="DB185" i="5" s="1"/>
  <c r="DA16" i="5"/>
  <c r="DR116" i="1"/>
  <c r="DS42" i="1"/>
  <c r="DS190" i="1"/>
  <c r="DW78" i="1"/>
  <c r="DW106" i="1"/>
  <c r="DW442" i="1"/>
  <c r="DW447" i="1"/>
  <c r="DX447" i="1" s="1"/>
  <c r="DW41" i="1"/>
  <c r="DR53" i="5"/>
  <c r="DW48" i="1"/>
  <c r="DN116" i="1"/>
  <c r="V18" i="128"/>
  <c r="DC74" i="5"/>
  <c r="DC47" i="5"/>
  <c r="DD43" i="5"/>
  <c r="EA357" i="1"/>
  <c r="EA356" i="1"/>
  <c r="DV27" i="6"/>
  <c r="DO234" i="1"/>
  <c r="DO57" i="1"/>
  <c r="DX54" i="6"/>
  <c r="DZ76" i="1" l="1"/>
  <c r="DZ39" i="1"/>
  <c r="DZ106" i="1" s="1"/>
  <c r="DZ77" i="1"/>
  <c r="DV233" i="1"/>
  <c r="DV235" i="1"/>
  <c r="DV236" i="1" s="1"/>
  <c r="DV62" i="1" s="1"/>
  <c r="DC61" i="5"/>
  <c r="DC48" i="5"/>
  <c r="DD47" i="5"/>
  <c r="DA22" i="5"/>
  <c r="DA221" i="5"/>
  <c r="EB352" i="1"/>
  <c r="EB353" i="1"/>
  <c r="EB33" i="1"/>
  <c r="EB364" i="1"/>
  <c r="DS53" i="5"/>
  <c r="DG394" i="1"/>
  <c r="DB128" i="5"/>
  <c r="DB63" i="5"/>
  <c r="DG147" i="1"/>
  <c r="DB103" i="5"/>
  <c r="DB16" i="5"/>
  <c r="DC10" i="5"/>
  <c r="DC185" i="5" s="1"/>
  <c r="DD185" i="5" s="1"/>
  <c r="DD159" i="5" s="1"/>
  <c r="EC331" i="1"/>
  <c r="EC351" i="1" s="1"/>
  <c r="DS193" i="1"/>
  <c r="DS43" i="1"/>
  <c r="DX218" i="5"/>
  <c r="DU42" i="1"/>
  <c r="DU190" i="1"/>
  <c r="DU192" i="1"/>
  <c r="DU17" i="5"/>
  <c r="DR72" i="5"/>
  <c r="DS42" i="5"/>
  <c r="DX216" i="5"/>
  <c r="DV63" i="1"/>
  <c r="DO38" i="6"/>
  <c r="DQ175" i="6" s="1"/>
  <c r="EC328" i="1"/>
  <c r="EC342" i="1"/>
  <c r="DB77" i="6"/>
  <c r="DO61" i="1"/>
  <c r="DP449" i="1" s="1"/>
  <c r="DR439" i="1"/>
  <c r="DQ439" i="1"/>
  <c r="DP439" i="1"/>
  <c r="DO439" i="1"/>
  <c r="DW79" i="1"/>
  <c r="DW107" i="1"/>
  <c r="DW448" i="1"/>
  <c r="DX448" i="1" s="1"/>
  <c r="DP116" i="1"/>
  <c r="DO80" i="1"/>
  <c r="DO111" i="1"/>
  <c r="DV190" i="1"/>
  <c r="DV192" i="1"/>
  <c r="DV42" i="1"/>
  <c r="DU233" i="1"/>
  <c r="DU235" i="1"/>
  <c r="DU236" i="1" s="1"/>
  <c r="DU62" i="1" s="1"/>
  <c r="DC75" i="5"/>
  <c r="DC76" i="5" s="1"/>
  <c r="DM62" i="5"/>
  <c r="DS438" i="1"/>
  <c r="DN62" i="5" s="1"/>
  <c r="DQ449" i="1"/>
  <c r="EC357" i="1"/>
  <c r="EC356" i="1"/>
  <c r="DW49" i="1"/>
  <c r="DW51" i="1" s="1"/>
  <c r="DX48" i="1"/>
  <c r="DD74" i="5"/>
  <c r="DD75" i="5" s="1"/>
  <c r="DE43" i="5"/>
  <c r="V38" i="128"/>
  <c r="V19" i="128"/>
  <c r="DS81" i="1"/>
  <c r="DS108" i="1"/>
  <c r="DX78" i="1"/>
  <c r="DX106" i="1"/>
  <c r="DX442" i="1"/>
  <c r="DX41" i="1"/>
  <c r="X14" i="128"/>
  <c r="X15" i="128" s="1"/>
  <c r="DT211" i="5"/>
  <c r="DY105" i="1"/>
  <c r="DY77" i="1"/>
  <c r="DY39" i="1"/>
  <c r="DZ447" i="1" s="1"/>
  <c r="CZ49" i="5"/>
  <c r="CZ56" i="5"/>
  <c r="CZ55" i="5"/>
  <c r="CZ54" i="5"/>
  <c r="DX32" i="5"/>
  <c r="DW37" i="5"/>
  <c r="DI74" i="6"/>
  <c r="CY59" i="5"/>
  <c r="DS63" i="1"/>
  <c r="DE77" i="6"/>
  <c r="DW27" i="6"/>
  <c r="DX30" i="6"/>
  <c r="DQ88" i="6"/>
  <c r="DQ91" i="6" s="1"/>
  <c r="DV150" i="1"/>
  <c r="DV152" i="1" s="1"/>
  <c r="DQ74" i="6"/>
  <c r="CY58" i="5"/>
  <c r="DT197" i="1"/>
  <c r="DX34" i="6"/>
  <c r="CY57" i="5"/>
  <c r="DX222" i="5"/>
  <c r="DX215" i="5"/>
  <c r="DP173" i="6"/>
  <c r="DP88" i="6"/>
  <c r="DP91" i="6" s="1"/>
  <c r="DU150" i="1"/>
  <c r="DU152" i="1" s="1"/>
  <c r="DP74" i="6"/>
  <c r="DS234" i="1"/>
  <c r="DS57" i="1"/>
  <c r="W39" i="128"/>
  <c r="W40" i="128" s="1"/>
  <c r="DN95" i="6"/>
  <c r="DU211" i="5"/>
  <c r="DT196" i="1"/>
  <c r="DT165" i="1"/>
  <c r="DT189" i="1" s="1"/>
  <c r="DT117" i="1"/>
  <c r="DZ48" i="1" l="1"/>
  <c r="DZ49" i="1" s="1"/>
  <c r="DZ41" i="1"/>
  <c r="DZ78" i="1"/>
  <c r="DZ442" i="1"/>
  <c r="DP175" i="6"/>
  <c r="DQ173" i="6"/>
  <c r="DU53" i="5"/>
  <c r="DW113" i="1"/>
  <c r="DW84" i="1"/>
  <c r="DW64" i="1"/>
  <c r="DR71" i="5"/>
  <c r="DW56" i="1"/>
  <c r="DR52" i="5"/>
  <c r="DR9" i="6"/>
  <c r="DW160" i="1"/>
  <c r="DP92" i="6"/>
  <c r="DP95" i="6"/>
  <c r="DF75" i="6"/>
  <c r="DX27" i="6"/>
  <c r="DX107" i="1"/>
  <c r="DX79" i="1"/>
  <c r="DV108" i="1"/>
  <c r="DV81" i="1"/>
  <c r="DP416" i="1"/>
  <c r="DK108" i="6" s="1"/>
  <c r="DP440" i="1"/>
  <c r="DS80" i="1"/>
  <c r="DS111" i="1"/>
  <c r="W16" i="128"/>
  <c r="DH394" i="1"/>
  <c r="DC128" i="5"/>
  <c r="DC63" i="5"/>
  <c r="DC103" i="5"/>
  <c r="DH147" i="1"/>
  <c r="DC16" i="5"/>
  <c r="DD10" i="5"/>
  <c r="EB365" i="1"/>
  <c r="DW23" i="6" s="1"/>
  <c r="EB34" i="1"/>
  <c r="DR440" i="1"/>
  <c r="DS440" i="1" s="1"/>
  <c r="DR416" i="1"/>
  <c r="DS439" i="1"/>
  <c r="DT190" i="1"/>
  <c r="DT192" i="1"/>
  <c r="DT42" i="1"/>
  <c r="DT198" i="1"/>
  <c r="DT226" i="1" s="1"/>
  <c r="DT227" i="1"/>
  <c r="DI77" i="6"/>
  <c r="DV43" i="1"/>
  <c r="DV193" i="1"/>
  <c r="DQ440" i="1"/>
  <c r="DQ416" i="1"/>
  <c r="DL108" i="6" s="1"/>
  <c r="DB78" i="6"/>
  <c r="DC75" i="6"/>
  <c r="DO88" i="6"/>
  <c r="DO91" i="6" s="1"/>
  <c r="DO175" i="6"/>
  <c r="DO173" i="6"/>
  <c r="DT150" i="1"/>
  <c r="DT152" i="1" s="1"/>
  <c r="DS72" i="5"/>
  <c r="DT42" i="5"/>
  <c r="DV17" i="5"/>
  <c r="DU43" i="1"/>
  <c r="DU193" i="1"/>
  <c r="DB221" i="5"/>
  <c r="DB22" i="5"/>
  <c r="EB104" i="1"/>
  <c r="EB76" i="1"/>
  <c r="DA49" i="5"/>
  <c r="DA56" i="5"/>
  <c r="DA54" i="5"/>
  <c r="DA55" i="5"/>
  <c r="DQ92" i="6"/>
  <c r="DQ95" i="6"/>
  <c r="EC353" i="1"/>
  <c r="EC352" i="1"/>
  <c r="DV234" i="1"/>
  <c r="DV57" i="1"/>
  <c r="CZ57" i="5"/>
  <c r="CZ59" i="5"/>
  <c r="DS61" i="1"/>
  <c r="DX37" i="5"/>
  <c r="CZ58" i="5"/>
  <c r="DY78" i="1"/>
  <c r="DY106" i="1"/>
  <c r="DY442" i="1"/>
  <c r="DY41" i="1"/>
  <c r="DY447" i="1"/>
  <c r="DY48" i="1"/>
  <c r="DT53" i="5"/>
  <c r="DE74" i="5"/>
  <c r="DE47" i="5"/>
  <c r="DF43" i="5"/>
  <c r="DW163" i="1"/>
  <c r="DX49" i="1"/>
  <c r="DX51" i="1" s="1"/>
  <c r="DU234" i="1"/>
  <c r="DU57" i="1"/>
  <c r="DO440" i="1"/>
  <c r="DO410" i="1"/>
  <c r="DO116" i="1"/>
  <c r="DO449" i="1"/>
  <c r="DU108" i="1"/>
  <c r="DU81" i="1"/>
  <c r="EA352" i="1"/>
  <c r="EA33" i="1"/>
  <c r="EA353" i="1"/>
  <c r="EA364" i="1"/>
  <c r="DB86" i="6"/>
  <c r="DD61" i="5"/>
  <c r="DD76" i="5"/>
  <c r="DE70" i="5"/>
  <c r="DI70" i="5"/>
  <c r="DD48" i="5"/>
  <c r="DR449" i="1"/>
  <c r="DS449" i="1" s="1"/>
  <c r="DZ107" i="1" l="1"/>
  <c r="DZ79" i="1"/>
  <c r="DE75" i="5"/>
  <c r="DE76" i="5" s="1"/>
  <c r="DX84" i="1"/>
  <c r="DX113" i="1"/>
  <c r="DS71" i="5"/>
  <c r="DX64" i="1"/>
  <c r="DX56" i="1"/>
  <c r="EA34" i="1"/>
  <c r="EA365" i="1"/>
  <c r="DV23" i="6" s="1"/>
  <c r="EC364" i="1"/>
  <c r="EC365" i="1" s="1"/>
  <c r="DA58" i="5"/>
  <c r="DB49" i="5"/>
  <c r="DB56" i="5"/>
  <c r="DB54" i="5"/>
  <c r="DB55" i="5"/>
  <c r="DU80" i="1"/>
  <c r="DU111" i="1"/>
  <c r="DC77" i="6"/>
  <c r="DT235" i="1"/>
  <c r="DT236" i="1" s="1"/>
  <c r="DT62" i="1" s="1"/>
  <c r="DT233" i="1"/>
  <c r="DT81" i="1"/>
  <c r="DT108" i="1"/>
  <c r="DV438" i="1"/>
  <c r="DQ62" i="5" s="1"/>
  <c r="DU438" i="1"/>
  <c r="DP62" i="5" s="1"/>
  <c r="DT438" i="1"/>
  <c r="DO62" i="5" s="1"/>
  <c r="DS416" i="1"/>
  <c r="DN108" i="6" s="1"/>
  <c r="DM108" i="6"/>
  <c r="DC221" i="5"/>
  <c r="DC22" i="5"/>
  <c r="DD16" i="5"/>
  <c r="DR38" i="6"/>
  <c r="DS9" i="6"/>
  <c r="DW117" i="1"/>
  <c r="DJ102" i="6"/>
  <c r="DS410" i="1"/>
  <c r="DO416" i="1"/>
  <c r="DJ108" i="6" s="1"/>
  <c r="DO415" i="1"/>
  <c r="DA57" i="5"/>
  <c r="DA59" i="5"/>
  <c r="DW17" i="5"/>
  <c r="DJ75" i="6"/>
  <c r="DN75" i="6"/>
  <c r="DZ163" i="1"/>
  <c r="DZ197" i="1" s="1"/>
  <c r="DT193" i="1"/>
  <c r="DT43" i="1"/>
  <c r="EB105" i="1"/>
  <c r="EB77" i="1"/>
  <c r="EB39" i="1"/>
  <c r="DS52" i="5"/>
  <c r="DX82" i="1"/>
  <c r="EA76" i="1"/>
  <c r="EA104" i="1"/>
  <c r="EC33" i="1"/>
  <c r="DW197" i="1"/>
  <c r="DX163" i="1"/>
  <c r="DX197" i="1" s="1"/>
  <c r="DE61" i="5"/>
  <c r="DE48" i="5"/>
  <c r="DF70" i="5"/>
  <c r="DV61" i="1"/>
  <c r="DV80" i="1"/>
  <c r="DV111" i="1"/>
  <c r="W17" i="128"/>
  <c r="W37" i="128"/>
  <c r="DF74" i="5"/>
  <c r="DG43" i="5"/>
  <c r="DF47" i="5"/>
  <c r="DU61" i="1"/>
  <c r="DY49" i="1"/>
  <c r="DY79" i="1"/>
  <c r="DY448" i="1"/>
  <c r="DY107" i="1"/>
  <c r="DS116" i="1"/>
  <c r="W18" i="128"/>
  <c r="DT72" i="5"/>
  <c r="DU42" i="5"/>
  <c r="DO95" i="6"/>
  <c r="DO92" i="6"/>
  <c r="DT60" i="1"/>
  <c r="DZ51" i="1"/>
  <c r="DD63" i="5"/>
  <c r="DI147" i="1"/>
  <c r="DD128" i="5"/>
  <c r="DD103" i="5"/>
  <c r="DI394" i="1"/>
  <c r="DD86" i="6"/>
  <c r="DE10" i="5"/>
  <c r="DE185" i="5" s="1"/>
  <c r="DD78" i="6"/>
  <c r="DF77" i="6"/>
  <c r="DZ448" i="1"/>
  <c r="DW196" i="1"/>
  <c r="DW165" i="1"/>
  <c r="DW189" i="1" s="1"/>
  <c r="DX160" i="1"/>
  <c r="DU72" i="5" l="1"/>
  <c r="DV42" i="5"/>
  <c r="W19" i="128"/>
  <c r="W38" i="128"/>
  <c r="DY163" i="1"/>
  <c r="DU116" i="1"/>
  <c r="DX372" i="1"/>
  <c r="EB442" i="1"/>
  <c r="EB106" i="1"/>
  <c r="EB78" i="1"/>
  <c r="EB41" i="1"/>
  <c r="EB48" i="1"/>
  <c r="DT234" i="1"/>
  <c r="DT57" i="1"/>
  <c r="DB57" i="5"/>
  <c r="DB59" i="5"/>
  <c r="EA105" i="1"/>
  <c r="DV211" i="5"/>
  <c r="EA77" i="1"/>
  <c r="EA39" i="1"/>
  <c r="DW53" i="5" s="1"/>
  <c r="EC34" i="1"/>
  <c r="DW211" i="5"/>
  <c r="DX211" i="5" s="1"/>
  <c r="DE86" i="6"/>
  <c r="DE63" i="5"/>
  <c r="DE128" i="5"/>
  <c r="DJ147" i="1"/>
  <c r="DJ394" i="1"/>
  <c r="DE103" i="5"/>
  <c r="DE16" i="5"/>
  <c r="DF10" i="5"/>
  <c r="DF185" i="5" s="1"/>
  <c r="DE78" i="6"/>
  <c r="DW227" i="1"/>
  <c r="DW198" i="1"/>
  <c r="DW226" i="1" s="1"/>
  <c r="DT111" i="1"/>
  <c r="DT80" i="1"/>
  <c r="DN102" i="6"/>
  <c r="DS411" i="1"/>
  <c r="DC78" i="6"/>
  <c r="DC86" i="6"/>
  <c r="DZ113" i="1"/>
  <c r="DU71" i="5"/>
  <c r="DZ84" i="1"/>
  <c r="DZ64" i="1"/>
  <c r="DZ56" i="1"/>
  <c r="DZ160" i="1"/>
  <c r="DU9" i="6"/>
  <c r="DT63" i="1"/>
  <c r="DF61" i="5"/>
  <c r="DG70" i="5"/>
  <c r="DF48" i="5"/>
  <c r="DV116" i="1"/>
  <c r="EC104" i="1"/>
  <c r="EC76" i="1"/>
  <c r="DR175" i="6"/>
  <c r="DS175" i="6" s="1"/>
  <c r="DR88" i="6"/>
  <c r="DR91" i="6" s="1"/>
  <c r="DW150" i="1"/>
  <c r="DW152" i="1" s="1"/>
  <c r="DR74" i="6"/>
  <c r="DS38" i="6"/>
  <c r="DD221" i="5"/>
  <c r="DD22" i="5"/>
  <c r="DW190" i="1"/>
  <c r="DW192" i="1"/>
  <c r="DW42" i="1"/>
  <c r="DX196" i="1"/>
  <c r="DX198" i="1" s="1"/>
  <c r="DX226" i="1" s="1"/>
  <c r="DX165" i="1"/>
  <c r="DX189" i="1" s="1"/>
  <c r="DG75" i="6"/>
  <c r="DY51" i="1"/>
  <c r="DG74" i="5"/>
  <c r="DG47" i="5"/>
  <c r="DH43" i="5"/>
  <c r="DF75" i="5"/>
  <c r="DF76" i="5" s="1"/>
  <c r="DZ227" i="1"/>
  <c r="DZ60" i="1" s="1"/>
  <c r="DX17" i="5"/>
  <c r="DJ107" i="6"/>
  <c r="DS415" i="1"/>
  <c r="DN107" i="6" s="1"/>
  <c r="DJ66" i="6"/>
  <c r="DC49" i="5"/>
  <c r="DC56" i="5"/>
  <c r="DC54" i="5"/>
  <c r="DC55" i="5"/>
  <c r="DB58" i="5"/>
  <c r="DX23" i="6"/>
  <c r="DX117" i="1"/>
  <c r="DF78" i="6" l="1"/>
  <c r="EB447" i="1"/>
  <c r="EC447" i="1" s="1"/>
  <c r="DX150" i="1"/>
  <c r="DX152" i="1" s="1"/>
  <c r="DS88" i="6"/>
  <c r="DS91" i="6" s="1"/>
  <c r="DS173" i="6"/>
  <c r="DR173" i="6" s="1"/>
  <c r="DZ165" i="1"/>
  <c r="DZ189" i="1" s="1"/>
  <c r="DZ196" i="1"/>
  <c r="DZ198" i="1" s="1"/>
  <c r="DZ226" i="1" s="1"/>
  <c r="DW235" i="1"/>
  <c r="DW236" i="1" s="1"/>
  <c r="DW62" i="1" s="1"/>
  <c r="DW233" i="1"/>
  <c r="DE221" i="5"/>
  <c r="DE22" i="5"/>
  <c r="EB49" i="1"/>
  <c r="EB79" i="1"/>
  <c r="EB107" i="1"/>
  <c r="DV72" i="5"/>
  <c r="DW42" i="5"/>
  <c r="DD55" i="5"/>
  <c r="DC58" i="5"/>
  <c r="DW60" i="1"/>
  <c r="DX227" i="1"/>
  <c r="DX235" i="1" s="1"/>
  <c r="DX236" i="1" s="1"/>
  <c r="DX62" i="1" s="1"/>
  <c r="DX53" i="5"/>
  <c r="DX376" i="1"/>
  <c r="DX373" i="1"/>
  <c r="DD54" i="5"/>
  <c r="DC57" i="5"/>
  <c r="DC59" i="5"/>
  <c r="DJ97" i="6"/>
  <c r="DN66" i="6"/>
  <c r="DJ71" i="6"/>
  <c r="DJ226" i="5"/>
  <c r="DN226" i="5" s="1"/>
  <c r="DZ63" i="1"/>
  <c r="DH74" i="5"/>
  <c r="DH47" i="5"/>
  <c r="DI43" i="5"/>
  <c r="DY113" i="1"/>
  <c r="DY84" i="1"/>
  <c r="DT71" i="5"/>
  <c r="DY64" i="1"/>
  <c r="DT52" i="5"/>
  <c r="DT9" i="6"/>
  <c r="DY56" i="1"/>
  <c r="DY160" i="1"/>
  <c r="DX190" i="1"/>
  <c r="DX42" i="1"/>
  <c r="DW108" i="1"/>
  <c r="DW81" i="1"/>
  <c r="DW438" i="1"/>
  <c r="DD49" i="5"/>
  <c r="DU38" i="6"/>
  <c r="EC105" i="1"/>
  <c r="EC77" i="1"/>
  <c r="EC39" i="1"/>
  <c r="DD56" i="5"/>
  <c r="DG61" i="5"/>
  <c r="DG48" i="5"/>
  <c r="DH70" i="5"/>
  <c r="DG77" i="6"/>
  <c r="DW193" i="1"/>
  <c r="DW43" i="1"/>
  <c r="DX192" i="1"/>
  <c r="DR92" i="6"/>
  <c r="DS92" i="6" s="1"/>
  <c r="DR95" i="6"/>
  <c r="DG75" i="5"/>
  <c r="DG76" i="5" s="1"/>
  <c r="DU52" i="5"/>
  <c r="DZ117" i="1"/>
  <c r="DN103" i="6"/>
  <c r="W42" i="128"/>
  <c r="W43" i="128" s="1"/>
  <c r="DS412" i="1"/>
  <c r="DN104" i="6" s="1"/>
  <c r="DK147" i="1"/>
  <c r="DF86" i="6"/>
  <c r="DF103" i="5"/>
  <c r="DF128" i="5"/>
  <c r="DF63" i="5"/>
  <c r="DK394" i="1"/>
  <c r="DF16" i="5"/>
  <c r="DG10" i="5"/>
  <c r="EA106" i="1"/>
  <c r="EA442" i="1"/>
  <c r="EA447" i="1"/>
  <c r="EA78" i="1"/>
  <c r="EA41" i="1"/>
  <c r="EB448" i="1" s="1"/>
  <c r="EC448" i="1" s="1"/>
  <c r="DV53" i="5"/>
  <c r="EA48" i="1"/>
  <c r="DT61" i="1"/>
  <c r="DU439" i="1"/>
  <c r="DV439" i="1"/>
  <c r="DT439" i="1"/>
  <c r="DY197" i="1"/>
  <c r="DH75" i="5" l="1"/>
  <c r="DH76" i="5" s="1"/>
  <c r="DX193" i="1"/>
  <c r="DX43" i="1"/>
  <c r="EC78" i="1"/>
  <c r="EC106" i="1"/>
  <c r="EC442" i="1"/>
  <c r="EC41" i="1"/>
  <c r="Y14" i="128"/>
  <c r="Y15" i="128" s="1"/>
  <c r="DX438" i="1"/>
  <c r="DS62" i="5" s="1"/>
  <c r="DR62" i="5"/>
  <c r="DI74" i="5"/>
  <c r="DI75" i="5" s="1"/>
  <c r="DJ43" i="5"/>
  <c r="DN97" i="6"/>
  <c r="DN167" i="6" s="1"/>
  <c r="DD57" i="5"/>
  <c r="DE49" i="5"/>
  <c r="DE56" i="5"/>
  <c r="DE55" i="5"/>
  <c r="DE54" i="5"/>
  <c r="DY227" i="1"/>
  <c r="DT449" i="1"/>
  <c r="DT116" i="1"/>
  <c r="DV449" i="1"/>
  <c r="DU449" i="1"/>
  <c r="DG128" i="5"/>
  <c r="DL394" i="1"/>
  <c r="DG86" i="6"/>
  <c r="DG103" i="5"/>
  <c r="DG63" i="5"/>
  <c r="DL147" i="1"/>
  <c r="DG16" i="5"/>
  <c r="DH10" i="5"/>
  <c r="DH185" i="5" s="1"/>
  <c r="DW111" i="1"/>
  <c r="DW80" i="1"/>
  <c r="DU88" i="6"/>
  <c r="DU91" i="6" s="1"/>
  <c r="DZ150" i="1"/>
  <c r="DZ152" i="1" s="1"/>
  <c r="DU74" i="6"/>
  <c r="DX81" i="1"/>
  <c r="DX108" i="1"/>
  <c r="DT38" i="6"/>
  <c r="DU173" i="6" s="1"/>
  <c r="DH61" i="5"/>
  <c r="DH48" i="5"/>
  <c r="DI47" i="5"/>
  <c r="DX229" i="1"/>
  <c r="DX228" i="1"/>
  <c r="DX60" i="1"/>
  <c r="EB163" i="1"/>
  <c r="EB197" i="1" s="1"/>
  <c r="DZ233" i="1"/>
  <c r="DZ235" i="1"/>
  <c r="DZ236" i="1" s="1"/>
  <c r="DZ62" i="1" s="1"/>
  <c r="DS95" i="6"/>
  <c r="X39" i="128"/>
  <c r="X40" i="128" s="1"/>
  <c r="DV440" i="1"/>
  <c r="DV416" i="1"/>
  <c r="DQ108" i="6" s="1"/>
  <c r="DF221" i="5"/>
  <c r="DF22" i="5"/>
  <c r="DW63" i="1"/>
  <c r="DW72" i="5"/>
  <c r="DX42" i="5"/>
  <c r="EB51" i="1"/>
  <c r="DZ42" i="1"/>
  <c r="DZ190" i="1"/>
  <c r="DZ192" i="1"/>
  <c r="DT440" i="1"/>
  <c r="DT410" i="1"/>
  <c r="DU440" i="1"/>
  <c r="DU416" i="1"/>
  <c r="DP108" i="6" s="1"/>
  <c r="EA49" i="1"/>
  <c r="EA51" i="1" s="1"/>
  <c r="EC48" i="1"/>
  <c r="EA107" i="1"/>
  <c r="EA448" i="1"/>
  <c r="EA79" i="1"/>
  <c r="DG185" i="5"/>
  <c r="DH75" i="6"/>
  <c r="DG78" i="6"/>
  <c r="DY196" i="1"/>
  <c r="DY198" i="1" s="1"/>
  <c r="DY226" i="1" s="1"/>
  <c r="DY165" i="1"/>
  <c r="DY189" i="1" s="1"/>
  <c r="DY117" i="1"/>
  <c r="DJ74" i="6"/>
  <c r="DN71" i="6"/>
  <c r="DD59" i="5"/>
  <c r="DD58" i="5"/>
  <c r="DW234" i="1"/>
  <c r="DW57" i="1"/>
  <c r="DX233" i="1"/>
  <c r="DY233" i="1" l="1"/>
  <c r="DY235" i="1"/>
  <c r="DY236" i="1" s="1"/>
  <c r="DY62" i="1" s="1"/>
  <c r="DI185" i="5"/>
  <c r="DI159" i="5" s="1"/>
  <c r="EB113" i="1"/>
  <c r="DW71" i="5"/>
  <c r="EB84" i="1"/>
  <c r="EB64" i="1"/>
  <c r="DW9" i="6"/>
  <c r="DW52" i="5"/>
  <c r="EB160" i="1"/>
  <c r="EB56" i="1"/>
  <c r="DI61" i="5"/>
  <c r="DI76" i="5"/>
  <c r="DI48" i="5"/>
  <c r="DJ70" i="5"/>
  <c r="DN70" i="5"/>
  <c r="DH63" i="5"/>
  <c r="DH128" i="5"/>
  <c r="DH103" i="5"/>
  <c r="DM147" i="1"/>
  <c r="DM394" i="1"/>
  <c r="DH16" i="5"/>
  <c r="DI10" i="5"/>
  <c r="DJ74" i="5"/>
  <c r="DJ47" i="5"/>
  <c r="DK43" i="5"/>
  <c r="DH77" i="6"/>
  <c r="DH86" i="6" s="1"/>
  <c r="DV71" i="5"/>
  <c r="EA84" i="1"/>
  <c r="EA113" i="1"/>
  <c r="EA64" i="1"/>
  <c r="EA56" i="1"/>
  <c r="EA160" i="1"/>
  <c r="DV52" i="5"/>
  <c r="DV9" i="6"/>
  <c r="DZ108" i="1"/>
  <c r="DZ81" i="1"/>
  <c r="DN74" i="6"/>
  <c r="DO102" i="6"/>
  <c r="DT415" i="1"/>
  <c r="DT416" i="1"/>
  <c r="DO108" i="6" s="1"/>
  <c r="DX410" i="1"/>
  <c r="DZ193" i="1"/>
  <c r="DZ43" i="1"/>
  <c r="DZ57" i="1"/>
  <c r="DZ234" i="1"/>
  <c r="DX63" i="1"/>
  <c r="DG221" i="5"/>
  <c r="DG22" i="5"/>
  <c r="DE57" i="5"/>
  <c r="DE59" i="5"/>
  <c r="DU95" i="6"/>
  <c r="DU92" i="6"/>
  <c r="DX234" i="1"/>
  <c r="DX57" i="1"/>
  <c r="DJ77" i="6"/>
  <c r="DY190" i="1"/>
  <c r="DY42" i="1"/>
  <c r="DY192" i="1"/>
  <c r="EA163" i="1"/>
  <c r="EC49" i="1"/>
  <c r="DX72" i="5"/>
  <c r="DF49" i="5"/>
  <c r="DF56" i="5"/>
  <c r="DF54" i="5"/>
  <c r="DF55" i="5"/>
  <c r="EB227" i="1"/>
  <c r="EB60" i="1" s="1"/>
  <c r="DT88" i="6"/>
  <c r="DT91" i="6" s="1"/>
  <c r="DT173" i="6"/>
  <c r="DT175" i="6"/>
  <c r="DY150" i="1"/>
  <c r="DY152" i="1" s="1"/>
  <c r="DU175" i="6"/>
  <c r="DE58" i="5"/>
  <c r="EC107" i="1"/>
  <c r="EC79" i="1"/>
  <c r="DX111" i="1"/>
  <c r="DX80" i="1"/>
  <c r="X16" i="128"/>
  <c r="DW61" i="1"/>
  <c r="DW439" i="1"/>
  <c r="DY60" i="1"/>
  <c r="DJ75" i="5" l="1"/>
  <c r="DT92" i="6"/>
  <c r="DT95" i="6"/>
  <c r="DZ80" i="1"/>
  <c r="DZ111" i="1"/>
  <c r="DX439" i="1"/>
  <c r="DW416" i="1"/>
  <c r="DW440" i="1"/>
  <c r="DX440" i="1" s="1"/>
  <c r="X17" i="128"/>
  <c r="X37" i="128"/>
  <c r="DK75" i="6"/>
  <c r="DG49" i="5"/>
  <c r="DG56" i="5"/>
  <c r="DG55" i="5"/>
  <c r="DG54" i="5"/>
  <c r="EA196" i="1"/>
  <c r="EA165" i="1"/>
  <c r="EA189" i="1" s="1"/>
  <c r="EC160" i="1"/>
  <c r="DH78" i="6"/>
  <c r="EB117" i="1"/>
  <c r="DW116" i="1"/>
  <c r="DW449" i="1"/>
  <c r="DX449" i="1" s="1"/>
  <c r="EB63" i="1"/>
  <c r="EC82" i="1"/>
  <c r="DY193" i="1"/>
  <c r="DY43" i="1"/>
  <c r="DS102" i="6"/>
  <c r="DX411" i="1"/>
  <c r="EC51" i="1"/>
  <c r="DK74" i="5"/>
  <c r="DK47" i="5"/>
  <c r="DL43" i="5"/>
  <c r="DI103" i="5"/>
  <c r="DI128" i="5"/>
  <c r="DI63" i="5"/>
  <c r="DN394" i="1"/>
  <c r="DN147" i="1"/>
  <c r="DI86" i="6"/>
  <c r="DJ10" i="5"/>
  <c r="DJ78" i="6" s="1"/>
  <c r="DI78" i="6"/>
  <c r="EB196" i="1"/>
  <c r="EB198" i="1" s="1"/>
  <c r="EB226" i="1" s="1"/>
  <c r="EB165" i="1"/>
  <c r="EB189" i="1" s="1"/>
  <c r="DF57" i="5"/>
  <c r="DF59" i="5"/>
  <c r="DY63" i="1"/>
  <c r="DF58" i="5"/>
  <c r="EA197" i="1"/>
  <c r="EC163" i="1"/>
  <c r="EC197" i="1" s="1"/>
  <c r="DY81" i="1"/>
  <c r="DY108" i="1"/>
  <c r="DY438" i="1"/>
  <c r="DT62" i="5" s="1"/>
  <c r="DZ438" i="1"/>
  <c r="DU62" i="5" s="1"/>
  <c r="DX61" i="1"/>
  <c r="DZ61" i="1"/>
  <c r="DV38" i="6"/>
  <c r="DX9" i="6"/>
  <c r="EA117" i="1"/>
  <c r="DJ61" i="5"/>
  <c r="DJ76" i="5"/>
  <c r="DJ48" i="5"/>
  <c r="DK70" i="5"/>
  <c r="DH221" i="5"/>
  <c r="DI16" i="5"/>
  <c r="DH22" i="5"/>
  <c r="DX52" i="5"/>
  <c r="DX415" i="1"/>
  <c r="DS107" i="6" s="1"/>
  <c r="DO66" i="6"/>
  <c r="DO107" i="6"/>
  <c r="DN77" i="6"/>
  <c r="DW38" i="6"/>
  <c r="DY234" i="1"/>
  <c r="DY57" i="1"/>
  <c r="DK75" i="5" l="1"/>
  <c r="DK76" i="5" s="1"/>
  <c r="DJ185" i="5"/>
  <c r="DI221" i="5"/>
  <c r="DI22" i="5"/>
  <c r="DK61" i="5"/>
  <c r="DL70" i="5"/>
  <c r="DK48" i="5"/>
  <c r="DO97" i="6"/>
  <c r="DO71" i="6"/>
  <c r="DS66" i="6"/>
  <c r="DO226" i="5"/>
  <c r="DS226" i="5" s="1"/>
  <c r="DG57" i="5"/>
  <c r="DG59" i="5"/>
  <c r="DO75" i="6"/>
  <c r="DS75" i="6"/>
  <c r="DZ116" i="1"/>
  <c r="EC196" i="1"/>
  <c r="EC198" i="1" s="1"/>
  <c r="EC226" i="1" s="1"/>
  <c r="EC165" i="1"/>
  <c r="EC189" i="1" s="1"/>
  <c r="DG58" i="5"/>
  <c r="DR108" i="6"/>
  <c r="DX416" i="1"/>
  <c r="DS108" i="6" s="1"/>
  <c r="DY61" i="1"/>
  <c r="DY439" i="1"/>
  <c r="DZ439" i="1"/>
  <c r="X18" i="128"/>
  <c r="DX116" i="1"/>
  <c r="DW88" i="6"/>
  <c r="DW91" i="6" s="1"/>
  <c r="EB150" i="1"/>
  <c r="EB152" i="1" s="1"/>
  <c r="DW175" i="6"/>
  <c r="DX175" i="6" s="1"/>
  <c r="DW74" i="6"/>
  <c r="DH49" i="5"/>
  <c r="DH56" i="5"/>
  <c r="DH55" i="5"/>
  <c r="DH54" i="5"/>
  <c r="DV175" i="6"/>
  <c r="DV173" i="6"/>
  <c r="DV88" i="6"/>
  <c r="DV91" i="6" s="1"/>
  <c r="EA150" i="1"/>
  <c r="EA152" i="1" s="1"/>
  <c r="DV74" i="6"/>
  <c r="DX38" i="6"/>
  <c r="EA227" i="1"/>
  <c r="EA198" i="1"/>
  <c r="EA226" i="1" s="1"/>
  <c r="EB42" i="1"/>
  <c r="EB190" i="1"/>
  <c r="EB192" i="1"/>
  <c r="DJ63" i="5"/>
  <c r="DJ86" i="6"/>
  <c r="DO394" i="1"/>
  <c r="DO147" i="1"/>
  <c r="DJ128" i="5"/>
  <c r="DJ103" i="5"/>
  <c r="DJ16" i="5"/>
  <c r="DK10" i="5"/>
  <c r="DK185" i="5" s="1"/>
  <c r="DL74" i="5"/>
  <c r="DL47" i="5"/>
  <c r="DM43" i="5"/>
  <c r="EC84" i="1"/>
  <c r="EC113" i="1"/>
  <c r="EC64" i="1"/>
  <c r="DX71" i="5"/>
  <c r="EC56" i="1"/>
  <c r="EA42" i="1"/>
  <c r="EA190" i="1"/>
  <c r="EA192" i="1"/>
  <c r="EB235" i="1"/>
  <c r="EB236" i="1" s="1"/>
  <c r="EB62" i="1" s="1"/>
  <c r="EB233" i="1"/>
  <c r="DS103" i="6"/>
  <c r="DX412" i="1"/>
  <c r="DS104" i="6" s="1"/>
  <c r="X42" i="128"/>
  <c r="X43" i="128" s="1"/>
  <c r="DY111" i="1"/>
  <c r="DY80" i="1"/>
  <c r="EC372" i="1"/>
  <c r="DK77" i="6"/>
  <c r="DI55" i="5" l="1"/>
  <c r="DH58" i="5"/>
  <c r="DK78" i="6"/>
  <c r="DL75" i="6"/>
  <c r="EC117" i="1"/>
  <c r="DM74" i="5"/>
  <c r="DN43" i="5"/>
  <c r="DM47" i="5"/>
  <c r="DK86" i="6"/>
  <c r="DK63" i="5"/>
  <c r="DP394" i="1"/>
  <c r="DP147" i="1"/>
  <c r="DK128" i="5"/>
  <c r="DK103" i="5"/>
  <c r="DL10" i="5"/>
  <c r="DK16" i="5"/>
  <c r="EB108" i="1"/>
  <c r="EB81" i="1"/>
  <c r="DI56" i="5"/>
  <c r="DZ440" i="1"/>
  <c r="DZ416" i="1"/>
  <c r="DU108" i="6" s="1"/>
  <c r="DY116" i="1"/>
  <c r="DY449" i="1"/>
  <c r="DZ449" i="1"/>
  <c r="EB57" i="1"/>
  <c r="EB234" i="1"/>
  <c r="EA108" i="1"/>
  <c r="EA81" i="1"/>
  <c r="EA438" i="1"/>
  <c r="DV62" i="5" s="1"/>
  <c r="EB438" i="1"/>
  <c r="DL61" i="5"/>
  <c r="DL48" i="5"/>
  <c r="DM70" i="5"/>
  <c r="DJ221" i="5"/>
  <c r="DJ22" i="5"/>
  <c r="EA233" i="1"/>
  <c r="EA235" i="1"/>
  <c r="EA236" i="1" s="1"/>
  <c r="EA62" i="1" s="1"/>
  <c r="DY440" i="1"/>
  <c r="DY410" i="1"/>
  <c r="DS97" i="6"/>
  <c r="DS167" i="6" s="1"/>
  <c r="EC373" i="1"/>
  <c r="EC376" i="1"/>
  <c r="EA193" i="1"/>
  <c r="EA43" i="1"/>
  <c r="EC192" i="1"/>
  <c r="EB193" i="1"/>
  <c r="EB43" i="1"/>
  <c r="EA60" i="1"/>
  <c r="EC227" i="1"/>
  <c r="EC235" i="1" s="1"/>
  <c r="EC236" i="1" s="1"/>
  <c r="EC62" i="1" s="1"/>
  <c r="DV95" i="6"/>
  <c r="DV92" i="6"/>
  <c r="DI54" i="5"/>
  <c r="DH57" i="5"/>
  <c r="DH59" i="5"/>
  <c r="DW95" i="6"/>
  <c r="DW92" i="6"/>
  <c r="X38" i="128"/>
  <c r="X19" i="128"/>
  <c r="EC42" i="1"/>
  <c r="EC190" i="1"/>
  <c r="DS71" i="6"/>
  <c r="DO74" i="6"/>
  <c r="DL75" i="5"/>
  <c r="DL76" i="5" s="1"/>
  <c r="DX88" i="6"/>
  <c r="DX91" i="6" s="1"/>
  <c r="EC150" i="1"/>
  <c r="EC152" i="1" s="1"/>
  <c r="DX173" i="6"/>
  <c r="DW173" i="6" s="1"/>
  <c r="DI49" i="5"/>
  <c r="DX92" i="6" l="1"/>
  <c r="EC108" i="1"/>
  <c r="EC81" i="1"/>
  <c r="EA111" i="1"/>
  <c r="EA80" i="1"/>
  <c r="DO77" i="6"/>
  <c r="DI59" i="5"/>
  <c r="EB111" i="1"/>
  <c r="EB80" i="1"/>
  <c r="DJ49" i="5"/>
  <c r="DJ56" i="5"/>
  <c r="DJ54" i="5"/>
  <c r="DJ55" i="5"/>
  <c r="DL63" i="5"/>
  <c r="DL103" i="5"/>
  <c r="DL128" i="5"/>
  <c r="DQ147" i="1"/>
  <c r="DQ394" i="1"/>
  <c r="DL16" i="5"/>
  <c r="DM10" i="5"/>
  <c r="DM185" i="5" s="1"/>
  <c r="EA63" i="1"/>
  <c r="DW62" i="5"/>
  <c r="EC438" i="1"/>
  <c r="DX62" i="5" s="1"/>
  <c r="EB61" i="1"/>
  <c r="DI57" i="5"/>
  <c r="DM61" i="5"/>
  <c r="DM48" i="5"/>
  <c r="DN47" i="5"/>
  <c r="DT102" i="6"/>
  <c r="DY415" i="1"/>
  <c r="DY416" i="1"/>
  <c r="DT108" i="6" s="1"/>
  <c r="EC410" i="1"/>
  <c r="DX95" i="6"/>
  <c r="Y39" i="128"/>
  <c r="Y40" i="128" s="1"/>
  <c r="DS74" i="6"/>
  <c r="EC228" i="1"/>
  <c r="EC229" i="1"/>
  <c r="EC60" i="1"/>
  <c r="EC193" i="1"/>
  <c r="EC43" i="1"/>
  <c r="EA234" i="1"/>
  <c r="EA57" i="1"/>
  <c r="DM75" i="5"/>
  <c r="DM76" i="5" s="1"/>
  <c r="DL185" i="5"/>
  <c r="DN74" i="5"/>
  <c r="DN75" i="5" s="1"/>
  <c r="DO43" i="5"/>
  <c r="DI58" i="5"/>
  <c r="EC233" i="1"/>
  <c r="DK221" i="5"/>
  <c r="DK22" i="5"/>
  <c r="DL77" i="6"/>
  <c r="DL86" i="6" s="1"/>
  <c r="DN185" i="5" l="1"/>
  <c r="DN159" i="5" s="1"/>
  <c r="DT107" i="6"/>
  <c r="DT66" i="6"/>
  <c r="EC415" i="1"/>
  <c r="DX107" i="6" s="1"/>
  <c r="Y16" i="128"/>
  <c r="EC111" i="1"/>
  <c r="EC80" i="1"/>
  <c r="DM63" i="5"/>
  <c r="DR394" i="1"/>
  <c r="DM128" i="5"/>
  <c r="DR147" i="1"/>
  <c r="DM103" i="5"/>
  <c r="DM16" i="5"/>
  <c r="DN10" i="5"/>
  <c r="DL78" i="6"/>
  <c r="DM75" i="6"/>
  <c r="DO74" i="5"/>
  <c r="DP43" i="5"/>
  <c r="DO47" i="5"/>
  <c r="DS77" i="6"/>
  <c r="DX102" i="6"/>
  <c r="EC411" i="1"/>
  <c r="DN76" i="5"/>
  <c r="DN61" i="5"/>
  <c r="DO70" i="5"/>
  <c r="DN48" i="5"/>
  <c r="DS70" i="5"/>
  <c r="DL221" i="5"/>
  <c r="DL22" i="5"/>
  <c r="DJ58" i="5"/>
  <c r="DP75" i="6"/>
  <c r="DK49" i="5"/>
  <c r="DK56" i="5"/>
  <c r="DK55" i="5"/>
  <c r="DK54" i="5"/>
  <c r="EC57" i="1"/>
  <c r="EC234" i="1"/>
  <c r="EA61" i="1"/>
  <c r="EA439" i="1"/>
  <c r="EB439" i="1"/>
  <c r="EC63" i="1"/>
  <c r="EB116" i="1"/>
  <c r="DJ57" i="5"/>
  <c r="DJ59" i="5"/>
  <c r="EC439" i="1" l="1"/>
  <c r="EB440" i="1"/>
  <c r="EC440" i="1" s="1"/>
  <c r="EB416" i="1"/>
  <c r="EA440" i="1"/>
  <c r="EA416" i="1"/>
  <c r="DV108" i="6" s="1"/>
  <c r="EC61" i="1"/>
  <c r="DO75" i="5"/>
  <c r="DO76" i="5" s="1"/>
  <c r="DX103" i="6"/>
  <c r="EC412" i="1"/>
  <c r="DX104" i="6" s="1"/>
  <c r="Y42" i="128"/>
  <c r="Y43" i="128" s="1"/>
  <c r="DO61" i="5"/>
  <c r="DP70" i="5"/>
  <c r="DO48" i="5"/>
  <c r="DM77" i="6"/>
  <c r="Y17" i="128"/>
  <c r="Y37" i="128"/>
  <c r="DL49" i="5"/>
  <c r="DL56" i="5"/>
  <c r="DL54" i="5"/>
  <c r="DL55" i="5"/>
  <c r="DK57" i="5"/>
  <c r="DK59" i="5"/>
  <c r="DP74" i="5"/>
  <c r="DQ43" i="5"/>
  <c r="DP47" i="5"/>
  <c r="DM221" i="5"/>
  <c r="DM22" i="5"/>
  <c r="DN16" i="5"/>
  <c r="EA116" i="1"/>
  <c r="EA449" i="1"/>
  <c r="EB449" i="1"/>
  <c r="EC449" i="1" s="1"/>
  <c r="DK58" i="5"/>
  <c r="DP77" i="6"/>
  <c r="DX75" i="6"/>
  <c r="DT75" i="6"/>
  <c r="DN128" i="5"/>
  <c r="DS147" i="1"/>
  <c r="DS394" i="1"/>
  <c r="DN63" i="5"/>
  <c r="DN103" i="5"/>
  <c r="DN86" i="6"/>
  <c r="DO10" i="5"/>
  <c r="DO185" i="5" s="1"/>
  <c r="DN78" i="6"/>
  <c r="DT97" i="6"/>
  <c r="DT226" i="5"/>
  <c r="DX226" i="5" s="1"/>
  <c r="DT71" i="6"/>
  <c r="DX66" i="6"/>
  <c r="DL58" i="5" l="1"/>
  <c r="DX97" i="6"/>
  <c r="DX167" i="6" s="1"/>
  <c r="DQ75" i="6"/>
  <c r="DP61" i="5"/>
  <c r="DQ70" i="5"/>
  <c r="DP48" i="5"/>
  <c r="DL57" i="5"/>
  <c r="DL59" i="5"/>
  <c r="DN221" i="5"/>
  <c r="DN22" i="5"/>
  <c r="DQ74" i="5"/>
  <c r="DR43" i="5"/>
  <c r="DQ47" i="5"/>
  <c r="DP75" i="5"/>
  <c r="DP76" i="5" s="1"/>
  <c r="DW108" i="6"/>
  <c r="EC416" i="1"/>
  <c r="DX108" i="6" s="1"/>
  <c r="DT74" i="6"/>
  <c r="DX71" i="6"/>
  <c r="DT147" i="1"/>
  <c r="DO103" i="5"/>
  <c r="DO63" i="5"/>
  <c r="DT394" i="1"/>
  <c r="DO86" i="6"/>
  <c r="DO128" i="5"/>
  <c r="DO16" i="5"/>
  <c r="DP10" i="5"/>
  <c r="DP78" i="6" s="1"/>
  <c r="DO78" i="6"/>
  <c r="DM49" i="5"/>
  <c r="DM56" i="5"/>
  <c r="DM54" i="5"/>
  <c r="DM55" i="5"/>
  <c r="DM78" i="6"/>
  <c r="DM86" i="6"/>
  <c r="EC116" i="1"/>
  <c r="Y18" i="128"/>
  <c r="DQ75" i="5" l="1"/>
  <c r="DQ76" i="5" s="1"/>
  <c r="DX74" i="6"/>
  <c r="DQ77" i="6"/>
  <c r="DN54" i="5"/>
  <c r="DM57" i="5"/>
  <c r="DM59" i="5"/>
  <c r="DN55" i="5"/>
  <c r="DM58" i="5"/>
  <c r="Y38" i="128"/>
  <c r="Y19" i="128"/>
  <c r="DP128" i="5"/>
  <c r="DU147" i="1"/>
  <c r="DU394" i="1"/>
  <c r="DP63" i="5"/>
  <c r="DP86" i="6"/>
  <c r="DP103" i="5"/>
  <c r="DP16" i="5"/>
  <c r="DQ10" i="5"/>
  <c r="DQ185" i="5" s="1"/>
  <c r="DP185" i="5"/>
  <c r="DQ61" i="5"/>
  <c r="DQ48" i="5"/>
  <c r="DR70" i="5"/>
  <c r="DT77" i="6"/>
  <c r="DN56" i="5"/>
  <c r="DO22" i="5"/>
  <c r="DO221" i="5"/>
  <c r="DR74" i="5"/>
  <c r="DS43" i="5"/>
  <c r="DR47" i="5"/>
  <c r="DN49" i="5"/>
  <c r="DR75" i="5" l="1"/>
  <c r="DR76" i="5" s="1"/>
  <c r="DN59" i="5"/>
  <c r="DO49" i="5"/>
  <c r="DO56" i="5"/>
  <c r="DO54" i="5"/>
  <c r="DO55" i="5"/>
  <c r="DR61" i="5"/>
  <c r="DS47" i="5"/>
  <c r="DR48" i="5"/>
  <c r="DQ103" i="5"/>
  <c r="DQ128" i="5"/>
  <c r="DV147" i="1"/>
  <c r="DQ63" i="5"/>
  <c r="DV394" i="1"/>
  <c r="DQ86" i="6"/>
  <c r="DQ16" i="5"/>
  <c r="DR10" i="5"/>
  <c r="DN58" i="5"/>
  <c r="DN57" i="5"/>
  <c r="DQ78" i="6"/>
  <c r="DR75" i="6"/>
  <c r="DS74" i="5"/>
  <c r="DS75" i="5" s="1"/>
  <c r="DT43" i="5"/>
  <c r="DU75" i="6"/>
  <c r="DP221" i="5"/>
  <c r="DP22" i="5"/>
  <c r="DX77" i="6"/>
  <c r="DT74" i="5" l="1"/>
  <c r="DU43" i="5"/>
  <c r="DT47" i="5"/>
  <c r="DS76" i="5"/>
  <c r="DS61" i="5"/>
  <c r="DX70" i="5"/>
  <c r="DT70" i="5"/>
  <c r="DS48" i="5"/>
  <c r="DO58" i="5"/>
  <c r="DU77" i="6"/>
  <c r="DR128" i="5"/>
  <c r="DW147" i="1"/>
  <c r="DR103" i="5"/>
  <c r="DW394" i="1"/>
  <c r="DR63" i="5"/>
  <c r="DR16" i="5"/>
  <c r="DS10" i="5"/>
  <c r="DO57" i="5"/>
  <c r="DO59" i="5"/>
  <c r="DP49" i="5"/>
  <c r="DP56" i="5"/>
  <c r="DP54" i="5"/>
  <c r="DP55" i="5"/>
  <c r="DR77" i="6"/>
  <c r="DR86" i="6" s="1"/>
  <c r="DQ221" i="5"/>
  <c r="DQ22" i="5"/>
  <c r="DR185" i="5"/>
  <c r="DS185" i="5" s="1"/>
  <c r="DS159" i="5" s="1"/>
  <c r="DP58" i="5" l="1"/>
  <c r="DT75" i="5"/>
  <c r="DT76" i="5" s="1"/>
  <c r="DP57" i="5"/>
  <c r="DP59" i="5"/>
  <c r="DT61" i="5"/>
  <c r="DT48" i="5"/>
  <c r="DU70" i="5"/>
  <c r="DV75" i="6"/>
  <c r="DS103" i="5"/>
  <c r="DX394" i="1"/>
  <c r="DS63" i="5"/>
  <c r="DX147" i="1"/>
  <c r="DS128" i="5"/>
  <c r="DS86" i="6"/>
  <c r="DT10" i="5"/>
  <c r="DT185" i="5" s="1"/>
  <c r="DS78" i="6"/>
  <c r="DU74" i="5"/>
  <c r="DV43" i="5"/>
  <c r="DU47" i="5"/>
  <c r="DQ49" i="5"/>
  <c r="DQ56" i="5"/>
  <c r="DQ54" i="5"/>
  <c r="DQ55" i="5"/>
  <c r="DR78" i="6"/>
  <c r="DR221" i="5"/>
  <c r="DS16" i="5"/>
  <c r="DR22" i="5"/>
  <c r="DQ57" i="5" l="1"/>
  <c r="DQ59" i="5"/>
  <c r="DR49" i="5"/>
  <c r="DR56" i="5"/>
  <c r="DR54" i="5"/>
  <c r="DR55" i="5"/>
  <c r="DV74" i="5"/>
  <c r="DW43" i="5"/>
  <c r="DV47" i="5"/>
  <c r="DY147" i="1"/>
  <c r="DT86" i="6"/>
  <c r="DY394" i="1"/>
  <c r="DT103" i="5"/>
  <c r="DT128" i="5"/>
  <c r="DT63" i="5"/>
  <c r="DT16" i="5"/>
  <c r="DU10" i="5"/>
  <c r="DU185" i="5" s="1"/>
  <c r="DT78" i="6"/>
  <c r="DU75" i="5"/>
  <c r="DU76" i="5" s="1"/>
  <c r="DS22" i="5"/>
  <c r="DS221" i="5"/>
  <c r="DV77" i="6"/>
  <c r="DU61" i="5"/>
  <c r="DU48" i="5"/>
  <c r="DV70" i="5"/>
  <c r="DQ58" i="5"/>
  <c r="DT221" i="5" l="1"/>
  <c r="DT22" i="5"/>
  <c r="DV61" i="5"/>
  <c r="DW70" i="5"/>
  <c r="DV48" i="5"/>
  <c r="DS55" i="5"/>
  <c r="DR58" i="5"/>
  <c r="DS49" i="5"/>
  <c r="DW74" i="5"/>
  <c r="DX43" i="5"/>
  <c r="DW47" i="5"/>
  <c r="DS54" i="5"/>
  <c r="DR57" i="5"/>
  <c r="DR59" i="5"/>
  <c r="DV75" i="5"/>
  <c r="DV76" i="5" s="1"/>
  <c r="DW75" i="6"/>
  <c r="DZ394" i="1"/>
  <c r="DU128" i="5"/>
  <c r="DU86" i="6"/>
  <c r="DU63" i="5"/>
  <c r="DU103" i="5"/>
  <c r="DZ147" i="1"/>
  <c r="DU16" i="5"/>
  <c r="DV10" i="5"/>
  <c r="DV185" i="5" s="1"/>
  <c r="DU78" i="6"/>
  <c r="DS56" i="5"/>
  <c r="DV78" i="6" l="1"/>
  <c r="DS58" i="5"/>
  <c r="DW75" i="5"/>
  <c r="DT49" i="5"/>
  <c r="DT56" i="5"/>
  <c r="DT55" i="5"/>
  <c r="DT54" i="5"/>
  <c r="DS57" i="5"/>
  <c r="DX74" i="5"/>
  <c r="DX75" i="5" s="1"/>
  <c r="DV86" i="6"/>
  <c r="DV103" i="5"/>
  <c r="DV128" i="5"/>
  <c r="EA394" i="1"/>
  <c r="EA147" i="1"/>
  <c r="DV63" i="5"/>
  <c r="DW10" i="5"/>
  <c r="DW185" i="5" s="1"/>
  <c r="DX185" i="5" s="1"/>
  <c r="DX159" i="5" s="1"/>
  <c r="DV16" i="5"/>
  <c r="DU22" i="5"/>
  <c r="DU221" i="5"/>
  <c r="DW77" i="6"/>
  <c r="DS59" i="5"/>
  <c r="DW61" i="5"/>
  <c r="DW76" i="5"/>
  <c r="DX47" i="5"/>
  <c r="DW48" i="5"/>
  <c r="DT58" i="5" l="1"/>
  <c r="DU49" i="5"/>
  <c r="DU56" i="5"/>
  <c r="DU54" i="5"/>
  <c r="DU55" i="5"/>
  <c r="DW78" i="6"/>
  <c r="DT57" i="5"/>
  <c r="DT59" i="5"/>
  <c r="DV221" i="5"/>
  <c r="DV22" i="5"/>
  <c r="DX61" i="5"/>
  <c r="DX76" i="5"/>
  <c r="DX48" i="5"/>
  <c r="DW103" i="5"/>
  <c r="EB394" i="1"/>
  <c r="DW86" i="6"/>
  <c r="DX10" i="5"/>
  <c r="DW63" i="5"/>
  <c r="EB147" i="1"/>
  <c r="DW128" i="5"/>
  <c r="DW16" i="5"/>
  <c r="DW221" i="5" l="1"/>
  <c r="DX16" i="5"/>
  <c r="DW22" i="5"/>
  <c r="DX128" i="5"/>
  <c r="EC394" i="1"/>
  <c r="DX86" i="6"/>
  <c r="EC147" i="1"/>
  <c r="DX103" i="5"/>
  <c r="DX63" i="5"/>
  <c r="DX78" i="6"/>
  <c r="DU58" i="5"/>
  <c r="DV49" i="5"/>
  <c r="DV56" i="5"/>
  <c r="DV55" i="5"/>
  <c r="DV54" i="5"/>
  <c r="DU57" i="5"/>
  <c r="DU59" i="5"/>
  <c r="DW49" i="5" l="1"/>
  <c r="DW56" i="5"/>
  <c r="DW54" i="5"/>
  <c r="DW55" i="5"/>
  <c r="DV57" i="5"/>
  <c r="DV59" i="5"/>
  <c r="DV58" i="5"/>
  <c r="DX22" i="5"/>
  <c r="DX221" i="5"/>
  <c r="DX54" i="5" l="1"/>
  <c r="DW57" i="5"/>
  <c r="DW59" i="5"/>
  <c r="DX55" i="5"/>
  <c r="DW58" i="5"/>
  <c r="DX56" i="5"/>
  <c r="DX49" i="5"/>
  <c r="DX59" i="5" l="1"/>
  <c r="DX57" i="5"/>
  <c r="DX58" i="5"/>
</calcChain>
</file>

<file path=xl/comments1.xml><?xml version="1.0" encoding="utf-8"?>
<comments xmlns="http://schemas.openxmlformats.org/spreadsheetml/2006/main">
  <authors>
    <author>Jon Tower</author>
  </authors>
  <commentList>
    <comment ref="A1" authorId="0">
      <text>
        <r>
          <rPr>
            <b/>
            <sz val="8"/>
            <color indexed="81"/>
            <rFont val="Tahoma"/>
            <family val="2"/>
          </rPr>
          <t>卟䙄_x0001_＀＀⊎䟱_x0013_止幣䝆䵟呋噟䱁䕕〨착_x0018_＀＀_x0018_＀＀_x0008_＀＀_x0001_＀＀_x0001_＀＀糮㔿맞䂬녗䢭_x000F_䭂幃䝆偟䥒䕃〨착_x0018_＀＀_x0018_＀＀_x0008_＀＀_x0001_＀＀_x0001_＀＀㌳㌳猳䀻</t>
        </r>
      </text>
    </comment>
    <comment ref="B1" authorId="0">
      <text>
        <r>
          <rPr>
            <b/>
            <sz val="8"/>
            <color indexed="81"/>
            <rFont val="Tahoma"/>
            <family val="2"/>
          </rPr>
          <t>67</t>
        </r>
      </text>
    </comment>
  </commentList>
</comments>
</file>

<file path=xl/comments2.xml><?xml version="1.0" encoding="utf-8"?>
<comments xmlns="http://schemas.openxmlformats.org/spreadsheetml/2006/main">
  <authors>
    <author>glassj</author>
    <author>towerj</author>
    <author>Jon Tower</author>
    <author>O'Brien, Courtney (Research)</author>
    <author>CIBC</author>
    <author>John Glass</author>
    <author>Sushama Dasari</author>
    <author>sushamad</author>
    <author>A satisfied Microsoft Office User</author>
    <author>Carril, Christopher E (Research)</author>
    <author>Bartlett, Jake (Research)</author>
    <author>Jake Bartlett</author>
    <author>Dana Greenberg</author>
    <author>bartljak</author>
  </authors>
  <commentList>
    <comment ref="Z8" authorId="0">
      <text>
        <r>
          <rPr>
            <b/>
            <sz val="8"/>
            <color indexed="81"/>
            <rFont val="Tahoma"/>
            <family val="2"/>
          </rPr>
          <t>glassj:</t>
        </r>
        <r>
          <rPr>
            <sz val="8"/>
            <color indexed="81"/>
            <rFont val="Tahoma"/>
            <family val="2"/>
          </rPr>
          <t xml:space="preserve">
IPO May 18th, 25 M shares at $17, plus sponsors sold 3.75 M shares</t>
        </r>
      </text>
    </comment>
    <comment ref="AB8" authorId="0">
      <text>
        <r>
          <rPr>
            <b/>
            <sz val="8"/>
            <color indexed="81"/>
            <rFont val="Tahoma"/>
            <family val="2"/>
          </rPr>
          <t>glassj:</t>
        </r>
        <r>
          <rPr>
            <sz val="8"/>
            <color indexed="81"/>
            <rFont val="Tahoma"/>
            <family val="2"/>
          </rPr>
          <t xml:space="preserve">
realigned European and asianbusiness July 1 2006 for tax purposes</t>
        </r>
      </text>
    </comment>
    <comment ref="AD8" authorId="1">
      <text>
        <r>
          <rPr>
            <b/>
            <sz val="9"/>
            <color indexed="81"/>
            <rFont val="Tahoma"/>
            <family val="2"/>
          </rPr>
          <t>towerj:</t>
        </r>
        <r>
          <rPr>
            <sz val="9"/>
            <color indexed="81"/>
            <rFont val="Tahoma"/>
            <family val="2"/>
          </rPr>
          <t xml:space="preserve">
Restaurant sales are typically higher in the spring and summer months (our fourth and first fiscal quarters) when weather is warmer than in the fall and winter months (our second and third fiscal quarters). Restaurant sales during the winter are typically highest in December, during the holiday shopping season. Our restaurant sales and company restaurant margins are typically lowest during our third fiscal quarter, which occurs during the winter months and includes February, the shortest month of the year.
</t>
        </r>
      </text>
    </comment>
    <comment ref="AE8" authorId="1">
      <text>
        <r>
          <rPr>
            <b/>
            <sz val="9"/>
            <color indexed="81"/>
            <rFont val="Tahoma"/>
            <family val="2"/>
          </rPr>
          <t>towerj:</t>
        </r>
        <r>
          <rPr>
            <sz val="9"/>
            <color indexed="81"/>
            <rFont val="Tahoma"/>
            <family val="2"/>
          </rPr>
          <t xml:space="preserve">
Restaurant sales are typically higher in the spring and summer months (our fourth and first fiscal quarters) when weather is warmer than in the fall and winter months (our second and third fiscal quarters). Restaurant sales during the winter are typically highest in December, during the holiday shopping season. Our restaurant sales and company restaurant margins are typically lowest during our third fiscal quarter, which occurs during the winter months and includes February, the shortest month of the year.
</t>
        </r>
      </text>
    </comment>
    <comment ref="AI8" authorId="2">
      <text>
        <r>
          <rPr>
            <b/>
            <sz val="8"/>
            <color indexed="81"/>
            <rFont val="Tahoma"/>
            <family val="2"/>
          </rPr>
          <t>Jon Tower:</t>
        </r>
        <r>
          <rPr>
            <sz val="8"/>
            <color indexed="81"/>
            <rFont val="Tahoma"/>
            <family val="2"/>
          </rPr>
          <t xml:space="preserve">
5.1.08
about 33% of US stores have flex batch broiler (25% worldwide)
--- to be fully rolled out by 2010.</t>
        </r>
      </text>
    </comment>
    <comment ref="AN8" authorId="2">
      <text>
        <r>
          <rPr>
            <b/>
            <sz val="8"/>
            <color indexed="81"/>
            <rFont val="Tahoma"/>
            <family val="2"/>
          </rPr>
          <t>Jon Tower:</t>
        </r>
        <r>
          <rPr>
            <sz val="8"/>
            <color indexed="81"/>
            <rFont val="Tahoma"/>
            <family val="2"/>
          </rPr>
          <t xml:space="preserve">
Restaurant sales are typically higher in the spring and summer months (our fourth and first fiscal quarters) when the weather is warmer than in the fall and winter months (our second and third fiscal quarters). Restaurant sales during the winter are typically highest in December, during the holiday shopping season. Our restaurant sales and Company restaurant margin are typically lowest during our third fiscal quarter, which occurs during the winter months and includes February, the shortest month of the year. During the three months ended March 31, 2009, the loss of a trading day in the month of February negatively impacted worldwide comparable sales by approximately 1%, as the same period in the prior year included an extra day due to leap year. Comparable sales for the third quarter of fiscal 2009 were also negatively impacted by the placement of the Easter holiday, which typically drives restaurant sales. The Easter holiday occurred after the end of the third quarter in the current fiscal year as compared to March in the prior year. 
</t>
        </r>
      </text>
    </comment>
    <comment ref="CE8" authorId="3">
      <text>
        <r>
          <rPr>
            <b/>
            <sz val="9"/>
            <color indexed="81"/>
            <rFont val="Tahoma"/>
            <family val="2"/>
          </rPr>
          <t>O'Brien, Courtney (Research):</t>
        </r>
        <r>
          <rPr>
            <sz val="9"/>
            <color indexed="81"/>
            <rFont val="Tahoma"/>
            <family val="2"/>
          </rPr>
          <t xml:space="preserve">
company performed an audit on 12/9/15 so FY #s in model do not equal reported #s do to restatement of quarters 1-3
</t>
        </r>
      </text>
    </comment>
    <comment ref="CL8" authorId="3">
      <text>
        <r>
          <rPr>
            <b/>
            <sz val="9"/>
            <color indexed="81"/>
            <rFont val="Tahoma"/>
            <family val="2"/>
          </rPr>
          <t>O'Brien, Courtney (Research):</t>
        </r>
        <r>
          <rPr>
            <sz val="9"/>
            <color indexed="81"/>
            <rFont val="Tahoma"/>
            <family val="2"/>
          </rPr>
          <t xml:space="preserve">
integrates Popeye's acquisition beginning in 2Q</t>
        </r>
      </text>
    </comment>
    <comment ref="AI15" authorId="2">
      <text>
        <r>
          <rPr>
            <b/>
            <sz val="8"/>
            <color indexed="81"/>
            <rFont val="Tahoma"/>
            <family val="2"/>
          </rPr>
          <t>Jon Tower:</t>
        </r>
        <r>
          <rPr>
            <sz val="8"/>
            <color indexed="81"/>
            <rFont val="Tahoma"/>
            <family val="2"/>
          </rPr>
          <t xml:space="preserve">
1.31.08
will see $5-$6M in write downs in the 2H08 due to the temp closure of 30 company US units = closed for 60-120 days, impact D&amp;A (accelerated) 
ALSO TOTAL profit impact $10-$12M  --- sales will fall by abuot $10M</t>
        </r>
      </text>
    </comment>
    <comment ref="AJ15" authorId="2">
      <text>
        <r>
          <rPr>
            <b/>
            <sz val="8"/>
            <color indexed="81"/>
            <rFont val="Tahoma"/>
            <family val="2"/>
          </rPr>
          <t>Jon Tower:</t>
        </r>
        <r>
          <rPr>
            <sz val="8"/>
            <color indexed="81"/>
            <rFont val="Tahoma"/>
            <family val="2"/>
          </rPr>
          <t xml:space="preserve">
1.31.08
will see $5-$6M in write downs in the 2H08 due to the temp closure of 30 company US units = closed for 60-120 days, impact D&amp;A (accelerated) 
ALSO TOTAL profit impact $10-$12M  --- sales will fall by abuot $10M</t>
        </r>
      </text>
    </comment>
    <comment ref="AK15" authorId="2">
      <text>
        <r>
          <rPr>
            <b/>
            <sz val="8"/>
            <color indexed="81"/>
            <rFont val="Tahoma"/>
            <family val="2"/>
          </rPr>
          <t>Jon Tower:</t>
        </r>
        <r>
          <rPr>
            <sz val="8"/>
            <color indexed="81"/>
            <rFont val="Tahoma"/>
            <family val="2"/>
          </rPr>
          <t xml:space="preserve">
2008 10K - $70M benefit from FX</t>
        </r>
      </text>
    </comment>
    <comment ref="AL15" authorId="2">
      <text>
        <r>
          <rPr>
            <b/>
            <sz val="8"/>
            <color indexed="81"/>
            <rFont val="Tahoma"/>
            <family val="2"/>
          </rPr>
          <t>Jon Tower:</t>
        </r>
        <r>
          <rPr>
            <sz val="8"/>
            <color indexed="81"/>
            <rFont val="Tahoma"/>
            <family val="2"/>
          </rPr>
          <t xml:space="preserve">
10.31.08
Company restaurants includes the net acquisition of 130 franchise restaurants, primarily in the U.S. and Canada. Revenues from the acquired restaurants totaled $42 million for the period
</t>
        </r>
        <r>
          <rPr>
            <b/>
            <sz val="8"/>
            <color indexed="81"/>
            <rFont val="Tahoma"/>
            <family val="2"/>
          </rPr>
          <t xml:space="preserve">Approximately $9 million, or 16%, of the increase in </t>
        </r>
        <r>
          <rPr>
            <sz val="8"/>
            <color indexed="81"/>
            <rFont val="Tahoma"/>
            <family val="2"/>
          </rPr>
          <t>Company restaurant revenues was generated by the favorable impact from the movement of currency exchange rates, primarily in EMEA.</t>
        </r>
      </text>
    </comment>
    <comment ref="AM15" authorId="2">
      <text>
        <r>
          <rPr>
            <b/>
            <sz val="8"/>
            <color indexed="81"/>
            <rFont val="Tahoma"/>
            <family val="2"/>
          </rPr>
          <t>Jon Tower:</t>
        </r>
        <r>
          <rPr>
            <sz val="8"/>
            <color indexed="81"/>
            <rFont val="Tahoma"/>
            <family val="2"/>
          </rPr>
          <t xml:space="preserve">
2.5.09
Company restaurant revenues increased by $25 million, or 6%, to $473 million and by $81 million, or 9%, to $970 million for the three and six months ended December 31, 2008, respectively, compared to the same periods in the prior year. These increases were primarily as a result of the addition of 141 Company restaurants (net of closures and sales of Company restaurants to franchisees, or “refranchisings”) during the twelve months ended December 31, 2008. Company restaurant revenues also increased as a result of worldwide Company comparable sales growth of 2.1% and 2.0% (in constant currencies) for the three and six month periods, respectively. These increases were partially offset by approximately $28 million and $20 million due to the unfavorable impact from the significant movement of currency exchange rates for the three and six months ended December 31, 2008, respectively. 
</t>
        </r>
      </text>
    </comment>
    <comment ref="AA20" authorId="2">
      <text>
        <r>
          <rPr>
            <b/>
            <sz val="8"/>
            <color indexed="81"/>
            <rFont val="Tahoma"/>
            <family val="2"/>
          </rPr>
          <t>Jon Tower:</t>
        </r>
        <r>
          <rPr>
            <sz val="8"/>
            <color indexed="81"/>
            <rFont val="Tahoma"/>
            <family val="2"/>
          </rPr>
          <t xml:space="preserve">
 Revenues for the year were negatively impacted by $19 million by movement in foreign currency exchange rates as compared to the prior year in EMEA; </t>
        </r>
      </text>
    </comment>
    <comment ref="AE20" authorId="2">
      <text>
        <r>
          <rPr>
            <b/>
            <sz val="8"/>
            <color indexed="81"/>
            <rFont val="Tahoma"/>
            <family val="2"/>
          </rPr>
          <t>Jon Tower:</t>
        </r>
        <r>
          <rPr>
            <sz val="8"/>
            <color indexed="81"/>
            <rFont val="Tahoma"/>
            <family val="2"/>
          </rPr>
          <t xml:space="preserve">
Revenues during the three and twelve months ended June 30, 2007 also reflect $13 million and $50 million, respectively, of favorable impact from the movement in foreign currency exchange rates. These amounts represent 23% and 27% of the total increase in revenues for the three and twelve months ended June 30, 2007, respectively. </t>
        </r>
      </text>
    </comment>
    <comment ref="AF20" authorId="4">
      <text>
        <r>
          <rPr>
            <sz val="8"/>
            <color indexed="81"/>
            <rFont val="Tahoma"/>
            <family val="2"/>
          </rPr>
          <t xml:space="preserve">7.11.07
$2171-$2191
Revenues during the three and twelve months ended June 30, 2007 also reflect $13 million and $50 million, respectively, of favorable impact from the movement in foreign currency exchange rates. These amounts represent 23% and 27% of the total increase in revenues for the three and twelve months ended June 30, 2007, respectively. </t>
        </r>
      </text>
    </comment>
    <comment ref="AG20" authorId="4">
      <text>
        <r>
          <rPr>
            <sz val="8"/>
            <color indexed="81"/>
            <rFont val="Tahoma"/>
            <family val="2"/>
          </rPr>
          <t>11.5.07
Revenues during the three months ended September 30, 2007 also reflect $15 million of favorable impact from the movement in foreign currency exchange rates, or 27% of the total increase in revenues</t>
        </r>
      </text>
    </comment>
    <comment ref="AJ20" authorId="2">
      <text>
        <r>
          <rPr>
            <b/>
            <sz val="8"/>
            <color indexed="81"/>
            <rFont val="Tahoma"/>
            <family val="2"/>
          </rPr>
          <t xml:space="preserve">Jon Tower:
8.21.08
</t>
        </r>
        <r>
          <rPr>
            <sz val="8"/>
            <color indexed="81"/>
            <rFont val="Tahoma"/>
            <family val="2"/>
          </rPr>
          <t xml:space="preserve">
Revenues for the three month period also increased due to an increase in effective royalty rates, primarily in the U.S. and Canada, and the favorable impact of foreign currency exchange rates, which contributed $25 million, or 45%, of the total increase in revenues, primarily in EMEA.</t>
        </r>
      </text>
    </comment>
    <comment ref="AK20" authorId="2">
      <text>
        <r>
          <rPr>
            <b/>
            <sz val="8"/>
            <color indexed="81"/>
            <rFont val="Tahoma"/>
            <family val="2"/>
          </rPr>
          <t>Jon Tower:</t>
        </r>
        <r>
          <rPr>
            <sz val="8"/>
            <color indexed="81"/>
            <rFont val="Tahoma"/>
            <family val="2"/>
          </rPr>
          <t xml:space="preserve">
from 10K - $88M favorable impact from FX in FY08</t>
        </r>
      </text>
    </comment>
    <comment ref="AL20" authorId="2">
      <text>
        <r>
          <rPr>
            <b/>
            <sz val="8"/>
            <color indexed="81"/>
            <rFont val="Tahoma"/>
            <family val="2"/>
          </rPr>
          <t>Jon Tower:</t>
        </r>
        <r>
          <rPr>
            <sz val="8"/>
            <color indexed="81"/>
            <rFont val="Tahoma"/>
            <family val="2"/>
          </rPr>
          <t xml:space="preserve">
$12M fav impact from FX</t>
        </r>
      </text>
    </comment>
    <comment ref="AM20" authorId="2">
      <text>
        <r>
          <rPr>
            <b/>
            <sz val="8"/>
            <color indexed="81"/>
            <rFont val="Tahoma"/>
            <family val="2"/>
          </rPr>
          <t>Jon Tower:</t>
        </r>
        <r>
          <rPr>
            <sz val="8"/>
            <color indexed="81"/>
            <rFont val="Tahoma"/>
            <family val="2"/>
          </rPr>
          <t xml:space="preserve">
2.5.09
FX negatively impacted Revs by $38M</t>
        </r>
      </text>
    </comment>
    <comment ref="AN20" authorId="2">
      <text>
        <r>
          <rPr>
            <b/>
            <sz val="8"/>
            <color indexed="81"/>
            <rFont val="Tahoma"/>
            <family val="2"/>
          </rPr>
          <t>Jon Tower:</t>
        </r>
        <r>
          <rPr>
            <sz val="8"/>
            <color indexed="81"/>
            <rFont val="Tahoma"/>
            <family val="2"/>
          </rPr>
          <t xml:space="preserve">
4.15.09
Revenues for the quarter were $600 million, up 1% over the same quarter last year, driven by a trailing twelve-month net restaurant count increase of 355 and worldwide positive comparable sales of 1.0%, partially offset by $44 million due to currency exchange rate fluctuations. United States and Canada positive comparable sales were 1.6%. All comparable sales figures reflect an approximate one point negative calendar shift as third quarter fiscal 2008 included an extra day due to leap year.</t>
        </r>
      </text>
    </comment>
    <comment ref="AO20" authorId="2">
      <text>
        <r>
          <rPr>
            <b/>
            <sz val="8"/>
            <color indexed="81"/>
            <rFont val="Tahoma"/>
            <family val="2"/>
          </rPr>
          <t>Jon Tower:</t>
        </r>
        <r>
          <rPr>
            <sz val="8"/>
            <color indexed="81"/>
            <rFont val="Tahoma"/>
            <family val="2"/>
          </rPr>
          <t xml:space="preserve">
8.25.09
Our international operations are impacted by fluctuations in currency exchange rates. In Company markets located outside of the U.S., we generate revenues and incur expenses denominated in local currencies. These revenues and expenses are translated using the average rates during the period in which they are recognized, and are impacted by changes in currency exchange rates. In many of our franchise markets, our franchisees pay royalties to us in currencies other than the local currency in which they operate; however, as the royalties are calculated based on local currency sales, our revenues are still impacted by fluctuations in currency exchange rates. The unfavorable impact on revenues from the movement of currency exchange rates was $39.4 million and $110.6 million for the three months and fiscal year ended June 30, 2009, respectively. This impact was partially offset by the favorable impact of currency exchange rates on Company restaurant expenses and selling, general and administrative expenses, resulting in a net unfavorable impact on income from operations of $6.6 million and $14.9 million for the three months and fiscal year ended June 30, 2009, respectively. 
</t>
        </r>
      </text>
    </comment>
    <comment ref="AQ20" authorId="2">
      <text>
        <r>
          <rPr>
            <b/>
            <sz val="8"/>
            <color indexed="81"/>
            <rFont val="Tahoma"/>
            <family val="2"/>
          </rPr>
          <t>Jon Tower:</t>
        </r>
        <r>
          <rPr>
            <sz val="8"/>
            <color indexed="81"/>
            <rFont val="Tahoma"/>
            <family val="2"/>
          </rPr>
          <t xml:space="preserve">
10.29.09
includes $20.9M (or 3%) of negative FX impact</t>
        </r>
      </text>
    </comment>
    <comment ref="AW20" authorId="2">
      <text>
        <r>
          <rPr>
            <b/>
            <sz val="8"/>
            <color indexed="81"/>
            <rFont val="Tahoma"/>
            <family val="2"/>
          </rPr>
          <t>Jon Tower:</t>
        </r>
        <r>
          <rPr>
            <sz val="8"/>
            <color indexed="81"/>
            <rFont val="Tahoma"/>
            <family val="2"/>
          </rPr>
          <t xml:space="preserve">
4.29.10
This decrease was partially offset by $19.5 million of favorable impact from the movement of currency exchange rates for the three-month period and, secondarily, by a net increase of 305 system restaurants during the trailing twelve-month period ended March 31, 2010</t>
        </r>
      </text>
    </comment>
    <comment ref="CJ20" authorId="3">
      <text>
        <r>
          <rPr>
            <b/>
            <sz val="9"/>
            <color indexed="81"/>
            <rFont val="Tahoma"/>
            <family val="2"/>
          </rPr>
          <t>O'Brien, Courtney (Research):</t>
        </r>
        <r>
          <rPr>
            <sz val="9"/>
            <color indexed="81"/>
            <rFont val="Tahoma"/>
            <family val="2"/>
          </rPr>
          <t xml:space="preserve">
2.7.17
$4.135-4.150</t>
        </r>
      </text>
    </comment>
    <comment ref="A28" authorId="1">
      <text>
        <r>
          <rPr>
            <b/>
            <sz val="9"/>
            <color indexed="81"/>
            <rFont val="Tahoma"/>
            <family val="2"/>
          </rPr>
          <t>towerj:</t>
        </r>
        <r>
          <rPr>
            <sz val="9"/>
            <color indexed="81"/>
            <rFont val="Tahoma"/>
            <family val="2"/>
          </rPr>
          <t xml:space="preserve">
Consists of all costs necessary to manage and operate Company-owned restaurants including (a) food, paper and product costs, (b) payroll and employee benefits, and (c) occupancy and other operating expenses which include rent, utility costs, insurance, repair and maintenance costs, depreciation for restaurant property and other costs to operate Company-owned restaurants.
key commodities:
beef = 20% cogs, bought on spot
beverage = 13-14%, 14 yr deal w/coke (as of 08)
chicken - 11%, contracted thru dec 08
Produce, dairy, fries and buns next items. FF have LT contract thru 08
</t>
        </r>
      </text>
    </comment>
    <comment ref="AM28" authorId="2">
      <text>
        <r>
          <rPr>
            <b/>
            <sz val="8"/>
            <color indexed="81"/>
            <rFont val="Tahoma"/>
            <family val="2"/>
          </rPr>
          <t>Jon Tower:</t>
        </r>
        <r>
          <rPr>
            <sz val="8"/>
            <color indexed="81"/>
            <rFont val="Tahoma"/>
            <family val="2"/>
          </rPr>
          <t xml:space="preserve">
2.5.09
These decreases reflect the impact of increases in commodity costs in all segments, increased labor costs in the U.S. and Canada and EMEA and the refranchising of 11 Company restaurants in Germany in the first half of the prior year. In addition, the movement of currency exchange rates had a $4 million and a $3 million unfavorable impact on Company restaurant margin for the three and six month periods, respectively, primarily in EMEA. These decreases were partially offset by $6 million (for the three month period) and $12 million (for the six month period) of incremental margin dollars derived from the net acquisition of 131 Company restaurants in the U.S. and Canada during the twelve months ended December 31, 2008 and worldwide Company comparable sales growth of 2.1% and 2.0% (in constant currencies) for the three and six month periods, respectively</t>
        </r>
      </text>
    </comment>
    <comment ref="A31" authorId="1">
      <text>
        <r>
          <rPr>
            <b/>
            <sz val="9"/>
            <color indexed="81"/>
            <rFont val="Tahoma"/>
            <family val="2"/>
          </rPr>
          <t>towerj:</t>
        </r>
        <r>
          <rPr>
            <sz val="9"/>
            <color indexed="81"/>
            <rFont val="Tahoma"/>
            <family val="2"/>
          </rPr>
          <t xml:space="preserve">
Includes rent and depreciation expense related to properties subleased to franchisees and the cost of building and equipment leased to franchisees</t>
        </r>
      </text>
    </comment>
    <comment ref="A32" authorId="1">
      <text>
        <r>
          <rPr>
            <b/>
            <sz val="9"/>
            <color indexed="81"/>
            <rFont val="Tahoma"/>
            <family val="2"/>
          </rPr>
          <t>towerj:</t>
        </r>
        <r>
          <rPr>
            <sz val="9"/>
            <color indexed="81"/>
            <rFont val="Tahoma"/>
            <family val="2"/>
          </rPr>
          <t xml:space="preserve">
selling expenses, which include advertising and bad debt expense
3.9.07 -- co-owned contribution to adversiting 4% of company revenues </t>
        </r>
      </text>
    </comment>
    <comment ref="AF32" authorId="4">
      <text>
        <r>
          <rPr>
            <sz val="8"/>
            <color indexed="81"/>
            <rFont val="Tahoma"/>
            <family val="2"/>
          </rPr>
          <t>8.24.07
This increase includes $9 million of additional sales promotions and advertising expenses generated by higher Company restaurant revenues, and $7 million related to incremental contributions made by the Company to the marketing fund in the U.K. and Germany, offset by a $5 million recovery of bad debt. The incremental contribution to the marketing fund in the U.K. was used to improve brand recognition in that market and to introduce new premium products with commercials such as the "Manthem", and the HAVE IT YOUR WAY® brand promise, and promotions for the GBP 1.99 WHOPPER® sandwich and Aberdeen Angus burger</t>
        </r>
      </text>
    </comment>
    <comment ref="AG32" authorId="4">
      <text>
        <r>
          <rPr>
            <sz val="8"/>
            <color indexed="81"/>
            <rFont val="Tahoma"/>
            <family val="2"/>
          </rPr>
          <t xml:space="preserve">11.5.07
The increase in selling expenses for the quarter is primarily attributable to sales promotions and advertising expenses generated by higher Company restaurant revenues and the non-recurrence of bad debt recoveries of $2 million recorded in the three months ended September 30, 2006.
</t>
        </r>
      </text>
    </comment>
    <comment ref="AJ32" authorId="2">
      <text>
        <r>
          <rPr>
            <b/>
            <sz val="8"/>
            <color indexed="81"/>
            <rFont val="Tahoma"/>
            <family val="2"/>
          </rPr>
          <t>Jon Tower:</t>
        </r>
        <r>
          <rPr>
            <sz val="8"/>
            <color indexed="81"/>
            <rFont val="Tahoma"/>
            <family val="2"/>
          </rPr>
          <t xml:space="preserve">
8.21.08
The increase is primarily attributable to $1 million of discretionary contributions to advertising funds in EMEA, $1 million of additional sales promotions and advertising expenses generated by higher Company restaurant revenues and $1 million of unfavorable impact from the movement in foreign currency exchange rates.
</t>
        </r>
      </text>
    </comment>
    <comment ref="AK32" authorId="2">
      <text>
        <r>
          <rPr>
            <b/>
            <sz val="8"/>
            <color indexed="81"/>
            <rFont val="Tahoma"/>
            <family val="2"/>
          </rPr>
          <t>Jon Tower:</t>
        </r>
        <r>
          <rPr>
            <sz val="8"/>
            <color indexed="81"/>
            <rFont val="Tahoma"/>
            <family val="2"/>
          </rPr>
          <t xml:space="preserve">
8.21.08
The increase is primarily attributable to $4 million of additional sales promotions and advertising expenses generated by higher Company restaurant revenues, a $4 million reduction in the amount of bad debt recoveries as compared to the prior year and $4 million of unfavorable impact from the movement in foreign currency exchange rates, partially offset by a $4 million reduction in the amount of discretionary contributions to advertising funds in EMEA.
</t>
        </r>
      </text>
    </comment>
    <comment ref="AM32" authorId="2">
      <text>
        <r>
          <rPr>
            <b/>
            <sz val="8"/>
            <color indexed="81"/>
            <rFont val="Tahoma"/>
            <family val="2"/>
          </rPr>
          <t>Jon Tower:</t>
        </r>
        <r>
          <rPr>
            <sz val="8"/>
            <color indexed="81"/>
            <rFont val="Tahoma"/>
            <family val="2"/>
          </rPr>
          <t xml:space="preserve">
2.5.09
 Although sales and promotion expenses increased by $1 million due to increased sales, this increase was offset by a $1 million favorable impact from the movement of currency exchange rates. 
</t>
        </r>
      </text>
    </comment>
    <comment ref="AO32" authorId="2">
      <text>
        <r>
          <rPr>
            <b/>
            <sz val="8"/>
            <color indexed="81"/>
            <rFont val="Tahoma"/>
            <family val="2"/>
          </rPr>
          <t>Jon Tower:</t>
        </r>
        <r>
          <rPr>
            <sz val="8"/>
            <color indexed="81"/>
            <rFont val="Tahoma"/>
            <family val="2"/>
          </rPr>
          <t xml:space="preserve">
8.25.09
Selling expenses increased by $1.8 million, or 2%, to $93.3 million for the fiscal year ended June 30, 2009, compared to the same period in the prior year. The increase, which was primarily driven by an increase in sales and promotional expenses of $8.2 million as a result of increased sales at our Company restaurants, was partially offset by a $4.0 million favorable impact from the movement of currency exchange rates and $2.5 million due to lower local marketing expenditures primarily in EMEA</t>
        </r>
      </text>
    </comment>
    <comment ref="AR32" authorId="2">
      <text>
        <r>
          <rPr>
            <b/>
            <sz val="8"/>
            <color indexed="81"/>
            <rFont val="Tahoma"/>
            <family val="2"/>
          </rPr>
          <t>Jon Tower:</t>
        </r>
        <r>
          <rPr>
            <sz val="8"/>
            <color indexed="81"/>
            <rFont val="Tahoma"/>
            <family val="2"/>
          </rPr>
          <t xml:space="preserve">
2.4.10
up primarily due to an $0.8 million unfavorable impact from the movement of currency exchange rates. This increase was partially offset by a $0.7 million reduction in contributions to the marketing funds in our Company restaurant markets due to lower sales at our Company restaurants</t>
        </r>
      </text>
    </comment>
    <comment ref="A33" authorId="1">
      <text>
        <r>
          <rPr>
            <b/>
            <sz val="9"/>
            <color indexed="81"/>
            <rFont val="Tahoma"/>
            <family val="2"/>
          </rPr>
          <t>towerj:</t>
        </r>
        <r>
          <rPr>
            <sz val="9"/>
            <color indexed="81"/>
            <rFont val="Tahoma"/>
            <family val="2"/>
          </rPr>
          <t xml:space="preserve">
(b) general and administrative expenses, which include costs of field management for Company-owned and franchise restaurants and corporate overhead, including corporate salaries and facilities, and (c) amortization of intangible assets. </t>
        </r>
      </text>
    </comment>
    <comment ref="AE33" authorId="4">
      <text>
        <r>
          <rPr>
            <sz val="8"/>
            <color indexed="81"/>
            <rFont val="Tahoma"/>
            <family val="2"/>
          </rPr>
          <t xml:space="preserve">8.24.07
This decrease was primarily driven by a reduction in severance and relocation expenses of $5 million, a reduction in operating expenses of $3 million primarily from non-recurring gift card start up costs incurred in fiscal 2006, and a reduction in professional fees of $2 million primarily from non-recurring business realignment costs, offset by an increase in corporate salary and fringe benefits of $2 million. </t>
        </r>
      </text>
    </comment>
    <comment ref="AF33" authorId="4">
      <text>
        <r>
          <rPr>
            <sz val="8"/>
            <color indexed="81"/>
            <rFont val="Tahoma"/>
            <family val="2"/>
          </rPr>
          <t>8.24.07
This decrease was primarily driven by a non-recurring compensatory make-whole payment of $34 million in the prior year, and by a reduction in severance and relocation expenses of $3 million, offset by $4 million in professional fees including $1 million of expenses related to the secondary offering by private equity funds controlled by the Sponsors, $5 million of stock-based compensation, an increase in corporate salary, fringe benefits and other costs of $7 million. The overall decrease of $25 million also includes the unfavorable impact of approximately $8 million from the movement in foreign currency exchange rates.</t>
        </r>
      </text>
    </comment>
    <comment ref="AG33" authorId="4">
      <text>
        <r>
          <rPr>
            <sz val="8"/>
            <color indexed="81"/>
            <rFont val="Tahoma"/>
            <family val="2"/>
          </rPr>
          <t>11.5.07
This net increase was primarily driven by an increase in corporate salary fringe benefits and other costs of $3 million. The overall net increase of $3 million also reflects the unfavorable impact of $3 million from the movement in foreign currency exchange rates, mostly in EMEA</t>
        </r>
      </text>
    </comment>
    <comment ref="AJ33" authorId="2">
      <text>
        <r>
          <rPr>
            <b/>
            <sz val="8"/>
            <color indexed="81"/>
            <rFont val="Tahoma"/>
            <family val="2"/>
          </rPr>
          <t>Jon Tower:</t>
        </r>
        <r>
          <rPr>
            <sz val="8"/>
            <color indexed="81"/>
            <rFont val="Tahoma"/>
            <family val="2"/>
          </rPr>
          <t xml:space="preserve">
</t>
        </r>
        <r>
          <rPr>
            <b/>
            <sz val="8"/>
            <color indexed="81"/>
            <rFont val="Tahoma"/>
            <family val="2"/>
          </rPr>
          <t>8.21.08</t>
        </r>
        <r>
          <rPr>
            <sz val="8"/>
            <color indexed="81"/>
            <rFont val="Tahoma"/>
            <family val="2"/>
          </rPr>
          <t xml:space="preserve">
The Y/Y decrease is primarily attributable to a $2 million decrease in corporate salary and fringe benefits and $7 million in miscellaneous cost savings and other items, including decreased insurance costs and an increase in the amount of capitalized indirect labor costs on capital projects. These decreases were partially offset by a $3 million increase in general corporate travel and meeting costs, a $2 million increase in stock based compensation expense and $5 million of unfavorable impact from the movement of foreign currency exchange rates.</t>
        </r>
      </text>
    </comment>
    <comment ref="AK33" authorId="2">
      <text>
        <r>
          <rPr>
            <b/>
            <sz val="8"/>
            <color indexed="81"/>
            <rFont val="Tahoma"/>
            <family val="2"/>
          </rPr>
          <t>Jon Tower:</t>
        </r>
        <r>
          <rPr>
            <sz val="8"/>
            <color indexed="81"/>
            <rFont val="Tahoma"/>
            <family val="2"/>
          </rPr>
          <t xml:space="preserve">
8.21.08
The increase is attributable to a $6 million increase in stock based compensation expense as an additional year of grants is included in the expense amounts. In addition, general and administrative expenses increased as a result of a $5 million increase in corporate salary, fringe benefits and other employee-related costs, a $5 million increase in general corporate travel and meeting costs and $15 million of unfavorable impact from the movement of foreign currency exchange rates, primarily in EMEA. These increases were partially offset by a $2 million decrease in operating costs, which includes a decrease in rent expense, utility expense and repairs and maintenance and $8 million in miscellaneous cost savings and other items as noted above in the three month discussion</t>
        </r>
      </text>
    </comment>
    <comment ref="AM33" authorId="2">
      <text>
        <r>
          <rPr>
            <b/>
            <sz val="8"/>
            <color indexed="81"/>
            <rFont val="Tahoma"/>
            <family val="2"/>
          </rPr>
          <t>Jon Tower:</t>
        </r>
        <r>
          <rPr>
            <sz val="8"/>
            <color indexed="81"/>
            <rFont val="Tahoma"/>
            <family val="2"/>
          </rPr>
          <t xml:space="preserve">
2.5.09
General and administrative expenses decreased by $5 million, or 5%, to $96 million for the three months ended December 31, 2008, compared to the same period in the prior year. The decrease is primarily attributable to a $4 million favorable impact from the movement of currency exchange rates, a $4 million decrease in deferred compensation expense, which was fully offset by net losses on investments held in a rabbi trust recorded in other operating (income) expense, net, and $3 million in cost savings. These factors were partially offset by $2 million in bad debt expense, $2 million in bad debt recoveries during the same period in the prior year and $2 million in stock-based compensation. 
</t>
        </r>
      </text>
    </comment>
    <comment ref="AN33" authorId="5">
      <text>
        <r>
          <rPr>
            <b/>
            <sz val="8"/>
            <color indexed="81"/>
            <rFont val="Tahoma"/>
            <family val="2"/>
          </rPr>
          <t xml:space="preserve">John Glass:
4.15.09
will see a big bonus reversal this Q due to March decline
</t>
        </r>
        <r>
          <rPr>
            <sz val="8"/>
            <color indexed="81"/>
            <rFont val="Tahoma"/>
            <family val="2"/>
          </rPr>
          <t xml:space="preserve">
could be $4 M benefit from f/x</t>
        </r>
      </text>
    </comment>
    <comment ref="AO33" authorId="2">
      <text>
        <r>
          <rPr>
            <b/>
            <sz val="8"/>
            <color indexed="81"/>
            <rFont val="Tahoma"/>
            <family val="2"/>
          </rPr>
          <t>Jon Tower:</t>
        </r>
        <r>
          <rPr>
            <sz val="8"/>
            <color indexed="81"/>
            <rFont val="Tahoma"/>
            <family val="2"/>
          </rPr>
          <t xml:space="preserve">
8.25.09
General and administrative expenses increased by $2.4 million, or 2%, to $107.6 million for the three months ended June 30, 2009, compared to the same period in the prior year. The increase is primarily attributable to an $8.2 million increase in salary and other fringe benefits, an increase of $3.2 million in deferred compensation expense, which was fully offset by net gains on investments held in the rabbi trust recorded in other operating (income) expense, net, and an increase in professional fees of $2.6 million. These factors were partially offset by a $5.0 million favorable impact from the movement of currency exchange rates, lower travel and meeting expenses of $3.2 million and bad debt recoveries of $3.0 million, net. 
</t>
        </r>
      </text>
    </comment>
    <comment ref="AQ33" authorId="2">
      <text>
        <r>
          <rPr>
            <b/>
            <sz val="8"/>
            <color indexed="81"/>
            <rFont val="Tahoma"/>
            <family val="2"/>
          </rPr>
          <t>Jon Tower:</t>
        </r>
        <r>
          <rPr>
            <sz val="8"/>
            <color indexed="81"/>
            <rFont val="Tahoma"/>
            <family val="2"/>
          </rPr>
          <t xml:space="preserve">
10.29.09
General and administrative (G&amp;A) expenses increased by $8.5 million or 8 percent to $109 million compared to the same period last year. The increase includes $4.7 million in deferred compensation expense which was largely offset by $4.6 million of net gains on investments held in a Rabbi Trust recorded within the Other Operating Income and Expense category. The company also incurred additional professional services fees of $3.7 million and $1.6 million related to the previously announced step-up in share-based compensation. These factors were partially offset by a $2.7 million favorable currency translation impact</t>
        </r>
      </text>
    </comment>
    <comment ref="AR33" authorId="2">
      <text>
        <r>
          <rPr>
            <b/>
            <sz val="8"/>
            <color indexed="81"/>
            <rFont val="Tahoma"/>
            <family val="2"/>
          </rPr>
          <t>Jon Tower:</t>
        </r>
        <r>
          <rPr>
            <sz val="8"/>
            <color indexed="81"/>
            <rFont val="Tahoma"/>
            <family val="2"/>
          </rPr>
          <t xml:space="preserve">
2.4.10
 largely driven by an increase in consulting fees of $2.0 million, primarily related to information technology initiatives, depreciation expense of $0.8 million, due to a higher depreciable asset base compared to the prior year, $1.7 million of non recurring prior year credits, and the unfavorable impact from the movement of currency exchange rates of $4.1 million. These items were partially offset by $2.6 million of bad debt recoveries, reductions in travel and meeting costs of $1.8 million, salary and fringe benefits of $1.5 million and share-based compensation expense of $0.5 million, due to a significant increase in the number of equity awards forfeited during the period</t>
        </r>
      </text>
    </comment>
    <comment ref="AU33" authorId="2">
      <text>
        <r>
          <rPr>
            <b/>
            <sz val="8"/>
            <color indexed="81"/>
            <rFont val="Tahoma"/>
            <family val="2"/>
          </rPr>
          <t xml:space="preserve">Jon Tower:
2.4.10
</t>
        </r>
        <r>
          <rPr>
            <b/>
            <sz val="8"/>
            <color indexed="81"/>
            <rFont val="Tahoma"/>
            <family val="2"/>
          </rPr>
          <t>Annual share-based compensation expense is expected to increase through the remainder of fiscal 2010,</t>
        </r>
        <r>
          <rPr>
            <sz val="8"/>
            <color indexed="81"/>
            <rFont val="Tahoma"/>
            <family val="2"/>
          </rPr>
          <t xml:space="preserve"> as a result of our adoption of Accounting Standards Codification ("ASC") 718, Compensation - Stock Compensation (formerly Statement of Financial Accounting Standards No. 123R, "Share-based Payment") in fiscal 2007, which has resulted in share-based compensation expense only for awards granted subsequent to February 16, 2006, the date we filed our S-1 registration statement with the SEC in anticipation of our initial public offering, which occurred on May 18, 2006
</t>
        </r>
        <r>
          <rPr>
            <b/>
            <sz val="8"/>
            <color indexed="81"/>
            <rFont val="Tahoma"/>
            <family val="2"/>
          </rPr>
          <t xml:space="preserve">
10.29.09
</t>
        </r>
        <r>
          <rPr>
            <sz val="8"/>
            <color indexed="81"/>
            <rFont val="Tahoma"/>
            <family val="2"/>
          </rPr>
          <t xml:space="preserve">aug guidance: +2-3%.
</t>
        </r>
        <r>
          <rPr>
            <b/>
            <sz val="8"/>
            <color indexed="81"/>
            <rFont val="Tahoma"/>
            <family val="2"/>
          </rPr>
          <t xml:space="preserve">Oct guidance: G&amp;A, net of currency impact, up 3% Y/Y from FY09 
</t>
        </r>
        <r>
          <rPr>
            <sz val="8"/>
            <color indexed="81"/>
            <rFont val="Tahoma"/>
            <family val="2"/>
          </rPr>
          <t xml:space="preserve">
NOW BKC SAYS FY09 BASE IS $397M -- therefore FY10 G&amp;A should be $409M
</t>
        </r>
        <r>
          <rPr>
            <b/>
            <sz val="8"/>
            <color indexed="81"/>
            <rFont val="Tahoma"/>
            <family val="2"/>
          </rPr>
          <t xml:space="preserve">
</t>
        </r>
        <r>
          <rPr>
            <sz val="8"/>
            <color indexed="81"/>
            <rFont val="Tahoma"/>
            <family val="2"/>
          </rPr>
          <t>9.2.09
call with Wagner
G&amp;A
Base in FY09 = $397.6
add back FX benefit = $15M
Grow by 2-3% 
add in step up in SBC (incremental $6.5M Y/Y)
= $429.8M
SBC FY09 $16M
SBC FY10 $22.5M</t>
        </r>
      </text>
    </comment>
    <comment ref="AW33" authorId="2">
      <text>
        <r>
          <rPr>
            <b/>
            <sz val="8"/>
            <color indexed="81"/>
            <rFont val="Tahoma"/>
            <family val="2"/>
          </rPr>
          <t>Jon Tower:</t>
        </r>
        <r>
          <rPr>
            <sz val="8"/>
            <color indexed="81"/>
            <rFont val="Tahoma"/>
            <family val="2"/>
          </rPr>
          <t xml:space="preserve">
2.4.10
</t>
        </r>
        <r>
          <rPr>
            <b/>
            <sz val="8"/>
            <color indexed="81"/>
            <rFont val="Tahoma"/>
            <family val="2"/>
          </rPr>
          <t>Annual share-based compensation expense is expected to increase through the remainder of fiscal 2010</t>
        </r>
        <r>
          <rPr>
            <sz val="8"/>
            <color indexed="81"/>
            <rFont val="Tahoma"/>
            <family val="2"/>
          </rPr>
          <t>, as a result of our adoption of Accounting Standards Codification ("ASC") 718, Compensation - Stock Compensation (formerly Statement of Financial Accounting Standards No. 123R, "Share-based Payment") in fiscal 2007, which has resulted in share-based compensation expense only for awards granted subsequent to February 16, 2006, the date we filed our S-1 registration statement with the SEC in anticipation of our initial public offering, which occurred on May 18, 2006</t>
        </r>
      </text>
    </comment>
    <comment ref="AX33" authorId="2">
      <text>
        <r>
          <rPr>
            <b/>
            <sz val="8"/>
            <color indexed="81"/>
            <rFont val="Tahoma"/>
            <family val="2"/>
          </rPr>
          <t xml:space="preserve">Jon Tower:
8.24.10
</t>
        </r>
        <r>
          <rPr>
            <sz val="8"/>
            <color indexed="81"/>
            <rFont val="Tahoma"/>
            <family val="2"/>
          </rPr>
          <t xml:space="preserve">Selling expenses decreased by $0.5 million, or 2%, to $22.6 million for the three months ended June 30, 2010, compared to the same period in the prior fiscal year, primarily due to a $0.5 million reduction in contributions to the marketing funds in our Company restaurant markets as a result of lower sales at our Company restaurants and a decrease in Company restaurant count. The impact from the movement of currency exchange rates was not significant for the period. 
General and administrative expenses decreased by $6.5 million, or 6%, to $98.5 million for the three months ended June 30, 2010, compared to the same period in the prior fiscal year, driven by reductions in professional fees of $4.0 million, including lower costs related to information technology initiatives and legal services, salary and fringe benefits of $3.6 million, including share-based compensation, office operating expenses of $1.6 million, insurance premiums in Germany of $0.7 million and travel and meetings of $0.8 million. These savings were partially offset by a decrease in bad debt recoveries of $3.2 million and an increase in depreciation expense of $0.8 million due to a higher depreciable asset base compared to the prior fiscal year. The impact from the movement of currency exchange rates was not significant for the period.
</t>
        </r>
        <r>
          <rPr>
            <b/>
            <sz val="8"/>
            <color indexed="81"/>
            <rFont val="Tahoma"/>
            <family val="2"/>
          </rPr>
          <t xml:space="preserve"> 
</t>
        </r>
        <r>
          <rPr>
            <sz val="8"/>
            <color indexed="81"/>
            <rFont val="Tahoma"/>
            <family val="2"/>
          </rPr>
          <t xml:space="preserve">
2.4.10
</t>
        </r>
        <r>
          <rPr>
            <b/>
            <sz val="8"/>
            <color indexed="81"/>
            <rFont val="Tahoma"/>
            <family val="2"/>
          </rPr>
          <t>Annual share-based compensation expense is expected to increase through the remainder of fiscal 2010</t>
        </r>
        <r>
          <rPr>
            <sz val="8"/>
            <color indexed="81"/>
            <rFont val="Tahoma"/>
            <family val="2"/>
          </rPr>
          <t>, as a result of our adoption of Accounting Standards Codification ("ASC") 718, Compensation - Stock Compensation (formerly Statement of Financial Accounting Standards No. 123R, "Share-based Payment") in fiscal 2007, which has resulted in share-based compensation expense only for awards granted subsequent to February 16, 2006, the date we filed our S-1 registration statement with the SEC in anticipation of our initial public offering, which occurred on May 18, 2006</t>
        </r>
      </text>
    </comment>
    <comment ref="BB33" authorId="6">
      <text>
        <r>
          <rPr>
            <b/>
            <sz val="8"/>
            <color indexed="81"/>
            <rFont val="Tahoma"/>
            <family val="2"/>
          </rPr>
          <t>Sushama Dasari:</t>
        </r>
        <r>
          <rPr>
            <sz val="8"/>
            <color indexed="81"/>
            <rFont val="Tahoma"/>
            <family val="2"/>
          </rPr>
          <t xml:space="preserve">
</t>
        </r>
        <r>
          <rPr>
            <b/>
            <sz val="8"/>
            <color indexed="81"/>
            <rFont val="Tahoma"/>
            <family val="2"/>
          </rPr>
          <t xml:space="preserve">1Q11 10-Q: </t>
        </r>
        <r>
          <rPr>
            <sz val="8"/>
            <color indexed="81"/>
            <rFont val="Tahoma"/>
            <family val="2"/>
          </rPr>
          <t>Includes: 
62.9l G&amp;A ex-non cash and special items
0.2 SBC
14.1 D&amp;A
12.0 transaction and restructuring costs</t>
        </r>
      </text>
    </comment>
    <comment ref="BF33" authorId="5">
      <text>
        <r>
          <rPr>
            <b/>
            <sz val="8"/>
            <color indexed="81"/>
            <rFont val="Tahoma"/>
            <family val="2"/>
          </rPr>
          <t xml:space="preserve">John Glass:
8.24.10
</t>
        </r>
        <r>
          <rPr>
            <sz val="8"/>
            <color indexed="81"/>
            <rFont val="Tahoma"/>
            <family val="2"/>
          </rPr>
          <t xml:space="preserve">G&amp;A, net of currency impact, is forecasted to be up 3 to 4 percent over the prior year period. </t>
        </r>
        <r>
          <rPr>
            <b/>
            <sz val="8"/>
            <color indexed="81"/>
            <rFont val="Tahoma"/>
            <family val="2"/>
          </rPr>
          <t xml:space="preserve">
Off FY10 $404.5M Base (per the company) IMPLIES $416.6M-$420.7M net of FX impact
</t>
        </r>
        <r>
          <rPr>
            <sz val="8"/>
            <color indexed="81"/>
            <rFont val="Tahoma"/>
            <family val="2"/>
          </rPr>
          <t xml:space="preserve">
8.09: 2-3% inflation expected in SG&amp;A</t>
        </r>
      </text>
    </comment>
    <comment ref="BK33"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Pro forma all-franchised business in 2012 would still have ~$213M management G&amp;A</t>
        </r>
      </text>
    </comment>
    <comment ref="BP33"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U33"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Z33"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A34" authorId="1">
      <text>
        <r>
          <rPr>
            <b/>
            <sz val="9"/>
            <color indexed="81"/>
            <rFont val="Tahoma"/>
            <family val="2"/>
          </rPr>
          <t>towerj:</t>
        </r>
        <r>
          <rPr>
            <sz val="9"/>
            <color indexed="81"/>
            <rFont val="Tahoma"/>
            <family val="2"/>
          </rPr>
          <t xml:space="preserve">
Comprises (a) selling expenses, which include advertising and bad debt expense, (b) general and administrative expenses, which include costs of field management for Company-owned and franchise restaurants and corporate overhead, including corporate salaries and facilities, and (c) amortization of intangible assets. 
G&amp;A = ~20%
Selling = ~ 3.5%</t>
        </r>
      </text>
    </comment>
    <comment ref="L34" authorId="0">
      <text>
        <r>
          <rPr>
            <b/>
            <sz val="8"/>
            <color indexed="81"/>
            <rFont val="Tahoma"/>
            <family val="2"/>
          </rPr>
          <t>glassj:</t>
        </r>
        <r>
          <rPr>
            <sz val="8"/>
            <color indexed="81"/>
            <rFont val="Tahoma"/>
            <family val="2"/>
          </rPr>
          <t xml:space="preserve">
includes $10 m in regor. fees</t>
        </r>
      </text>
    </comment>
    <comment ref="Q34" authorId="0">
      <text>
        <r>
          <rPr>
            <b/>
            <sz val="8"/>
            <color indexed="81"/>
            <rFont val="Tahoma"/>
            <family val="2"/>
          </rPr>
          <t>glassj:</t>
        </r>
        <r>
          <rPr>
            <sz val="8"/>
            <color indexed="81"/>
            <rFont val="Tahoma"/>
            <family val="2"/>
          </rPr>
          <t xml:space="preserve">
includes $22 M in reorg fees</t>
        </r>
      </text>
    </comment>
    <comment ref="R34" authorId="0">
      <text>
        <r>
          <rPr>
            <b/>
            <sz val="8"/>
            <color indexed="81"/>
            <rFont val="Tahoma"/>
            <family val="2"/>
          </rPr>
          <t>glassj:</t>
        </r>
        <r>
          <rPr>
            <sz val="8"/>
            <color indexed="81"/>
            <rFont val="Tahoma"/>
            <family val="2"/>
          </rPr>
          <t xml:space="preserve">
includes $8 M franchise distress imapct, $3 M global reorg</t>
        </r>
      </text>
    </comment>
    <comment ref="S34" authorId="0">
      <text>
        <r>
          <rPr>
            <b/>
            <sz val="8"/>
            <color indexed="81"/>
            <rFont val="Tahoma"/>
            <family val="2"/>
          </rPr>
          <t>glassj:</t>
        </r>
        <r>
          <rPr>
            <sz val="8"/>
            <color indexed="81"/>
            <rFont val="Tahoma"/>
            <family val="2"/>
          </rPr>
          <t xml:space="preserve">
includes $9 M in franchisee distress and $3 m global reorg</t>
        </r>
      </text>
    </comment>
    <comment ref="T34" authorId="0">
      <text>
        <r>
          <rPr>
            <b/>
            <sz val="8"/>
            <color indexed="81"/>
            <rFont val="Tahoma"/>
            <family val="2"/>
          </rPr>
          <t>glassj:</t>
        </r>
        <r>
          <rPr>
            <sz val="8"/>
            <color indexed="81"/>
            <rFont val="Tahoma"/>
            <family val="2"/>
          </rPr>
          <t xml:space="preserve">
inlcudes $9 m  from franchisee distress, $4 m global reorg</t>
        </r>
      </text>
    </comment>
    <comment ref="U34" authorId="0">
      <text>
        <r>
          <rPr>
            <b/>
            <sz val="8"/>
            <color indexed="81"/>
            <rFont val="Tahoma"/>
            <family val="2"/>
          </rPr>
          <t>glassj:</t>
        </r>
        <r>
          <rPr>
            <sz val="8"/>
            <color indexed="81"/>
            <rFont val="Tahoma"/>
            <family val="2"/>
          </rPr>
          <t xml:space="preserve">
inlcudes $2 m franchisee disrtress and $7 global regord</t>
        </r>
      </text>
    </comment>
    <comment ref="V34" authorId="0">
      <text>
        <r>
          <rPr>
            <b/>
            <sz val="8"/>
            <color indexed="81"/>
            <rFont val="Tahoma"/>
            <family val="2"/>
          </rPr>
          <t>glassj:</t>
        </r>
        <r>
          <rPr>
            <sz val="8"/>
            <color indexed="81"/>
            <rFont val="Tahoma"/>
            <family val="2"/>
          </rPr>
          <t xml:space="preserve">
includes $17 M in reorg fees and $29 M for FFRP</t>
        </r>
      </text>
    </comment>
    <comment ref="W34" authorId="0">
      <text>
        <r>
          <rPr>
            <b/>
            <sz val="8"/>
            <color indexed="81"/>
            <rFont val="Tahoma"/>
            <family val="2"/>
          </rPr>
          <t>glassj:</t>
        </r>
        <r>
          <rPr>
            <sz val="8"/>
            <color indexed="81"/>
            <rFont val="Tahoma"/>
            <family val="2"/>
          </rPr>
          <t xml:space="preserve">
inlcudes $1 m franchsiee distress</t>
        </r>
      </text>
    </comment>
    <comment ref="X34" authorId="0">
      <text>
        <r>
          <rPr>
            <b/>
            <sz val="8"/>
            <color indexed="81"/>
            <rFont val="Tahoma"/>
            <family val="2"/>
          </rPr>
          <t>glassj:</t>
        </r>
        <r>
          <rPr>
            <sz val="8"/>
            <color indexed="81"/>
            <rFont val="Tahoma"/>
            <family val="2"/>
          </rPr>
          <t xml:space="preserve">
inlcudes $1 m golbal reorg imapct</t>
        </r>
      </text>
    </comment>
    <comment ref="Y34" authorId="0">
      <text>
        <r>
          <rPr>
            <b/>
            <sz val="8"/>
            <color indexed="81"/>
            <rFont val="Tahoma"/>
            <family val="2"/>
          </rPr>
          <t>glassj:</t>
        </r>
        <r>
          <rPr>
            <sz val="8"/>
            <color indexed="81"/>
            <rFont val="Tahoma"/>
            <family val="2"/>
          </rPr>
          <t xml:space="preserve">
inlcudes $34 M 'make whole" payment and $2 M for global reorg
</t>
        </r>
      </text>
    </comment>
    <comment ref="Z34" authorId="0">
      <text>
        <r>
          <rPr>
            <b/>
            <sz val="8"/>
            <color indexed="81"/>
            <rFont val="Tahoma"/>
            <family val="2"/>
          </rPr>
          <t>glassj:</t>
        </r>
        <r>
          <rPr>
            <sz val="8"/>
            <color indexed="81"/>
            <rFont val="Tahoma"/>
            <family val="2"/>
          </rPr>
          <t xml:space="preserve">
includes 
$7 m global reorg, 
$5 m exec. Severance
$2 Q mgmt fee
($1) make whoel payments
</t>
        </r>
      </text>
    </comment>
    <comment ref="AA34" authorId="0">
      <text>
        <r>
          <rPr>
            <b/>
            <sz val="8"/>
            <color indexed="81"/>
            <rFont val="Tahoma"/>
            <family val="2"/>
          </rPr>
          <t>glassj:</t>
        </r>
        <r>
          <rPr>
            <sz val="8"/>
            <color indexed="81"/>
            <rFont val="Tahoma"/>
            <family val="2"/>
          </rPr>
          <t xml:space="preserve">
includes $34 M in make whole payments, $10 million in assoc. w/ the Euroepan realignment and $5 Min exec. severance</t>
        </r>
      </text>
    </comment>
    <comment ref="AB34" authorId="0">
      <text>
        <r>
          <rPr>
            <b/>
            <sz val="8"/>
            <color indexed="81"/>
            <rFont val="Tahoma"/>
            <family val="2"/>
          </rPr>
          <t>glassj:</t>
        </r>
        <r>
          <rPr>
            <sz val="8"/>
            <color indexed="81"/>
            <rFont val="Tahoma"/>
            <family val="2"/>
          </rPr>
          <t xml:space="preserve">
</t>
        </r>
        <r>
          <rPr>
            <b/>
            <sz val="8"/>
            <color indexed="81"/>
            <rFont val="Tahoma"/>
            <family val="2"/>
          </rPr>
          <t>Includes $5 M of extraorinary items</t>
        </r>
        <r>
          <rPr>
            <sz val="8"/>
            <color indexed="81"/>
            <rFont val="Tahoma"/>
            <family val="2"/>
          </rPr>
          <t xml:space="preserve">, detailed below:
This increase was primarily driven by an increase in the costs associated with the operational  realignment of the Company's European and Asian businesses of  $3 million, severance, relocation and recruiting costs of $2 million, and bad debt and selling expense of $2 million in  EMEA, offset by bad debt recovery of $3 million in the United States. The overall increase of $11 million also includes the negative impact of $2 million from the movement in foreign currency exchange rates.
 </t>
        </r>
      </text>
    </comment>
    <comment ref="AC34" authorId="0">
      <text>
        <r>
          <rPr>
            <b/>
            <sz val="8"/>
            <color indexed="81"/>
            <rFont val="Tahoma"/>
            <family val="2"/>
          </rPr>
          <t>glassj:</t>
        </r>
        <r>
          <rPr>
            <sz val="8"/>
            <color indexed="81"/>
            <rFont val="Tahoma"/>
            <family val="2"/>
          </rPr>
          <t xml:space="preserve">
</t>
        </r>
        <r>
          <rPr>
            <b/>
            <sz val="8"/>
            <color indexed="81"/>
            <rFont val="Tahoma"/>
            <family val="2"/>
          </rPr>
          <t xml:space="preserve">Includes $ 9 M </t>
        </r>
        <r>
          <rPr>
            <sz val="8"/>
            <color indexed="81"/>
            <rFont val="Tahoma"/>
            <family val="2"/>
          </rPr>
          <t>in extraoordinary costs, detailed below: 
1.31.07
This increase was primarily driven by an increase in sales promotions and advertising expenses of $7 million in the United Kingdom, $2 million of additional corporate salaries and fringe benefits, and the negative impact of approximately $3 million from the movement in foreign currency exchange rates. Contributions made to the marketing fund by Company restaurants are recorded as sales promotions and advertising expense and are generally in proportion to Company restaurant revenues. The $7 million increase in the sales promotions and advertising expenses during the quarter was driven by an incremental contribution made by the Company to the marketing fund in the United Kingdom</t>
        </r>
      </text>
    </comment>
    <comment ref="AD34" authorId="1">
      <text>
        <r>
          <rPr>
            <b/>
            <sz val="8"/>
            <color indexed="81"/>
            <rFont val="Tahoma"/>
            <family val="2"/>
          </rPr>
          <t xml:space="preserve">towerj:
Includes $1 M in extraordinary costs, detailed below:
</t>
        </r>
        <r>
          <rPr>
            <sz val="8"/>
            <color indexed="81"/>
            <rFont val="Tahoma"/>
            <family val="2"/>
          </rPr>
          <t xml:space="preserve">
4.27.07
This decrease was primarily driven by a non-recurring compensatory make-whole payment of $34 million paid to holders of options and restricted stock units and recorded in the third quarter of fiscal 2006, and a $3 million net decrease in salary and fringe benefits primarily due to a freeze in the pension plan, partially offset by $2 million of stock-based compensation and $1 million of expense related to the secondary offering of Company common stock by private equity funds controlled by the Sponsors in February 2007 ("the secondary offering"). The overall decrease of $31 million also includes the unfavorable impact of $3 million from the movement in foreign currency exchange rates.
</t>
        </r>
      </text>
    </comment>
    <comment ref="AI34" authorId="2">
      <text>
        <r>
          <rPr>
            <b/>
            <sz val="8"/>
            <color indexed="81"/>
            <rFont val="Tahoma"/>
            <family val="2"/>
          </rPr>
          <t>Jon Tower:</t>
        </r>
        <r>
          <rPr>
            <sz val="8"/>
            <color indexed="81"/>
            <rFont val="Tahoma"/>
            <family val="2"/>
          </rPr>
          <t xml:space="preserve">
5.1.08
The increase in selling expenses for the three months is primarily attributable to additional sales promotions and advertising expenses generated by higher Company restaurant revenues, as well as a reduction in the amount of bad debt recoveries as compared to the prior year</t>
        </r>
      </text>
    </comment>
    <comment ref="AO34" authorId="2">
      <text>
        <r>
          <rPr>
            <b/>
            <sz val="8"/>
            <color indexed="81"/>
            <rFont val="Tahoma"/>
            <family val="2"/>
          </rPr>
          <t>Jon Tower:</t>
        </r>
        <r>
          <rPr>
            <sz val="8"/>
            <color indexed="81"/>
            <rFont val="Tahoma"/>
            <family val="2"/>
          </rPr>
          <t xml:space="preserve">
8.25.09
Selling expenses decreased by $1.4 million, or 6%, to $23.1 million for the three months ended June 30, 2009, compared to the same period in the prior year. Although sales and promotional expenses increased by $1.5 million due to increased sales at our Company restaurants, this increase was fully offset by a $1.5 million favorable impact from the movement of currency exchange rates. The remaining $1.4 million decrease was due to a reduction in local marketing expenditures in EMEA</t>
        </r>
      </text>
    </comment>
    <comment ref="AW34" authorId="2">
      <text>
        <r>
          <rPr>
            <b/>
            <sz val="8"/>
            <color indexed="81"/>
            <rFont val="Tahoma"/>
            <family val="2"/>
          </rPr>
          <t>Jon Tower:</t>
        </r>
        <r>
          <rPr>
            <sz val="8"/>
            <color indexed="81"/>
            <rFont val="Tahoma"/>
            <family val="2"/>
          </rPr>
          <t xml:space="preserve">
4.29.10
Selling expenses decreased by $0.9 million, or 4%, to $21.6 million for the three months ended March 31, 2010, compared to the same period in the prior year, primarily due to a $1.9 million reduction in contributions to the marketing funds in our Company restaurant markets as a result of lower sales at our Company restaurants. This decrease was offset by a $0.6 million unfavorable impact from the movement of currency exchange rates. 
General and administrative expenses increased by $3.0 million, or 3%, to $96.2 million for the three months ended March 31, 2010, largely driven by the unfavorable impact from the movement of currency exchange rates of $3.1 million and higher depreciation expense of $0.8 million due to a higher depreciable asset base compared to the prior year. These items were partially offset by miscellaneous cost reductions and bad debt recoveries
</t>
        </r>
      </text>
    </comment>
    <comment ref="EE34" authorId="8">
      <text>
        <r>
          <rPr>
            <b/>
            <sz val="8"/>
            <color indexed="81"/>
            <rFont val="Tahoma"/>
            <family val="2"/>
          </rPr>
          <t>farmerje:</t>
        </r>
        <r>
          <rPr>
            <sz val="8"/>
            <color indexed="81"/>
            <rFont val="Tahoma"/>
            <family val="2"/>
          </rPr>
          <t xml:space="preserve">
guidance 1/23/03 - flat in terms of dollars y/y
10/22/03 up 5-6%</t>
        </r>
      </text>
    </comment>
    <comment ref="Z35" authorId="0">
      <text>
        <r>
          <rPr>
            <b/>
            <sz val="8"/>
            <color indexed="81"/>
            <rFont val="Tahoma"/>
            <family val="2"/>
          </rPr>
          <t>glassj:</t>
        </r>
        <r>
          <rPr>
            <sz val="8"/>
            <color indexed="81"/>
            <rFont val="Tahoma"/>
            <family val="2"/>
          </rPr>
          <t xml:space="preserve">
incl. $30 M termination fee for maangemetn agreement.</t>
        </r>
      </text>
    </comment>
    <comment ref="A38" authorId="1">
      <text>
        <r>
          <rPr>
            <b/>
            <sz val="9"/>
            <color indexed="81"/>
            <rFont val="Tahoma"/>
            <family val="2"/>
          </rPr>
          <t>towerj:</t>
        </r>
        <r>
          <rPr>
            <sz val="9"/>
            <color indexed="81"/>
            <rFont val="Tahoma"/>
            <family val="2"/>
          </rPr>
          <t xml:space="preserve">
Includes (income) and expenses that are not directly derived from the Company’s primary business (eg refranchising gains/losses) and the impact of foreign currency transaction gains and losses. Expenses also include write-offs associated with Company restaurant closures and other asset write-offs. </t>
        </r>
      </text>
    </comment>
    <comment ref="S38" authorId="0">
      <text>
        <r>
          <rPr>
            <b/>
            <sz val="8"/>
            <color indexed="81"/>
            <rFont val="Tahoma"/>
            <family val="2"/>
          </rPr>
          <t>glassj:</t>
        </r>
        <r>
          <rPr>
            <sz val="8"/>
            <color indexed="81"/>
            <rFont val="Tahoma"/>
            <family val="2"/>
          </rPr>
          <t xml:space="preserve">
includes $4 M gain on disposal</t>
        </r>
      </text>
    </comment>
    <comment ref="T38" authorId="0">
      <text>
        <r>
          <rPr>
            <b/>
            <sz val="8"/>
            <color indexed="81"/>
            <rFont val="Tahoma"/>
            <family val="2"/>
          </rPr>
          <t>glassj:</t>
        </r>
        <r>
          <rPr>
            <sz val="8"/>
            <color indexed="81"/>
            <rFont val="Tahoma"/>
            <family val="2"/>
          </rPr>
          <t xml:space="preserve">
incl. $13 on impairment and $7 m in distress impact</t>
        </r>
      </text>
    </comment>
    <comment ref="U38" authorId="0">
      <text>
        <r>
          <rPr>
            <b/>
            <sz val="8"/>
            <color indexed="81"/>
            <rFont val="Tahoma"/>
            <family val="2"/>
          </rPr>
          <t>glassj:</t>
        </r>
        <r>
          <rPr>
            <sz val="8"/>
            <color indexed="81"/>
            <rFont val="Tahoma"/>
            <family val="2"/>
          </rPr>
          <t xml:space="preserve">
inlcudes $9 m los on disposal</t>
        </r>
      </text>
    </comment>
    <comment ref="X38" authorId="0">
      <text>
        <r>
          <rPr>
            <b/>
            <sz val="8"/>
            <color indexed="81"/>
            <rFont val="Tahoma"/>
            <family val="2"/>
          </rPr>
          <t>glassj:</t>
        </r>
        <r>
          <rPr>
            <sz val="8"/>
            <color indexed="81"/>
            <rFont val="Tahoma"/>
            <family val="2"/>
          </rPr>
          <t xml:space="preserve">
inlcudes $1 m impact franchsieee distress</t>
        </r>
      </text>
    </comment>
    <comment ref="Y38" authorId="0">
      <text>
        <r>
          <rPr>
            <sz val="8"/>
            <color indexed="81"/>
            <rFont val="Tahoma"/>
            <family val="2"/>
          </rPr>
          <t>4.27.07
The $2 million of other operating income, net for the three months ended March 31, 2006 includes a $1 million net gain on the disposal of assets in the United States and a $1 million gain from the termination of unfavorable leases primarily in the United States and Canada.</t>
        </r>
      </text>
    </comment>
    <comment ref="Z38" authorId="0">
      <text>
        <r>
          <rPr>
            <b/>
            <sz val="8"/>
            <color indexed="81"/>
            <rFont val="Tahoma"/>
            <family val="2"/>
          </rPr>
          <t>glassj:</t>
        </r>
        <r>
          <rPr>
            <sz val="8"/>
            <color indexed="81"/>
            <rFont val="Tahoma"/>
            <family val="2"/>
          </rPr>
          <t xml:space="preserve">
includes $1 m franchisee distress</t>
        </r>
      </text>
    </comment>
    <comment ref="AB38" authorId="0">
      <text>
        <r>
          <rPr>
            <b/>
            <sz val="8"/>
            <color indexed="81"/>
            <rFont val="Tahoma"/>
            <family val="2"/>
          </rPr>
          <t>glassj:</t>
        </r>
        <r>
          <rPr>
            <sz val="8"/>
            <color indexed="81"/>
            <rFont val="Tahoma"/>
            <family val="2"/>
          </rPr>
          <t xml:space="preserve">
$5 million gain from sale of New Zealand JV
and $3 M gain on forex contracts, offset by $2 M in franchisee distress iteh UK</t>
        </r>
      </text>
    </comment>
    <comment ref="AC38" authorId="1">
      <text>
        <r>
          <rPr>
            <b/>
            <sz val="8"/>
            <color indexed="81"/>
            <rFont val="Tahoma"/>
            <family val="2"/>
          </rPr>
          <t>towerj:</t>
        </r>
        <r>
          <rPr>
            <sz val="8"/>
            <color indexed="81"/>
            <rFont val="Tahoma"/>
            <family val="2"/>
          </rPr>
          <t xml:space="preserve">
1.31.07
Other operating income for the three months ended December 31, 2006 was $1 million as compared to $2 million during the same period in the prior year. This decrease was primarily driven by an additional charge of $2 million associated with franchise system distress in the United Kingdom offset by an increase in gains on the sale of assets of $1 million</t>
        </r>
      </text>
    </comment>
    <comment ref="AD38" authorId="1">
      <text>
        <r>
          <rPr>
            <b/>
            <sz val="8"/>
            <color indexed="81"/>
            <rFont val="Tahoma"/>
            <family val="2"/>
          </rPr>
          <t>towerj:</t>
        </r>
        <r>
          <rPr>
            <sz val="8"/>
            <color indexed="81"/>
            <rFont val="Tahoma"/>
            <family val="2"/>
          </rPr>
          <t xml:space="preserve">
4.27.07
 includes expenses of $2 million associated with franchise system distress primarily in the United Kingdom, a loss of $1 million from restaurant closures primarily in the United States and the United Kingdom, offset by a net gain of $1 million from forward currency contracts used to hedge intercompany loans denominated in foreign currencies</t>
        </r>
      </text>
    </comment>
    <comment ref="AE38" authorId="4">
      <text>
        <r>
          <rPr>
            <b/>
            <sz val="8"/>
            <color indexed="81"/>
            <rFont val="Tahoma"/>
            <family val="2"/>
          </rPr>
          <t xml:space="preserve">8.21.08
</t>
        </r>
        <r>
          <rPr>
            <sz val="8"/>
            <color indexed="81"/>
            <rFont val="Tahoma"/>
            <family val="2"/>
          </rPr>
          <t>Other operating expense, net for the three months ended June 30, 2007 includes $7 million in costs associated with the termination of the Company's lease for a new headquarters facility, which the Company had proposed to build in Coral Gables, FL and $1 million in charges for litigation reserves, partially offset by a net gain of $1 million from the disposal of assets and a gain of $2 million from forward currency contracts used to hedge intercompany loans denominated in foreign currencies.</t>
        </r>
        <r>
          <rPr>
            <b/>
            <sz val="8"/>
            <color indexed="81"/>
            <rFont val="Tahoma"/>
            <family val="2"/>
          </rPr>
          <t xml:space="preserve">
</t>
        </r>
        <r>
          <rPr>
            <sz val="8"/>
            <color indexed="81"/>
            <rFont val="Tahoma"/>
            <family val="2"/>
          </rPr>
          <t xml:space="preserve">
8.24.07 includes $7M in pre-tax costs related to the termination of the co's lease for a new HQ.</t>
        </r>
      </text>
    </comment>
    <comment ref="AF38" authorId="4">
      <text>
        <r>
          <rPr>
            <sz val="8"/>
            <color indexed="81"/>
            <rFont val="Tahoma"/>
            <family val="2"/>
          </rPr>
          <t>8.24.07
The $1 million of other operating income, net in fiscal 2007 includes a net gain of $5 million from the disposal of assets, a gain of $7 million from forward currency contracts used to hedge intercompany loans denominated in foreign currencies offset by $7 million in cost associated with the termination of the lease for a new headquarters facility, which the Company had proposed to build in Coral Gables, FL, $2 million in litigation reserves, and $3 million in franchise workout costs.</t>
        </r>
      </text>
    </comment>
    <comment ref="AI38" authorId="2">
      <text>
        <r>
          <rPr>
            <b/>
            <sz val="8"/>
            <color indexed="81"/>
            <rFont val="Tahoma"/>
            <family val="2"/>
          </rPr>
          <t>Jon Tower:</t>
        </r>
        <r>
          <rPr>
            <sz val="8"/>
            <color indexed="81"/>
            <rFont val="Tahoma"/>
            <family val="2"/>
          </rPr>
          <t xml:space="preserve">
5.1.08
includes a net gain of $11 million from the disposal of real estate and other assets, primarily from the refranchising of Company restaurants in Germany, partially offset by $3 million in losses from vacant property provisions recorded in the U.S. and U.K. and $1 million of franchise system distress costs in the U.K.</t>
        </r>
      </text>
    </comment>
    <comment ref="AJ38" authorId="2">
      <text>
        <r>
          <rPr>
            <b/>
            <sz val="8"/>
            <color indexed="81"/>
            <rFont val="Tahoma"/>
            <family val="2"/>
          </rPr>
          <t>Jon Tower:</t>
        </r>
        <r>
          <rPr>
            <sz val="8"/>
            <color indexed="81"/>
            <rFont val="Tahoma"/>
            <family val="2"/>
          </rPr>
          <t xml:space="preserve">
8.21.08
Other operating expense, net for the three months ended June 30, 2008 includes a loss of $3 million from forward currency contracts used to hedge intercompany loans denominated in foreign currencies, $2 million of charges associated with the acquisition of franchise restaurants from a large franchisee in the U.S., a net loss of $2 million from the disposal of real estate and other assets, primarily from the closure of restaurants in the U.K. and $1 million of franchise system distress costs in the U.K. </t>
        </r>
      </text>
    </comment>
    <comment ref="AK38" authorId="2">
      <text>
        <r>
          <rPr>
            <b/>
            <sz val="8"/>
            <color indexed="81"/>
            <rFont val="Tahoma"/>
            <family val="2"/>
          </rPr>
          <t>Jon Tower:</t>
        </r>
        <r>
          <rPr>
            <sz val="8"/>
            <color indexed="81"/>
            <rFont val="Tahoma"/>
            <family val="2"/>
          </rPr>
          <t xml:space="preserve">
8.21.08
Other operating expense, net in fiscal 2008 includes $4 million of franchise system distress costs in the U.K., which includes a $1 million payment made to our sole distributor, $2 million of foreign currency transaction losses, $2 million of charges associated with the acquisition of franchise restaurants primarily from a large franchisee in the U.S., $1 million in charges for litigation reserves and a loss of $1 million from forward currency contracts used to hedge intercompany loans denominated in foreign currencies. These costs were partially offset by a net gain of $10 million from the disposal of assets and restaurant closures, primarily in Germany and the U.S., which includes the refranchising of Company restaurants in Germany.
</t>
        </r>
      </text>
    </comment>
    <comment ref="AL38" authorId="2">
      <text>
        <r>
          <rPr>
            <b/>
            <sz val="8"/>
            <color indexed="81"/>
            <rFont val="Tahoma"/>
            <family val="2"/>
          </rPr>
          <t xml:space="preserve">Jon Tower:
10.31.08
</t>
        </r>
        <r>
          <rPr>
            <sz val="8"/>
            <color indexed="81"/>
            <rFont val="Tahoma"/>
            <family val="2"/>
          </rPr>
          <t xml:space="preserve">The company’s earnings were also impacted by an incremental $9 million of expenses recorded in Other Income and Expense as compared to the same period last year. Five million (equaling $0.02 of EPS) of the increase consisted of primarily non-cash expenses resulting from volatility in foreign currencies and interest rate markets
---
This includes a $3 million charge related to the remeasurement of foreign denominated assets and $2 million of net charges from the use of foreign currency forward contracts. </t>
        </r>
        <r>
          <rPr>
            <b/>
            <sz val="8"/>
            <color indexed="81"/>
            <rFont val="Tahoma"/>
            <family val="2"/>
          </rPr>
          <t xml:space="preserve"> It also includes $2 million of charges associated with the acquisition of franchise restaurants from a large franchisee in the U.S (THIS $2M is not included in ADJUSTED EBITDA)</t>
        </r>
        <r>
          <rPr>
            <b/>
            <sz val="8"/>
            <color indexed="81"/>
            <rFont val="Tahoma"/>
            <family val="2"/>
          </rPr>
          <t xml:space="preserve">
</t>
        </r>
        <r>
          <rPr>
            <sz val="8"/>
            <color indexed="81"/>
            <rFont val="Tahoma"/>
            <family val="2"/>
          </rPr>
          <t xml:space="preserve">
8.21.08
$4M in 1X charge related to Simmonds Acquisition</t>
        </r>
      </text>
    </comment>
    <comment ref="AM38" authorId="2">
      <text>
        <r>
          <rPr>
            <b/>
            <sz val="8"/>
            <color indexed="81"/>
            <rFont val="Tahoma"/>
            <family val="2"/>
          </rPr>
          <t xml:space="preserve">Jon Tower:
2.5.09
</t>
        </r>
        <r>
          <rPr>
            <sz val="8"/>
            <color indexed="81"/>
            <rFont val="Tahoma"/>
            <family val="2"/>
          </rPr>
          <t xml:space="preserve">This $6 million expense includes $4 million of net losses on investments held in the rabbi trust, which were fully offset by a corresponding decrease in deferred compensation expense reflected in general and administrative expenses, and $2 million of net expense related to the remeasurement of foreign denominated assets and the expense related to the use of foreign currency forward contracts used to hedge the currency exchange impact on such assets. </t>
        </r>
        <r>
          <rPr>
            <b/>
            <sz val="8"/>
            <color indexed="81"/>
            <rFont val="Tahoma"/>
            <family val="2"/>
          </rPr>
          <t xml:space="preserve">
</t>
        </r>
        <r>
          <rPr>
            <sz val="8"/>
            <color indexed="81"/>
            <rFont val="Tahoma"/>
            <family val="2"/>
          </rPr>
          <t xml:space="preserve">
10.31.08
expect $2-3M run rate/Q -- detriment</t>
        </r>
      </text>
    </comment>
    <comment ref="AN38" authorId="2">
      <text>
        <r>
          <rPr>
            <b/>
            <sz val="8"/>
            <color indexed="81"/>
            <rFont val="Tahoma"/>
            <family val="2"/>
          </rPr>
          <t xml:space="preserve">Jon Tower:
4.29.09
The company realized $1 million of other income as compared to the prior year’s other income of $6 million. The main driver of the differential, equal to $0.02 per share, was the gain from the re-franchising of Germany company restaurants last year. 
</t>
        </r>
        <r>
          <rPr>
            <sz val="8"/>
            <color indexed="81"/>
            <rFont val="Tahoma"/>
            <family val="2"/>
          </rPr>
          <t>10.31.08
expect $2-3M run rate/Q -- detriment</t>
        </r>
      </text>
    </comment>
    <comment ref="AO38" authorId="2">
      <text>
        <r>
          <rPr>
            <b/>
            <sz val="8"/>
            <color indexed="81"/>
            <rFont val="Tahoma"/>
            <family val="2"/>
          </rPr>
          <t xml:space="preserve">Jon Tower:
8.25.09
Other operating income, net, for the three months ended June 30, 2009 of $8.6 million includes a $4.3 million gain from the disposal of real estate and other assets, which includes a $2.2 million gain on the refranchising of Company restaurants in EMEA, $2.6 million of net gains on investments held in the rabbi trust, which were fully offset by a corresponding decrease in deferred compensation expense reflected in general and administrative expenses, $0.9 million of net gain related to the remeasurement of foreign denominated assets and the expense related to the use of forward contracts used to hedge the currency exchange impact on such assets and $0.8 million from the reversal of litigation reserves. 
</t>
        </r>
        <r>
          <rPr>
            <sz val="8"/>
            <color indexed="81"/>
            <rFont val="Tahoma"/>
            <family val="2"/>
          </rPr>
          <t>10.31.08
expect $2-3M run rate/Q -- detriment</t>
        </r>
      </text>
    </comment>
    <comment ref="AQ38" authorId="2">
      <text>
        <r>
          <rPr>
            <b/>
            <sz val="8"/>
            <color indexed="81"/>
            <rFont val="Tahoma"/>
            <family val="2"/>
          </rPr>
          <t>Jon Tower:</t>
        </r>
        <r>
          <rPr>
            <sz val="8"/>
            <color indexed="81"/>
            <rFont val="Tahoma"/>
            <family val="2"/>
          </rPr>
          <t xml:space="preserve">
10.29.09
General and administrative (G&amp;A) expenses increased by $8.5 million or 8 percent to $109 million compared to the same period last year. The increase includes $4.7 million in deferred compensation expense which was largely offset by $4.6 million of net gains on investments held in a Rabbi Trust recorded within the Other Operating Income and Expense category. The company also incurred additional professional services fees of $3.7 million and $1.6 million related to the previously announced step-up in share-based compensation. These factors were partially offset by a $2.7 million favorable currency translation impact</t>
        </r>
      </text>
    </comment>
    <comment ref="AR38" authorId="2">
      <text>
        <r>
          <rPr>
            <b/>
            <sz val="8"/>
            <color indexed="81"/>
            <rFont val="Tahoma"/>
            <family val="2"/>
          </rPr>
          <t>Jon Tower:</t>
        </r>
        <r>
          <rPr>
            <sz val="8"/>
            <color indexed="81"/>
            <rFont val="Tahoma"/>
            <family val="2"/>
          </rPr>
          <t xml:space="preserve">
2.4.10
includes $3.5 million of closed restaurant expenses, primarily in the U.S. and Canada and EMEA, a $2.4 million charge related to consumption tax in EMEA, a $0.8 million net loss on the disposal of property and a $0.7 million contract termination fee. These expenses were partially offset by a $3.5 million gain related to the refranchising of 12 Company restaurants in the U.S. </t>
        </r>
      </text>
    </comment>
    <comment ref="AU38" authorId="2">
      <text>
        <r>
          <rPr>
            <b/>
            <sz val="8"/>
            <color indexed="81"/>
            <rFont val="Tahoma"/>
            <family val="2"/>
          </rPr>
          <t>Jon Tower:</t>
        </r>
        <r>
          <rPr>
            <sz val="8"/>
            <color indexed="81"/>
            <rFont val="Tahoma"/>
            <family val="2"/>
          </rPr>
          <t xml:space="preserve">
8.25.09
The company expects to continue its on-going portfolio management initiative to optimize its company restaurant portfolio and to enhance development agreements with new and existing franchisees. Gains and losses incurred as a result of this activity will be reflected in Other Operating Income and Expense, net.</t>
        </r>
      </text>
    </comment>
    <comment ref="AW38" authorId="2">
      <text>
        <r>
          <rPr>
            <b/>
            <sz val="8"/>
            <color indexed="81"/>
            <rFont val="Tahoma"/>
            <family val="2"/>
          </rPr>
          <t>Jon Tower:</t>
        </r>
        <r>
          <rPr>
            <sz val="8"/>
            <color indexed="81"/>
            <rFont val="Tahoma"/>
            <family val="2"/>
          </rPr>
          <t xml:space="preserve">
4.29.10
Other operating income, net, for the three months ended March 31, 2010 of $4.5 million includes $3.2 million of net gains related to the disposal of property and expenses arising from restaurant closures, $1.3 million of net gains related to the remeasurement of foreign denominated assets and the impact related to the use of foreign currency forward contracts used to hedge the currency exchange impact on such assets, and $0.6 million of net gains from the settling of transactions denominated in foreign currencies</t>
        </r>
      </text>
    </comment>
    <comment ref="AX38" authorId="2">
      <text>
        <r>
          <rPr>
            <b/>
            <sz val="8"/>
            <color indexed="81"/>
            <rFont val="Tahoma"/>
            <family val="2"/>
          </rPr>
          <t>Jon Tower:</t>
        </r>
        <r>
          <rPr>
            <sz val="8"/>
            <color indexed="81"/>
            <rFont val="Tahoma"/>
            <family val="2"/>
          </rPr>
          <t xml:space="preserve">
8.24.10
The $1.4 million of other, net within other operating (income) expense, net for the three months ended June 30, 2010 includes $1.5 million of severance costs related to refranchisings in Germany and $0.5 million of franchise workout costs, partially offset by $1.1 million of income recorded in connection with the expiration of gift cards in the U.S. 
The $5.2 million of other, net within other operating (income) expense, net for the fiscal year ended June 30, 2010 includes a $2.4 million charge related to consumption tax in EMEA, $1.5 million of severance costs related to refranchisings in Germany, $1.0 million of franchise workout costs and a $0.7 million contract termination fee, partially offset by $1.1 million of income recorded in connection with the expiration of gift cards in the U.S. 
The $1.8 million of other, net within other operating (income) expense, net for the fiscal year ended June 30, 2009 consists primarily of $1.7 million of franchise workout costs.
</t>
        </r>
      </text>
    </comment>
    <comment ref="BA38" authorId="2">
      <text>
        <r>
          <rPr>
            <b/>
            <sz val="8"/>
            <color indexed="81"/>
            <rFont val="Tahoma"/>
            <family val="2"/>
          </rPr>
          <t>Jon Tower:</t>
        </r>
        <r>
          <rPr>
            <sz val="8"/>
            <color indexed="81"/>
            <rFont val="Tahoma"/>
            <family val="2"/>
          </rPr>
          <t xml:space="preserve">
8.25.09
The company expects to continue its on-going portfolio management initiative to optimize its company restaurant portfolio and to enhance development agreements with new and existing franchisees. Gains and losses incurred as a result of this activity will be reflected in Other Operating Income and Expense, net.</t>
        </r>
      </text>
    </comment>
    <comment ref="L39" authorId="0">
      <text>
        <r>
          <rPr>
            <b/>
            <sz val="8"/>
            <color indexed="81"/>
            <rFont val="Tahoma"/>
            <family val="2"/>
          </rPr>
          <t>glassj:</t>
        </r>
        <r>
          <rPr>
            <sz val="8"/>
            <color indexed="81"/>
            <rFont val="Tahoma"/>
            <family val="2"/>
          </rPr>
          <t xml:space="preserve">
adversely impacted by $105 M from franchisee distress</t>
        </r>
      </text>
    </comment>
    <comment ref="Q39" authorId="0">
      <text>
        <r>
          <rPr>
            <b/>
            <sz val="8"/>
            <color indexed="81"/>
            <rFont val="Tahoma"/>
            <family val="2"/>
          </rPr>
          <t>glassj:</t>
        </r>
        <r>
          <rPr>
            <sz val="8"/>
            <color indexed="81"/>
            <rFont val="Tahoma"/>
            <family val="2"/>
          </rPr>
          <t xml:space="preserve">
Adversely impacted by $105 M from franchisee distress</t>
        </r>
      </text>
    </comment>
    <comment ref="V39" authorId="0">
      <text>
        <r>
          <rPr>
            <b/>
            <sz val="8"/>
            <color indexed="81"/>
            <rFont val="Tahoma"/>
            <family val="2"/>
          </rPr>
          <t>glassj:</t>
        </r>
        <r>
          <rPr>
            <sz val="8"/>
            <color indexed="81"/>
            <rFont val="Tahoma"/>
            <family val="2"/>
          </rPr>
          <t xml:space="preserve">
Adversely impacted by $33 M due to franchisee distress.</t>
        </r>
      </text>
    </comment>
    <comment ref="AB39" authorId="0">
      <text>
        <r>
          <rPr>
            <b/>
            <sz val="8"/>
            <color indexed="81"/>
            <rFont val="Tahoma"/>
            <family val="2"/>
          </rPr>
          <t>glassj:</t>
        </r>
        <r>
          <rPr>
            <sz val="8"/>
            <color indexed="81"/>
            <rFont val="Tahoma"/>
            <family val="2"/>
          </rPr>
          <t xml:space="preserve">
has $3 M in extra ads for the UK business</t>
        </r>
      </text>
    </comment>
    <comment ref="AI39" authorId="2">
      <text>
        <r>
          <rPr>
            <b/>
            <sz val="8"/>
            <color indexed="81"/>
            <rFont val="Tahoma"/>
            <family val="2"/>
          </rPr>
          <t>Jon Tower:</t>
        </r>
        <r>
          <rPr>
            <sz val="8"/>
            <color indexed="81"/>
            <rFont val="Tahoma"/>
            <family val="2"/>
          </rPr>
          <t xml:space="preserve">
1.31.08
will see $5-$6M in write downs in the 2H08 due to the temp closure of 30 company US units = closed for 60-120 days, impact D&amp;A (accelerated) 
ALSO TOTAL profit impact $10-$12M  --- sales will fall by abuot $10M</t>
        </r>
      </text>
    </comment>
    <comment ref="AJ39" authorId="2">
      <text>
        <r>
          <rPr>
            <b/>
            <sz val="8"/>
            <color indexed="81"/>
            <rFont val="Tahoma"/>
            <family val="2"/>
          </rPr>
          <t>Jon Tower:</t>
        </r>
        <r>
          <rPr>
            <sz val="8"/>
            <color indexed="81"/>
            <rFont val="Tahoma"/>
            <family val="2"/>
          </rPr>
          <t xml:space="preserve">
1.31.08
will see $5-$6M in write downs in the 2H08 due to the temp closure of 30 company US units = closed for 60-120 days, impact D&amp;A (accelerated) 
ALSO TOTAL profit impact $10-$12M  --- sales will fall by abuot $10M</t>
        </r>
      </text>
    </comment>
    <comment ref="AK39" authorId="2">
      <text>
        <r>
          <rPr>
            <b/>
            <sz val="8"/>
            <color indexed="81"/>
            <rFont val="Tahoma"/>
            <family val="2"/>
          </rPr>
          <t>Jon Tower:</t>
        </r>
        <r>
          <rPr>
            <sz val="8"/>
            <color indexed="81"/>
            <rFont val="Tahoma"/>
            <family val="2"/>
          </rPr>
          <t xml:space="preserve">
from 10K - saw $8M net benefit from FX in FY08</t>
        </r>
      </text>
    </comment>
    <comment ref="AL39" authorId="2">
      <text>
        <r>
          <rPr>
            <b/>
            <sz val="8"/>
            <color indexed="81"/>
            <rFont val="Tahoma"/>
            <family val="2"/>
          </rPr>
          <t>Jon Tower:</t>
        </r>
        <r>
          <rPr>
            <sz val="8"/>
            <color indexed="81"/>
            <rFont val="Tahoma"/>
            <family val="2"/>
          </rPr>
          <t xml:space="preserve">
10.31.08
the favorable impact on revenues from the movement of currency exchange rates was substantially offset by the unfavorable impact of exchange rates on Company restaurant expenses and selling, general and administrative expenses, resulting in a net favorable impact on income from operations of $2 million.</t>
        </r>
      </text>
    </comment>
    <comment ref="AM39" authorId="2">
      <text>
        <r>
          <rPr>
            <b/>
            <sz val="8"/>
            <color indexed="81"/>
            <rFont val="Tahoma"/>
            <family val="2"/>
          </rPr>
          <t>Jon Tower:</t>
        </r>
        <r>
          <rPr>
            <sz val="8"/>
            <color indexed="81"/>
            <rFont val="Tahoma"/>
            <family val="2"/>
          </rPr>
          <t xml:space="preserve">
2.5.09
FX negatively impacted income from ops by $7M</t>
        </r>
      </text>
    </comment>
    <comment ref="AQ39" authorId="2">
      <text>
        <r>
          <rPr>
            <b/>
            <sz val="8"/>
            <color indexed="81"/>
            <rFont val="Tahoma"/>
            <family val="2"/>
          </rPr>
          <t>Jon Tower:</t>
        </r>
        <r>
          <rPr>
            <sz val="8"/>
            <color indexed="81"/>
            <rFont val="Tahoma"/>
            <family val="2"/>
          </rPr>
          <t xml:space="preserve">
10.29.09
includes $3.6M of negative FX impact</t>
        </r>
      </text>
    </comment>
    <comment ref="AW39" authorId="2">
      <text>
        <r>
          <rPr>
            <b/>
            <sz val="8"/>
            <color indexed="81"/>
            <rFont val="Tahoma"/>
            <family val="2"/>
          </rPr>
          <t>Jon Tower:</t>
        </r>
        <r>
          <rPr>
            <sz val="8"/>
            <color indexed="81"/>
            <rFont val="Tahoma"/>
            <family val="2"/>
          </rPr>
          <t xml:space="preserve">
3.9.10
Therefore, the company expects third-quarter fiscal 2010 U.S. and Canada total revenues, company restaurant margin and income from operations to be lower than the prior year period</t>
        </r>
      </text>
    </comment>
    <comment ref="W41" authorId="0">
      <text>
        <r>
          <rPr>
            <b/>
            <sz val="8"/>
            <color indexed="81"/>
            <rFont val="Tahoma"/>
            <family val="2"/>
          </rPr>
          <t>glassj:</t>
        </r>
        <r>
          <rPr>
            <sz val="8"/>
            <color indexed="81"/>
            <rFont val="Tahoma"/>
            <family val="2"/>
          </rPr>
          <t xml:space="preserve">
Adjsuted: $97</t>
        </r>
      </text>
    </comment>
    <comment ref="X41" authorId="0">
      <text>
        <r>
          <rPr>
            <b/>
            <sz val="8"/>
            <color indexed="81"/>
            <rFont val="Tahoma"/>
            <family val="2"/>
          </rPr>
          <t>glassj:</t>
        </r>
        <r>
          <rPr>
            <sz val="8"/>
            <color indexed="81"/>
            <rFont val="Tahoma"/>
            <family val="2"/>
          </rPr>
          <t xml:space="preserve">
Adjsuted: $96</t>
        </r>
      </text>
    </comment>
    <comment ref="Y41" authorId="0">
      <text>
        <r>
          <rPr>
            <b/>
            <sz val="8"/>
            <color indexed="81"/>
            <rFont val="Tahoma"/>
            <family val="2"/>
          </rPr>
          <t>glassj:</t>
        </r>
        <r>
          <rPr>
            <sz val="8"/>
            <color indexed="81"/>
            <rFont val="Tahoma"/>
            <family val="2"/>
          </rPr>
          <t xml:space="preserve">
Adjusted: $71</t>
        </r>
      </text>
    </comment>
    <comment ref="Z41" authorId="0">
      <text>
        <r>
          <rPr>
            <b/>
            <sz val="8"/>
            <color indexed="81"/>
            <rFont val="Tahoma"/>
            <family val="2"/>
          </rPr>
          <t>glassj:</t>
        </r>
        <r>
          <rPr>
            <sz val="8"/>
            <color indexed="81"/>
            <rFont val="Tahoma"/>
            <family val="2"/>
          </rPr>
          <t xml:space="preserve">
adjusted: $82</t>
        </r>
      </text>
    </comment>
    <comment ref="AA41" authorId="4">
      <text>
        <r>
          <rPr>
            <sz val="8"/>
            <color indexed="81"/>
            <rFont val="Tahoma"/>
            <family val="2"/>
          </rPr>
          <t>adjusted = 346 M</t>
        </r>
      </text>
    </comment>
    <comment ref="AF41" authorId="1">
      <text>
        <r>
          <rPr>
            <b/>
            <sz val="9"/>
            <color indexed="81"/>
            <rFont val="Tahoma"/>
            <family val="2"/>
          </rPr>
          <t xml:space="preserve">towerj:
7.11.07
$381-$388m
</t>
        </r>
        <r>
          <rPr>
            <sz val="9"/>
            <color indexed="81"/>
            <rFont val="Tahoma"/>
            <family val="2"/>
          </rPr>
          <t xml:space="preserve">
adjusted annual EBITDA growth target of 10-12%</t>
        </r>
      </text>
    </comment>
    <comment ref="AK41" authorId="2">
      <text>
        <r>
          <rPr>
            <b/>
            <sz val="8"/>
            <color indexed="81"/>
            <rFont val="Tahoma"/>
            <family val="2"/>
          </rPr>
          <t>Jon Tower:</t>
        </r>
        <r>
          <rPr>
            <sz val="8"/>
            <color indexed="81"/>
            <rFont val="Tahoma"/>
            <family val="2"/>
          </rPr>
          <t xml:space="preserve">
5/1/2008 - re: Heartland acq --- 56 units in Carolinas
As a result, we expect annual U.S. company restaurant revenues and EBITDA to increase by approximately 64 million and 9 million respectively on a go-forward basis. Conversely, as a result of the German re-franchise restaurants, we expect annual EMEA/APAC company revenues and EBITDA to decrease by an estimated 20 million and 4.5 million respectively. On a net basis, these transactions should yield an annual net increase for worldwide company revenues and EBITDA by approximately 44 and $4.5 million respectively.</t>
        </r>
      </text>
    </comment>
    <comment ref="AP41" authorId="2">
      <text>
        <r>
          <rPr>
            <b/>
            <sz val="8"/>
            <color indexed="81"/>
            <rFont val="Tahoma"/>
            <family val="2"/>
          </rPr>
          <t>Jon Tower:</t>
        </r>
        <r>
          <rPr>
            <sz val="8"/>
            <color indexed="81"/>
            <rFont val="Tahoma"/>
            <family val="2"/>
          </rPr>
          <t xml:space="preserve">
5/1/2008 - re: Heartland acq --- 56 units in Carolinas
As a result, we expect annual U.S. company restaurant revenues and EBITDA to increase by approximately 64 million and 9 million respectively on a go-forward basis. Conversely, as a result of the German re-franchise restaurants, we expect annual EMEA/APAC company revenues and EBITDA to decrease by an estimated 20 million and 4.5 million respectively. On a net basis, these transactions should yield an annual net increase for worldwide company revenues and EBITDA by approximately 44 and $4.5 million respectively.</t>
        </r>
      </text>
    </comment>
    <comment ref="CO41" authorId="3">
      <text>
        <r>
          <rPr>
            <b/>
            <sz val="9"/>
            <color indexed="81"/>
            <rFont val="Tahoma"/>
            <family val="2"/>
          </rPr>
          <t>O'Brien, Courtney (Research):</t>
        </r>
        <r>
          <rPr>
            <sz val="9"/>
            <color indexed="81"/>
            <rFont val="Tahoma"/>
            <family val="2"/>
          </rPr>
          <t xml:space="preserve">
integrates Popeye's acquisition beginning in 2Q</t>
        </r>
      </text>
    </comment>
    <comment ref="A42" authorId="5">
      <text>
        <r>
          <rPr>
            <b/>
            <sz val="8"/>
            <color indexed="81"/>
            <rFont val="Tahoma"/>
            <family val="2"/>
          </rPr>
          <t>John Glass:</t>
        </r>
        <r>
          <rPr>
            <sz val="8"/>
            <color indexed="81"/>
            <rFont val="Tahoma"/>
            <family val="2"/>
          </rPr>
          <t xml:space="preserve">
REMOVES 1X ITEM, NON OPERATING ITEMS - SEE BELOW FOR RECONCILIATION</t>
        </r>
      </text>
    </comment>
    <comment ref="AL42" authorId="2">
      <text>
        <r>
          <rPr>
            <b/>
            <sz val="8"/>
            <color indexed="81"/>
            <rFont val="Tahoma"/>
            <family val="2"/>
          </rPr>
          <t>Jon Tower:</t>
        </r>
        <r>
          <rPr>
            <sz val="8"/>
            <color indexed="81"/>
            <rFont val="Tahoma"/>
            <family val="2"/>
          </rPr>
          <t xml:space="preserve">
10.31.08
Quarter-over-quarter EBITDA was 116 million compared to 117 million. EBITDA adjusted for 3 million in one-time charges related to the acquisition of company restaurants was 119 million, up 2% versus the prior-year period.</t>
        </r>
      </text>
    </comment>
    <comment ref="CE42" authorId="3">
      <text>
        <r>
          <rPr>
            <b/>
            <sz val="9"/>
            <color indexed="81"/>
            <rFont val="Tahoma"/>
            <family val="2"/>
          </rPr>
          <t>O'Brien, Courtney (Research):</t>
        </r>
        <r>
          <rPr>
            <sz val="9"/>
            <color indexed="81"/>
            <rFont val="Tahoma"/>
            <family val="2"/>
          </rPr>
          <t xml:space="preserve">
2.16.16 
1.666B</t>
        </r>
      </text>
    </comment>
    <comment ref="CJ42" authorId="3">
      <text>
        <r>
          <rPr>
            <b/>
            <sz val="9"/>
            <color indexed="81"/>
            <rFont val="Tahoma"/>
            <family val="2"/>
          </rPr>
          <t>O'Brien, Courtney (Research):</t>
        </r>
        <r>
          <rPr>
            <sz val="9"/>
            <color indexed="81"/>
            <rFont val="Tahoma"/>
            <family val="2"/>
          </rPr>
          <t xml:space="preserve">
2.7.16
$1.880-1.890</t>
        </r>
      </text>
    </comment>
    <comment ref="EX42" authorId="5">
      <text>
        <r>
          <rPr>
            <b/>
            <sz val="8"/>
            <color indexed="81"/>
            <rFont val="Tahoma"/>
            <family val="2"/>
          </rPr>
          <t>John Glass:</t>
        </r>
        <r>
          <rPr>
            <sz val="8"/>
            <color indexed="81"/>
            <rFont val="Tahoma"/>
            <family val="2"/>
          </rPr>
          <t xml:space="preserve">
REMOVES 1X ITEM, NON OPERATING ITEMS - SEE BELOW FOR RECONCILIATION</t>
        </r>
      </text>
    </comment>
    <comment ref="A43" authorId="5">
      <text>
        <r>
          <rPr>
            <b/>
            <sz val="8"/>
            <color indexed="81"/>
            <rFont val="Tahoma"/>
            <family val="2"/>
          </rPr>
          <t>John Glass:</t>
        </r>
        <r>
          <rPr>
            <sz val="8"/>
            <color indexed="81"/>
            <rFont val="Tahoma"/>
            <family val="2"/>
          </rPr>
          <t xml:space="preserve">
</t>
        </r>
        <r>
          <rPr>
            <u/>
            <sz val="8"/>
            <color indexed="81"/>
            <rFont val="Tahoma"/>
            <family val="2"/>
          </rPr>
          <t>INCLUDES STOCK COMP EXPENSE</t>
        </r>
        <r>
          <rPr>
            <sz val="8"/>
            <color indexed="81"/>
            <rFont val="Tahoma"/>
            <family val="2"/>
          </rPr>
          <t xml:space="preserve">. REMOVES 1X ITEM, NON OPERATING ITEMS - SEE BELOW FOR RECONCILIATION (FX)
</t>
        </r>
      </text>
    </comment>
    <comment ref="EX43" authorId="5">
      <text>
        <r>
          <rPr>
            <b/>
            <sz val="8"/>
            <color indexed="81"/>
            <rFont val="Tahoma"/>
            <family val="2"/>
          </rPr>
          <t>John Glass:</t>
        </r>
        <r>
          <rPr>
            <sz val="8"/>
            <color indexed="81"/>
            <rFont val="Tahoma"/>
            <family val="2"/>
          </rPr>
          <t xml:space="preserve">
</t>
        </r>
        <r>
          <rPr>
            <u/>
            <sz val="8"/>
            <color indexed="81"/>
            <rFont val="Tahoma"/>
            <family val="2"/>
          </rPr>
          <t>INCLUDES STOCK COMP EXPENSE</t>
        </r>
        <r>
          <rPr>
            <sz val="8"/>
            <color indexed="81"/>
            <rFont val="Tahoma"/>
            <family val="2"/>
          </rPr>
          <t xml:space="preserve">. </t>
        </r>
        <r>
          <rPr>
            <sz val="8"/>
            <color indexed="81"/>
            <rFont val="Tahoma"/>
            <family val="2"/>
          </rPr>
          <t>REMOVES 1X ITEM, NON OPERATING ITEMS - SEE BELOW FOR RECONCILIATION</t>
        </r>
      </text>
    </comment>
    <comment ref="AE44" authorId="2">
      <text>
        <r>
          <rPr>
            <b/>
            <sz val="8"/>
            <color indexed="81"/>
            <rFont val="Tahoma"/>
            <family val="2"/>
          </rPr>
          <t>Jon Tower:</t>
        </r>
        <r>
          <rPr>
            <sz val="8"/>
            <color indexed="81"/>
            <rFont val="Tahoma"/>
            <family val="2"/>
          </rPr>
          <t xml:space="preserve">
8.21.08
The weighted average interest rates for the three months ended June 30, 2008 and 2007 were 4.20% and 6.85%</t>
        </r>
      </text>
    </comment>
    <comment ref="AJ44" authorId="2">
      <text>
        <r>
          <rPr>
            <b/>
            <sz val="8"/>
            <color indexed="81"/>
            <rFont val="Tahoma"/>
            <family val="2"/>
          </rPr>
          <t>Jon Tower:</t>
        </r>
        <r>
          <rPr>
            <sz val="8"/>
            <color indexed="81"/>
            <rFont val="Tahoma"/>
            <family val="2"/>
          </rPr>
          <t xml:space="preserve">
8.21.08
The weighted average interest rates for the three months ended June 30, 2008 and 2007 were 4.20% and 6.85%</t>
        </r>
      </text>
    </comment>
    <comment ref="AL44" authorId="2">
      <text>
        <r>
          <rPr>
            <b/>
            <sz val="8"/>
            <color indexed="81"/>
            <rFont val="Tahoma"/>
            <family val="2"/>
          </rPr>
          <t>Jon Tower:</t>
        </r>
        <r>
          <rPr>
            <sz val="8"/>
            <color indexed="81"/>
            <rFont val="Tahoma"/>
            <family val="2"/>
          </rPr>
          <t xml:space="preserve">
10.31.08
</t>
        </r>
        <r>
          <rPr>
            <sz val="8"/>
            <color indexed="81"/>
            <rFont val="Tahoma"/>
            <family val="2"/>
          </rPr>
          <t>The weighted average interest rates for the three months ended September 30, 2008 and 2007 were 5.4% and 6.8%, respectively, which included the impact of interest rate swaps on 76% and 51% of our term debt, respectively.</t>
        </r>
      </text>
    </comment>
    <comment ref="AM44" authorId="2">
      <text>
        <r>
          <rPr>
            <b/>
            <sz val="8"/>
            <color indexed="81"/>
            <rFont val="Tahoma"/>
            <family val="2"/>
          </rPr>
          <t>Jon Tower:</t>
        </r>
        <r>
          <rPr>
            <sz val="8"/>
            <color indexed="81"/>
            <rFont val="Tahoma"/>
            <family val="2"/>
          </rPr>
          <t xml:space="preserve">
2.5.09
Interest expense, net decreased by $1 million during the three months ended December 31, 2008, compared to the same period in the prior year, reflecting a decrease in rates paid on borrowings during the period. The weighted average interest rates for the three months ended December 31, 2008 and 2007 were 5.5% and 6.7%, respectively, which included the impact of interest rate swaps on 66% and 46% of our term debt, respectively. 
</t>
        </r>
      </text>
    </comment>
    <comment ref="AR44" authorId="2">
      <text>
        <r>
          <rPr>
            <b/>
            <sz val="8"/>
            <color indexed="81"/>
            <rFont val="Tahoma"/>
            <family val="2"/>
          </rPr>
          <t>Jon Tower:</t>
        </r>
        <r>
          <rPr>
            <sz val="8"/>
            <color indexed="81"/>
            <rFont val="Tahoma"/>
            <family val="2"/>
          </rPr>
          <t xml:space="preserve">
2.4.10
The weighted average interest rates for the three months ended December 31, 2009 and 2008 were 4.6% and 5.5% respectively, which included the impact of interest rate swaps on 71% and 66% of our term debt, respectively</t>
        </r>
      </text>
    </comment>
    <comment ref="AW44" authorId="2">
      <text>
        <r>
          <rPr>
            <b/>
            <sz val="8"/>
            <color indexed="81"/>
            <rFont val="Tahoma"/>
            <family val="2"/>
          </rPr>
          <t>Jon Tower:</t>
        </r>
        <r>
          <rPr>
            <sz val="8"/>
            <color indexed="81"/>
            <rFont val="Tahoma"/>
            <family val="2"/>
          </rPr>
          <t xml:space="preserve">
4.29.10
Interest expense, net decreased by $0.7 million during the three months ended March 31, 2010, compared to the same period in the prior year, reflecting a decrease in borrowings and rates paid on borrowings during the period. The weighted average interest rates for the three months ended March 31, 2010 and 2009 were 4.7% and 4.8% respectively, which included the impact of interest rate swaps on 73% and 68% of our term debt, respectively. 
</t>
        </r>
      </text>
    </comment>
    <comment ref="Z46" authorId="0">
      <text>
        <r>
          <rPr>
            <b/>
            <sz val="8"/>
            <color indexed="81"/>
            <rFont val="Tahoma"/>
            <family val="2"/>
          </rPr>
          <t>glassj:</t>
        </r>
        <r>
          <rPr>
            <sz val="8"/>
            <color indexed="81"/>
            <rFont val="Tahoma"/>
            <family val="2"/>
          </rPr>
          <t xml:space="preserve">
included:
$3 M in non-recurringint. Paid off by ipo
</t>
        </r>
      </text>
    </comment>
    <comment ref="AA46" authorId="1">
      <text>
        <r>
          <rPr>
            <b/>
            <sz val="9"/>
            <color indexed="81"/>
            <rFont val="Tahoma"/>
            <family val="2"/>
          </rPr>
          <t>towerj:</t>
        </r>
        <r>
          <rPr>
            <sz val="9"/>
            <color indexed="81"/>
            <rFont val="Tahoma"/>
            <family val="2"/>
          </rPr>
          <t xml:space="preserve">
includes $6M in interest on $350M loan paid off at IPO</t>
        </r>
      </text>
    </comment>
    <comment ref="AD46" authorId="1">
      <text>
        <r>
          <rPr>
            <b/>
            <sz val="9"/>
            <color indexed="81"/>
            <rFont val="Tahoma"/>
            <family val="2"/>
          </rPr>
          <t>towerj:</t>
        </r>
        <r>
          <rPr>
            <sz val="9"/>
            <color indexed="81"/>
            <rFont val="Tahoma"/>
            <family val="2"/>
          </rPr>
          <t xml:space="preserve">
1.25.07 retired $25M in debt using cash from ops</t>
        </r>
      </text>
    </comment>
    <comment ref="AE46" authorId="2">
      <text>
        <r>
          <rPr>
            <b/>
            <sz val="8"/>
            <color indexed="81"/>
            <rFont val="Tahoma"/>
            <family val="2"/>
          </rPr>
          <t>Jon Tower:</t>
        </r>
        <r>
          <rPr>
            <sz val="8"/>
            <color indexed="81"/>
            <rFont val="Tahoma"/>
            <family val="2"/>
          </rPr>
          <t xml:space="preserve">
8.21.08
The weighted average interest rates for the three months ended June 30, 2008 and 2007 were 4.20% and 6.85%</t>
        </r>
      </text>
    </comment>
    <comment ref="AG46" authorId="4">
      <text>
        <r>
          <rPr>
            <sz val="8"/>
            <color indexed="81"/>
            <rFont val="Tahoma"/>
            <family val="2"/>
          </rPr>
          <t xml:space="preserve">11.5.07
The weighted average interest rate for the three months ended September 30, 2007 was 6.8%, which included the benefit of interest rate swaps on 51% of our term debt.
</t>
        </r>
      </text>
    </comment>
    <comment ref="AI46" authorId="2">
      <text>
        <r>
          <rPr>
            <b/>
            <sz val="8"/>
            <color indexed="81"/>
            <rFont val="Tahoma"/>
            <family val="2"/>
          </rPr>
          <t>Jon Tower:</t>
        </r>
        <r>
          <rPr>
            <sz val="8"/>
            <color indexed="81"/>
            <rFont val="Tahoma"/>
            <family val="2"/>
          </rPr>
          <t xml:space="preserve">
5.1.08
The weighted average interest rates for the three months ended March 31, 2008 and 2007 were 6.33% and 6.88, which included the impact of interest rate swaps on 46% and 50% of our term debt, respectively.</t>
        </r>
      </text>
    </comment>
    <comment ref="AJ46" authorId="2">
      <text>
        <r>
          <rPr>
            <b/>
            <sz val="8"/>
            <color indexed="81"/>
            <rFont val="Tahoma"/>
            <family val="2"/>
          </rPr>
          <t>Jon Tower:</t>
        </r>
        <r>
          <rPr>
            <sz val="8"/>
            <color indexed="81"/>
            <rFont val="Tahoma"/>
            <family val="2"/>
          </rPr>
          <t xml:space="preserve">
8.21.08
The weighted average interest rates for the three months ended June 30, 2008 and 2007 were 4.20% and 6.85%</t>
        </r>
      </text>
    </comment>
    <comment ref="AM46" authorId="2">
      <text>
        <r>
          <rPr>
            <b/>
            <sz val="8"/>
            <color indexed="81"/>
            <rFont val="Tahoma"/>
            <family val="2"/>
          </rPr>
          <t>Jon Tower:</t>
        </r>
        <r>
          <rPr>
            <sz val="8"/>
            <color indexed="81"/>
            <rFont val="Tahoma"/>
            <family val="2"/>
          </rPr>
          <t xml:space="preserve">
2.5.09
Interest expense, net decreased by $1 million during the three months ended December 31, 2008, compared to the same period in the prior year, reflecting a decrease in rates paid on borrowings during the period. The weighted average interest rates for the three months ended December 31, 2008 and 2007 were 5.5% and 6.7%, respectively, which included the impact of interest rate swaps on 66% and 46% of our term debt, respectively. 
</t>
        </r>
      </text>
    </comment>
    <comment ref="AN46" authorId="2">
      <text>
        <r>
          <rPr>
            <b/>
            <sz val="8"/>
            <color indexed="81"/>
            <rFont val="Tahoma"/>
            <family val="2"/>
          </rPr>
          <t>Jon Tower:</t>
        </r>
        <r>
          <rPr>
            <sz val="8"/>
            <color indexed="81"/>
            <rFont val="Tahoma"/>
            <family val="2"/>
          </rPr>
          <t xml:space="preserve">
4.15.09
The negative impact of lower than forecasted company restaurant margins on earnings was more than offset by continued revenue growth, improved general and administrative (G&amp;A) costs, lower interest expense and a lower than forecasted tax expense. 
</t>
        </r>
        <r>
          <rPr>
            <b/>
            <sz val="8"/>
            <color indexed="81"/>
            <rFont val="Tahoma"/>
            <family val="2"/>
          </rPr>
          <t>Interest expense also improved over the prior year period primarily due to lower average interest rates in addition to the impact of the retirement of $40 million in debt within the quarter</t>
        </r>
        <r>
          <rPr>
            <sz val="8"/>
            <color indexed="81"/>
            <rFont val="Tahoma"/>
            <family val="2"/>
          </rPr>
          <t>.</t>
        </r>
      </text>
    </comment>
    <comment ref="AO46" authorId="2">
      <text>
        <r>
          <rPr>
            <b/>
            <sz val="8"/>
            <color indexed="81"/>
            <rFont val="Tahoma"/>
            <family val="2"/>
          </rPr>
          <t>Jon Tower:</t>
        </r>
        <r>
          <rPr>
            <sz val="8"/>
            <color indexed="81"/>
            <rFont val="Tahoma"/>
            <family val="2"/>
          </rPr>
          <t xml:space="preserve">
8.25.09
Interest expense, net decreased by $0.6 million during the three months ended June 30, 2009, compared to the same period in the prior year, reflecting a decrease in rates paid on borrowings during the period. The weighted average interest rates for the three months ended June 30, 2009 and 2008 were 4.8% and 5.4%, respectively, which included the impact of interest rate swaps on 71.8% and 79.2% of our term debt, respectively. 
</t>
        </r>
      </text>
    </comment>
    <comment ref="AX46" authorId="2">
      <text>
        <r>
          <rPr>
            <b/>
            <sz val="8"/>
            <color indexed="81"/>
            <rFont val="Tahoma"/>
            <family val="2"/>
          </rPr>
          <t>Jon Tower:</t>
        </r>
        <r>
          <rPr>
            <sz val="8"/>
            <color indexed="81"/>
            <rFont val="Tahoma"/>
            <family val="2"/>
          </rPr>
          <t xml:space="preserve">
8.24.10
Interest expense, net decreased by $0.6 million during the three months ended June 30, 2010, compared to the same period in the prior fiscal year, primarily reflecting a decrease in borrowings during the period. The weighted average interest rates for the three months ended June 30, 2010 and 2009 were 4.7% and 4.8% respectively, which included the effect of interest rate swaps on an average of 75% and 72% of our term debt, respectively. </t>
        </r>
      </text>
    </comment>
    <comment ref="CB46" authorId="3">
      <text>
        <r>
          <rPr>
            <b/>
            <sz val="9"/>
            <color indexed="81"/>
            <rFont val="Tahoma"/>
            <family val="2"/>
          </rPr>
          <t>O'Brien, Courtney (Research):</t>
        </r>
        <r>
          <rPr>
            <sz val="9"/>
            <color indexed="81"/>
            <rFont val="Tahoma"/>
            <family val="2"/>
          </rPr>
          <t xml:space="preserve">
ADJUSTED = 111m</t>
        </r>
      </text>
    </comment>
    <comment ref="CE46" authorId="3">
      <text>
        <r>
          <rPr>
            <b/>
            <sz val="9"/>
            <color indexed="81"/>
            <rFont val="Tahoma"/>
            <family val="2"/>
          </rPr>
          <t>O'Brien, Courtney (Research):</t>
        </r>
        <r>
          <rPr>
            <sz val="9"/>
            <color indexed="81"/>
            <rFont val="Tahoma"/>
            <family val="2"/>
          </rPr>
          <t xml:space="preserve">
7.27.15
average annualized interest expense savings of more than $70 million following refi in may</t>
        </r>
      </text>
    </comment>
    <comment ref="CP46" authorId="9">
      <text>
        <r>
          <rPr>
            <b/>
            <sz val="9"/>
            <color indexed="81"/>
            <rFont val="Tahoma"/>
            <family val="2"/>
          </rPr>
          <t>Carril, Christopher E (Research):</t>
        </r>
        <r>
          <rPr>
            <sz val="9"/>
            <color indexed="81"/>
            <rFont val="Tahoma"/>
            <family val="2"/>
          </rPr>
          <t xml:space="preserve">
4.24.2018
Second, Markus also highlighted at the beginning of the call that this quarter, we implemented new hedge accounting standards. The adoption
of the new standard resulted in a $3.6 million positive impact on our net interest expense for the first quarter of 2018. Since our redesignation date was in March, we only recognized a partial benefit in the first quarter, and accordingly, we expect the benefit to be larger in the remaining quarters of 2018. However, the ultimate amount is subject to foreign exchange rate movements.</t>
        </r>
      </text>
    </comment>
    <comment ref="CN47" authorId="3">
      <text>
        <r>
          <rPr>
            <b/>
            <sz val="9"/>
            <color indexed="81"/>
            <rFont val="Tahoma"/>
            <family val="2"/>
          </rPr>
          <t>O'Brien, Courtney (Research):</t>
        </r>
        <r>
          <rPr>
            <sz val="9"/>
            <color indexed="81"/>
            <rFont val="Tahoma"/>
            <family val="2"/>
          </rPr>
          <t xml:space="preserve">
103% premium to call the 2nd lien 6%
9.18.2017
On September 18, 2017, the Issuers sent a notice of redemption providing for the full redemption, on October 18, 2017, of an aggregate of $1,000 million principal amount of 6.0% Senior Notes. The redemption price will be equal to 103% of the principal amount of such notes, plus accrued and unpaid interest.</t>
        </r>
      </text>
    </comment>
    <comment ref="AA48" authorId="4">
      <text>
        <r>
          <rPr>
            <sz val="8"/>
            <color indexed="81"/>
            <rFont val="Tahoma"/>
            <family val="2"/>
          </rPr>
          <t>= $192 M adjusted</t>
        </r>
      </text>
    </comment>
    <comment ref="AA49" authorId="0">
      <text>
        <r>
          <rPr>
            <b/>
            <sz val="8"/>
            <color indexed="81"/>
            <rFont val="Tahoma"/>
            <family val="2"/>
          </rPr>
          <t>glassj:</t>
        </r>
        <r>
          <rPr>
            <sz val="8"/>
            <color indexed="81"/>
            <rFont val="Tahoma"/>
            <family val="2"/>
          </rPr>
          <t xml:space="preserve">
includes $15 M in accruals for tax uncertainties and $7 M more in tax provisions</t>
        </r>
      </text>
    </comment>
    <comment ref="AF49" authorId="4">
      <text>
        <r>
          <rPr>
            <sz val="8"/>
            <color indexed="81"/>
            <rFont val="Tahoma"/>
            <family val="2"/>
          </rPr>
          <t>8.24.07
Income tax expense was $20 million during the three months ended June 30, 2007. Our effective tax rate was 35.7% for the quarter, which included the tax benefits realized from an operational realignment of our European and Asian businesses, which became effective July 1, 2006. In addition, we received additional benefits during the three months ended June 30, 2007 from the reduction in tax accruals primarily due to the resolution of certain tax audit matters. Income tax expense for the three months ended June 30, 2006 was approximately $1 million, primarily related to tax contingencies and valuation allowances</t>
        </r>
      </text>
    </comment>
    <comment ref="AG49" authorId="4">
      <text>
        <r>
          <rPr>
            <sz val="8"/>
            <color indexed="81"/>
            <rFont val="Tahoma"/>
            <family val="2"/>
          </rPr>
          <t xml:space="preserve">11.5.07
During the three months ended September 30, 2007, we recorded a tax charge of $6 million related to law changes in various foreign jurisdictions and a tax benefit of $3 million due to the release in valuation allowance as it was determined that certain deferred tax assets would be realized.
</t>
        </r>
      </text>
    </comment>
    <comment ref="AI49" authorId="2">
      <text>
        <r>
          <rPr>
            <b/>
            <sz val="8"/>
            <color indexed="81"/>
            <rFont val="Tahoma"/>
            <family val="2"/>
          </rPr>
          <t>Jon Tower:</t>
        </r>
        <r>
          <rPr>
            <sz val="8"/>
            <color indexed="81"/>
            <rFont val="Tahoma"/>
            <family val="2"/>
          </rPr>
          <t xml:space="preserve">
5.1.08
 During the three months ended March 31, 2008, we recorded a tax charge of $2 million primarily related to the resolution of a foreign audit and law changes.
</t>
        </r>
      </text>
    </comment>
    <comment ref="AN49" authorId="2">
      <text>
        <r>
          <rPr>
            <b/>
            <sz val="8"/>
            <color indexed="81"/>
            <rFont val="Tahoma"/>
            <family val="2"/>
          </rPr>
          <t>Jon Tower:</t>
        </r>
        <r>
          <rPr>
            <sz val="8"/>
            <color indexed="81"/>
            <rFont val="Tahoma"/>
            <family val="2"/>
          </rPr>
          <t xml:space="preserve">
4.15.09
The third quarter tax rate, which is still pending, is estimated to be significantly less than prior year’s third quarter tax rate of 36.9%. This quarter’s tax rate benefited from the resolution of various tax audits and changes in reserves, positively impacting earnings per share by approximately $0.05. 
</t>
        </r>
        <r>
          <rPr>
            <b/>
            <sz val="8"/>
            <color indexed="81"/>
            <rFont val="Tahoma"/>
            <family val="2"/>
          </rPr>
          <t>Income tax expense was $24 million for the three months ended March 31, 2008, resulting in an effective tax rate of 36.9%. During the three months ended March 31, 2008, we recorded a tax charge of $2 million primarily related to the resolution of a foreign audit and law changes</t>
        </r>
      </text>
    </comment>
    <comment ref="AO49" authorId="2">
      <text>
        <r>
          <rPr>
            <b/>
            <sz val="8"/>
            <color indexed="81"/>
            <rFont val="Tahoma"/>
            <family val="2"/>
          </rPr>
          <t>Jon Tower:</t>
        </r>
        <r>
          <rPr>
            <sz val="8"/>
            <color indexed="81"/>
            <rFont val="Tahoma"/>
            <family val="2"/>
          </rPr>
          <t xml:space="preserve">
8.25.09
Income tax expense was $16.2 million for the three months ended June 30, 2009, resulting in an effective tax rate of 21.6%, primarily as a result of tax benefits realized from the dissolution of dormant foreign entities. 
</t>
        </r>
      </text>
    </comment>
    <comment ref="AA51" authorId="4">
      <text>
        <r>
          <rPr>
            <sz val="8"/>
            <color indexed="81"/>
            <rFont val="Tahoma"/>
            <family val="2"/>
          </rPr>
          <t>Adjusted = $115.2 M</t>
        </r>
      </text>
    </comment>
    <comment ref="AF51" authorId="1">
      <text>
        <r>
          <rPr>
            <b/>
            <sz val="9"/>
            <color indexed="81"/>
            <rFont val="Tahoma"/>
            <family val="2"/>
          </rPr>
          <t>towerj:</t>
        </r>
        <r>
          <rPr>
            <sz val="9"/>
            <color indexed="81"/>
            <rFont val="Tahoma"/>
            <family val="2"/>
          </rPr>
          <t xml:space="preserve">
1.30.07 20%+ NI growth</t>
        </r>
      </text>
    </comment>
    <comment ref="BK51" authorId="6">
      <text>
        <r>
          <rPr>
            <b/>
            <sz val="8"/>
            <color indexed="81"/>
            <rFont val="Tahoma"/>
            <family val="2"/>
          </rPr>
          <t>Sushama Dasari:</t>
        </r>
        <r>
          <rPr>
            <sz val="8"/>
            <color indexed="81"/>
            <rFont val="Tahoma"/>
            <family val="2"/>
          </rPr>
          <t xml:space="preserve">
Should be 117.7</t>
        </r>
      </text>
    </comment>
    <comment ref="CJ51" authorId="3">
      <text>
        <r>
          <rPr>
            <b/>
            <sz val="9"/>
            <color indexed="81"/>
            <rFont val="Tahoma"/>
            <family val="2"/>
          </rPr>
          <t>O'Brien, Courtney (Research):</t>
        </r>
        <r>
          <rPr>
            <sz val="9"/>
            <color indexed="81"/>
            <rFont val="Tahoma"/>
            <family val="2"/>
          </rPr>
          <t xml:space="preserve">
•RBI Net Income of $950 – $960 million </t>
        </r>
      </text>
    </comment>
    <comment ref="BT54" authorId="10">
      <text>
        <r>
          <rPr>
            <b/>
            <sz val="9"/>
            <color indexed="81"/>
            <rFont val="Tahoma"/>
            <family val="2"/>
          </rPr>
          <t>2014 10K:</t>
        </r>
        <r>
          <rPr>
            <sz val="9"/>
            <color indexed="81"/>
            <rFont val="Tahoma"/>
            <family val="2"/>
          </rPr>
          <t xml:space="preserve">
Since the redemption features of the Preferred Shares are not solely within our control, we classified the Preferred Shares as temporary equity.Additionally, during 2014, we adjusted the carrying value of the Preferred Shares to their redemption price, which is reflected as a $546.4 million reduction in income attributable to common shareholders and common shareholders’ equity.
Our math: $3000 x 9.9% = $297M + ($3,000 - $2,750.6M, which is allocated proceeds from preferred after accounting for warrents)) = $546.4M.</t>
        </r>
      </text>
    </comment>
    <comment ref="BV54" authorId="10">
      <text>
        <r>
          <rPr>
            <b/>
            <sz val="9"/>
            <color indexed="81"/>
            <rFont val="Tahoma"/>
            <family val="2"/>
          </rPr>
          <t>2014 10K:</t>
        </r>
        <r>
          <rPr>
            <sz val="9"/>
            <color indexed="81"/>
            <rFont val="Tahoma"/>
            <family val="2"/>
          </rPr>
          <t xml:space="preserve">
Since the redemption features of the Preferred Shares are not solely within our control, we classified the Preferred Shares as temporary equity.Additionally, during 2014, we adjusted the carrying value of the Preferred Shares to their redemption price, which is reflected as a $546.4 million reduction in income attributable to common shareholders and common shareholders’ equity.
Our math: $3000 x 9.9% = $297M + ($3,000 - $2,750.6M, which is allocated proceeds from preferred after accounting for warrents)) = $546.4M.</t>
        </r>
      </text>
    </comment>
    <comment ref="BY54" authorId="10">
      <text>
        <r>
          <rPr>
            <b/>
            <sz val="9"/>
            <color indexed="81"/>
            <rFont val="Tahoma"/>
            <family val="2"/>
          </rPr>
          <t>2014 10K:</t>
        </r>
        <r>
          <rPr>
            <sz val="9"/>
            <color indexed="81"/>
            <rFont val="Tahoma"/>
            <family val="2"/>
          </rPr>
          <t xml:space="preserve">
Since the redemption features of the Preferred Shares are not solely within our control, we classified the Preferred Shares as temporary equity.Additionally, during 2014, we adjusted the carrying value of the Preferred Shares to their redemption price, which is reflected as a $546.4 million reduction in income attributable to common shareholders and common shareholders’ equity.
Our math: $3000 x 9.9% = $297M + ($3,000 - $2,750.6M, which is allocated proceeds from preferred after accounting for warrents)) = $546.4M.</t>
        </r>
      </text>
    </comment>
    <comment ref="A57" authorId="5">
      <text>
        <r>
          <rPr>
            <b/>
            <sz val="8"/>
            <color indexed="81"/>
            <rFont val="Tahoma"/>
            <family val="2"/>
          </rPr>
          <t>John Glass:</t>
        </r>
        <r>
          <rPr>
            <sz val="8"/>
            <color indexed="81"/>
            <rFont val="Tahoma"/>
            <family val="2"/>
          </rPr>
          <t xml:space="preserve">
2.14: Adjsuted net income and EPS excludes:
* franchsie agreement amortization
* amort. Of deferred financing costs
* Loss on extingusihment on debt
* Other operting esneses
* global portfolio prjects
* Business combination agreement expenses
</t>
        </r>
      </text>
    </comment>
    <comment ref="AM58" authorId="2">
      <text>
        <r>
          <rPr>
            <b/>
            <sz val="8"/>
            <color indexed="81"/>
            <rFont val="Tahoma"/>
            <family val="2"/>
          </rPr>
          <t xml:space="preserve">Jon Tower:
 </t>
        </r>
        <r>
          <rPr>
            <sz val="8"/>
            <color indexed="81"/>
            <rFont val="Tahoma"/>
            <family val="2"/>
          </rPr>
          <t xml:space="preserve">
2.5.09
FX was a negative $0.05 impact in the Q</t>
        </r>
      </text>
    </comment>
    <comment ref="AN58" authorId="2">
      <text>
        <r>
          <rPr>
            <b/>
            <sz val="8"/>
            <color indexed="81"/>
            <rFont val="Tahoma"/>
            <family val="2"/>
          </rPr>
          <t>Jon Tower:
4.29.09
4.29.09
Currency exchange rate fluctuations negatively impacted earnings per share by $0.03, within the expected range for the quarter.</t>
        </r>
        <r>
          <rPr>
            <sz val="8"/>
            <color indexed="81"/>
            <rFont val="Tahoma"/>
            <family val="2"/>
          </rPr>
          <t xml:space="preserve">
4.15.09
As forecasted last quarter, currency exchange rate fluctuations continued to negatively impact earnings but the impact was within the expected range for the quarter.</t>
        </r>
      </text>
    </comment>
    <comment ref="AO58" authorId="2">
      <text>
        <r>
          <rPr>
            <b/>
            <sz val="8"/>
            <color indexed="81"/>
            <rFont val="Tahoma"/>
            <family val="2"/>
          </rPr>
          <t>Jon Tower:</t>
        </r>
        <r>
          <rPr>
            <sz val="8"/>
            <color indexed="81"/>
            <rFont val="Tahoma"/>
            <family val="2"/>
          </rPr>
          <t xml:space="preserve">
8.25.09
Earnings per share were $0.43, including $0.03 per share of negative impact from currency translation, compared to $0.37 in the same period last year 
</t>
        </r>
      </text>
    </comment>
    <comment ref="AP58" authorId="2">
      <text>
        <r>
          <rPr>
            <b/>
            <sz val="8"/>
            <color indexed="81"/>
            <rFont val="Tahoma"/>
            <family val="2"/>
          </rPr>
          <t>Jon Tower:</t>
        </r>
        <r>
          <rPr>
            <sz val="8"/>
            <color indexed="81"/>
            <rFont val="Tahoma"/>
            <family val="2"/>
          </rPr>
          <t xml:space="preserve">
2.5.09
which includes an estimated $0.10 per share negative impact due to movements in currency exchange rates</t>
        </r>
        <r>
          <rPr>
            <b/>
            <sz val="8"/>
            <color indexed="81"/>
            <rFont val="Tahoma"/>
            <family val="2"/>
          </rPr>
          <t xml:space="preserve">, based on December 31, 2008 exchange rates. </t>
        </r>
      </text>
    </comment>
    <comment ref="AQ58" authorId="2">
      <text>
        <r>
          <rPr>
            <b/>
            <sz val="8"/>
            <color indexed="81"/>
            <rFont val="Tahoma"/>
            <family val="2"/>
          </rPr>
          <t xml:space="preserve">Jon Tower:
10.29.09
FX was negative $0.02 impact
</t>
        </r>
        <r>
          <rPr>
            <sz val="8"/>
            <color indexed="81"/>
            <rFont val="Tahoma"/>
            <family val="2"/>
          </rPr>
          <t xml:space="preserve">
8.25.09
If currency rates approximate current levels, currency translation is expected to
have a marginally negative impact in the first quarter of negative $0.01 to $0.02
per share, with an offsetting marginally positive impact for the balance of the
fiscal year. At current rates, the currency translation impact for the full fiscal year
would be essentially neutral.</t>
        </r>
      </text>
    </comment>
    <comment ref="AR58" authorId="2">
      <text>
        <r>
          <rPr>
            <b/>
            <sz val="8"/>
            <color indexed="81"/>
            <rFont val="Tahoma"/>
            <family val="2"/>
          </rPr>
          <t>Jon Tower:</t>
        </r>
        <r>
          <rPr>
            <sz val="8"/>
            <color indexed="81"/>
            <rFont val="Tahoma"/>
            <family val="2"/>
          </rPr>
          <t xml:space="preserve">
2.4.10
$0.02 benefit</t>
        </r>
      </text>
    </comment>
    <comment ref="AU58" authorId="2">
      <text>
        <r>
          <rPr>
            <b/>
            <sz val="8"/>
            <color indexed="81"/>
            <rFont val="Tahoma"/>
            <family val="2"/>
          </rPr>
          <t xml:space="preserve">Jon Tower:
6.7.10
</t>
        </r>
        <r>
          <rPr>
            <sz val="8"/>
            <color indexed="81"/>
            <rFont val="Tahoma"/>
            <family val="2"/>
          </rPr>
          <t xml:space="preserve">Given current currency exchange rates, currency translation for the fourth
quarter of fiscal 2010 is now expected to have an unfavorable impact to revenues resulting in a $0.01 to $0.02 negative effect on diluted earnings per share (EPS). This compares to the previously provided guidance of a positive currency translation impact on diluted EPS in the fourth quarter, resulting in a slightly positive currency translation impact on full fiscal year diluted EPS. As a </t>
        </r>
        <r>
          <rPr>
            <b/>
            <sz val="8"/>
            <color indexed="81"/>
            <rFont val="Tahoma"/>
            <family val="2"/>
          </rPr>
          <t>result, for the full 2010 fiscal year, the company now expects the effect of currency translation on diluted EPS to be neutral to slightly negative</t>
        </r>
        <r>
          <rPr>
            <b/>
            <sz val="8"/>
            <color indexed="81"/>
            <rFont val="Tahoma"/>
            <family val="2"/>
          </rPr>
          <t xml:space="preserve">
4.29.10
</t>
        </r>
        <r>
          <rPr>
            <sz val="8"/>
            <color indexed="81"/>
            <rFont val="Tahoma"/>
            <family val="2"/>
          </rPr>
          <t xml:space="preserve">still expect slightly positive impact from FX
</t>
        </r>
        <r>
          <rPr>
            <b/>
            <sz val="8"/>
            <color indexed="81"/>
            <rFont val="Tahoma"/>
            <family val="2"/>
          </rPr>
          <t xml:space="preserve">10.29.09
Additionally, given current currency levels, currency translation is expected to have a slightly positive impact on earnings per share diluted for the full fiscal year.
</t>
        </r>
        <r>
          <rPr>
            <sz val="8"/>
            <color indexed="81"/>
            <rFont val="Tahoma"/>
            <family val="2"/>
          </rPr>
          <t xml:space="preserve">
8.25.09
If currency rates approximate current levels, currency translation is expected to
have a marginally negative impact in the first quarter of negative $0.01 to $0.02
per share, with an offsetting marginally positive impact for the balance of the
fiscal year. At current rates, the currency translation impact for the full fiscal year
would be essentially neutral.</t>
        </r>
      </text>
    </comment>
    <comment ref="AW58" authorId="2">
      <text>
        <r>
          <rPr>
            <b/>
            <sz val="8"/>
            <color indexed="81"/>
            <rFont val="Tahoma"/>
            <family val="2"/>
          </rPr>
          <t>Jon Tower:</t>
        </r>
        <r>
          <rPr>
            <sz val="8"/>
            <color indexed="81"/>
            <rFont val="Tahoma"/>
            <family val="2"/>
          </rPr>
          <t xml:space="preserve">
4.29.10
$0.01 benefit from FX
</t>
        </r>
      </text>
    </comment>
    <comment ref="AX58" authorId="2">
      <text>
        <r>
          <rPr>
            <b/>
            <sz val="8"/>
            <color indexed="81"/>
            <rFont val="Tahoma"/>
            <family val="2"/>
          </rPr>
          <t xml:space="preserve">Jon Tower:
6.7.10
</t>
        </r>
        <r>
          <rPr>
            <sz val="8"/>
            <color indexed="81"/>
            <rFont val="Tahoma"/>
            <family val="2"/>
          </rPr>
          <t xml:space="preserve">Given current currency exchange rates, currency translation for the fourth
quarter of fiscal 2010 is now expected to have an unfavorable impact to revenues resulting in a $0.01 to $0.02 negative effect on diluted earnings per share (EPS). This compares to the previously provided guidance of a positive currency translation impact on diluted EPS in the fourth quarter, resulting in a slightly positive currency translation impact on full fiscal year diluted EPS. As a </t>
        </r>
        <r>
          <rPr>
            <b/>
            <sz val="8"/>
            <color indexed="81"/>
            <rFont val="Tahoma"/>
            <family val="2"/>
          </rPr>
          <t>result, for the full 2010 fiscal year, the company now expects the effect of currency translation on diluted EPS to be neutral to slightly negative</t>
        </r>
        <r>
          <rPr>
            <b/>
            <sz val="8"/>
            <color indexed="81"/>
            <rFont val="Tahoma"/>
            <family val="2"/>
          </rPr>
          <t xml:space="preserve">
4.29.10
</t>
        </r>
        <r>
          <rPr>
            <sz val="8"/>
            <color indexed="81"/>
            <rFont val="Tahoma"/>
            <family val="2"/>
          </rPr>
          <t xml:space="preserve">still expect slightly positive impact from FX
</t>
        </r>
        <r>
          <rPr>
            <b/>
            <sz val="8"/>
            <color indexed="81"/>
            <rFont val="Tahoma"/>
            <family val="2"/>
          </rPr>
          <t xml:space="preserve">10.29.09
Additionally, given current currency levels, currency translation is expected to have a slightly positive impact on earnings per share diluted for the full fiscal year.
</t>
        </r>
        <r>
          <rPr>
            <sz val="8"/>
            <color indexed="81"/>
            <rFont val="Tahoma"/>
            <family val="2"/>
          </rPr>
          <t xml:space="preserve">
8.25.09
If currency rates approximate current levels, currency translation is expected to
have a marginally negative impact in the first quarter of negative $0.01 to $0.02
per share, with an offsetting marginally positive impact for the balance of the
fiscal year. At current rates, the currency translation impact for the full fiscal year
would be essentially neutral.</t>
        </r>
      </text>
    </comment>
    <comment ref="BA58" authorId="2">
      <text>
        <r>
          <rPr>
            <b/>
            <sz val="8"/>
            <color indexed="81"/>
            <rFont val="Tahoma"/>
            <family val="2"/>
          </rPr>
          <t xml:space="preserve">Jon Tower:
6.7.10
</t>
        </r>
        <r>
          <rPr>
            <sz val="8"/>
            <color indexed="81"/>
            <rFont val="Tahoma"/>
            <family val="2"/>
          </rPr>
          <t xml:space="preserve">Given current currency exchange rates, currency translation for the fourth
quarter of fiscal 2010 is now expected to have an unfavorable impact to revenues resulting in a $0.01 to $0.02 negative effect on diluted earnings per share (EPS). This compares to the previously provided guidance of a positive currency translation impact on diluted EPS in the fourth quarter, resulting in a slightly positive currency translation impact on full fiscal year diluted EPS. As a </t>
        </r>
        <r>
          <rPr>
            <b/>
            <sz val="8"/>
            <color indexed="81"/>
            <rFont val="Tahoma"/>
            <family val="2"/>
          </rPr>
          <t>result, for the full 2010 fiscal year, the company now expects the effect of currency translation on diluted EPS to be neutral to slightly negative</t>
        </r>
        <r>
          <rPr>
            <b/>
            <sz val="8"/>
            <color indexed="81"/>
            <rFont val="Tahoma"/>
            <family val="2"/>
          </rPr>
          <t xml:space="preserve">
4.29.10
</t>
        </r>
        <r>
          <rPr>
            <sz val="8"/>
            <color indexed="81"/>
            <rFont val="Tahoma"/>
            <family val="2"/>
          </rPr>
          <t xml:space="preserve">still expect slightly positive impact from FX
</t>
        </r>
        <r>
          <rPr>
            <b/>
            <sz val="8"/>
            <color indexed="81"/>
            <rFont val="Tahoma"/>
            <family val="2"/>
          </rPr>
          <t xml:space="preserve">10.29.09
Additionally, given current currency levels, currency translation is expected to have a slightly positive impact on earnings per share diluted for the full fiscal year.
</t>
        </r>
        <r>
          <rPr>
            <sz val="8"/>
            <color indexed="81"/>
            <rFont val="Tahoma"/>
            <family val="2"/>
          </rPr>
          <t xml:space="preserve">
8.25.09
If currency rates approximate current levels, currency translation is expected to
have a marginally negative impact in the first quarter of negative $0.01 to $0.02
per share, with an offsetting marginally positive impact for the balance of the
fiscal year. At current rates, the currency translation impact for the full fiscal year
would be essentially neutral.</t>
        </r>
      </text>
    </comment>
    <comment ref="BB58" authorId="2">
      <text>
        <r>
          <rPr>
            <b/>
            <sz val="8"/>
            <color indexed="81"/>
            <rFont val="Tahoma"/>
            <family val="2"/>
          </rPr>
          <t>Jon Tower:</t>
        </r>
        <r>
          <rPr>
            <sz val="8"/>
            <color indexed="81"/>
            <rFont val="Tahoma"/>
            <family val="2"/>
          </rPr>
          <t xml:space="preserve">
8.24.10
If currency rates approximate current levels, currency translation is expected to negatively impact diluted earnings per share by $0.03 to $0.04 in the first half of the fiscal year. During the second half of the fiscal year, currency translation is expected to have a minimal impact. As a result, for the full fiscal year currency translation is expected to negatively impact diluted earnings per share by $0.03 to $0.04. 
</t>
        </r>
      </text>
    </comment>
    <comment ref="BC58" authorId="2">
      <text>
        <r>
          <rPr>
            <b/>
            <sz val="8"/>
            <color indexed="81"/>
            <rFont val="Tahoma"/>
            <family val="2"/>
          </rPr>
          <t>Jon Tower:</t>
        </r>
        <r>
          <rPr>
            <sz val="8"/>
            <color indexed="81"/>
            <rFont val="Tahoma"/>
            <family val="2"/>
          </rPr>
          <t xml:space="preserve">
8.24.10
If currency rates approximate current levels, currency translation is expected to negatively impact diluted earnings per share by $0.03 to $0.04 in the first half of the fiscal year. During the second half of the fiscal year, currency translation is expected to have a minimal impact. As a result, for the full fiscal year currency translation is expected to negatively impact diluted earnings per share by $0.03 to $0.04. 
</t>
        </r>
      </text>
    </comment>
    <comment ref="BD58" authorId="2">
      <text>
        <r>
          <rPr>
            <b/>
            <sz val="8"/>
            <color indexed="81"/>
            <rFont val="Tahoma"/>
            <family val="2"/>
          </rPr>
          <t>Jon Tower:</t>
        </r>
        <r>
          <rPr>
            <sz val="8"/>
            <color indexed="81"/>
            <rFont val="Tahoma"/>
            <family val="2"/>
          </rPr>
          <t xml:space="preserve">
8.24.10
If currency rates approximate current levels, currency translation is expected to negatively impact diluted earnings per share by $0.03 to $0.04 in the first half of the fiscal year. During the second half of the fiscal year, currency translation is expected to have a minimal impact. As a result, for the full fiscal year currency translation is expected to negatively impact diluted earnings per share by $0.03 to $0.04. 
</t>
        </r>
      </text>
    </comment>
    <comment ref="BE58" authorId="2">
      <text>
        <r>
          <rPr>
            <b/>
            <sz val="8"/>
            <color indexed="81"/>
            <rFont val="Tahoma"/>
            <family val="2"/>
          </rPr>
          <t>Jon Tower:</t>
        </r>
        <r>
          <rPr>
            <sz val="8"/>
            <color indexed="81"/>
            <rFont val="Tahoma"/>
            <family val="2"/>
          </rPr>
          <t xml:space="preserve">
8.24.10
If currency rates approximate current levels, currency translation is expected to negatively impact diluted earnings per share by $0.03 to $0.04 in the first half of the fiscal year. During the second half of the fiscal year, currency translation is expected to have a minimal impact. As a result, for the full fiscal year currency translation is expected to negatively impact diluted earnings per share by $0.03 to $0.04. 
</t>
        </r>
      </text>
    </comment>
    <comment ref="BF58" authorId="2">
      <text>
        <r>
          <rPr>
            <b/>
            <sz val="8"/>
            <color indexed="81"/>
            <rFont val="Tahoma"/>
            <family val="2"/>
          </rPr>
          <t>Jon Tower:</t>
        </r>
        <r>
          <rPr>
            <sz val="8"/>
            <color indexed="81"/>
            <rFont val="Tahoma"/>
            <family val="2"/>
          </rPr>
          <t xml:space="preserve">
8.24.10
If currency rates approximate current levels, currency translation is expected to negatively impact diluted earnings per share by $0.03 to $0.04 in the first half of the fiscal year. During the second half of the fiscal year, currency translation is expected to have a minimal impact. As a result, for the full fiscal year currency translation is expected to negatively impact diluted earnings per share by $0.03 to $0.04. 
</t>
        </r>
      </text>
    </comment>
    <comment ref="AL59" authorId="2">
      <text>
        <r>
          <rPr>
            <b/>
            <sz val="8"/>
            <color indexed="81"/>
            <rFont val="Tahoma"/>
            <family val="2"/>
          </rPr>
          <t>Jon Tower:</t>
        </r>
        <r>
          <rPr>
            <sz val="8"/>
            <color indexed="81"/>
            <rFont val="Tahoma"/>
            <family val="2"/>
          </rPr>
          <t xml:space="preserve">
10.31.08
$2 million of charges associated with the acquisition of franchise restaurants from a large franchisee in the U.S. and $1 million of start up charges associated with acquired restaurants. </t>
        </r>
      </text>
    </comment>
    <comment ref="A61" authorId="5">
      <text>
        <r>
          <rPr>
            <b/>
            <sz val="8"/>
            <color indexed="81"/>
            <rFont val="Tahoma"/>
            <family val="2"/>
          </rPr>
          <t>John Glass:</t>
        </r>
        <r>
          <rPr>
            <sz val="8"/>
            <color indexed="81"/>
            <rFont val="Tahoma"/>
            <family val="2"/>
          </rPr>
          <t xml:space="preserve">
2.14: Adjsuted net income and EPS excludes:
* franchsie agreement amortization
* amort. Of deferred financing costs
* Loss on extingusihment on debt
* Other operting esneses
* global portfolio prjects
* Business combination agreement expenses</t>
        </r>
      </text>
    </comment>
    <comment ref="AI61" authorId="2">
      <text>
        <r>
          <rPr>
            <b/>
            <sz val="8"/>
            <color indexed="81"/>
            <rFont val="Tahoma"/>
            <family val="2"/>
          </rPr>
          <t>Jon Tower:</t>
        </r>
        <r>
          <rPr>
            <sz val="8"/>
            <color indexed="81"/>
            <rFont val="Tahoma"/>
            <family val="2"/>
          </rPr>
          <t xml:space="preserve">
5.1.08
Our earnings reflect 3.3 million in additional
expense primarily related to the accelerated depreciation of our previously announced restaurant reimaging initiative in the US and Canada. Earnings were also negatively impacted by an additional net expense of 3.5 million, primarily due to strategic portfolio management predominantly in our EMEA markets. These additional costs were offset by a $9 million gain resulting from refranchised restaurants in Germany, also part of our ongoing portfolio management. </t>
        </r>
        <r>
          <rPr>
            <b/>
            <sz val="8"/>
            <color indexed="81"/>
            <rFont val="Tahoma"/>
            <family val="2"/>
          </rPr>
          <t>On a combined basis, these items positively impacted earnings by $0.01.</t>
        </r>
      </text>
    </comment>
    <comment ref="AK61" authorId="4">
      <text>
        <r>
          <rPr>
            <b/>
            <sz val="8"/>
            <color indexed="81"/>
            <rFont val="Tahoma"/>
            <family val="2"/>
          </rPr>
          <t xml:space="preserve">5.1.08
$1.33-$1.35
</t>
        </r>
        <r>
          <rPr>
            <sz val="8"/>
            <color indexed="81"/>
            <rFont val="Tahoma"/>
            <family val="2"/>
          </rPr>
          <t xml:space="preserve">
1.31.08: EPS growth in excess of 15% (&gt;$1.28)</t>
        </r>
        <r>
          <rPr>
            <sz val="8"/>
            <color indexed="81"/>
            <rFont val="Tahoma"/>
            <family val="2"/>
          </rPr>
          <t xml:space="preserve">
8.24.08: 12-15% NI growth, no comment on EPS</t>
        </r>
      </text>
    </comment>
    <comment ref="AM61" authorId="2">
      <text>
        <r>
          <rPr>
            <b/>
            <sz val="8"/>
            <color indexed="81"/>
            <rFont val="Tahoma"/>
            <family val="2"/>
          </rPr>
          <t>Jon Tower:</t>
        </r>
        <r>
          <rPr>
            <sz val="8"/>
            <color indexed="81"/>
            <rFont val="Tahoma"/>
            <family val="2"/>
          </rPr>
          <t xml:space="preserve">
2.5.09
FX negatively impacted EPS by $0.05</t>
        </r>
      </text>
    </comment>
    <comment ref="AN61" authorId="2">
      <text>
        <r>
          <rPr>
            <b/>
            <sz val="8"/>
            <color indexed="81"/>
            <rFont val="Tahoma"/>
            <family val="2"/>
          </rPr>
          <t>Jon Tower:</t>
        </r>
        <r>
          <rPr>
            <sz val="8"/>
            <color indexed="81"/>
            <rFont val="Tahoma"/>
            <family val="2"/>
          </rPr>
          <t xml:space="preserve">
4.15.09
$0.33 – $0.35</t>
        </r>
      </text>
    </comment>
    <comment ref="AO61" authorId="2">
      <text>
        <r>
          <rPr>
            <b/>
            <sz val="8"/>
            <color indexed="81"/>
            <rFont val="Tahoma"/>
            <family val="2"/>
          </rPr>
          <t xml:space="preserve">Jon Tower:
8.25.09
</t>
        </r>
        <r>
          <rPr>
            <sz val="8"/>
            <color indexed="81"/>
            <rFont val="Tahoma"/>
            <family val="2"/>
          </rPr>
          <t xml:space="preserve">The company reported fourth quarter earnings per share of $0.43 including a $0.03 negative impact due to currency translation compared to $0.37 in the same quarter last year. For the full fiscal year, earnings per share and adjusted earnings per share were $1.46 and $1.48, respectively, including a $0.10 negative impact due to currency translation, compared to $1.38 in the prior year period. Net of currency translation, fiscal 2009 adjusted earnings per share grew by 14 percent. Fiscal 2009 adjusted earnings per share excludes the $3.5 million related to acquisitions as noted above. There were no adjustments to earnings per share during fiscal 2008. 
</t>
        </r>
        <r>
          <rPr>
            <sz val="8"/>
            <color indexed="81"/>
            <rFont val="Tahoma"/>
            <family val="2"/>
          </rPr>
          <t xml:space="preserve">
4.29.09
The company anticipates its fourth quarter fiscal year 2009 earnings per share to be in the range of $0.34 to $0.37</t>
        </r>
      </text>
    </comment>
    <comment ref="AP61" authorId="2">
      <text>
        <r>
          <rPr>
            <b/>
            <sz val="8"/>
            <color indexed="81"/>
            <rFont val="Tahoma"/>
            <family val="2"/>
          </rPr>
          <t xml:space="preserve">Jon Tower:
4.29.09
</t>
        </r>
        <r>
          <rPr>
            <sz val="8"/>
            <color indexed="81"/>
            <rFont val="Tahoma"/>
            <family val="2"/>
          </rPr>
          <t xml:space="preserve">As a result, the company now expects its 2009 full fiscal year adjusted earnings per share to be in the range of </t>
        </r>
        <r>
          <rPr>
            <b/>
            <sz val="8"/>
            <color indexed="81"/>
            <rFont val="Tahoma"/>
            <family val="2"/>
          </rPr>
          <t xml:space="preserve">$1.39 to $1.42; </t>
        </r>
        <r>
          <rPr>
            <sz val="8"/>
            <color indexed="81"/>
            <rFont val="Tahoma"/>
            <family val="2"/>
          </rPr>
          <t xml:space="preserve">which includes a $0.10 per share negative impact due to movements in currency exchange rates. This forecast is based on information available today and is subject to change based on the impact of the evolving Swine Flu situation on the company’s worldwide business. 
</t>
        </r>
        <r>
          <rPr>
            <b/>
            <sz val="8"/>
            <color indexed="81"/>
            <rFont val="Tahoma"/>
            <family val="2"/>
          </rPr>
          <t xml:space="preserve">
2.5.09
</t>
        </r>
        <r>
          <rPr>
            <sz val="8"/>
            <color indexed="81"/>
            <rFont val="Tahoma"/>
            <family val="2"/>
          </rPr>
          <t xml:space="preserve">$1.44-$1.49, includes $0.10 of negative FX impact, </t>
        </r>
        <r>
          <rPr>
            <b/>
            <sz val="8"/>
            <color indexed="81"/>
            <rFont val="Tahoma"/>
            <family val="2"/>
          </rPr>
          <t xml:space="preserve">based on December 31, 2008 exchange rates. </t>
        </r>
        <r>
          <rPr>
            <sz val="8"/>
            <color indexed="81"/>
            <rFont val="Tahoma"/>
            <family val="2"/>
          </rPr>
          <t xml:space="preserve">
</t>
        </r>
        <r>
          <rPr>
            <b/>
            <sz val="8"/>
            <color indexed="81"/>
            <rFont val="Tahoma"/>
            <family val="2"/>
          </rPr>
          <t xml:space="preserve">
10.31.08
</t>
        </r>
        <r>
          <rPr>
            <sz val="8"/>
            <color indexed="81"/>
            <rFont val="Tahoma"/>
            <family val="2"/>
          </rPr>
          <t xml:space="preserve">reit $1.54-$1.59--- the company uses current spot rates at quarter end to provide guidance.
</t>
        </r>
        <r>
          <rPr>
            <sz val="8"/>
            <color indexed="81"/>
            <rFont val="Tahoma"/>
            <family val="2"/>
          </rPr>
          <t xml:space="preserve">
8.21.08
$1.54-$1.59</t>
        </r>
      </text>
    </comment>
    <comment ref="AU61" authorId="2">
      <text>
        <r>
          <rPr>
            <b/>
            <sz val="8"/>
            <color indexed="81"/>
            <rFont val="Tahoma"/>
            <family val="2"/>
          </rPr>
          <t>Jon Tower:</t>
        </r>
        <r>
          <rPr>
            <sz val="8"/>
            <color indexed="81"/>
            <rFont val="Tahoma"/>
            <family val="2"/>
          </rPr>
          <t xml:space="preserve">
no EPS guidance number provided
</t>
        </r>
      </text>
    </comment>
    <comment ref="AW61" authorId="2">
      <text>
        <r>
          <rPr>
            <b/>
            <sz val="8"/>
            <color indexed="81"/>
            <rFont val="Tahoma"/>
            <family val="2"/>
          </rPr>
          <t>Jon Tower:</t>
        </r>
        <r>
          <rPr>
            <sz val="8"/>
            <color indexed="81"/>
            <rFont val="Tahoma"/>
            <family val="2"/>
          </rPr>
          <t xml:space="preserve">
3.9.10
Therefore, the company expects third-quarter fiscal 2010 U.S. and Canada total revenues, company restaurant margin and income from operations to be lower than the prior year period</t>
        </r>
      </text>
    </comment>
    <comment ref="BA61" authorId="2">
      <text>
        <r>
          <rPr>
            <b/>
            <sz val="8"/>
            <color indexed="81"/>
            <rFont val="Tahoma"/>
            <family val="2"/>
          </rPr>
          <t>Jon Tower:</t>
        </r>
        <r>
          <rPr>
            <sz val="8"/>
            <color indexed="81"/>
            <rFont val="Tahoma"/>
            <family val="2"/>
          </rPr>
          <t xml:space="preserve">
no EPS guidance number provided
</t>
        </r>
      </text>
    </comment>
    <comment ref="BF61" authorId="2">
      <text>
        <r>
          <rPr>
            <b/>
            <sz val="8"/>
            <color indexed="81"/>
            <rFont val="Tahoma"/>
            <family val="2"/>
          </rPr>
          <t>Jon Tower:</t>
        </r>
        <r>
          <rPr>
            <sz val="8"/>
            <color indexed="81"/>
            <rFont val="Tahoma"/>
            <family val="2"/>
          </rPr>
          <t xml:space="preserve">
8.24.10
NO EPS GUIDANCE ISSUED</t>
        </r>
      </text>
    </comment>
    <comment ref="CL61" authorId="3">
      <text>
        <r>
          <rPr>
            <b/>
            <sz val="9"/>
            <color indexed="81"/>
            <rFont val="Tahoma"/>
            <family val="2"/>
          </rPr>
          <t>O'Brien, Courtney (Research):</t>
        </r>
        <r>
          <rPr>
            <sz val="9"/>
            <color indexed="81"/>
            <rFont val="Tahoma"/>
            <family val="2"/>
          </rPr>
          <t xml:space="preserve">
integrates Popeye's acquisition beginning in 2Q</t>
        </r>
      </text>
    </comment>
    <comment ref="CO61" authorId="3">
      <text>
        <r>
          <rPr>
            <b/>
            <sz val="9"/>
            <color indexed="81"/>
            <rFont val="Tahoma"/>
            <family val="2"/>
          </rPr>
          <t>O'Brien, Courtney (Research):</t>
        </r>
        <r>
          <rPr>
            <sz val="9"/>
            <color indexed="81"/>
            <rFont val="Tahoma"/>
            <family val="2"/>
          </rPr>
          <t xml:space="preserve">
integrates Popeye's acquisition beginning in 2Q</t>
        </r>
      </text>
    </comment>
    <comment ref="A62" authorId="5">
      <text>
        <r>
          <rPr>
            <b/>
            <sz val="8"/>
            <color indexed="81"/>
            <rFont val="Tahoma"/>
            <family val="2"/>
          </rPr>
          <t>John Glass:</t>
        </r>
        <r>
          <rPr>
            <sz val="8"/>
            <color indexed="81"/>
            <rFont val="Tahoma"/>
            <family val="2"/>
          </rPr>
          <t xml:space="preserve">
2.14: Adjsuted net income and EPS excludes:
* franchsie agreement amortization
* amort. Of deferred financing costs
* Loss on extingusihment on debt
* Other operting esneses
* global portfolio prjects
* Business combination agreement expenses</t>
        </r>
      </text>
    </comment>
    <comment ref="A63" authorId="1">
      <text>
        <r>
          <rPr>
            <b/>
            <sz val="9"/>
            <color indexed="81"/>
            <rFont val="Tahoma"/>
            <family val="2"/>
          </rPr>
          <t>towerj:</t>
        </r>
        <r>
          <rPr>
            <sz val="9"/>
            <color indexed="81"/>
            <rFont val="Tahoma"/>
            <family val="2"/>
          </rPr>
          <t xml:space="preserve">
adjustments include impact on shares outstanding</t>
        </r>
      </text>
    </comment>
    <comment ref="W63" authorId="1">
      <text>
        <r>
          <rPr>
            <b/>
            <sz val="9"/>
            <color indexed="81"/>
            <rFont val="Tahoma"/>
            <family val="2"/>
          </rPr>
          <t>towerj:</t>
        </r>
        <r>
          <rPr>
            <sz val="9"/>
            <color indexed="81"/>
            <rFont val="Tahoma"/>
            <family val="2"/>
          </rPr>
          <t xml:space="preserve">
adjustments include impact on shares outstanding</t>
        </r>
      </text>
    </comment>
    <comment ref="X63" authorId="1">
      <text>
        <r>
          <rPr>
            <b/>
            <sz val="9"/>
            <color indexed="81"/>
            <rFont val="Tahoma"/>
            <family val="2"/>
          </rPr>
          <t>towerj:</t>
        </r>
        <r>
          <rPr>
            <sz val="9"/>
            <color indexed="81"/>
            <rFont val="Tahoma"/>
            <family val="2"/>
          </rPr>
          <t xml:space="preserve">
adjustments include impact on shares outstanding</t>
        </r>
      </text>
    </comment>
    <comment ref="Y63" authorId="1">
      <text>
        <r>
          <rPr>
            <b/>
            <sz val="9"/>
            <color indexed="81"/>
            <rFont val="Tahoma"/>
            <family val="2"/>
          </rPr>
          <t>towerj:</t>
        </r>
        <r>
          <rPr>
            <sz val="9"/>
            <color indexed="81"/>
            <rFont val="Tahoma"/>
            <family val="2"/>
          </rPr>
          <t xml:space="preserve">
adjustments include impact on shares outstanding</t>
        </r>
      </text>
    </comment>
    <comment ref="Z63" authorId="1">
      <text>
        <r>
          <rPr>
            <b/>
            <sz val="9"/>
            <color indexed="81"/>
            <rFont val="Tahoma"/>
            <family val="2"/>
          </rPr>
          <t>towerj:</t>
        </r>
        <r>
          <rPr>
            <sz val="9"/>
            <color indexed="81"/>
            <rFont val="Tahoma"/>
            <family val="2"/>
          </rPr>
          <t xml:space="preserve">
adjustments include impact on shares outstanding</t>
        </r>
      </text>
    </comment>
    <comment ref="AA63" authorId="1">
      <text>
        <r>
          <rPr>
            <b/>
            <sz val="9"/>
            <color indexed="81"/>
            <rFont val="Tahoma"/>
            <family val="2"/>
          </rPr>
          <t>towerj:</t>
        </r>
        <r>
          <rPr>
            <sz val="9"/>
            <color indexed="81"/>
            <rFont val="Tahoma"/>
            <family val="2"/>
          </rPr>
          <t xml:space="preserve">
adjustments include impact on shares outstanding</t>
        </r>
      </text>
    </comment>
    <comment ref="AL63" authorId="2">
      <text>
        <r>
          <rPr>
            <b/>
            <sz val="8"/>
            <color indexed="81"/>
            <rFont val="Tahoma"/>
            <family val="2"/>
          </rPr>
          <t>Jon Tower:</t>
        </r>
        <r>
          <rPr>
            <sz val="8"/>
            <color indexed="81"/>
            <rFont val="Tahoma"/>
            <family val="2"/>
          </rPr>
          <t xml:space="preserve">
10.31.08
BEFORE TAX - $2 million of charges associated with the acquisition of franchise restaurants from a large franchisee in the U.S. and $1 million of start up charges associated with acquired restaurants. </t>
        </r>
      </text>
    </comment>
    <comment ref="CA64" authorId="3">
      <text>
        <r>
          <rPr>
            <b/>
            <sz val="9"/>
            <color indexed="81"/>
            <rFont val="Tahoma"/>
            <family val="2"/>
          </rPr>
          <t>O'Brien, Courtney (Research):</t>
        </r>
        <r>
          <rPr>
            <sz val="9"/>
            <color indexed="81"/>
            <rFont val="Tahoma"/>
            <family val="2"/>
          </rPr>
          <t xml:space="preserve">
4.27.15
use basic shares to account for loss</t>
        </r>
      </text>
    </comment>
    <comment ref="Z66" authorId="1">
      <text>
        <r>
          <rPr>
            <b/>
            <sz val="9"/>
            <color indexed="81"/>
            <rFont val="Tahoma"/>
            <family val="2"/>
          </rPr>
          <t>towerj:</t>
        </r>
        <r>
          <rPr>
            <sz val="9"/>
            <color indexed="81"/>
            <rFont val="Tahoma"/>
            <family val="2"/>
          </rPr>
          <t xml:space="preserve">
Uses basic SO due to loss reprtoed, Diluted Shares for this Q = 124.526M</t>
        </r>
      </text>
    </comment>
    <comment ref="Z67" authorId="1">
      <text>
        <r>
          <rPr>
            <b/>
            <sz val="9"/>
            <color indexed="81"/>
            <rFont val="Tahoma"/>
            <family val="2"/>
          </rPr>
          <t>towerj:</t>
        </r>
        <r>
          <rPr>
            <sz val="9"/>
            <color indexed="81"/>
            <rFont val="Tahoma"/>
            <family val="2"/>
          </rPr>
          <t xml:space="preserve">
uses basic SO b/c company reported a net loss for the period -- otherwise, diluted SO would have been 124.526</t>
        </r>
      </text>
    </comment>
    <comment ref="AA67" authorId="0">
      <text>
        <r>
          <rPr>
            <b/>
            <sz val="8"/>
            <color indexed="81"/>
            <rFont val="Tahoma"/>
            <family val="2"/>
          </rPr>
          <t>glassj:</t>
        </r>
        <r>
          <rPr>
            <sz val="8"/>
            <color indexed="81"/>
            <rFont val="Tahoma"/>
            <family val="2"/>
          </rPr>
          <t xml:space="preserve">
as reported by the company; cannot reconcile with quarters</t>
        </r>
      </text>
    </comment>
    <comment ref="AE67" authorId="4">
      <text>
        <r>
          <rPr>
            <sz val="8"/>
            <color indexed="81"/>
            <rFont val="Tahoma"/>
            <family val="2"/>
          </rPr>
          <t>6.1.07 announced $100M repo authorization --- 
per Wagner, primarily to offset options dilution.</t>
        </r>
      </text>
    </comment>
    <comment ref="AG67" authorId="4">
      <text>
        <r>
          <rPr>
            <b/>
            <sz val="8"/>
            <color indexed="81"/>
            <rFont val="Tahoma"/>
            <family val="2"/>
          </rPr>
          <t>11.5.07
repo'd 252,000 shares during Q</t>
        </r>
        <r>
          <rPr>
            <sz val="8"/>
            <color indexed="81"/>
            <rFont val="Tahoma"/>
            <family val="2"/>
          </rPr>
          <t xml:space="preserve">
6.1.07 announced $100M repo authorization --- 
per Wagner, primarily to offset options dilution.</t>
        </r>
      </text>
    </comment>
    <comment ref="AI67" authorId="2">
      <text>
        <r>
          <rPr>
            <b/>
            <sz val="8"/>
            <color indexed="81"/>
            <rFont val="Tahoma"/>
            <family val="2"/>
          </rPr>
          <t>Jon Tower:</t>
        </r>
        <r>
          <rPr>
            <sz val="8"/>
            <color indexed="81"/>
            <rFont val="Tahoma"/>
            <family val="2"/>
          </rPr>
          <t xml:space="preserve">
5.1.08
repurchased 1M shares for $26M, leaves $68M available under existing authorization</t>
        </r>
      </text>
    </comment>
    <comment ref="AL67" authorId="2">
      <text>
        <r>
          <rPr>
            <b/>
            <sz val="8"/>
            <color indexed="81"/>
            <rFont val="Tahoma"/>
            <family val="2"/>
          </rPr>
          <t>Jon Tower:</t>
        </r>
        <r>
          <rPr>
            <sz val="8"/>
            <color indexed="81"/>
            <rFont val="Tahoma"/>
            <family val="2"/>
          </rPr>
          <t xml:space="preserve">
10.31.08
repo'd $18M worth of shares in Q</t>
        </r>
      </text>
    </comment>
    <comment ref="AM67" authorId="2">
      <text>
        <r>
          <rPr>
            <b/>
            <sz val="8"/>
            <color indexed="81"/>
            <rFont val="Tahoma"/>
            <family val="2"/>
          </rPr>
          <t>Jon Tower:</t>
        </r>
        <r>
          <rPr>
            <sz val="8"/>
            <color indexed="81"/>
            <rFont val="Tahoma"/>
            <family val="2"/>
          </rPr>
          <t xml:space="preserve">
2.5.09
repurchased 100k shares for $2M in F2Q.</t>
        </r>
      </text>
    </comment>
    <comment ref="A69" authorId="4">
      <text>
        <r>
          <rPr>
            <sz val="8"/>
            <color indexed="81"/>
            <rFont val="Tahoma"/>
            <family val="2"/>
          </rPr>
          <t>6.24.08 - convo w/Wagner - largest exposure as a % of COGS: beef (20%), beverage (13-14%), chicken (11%), produce, dairy, baked goods
9.5.07 conf call w/co -- beef is 20% of Food costs</t>
        </r>
      </text>
    </comment>
    <comment ref="AK69" authorId="6">
      <text>
        <r>
          <rPr>
            <b/>
            <sz val="8"/>
            <color indexed="81"/>
            <rFont val="Tahoma"/>
            <family val="2"/>
          </rPr>
          <t>Sushama Dasari:</t>
        </r>
        <r>
          <rPr>
            <sz val="8"/>
            <color indexed="81"/>
            <rFont val="Tahoma"/>
            <family val="2"/>
          </rPr>
          <t xml:space="preserve">
</t>
        </r>
        <r>
          <rPr>
            <b/>
            <sz val="8"/>
            <color indexed="81"/>
            <rFont val="Tahoma"/>
            <family val="2"/>
          </rPr>
          <t xml:space="preserve">5.1.08
</t>
        </r>
        <r>
          <rPr>
            <sz val="8"/>
            <color indexed="81"/>
            <rFont val="Tahoma"/>
            <family val="2"/>
          </rPr>
          <t>Over the next six months we expect beef prices to increase about 3% and chicken prices to remain approximately stable, benefiting from our fixed cost price contracts. Bun prices are expected to
increase approximately 10% as worldwide wheat inventories remain tight. Over the next six months we continue to see commodity pressures impacting our cost of goods by 5 to 7%, or 150 to 210 basis points. Some of these cost pressures will be minimized as we anticipate taking price in our company restaurants in May.</t>
        </r>
      </text>
    </comment>
    <comment ref="AL69" authorId="2">
      <text>
        <r>
          <rPr>
            <b/>
            <sz val="8"/>
            <color indexed="81"/>
            <rFont val="Tahoma"/>
            <family val="2"/>
          </rPr>
          <t>Jon Tower:</t>
        </r>
        <r>
          <rPr>
            <sz val="8"/>
            <color indexed="81"/>
            <rFont val="Tahoma"/>
            <family val="2"/>
          </rPr>
          <t xml:space="preserve">
10.31.08
On a net basis, food
inflation impacted margins by 160 basis points, substantially offset by strategic pricing.</t>
        </r>
      </text>
    </comment>
    <comment ref="AP69" authorId="2">
      <text>
        <r>
          <rPr>
            <b/>
            <sz val="8"/>
            <color indexed="81"/>
            <rFont val="Tahoma"/>
            <family val="2"/>
          </rPr>
          <t>Jon Tower:</t>
        </r>
        <r>
          <rPr>
            <sz val="8"/>
            <color indexed="81"/>
            <rFont val="Tahoma"/>
            <family val="2"/>
          </rPr>
          <t xml:space="preserve">
10.31.08
Commodity costs have increased significantly across all segments, with the cost of many of our core commodities reaching historical highs during the first quarter of fiscal 2009. However, since the end of July 2008, we have seen a significant reduction in the price of several of these commodities.
--------
</t>
        </r>
        <r>
          <rPr>
            <b/>
            <sz val="8"/>
            <color indexed="81"/>
            <rFont val="Tahoma"/>
            <family val="2"/>
          </rPr>
          <t>We will anticipate an overall commodity cost increase of 5 to 7% year-over-year for fiscal ‘09.</t>
        </r>
        <r>
          <rPr>
            <sz val="8"/>
            <color indexed="81"/>
            <rFont val="Tahoma"/>
            <family val="2"/>
          </rPr>
          <t xml:space="preserve">
Commodity pressures will have a bigger impact on our company restaurant margin in the first half
as we expect moderation and even improvement beginning in the second half of our fiscal year as
compared to the same period last year.</t>
        </r>
      </text>
    </comment>
    <comment ref="AQ69" authorId="2">
      <text>
        <r>
          <rPr>
            <b/>
            <sz val="8"/>
            <color indexed="81"/>
            <rFont val="Tahoma"/>
            <family val="2"/>
          </rPr>
          <t>Jon Tower:</t>
        </r>
        <r>
          <rPr>
            <sz val="8"/>
            <color indexed="81"/>
            <rFont val="Tahoma"/>
            <family val="2"/>
          </rPr>
          <t xml:space="preserve">
10.29.09
weighted avg food index was down 5% in the Q</t>
        </r>
      </text>
    </comment>
    <comment ref="AR69" authorId="2">
      <text>
        <r>
          <rPr>
            <b/>
            <sz val="8"/>
            <color indexed="81"/>
            <rFont val="Tahoma"/>
            <family val="2"/>
          </rPr>
          <t>Jon Tower:</t>
        </r>
        <r>
          <rPr>
            <sz val="8"/>
            <color indexed="81"/>
            <rFont val="Tahoma"/>
            <family val="2"/>
          </rPr>
          <t xml:space="preserve">
2.4.10
The increase for the three months was driven by a $2.1 million net favorable impact from the movement of currency exchange rates, primarily in EMEA/APAC, and the benefits realized from decreases in food, paper and product costs and other operating costs in the U.S. and Canada. These factors were partially offset by the unfavorable impact of sales deleverage on our fixed costs due to negative Company comparable sales across all segments, increased other operating costs in EMEA/APAC, increased food, paper and product costs in EMEA/APAC and Latin America and additional depreciation expense in the U.S. and Canada. In Canada, Mexico and the U.K., our suppliers purchase goods in currencies other than the local currency in which they operate and pass on all, or a portion of the currency exchange impact to us. We refer to this as the negative currency exchange impact of cross border purchases, which contributed to the increase in our food, paper and product costs in Mexico and the U.K. </t>
        </r>
      </text>
    </comment>
    <comment ref="AS69" authorId="2">
      <text>
        <r>
          <rPr>
            <b/>
            <sz val="8"/>
            <color indexed="81"/>
            <rFont val="Tahoma"/>
            <family val="2"/>
          </rPr>
          <t>Jon Tower:</t>
        </r>
        <r>
          <rPr>
            <sz val="8"/>
            <color indexed="81"/>
            <rFont val="Tahoma"/>
            <family val="2"/>
          </rPr>
          <t xml:space="preserve">
2.4.10
The increase for the three months was driven by a $2.1 million net favorable impact from the movement of currency exchange rates, primarily in EMEA/APAC, and the benefits realized from decreases in food, paper and product costs and other operating costs in the U.S. and Canada. These factors were partially offset by the unfavorable impact of sales deleverage on our fixed costs due to negative Company comparable sales across all segments, increased other operating costs in EMEA/APAC, increased food, paper and product costs in EMEA/APAC and Latin America and additional depreciation expense in the U.S. and Canada. In Canada, Mexico and the U.K., our suppliers purchase goods in currencies other than the local currency in which they operate and pass on all, or a portion of the currency exchange impact to us. We refer to this as the negative currency exchange impact of cross border purchases, which contributed to the increase in our food, paper and product costs in Mexico and the U.K. </t>
        </r>
      </text>
    </comment>
    <comment ref="AT69" authorId="2">
      <text>
        <r>
          <rPr>
            <b/>
            <sz val="8"/>
            <color indexed="81"/>
            <rFont val="Tahoma"/>
            <family val="2"/>
          </rPr>
          <t>Jon Tower:</t>
        </r>
        <r>
          <rPr>
            <sz val="8"/>
            <color indexed="81"/>
            <rFont val="Tahoma"/>
            <family val="2"/>
          </rPr>
          <t xml:space="preserve">
2.4.10
The increase for the three months was driven by a $2.1 million net favorable impact from the movement of currency exchange rates, primarily in EMEA/APAC, and the benefits realized from decreases in food, paper and product costs and other operating costs in the U.S. and Canada. These factors were partially offset by the unfavorable impact of sales deleverage on our fixed costs due to negative Company comparable sales across all segments, increased other operating costs in EMEA/APAC, increased food, paper and product costs in EMEA/APAC and Latin America and additional depreciation expense in the U.S. and Canada. In Canada, Mexico and the U.K., our suppliers purchase goods in currencies other than the local currency in which they operate and pass on all, or a portion of the currency exchange impact to us. We refer to this as the negative currency exchange impact of cross border purchases, which contributed to the increase in our food, paper and product costs in Mexico and the U.K. </t>
        </r>
      </text>
    </comment>
    <comment ref="AW69" authorId="2">
      <text>
        <r>
          <rPr>
            <b/>
            <sz val="8"/>
            <color indexed="81"/>
            <rFont val="Tahoma"/>
            <family val="2"/>
          </rPr>
          <t>Jon Tower:</t>
        </r>
        <r>
          <rPr>
            <sz val="8"/>
            <color indexed="81"/>
            <rFont val="Tahoma"/>
            <family val="2"/>
          </rPr>
          <t xml:space="preserve">
4.29.10
The decrease was primarily driven by increased occupancy and other operating costs largely due to the deleveraging effect of negative comparable sales on fixed costs. However, worldwide CRM benefited from lower food, paper and product costs across all reporting segments.</t>
        </r>
      </text>
    </comment>
    <comment ref="AX69" authorId="2">
      <text>
        <r>
          <rPr>
            <b/>
            <sz val="8"/>
            <color indexed="81"/>
            <rFont val="Tahoma"/>
            <family val="2"/>
          </rPr>
          <t>Jon Tower:</t>
        </r>
        <r>
          <rPr>
            <sz val="8"/>
            <color indexed="81"/>
            <rFont val="Tahoma"/>
            <family val="2"/>
          </rPr>
          <t xml:space="preserve">
8.24.10
During the fourth quarter, CRM was negatively impacted by higher food, paper and product costs primarily driven by increased beef prices in the U.S. partially offset by lower commodity costs in EMEA, and by the deleveraging effect of negative comparable sales on fixed costs. Additionally the quarter-over-quarter increase in depreciation expense largely related to the company's U.S. and Canada reimaging program and worldwide deployment of new POS systems negatively impacted margins by over 80 basis points. Lower labor costs driven by variable labor control enhancements in the U.S. partially offset the decrease.</t>
        </r>
      </text>
    </comment>
    <comment ref="BJ69" authorId="6">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Ended 4Q'12 roughly flat to positive 0.1% in commodity inflation</t>
        </r>
      </text>
    </comment>
    <comment ref="BK69" authorId="6">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For overall 2012, commodity inflation was around 0.5%</t>
        </r>
      </text>
    </comment>
    <comment ref="BL69" authorId="6">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Expect flat commodities in 1Q13, increasing to peak in 3Q and +3% inflation overall for FY13 (higher beef and lower paper and oils)</t>
        </r>
      </text>
    </comment>
    <comment ref="BP69" authorId="6">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Expect flat commodities in 1Q13, increasing to peak in 3Q and +3% inflation overall for FY13 (higher beef and lower paper and oils)</t>
        </r>
      </text>
    </comment>
    <comment ref="AL70" authorId="2">
      <text>
        <r>
          <rPr>
            <b/>
            <sz val="8"/>
            <color indexed="81"/>
            <rFont val="Tahoma"/>
            <family val="2"/>
          </rPr>
          <t>Jon Tower:</t>
        </r>
        <r>
          <rPr>
            <sz val="8"/>
            <color indexed="81"/>
            <rFont val="Tahoma"/>
            <family val="2"/>
          </rPr>
          <t xml:space="preserve">
10.31.08
Additionally, regulatory and contractual increases in hourly wages in our German company owned restaurants added another 80 basis points of pressure.</t>
        </r>
      </text>
    </comment>
    <comment ref="BB70" authorId="2">
      <text>
        <r>
          <rPr>
            <b/>
            <sz val="8"/>
            <color indexed="81"/>
            <rFont val="Tahoma"/>
            <family val="2"/>
          </rPr>
          <t>Jon Tower:</t>
        </r>
        <r>
          <rPr>
            <sz val="8"/>
            <color indexed="81"/>
            <rFont val="Tahoma"/>
            <family val="2"/>
          </rPr>
          <t xml:space="preserve">
8.24.10
Labor costs, as a percentage of Company restaurant revenues, are expected to remain unchanged from the level attained in fiscal 2010 of 30.9 percent</t>
        </r>
      </text>
    </comment>
    <comment ref="BC70" authorId="2">
      <text>
        <r>
          <rPr>
            <b/>
            <sz val="8"/>
            <color indexed="81"/>
            <rFont val="Tahoma"/>
            <family val="2"/>
          </rPr>
          <t>Jon Tower:</t>
        </r>
        <r>
          <rPr>
            <sz val="8"/>
            <color indexed="81"/>
            <rFont val="Tahoma"/>
            <family val="2"/>
          </rPr>
          <t xml:space="preserve">
8.24.10
Labor costs, as a percentage of Company restaurant revenues, are expected to remain unchanged from the level attained in fiscal 2010 of 30.9 percent</t>
        </r>
      </text>
    </comment>
    <comment ref="BD70" authorId="2">
      <text>
        <r>
          <rPr>
            <b/>
            <sz val="8"/>
            <color indexed="81"/>
            <rFont val="Tahoma"/>
            <family val="2"/>
          </rPr>
          <t>Jon Tower:</t>
        </r>
        <r>
          <rPr>
            <sz val="8"/>
            <color indexed="81"/>
            <rFont val="Tahoma"/>
            <family val="2"/>
          </rPr>
          <t xml:space="preserve">
8.24.10
Labor costs, as a percentage of Company restaurant revenues, are expected to remain unchanged from the level attained in fiscal 2010 of 30.9 percent</t>
        </r>
      </text>
    </comment>
    <comment ref="BE70" authorId="2">
      <text>
        <r>
          <rPr>
            <b/>
            <sz val="8"/>
            <color indexed="81"/>
            <rFont val="Tahoma"/>
            <family val="2"/>
          </rPr>
          <t>Jon Tower:</t>
        </r>
        <r>
          <rPr>
            <sz val="8"/>
            <color indexed="81"/>
            <rFont val="Tahoma"/>
            <family val="2"/>
          </rPr>
          <t xml:space="preserve">
8.24.10
Labor costs, as a percentage of Company restaurant revenues, are expected to remain unchanged from the level attained in fiscal 2010 of 30.9 percent</t>
        </r>
      </text>
    </comment>
    <comment ref="BF70" authorId="2">
      <text>
        <r>
          <rPr>
            <b/>
            <sz val="8"/>
            <color indexed="81"/>
            <rFont val="Tahoma"/>
            <family val="2"/>
          </rPr>
          <t>Jon Tower:</t>
        </r>
        <r>
          <rPr>
            <sz val="8"/>
            <color indexed="81"/>
            <rFont val="Tahoma"/>
            <family val="2"/>
          </rPr>
          <t xml:space="preserve">
8.24.10
Labor costs, as a percentage of Company restaurant revenues, are expected to remain unchanged from the level attained in fiscal 2010 of 30.9 percent</t>
        </r>
      </text>
    </comment>
    <comment ref="AX71" authorId="2">
      <text>
        <r>
          <rPr>
            <b/>
            <sz val="8"/>
            <color indexed="81"/>
            <rFont val="Tahoma"/>
            <family val="2"/>
          </rPr>
          <t>Jon Tower:</t>
        </r>
        <r>
          <rPr>
            <sz val="8"/>
            <color indexed="81"/>
            <rFont val="Tahoma"/>
            <family val="2"/>
          </rPr>
          <t xml:space="preserve">
8.24.10
During the fourth quarter, CRM was negatively impacted by higher food, paper and product costs primarily driven by increased beef prices in the U.S. partially offset by lower commodity costs in EMEA, and by the deleveraging effect of negative comparable sales on fixed costs. Additionally the quarter-over-quarter increase in depreciation expense largely related to the company's U.S. and Canada reimaging program and worldwide deployment of new POS systems negatively impacted margins by over 80 basis points. Lower labor costs driven by variable labor control enhancements in the U.S. partially offset the decrease.</t>
        </r>
      </text>
    </comment>
    <comment ref="BF71" authorId="2">
      <text>
        <r>
          <rPr>
            <b/>
            <sz val="8"/>
            <color indexed="81"/>
            <rFont val="Tahoma"/>
            <family val="2"/>
          </rPr>
          <t>Jon Tower:</t>
        </r>
        <r>
          <rPr>
            <sz val="8"/>
            <color indexed="81"/>
            <rFont val="Tahoma"/>
            <family val="2"/>
          </rPr>
          <t xml:space="preserve">
8.24.10
Depreciation and amortization is expected to increase 3 to 7 percent as capital expenditures have increased in support of the Company's development plans and reimaging initiative</t>
        </r>
      </text>
    </comment>
    <comment ref="A72" authorId="2">
      <text>
        <r>
          <rPr>
            <b/>
            <sz val="8"/>
            <color indexed="81"/>
            <rFont val="Tahoma"/>
            <family val="2"/>
          </rPr>
          <t>Jon Tower:</t>
        </r>
        <r>
          <rPr>
            <sz val="8"/>
            <color indexed="81"/>
            <rFont val="Tahoma"/>
            <family val="2"/>
          </rPr>
          <t xml:space="preserve">
Consists of all costs necessary to manage and operate Company restaurants including (a) food, paper and product costs, (b) payroll and employee  benefits, and (c) occupancy and other  operating expenses, which include rent, utility costs, insurance, repair and  maintenance costs, depreciation for  restaurant property and other operating  costs.</t>
        </r>
      </text>
    </comment>
    <comment ref="Z72" authorId="0">
      <text>
        <r>
          <rPr>
            <b/>
            <sz val="8"/>
            <color indexed="81"/>
            <rFont val="Tahoma"/>
            <family val="2"/>
          </rPr>
          <t>glassj:</t>
        </r>
        <r>
          <rPr>
            <sz val="8"/>
            <color indexed="81"/>
            <rFont val="Tahoma"/>
            <family val="2"/>
          </rPr>
          <t xml:space="preserve">
neg. impacted by higher utility cost, offset by better food commodities</t>
        </r>
      </text>
    </comment>
    <comment ref="AC72" authorId="0">
      <text>
        <r>
          <rPr>
            <b/>
            <sz val="8"/>
            <color indexed="81"/>
            <rFont val="Tahoma"/>
            <family val="2"/>
          </rPr>
          <t>glassj:</t>
        </r>
        <r>
          <rPr>
            <sz val="8"/>
            <color indexed="81"/>
            <rFont val="Tahoma"/>
            <family val="2"/>
          </rPr>
          <t xml:space="preserve">
lower food; better comps</t>
        </r>
      </text>
    </comment>
    <comment ref="AD72" authorId="1">
      <text>
        <r>
          <rPr>
            <b/>
            <sz val="8"/>
            <color indexed="81"/>
            <rFont val="Tahoma"/>
            <family val="2"/>
          </rPr>
          <t>towerj:</t>
        </r>
        <r>
          <rPr>
            <sz val="8"/>
            <color indexed="81"/>
            <rFont val="Tahoma"/>
            <family val="2"/>
          </rPr>
          <t xml:space="preserve">
4.27.07
primarily from lower food, paper and product costs, and sales of higher margin products partially offset by higher occupancy and other operating expenses</t>
        </r>
      </text>
    </comment>
    <comment ref="AE72" authorId="4">
      <text>
        <r>
          <rPr>
            <sz val="8"/>
            <color indexed="81"/>
            <rFont val="Tahoma"/>
            <family val="2"/>
          </rPr>
          <t>8.24.07
As a percentage of revenues, Company restaurant margin decreased by 0.2 percentage points for the three months ended June 30, 2007, primarily from an increase in food and packaging costs associated with promotions for Spider-Man(TM) 3 and late night hours in the U.S and Canada and an increase in labor costs in EMEA. Higher food, paper and product costs in the U.S. and Canada during the quarter were offset by a reduction in labor and occupancy and other operating costs.</t>
        </r>
      </text>
    </comment>
    <comment ref="AG72" authorId="4">
      <text>
        <r>
          <rPr>
            <sz val="8"/>
            <color indexed="81"/>
            <rFont val="Tahoma"/>
            <family val="2"/>
          </rPr>
          <t>11.5.07
an increase in food costs in the U.S. and Canada and an increase in labor costs in EMEA offset by a decrease in occupancy and other costs in the U.S. and Canada and EMEA.</t>
        </r>
      </text>
    </comment>
    <comment ref="AH72" authorId="2">
      <text>
        <r>
          <rPr>
            <b/>
            <sz val="8"/>
            <color indexed="81"/>
            <rFont val="Tahoma"/>
            <family val="2"/>
          </rPr>
          <t>Jon Tower:</t>
        </r>
        <r>
          <rPr>
            <sz val="8"/>
            <color indexed="81"/>
            <rFont val="Tahoma"/>
            <family val="2"/>
          </rPr>
          <t xml:space="preserve">
2.5.09
the company reported CRMs of 15.9%</t>
        </r>
      </text>
    </comment>
    <comment ref="AI72" authorId="2">
      <text>
        <r>
          <rPr>
            <b/>
            <sz val="8"/>
            <color indexed="81"/>
            <rFont val="Tahoma"/>
            <family val="2"/>
          </rPr>
          <t>Jon Tower:
company reported global CRMs of 13.2%</t>
        </r>
        <r>
          <rPr>
            <sz val="8"/>
            <color indexed="81"/>
            <rFont val="Tahoma"/>
            <family val="2"/>
          </rPr>
          <t xml:space="preserve">
5.1.08
The decrease was primarily driven by higher commodity costs and expenses associated with the company's previously announced reimaging program. The company's reimaging program, encompassing rebuilds and remodels of existing restaurants, is forecasted to increase traffic and sales by enhancing the overall guest experience.
 reflecting the acceleration of depreciation related to the remodeling and rebuilding of Company restaurants in the U.S. and Canada and an increase in food and labor costs in the U.S. and Canada, partially offset by a decrease in occupancy and other costs in EMEA/APAC and positive Company comparable sales</t>
        </r>
      </text>
    </comment>
    <comment ref="AJ72" authorId="2">
      <text>
        <r>
          <rPr>
            <b/>
            <sz val="8"/>
            <color indexed="81"/>
            <rFont val="Tahoma"/>
            <family val="2"/>
          </rPr>
          <t>Jon Tower:</t>
        </r>
        <r>
          <rPr>
            <sz val="8"/>
            <color indexed="81"/>
            <rFont val="Tahoma"/>
            <family val="2"/>
          </rPr>
          <t xml:space="preserve">
8.21.08
</t>
        </r>
        <r>
          <rPr>
            <b/>
            <sz val="8"/>
            <color indexed="81"/>
            <rFont val="Tahoma"/>
            <family val="2"/>
          </rPr>
          <t xml:space="preserve">adjusted restaurant margins would have 14.0% (lost revenues were $2M, accelerated D&amp;A and construction costs were $2M)
</t>
        </r>
        <r>
          <rPr>
            <sz val="8"/>
            <color indexed="81"/>
            <rFont val="Tahoma"/>
            <family val="2"/>
          </rPr>
          <t xml:space="preserve">This decrease primarily reflects the impact of significant increases in commodity costs as well as costs associated with the reimaging of Company restaurants in the U.S. and Canada, including accelerated depreciation expense and lost net revenues due to temporary restaurant closures. This decrease was partially offset by worldwide Company comparable sales growth, the net addition of 57 Company restaurants during the fiscal year and the favorable impact from the movement of foreign currency exchange rates of $3 million, primarily in EMEA. As a percentage of revenues, Company restaurant margin decreased by 1.7 percentage points for the three month period, reflecting increased commodity costs and costs associated with our restaurant reimaging program in the U.S. and Canada. This decrease was partially offset by the benefits realized from the closure and refranchising of under-performing Company restaurants in the U.K. (including benefits from the write-off of unfavorable leases) and positive worldwide Company comparable sales.
</t>
        </r>
      </text>
    </comment>
    <comment ref="AK72" authorId="1">
      <text>
        <r>
          <rPr>
            <b/>
            <sz val="8"/>
            <color indexed="81"/>
            <rFont val="Tahoma"/>
            <family val="2"/>
          </rPr>
          <t xml:space="preserve">towerj:
8.21.08
adjusted restaurant margins would have 14.8% (lost revenues were $1M, accelerated D&amp;A and construction costs were $7M)
</t>
        </r>
        <r>
          <rPr>
            <sz val="8"/>
            <color indexed="81"/>
            <rFont val="Tahoma"/>
            <family val="2"/>
          </rPr>
          <t>As a percentage of revenues, Company restaurant margin decreased by 0.7 percentage points for the fiscal year ended June 30, 2008, reflecting increased commodity costs in the U.S. &amp; Canada and EMEA/APAC as well as the unfavorable impact of accelerated depreciation as noted above in the three month discussion. This decrease was partially offset by benefits realized from the new flexible batch broilers (including lower depreciation expense) in the U.S. and Canada and from the closure and refranchising of under-performing restaurants in the U.K. (including benefits from the write-off of unfavorable leases).</t>
        </r>
        <r>
          <rPr>
            <b/>
            <sz val="8"/>
            <color indexed="81"/>
            <rFont val="Tahoma"/>
            <family val="2"/>
          </rPr>
          <t xml:space="preserve">
1.31.08 - see 5-7% commodity inflation next 6-12 months, (30% food in COS, so negative 1.5%-2% impact from pressure)
beef/pork flattened out
Chicken moderated
grains/oils - pressure
8.24.07:
</t>
        </r>
        <r>
          <rPr>
            <sz val="8"/>
            <color indexed="81"/>
            <rFont val="Tahoma"/>
            <family val="2"/>
          </rPr>
          <t xml:space="preserve">flattish CRM in '08, thoguh commodities likely to be up 5-10% on a fully yr basis, tapering off as yr progresses.
3.9.07 
Target for all stores 16.5% CRMs - does not include 100-200 bps improvement in US due to broilers &amp; labor scheduling
</t>
        </r>
      </text>
    </comment>
    <comment ref="AL72" authorId="2">
      <text>
        <r>
          <rPr>
            <b/>
            <sz val="8"/>
            <color indexed="81"/>
            <rFont val="Tahoma"/>
            <family val="2"/>
          </rPr>
          <t>Jon Tower:</t>
        </r>
        <r>
          <rPr>
            <sz val="8"/>
            <color indexed="81"/>
            <rFont val="Tahoma"/>
            <family val="2"/>
          </rPr>
          <t xml:space="preserve">
10.31.08
This decrease primarily reflects the impact of significant increases in commodity costs, accelerated depreciation expense and lost net revenues due to temporary restaurant closures associated with the Company’s reimaging program in the U.S. and Canada, a $1 million decrease from the refranchising of 11 high margin Company restaurants in EMEA in the prior year, as well as increased labor costs in EMEA. 
---</t>
        </r>
        <r>
          <rPr>
            <b/>
            <sz val="8"/>
            <color indexed="81"/>
            <rFont val="Tahoma"/>
            <family val="2"/>
          </rPr>
          <t xml:space="preserve">
conf call:</t>
        </r>
        <r>
          <rPr>
            <sz val="8"/>
            <color indexed="81"/>
            <rFont val="Tahoma"/>
            <family val="2"/>
          </rPr>
          <t xml:space="preserve">
Our U.S. and Canada reimaging program also impacted margins by 30 basis points. To date, we have now completed the reimaging of 46 restaurants in our U.S. and Canada company portfolio.
------------
</t>
        </r>
      </text>
    </comment>
    <comment ref="AM72" authorId="2">
      <text>
        <r>
          <rPr>
            <b/>
            <sz val="8"/>
            <color indexed="81"/>
            <rFont val="Tahoma"/>
            <family val="2"/>
          </rPr>
          <t>Jon Tower:</t>
        </r>
        <r>
          <rPr>
            <sz val="8"/>
            <color indexed="81"/>
            <rFont val="Tahoma"/>
            <family val="2"/>
          </rPr>
          <t xml:space="preserve">
2.5.09
the company reported CRMs of 13.6%</t>
        </r>
      </text>
    </comment>
    <comment ref="AN72" authorId="2">
      <text>
        <r>
          <rPr>
            <b/>
            <sz val="8"/>
            <color indexed="81"/>
            <rFont val="Tahoma"/>
            <family val="2"/>
          </rPr>
          <t>Jon Tower:</t>
        </r>
        <r>
          <rPr>
            <sz val="8"/>
            <color indexed="81"/>
            <rFont val="Tahoma"/>
            <family val="2"/>
          </rPr>
          <t xml:space="preserve">
4.15.09 --- 11.7%
The negative impact of lower than forecasted company restaurant margins on earnings was more than offset by continued revenue growth, improved general and administrative (G&amp;A) costs, lower interest expense and a lower than forecasted tax expense. 
Worldwide company restaurant margins were lower than expected primarily due to an unanticipated traffic slowdown in the month of March across most company-owned restaurant markets. Germany, the company’s second largest company-owned restaurant market, and Mexico, the only company-owned market in Latin America, experienced the largest declines.</t>
        </r>
      </text>
    </comment>
    <comment ref="AO72" authorId="2">
      <text>
        <r>
          <rPr>
            <b/>
            <sz val="8"/>
            <color indexed="81"/>
            <rFont val="Tahoma"/>
            <family val="2"/>
          </rPr>
          <t xml:space="preserve">Jon Tower:
8.25.09
</t>
        </r>
        <r>
          <rPr>
            <sz val="8"/>
            <color indexed="81"/>
            <rFont val="Tahoma"/>
            <family val="2"/>
          </rPr>
          <t xml:space="preserve">Total Company restaurant margin decreased by $4.5 million to $57.5 million for the three months ended June 30, 2009, compared to the same period in the prior year. This decrease reflects the impact of significant traffic declines in all regions for the three month period and increased labor costs in the U.S. and Canada and EMEA. In addition, the movement of currency exchange rates had a $2.9 million unfavorable impact on Company restaurant margin for the three month period, primarily in EMEA. This decrease was partially offset by $3.5 million (for the three month period) of incremental margin dollars derived from the net acquisition of 42 Company restaurants in the U.S. and Canada during the fiscal year ended June 30, 2009 and lower occupancy costs in the U.S. and Canada. 
</t>
        </r>
        <r>
          <rPr>
            <sz val="8"/>
            <color indexed="81"/>
            <rFont val="Tahoma"/>
            <family val="2"/>
          </rPr>
          <t xml:space="preserve">
4.15.09
April to-date, the company has experienced improvements in comparable sales, primarily due to the calendar shift of the Easter holiday and the initiatives implemented in Germany and Mexico. Additionally, worldwide company restaurant margins continue to benefit from improving commodity costs.</t>
        </r>
      </text>
    </comment>
    <comment ref="AP72" authorId="1">
      <text>
        <r>
          <rPr>
            <b/>
            <sz val="8"/>
            <color indexed="81"/>
            <rFont val="Arial"/>
            <family val="2"/>
          </rPr>
          <t xml:space="preserve">towerj:
4.29.09
12.5%-13%
2.26.09
WW CRMs 13.5%-14.0%
10.31.08
expect ~14% level for full year - Wells on conf call
</t>
        </r>
        <r>
          <rPr>
            <sz val="8"/>
            <color indexed="81"/>
            <rFont val="Arial"/>
            <family val="2"/>
          </rPr>
          <t>Commodity costs have increased significantly across all segments, with the cost of many of our core commodities reaching historical highs during the first quarter of fiscal 2009. However, since the end of July 2008, we have seen a significant reduction in the price of several of these commodities.
3.9.07 
Target for all stores 16.5% CRMs - does not include 100-200 bps improvement in US due to broilers &amp; labor scheduling</t>
        </r>
      </text>
    </comment>
    <comment ref="AQ72" authorId="2">
      <text>
        <r>
          <rPr>
            <b/>
            <sz val="8"/>
            <color indexed="81"/>
            <rFont val="Tahoma"/>
            <family val="2"/>
          </rPr>
          <t>Jon Tower:
10.29.09</t>
        </r>
        <r>
          <rPr>
            <sz val="8"/>
            <color indexed="81"/>
            <rFont val="Tahoma"/>
            <family val="2"/>
          </rPr>
          <t xml:space="preserve">
In addition worldwide company restaurant margins improved 40 basis points compared to the same period last year led by the U.S. and Canada segment, which posted a robust 180 basis point increase in margins. This increase was primarily driven by substantial decreases in commodity costs</t>
        </r>
        <r>
          <rPr>
            <b/>
            <sz val="8"/>
            <color indexed="81"/>
            <rFont val="Tahoma"/>
            <family val="2"/>
          </rPr>
          <t xml:space="preserve">
</t>
        </r>
        <r>
          <rPr>
            <sz val="8"/>
            <color indexed="81"/>
            <rFont val="Tahoma"/>
            <family val="2"/>
          </rPr>
          <t xml:space="preserve">
8.25.09
The company’s U.S. commodity basket is expected to improve in the first half of
the fiscal year as compared to the prior year and be up slightly year-over-year in
the second half. For the full fiscal year, the U.S. commodity basket is forecasted
to be flat to slightly better as compared to the previous year.
􀂾 Labor costs, as a percentage of company restaurant revenues, are expected to
remain unchanged from fiscal 2009. Benefits from the lapping of the statutory and
contractual German wage and benefits increases in fiscal 2009, will be offset by
statutory wage increases in the U.S., Canada and Spain in fiscal 2010.
Depreciation expense is expected to increase 10 to 15 percent as capital
expenditures have increased in support of the company’s development plans and
reimaging initiative
</t>
        </r>
      </text>
    </comment>
    <comment ref="AR72" authorId="2">
      <text>
        <r>
          <rPr>
            <b/>
            <sz val="8"/>
            <color indexed="81"/>
            <rFont val="Tahoma"/>
            <family val="2"/>
          </rPr>
          <t>Jon Tower:
2.4.10</t>
        </r>
        <r>
          <rPr>
            <sz val="8"/>
            <color indexed="81"/>
            <rFont val="Tahoma"/>
            <family val="2"/>
          </rPr>
          <t xml:space="preserve">
As expected, our gross profit percentage, which is calculated by expressing gross profits as a percentage of revenues, was unchanged because the negative impact of the $1 ¼ Double Cheeseburger promotion in the U.S.</t>
        </r>
        <r>
          <rPr>
            <b/>
            <sz val="8"/>
            <color indexed="81"/>
            <rFont val="Tahoma"/>
            <family val="2"/>
          </rPr>
          <t xml:space="preserve"> was fully offset by strategic pricing initiatives on other menu items in the U.S. and EMEA.</t>
        </r>
        <r>
          <rPr>
            <b/>
            <sz val="8"/>
            <color indexed="81"/>
            <rFont val="Tahoma"/>
            <family val="2"/>
          </rPr>
          <t xml:space="preserve">
</t>
        </r>
        <r>
          <rPr>
            <sz val="8"/>
            <color indexed="81"/>
            <rFont val="Tahoma"/>
            <family val="2"/>
          </rPr>
          <t xml:space="preserve">
double cheeseburger to impact US margins by 100-150 bp
8.25.09
The company’s U.S. commodity basket is expected to improve in the first half of
the fiscal year as compared to the prior year and be up slightly year-over-year in
the second half. For the full fiscal year, the U.S. commodity basket is forecasted
to be flat to slightly better as compared to the previous year.
􀂾 Labor costs, as a percentage of company restaurant revenues, are expected to
remain unchanged from fiscal 2009. Benefits from the lapping of the statutory and
contractual German wage and benefits increases in fiscal 2009, will be offset by
statutory wage increases in the U.S., Canada and Spain in fiscal 2010.
Depreciation expense is expected to increase 10 to 15 percent as capital
expenditures have increased in support of the company’s development plans and
reimaging initiative
</t>
        </r>
      </text>
    </comment>
    <comment ref="AU72" authorId="2">
      <text>
        <r>
          <rPr>
            <b/>
            <sz val="8"/>
            <color indexed="81"/>
            <rFont val="Tahoma"/>
            <family val="2"/>
          </rPr>
          <t>Jon Tower:</t>
        </r>
        <r>
          <rPr>
            <sz val="8"/>
            <color indexed="81"/>
            <rFont val="Tahoma"/>
            <family val="2"/>
          </rPr>
          <t xml:space="preserve">
8.25.09
The company’s U.S. commodity basket is expected to improve in the first half of
the fiscal year as compared to the prior year and be up slightly year-over-year in
the second half. For the full fiscal year, the U.S. commodity basket is forecasted
to be flat to slightly better as compared to the previous year.
􀂾 Labor costs, as a percentage of company restaurant revenues, are expected to
remain unchanged from fiscal 2009. Benefits from the lapping of the statutory and
contractual German wage and benefits increases in fiscal 2009, will be offset by
statutory wage increases in the U.S., Canada and Spain in fiscal 2010.
Depreciation expense is expected to increase 10 to 15 percent as capital
expenditures have increased in support of the company’s development plans and
reimaging initiative
</t>
        </r>
      </text>
    </comment>
    <comment ref="AW72" authorId="2">
      <text>
        <r>
          <rPr>
            <b/>
            <sz val="8"/>
            <color indexed="81"/>
            <rFont val="Tahoma"/>
            <family val="2"/>
          </rPr>
          <t>Jon Tower:
4.29.10</t>
        </r>
        <r>
          <rPr>
            <sz val="8"/>
            <color indexed="81"/>
            <rFont val="Tahoma"/>
            <family val="2"/>
          </rPr>
          <t xml:space="preserve">
 The decrease for the three months was primarily related to the unfavorable impact of sales deleverage on our fixed costs as a result of negative Company comparable sales across all segments, and increases in occupancy and other operating costs. The increases in occupancy and other operating costs included additional depreciation expense from an increase in depreciable assets in the U.S. and Canada related to our POS system rollout and restaurant reimaging program and increased repair and maintenance costs in EMEA, primarily in Germany. These factors were partially offset by a $1.1 million net favorable impact from the movement of currency exchange rates and efficiencies gained from improvements in variable labor controls in the U.S.</t>
        </r>
        <r>
          <rPr>
            <b/>
            <sz val="8"/>
            <color indexed="81"/>
            <rFont val="Tahoma"/>
            <family val="2"/>
          </rPr>
          <t xml:space="preserve">
2.4.10
expect restaurant margins to contract Q/Q, but improve Y/Y
</t>
        </r>
        <r>
          <rPr>
            <sz val="8"/>
            <color indexed="81"/>
            <rFont val="Tahoma"/>
            <family val="2"/>
          </rPr>
          <t xml:space="preserve">
8.25.09
The company’s U.S. commodity basket is expected to improve in the first half of
the fiscal year as compared to the prior year and be up slightly year-over-year in
the second half. For the full fiscal year, the U.S. commodity basket is forecasted
to be flat to slightly better as compared to the previous year.
􀂾 Labor costs, as a percentage of company restaurant revenues, are expected to
remain unchanged from fiscal 2009. Benefits from the lapping of the statutory and
contractual German wage and benefits increases in fiscal 2009, will be offset by
statutory wage increases in the U.S., Canada and Spain in fiscal 2010.
Depreciation expense is expected to increase 10 to 15 percent as capital
expenditures have increased in support of the company’s development plans and
reimaging initiative
</t>
        </r>
      </text>
    </comment>
    <comment ref="AX72" authorId="2">
      <text>
        <r>
          <rPr>
            <b/>
            <sz val="8"/>
            <color indexed="81"/>
            <rFont val="Tahoma"/>
            <family val="2"/>
          </rPr>
          <t>Jon Tower:</t>
        </r>
        <r>
          <rPr>
            <sz val="8"/>
            <color indexed="81"/>
            <rFont val="Tahoma"/>
            <family val="2"/>
          </rPr>
          <t xml:space="preserve">
8.25.09
The company’s U.S. commodity basket is expected to improve in the first half of
the fiscal year as compared to the prior year and be up slightly year-over-year in
the second half. For the full fiscal year, the U.S. commodity basket is forecasted
to be flat to slightly better as compared to the previous year.
􀂾 Labor costs, as a percentage of company restaurant revenues, are expected to
remain unchanged from fiscal 2009. Benefits from the lapping of the statutory and
contractual German wage and benefits increases in fiscal 2009, will be offset by
statutory wage increases in the U.S., Canada and Spain in fiscal 2010.
Depreciation expense is expected to increase 10 to 15 percent as capital
expenditures have increased in support of the company’s development plans and
reimaging initiative
</t>
        </r>
      </text>
    </comment>
    <comment ref="BA72" authorId="2">
      <text>
        <r>
          <rPr>
            <b/>
            <sz val="8"/>
            <color indexed="81"/>
            <rFont val="Tahoma"/>
            <family val="2"/>
          </rPr>
          <t>Jon Tower:</t>
        </r>
        <r>
          <rPr>
            <sz val="8"/>
            <color indexed="81"/>
            <rFont val="Tahoma"/>
            <family val="2"/>
          </rPr>
          <t xml:space="preserve">
8.25.09
The company’s U.S. commodity basket is expected to improve in the first half of
the fiscal year as compared to the prior year and be up slightly year-over-year in
the second half. For the full fiscal year, the U.S. commodity basket is forecasted
to be flat to slightly better as compared to the previous year.
􀂾 Labor costs, as a percentage of company restaurant revenues, are expected to
remain unchanged from fiscal 2009. Benefits from the lapping of the statutory and
contractual German wage and benefits increases in fiscal 2009, will be offset by
statutory wage increases in the U.S., Canada and Spain in fiscal 2010.
Depreciation expense is expected to increase 10 to 15 percent as capital
expenditures have increased in support of the company’s development plans and
reimaging initiative
</t>
        </r>
      </text>
    </comment>
    <comment ref="AM75" authorId="2">
      <text>
        <r>
          <rPr>
            <b/>
            <sz val="8"/>
            <color indexed="81"/>
            <rFont val="Tahoma"/>
            <family val="2"/>
          </rPr>
          <t>Jon Tower:</t>
        </r>
        <r>
          <rPr>
            <sz val="8"/>
            <color indexed="81"/>
            <rFont val="Tahoma"/>
            <family val="2"/>
          </rPr>
          <t xml:space="preserve">
2.5.09
 Although sales and promotion expenses increased by $1 million due to increased sales, this increase was offset by a $1 million favorable impact from the movement of currency exchange rates. 
</t>
        </r>
      </text>
    </comment>
    <comment ref="AE76" authorId="4">
      <text>
        <r>
          <rPr>
            <sz val="8"/>
            <color indexed="81"/>
            <rFont val="Tahoma"/>
            <family val="2"/>
          </rPr>
          <t>F4Q G&amp;A seasonally higher due to Global Convention (start of F4Q), &amp; accrual adjustments for bonuses.</t>
        </r>
      </text>
    </comment>
    <comment ref="AJ76" authorId="4">
      <text>
        <r>
          <rPr>
            <b/>
            <sz val="8"/>
            <color indexed="81"/>
            <rFont val="Tahoma"/>
            <family val="2"/>
          </rPr>
          <t>8.21.08</t>
        </r>
        <r>
          <rPr>
            <sz val="8"/>
            <color indexed="81"/>
            <rFont val="Tahoma"/>
            <family val="2"/>
          </rPr>
          <t xml:space="preserve">
The Y/Y decrease is primarily attributable to a $2 million decrease in corporate salary and fringe benefits and $7 million in miscellaneous cost savings and other items, including decreased insurance costs and an increase in the amount of capitalized indirect labor costs on capital projects. These decreases were partially offset by a $3 million increase in general corporate travel and meeting costs, a $2 million increase in stock based compensation expense and $5 million of unfavorable impact from the movement of foreign currency exchange rates.
F4Q G&amp;A seasonally higher due to Global Convention (start of F4Q), &amp; accrual adjustments for bonuses.</t>
        </r>
      </text>
    </comment>
    <comment ref="AL76" authorId="2">
      <text>
        <r>
          <rPr>
            <b/>
            <sz val="8"/>
            <color indexed="81"/>
            <rFont val="Tahoma"/>
            <family val="2"/>
          </rPr>
          <t>Jon Tower:</t>
        </r>
        <r>
          <rPr>
            <sz val="8"/>
            <color indexed="81"/>
            <rFont val="Tahoma"/>
            <family val="2"/>
          </rPr>
          <t xml:space="preserve">
10.31.08
The increase is primarily attributable to a $1 million increase in corporate salary and other fringe benefits, $1 million in stock-based compensation, $2 million of incremental amortization expense related to re-acquired franchise rights from restaurant acquisitions, and $3 million of unfavorable impact from currency exchange rates. These increases were partially offset by $2 million in net miscellaneous cost savings.</t>
        </r>
      </text>
    </comment>
    <comment ref="AM76" authorId="2">
      <text>
        <r>
          <rPr>
            <b/>
            <sz val="8"/>
            <color indexed="81"/>
            <rFont val="Tahoma"/>
            <family val="2"/>
          </rPr>
          <t>Jon Tower:</t>
        </r>
        <r>
          <rPr>
            <sz val="8"/>
            <color indexed="81"/>
            <rFont val="Tahoma"/>
            <family val="2"/>
          </rPr>
          <t xml:space="preserve">
2.5.09
General and administrative expenses decreased by $5 million, or 5%, to $96 million for the three months ended December 31, 2008, compared to the same period in the prior year. The decrease is primarily attributable to a $4 million favorable impact from the movement of currency exchange rates, a $4 million decrease in deferred compensation expense, which was fully offset by net losses on investments held in a rabbi trust recorded in other operating (income) expense, net, and $3 million in cost savings. These factors were partially offset by $2 million in bad debt expense, $2 million in bad debt recoveries during the same period in the prior year and $2 million in stock-based compensation. 
</t>
        </r>
      </text>
    </comment>
    <comment ref="AN76" authorId="2">
      <text>
        <r>
          <rPr>
            <b/>
            <sz val="8"/>
            <color indexed="81"/>
            <rFont val="Tahoma"/>
            <family val="2"/>
          </rPr>
          <t>Jon Tower:
4.15.09
will see a big bonus reversal this Q due to March decline</t>
        </r>
        <r>
          <rPr>
            <sz val="8"/>
            <color indexed="81"/>
            <rFont val="Tahoma"/>
            <family val="2"/>
          </rPr>
          <t xml:space="preserve">
4.15.09
The negative impact of lower than forecasted company restaurant margins on earnings was more than offset by continued revenue growth, improved general and administrative (G&amp;A) costs, lower interest expense and a lower than forecasted tax expense. 
The company’s G&amp;A costs improved significantly, as compared to the same period last year, as the result of on-going cost containment initiatives and the favorable impact from the movement of currency exchange rates on expenses</t>
        </r>
      </text>
    </comment>
    <comment ref="AO76" authorId="4">
      <text>
        <r>
          <rPr>
            <sz val="8"/>
            <color indexed="81"/>
            <rFont val="Tahoma"/>
            <family val="2"/>
          </rPr>
          <t>F4Q G&amp;A seasonally higher due to Global Convention (start of F4Q), &amp; accrual adjustments for bonuses.</t>
        </r>
      </text>
    </comment>
    <comment ref="AQ76" authorId="2">
      <text>
        <r>
          <rPr>
            <b/>
            <sz val="8"/>
            <color indexed="81"/>
            <rFont val="Tahoma"/>
            <family val="2"/>
          </rPr>
          <t>Jon Tower:</t>
        </r>
        <r>
          <rPr>
            <sz val="8"/>
            <color indexed="81"/>
            <rFont val="Tahoma"/>
            <family val="2"/>
          </rPr>
          <t xml:space="preserve">
10.29.09
General and administrative (G&amp;A) expenses increased by $8.5 million or 8 percent to $109 million compared to the same period last year. The increase includes $4.7 million in deferred compensation expense which was largely offset by $4.6 million of net gains on investments held in a Rabbi Trust recorded within the Other Operating Income and Expense category. The company also incurred additional professional services fees of $3.7 million and $1.6 million related to the previously announced step-up in share-based compensation. These factors were partially offset by a $2.7 million favorable currency translation impact</t>
        </r>
      </text>
    </comment>
    <comment ref="AX76" authorId="4">
      <text>
        <r>
          <rPr>
            <sz val="8"/>
            <color indexed="81"/>
            <rFont val="Tahoma"/>
            <family val="2"/>
          </rPr>
          <t>F4Q G&amp;A seasonally higher due to Global Convention (start of F4Q), &amp; accrual adjustments for bonuses.</t>
        </r>
      </text>
    </comment>
    <comment ref="BK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Pro forma all-franchised business in 2012 would still have ~$213M management G&amp;A</t>
        </r>
      </text>
    </comment>
    <comment ref="BP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U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Z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E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J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O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T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Y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D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I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N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S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X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EC76"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Y77" authorId="0">
      <text>
        <r>
          <rPr>
            <b/>
            <sz val="8"/>
            <color indexed="81"/>
            <rFont val="Tahoma"/>
            <family val="2"/>
          </rPr>
          <t>glassj:</t>
        </r>
        <r>
          <rPr>
            <sz val="8"/>
            <color indexed="81"/>
            <rFont val="Tahoma"/>
            <family val="2"/>
          </rPr>
          <t xml:space="preserve">
inlcudes $34 M 'make whole" payment and $2 M for global reorg
</t>
        </r>
      </text>
    </comment>
    <comment ref="AI77" authorId="2">
      <text>
        <r>
          <rPr>
            <b/>
            <sz val="8"/>
            <color indexed="81"/>
            <rFont val="Tahoma"/>
            <family val="2"/>
          </rPr>
          <t>Jon Tower:</t>
        </r>
        <r>
          <rPr>
            <sz val="8"/>
            <color indexed="81"/>
            <rFont val="Tahoma"/>
            <family val="2"/>
          </rPr>
          <t xml:space="preserve">
5.1.08
The increase in selling expenses for the three months is primarily attributable to additional sales promotions and advertising expenses generated by higher Company restaurant revenues, as well as a reduction in the amount of bad debt recoveries as compared to the prior year</t>
        </r>
      </text>
    </comment>
    <comment ref="Y82" authorId="1">
      <text>
        <r>
          <rPr>
            <b/>
            <sz val="8"/>
            <color indexed="81"/>
            <rFont val="Tahoma"/>
            <family val="2"/>
          </rPr>
          <t>towerj:</t>
        </r>
        <r>
          <rPr>
            <sz val="8"/>
            <color indexed="81"/>
            <rFont val="Tahoma"/>
            <family val="2"/>
          </rPr>
          <t xml:space="preserve">
4.27.07
6 million, primarily related to tax contingencies and valuation allowances.</t>
        </r>
        <r>
          <rPr>
            <sz val="9"/>
            <color indexed="81"/>
            <rFont val="Tahoma"/>
            <family val="2"/>
          </rPr>
          <t xml:space="preserve">
</t>
        </r>
      </text>
    </comment>
    <comment ref="AD82" authorId="1">
      <text>
        <r>
          <rPr>
            <b/>
            <sz val="8"/>
            <color indexed="81"/>
            <rFont val="Tahoma"/>
            <family val="2"/>
          </rPr>
          <t xml:space="preserve">towerj:
4.27.07
</t>
        </r>
        <r>
          <rPr>
            <sz val="8"/>
            <color indexed="81"/>
            <rFont val="Tahoma"/>
            <family val="2"/>
          </rPr>
          <t xml:space="preserve">Our effective tax rate decreased to 24.4% for the quarter primarily as a result of tax benefits realized from an operational realignment of our European and Asian businesses, which became effective July 1, 2006. In addition, we received additional benefits during the three months ended March 31, 2007 from the reduction in tax accruals
</t>
        </r>
        <r>
          <rPr>
            <b/>
            <sz val="8"/>
            <color indexed="81"/>
            <rFont val="Tahoma"/>
            <family val="2"/>
          </rPr>
          <t>1.30.07</t>
        </r>
        <r>
          <rPr>
            <sz val="8"/>
            <color indexed="81"/>
            <rFont val="Tahoma"/>
            <family val="2"/>
          </rPr>
          <t xml:space="preserve">
Going forward, based on what we know today, our 37 to 38% guidance range still appears to be a reasonable
effective tax rate for the third and fourth quarters.</t>
        </r>
      </text>
    </comment>
    <comment ref="AE82" authorId="1">
      <text>
        <r>
          <rPr>
            <b/>
            <sz val="8"/>
            <color indexed="81"/>
            <rFont val="Arial"/>
            <family val="2"/>
          </rPr>
          <t>towerj:
8.21.08
Income tax expense for the three months ended June 30, 2007 was approximately $20 million, primarily related to tax contingencies and valuation allowances.
4.27.07
36%</t>
        </r>
        <r>
          <rPr>
            <sz val="8"/>
            <color indexed="81"/>
            <rFont val="Arial"/>
            <family val="2"/>
          </rPr>
          <t xml:space="preserve">
1.30.07
Going forward, based on what we know today, our 37 to 38% guidance range still appears to be a reasonable
effective tax rate for the third and fourth quarters.</t>
        </r>
      </text>
    </comment>
    <comment ref="AF82" authorId="1">
      <text>
        <r>
          <rPr>
            <b/>
            <sz val="9"/>
            <color indexed="81"/>
            <rFont val="Tahoma"/>
            <family val="2"/>
          </rPr>
          <t>towerj:
8.24.08
"normalized" rate was 37%</t>
        </r>
        <r>
          <rPr>
            <sz val="9"/>
            <color indexed="81"/>
            <rFont val="Tahoma"/>
            <family val="2"/>
          </rPr>
          <t xml:space="preserve">
8.1.06
Our effective tax rate will be in the 37% to 38% range.</t>
        </r>
      </text>
    </comment>
    <comment ref="AG82" authorId="4">
      <text>
        <r>
          <rPr>
            <sz val="8"/>
            <color indexed="81"/>
            <rFont val="Tahoma"/>
            <family val="2"/>
          </rPr>
          <t xml:space="preserve">11.5.07
During the three months ended September 30, 2007, we recorded a tax charge of $6 million related to law changes in various foreign jurisdictions and a tax benefit of $3 million due to the release in valuation allowance as it was determined that certain deferred tax assets would be realized.
</t>
        </r>
      </text>
    </comment>
    <comment ref="AI82" authorId="2">
      <text>
        <r>
          <rPr>
            <b/>
            <sz val="8"/>
            <color indexed="81"/>
            <rFont val="Tahoma"/>
            <family val="2"/>
          </rPr>
          <t>Jon Tower:</t>
        </r>
        <r>
          <rPr>
            <sz val="8"/>
            <color indexed="81"/>
            <rFont val="Tahoma"/>
            <family val="2"/>
          </rPr>
          <t xml:space="preserve">
5.1.08
 During the three months ended March 31, 2008, we recorded a tax charge of $2 million primarily related to the resolution of a foreign audit and law changes.
</t>
        </r>
      </text>
    </comment>
    <comment ref="AJ82" authorId="2">
      <text>
        <r>
          <rPr>
            <b/>
            <sz val="8"/>
            <color indexed="81"/>
            <rFont val="Tahoma"/>
            <family val="2"/>
          </rPr>
          <t>Jon Tower:</t>
        </r>
        <r>
          <rPr>
            <sz val="8"/>
            <color indexed="81"/>
            <rFont val="Tahoma"/>
            <family val="2"/>
          </rPr>
          <t xml:space="preserve">
8.21.08
Our effective tax rate was 26% for the quarter primarily as a result of tax benefits realized from closure of Federal, State and Foreign audits and dissolution of a foreign partnership.</t>
        </r>
      </text>
    </comment>
    <comment ref="AK82" authorId="1">
      <text>
        <r>
          <rPr>
            <b/>
            <sz val="8"/>
            <color indexed="81"/>
            <rFont val="Tahoma"/>
            <family val="2"/>
          </rPr>
          <t xml:space="preserve">towerj:
1.31.08
expect 37.5% for full year
</t>
        </r>
        <r>
          <rPr>
            <sz val="8"/>
            <color indexed="81"/>
            <rFont val="Tahoma"/>
            <family val="2"/>
          </rPr>
          <t>8.24.07
36-37%
3.9.07 Tax rate will decline 100 bps/year due to shift of brand name to INTL market</t>
        </r>
      </text>
    </comment>
    <comment ref="AL82" authorId="2">
      <text>
        <r>
          <rPr>
            <b/>
            <sz val="8"/>
            <color indexed="81"/>
            <rFont val="Tahoma"/>
            <family val="2"/>
          </rPr>
          <t>Jon Tower:</t>
        </r>
        <r>
          <rPr>
            <sz val="8"/>
            <color indexed="81"/>
            <rFont val="Tahoma"/>
            <family val="2"/>
          </rPr>
          <t xml:space="preserve">
10.31.08
, resulting in an effective tax rate of 34.2% primarily due to currency fluctuations and the current mix of income from multiple tax jurisdictions.</t>
        </r>
      </text>
    </comment>
    <comment ref="AM82" authorId="2">
      <text>
        <r>
          <rPr>
            <b/>
            <sz val="8"/>
            <color indexed="81"/>
            <rFont val="Tahoma"/>
            <family val="2"/>
          </rPr>
          <t>Jon Tower:</t>
        </r>
        <r>
          <rPr>
            <sz val="8"/>
            <color indexed="81"/>
            <rFont val="Tahoma"/>
            <family val="2"/>
          </rPr>
          <t xml:space="preserve">
2.5.09
Income tax expense was $27 million for the three months ended December 31, 2008, resulting in an effective tax rate of 38.0%, primarily due to currency fluctuations and the current mix of income from multiple tax jurisdictions.</t>
        </r>
      </text>
    </comment>
    <comment ref="AN82" authorId="2">
      <text>
        <r>
          <rPr>
            <b/>
            <sz val="8"/>
            <color indexed="81"/>
            <rFont val="Tahoma"/>
            <family val="2"/>
          </rPr>
          <t>Jon Tower:</t>
        </r>
        <r>
          <rPr>
            <sz val="8"/>
            <color indexed="81"/>
            <rFont val="Tahoma"/>
            <family val="2"/>
          </rPr>
          <t xml:space="preserve">
4.29.09
The third quarter tax rate of 25.4% was significantly less than the prior year’s third quarter tax rate of 36.9%. As a result, earnings per share were positively impacted by $0.05. This quarter’s tax rate benefited from the resolution of tax audits. 
</t>
        </r>
        <r>
          <rPr>
            <b/>
            <sz val="8"/>
            <color indexed="81"/>
            <rFont val="Tahoma"/>
            <family val="2"/>
          </rPr>
          <t>Income tax expense was $24 million for the three months ended March 31, 2008, resulting in an effective tax rate of 36.9%. During the three months ended March 31, 2008, we recorded a tax charge of $2 million primarily related to the resolution of a foreign audit and law changes</t>
        </r>
      </text>
    </comment>
    <comment ref="AO82" authorId="2">
      <text>
        <r>
          <rPr>
            <b/>
            <sz val="8"/>
            <color indexed="81"/>
            <rFont val="Tahoma"/>
            <family val="2"/>
          </rPr>
          <t>Jon Tower:</t>
        </r>
        <r>
          <rPr>
            <sz val="8"/>
            <color indexed="81"/>
            <rFont val="Tahoma"/>
            <family val="2"/>
          </rPr>
          <t xml:space="preserve">
8.25.09
The fourth quarter tax rate was 21.6 percent compared to 26.7 percent in the prior year period. This quarter’s tax rate benefited from the dissolution of dormant foreign entities positively impacting earnings per share by $0.07.</t>
        </r>
      </text>
    </comment>
    <comment ref="AP82" authorId="1">
      <text>
        <r>
          <rPr>
            <b/>
            <sz val="8"/>
            <color indexed="81"/>
            <rFont val="Arial"/>
            <family val="2"/>
          </rPr>
          <t xml:space="preserve">towerj:
4.29.09
reit 36.5%
10.31.08
reit 36.5%
</t>
        </r>
        <r>
          <rPr>
            <sz val="8"/>
            <color indexed="81"/>
            <rFont val="Arial"/>
            <family val="2"/>
          </rPr>
          <t xml:space="preserve">
8.21.08  = 36.5%
3.9.07 Tax rate will decline 100 bps/year due to shift of brand name to INTL market</t>
        </r>
      </text>
    </comment>
    <comment ref="AR82" authorId="2">
      <text>
        <r>
          <rPr>
            <b/>
            <sz val="8"/>
            <color indexed="81"/>
            <rFont val="Tahoma"/>
            <family val="2"/>
          </rPr>
          <t>Jon Tower:</t>
        </r>
        <r>
          <rPr>
            <sz val="8"/>
            <color indexed="81"/>
            <rFont val="Tahoma"/>
            <family val="2"/>
          </rPr>
          <t xml:space="preserve">
2.4.10 lower tax rate due
primarily as a result of the current mix of income from multiple tax jurisdictions and currency fluctuations.</t>
        </r>
      </text>
    </comment>
    <comment ref="AU82" authorId="1">
      <text>
        <r>
          <rPr>
            <b/>
            <sz val="8"/>
            <color indexed="81"/>
            <rFont val="Arial"/>
            <family val="2"/>
          </rPr>
          <t xml:space="preserve">towerj:
2.4.10
 normalized effective tax rate in fiscal 2010 is now forecasted to be 35%, 100 basis points lower than previously guided, largely driven by the Company's current income mix. 
10.29.09
still expect 36%
8.25.09
</t>
        </r>
        <r>
          <rPr>
            <sz val="8"/>
            <color indexed="81"/>
            <rFont val="Arial"/>
            <family val="2"/>
          </rPr>
          <t>Our normalized effective tax rate in fiscal 2010 is estimated to be 36.0%,
primarily dependent upon movements in currency. Full year fiscal 2009 effective tax rate of 29.7% benefited primarily from the resolution of federal and state audits and tax benefits realized from the dissolution of dormant foreign entities, which positively benefited earnings per share by $0.12.
3.9.07 Tax rate will decline 100 bps/year due to shift of brand name to INTL market</t>
        </r>
      </text>
    </comment>
    <comment ref="AW82" authorId="2">
      <text>
        <r>
          <rPr>
            <b/>
            <sz val="8"/>
            <color indexed="81"/>
            <rFont val="Tahoma"/>
            <family val="2"/>
          </rPr>
          <t>Jon Tower:</t>
        </r>
        <r>
          <rPr>
            <sz val="8"/>
            <color indexed="81"/>
            <rFont val="Tahoma"/>
            <family val="2"/>
          </rPr>
          <t xml:space="preserve">
4.29.10
Income tax expense was $26.0 million for the three months ended March 31, 2010, resulting in an effective tax rate of 38.8%, primarily as a result of the current mix of income from multiple tax jurisdictions and currency fluctuations. Income tax expense was $15.9 million for the three months ended March 31, 2009, resulting in an effective tax rate of 25.2%, primarily due to the resolution of tax audits</t>
        </r>
      </text>
    </comment>
    <comment ref="AX82" authorId="2">
      <text>
        <r>
          <rPr>
            <b/>
            <sz val="8"/>
            <color indexed="81"/>
            <rFont val="Tahoma"/>
            <family val="2"/>
          </rPr>
          <t>Jon Tower:</t>
        </r>
        <r>
          <rPr>
            <sz val="8"/>
            <color indexed="81"/>
            <rFont val="Tahoma"/>
            <family val="2"/>
          </rPr>
          <t xml:space="preserve">
8.24.10
Income tax expense was $21.8 million for the three months ended June 30, 2010, resulting in an effective tax rate of 30.8%, primarily as a result of the current mix of income from multiple tax jurisdictions, currency fluctuations, resolution of state audits and changes in state tax uncertainties. Income tax expense was $16.2 million for the three months ended June 30, 2009, resulting in an effective tax rate of 21.6%, primarily as a result of tax benefits realized from the dissolution of dormant foreign entities. 
</t>
        </r>
      </text>
    </comment>
    <comment ref="BP82" authorId="6">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Longer-term you can think about the tax being around 30%.</t>
        </r>
      </text>
    </comment>
    <comment ref="BS82" authorId="10">
      <text>
        <r>
          <rPr>
            <b/>
            <sz val="9"/>
            <color indexed="81"/>
            <rFont val="Tahoma"/>
            <family val="2"/>
          </rPr>
          <t>3q 10q:</t>
        </r>
        <r>
          <rPr>
            <sz val="9"/>
            <color indexed="81"/>
            <rFont val="Tahoma"/>
            <family val="2"/>
          </rPr>
          <t xml:space="preserve">
Higher due to losses on derivatives and non-deductility of transaction and realignment costs. </t>
        </r>
      </text>
    </comment>
    <comment ref="BX82" authorId="10">
      <text>
        <r>
          <rPr>
            <b/>
            <sz val="9"/>
            <color indexed="81"/>
            <rFont val="Tahoma"/>
            <family val="2"/>
          </rPr>
          <t>3q 10q:</t>
        </r>
        <r>
          <rPr>
            <sz val="9"/>
            <color indexed="81"/>
            <rFont val="Tahoma"/>
            <family val="2"/>
          </rPr>
          <t xml:space="preserve">
Higher due to losses on derivatives and non-deductility of transaction and realignment costs. </t>
        </r>
      </text>
    </comment>
    <comment ref="CA82" authorId="3">
      <text>
        <r>
          <rPr>
            <b/>
            <sz val="9"/>
            <color indexed="81"/>
            <rFont val="Tahoma"/>
            <family val="2"/>
          </rPr>
          <t>O'Brien, Courtney (Research):</t>
        </r>
        <r>
          <rPr>
            <sz val="9"/>
            <color indexed="81"/>
            <rFont val="Tahoma"/>
            <family val="2"/>
          </rPr>
          <t xml:space="preserve">
4.26.15
The pro forma adjusted income tax expense reflects the tax effect of the pro forma adjusted income before income taxes using an estimated normalized rate of 23.0%.</t>
        </r>
      </text>
    </comment>
    <comment ref="CP82" authorId="9">
      <text>
        <r>
          <rPr>
            <b/>
            <sz val="9"/>
            <color indexed="81"/>
            <rFont val="Tahoma"/>
            <family val="2"/>
          </rPr>
          <t>Carril, Christopher E (Research):</t>
        </r>
        <r>
          <rPr>
            <sz val="9"/>
            <color indexed="81"/>
            <rFont val="Tahoma"/>
            <family val="2"/>
          </rPr>
          <t xml:space="preserve">
4.24.2018
As a result of the accounting standard related to the tax impact of equity based compensation, our effective tax rate was reduced by 22.7% and 3.9% for the three months ended March 31, 2018 and 2017, respectively, and our adjusted effective tax rate was reduced by 20.3% and 2.7% for the three months ended March 31, 2018 and 2017, respectively. </t>
        </r>
      </text>
    </comment>
    <comment ref="CT82" authorId="9">
      <text>
        <r>
          <rPr>
            <b/>
            <sz val="9"/>
            <color indexed="81"/>
            <rFont val="Tahoma"/>
            <family val="2"/>
          </rPr>
          <t>Carril, Christopher E (Research):</t>
        </r>
        <r>
          <rPr>
            <sz val="9"/>
            <color indexed="81"/>
            <rFont val="Tahoma"/>
            <family val="2"/>
          </rPr>
          <t xml:space="preserve">
2.12.2018
Looking ahead to 2018, based on our current interpretation of the tax act, we anticipate our 2018 adjusted effective income tax rate to be in the low 20% range with continued quarter-to-quarter volatility.</t>
        </r>
      </text>
    </comment>
    <comment ref="AQ97" authorId="2">
      <text>
        <r>
          <rPr>
            <b/>
            <sz val="8"/>
            <color indexed="81"/>
            <rFont val="Tahoma"/>
            <family val="2"/>
          </rPr>
          <t>Jon Tower:</t>
        </r>
        <r>
          <rPr>
            <sz val="8"/>
            <color indexed="81"/>
            <rFont val="Tahoma"/>
            <family val="2"/>
          </rPr>
          <t xml:space="preserve">
10.29.09
Total property revenues also decreased 5% largely driven by unfavorable currency impact</t>
        </r>
      </text>
    </comment>
    <comment ref="AF99" authorId="1">
      <text>
        <r>
          <rPr>
            <sz val="9"/>
            <color indexed="81"/>
            <rFont val="Tahoma"/>
            <family val="2"/>
          </rPr>
          <t>towerj:
4.27.07
company is on target to exceed goals for FY including:
Growing top-line revenue by 6 - 7 percent
Growing adjusted EBITDA 10 - 12 percent
Increasing adjusted net income in excess of 20 percent
11.1.06
top-line revenue 6 - 7 percent</t>
        </r>
      </text>
    </comment>
    <comment ref="AK99" authorId="1">
      <text>
        <r>
          <rPr>
            <b/>
            <sz val="8"/>
            <color indexed="81"/>
            <rFont val="Tahoma"/>
            <family val="2"/>
          </rPr>
          <t xml:space="preserve">towerj:
5.1.08
10% plus
</t>
        </r>
        <r>
          <rPr>
            <sz val="8"/>
            <color indexed="81"/>
            <rFont val="Tahoma"/>
            <family val="2"/>
          </rPr>
          <t>11.5.07
reit 6-7%
8.24.07
6-7%
LT 6-7% top line growth</t>
        </r>
      </text>
    </comment>
    <comment ref="AP99" authorId="1">
      <text>
        <r>
          <rPr>
            <b/>
            <sz val="9"/>
            <color indexed="81"/>
            <rFont val="Tahoma"/>
            <family val="2"/>
          </rPr>
          <t>towerj:</t>
        </r>
        <r>
          <rPr>
            <sz val="9"/>
            <color indexed="81"/>
            <rFont val="Tahoma"/>
            <family val="2"/>
          </rPr>
          <t xml:space="preserve">
LT 6-7% top line growth</t>
        </r>
      </text>
    </comment>
    <comment ref="BF99" authorId="1">
      <text>
        <r>
          <rPr>
            <b/>
            <sz val="9"/>
            <color indexed="81"/>
            <rFont val="Tahoma"/>
            <family val="2"/>
          </rPr>
          <t>towerj:</t>
        </r>
        <r>
          <rPr>
            <sz val="9"/>
            <color indexed="81"/>
            <rFont val="Tahoma"/>
            <family val="2"/>
          </rPr>
          <t xml:space="preserve">
LT 6-7% top line growth</t>
        </r>
      </text>
    </comment>
    <comment ref="BK99" authorId="1">
      <text>
        <r>
          <rPr>
            <b/>
            <sz val="9"/>
            <color indexed="81"/>
            <rFont val="Tahoma"/>
            <family val="2"/>
          </rPr>
          <t>towerj:</t>
        </r>
        <r>
          <rPr>
            <sz val="9"/>
            <color indexed="81"/>
            <rFont val="Tahoma"/>
            <family val="2"/>
          </rPr>
          <t xml:space="preserve">
LT 6-7% top line growth</t>
        </r>
      </text>
    </comment>
    <comment ref="BP99" authorId="1">
      <text>
        <r>
          <rPr>
            <b/>
            <sz val="9"/>
            <color indexed="81"/>
            <rFont val="Tahoma"/>
            <family val="2"/>
          </rPr>
          <t>towerj:</t>
        </r>
        <r>
          <rPr>
            <sz val="9"/>
            <color indexed="81"/>
            <rFont val="Tahoma"/>
            <family val="2"/>
          </rPr>
          <t xml:space="preserve">
LT 6-7% top line growth</t>
        </r>
      </text>
    </comment>
    <comment ref="BQ99" authorId="5">
      <text>
        <r>
          <rPr>
            <b/>
            <sz val="8"/>
            <color indexed="81"/>
            <rFont val="Tahoma"/>
            <family val="2"/>
          </rPr>
          <t>John Glass:
+6%  on organc basis (ex franchsing)</t>
        </r>
      </text>
    </comment>
    <comment ref="BU99" authorId="1">
      <text>
        <r>
          <rPr>
            <b/>
            <sz val="9"/>
            <color indexed="81"/>
            <rFont val="Tahoma"/>
            <family val="2"/>
          </rPr>
          <t>towerj:</t>
        </r>
        <r>
          <rPr>
            <sz val="9"/>
            <color indexed="81"/>
            <rFont val="Tahoma"/>
            <family val="2"/>
          </rPr>
          <t xml:space="preserve">
LT 6-7% top line growth</t>
        </r>
      </text>
    </comment>
    <comment ref="BV99" authorId="5">
      <text>
        <r>
          <rPr>
            <b/>
            <sz val="8"/>
            <color indexed="81"/>
            <rFont val="Tahoma"/>
            <family val="2"/>
          </rPr>
          <t>John Glass:
+6%  on organc basis (ex franchsing)</t>
        </r>
      </text>
    </comment>
    <comment ref="BZ99" authorId="1">
      <text>
        <r>
          <rPr>
            <b/>
            <sz val="9"/>
            <color indexed="81"/>
            <rFont val="Tahoma"/>
            <family val="2"/>
          </rPr>
          <t>towerj:</t>
        </r>
        <r>
          <rPr>
            <sz val="9"/>
            <color indexed="81"/>
            <rFont val="Tahoma"/>
            <family val="2"/>
          </rPr>
          <t xml:space="preserve">
LT 6-7% top line growth</t>
        </r>
      </text>
    </comment>
    <comment ref="CE99" authorId="1">
      <text>
        <r>
          <rPr>
            <b/>
            <sz val="9"/>
            <color indexed="81"/>
            <rFont val="Tahoma"/>
            <family val="2"/>
          </rPr>
          <t>towerj:</t>
        </r>
        <r>
          <rPr>
            <sz val="9"/>
            <color indexed="81"/>
            <rFont val="Tahoma"/>
            <family val="2"/>
          </rPr>
          <t xml:space="preserve">
LT 6-7% top line growth</t>
        </r>
      </text>
    </comment>
    <comment ref="CJ99" authorId="1">
      <text>
        <r>
          <rPr>
            <b/>
            <sz val="9"/>
            <color indexed="81"/>
            <rFont val="Tahoma"/>
            <family val="2"/>
          </rPr>
          <t>towerj:</t>
        </r>
        <r>
          <rPr>
            <sz val="9"/>
            <color indexed="81"/>
            <rFont val="Tahoma"/>
            <family val="2"/>
          </rPr>
          <t xml:space="preserve">
LT 6-7% top line growth</t>
        </r>
      </text>
    </comment>
    <comment ref="CO99" authorId="1">
      <text>
        <r>
          <rPr>
            <b/>
            <sz val="9"/>
            <color indexed="81"/>
            <rFont val="Tahoma"/>
            <family val="2"/>
          </rPr>
          <t>towerj:</t>
        </r>
        <r>
          <rPr>
            <sz val="9"/>
            <color indexed="81"/>
            <rFont val="Tahoma"/>
            <family val="2"/>
          </rPr>
          <t xml:space="preserve">
LT 6-7% top line growth</t>
        </r>
      </text>
    </comment>
    <comment ref="CT99" authorId="1">
      <text>
        <r>
          <rPr>
            <b/>
            <sz val="9"/>
            <color indexed="81"/>
            <rFont val="Tahoma"/>
            <family val="2"/>
          </rPr>
          <t>towerj:</t>
        </r>
        <r>
          <rPr>
            <sz val="9"/>
            <color indexed="81"/>
            <rFont val="Tahoma"/>
            <family val="2"/>
          </rPr>
          <t xml:space="preserve">
LT 6-7% top line growth</t>
        </r>
      </text>
    </comment>
    <comment ref="CY99" authorId="1">
      <text>
        <r>
          <rPr>
            <b/>
            <sz val="9"/>
            <color indexed="81"/>
            <rFont val="Tahoma"/>
            <family val="2"/>
          </rPr>
          <t>towerj:</t>
        </r>
        <r>
          <rPr>
            <sz val="9"/>
            <color indexed="81"/>
            <rFont val="Tahoma"/>
            <family val="2"/>
          </rPr>
          <t xml:space="preserve">
LT 6-7% top line growth</t>
        </r>
      </text>
    </comment>
    <comment ref="DD99" authorId="1">
      <text>
        <r>
          <rPr>
            <b/>
            <sz val="9"/>
            <color indexed="81"/>
            <rFont val="Tahoma"/>
            <family val="2"/>
          </rPr>
          <t>towerj:</t>
        </r>
        <r>
          <rPr>
            <sz val="9"/>
            <color indexed="81"/>
            <rFont val="Tahoma"/>
            <family val="2"/>
          </rPr>
          <t xml:space="preserve">
LT 6-7% top line growth</t>
        </r>
      </text>
    </comment>
    <comment ref="DI99" authorId="1">
      <text>
        <r>
          <rPr>
            <b/>
            <sz val="9"/>
            <color indexed="81"/>
            <rFont val="Tahoma"/>
            <family val="2"/>
          </rPr>
          <t>towerj:</t>
        </r>
        <r>
          <rPr>
            <sz val="9"/>
            <color indexed="81"/>
            <rFont val="Tahoma"/>
            <family val="2"/>
          </rPr>
          <t xml:space="preserve">
LT 6-7% top line growth</t>
        </r>
      </text>
    </comment>
    <comment ref="DN99" authorId="1">
      <text>
        <r>
          <rPr>
            <b/>
            <sz val="9"/>
            <color indexed="81"/>
            <rFont val="Tahoma"/>
            <family val="2"/>
          </rPr>
          <t>towerj:</t>
        </r>
        <r>
          <rPr>
            <sz val="9"/>
            <color indexed="81"/>
            <rFont val="Tahoma"/>
            <family val="2"/>
          </rPr>
          <t xml:space="preserve">
LT 6-7% top line growth</t>
        </r>
      </text>
    </comment>
    <comment ref="DS99" authorId="1">
      <text>
        <r>
          <rPr>
            <b/>
            <sz val="9"/>
            <color indexed="81"/>
            <rFont val="Tahoma"/>
            <family val="2"/>
          </rPr>
          <t>towerj:</t>
        </r>
        <r>
          <rPr>
            <sz val="9"/>
            <color indexed="81"/>
            <rFont val="Tahoma"/>
            <family val="2"/>
          </rPr>
          <t xml:space="preserve">
LT 6-7% top line growth</t>
        </r>
      </text>
    </comment>
    <comment ref="DX99" authorId="1">
      <text>
        <r>
          <rPr>
            <b/>
            <sz val="9"/>
            <color indexed="81"/>
            <rFont val="Tahoma"/>
            <family val="2"/>
          </rPr>
          <t>towerj:</t>
        </r>
        <r>
          <rPr>
            <sz val="9"/>
            <color indexed="81"/>
            <rFont val="Tahoma"/>
            <family val="2"/>
          </rPr>
          <t xml:space="preserve">
LT 6-7% top line growth</t>
        </r>
      </text>
    </comment>
    <comment ref="EC99" authorId="1">
      <text>
        <r>
          <rPr>
            <b/>
            <sz val="9"/>
            <color indexed="81"/>
            <rFont val="Tahoma"/>
            <family val="2"/>
          </rPr>
          <t>towerj:</t>
        </r>
        <r>
          <rPr>
            <sz val="9"/>
            <color indexed="81"/>
            <rFont val="Tahoma"/>
            <family val="2"/>
          </rPr>
          <t xml:space="preserve">
LT 6-7% top line growth</t>
        </r>
      </text>
    </comment>
    <comment ref="AI104" authorId="2">
      <text>
        <r>
          <rPr>
            <b/>
            <sz val="8"/>
            <color indexed="81"/>
            <rFont val="Tahoma"/>
            <family val="2"/>
          </rPr>
          <t>Jon Tower:
5.1.08</t>
        </r>
        <r>
          <rPr>
            <sz val="8"/>
            <color indexed="81"/>
            <rFont val="Tahoma"/>
            <family val="2"/>
          </rPr>
          <t xml:space="preserve">
 G&amp;A expense was in line with guidance growing at a rate of 3%, net of foreign exchange impact of $5 million.</t>
        </r>
      </text>
    </comment>
    <comment ref="AP104" authorId="1">
      <text>
        <r>
          <rPr>
            <b/>
            <sz val="8"/>
            <color indexed="81"/>
            <rFont val="Arial"/>
            <family val="2"/>
          </rPr>
          <t xml:space="preserve">towerj:
8.21.08 </t>
        </r>
        <r>
          <rPr>
            <sz val="8"/>
            <color indexed="81"/>
            <rFont val="Arial"/>
            <family val="2"/>
          </rPr>
          <t xml:space="preserve">"G&amp;A increase at the rate of inflation" --- BUT THIS DOES NOT INCLUDE THE IMPACT OF STOCK-BASED COMP EXPENSE (hence higher Y/Y than inflation rate)
</t>
        </r>
        <r>
          <rPr>
            <b/>
            <sz val="8"/>
            <color indexed="81"/>
            <rFont val="Arial"/>
            <family val="2"/>
          </rPr>
          <t xml:space="preserve">
5.15.07</t>
        </r>
        <r>
          <rPr>
            <sz val="8"/>
            <color indexed="81"/>
            <rFont val="Arial"/>
            <family val="2"/>
          </rPr>
          <t xml:space="preserve">
G&amp;A will grow in line with inflation (2-3%)</t>
        </r>
      </text>
    </comment>
    <comment ref="AQ104" authorId="2">
      <text>
        <r>
          <rPr>
            <b/>
            <sz val="8"/>
            <color indexed="81"/>
            <rFont val="Tahoma"/>
            <family val="2"/>
          </rPr>
          <t>Jon Tower:</t>
        </r>
        <r>
          <rPr>
            <sz val="8"/>
            <color indexed="81"/>
            <rFont val="Tahoma"/>
            <family val="2"/>
          </rPr>
          <t xml:space="preserve">
10.29.09
The year over year G&amp;A increase was higher than the company’s forecasted full year increase of 2 to 3 percent, primarily due to the timing of professional services largely associated with the implementation of new Point of Sales systems, a non-recurring casualty insurance credit realized in the prior year period and deferred compensation expense as a result of the broader market’s performance.</t>
        </r>
      </text>
    </comment>
    <comment ref="BF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Pro forma all-franchised business in 2012 would still have ~$213M management G&amp;A</t>
        </r>
      </text>
    </comment>
    <comment ref="BK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Pro forma all-franchised business in 2012 would still have ~$213M management G&amp;A</t>
        </r>
      </text>
    </comment>
    <comment ref="BP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U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Z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E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J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O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T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Y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D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I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N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S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DX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EC104"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AK105" authorId="1">
      <text>
        <r>
          <rPr>
            <b/>
            <sz val="9"/>
            <color indexed="81"/>
            <rFont val="Tahoma"/>
            <family val="2"/>
          </rPr>
          <t>towerj:
8.24.07
increase w/inflation
5.15.07</t>
        </r>
        <r>
          <rPr>
            <sz val="9"/>
            <color indexed="81"/>
            <rFont val="Tahoma"/>
            <family val="2"/>
          </rPr>
          <t xml:space="preserve">
SG&amp;A will grow in line with inflation (2-3%)</t>
        </r>
      </text>
    </comment>
    <comment ref="AP105" authorId="2">
      <text>
        <r>
          <rPr>
            <b/>
            <sz val="8"/>
            <color indexed="81"/>
            <rFont val="Tahoma"/>
            <family val="2"/>
          </rPr>
          <t>Jon Tower:</t>
        </r>
        <r>
          <rPr>
            <sz val="8"/>
            <color indexed="81"/>
            <rFont val="Tahoma"/>
            <family val="2"/>
          </rPr>
          <t xml:space="preserve">
10.31.08
'increase at the rate of inflation'</t>
        </r>
      </text>
    </comment>
    <comment ref="AB107" authorId="0">
      <text>
        <r>
          <rPr>
            <b/>
            <sz val="8"/>
            <color indexed="81"/>
            <rFont val="Tahoma"/>
            <family val="2"/>
          </rPr>
          <t>glassj:</t>
        </r>
        <r>
          <rPr>
            <sz val="8"/>
            <color indexed="81"/>
            <rFont val="Tahoma"/>
            <family val="2"/>
          </rPr>
          <t xml:space="preserve">
Up 7% vs adjusted</t>
        </r>
      </text>
    </comment>
    <comment ref="AF107" authorId="1">
      <text>
        <r>
          <rPr>
            <b/>
            <sz val="9"/>
            <color indexed="81"/>
            <rFont val="Tahoma"/>
            <family val="2"/>
          </rPr>
          <t>towerj:</t>
        </r>
        <r>
          <rPr>
            <sz val="9"/>
            <color indexed="81"/>
            <rFont val="Tahoma"/>
            <family val="2"/>
          </rPr>
          <t xml:space="preserve">
4.27.07
company is on target to exceed goals for FY including:
Growing top-line revenue by 6 - 7 percent
Growing adjusted EBITDA 10 - 12 percent
Increasing adjusted net income in excess of 20 percent
11.1.06
adjusted EBITDA 10 - 12 percent;
</t>
        </r>
      </text>
    </comment>
    <comment ref="AK107" authorId="1">
      <text>
        <r>
          <rPr>
            <b/>
            <sz val="9"/>
            <color indexed="81"/>
            <rFont val="Tahoma"/>
            <family val="2"/>
          </rPr>
          <t>towerj:
11.5.07
reit 10-12% 
8.24.07
10-12%</t>
        </r>
        <r>
          <rPr>
            <sz val="9"/>
            <color indexed="81"/>
            <rFont val="Tahoma"/>
            <family val="2"/>
          </rPr>
          <t xml:space="preserve">
LT target 10-12%</t>
        </r>
      </text>
    </comment>
    <comment ref="AP107" authorId="1">
      <text>
        <r>
          <rPr>
            <b/>
            <sz val="9"/>
            <color indexed="81"/>
            <rFont val="Tahoma"/>
            <family val="2"/>
          </rPr>
          <t>towerj:</t>
        </r>
        <r>
          <rPr>
            <sz val="9"/>
            <color indexed="81"/>
            <rFont val="Tahoma"/>
            <family val="2"/>
          </rPr>
          <t xml:space="preserve">
LT target 10-12%</t>
        </r>
      </text>
    </comment>
    <comment ref="BF107" authorId="1">
      <text>
        <r>
          <rPr>
            <b/>
            <sz val="9"/>
            <color indexed="81"/>
            <rFont val="Tahoma"/>
            <family val="2"/>
          </rPr>
          <t>towerj:</t>
        </r>
        <r>
          <rPr>
            <sz val="9"/>
            <color indexed="81"/>
            <rFont val="Tahoma"/>
            <family val="2"/>
          </rPr>
          <t xml:space="preserve">
LT target 10-12%</t>
        </r>
      </text>
    </comment>
    <comment ref="BK107" authorId="1">
      <text>
        <r>
          <rPr>
            <b/>
            <sz val="9"/>
            <color indexed="81"/>
            <rFont val="Tahoma"/>
            <family val="2"/>
          </rPr>
          <t>towerj:</t>
        </r>
        <r>
          <rPr>
            <sz val="9"/>
            <color indexed="81"/>
            <rFont val="Tahoma"/>
            <family val="2"/>
          </rPr>
          <t xml:space="preserve">
LT target 10-12%</t>
        </r>
      </text>
    </comment>
    <comment ref="BP107" authorId="1">
      <text>
        <r>
          <rPr>
            <b/>
            <sz val="9"/>
            <color indexed="81"/>
            <rFont val="Tahoma"/>
            <family val="2"/>
          </rPr>
          <t>towerj:</t>
        </r>
        <r>
          <rPr>
            <sz val="9"/>
            <color indexed="81"/>
            <rFont val="Tahoma"/>
            <family val="2"/>
          </rPr>
          <t xml:space="preserve">
LT target 10-12%</t>
        </r>
      </text>
    </comment>
    <comment ref="BU107" authorId="1">
      <text>
        <r>
          <rPr>
            <b/>
            <sz val="9"/>
            <color indexed="81"/>
            <rFont val="Tahoma"/>
            <family val="2"/>
          </rPr>
          <t>towerj:</t>
        </r>
        <r>
          <rPr>
            <sz val="9"/>
            <color indexed="81"/>
            <rFont val="Tahoma"/>
            <family val="2"/>
          </rPr>
          <t xml:space="preserve">
LT target 10-12%</t>
        </r>
      </text>
    </comment>
    <comment ref="BZ107" authorId="1">
      <text>
        <r>
          <rPr>
            <b/>
            <sz val="9"/>
            <color indexed="81"/>
            <rFont val="Tahoma"/>
            <family val="2"/>
          </rPr>
          <t>towerj:</t>
        </r>
        <r>
          <rPr>
            <sz val="9"/>
            <color indexed="81"/>
            <rFont val="Tahoma"/>
            <family val="2"/>
          </rPr>
          <t xml:space="preserve">
LT target 10-12%</t>
        </r>
      </text>
    </comment>
    <comment ref="CE107" authorId="1">
      <text>
        <r>
          <rPr>
            <b/>
            <sz val="9"/>
            <color indexed="81"/>
            <rFont val="Tahoma"/>
            <family val="2"/>
          </rPr>
          <t>towerj:</t>
        </r>
        <r>
          <rPr>
            <sz val="9"/>
            <color indexed="81"/>
            <rFont val="Tahoma"/>
            <family val="2"/>
          </rPr>
          <t xml:space="preserve">
LT target 10-12%</t>
        </r>
      </text>
    </comment>
    <comment ref="CJ107" authorId="1">
      <text>
        <r>
          <rPr>
            <b/>
            <sz val="9"/>
            <color indexed="81"/>
            <rFont val="Tahoma"/>
            <family val="2"/>
          </rPr>
          <t>towerj:</t>
        </r>
        <r>
          <rPr>
            <sz val="9"/>
            <color indexed="81"/>
            <rFont val="Tahoma"/>
            <family val="2"/>
          </rPr>
          <t xml:space="preserve">
LT target 10-12%</t>
        </r>
      </text>
    </comment>
    <comment ref="CO107" authorId="1">
      <text>
        <r>
          <rPr>
            <b/>
            <sz val="9"/>
            <color indexed="81"/>
            <rFont val="Tahoma"/>
            <family val="2"/>
          </rPr>
          <t>towerj:</t>
        </r>
        <r>
          <rPr>
            <sz val="9"/>
            <color indexed="81"/>
            <rFont val="Tahoma"/>
            <family val="2"/>
          </rPr>
          <t xml:space="preserve">
LT target 10-12%</t>
        </r>
      </text>
    </comment>
    <comment ref="CT107" authorId="1">
      <text>
        <r>
          <rPr>
            <b/>
            <sz val="9"/>
            <color indexed="81"/>
            <rFont val="Tahoma"/>
            <family val="2"/>
          </rPr>
          <t>towerj:</t>
        </r>
        <r>
          <rPr>
            <sz val="9"/>
            <color indexed="81"/>
            <rFont val="Tahoma"/>
            <family val="2"/>
          </rPr>
          <t xml:space="preserve">
LT target 10-12%</t>
        </r>
      </text>
    </comment>
    <comment ref="CY107" authorId="1">
      <text>
        <r>
          <rPr>
            <b/>
            <sz val="9"/>
            <color indexed="81"/>
            <rFont val="Tahoma"/>
            <family val="2"/>
          </rPr>
          <t>towerj:</t>
        </r>
        <r>
          <rPr>
            <sz val="9"/>
            <color indexed="81"/>
            <rFont val="Tahoma"/>
            <family val="2"/>
          </rPr>
          <t xml:space="preserve">
LT target 10-12%</t>
        </r>
      </text>
    </comment>
    <comment ref="DD107" authorId="1">
      <text>
        <r>
          <rPr>
            <b/>
            <sz val="9"/>
            <color indexed="81"/>
            <rFont val="Tahoma"/>
            <family val="2"/>
          </rPr>
          <t>towerj:</t>
        </r>
        <r>
          <rPr>
            <sz val="9"/>
            <color indexed="81"/>
            <rFont val="Tahoma"/>
            <family val="2"/>
          </rPr>
          <t xml:space="preserve">
LT target 10-12%</t>
        </r>
      </text>
    </comment>
    <comment ref="DI107" authorId="1">
      <text>
        <r>
          <rPr>
            <b/>
            <sz val="9"/>
            <color indexed="81"/>
            <rFont val="Tahoma"/>
            <family val="2"/>
          </rPr>
          <t>towerj:</t>
        </r>
        <r>
          <rPr>
            <sz val="9"/>
            <color indexed="81"/>
            <rFont val="Tahoma"/>
            <family val="2"/>
          </rPr>
          <t xml:space="preserve">
LT target 10-12%</t>
        </r>
      </text>
    </comment>
    <comment ref="DN107" authorId="1">
      <text>
        <r>
          <rPr>
            <b/>
            <sz val="9"/>
            <color indexed="81"/>
            <rFont val="Tahoma"/>
            <family val="2"/>
          </rPr>
          <t>towerj:</t>
        </r>
        <r>
          <rPr>
            <sz val="9"/>
            <color indexed="81"/>
            <rFont val="Tahoma"/>
            <family val="2"/>
          </rPr>
          <t xml:space="preserve">
LT target 10-12%</t>
        </r>
      </text>
    </comment>
    <comment ref="DS107" authorId="1">
      <text>
        <r>
          <rPr>
            <b/>
            <sz val="9"/>
            <color indexed="81"/>
            <rFont val="Tahoma"/>
            <family val="2"/>
          </rPr>
          <t>towerj:</t>
        </r>
        <r>
          <rPr>
            <sz val="9"/>
            <color indexed="81"/>
            <rFont val="Tahoma"/>
            <family val="2"/>
          </rPr>
          <t xml:space="preserve">
LT target 10-12%</t>
        </r>
      </text>
    </comment>
    <comment ref="DX107" authorId="1">
      <text>
        <r>
          <rPr>
            <b/>
            <sz val="9"/>
            <color indexed="81"/>
            <rFont val="Tahoma"/>
            <family val="2"/>
          </rPr>
          <t>towerj:</t>
        </r>
        <r>
          <rPr>
            <sz val="9"/>
            <color indexed="81"/>
            <rFont val="Tahoma"/>
            <family val="2"/>
          </rPr>
          <t xml:space="preserve">
LT target 10-12%</t>
        </r>
      </text>
    </comment>
    <comment ref="EC107" authorId="1">
      <text>
        <r>
          <rPr>
            <b/>
            <sz val="9"/>
            <color indexed="81"/>
            <rFont val="Tahoma"/>
            <family val="2"/>
          </rPr>
          <t>towerj:</t>
        </r>
        <r>
          <rPr>
            <sz val="9"/>
            <color indexed="81"/>
            <rFont val="Tahoma"/>
            <family val="2"/>
          </rPr>
          <t xml:space="preserve">
LT target 10-12%</t>
        </r>
      </text>
    </comment>
    <comment ref="AK108" authorId="1">
      <text>
        <r>
          <rPr>
            <b/>
            <sz val="9"/>
            <color indexed="81"/>
            <rFont val="Tahoma"/>
            <family val="2"/>
          </rPr>
          <t>towerj:
8.24.07
10-12%</t>
        </r>
        <r>
          <rPr>
            <sz val="9"/>
            <color indexed="81"/>
            <rFont val="Tahoma"/>
            <family val="2"/>
          </rPr>
          <t xml:space="preserve">
LT target 10-12%</t>
        </r>
      </text>
    </comment>
    <comment ref="BQ108" authorId="5">
      <text>
        <r>
          <rPr>
            <b/>
            <sz val="8"/>
            <color indexed="81"/>
            <rFont val="Tahoma"/>
            <family val="2"/>
          </rPr>
          <t>John Glass:</t>
        </r>
        <r>
          <rPr>
            <sz val="8"/>
            <color indexed="81"/>
            <rFont val="Tahoma"/>
            <family val="2"/>
          </rPr>
          <t xml:space="preserve">
+13% on "organic" bais</t>
        </r>
      </text>
    </comment>
    <comment ref="BV108" authorId="5">
      <text>
        <r>
          <rPr>
            <b/>
            <sz val="8"/>
            <color indexed="81"/>
            <rFont val="Tahoma"/>
            <family val="2"/>
          </rPr>
          <t>John Glass:</t>
        </r>
        <r>
          <rPr>
            <sz val="8"/>
            <color indexed="81"/>
            <rFont val="Tahoma"/>
            <family val="2"/>
          </rPr>
          <t xml:space="preserve">
+13% on "organic" bais</t>
        </r>
      </text>
    </comment>
    <comment ref="CL109" authorId="3">
      <text>
        <r>
          <rPr>
            <b/>
            <sz val="9"/>
            <color indexed="81"/>
            <rFont val="Tahoma"/>
            <family val="2"/>
          </rPr>
          <t>O'Brien, Courtney (Research):</t>
        </r>
        <r>
          <rPr>
            <sz val="9"/>
            <color indexed="81"/>
            <rFont val="Tahoma"/>
            <family val="2"/>
          </rPr>
          <t xml:space="preserve">
assuming popeyes was in last years EBITDA</t>
        </r>
      </text>
    </comment>
    <comment ref="AF113" authorId="1">
      <text>
        <r>
          <rPr>
            <b/>
            <sz val="8"/>
            <color indexed="81"/>
            <rFont val="Tahoma"/>
            <family val="2"/>
          </rPr>
          <t>towerj:
4.27.07
company is on target to exceed goals for FY including:
Growing top-line revenue by 6 - 7 percent
Growing adjusted EBITDA 10 - 12 percent
Increasing adjusted net income in excess of 20 percent</t>
        </r>
        <r>
          <rPr>
            <b/>
            <sz val="9"/>
            <color indexed="81"/>
            <rFont val="Tahoma"/>
            <family val="2"/>
          </rPr>
          <t xml:space="preserve">
1.31.07 reit 20%+</t>
        </r>
        <r>
          <rPr>
            <sz val="9"/>
            <color indexed="81"/>
            <rFont val="Tahoma"/>
            <family val="2"/>
          </rPr>
          <t xml:space="preserve">
11.1.06
Increasing adjusted net income in excess of 20 percent</t>
        </r>
      </text>
    </comment>
    <comment ref="AK113" authorId="4">
      <text>
        <r>
          <rPr>
            <b/>
            <sz val="8"/>
            <color indexed="81"/>
            <rFont val="Tahoma"/>
            <family val="2"/>
          </rPr>
          <t>8.24.07
12-15%</t>
        </r>
      </text>
    </comment>
    <comment ref="A115" authorId="5">
      <text>
        <r>
          <rPr>
            <b/>
            <sz val="8"/>
            <color indexed="81"/>
            <rFont val="Tahoma"/>
            <family val="2"/>
          </rPr>
          <t>John Glass:</t>
        </r>
        <r>
          <rPr>
            <sz val="8"/>
            <color indexed="81"/>
            <rFont val="Tahoma"/>
            <family val="2"/>
          </rPr>
          <t xml:space="preserve">
2.14: Adjsuted net income and EPS excludes:
* franchsie agreement amortization
* amort. Of deferred financing costs
* Loss on extingusihment on debt
* Other operting esneses
* global portfolio prjects
* Business combination agreement expenses
</t>
        </r>
      </text>
    </comment>
    <comment ref="A116" authorId="5">
      <text>
        <r>
          <rPr>
            <b/>
            <sz val="8"/>
            <color indexed="81"/>
            <rFont val="Tahoma"/>
            <family val="2"/>
          </rPr>
          <t>John Glass:</t>
        </r>
        <r>
          <rPr>
            <sz val="8"/>
            <color indexed="81"/>
            <rFont val="Tahoma"/>
            <family val="2"/>
          </rPr>
          <t xml:space="preserve">
John Glass:
2.14: Adjsuted net income and EPS excludes:
* franchsie agreement amortization
* amort. Of deferred financing costs
* Loss on extingusihment on debt
* Other operting esneses
* global portfolio prjects
* Business combination agreement expenses</t>
        </r>
      </text>
    </comment>
    <comment ref="AK116" authorId="4">
      <text>
        <r>
          <rPr>
            <b/>
            <sz val="8"/>
            <color indexed="81"/>
            <rFont val="Tahoma"/>
            <family val="2"/>
          </rPr>
          <t xml:space="preserve">5.1.08
20% plus
1.31.08
greater than 15%
</t>
        </r>
        <r>
          <rPr>
            <sz val="8"/>
            <color indexed="81"/>
            <rFont val="Tahoma"/>
            <family val="2"/>
          </rPr>
          <t xml:space="preserve">
11.5.07
12-15% growth 
FY2008E earnings per share growth rate calculated using the FY2007 effective adjusted tax rate of 33.9% which includes the effects of non-discrete tax items related to the favorable resolution of State and Federal tax audits. Earnings per share growth forecasted in FY2008E would be approximately 20% assuming a normalized tax rate of 37% in FY2007.</t>
        </r>
      </text>
    </comment>
    <comment ref="AP116" authorId="2">
      <text>
        <r>
          <rPr>
            <b/>
            <sz val="8"/>
            <color indexed="81"/>
            <rFont val="Tahoma"/>
            <family val="2"/>
          </rPr>
          <t>Jon Tower:</t>
        </r>
        <r>
          <rPr>
            <sz val="8"/>
            <color indexed="81"/>
            <rFont val="Tahoma"/>
            <family val="2"/>
          </rPr>
          <t xml:space="preserve">
10.31.08
reit 12%-15%</t>
        </r>
      </text>
    </comment>
    <comment ref="AM128" authorId="2">
      <text>
        <r>
          <rPr>
            <b/>
            <sz val="8"/>
            <color indexed="81"/>
            <rFont val="Tahoma"/>
            <family val="2"/>
          </rPr>
          <t>Jon Tower:</t>
        </r>
        <r>
          <rPr>
            <sz val="8"/>
            <color indexed="81"/>
            <rFont val="Tahoma"/>
            <family val="2"/>
          </rPr>
          <t xml:space="preserve">
2.5.09
The worldwide average restaurant sales (ARS) shown above includes the unfavorable impact of currency exchange rates of $19,000 and $13,000 for the three months and six months ended December 31, 2008, respectively. </t>
        </r>
      </text>
    </comment>
    <comment ref="AN128" authorId="2">
      <text>
        <r>
          <rPr>
            <b/>
            <sz val="8"/>
            <color indexed="81"/>
            <rFont val="Tahoma"/>
            <family val="2"/>
          </rPr>
          <t>Jon Tower:</t>
        </r>
        <r>
          <rPr>
            <sz val="8"/>
            <color indexed="81"/>
            <rFont val="Tahoma"/>
            <family val="2"/>
          </rPr>
          <t xml:space="preserve">
4.29.09
(1) The worldwide average restaurant sales (ARS) shown above includes the unfavorable impact of currency exchange rates of $22,000 and $35,000 for the three months and nine months ended March 31, 2009, respectively</t>
        </r>
      </text>
    </comment>
    <comment ref="AM130" authorId="2">
      <text>
        <r>
          <rPr>
            <b/>
            <sz val="8"/>
            <color indexed="81"/>
            <rFont val="Tahoma"/>
            <family val="2"/>
          </rPr>
          <t>Jon Tower:</t>
        </r>
        <r>
          <rPr>
            <sz val="8"/>
            <color indexed="81"/>
            <rFont val="Tahoma"/>
            <family val="2"/>
          </rPr>
          <t xml:space="preserve">
2.5.09
The worldwide average restaurant sales (ARS) shown above includes the unfavorable impact of currency exchange rates of $19,000 and $13,000 for the three months and six months ended December 31, 2008, respectively. </t>
        </r>
      </text>
    </comment>
    <comment ref="AN130" authorId="2">
      <text>
        <r>
          <rPr>
            <b/>
            <sz val="8"/>
            <color indexed="81"/>
            <rFont val="Tahoma"/>
            <family val="2"/>
          </rPr>
          <t>Jon Tower:</t>
        </r>
        <r>
          <rPr>
            <sz val="8"/>
            <color indexed="81"/>
            <rFont val="Tahoma"/>
            <family val="2"/>
          </rPr>
          <t xml:space="preserve">
4.29.09
(1) The worldwide average restaurant sales (ARS) shown above includes the unfavorable impact of currency exchange rates of $22,000 and $35,000 for the three months and nine months ended March 31, 2009, respectively</t>
        </r>
      </text>
    </comment>
    <comment ref="AU132" authorId="8">
      <text>
        <r>
          <rPr>
            <b/>
            <sz val="8"/>
            <color indexed="81"/>
            <rFont val="Tahoma"/>
            <family val="2"/>
          </rPr>
          <t>John Glass:</t>
        </r>
        <r>
          <rPr>
            <sz val="8"/>
            <color indexed="81"/>
            <rFont val="Tahoma"/>
            <family val="2"/>
          </rPr>
          <t xml:space="preserve">
adjusted downward by 5% to be more consistent with 1Q</t>
        </r>
      </text>
    </comment>
    <comment ref="BA132" authorId="8">
      <text>
        <r>
          <rPr>
            <b/>
            <sz val="8"/>
            <color indexed="81"/>
            <rFont val="Tahoma"/>
            <family val="2"/>
          </rPr>
          <t>John Glass:</t>
        </r>
        <r>
          <rPr>
            <sz val="8"/>
            <color indexed="81"/>
            <rFont val="Tahoma"/>
            <family val="2"/>
          </rPr>
          <t xml:space="preserve">
adjusted downward by 5% to be more consistent with 1Q</t>
        </r>
      </text>
    </comment>
    <comment ref="AQ133" authorId="2">
      <text>
        <r>
          <rPr>
            <b/>
            <sz val="8"/>
            <color indexed="81"/>
            <rFont val="Tahoma"/>
            <family val="2"/>
          </rPr>
          <t>Jon Tower:</t>
        </r>
        <r>
          <rPr>
            <sz val="8"/>
            <color indexed="81"/>
            <rFont val="Tahoma"/>
            <family val="2"/>
          </rPr>
          <t xml:space="preserve">
8.25.09
Worldwide comparable sales are expected to be soft in the first half of the fiscal
year, improving in the second half if consumer sentiment improves as economists
forecast, as our affordability messages resonate with consumers and as we lap
softer comparable sale comparisons.
o Softer comparable sales are expected primarily in the U.S., Germany and
Mexico markets, three of our largest markets, partially offset by
expectations for solid comparable sales in the U.K., Spain, and throughout
most of Europe and in many Asia Pacific markets.</t>
        </r>
      </text>
    </comment>
    <comment ref="AR133" authorId="2">
      <text>
        <r>
          <rPr>
            <b/>
            <sz val="8"/>
            <color indexed="81"/>
            <rFont val="Tahoma"/>
            <family val="2"/>
          </rPr>
          <t>Jon Tower:</t>
        </r>
        <r>
          <rPr>
            <sz val="8"/>
            <color indexed="81"/>
            <rFont val="Tahoma"/>
            <family val="2"/>
          </rPr>
          <t xml:space="preserve">
8.25.09
Worldwide comparable sales are expected to be soft in the first half of the fiscal
year, improving in the second half if consumer sentiment improves as economists
forecast, as our affordability messages resonate with consumers and as we lap
softer comparable sale comparisons.
o Softer comparable sales are expected primarily in the U.S., Germany and
Mexico markets, three of our largest markets, partially offset by
expectations for solid comparable sales in the U.K., Spain, and throughout
most of Europe and in many Asia Pacific markets.</t>
        </r>
      </text>
    </comment>
    <comment ref="AU133" authorId="2">
      <text>
        <r>
          <rPr>
            <b/>
            <sz val="8"/>
            <color indexed="81"/>
            <rFont val="Tahoma"/>
            <family val="2"/>
          </rPr>
          <t>Jon Tower:</t>
        </r>
        <r>
          <rPr>
            <sz val="8"/>
            <color indexed="81"/>
            <rFont val="Tahoma"/>
            <family val="2"/>
          </rPr>
          <t xml:space="preserve">
8.25.09
Worldwide comparable sales are expected to be soft in the first half of the fiscal
year, improving in the second half if consumer sentiment improves as economists
forecast, as our affordability messages resonate with consumers and as we lap
softer comparable sale comparisons.
o Softer comparable sales are expected primarily in the U.S., Germany and
Mexico markets, three of our largest markets, partially offset by
expectations for solid comparable sales in the U.K., Spain, and throughout
most of Europe and in many Asia Pacific markets.</t>
        </r>
      </text>
    </comment>
    <comment ref="AW133" authorId="2">
      <text>
        <r>
          <rPr>
            <b/>
            <sz val="8"/>
            <color indexed="81"/>
            <rFont val="Tahoma"/>
            <family val="2"/>
          </rPr>
          <t>Jon Tower:</t>
        </r>
        <r>
          <rPr>
            <sz val="8"/>
            <color indexed="81"/>
            <rFont val="Tahoma"/>
            <family val="2"/>
          </rPr>
          <t xml:space="preserve">
8.25.09
Worldwide comparable sales are expected to be soft in the first half of the fiscal
year, improving in the second half if consumer sentiment improves as economists
forecast, as our affordability messages resonate with consumers and as we lap
softer comparable sale comparisons.
o Softer comparable sales are expected primarily in the U.S., Germany and
Mexico markets, three of our largest markets, partially offset by
expectations for solid comparable sales in the U.K., Spain, and throughout
most of Europe and in many Asia Pacific markets.</t>
        </r>
      </text>
    </comment>
    <comment ref="AX133" authorId="2">
      <text>
        <r>
          <rPr>
            <b/>
            <sz val="8"/>
            <color indexed="81"/>
            <rFont val="Tahoma"/>
            <family val="2"/>
          </rPr>
          <t>Jon Tower:</t>
        </r>
        <r>
          <rPr>
            <sz val="8"/>
            <color indexed="81"/>
            <rFont val="Tahoma"/>
            <family val="2"/>
          </rPr>
          <t xml:space="preserve">
8.25.09
Worldwide comparable sales are expected to be soft in the first half of the fiscal
year, improving in the second half if consumer sentiment improves as economists
forecast, as our affordability messages resonate with consumers and as we lap
softer comparable sale comparisons.
o Softer comparable sales are expected primarily in the U.S., Germany and
Mexico markets, three of our largest markets, partially offset by
expectations for solid comparable sales in the U.K., Spain, and throughout
most of Europe and in many Asia Pacific markets.</t>
        </r>
      </text>
    </comment>
    <comment ref="BA133" authorId="2">
      <text>
        <r>
          <rPr>
            <b/>
            <sz val="8"/>
            <color indexed="81"/>
            <rFont val="Tahoma"/>
            <family val="2"/>
          </rPr>
          <t>Jon Tower:</t>
        </r>
        <r>
          <rPr>
            <sz val="8"/>
            <color indexed="81"/>
            <rFont val="Tahoma"/>
            <family val="2"/>
          </rPr>
          <t xml:space="preserve">
8.25.09
Worldwide comparable sales are expected to be soft in the first half of the fiscal
year, improving in the second half if consumer sentiment improves as economists
forecast, as our affordability messages resonate with consumers and as we lap
softer comparable sale comparisons.
o Softer comparable sales are expected primarily in the U.S., Germany and
Mexico markets, three of our largest markets, partially offset by
expectations for solid comparable sales in the U.K., Spain, and throughout
most of Europe and in many Asia Pacific markets.</t>
        </r>
      </text>
    </comment>
    <comment ref="Y134" authorId="0">
      <text>
        <r>
          <rPr>
            <b/>
            <sz val="8"/>
            <color indexed="81"/>
            <rFont val="Tahoma"/>
            <family val="2"/>
          </rPr>
          <t>glassj:</t>
        </r>
        <r>
          <rPr>
            <sz val="8"/>
            <color indexed="81"/>
            <rFont val="Tahoma"/>
            <family val="2"/>
          </rPr>
          <t xml:space="preserve">
launched national value menu</t>
        </r>
      </text>
    </comment>
    <comment ref="AB134" authorId="0">
      <text>
        <r>
          <rPr>
            <b/>
            <sz val="8"/>
            <color indexed="81"/>
            <rFont val="Tahoma"/>
            <family val="2"/>
          </rPr>
          <t>glassj:</t>
        </r>
        <r>
          <rPr>
            <sz val="8"/>
            <color indexed="81"/>
            <rFont val="Tahoma"/>
            <family val="2"/>
          </rPr>
          <t xml:space="preserve">
Sept the strongest month of the Q</t>
        </r>
      </text>
    </comment>
    <comment ref="A135" authorId="0">
      <text>
        <r>
          <rPr>
            <b/>
            <sz val="8"/>
            <color indexed="81"/>
            <rFont val="Tahoma"/>
            <family val="2"/>
          </rPr>
          <t>glassj:</t>
        </r>
        <r>
          <rPr>
            <sz val="8"/>
            <color indexed="81"/>
            <rFont val="Tahoma"/>
            <family val="2"/>
          </rPr>
          <t xml:space="preserve">
Europe, Middle East, Africa and Asia Pacific</t>
        </r>
      </text>
    </comment>
    <comment ref="AA135" authorId="0">
      <text>
        <r>
          <rPr>
            <b/>
            <sz val="8"/>
            <color indexed="81"/>
            <rFont val="Tahoma"/>
            <family val="2"/>
          </rPr>
          <t>glassj:</t>
        </r>
        <r>
          <rPr>
            <sz val="8"/>
            <color indexed="81"/>
            <rFont val="Tahoma"/>
            <family val="2"/>
          </rPr>
          <t xml:space="preserve">
Primarily UK comp pressure</t>
        </r>
      </text>
    </comment>
    <comment ref="AB135" authorId="0">
      <text>
        <r>
          <rPr>
            <b/>
            <sz val="8"/>
            <color indexed="81"/>
            <rFont val="Tahoma"/>
            <family val="2"/>
          </rPr>
          <t>glassj:</t>
        </r>
        <r>
          <rPr>
            <sz val="8"/>
            <color indexed="81"/>
            <rFont val="Tahoma"/>
            <family val="2"/>
          </rPr>
          <t xml:space="preserve">
</t>
        </r>
      </text>
    </comment>
    <comment ref="AC135" authorId="0">
      <text>
        <r>
          <rPr>
            <b/>
            <sz val="8"/>
            <color indexed="81"/>
            <rFont val="Tahoma"/>
            <family val="2"/>
          </rPr>
          <t>glassj:</t>
        </r>
        <r>
          <rPr>
            <sz val="8"/>
            <color indexed="81"/>
            <rFont val="Tahoma"/>
            <family val="2"/>
          </rPr>
          <t xml:space="preserve">
Positve in Spain &amp; Germany, neg. in UK</t>
        </r>
      </text>
    </comment>
    <comment ref="EX135" authorId="0">
      <text>
        <r>
          <rPr>
            <b/>
            <sz val="8"/>
            <color indexed="81"/>
            <rFont val="Tahoma"/>
            <family val="2"/>
          </rPr>
          <t>glassj:</t>
        </r>
        <r>
          <rPr>
            <sz val="8"/>
            <color indexed="81"/>
            <rFont val="Tahoma"/>
            <family val="2"/>
          </rPr>
          <t xml:space="preserve">
Europe, Middle East, Africa and Asia Pacific</t>
        </r>
      </text>
    </comment>
    <comment ref="A136" authorId="0">
      <text>
        <r>
          <rPr>
            <b/>
            <sz val="8"/>
            <color indexed="81"/>
            <rFont val="Tahoma"/>
            <family val="2"/>
          </rPr>
          <t>glassj:</t>
        </r>
        <r>
          <rPr>
            <sz val="8"/>
            <color indexed="81"/>
            <rFont val="Tahoma"/>
            <family val="2"/>
          </rPr>
          <t xml:space="preserve">
Europe, Middle East, Africa and Asia Pacific</t>
        </r>
      </text>
    </comment>
    <comment ref="AA136" authorId="0">
      <text>
        <r>
          <rPr>
            <b/>
            <sz val="8"/>
            <color indexed="81"/>
            <rFont val="Tahoma"/>
            <family val="2"/>
          </rPr>
          <t>glassj:</t>
        </r>
        <r>
          <rPr>
            <sz val="8"/>
            <color indexed="81"/>
            <rFont val="Tahoma"/>
            <family val="2"/>
          </rPr>
          <t xml:space="preserve">
Primarily UK comp pressure</t>
        </r>
      </text>
    </comment>
    <comment ref="AB136" authorId="0">
      <text>
        <r>
          <rPr>
            <b/>
            <sz val="8"/>
            <color indexed="81"/>
            <rFont val="Tahoma"/>
            <family val="2"/>
          </rPr>
          <t>glassj:</t>
        </r>
        <r>
          <rPr>
            <sz val="8"/>
            <color indexed="81"/>
            <rFont val="Tahoma"/>
            <family val="2"/>
          </rPr>
          <t xml:space="preserve">
</t>
        </r>
      </text>
    </comment>
    <comment ref="AC136" authorId="0">
      <text>
        <r>
          <rPr>
            <b/>
            <sz val="8"/>
            <color indexed="81"/>
            <rFont val="Tahoma"/>
            <family val="2"/>
          </rPr>
          <t>glassj:</t>
        </r>
        <r>
          <rPr>
            <sz val="8"/>
            <color indexed="81"/>
            <rFont val="Tahoma"/>
            <family val="2"/>
          </rPr>
          <t xml:space="preserve">
Positve in Spain &amp; Germany, neg. in UK</t>
        </r>
      </text>
    </comment>
    <comment ref="EX136" authorId="0">
      <text>
        <r>
          <rPr>
            <b/>
            <sz val="8"/>
            <color indexed="81"/>
            <rFont val="Tahoma"/>
            <family val="2"/>
          </rPr>
          <t>glassj:</t>
        </r>
        <r>
          <rPr>
            <sz val="8"/>
            <color indexed="81"/>
            <rFont val="Tahoma"/>
            <family val="2"/>
          </rPr>
          <t xml:space="preserve">
Europe, Middle East, Africa and Asia Pacific</t>
        </r>
      </text>
    </comment>
    <comment ref="A137" authorId="6">
      <text>
        <r>
          <rPr>
            <b/>
            <sz val="8"/>
            <color indexed="81"/>
            <rFont val="Tahoma"/>
            <family val="2"/>
          </rPr>
          <t>Sushama Dasari:</t>
        </r>
        <r>
          <rPr>
            <sz val="8"/>
            <color indexed="81"/>
            <rFont val="Tahoma"/>
            <family val="2"/>
          </rPr>
          <t xml:space="preserve">
Formerly Latin America</t>
        </r>
      </text>
    </comment>
    <comment ref="Z137" authorId="0">
      <text>
        <r>
          <rPr>
            <b/>
            <sz val="8"/>
            <color indexed="81"/>
            <rFont val="Tahoma"/>
            <family val="2"/>
          </rPr>
          <t>glassj:</t>
        </r>
        <r>
          <rPr>
            <sz val="8"/>
            <color indexed="81"/>
            <rFont val="Tahoma"/>
            <family val="2"/>
          </rPr>
          <t xml:space="preserve">
hurt by mexican presidential election, govt shut donwof PR</t>
        </r>
      </text>
    </comment>
    <comment ref="AB137" authorId="0">
      <text>
        <r>
          <rPr>
            <b/>
            <sz val="8"/>
            <color indexed="81"/>
            <rFont val="Tahoma"/>
            <family val="2"/>
          </rPr>
          <t>glassj:</t>
        </r>
        <r>
          <rPr>
            <sz val="8"/>
            <color indexed="81"/>
            <rFont val="Tahoma"/>
            <family val="2"/>
          </rPr>
          <t xml:space="preserve">
strong resutls from Mexico, 300th uit celebration, 15 peso whopper</t>
        </r>
      </text>
    </comment>
    <comment ref="EX137" authorId="6">
      <text>
        <r>
          <rPr>
            <b/>
            <sz val="8"/>
            <color indexed="81"/>
            <rFont val="Tahoma"/>
            <family val="2"/>
          </rPr>
          <t>Sushama Dasari:</t>
        </r>
        <r>
          <rPr>
            <sz val="8"/>
            <color indexed="81"/>
            <rFont val="Tahoma"/>
            <family val="2"/>
          </rPr>
          <t xml:space="preserve">
Formerly Latin America</t>
        </r>
      </text>
    </comment>
    <comment ref="AA138" authorId="0">
      <text>
        <r>
          <rPr>
            <b/>
            <sz val="8"/>
            <color indexed="81"/>
            <rFont val="Tahoma"/>
            <family val="2"/>
          </rPr>
          <t>glassj:</t>
        </r>
        <r>
          <rPr>
            <sz val="8"/>
            <color indexed="81"/>
            <rFont val="Tahoma"/>
            <family val="2"/>
          </rPr>
          <t xml:space="preserve">
Primarily UK comp pressure</t>
        </r>
      </text>
    </comment>
    <comment ref="AB138" authorId="0">
      <text>
        <r>
          <rPr>
            <b/>
            <sz val="8"/>
            <color indexed="81"/>
            <rFont val="Tahoma"/>
            <family val="2"/>
          </rPr>
          <t>glassj:</t>
        </r>
        <r>
          <rPr>
            <sz val="8"/>
            <color indexed="81"/>
            <rFont val="Tahoma"/>
            <family val="2"/>
          </rPr>
          <t xml:space="preserve">
</t>
        </r>
      </text>
    </comment>
    <comment ref="AC138" authorId="0">
      <text>
        <r>
          <rPr>
            <b/>
            <sz val="8"/>
            <color indexed="81"/>
            <rFont val="Tahoma"/>
            <family val="2"/>
          </rPr>
          <t>glassj:</t>
        </r>
        <r>
          <rPr>
            <sz val="8"/>
            <color indexed="81"/>
            <rFont val="Tahoma"/>
            <family val="2"/>
          </rPr>
          <t xml:space="preserve">
Positve in Spain &amp; Germany, neg. in UK</t>
        </r>
      </text>
    </comment>
    <comment ref="BJ164" authorId="6">
      <text>
        <r>
          <rPr>
            <b/>
            <sz val="8"/>
            <color indexed="81"/>
            <rFont val="Tahoma"/>
            <family val="2"/>
          </rPr>
          <t>Sushama Dasari:</t>
        </r>
        <r>
          <rPr>
            <sz val="8"/>
            <color indexed="81"/>
            <rFont val="Tahoma"/>
            <family val="2"/>
          </rPr>
          <t xml:space="preserve">
Not same as CF</t>
        </r>
      </text>
    </comment>
    <comment ref="BT167" authorId="10">
      <text>
        <r>
          <rPr>
            <b/>
            <sz val="9"/>
            <color indexed="81"/>
            <rFont val="Tahoma"/>
            <family val="2"/>
          </rPr>
          <t>2014 10K:</t>
        </r>
        <r>
          <rPr>
            <sz val="9"/>
            <color indexed="81"/>
            <rFont val="Tahoma"/>
            <family val="2"/>
          </rPr>
          <t xml:space="preserve">
Include $7.7M of share-based comp for remeasurement of TH stock comp. </t>
        </r>
      </text>
    </comment>
    <comment ref="BY167" authorId="10">
      <text>
        <r>
          <rPr>
            <b/>
            <sz val="9"/>
            <color indexed="81"/>
            <rFont val="Tahoma"/>
            <family val="2"/>
          </rPr>
          <t>2014 10K:</t>
        </r>
        <r>
          <rPr>
            <sz val="9"/>
            <color indexed="81"/>
            <rFont val="Tahoma"/>
            <family val="2"/>
          </rPr>
          <t xml:space="preserve">
Include $7.7M of share-based comp for remeasurement of TH stock comp. </t>
        </r>
      </text>
    </comment>
    <comment ref="CD168" authorId="3">
      <text>
        <r>
          <rPr>
            <b/>
            <sz val="9"/>
            <color indexed="81"/>
            <rFont val="Tahoma"/>
            <family val="2"/>
          </rPr>
          <t>O'Brien, Courtney (Research):</t>
        </r>
        <r>
          <rPr>
            <sz val="9"/>
            <color indexed="81"/>
            <rFont val="Tahoma"/>
            <family val="2"/>
          </rPr>
          <t xml:space="preserve">
primarily severence, should come down materially</t>
        </r>
      </text>
    </comment>
    <comment ref="CB169" authorId="3">
      <text>
        <r>
          <rPr>
            <b/>
            <sz val="9"/>
            <color indexed="81"/>
            <rFont val="Tahoma"/>
            <family val="2"/>
          </rPr>
          <t>O'Brien, Courtney (Research):</t>
        </r>
        <r>
          <rPr>
            <sz val="9"/>
            <color indexed="81"/>
            <rFont val="Tahoma"/>
            <family val="2"/>
          </rPr>
          <t xml:space="preserve">
Acquisition accounting impact on cost of sales</t>
        </r>
      </text>
    </comment>
    <comment ref="CG173" authorId="3">
      <text>
        <r>
          <rPr>
            <sz val="9"/>
            <color indexed="81"/>
            <rFont val="Tahoma"/>
            <family val="2"/>
          </rPr>
          <t xml:space="preserve">
Represents (i) (income) loss from equity investments and (ii) cash distributions received from our equity method investments. Cash distributions received from our equity method investments are included in segment income.
</t>
        </r>
      </text>
    </comment>
    <comment ref="CL173" authorId="3">
      <text>
        <r>
          <rPr>
            <sz val="9"/>
            <color indexed="81"/>
            <rFont val="Tahoma"/>
            <family val="2"/>
          </rPr>
          <t xml:space="preserve">
Represents (i) (income) loss from equity investments and (ii) cash distributions received from our equity method investments. Cash distributions received from our equity method investments are included in segment income.
</t>
        </r>
      </text>
    </comment>
    <comment ref="CQ173" authorId="3">
      <text>
        <r>
          <rPr>
            <sz val="9"/>
            <color indexed="81"/>
            <rFont val="Tahoma"/>
            <family val="2"/>
          </rPr>
          <t xml:space="preserve">
Represents (i) (income) loss from equity investments and (ii) cash distributions received from our equity method investments. Cash distributions received from our equity method investments are included in segment income.
</t>
        </r>
      </text>
    </comment>
    <comment ref="A189" authorId="1">
      <text>
        <r>
          <rPr>
            <b/>
            <sz val="9"/>
            <color indexed="81"/>
            <rFont val="Tahoma"/>
            <family val="2"/>
          </rPr>
          <t>2.
towerj:</t>
        </r>
        <r>
          <rPr>
            <sz val="9"/>
            <color indexed="81"/>
            <rFont val="Tahoma"/>
            <family val="2"/>
          </rPr>
          <t xml:space="preserve">
Adjusted EBITDA excludes: (a) the effects of the compensatory make-whole payment made to holders of options and restricted stock unit awards in February 2006 (the "compensatory make-whole payment"); (b) the effects of our global reorganization and realignment (c) the effects of quarterly management fees paid in the prior year to Texas Pacific Group, Bain Capital Partners and the Goldman Sachs Funds (the "Sponsors") under a management agreement ("management fees") that was terminated in May 2006; and (d) the costs (recovery) of the Franchisee Financial Restructuring Program (FFRP).</t>
        </r>
      </text>
    </comment>
    <comment ref="AF189" authorId="1">
      <text>
        <r>
          <rPr>
            <b/>
            <sz val="8"/>
            <color indexed="81"/>
            <rFont val="Tahoma"/>
            <family val="2"/>
          </rPr>
          <t xml:space="preserve">towerj:
8.24.07
</t>
        </r>
        <r>
          <rPr>
            <sz val="8"/>
            <color indexed="81"/>
            <rFont val="Tahoma"/>
            <family val="2"/>
          </rPr>
          <t>Adjusted EBITDA for fiscal 2007 excludes the effects of costs associated with the termination of the Company's lease for a new headquarters facility, which the Company had proposed to build in Coral Gables, FL ("lease termination costs"). Adjusted EBITDA for fiscal 2006 excludes the effects of: (a) the compensatory make-whole payment made to holders of options and restricted stock unit awards in February 2006 (the "compensatory make-whole payment"); (b) the fee paid to Texas Pacific Group, Bain Capital Partners and the Goldman Sachs Funds ("the Sponsors") to terminate our management agreement with them upon completion of our initial public offering in May 2006 ("management agreement termination fee"); (c) our European and Asian business realignment costs; (d) quarterly management fees paid to the Sponsors under the management agreement ("management fees"); and (e) executive severance.</t>
        </r>
        <r>
          <rPr>
            <b/>
            <sz val="8"/>
            <color indexed="81"/>
            <rFont val="Tahoma"/>
            <family val="2"/>
          </rPr>
          <t xml:space="preserve">
</t>
        </r>
        <r>
          <rPr>
            <sz val="8"/>
            <color indexed="81"/>
            <rFont val="Tahoma"/>
            <family val="2"/>
          </rPr>
          <t xml:space="preserve">
4.27.07
company is on target to exceed goals for FY including:
Growing top-line revenue by 6 - 7 percent
Growing adjusted EBITDA 10 - 12 percent
Increasing adjusted net income in excess of 20 percent</t>
        </r>
      </text>
    </comment>
    <comment ref="AK190" authorId="4">
      <text>
        <r>
          <rPr>
            <b/>
            <sz val="8"/>
            <color indexed="81"/>
            <rFont val="Tahoma"/>
            <family val="2"/>
          </rPr>
          <t>CIBC:</t>
        </r>
        <r>
          <rPr>
            <sz val="8"/>
            <color indexed="81"/>
            <rFont val="Tahoma"/>
            <family val="2"/>
          </rPr>
          <t xml:space="preserve">
10-12% growth</t>
        </r>
      </text>
    </comment>
    <comment ref="AP190" authorId="4">
      <text>
        <r>
          <rPr>
            <b/>
            <sz val="8"/>
            <color indexed="81"/>
            <rFont val="Tahoma"/>
            <family val="2"/>
          </rPr>
          <t>CIBC:</t>
        </r>
        <r>
          <rPr>
            <sz val="8"/>
            <color indexed="81"/>
            <rFont val="Tahoma"/>
            <family val="2"/>
          </rPr>
          <t xml:space="preserve">
10-12% growth</t>
        </r>
      </text>
    </comment>
    <comment ref="A226" authorId="1">
      <text>
        <r>
          <rPr>
            <b/>
            <sz val="9"/>
            <color indexed="81"/>
            <rFont val="Tahoma"/>
            <family val="2"/>
          </rPr>
          <t>towerj:</t>
        </r>
        <r>
          <rPr>
            <sz val="9"/>
            <color indexed="81"/>
            <rFont val="Tahoma"/>
            <family val="2"/>
          </rPr>
          <t xml:space="preserve">
Adjusted net income excludes: (a) the effects of the compensatory make-whole payment; (b) interest expense on the $350 million loan paid off with the proceeds of our initial public offering; (c) the effects of our global reorganization and realignment; (d) the effects of the management fees; (e) the loss on early extinguishment of debt; (f) the effects of FFRP costs (recovery); and (g) the tax effects of unusual items, resulting in an adjusted effective tax rate of 40% for the first quarter and first nine months of fiscal 2006</t>
        </r>
      </text>
    </comment>
    <comment ref="A228" authorId="11">
      <text>
        <r>
          <rPr>
            <b/>
            <sz val="8"/>
            <color indexed="81"/>
            <rFont val="Tahoma"/>
            <family val="2"/>
          </rPr>
          <t>Jake Bartlett:</t>
        </r>
        <r>
          <rPr>
            <sz val="8"/>
            <color indexed="81"/>
            <rFont val="Tahoma"/>
            <family val="2"/>
          </rPr>
          <t xml:space="preserve">
Adjusted income tax expense for the periods indicated is calculated using the Company’s statutory tax rate in the jurisdiction in which the costs were incurred.</t>
        </r>
      </text>
    </comment>
    <comment ref="CA228" authorId="3">
      <text>
        <r>
          <rPr>
            <b/>
            <sz val="9"/>
            <color indexed="81"/>
            <rFont val="Tahoma"/>
            <family val="2"/>
          </rPr>
          <t>O'Brien, Courtney (Research):</t>
        </r>
        <r>
          <rPr>
            <sz val="9"/>
            <color indexed="81"/>
            <rFont val="Tahoma"/>
            <family val="2"/>
          </rPr>
          <t xml:space="preserve">
4.23.15
The pro forma adjusted income tax expense reflects the tax effect of the pro forma adjusted income before income taxes using an estimated normalized rate of 23.0%.</t>
        </r>
      </text>
    </comment>
    <comment ref="A233" authorId="1">
      <text>
        <r>
          <rPr>
            <b/>
            <sz val="9"/>
            <color indexed="81"/>
            <rFont val="Tahoma"/>
            <family val="2"/>
          </rPr>
          <t>towerj:</t>
        </r>
        <r>
          <rPr>
            <sz val="9"/>
            <color indexed="81"/>
            <rFont val="Tahoma"/>
            <family val="2"/>
          </rPr>
          <t xml:space="preserve">
Adjusted income tax expense is calculated by using the Company's actual tax rate and excluding the tax effects of unusual items, resulting in an adjusted effective tax rate.</t>
        </r>
      </text>
    </comment>
    <comment ref="AF233" authorId="4">
      <text>
        <r>
          <rPr>
            <b/>
            <sz val="8"/>
            <color indexed="81"/>
            <rFont val="Tahoma"/>
            <family val="2"/>
          </rPr>
          <t>CIBC:</t>
        </r>
        <r>
          <rPr>
            <sz val="8"/>
            <color indexed="81"/>
            <rFont val="Tahoma"/>
            <family val="2"/>
          </rPr>
          <t xml:space="preserve">
8.24.07
Adjusted EBITDA for fiscal 2007 excludes the effects of costs associated with the termination of the Company's lease for a new headquarters facility, which the Company had proposed to build in Coral Gables, FL ("lease termination costs"). Adjusted EBITDA for fiscal 2006 excludes the effects of: (a) the compensatory make-whole payment made to holders of options and restricted stock unit awards in February 2006 (the "compensatory make-whole payment"); (b) the fee paid to Texas Pacific Group, Bain Capital Partners and the Goldman Sachs Funds ("the Sponsors") to terminate our management agreement with them upon completion of our initial public offering in May 2006 ("management agreement termination fee"); (c) our European and Asian business realignment costs; (d) quarterly management fees paid to the Sponsors under the management agreement ("management fees"); and (e) executive severance.
</t>
        </r>
      </text>
    </comment>
    <comment ref="A234" authorId="1">
      <text>
        <r>
          <rPr>
            <b/>
            <sz val="9"/>
            <color indexed="81"/>
            <rFont val="Tahoma"/>
            <family val="2"/>
          </rPr>
          <t>towerj:</t>
        </r>
        <r>
          <rPr>
            <sz val="9"/>
            <color indexed="81"/>
            <rFont val="Tahoma"/>
            <family val="2"/>
          </rPr>
          <t xml:space="preserve">
Adjusted income tax expense is calculated by using the Company's actual tax rate and excluding the tax effects of unusual items, resulting in an adjusted effective tax rate.</t>
        </r>
      </text>
    </comment>
    <comment ref="AF234" authorId="4">
      <text>
        <r>
          <rPr>
            <b/>
            <sz val="8"/>
            <color indexed="81"/>
            <rFont val="Tahoma"/>
            <family val="2"/>
          </rPr>
          <t>CIBC:</t>
        </r>
        <r>
          <rPr>
            <sz val="8"/>
            <color indexed="81"/>
            <rFont val="Tahoma"/>
            <family val="2"/>
          </rPr>
          <t xml:space="preserve">
8.24.07
Adjusted EBITDA for fiscal 2007 excludes the effects of costs associated with the termination of the Company's lease for a new headquarters facility, which the Company had proposed to build in Coral Gables, FL ("lease termination costs"). Adjusted EBITDA for fiscal 2006 excludes the effects of: (a) the compensatory make-whole payment made to holders of options and restricted stock unit awards in February 2006 (the "compensatory make-whole payment"); (b) the fee paid to Texas Pacific Group, Bain Capital Partners and the Goldman Sachs Funds ("the Sponsors") to terminate our management agreement with them upon completion of our initial public offering in May 2006 ("management agreement termination fee"); (c) our European and Asian business realignment costs; (d) quarterly management fees paid to the Sponsors under the management agreement ("management fees"); and (e) executive severance.
</t>
        </r>
      </text>
    </comment>
    <comment ref="A235" authorId="1">
      <text>
        <r>
          <rPr>
            <b/>
            <sz val="9"/>
            <color indexed="81"/>
            <rFont val="Tahoma"/>
            <family val="2"/>
          </rPr>
          <t>towerj:</t>
        </r>
        <r>
          <rPr>
            <sz val="9"/>
            <color indexed="81"/>
            <rFont val="Tahoma"/>
            <family val="2"/>
          </rPr>
          <t xml:space="preserve">
Adjusted income tax expense is calculated by using the Company's actual tax rate and excluding the tax effects of unusual items, resulting in an adjusted effective tax rate.</t>
        </r>
      </text>
    </comment>
    <comment ref="AF235" authorId="4">
      <text>
        <r>
          <rPr>
            <b/>
            <sz val="8"/>
            <color indexed="81"/>
            <rFont val="Tahoma"/>
            <family val="2"/>
          </rPr>
          <t>CIBC:</t>
        </r>
        <r>
          <rPr>
            <sz val="8"/>
            <color indexed="81"/>
            <rFont val="Tahoma"/>
            <family val="2"/>
          </rPr>
          <t xml:space="preserve">
8.24.07
Adjusted EBITDA for fiscal 2007 excludes the effects of costs associated with the termination of the Company's lease for a new headquarters facility, which the Company had proposed to build in Coral Gables, FL ("lease termination costs"). Adjusted EBITDA for fiscal 2006 excludes the effects of: (a) the compensatory make-whole payment made to holders of options and restricted stock unit awards in February 2006 (the "compensatory make-whole payment"); (b) the fee paid to Texas Pacific Group, Bain Capital Partners and the Goldman Sachs Funds ("the Sponsors") to terminate our management agreement with them upon completion of our initial public offering in May 2006 ("management agreement termination fee"); (c) our European and Asian business realignment costs; (d) quarterly management fees paid to the Sponsors under the management agreement ("management fees"); and (e) executive severance.
</t>
        </r>
      </text>
    </comment>
    <comment ref="A236" authorId="1">
      <text>
        <r>
          <rPr>
            <b/>
            <sz val="9"/>
            <color indexed="81"/>
            <rFont val="Tahoma"/>
            <family val="2"/>
          </rPr>
          <t>towerj:</t>
        </r>
        <r>
          <rPr>
            <sz val="9"/>
            <color indexed="81"/>
            <rFont val="Tahoma"/>
            <family val="2"/>
          </rPr>
          <t xml:space="preserve">
Adjusted income tax expense is calculated by using the Company's actual tax rate and excluding the tax effects of unusual items, resulting in an adjusted effective tax rate.</t>
        </r>
      </text>
    </comment>
    <comment ref="AF236" authorId="4">
      <text>
        <r>
          <rPr>
            <b/>
            <sz val="8"/>
            <color indexed="81"/>
            <rFont val="Tahoma"/>
            <family val="2"/>
          </rPr>
          <t>CIBC:</t>
        </r>
        <r>
          <rPr>
            <sz val="8"/>
            <color indexed="81"/>
            <rFont val="Tahoma"/>
            <family val="2"/>
          </rPr>
          <t xml:space="preserve">
8.24.07
Adjusted EBITDA for fiscal 2007 excludes the effects of costs associated with the termination of the Company's lease for a new headquarters facility, which the Company had proposed to build in Coral Gables, FL ("lease termination costs"). Adjusted EBITDA for fiscal 2006 excludes the effects of: (a) the compensatory make-whole payment made to holders of options and restricted stock unit awards in February 2006 (the "compensatory make-whole payment"); (b) the fee paid to Texas Pacific Group, Bain Capital Partners and the Goldman Sachs Funds ("the Sponsors") to terminate our management agreement with them upon completion of our initial public offering in May 2006 ("management agreement termination fee"); (c) our European and Asian business realignment costs; (d) quarterly management fees paid to the Sponsors under the management agreement ("management fees"); and (e) executive severance.
</t>
        </r>
      </text>
    </comment>
    <comment ref="CE302" authorId="3">
      <text>
        <r>
          <rPr>
            <b/>
            <sz val="9"/>
            <color indexed="81"/>
            <rFont val="Tahoma"/>
            <family val="2"/>
          </rPr>
          <t>O'Brien, Courtney (Research):</t>
        </r>
        <r>
          <rPr>
            <sz val="9"/>
            <color indexed="81"/>
            <rFont val="Tahoma"/>
            <family val="2"/>
          </rPr>
          <t xml:space="preserve">
2.16.16
(a) Net losses on disposal of assets, restaurant closures and refranchisings consisted of net losses associated with refranchisings and net losses associated with asset disposals and restaurant closures. 
</t>
        </r>
      </text>
    </comment>
    <comment ref="BT329" authorId="10">
      <text>
        <r>
          <rPr>
            <b/>
            <sz val="9"/>
            <color indexed="81"/>
            <rFont val="Tahoma"/>
            <family val="2"/>
          </rPr>
          <t>10K:</t>
        </r>
        <r>
          <rPr>
            <sz val="9"/>
            <color indexed="81"/>
            <rFont val="Tahoma"/>
            <family val="2"/>
          </rPr>
          <t xml:space="preserve">
Includes VIE's so higher</t>
        </r>
      </text>
    </comment>
    <comment ref="BY329" authorId="10">
      <text>
        <r>
          <rPr>
            <b/>
            <sz val="9"/>
            <color indexed="81"/>
            <rFont val="Tahoma"/>
            <family val="2"/>
          </rPr>
          <t>10K:</t>
        </r>
        <r>
          <rPr>
            <sz val="9"/>
            <color indexed="81"/>
            <rFont val="Tahoma"/>
            <family val="2"/>
          </rPr>
          <t xml:space="preserve">
Includes VIE's so higher</t>
        </r>
      </text>
    </comment>
    <comment ref="BK333"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Pro forma all-franchised business in 2012 would still have ~$213M management G&amp;A</t>
        </r>
      </text>
    </comment>
    <comment ref="BP333" authorId="7">
      <text>
        <r>
          <rPr>
            <b/>
            <sz val="8"/>
            <color indexed="81"/>
            <rFont val="Tahoma"/>
            <family val="2"/>
          </rPr>
          <t>sushamad:</t>
        </r>
        <r>
          <rPr>
            <sz val="8"/>
            <color indexed="81"/>
            <rFont val="Tahoma"/>
            <family val="2"/>
          </rPr>
          <t xml:space="preserve">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U333" authorId="7">
      <text>
        <r>
          <rPr>
            <b/>
            <sz val="8"/>
            <color indexed="81"/>
            <rFont val="Tahoma"/>
            <family val="2"/>
          </rPr>
          <t xml:space="preserve">4.14: </t>
        </r>
        <r>
          <rPr>
            <sz val="8"/>
            <color indexed="81"/>
            <rFont val="Tahoma"/>
            <family val="2"/>
          </rPr>
          <t xml:space="preserve">corporate G&amp;A about the same as 113 ($180 m)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BZ333" authorId="7">
      <text>
        <r>
          <rPr>
            <b/>
            <sz val="8"/>
            <color indexed="81"/>
            <rFont val="Tahoma"/>
            <family val="2"/>
          </rPr>
          <t xml:space="preserve">4.14: </t>
        </r>
        <r>
          <rPr>
            <sz val="8"/>
            <color indexed="81"/>
            <rFont val="Tahoma"/>
            <family val="2"/>
          </rPr>
          <t xml:space="preserve">corporate G&amp;A about the same as 113 ($180 m)
</t>
        </r>
        <r>
          <rPr>
            <b/>
            <sz val="8"/>
            <color indexed="81"/>
            <rFont val="Tahoma"/>
            <family val="2"/>
          </rPr>
          <t xml:space="preserve">2.15.13
</t>
        </r>
        <r>
          <rPr>
            <sz val="8"/>
            <color indexed="81"/>
            <rFont val="Tahoma"/>
            <family val="2"/>
          </rPr>
          <t xml:space="preserve">Pro forma all-franchised business in 2012 would still have ~$213M management G&amp;A --&gt; </t>
        </r>
        <r>
          <rPr>
            <b/>
            <sz val="8"/>
            <color indexed="81"/>
            <rFont val="Tahoma"/>
            <family val="2"/>
          </rPr>
          <t>expect similar in 2013 and 2014</t>
        </r>
      </text>
    </comment>
    <comment ref="CA341" authorId="3">
      <text>
        <r>
          <rPr>
            <b/>
            <sz val="9"/>
            <color indexed="81"/>
            <rFont val="Tahoma"/>
            <family val="2"/>
          </rPr>
          <t>O'Brien, Courtney (Research):</t>
        </r>
        <r>
          <rPr>
            <sz val="9"/>
            <color indexed="81"/>
            <rFont val="Tahoma"/>
            <family val="2"/>
          </rPr>
          <t xml:space="preserve">
4.27.15
includes an $8.4M of share based comp related to the re-measurement of liability classified stock options to fair value and additional stock options granted in '15 and '14
</t>
        </r>
      </text>
    </comment>
    <comment ref="CA345" authorId="3">
      <text>
        <r>
          <rPr>
            <b/>
            <sz val="9"/>
            <color indexed="81"/>
            <rFont val="Tahoma"/>
            <family val="2"/>
          </rPr>
          <t xml:space="preserve">O'Brien, Courtney (Research):
4.23.15
</t>
        </r>
        <r>
          <rPr>
            <sz val="9"/>
            <color indexed="81"/>
            <rFont val="Tahoma"/>
            <family val="2"/>
          </rPr>
          <t xml:space="preserve">
THI transaction and restructuring costs
</t>
        </r>
      </text>
    </comment>
    <comment ref="CF346" authorId="9">
      <text>
        <r>
          <rPr>
            <b/>
            <sz val="9"/>
            <color indexed="81"/>
            <rFont val="Tahoma"/>
            <family val="2"/>
          </rPr>
          <t>Carril, Christopher E (Research):</t>
        </r>
        <r>
          <rPr>
            <sz val="9"/>
            <color indexed="81"/>
            <rFont val="Tahoma"/>
            <family val="2"/>
          </rPr>
          <t xml:space="preserve">
Integration costs</t>
        </r>
      </text>
    </comment>
    <comment ref="CG346" authorId="9">
      <text>
        <r>
          <rPr>
            <b/>
            <sz val="9"/>
            <color indexed="81"/>
            <rFont val="Tahoma"/>
            <family val="2"/>
          </rPr>
          <t>Carril, Christopher E (Research):</t>
        </r>
        <r>
          <rPr>
            <sz val="9"/>
            <color indexed="81"/>
            <rFont val="Tahoma"/>
            <family val="2"/>
          </rPr>
          <t xml:space="preserve">
Integration costs</t>
        </r>
      </text>
    </comment>
    <comment ref="CA347" authorId="10">
      <text>
        <r>
          <rPr>
            <b/>
            <sz val="9"/>
            <color indexed="81"/>
            <rFont val="Tahoma"/>
            <family val="2"/>
          </rPr>
          <t>2014 10K:</t>
        </r>
        <r>
          <rPr>
            <sz val="9"/>
            <color indexed="81"/>
            <rFont val="Tahoma"/>
            <family val="2"/>
          </rPr>
          <t xml:space="preserve">
Expect $8.5M costs in 2015 for restructuring and severance costs</t>
        </r>
      </text>
    </comment>
    <comment ref="A372" authorId="12">
      <text>
        <r>
          <rPr>
            <sz val="8"/>
            <color indexed="81"/>
            <rFont val="Tahoma"/>
            <family val="2"/>
          </rPr>
          <t>Effective tax rate tagged  as statutory tax rate.  This rate is our ongoing assumption of the effective tax rate, not necessarily what is stated in 10-K.</t>
        </r>
      </text>
    </comment>
    <comment ref="BQ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BR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BS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BT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BV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BW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BX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BY383" authorId="11">
      <text>
        <r>
          <rPr>
            <b/>
            <sz val="8"/>
            <color indexed="81"/>
            <rFont val="Tahoma"/>
            <family val="2"/>
          </rPr>
          <t xml:space="preserve">3.7.14:
</t>
        </r>
        <r>
          <rPr>
            <sz val="8"/>
            <color indexed="81"/>
            <rFont val="Tahoma"/>
            <family val="2"/>
          </rPr>
          <t>As per Sami, buybacks intended only to offset dilution.</t>
        </r>
        <r>
          <rPr>
            <sz val="8"/>
            <color indexed="81"/>
            <rFont val="Tahoma"/>
            <family val="2"/>
          </rPr>
          <t xml:space="preserve">
</t>
        </r>
      </text>
    </comment>
    <comment ref="CB383" authorId="11">
      <text>
        <r>
          <rPr>
            <b/>
            <sz val="8"/>
            <color indexed="81"/>
            <rFont val="Tahoma"/>
            <family val="2"/>
          </rPr>
          <t>Jake Bartlett:</t>
        </r>
        <r>
          <rPr>
            <sz val="8"/>
            <color indexed="81"/>
            <rFont val="Tahoma"/>
            <family val="2"/>
          </rPr>
          <t xml:space="preserve">
We assume greater buybacks post refinancing as restrictions are lifted</t>
        </r>
      </text>
    </comment>
    <comment ref="BT397" authorId="10">
      <text>
        <r>
          <rPr>
            <b/>
            <sz val="9"/>
            <color indexed="81"/>
            <rFont val="Tahoma"/>
            <family val="2"/>
          </rPr>
          <t>2014 10K, page 109</t>
        </r>
        <r>
          <rPr>
            <sz val="9"/>
            <color indexed="81"/>
            <rFont val="Tahoma"/>
            <family val="2"/>
          </rPr>
          <t xml:space="preserve">
</t>
        </r>
      </text>
    </comment>
    <comment ref="BY397" authorId="10">
      <text>
        <r>
          <rPr>
            <b/>
            <sz val="9"/>
            <color indexed="81"/>
            <rFont val="Tahoma"/>
            <family val="2"/>
          </rPr>
          <t>2014 10K, page 109</t>
        </r>
        <r>
          <rPr>
            <sz val="9"/>
            <color indexed="81"/>
            <rFont val="Tahoma"/>
            <family val="2"/>
          </rPr>
          <t xml:space="preserve">
</t>
        </r>
      </text>
    </comment>
    <comment ref="BT402" authorId="10">
      <text>
        <r>
          <rPr>
            <b/>
            <sz val="9"/>
            <color indexed="81"/>
            <rFont val="Tahoma"/>
            <family val="2"/>
          </rPr>
          <t>2014 10K, page 110</t>
        </r>
        <r>
          <rPr>
            <sz val="9"/>
            <color indexed="81"/>
            <rFont val="Tahoma"/>
            <family val="2"/>
          </rPr>
          <t xml:space="preserve">
</t>
        </r>
      </text>
    </comment>
    <comment ref="BY402" authorId="10">
      <text>
        <r>
          <rPr>
            <b/>
            <sz val="9"/>
            <color indexed="81"/>
            <rFont val="Tahoma"/>
            <family val="2"/>
          </rPr>
          <t>2014 10K, page 110</t>
        </r>
        <r>
          <rPr>
            <sz val="9"/>
            <color indexed="81"/>
            <rFont val="Tahoma"/>
            <family val="2"/>
          </rPr>
          <t xml:space="preserve">
</t>
        </r>
      </text>
    </comment>
    <comment ref="BQ411" authorId="13">
      <text>
        <r>
          <rPr>
            <b/>
            <sz val="8"/>
            <color indexed="81"/>
            <rFont val="Tahoma"/>
            <family val="2"/>
          </rPr>
          <t>2013 10K:</t>
        </r>
        <r>
          <rPr>
            <sz val="8"/>
            <color indexed="81"/>
            <rFont val="Tahoma"/>
            <family val="2"/>
          </rPr>
          <t xml:space="preserve">
On February 12, 2014, our board declared a cash dividend of $0.07 per share, which will be paid on March 12, 2014 to shareholders of record on February 26, 2014.</t>
        </r>
        <r>
          <rPr>
            <sz val="8"/>
            <color indexed="81"/>
            <rFont val="Tahoma"/>
            <family val="2"/>
          </rPr>
          <t xml:space="preserve">
</t>
        </r>
      </text>
    </comment>
    <comment ref="BV411" authorId="13">
      <text>
        <r>
          <rPr>
            <b/>
            <sz val="8"/>
            <color indexed="81"/>
            <rFont val="Tahoma"/>
            <family val="2"/>
          </rPr>
          <t>2013 10K:</t>
        </r>
        <r>
          <rPr>
            <sz val="8"/>
            <color indexed="81"/>
            <rFont val="Tahoma"/>
            <family val="2"/>
          </rPr>
          <t xml:space="preserve">
On February 12, 2014, our board declared a cash dividend of $0.07 per share, which will be paid on March 12, 2014 to shareholders of record on February 26, 2014.</t>
        </r>
        <r>
          <rPr>
            <sz val="8"/>
            <color indexed="81"/>
            <rFont val="Tahoma"/>
            <family val="2"/>
          </rPr>
          <t xml:space="preserve">
</t>
        </r>
      </text>
    </comment>
    <comment ref="CA411" authorId="10">
      <text>
        <r>
          <rPr>
            <b/>
            <sz val="9"/>
            <color indexed="81"/>
            <rFont val="Tahoma"/>
            <family val="2"/>
          </rPr>
          <t>2.17.15:</t>
        </r>
        <r>
          <rPr>
            <sz val="9"/>
            <color indexed="81"/>
            <rFont val="Tahoma"/>
            <family val="2"/>
          </rPr>
          <t xml:space="preserve">
$0.09 quarterly div announced</t>
        </r>
      </text>
    </comment>
  </commentList>
</comments>
</file>

<file path=xl/comments3.xml><?xml version="1.0" encoding="utf-8"?>
<comments xmlns="http://schemas.openxmlformats.org/spreadsheetml/2006/main">
  <authors>
    <author>towerj</author>
    <author>CIBC</author>
    <author>Jon Tower</author>
    <author>O'Brien, Courtney (Research)</author>
    <author>Bartlett, Jake (Research)</author>
    <author>Glass, John (Research)</author>
    <author>Carril, Christopher E (Research)</author>
    <author>Sushama Dasari</author>
    <author>Jake Bartlett</author>
  </authors>
  <commentList>
    <comment ref="AD33" authorId="0">
      <text>
        <r>
          <rPr>
            <b/>
            <sz val="9"/>
            <color indexed="81"/>
            <rFont val="Tahoma"/>
            <family val="2"/>
          </rPr>
          <t>towerj:</t>
        </r>
        <r>
          <rPr>
            <sz val="9"/>
            <color indexed="81"/>
            <rFont val="Tahoma"/>
            <family val="2"/>
          </rPr>
          <t xml:space="preserve">
1.31.07 $25M of debt retired on 1/30/07</t>
        </r>
      </text>
    </comment>
    <comment ref="AF33" authorId="0">
      <text>
        <r>
          <rPr>
            <b/>
            <sz val="9"/>
            <color indexed="81"/>
            <rFont val="Tahoma"/>
            <family val="2"/>
          </rPr>
          <t>towerj:</t>
        </r>
        <r>
          <rPr>
            <sz val="9"/>
            <color indexed="81"/>
            <rFont val="Tahoma"/>
            <family val="2"/>
          </rPr>
          <t xml:space="preserve">
11.1.06
Reducing debt using excess cash generated from operations</t>
        </r>
      </text>
    </comment>
    <comment ref="AG33" authorId="1">
      <text>
        <r>
          <rPr>
            <sz val="8"/>
            <color indexed="81"/>
            <rFont val="Tahoma"/>
            <family val="2"/>
          </rPr>
          <t xml:space="preserve">7.26.07
that it will retire an additional $25 million in debt on July 31, 2007 using cash generated from operations.
</t>
        </r>
      </text>
    </comment>
    <comment ref="AQ33" authorId="2">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R33" authorId="2">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S33" authorId="2">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T33" authorId="2">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BA33" authorId="2">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80" authorId="3">
      <text>
        <r>
          <rPr>
            <b/>
            <sz val="9"/>
            <color indexed="81"/>
            <rFont val="Tahoma"/>
            <family val="2"/>
          </rPr>
          <t>Maturity date 1/15/22; redeemable no makewhole in oct 2019, with makewhoel in oct 2017 102.3%</t>
        </r>
      </text>
    </comment>
    <comment ref="A81" authorId="4">
      <text>
        <r>
          <rPr>
            <sz val="9"/>
            <color indexed="81"/>
            <rFont val="Tahoma"/>
            <family val="2"/>
          </rPr>
          <t xml:space="preserve">Maturity date: 12/12/21
</t>
        </r>
      </text>
    </comment>
    <comment ref="BT81" authorId="4">
      <text>
        <r>
          <rPr>
            <b/>
            <sz val="9"/>
            <color indexed="81"/>
            <rFont val="Tahoma"/>
            <family val="2"/>
          </rPr>
          <t>2014 10K:</t>
        </r>
        <r>
          <rPr>
            <sz val="9"/>
            <color indexed="81"/>
            <rFont val="Tahoma"/>
            <family val="2"/>
          </rPr>
          <t xml:space="preserve">
Net of $67.2M discount as of 12/31/14</t>
        </r>
      </text>
    </comment>
    <comment ref="BW81" authorId="5">
      <text>
        <r>
          <rPr>
            <b/>
            <sz val="9"/>
            <color indexed="81"/>
            <rFont val="Tahoma"/>
            <family val="2"/>
          </rPr>
          <t>Glass, John (Research):</t>
        </r>
        <r>
          <rPr>
            <sz val="9"/>
            <color indexed="81"/>
            <rFont val="Tahoma"/>
            <family val="2"/>
          </rPr>
          <t xml:space="preserve">
5.22.15: uissed $1.25 B in new notes at $4.625%, paud down a total of $1.55 B and then repcied total first lien at L +2.75% w a floor of 1%</t>
        </r>
      </text>
    </comment>
    <comment ref="DD81" authorId="4">
      <text>
        <r>
          <rPr>
            <b/>
            <sz val="9"/>
            <color indexed="81"/>
            <rFont val="Tahoma"/>
            <family val="2"/>
          </rPr>
          <t>Bartlett, Jake (Research):</t>
        </r>
        <r>
          <rPr>
            <sz val="9"/>
            <color indexed="81"/>
            <rFont val="Tahoma"/>
            <family val="2"/>
          </rPr>
          <t xml:space="preserve">
Matures 12/31/21</t>
        </r>
      </text>
    </comment>
    <comment ref="A82" authorId="4">
      <text>
        <r>
          <rPr>
            <sz val="9"/>
            <color indexed="81"/>
            <rFont val="Tahoma"/>
            <family val="2"/>
          </rPr>
          <t xml:space="preserve">Matures 12/12/19
</t>
        </r>
      </text>
    </comment>
    <comment ref="A83" authorId="4">
      <text>
        <r>
          <rPr>
            <sz val="8"/>
            <color indexed="81"/>
            <rFont val="Tahoma"/>
            <family val="2"/>
          </rPr>
          <t>Maturity date: 4/1/22</t>
        </r>
        <r>
          <rPr>
            <b/>
            <sz val="8"/>
            <color indexed="81"/>
            <rFont val="Tahoma"/>
            <family val="2"/>
          </rPr>
          <t xml:space="preserve">
</t>
        </r>
        <r>
          <rPr>
            <sz val="8"/>
            <color indexed="81"/>
            <rFont val="Tahoma"/>
            <family val="2"/>
          </rPr>
          <t xml:space="preserve">
The Borrowers may redeem some or all of the 2014 Senior Notes at any time prior to October 1, 2017 at a price equal to 100% of the principal amount of the Notes redeemed plus a “make whole” premium and, at any time on or after October 1, 2017, at the redemption prices set forth in the Indenture. In
addition, at any time prior to October 1, 2017, up to 40% of the aggregate principal amount of the 2014 Senior Notes may be redeemed with the net proceeds of certain equity offerings, at the redemption price specified in the Indenture. In connection with any tender offer for the 2014 Senior Notes, including a change of control offer or an asset sale offer, the Borrowers will have the right to redeem the 2014 Senior Notes at a redemption price equal to the amountoffered in that tender offer if not less than 90% in aggregate principal amount of the outstanding 2014 Senior Notes validly tender and do not withdraw such2014 Senior Notes in such tender offer. If the Borrowers experience a change of control, the holders of the 2014 Senior Notes will have the right to require theBorrowers to repurchase the 2014 Senior Notes at a purchase price equal to 101% of their aggregate principal amount plus accrued and unpaid interest and
Additional Amounts (as defined in the Indenture), if any, to the date of such repurchase.</t>
        </r>
      </text>
    </comment>
    <comment ref="DE83" authorId="4">
      <text>
        <r>
          <rPr>
            <b/>
            <sz val="9"/>
            <color indexed="81"/>
            <rFont val="Tahoma"/>
            <family val="2"/>
          </rPr>
          <t>Bartlett, Jake (Research):</t>
        </r>
        <r>
          <rPr>
            <sz val="9"/>
            <color indexed="81"/>
            <rFont val="Tahoma"/>
            <family val="2"/>
          </rPr>
          <t xml:space="preserve">
Matures 4/1/22</t>
        </r>
      </text>
    </comment>
    <comment ref="A84" authorId="5">
      <text>
        <r>
          <rPr>
            <b/>
            <sz val="9"/>
            <color indexed="81"/>
            <rFont val="Tahoma"/>
            <family val="2"/>
          </rPr>
          <t>Glass, John (Research):</t>
        </r>
        <r>
          <rPr>
            <sz val="9"/>
            <color indexed="81"/>
            <rFont val="Tahoma"/>
            <family val="2"/>
          </rPr>
          <t xml:space="preserve">
'17 Senior Notes sold May 17 2017, matures May '24, raised to retire 9% preferred</t>
        </r>
      </text>
    </comment>
    <comment ref="A85" authorId="6">
      <text>
        <r>
          <rPr>
            <b/>
            <sz val="9"/>
            <color indexed="81"/>
            <rFont val="Tahoma"/>
            <family val="2"/>
          </rPr>
          <t>Carril, Christopher E (Research):</t>
        </r>
        <r>
          <rPr>
            <sz val="9"/>
            <color indexed="81"/>
            <rFont val="Tahoma"/>
            <family val="2"/>
          </rPr>
          <t xml:space="preserve">
</t>
        </r>
        <r>
          <rPr>
            <b/>
            <sz val="9"/>
            <color indexed="81"/>
            <rFont val="Tahoma"/>
            <family val="2"/>
          </rPr>
          <t>8.8.2017</t>
        </r>
        <r>
          <rPr>
            <sz val="9"/>
            <color indexed="81"/>
            <rFont val="Tahoma"/>
            <family val="2"/>
          </rPr>
          <t xml:space="preserve">
Issuers priced their previously announced offering of 5.0% Second Lien Senior Secured Notes due 2025 (the "August 2017 Senior Notes") and upsized the offering of the August 2017 Senior Notes from an aggregate principal amount of $1,000 million to $1,300 million. The August 2017 Senior Notes will have a maturity date of October 15, 2025. The close and funding of the August 2017 Senior Notes are expected to be completed on or about August 28, 2017, subject to customary closing conditions.... The proceeds from the offering of the August 2017 Senior Notes are expected to be used to redeem a portion of the Issuers' outstanding 6.0% Second Lien Senior Secured Notes due 2022 ("6.0% Senior Notes") and to pay related premiums, fees and expenses. On August 8, 2017, the Issuers sent a notice of partial redemption providing for the redemption, on September 7, 2017, of an aggregate of $1,250 million principal amount of 6.0% Senior Notes. The redemption price will be equal to 100% of the principal amount of such notes, plus Applicable Premium, accrued and unpaid interest and any Additional Amounts (in each case as defined and calculated in accordance with the 6.0% Senior Notes indenture).
</t>
        </r>
        <r>
          <rPr>
            <b/>
            <sz val="9"/>
            <color indexed="81"/>
            <rFont val="Tahoma"/>
            <family val="2"/>
          </rPr>
          <t>9.18.2017</t>
        </r>
        <r>
          <rPr>
            <sz val="9"/>
            <color indexed="81"/>
            <rFont val="Tahoma"/>
            <family val="2"/>
          </rPr>
          <t xml:space="preserve">
Issuers priced their previously announced offering of 5.0% Second Lien Senior Secured Notes due 2025 (the "September 2017 Senior Notes") and upsized the offering of the September 2017 Senior Notes from an aggregate principal amount of $1,300 million to $1,500 million. The September 2017 Senior Notes being offered will be issued as additional notes under the Indenture dated August 28, 2017, pursuant to which the Issuers previously issued $1,300 million in aggregate principal amount of the existing 5.0% Second Lien Senior Secured Notes due 2025 (the "August 2017 Senior Notes"). The September 2017 Senior Notes will be treated as a single series with the August 2017 Senior Notes and will have substantially the same terms as those of the August 2017 Senior Notes. The September 2017 Senior Notes will have a maturity date of October 15, 2025. The close and funding of the September 2017 Senior Notes are expected to be completed on or about October 4, 2017, subject to customary closing conditions. The proceeds from the offering of the September 2017 Senior Notes are expected to be used to redeem all of the Issuers' outstanding 6.0% Second Lien Senior Secured Notes due 2022 (the "6.0% Senior Notes"), to pay related premiums, fees and expenses, and for general corporate purposes. On September 18, 2017, the Issuers sent a notice of redemption providing for the full redemption, on October 18, 2017, of an aggregate of $1,000 million principal amount of 6.0% Senior Notes. The redemption price will be equal to 103% of the principal amount of such notes, plus accrued and unpaid interest.</t>
        </r>
      </text>
    </comment>
    <comment ref="CH85" authorId="6">
      <text>
        <r>
          <rPr>
            <b/>
            <sz val="9"/>
            <color indexed="81"/>
            <rFont val="Tahoma"/>
            <family val="2"/>
          </rPr>
          <t>Carril, Christopher E (Research):</t>
        </r>
        <r>
          <rPr>
            <sz val="9"/>
            <color indexed="81"/>
            <rFont val="Tahoma"/>
            <family val="2"/>
          </rPr>
          <t xml:space="preserve">
10.6.2017
Includes $1.3B in August 2017 second lien notes and $1.5B in September 2017 second lien notes </t>
        </r>
      </text>
    </comment>
    <comment ref="A86" authorId="4">
      <text>
        <r>
          <rPr>
            <sz val="9"/>
            <color indexed="81"/>
            <rFont val="Tahoma"/>
            <family val="2"/>
          </rPr>
          <t xml:space="preserve">Matures 6/1/17
</t>
        </r>
      </text>
    </comment>
    <comment ref="BV86" authorId="4">
      <text>
        <r>
          <rPr>
            <b/>
            <sz val="9"/>
            <color indexed="81"/>
            <rFont val="Tahoma"/>
            <family val="2"/>
          </rPr>
          <t>2014 10K:</t>
        </r>
        <r>
          <rPr>
            <sz val="9"/>
            <color indexed="81"/>
            <rFont val="Tahoma"/>
            <family val="2"/>
          </rPr>
          <t xml:space="preserve">
At the time of the Transactions, Tim Hortons had the following Canadian dollar denominated senior unsecured notes outstanding: (i) C$300.0 million
aggregate principal amount of 4.20% Senior Unsecured Notes, Series 1, due June 1, 2017 (“Series 1 Notes”), (ii) C$450.0 million aggregate principal amount
of 4.52% Senior Unsecured Notes, Series 2, due December 1, 2023 (“Series 2 Notes”) and (iii) C$450.0 million aggregate principal amount of 2.85% Senior
Unsecured Notes, Series 3, due April 1, 2019 (“Series 3 Notes”) (collectively, the “TimHortons Notes”). Due to the transactions, and the resulting rating downgrade of Tim Hortons to below investment grade, Tim Hortons offered to repurchase
for cash any and all of the outstanding Tim Hortons Notes on December 12, 2014. The consideration offered for Tim Hortons Notes properly tendered was an
amount in cash equal to 101% of the principal amount of such tendered Tim Hortons Notes together with accrued and unpaid interest thereon. This initial
offer expired on January 12, 2015, and on January 13, 2015 Tim Hortons accepted for purchase, and settled for cash, the following: (i) C$249.8 million Series
1 Notes; (ii) C$440.0 million Series 2 Notes and (iii) C$442.0 million Series 3 Notes.
On January 26, 2015, Tim Hortons commenced a second tender offer for the outstanding balance of the Tim Hortons Notes, expiring on February 23,
2015. The consideration offered for the Tim Hortons Notes properly tendered was an amount in cash equal to 100% of the principal amount of such tendered
Tim Hortons Notes, together with accrued and unpaid interest thereon. Tim Hortons Notes properly tendered at 5:00 p.m., Toronto time, on February 6, 2015
(the “Early Tender Deadline”) received additional cash consideration of 1% of the principal amount of such tendered Tim Hortons Notes. On February 9,
2015 Tim Hortons accepted for purchase, and settled for cash, the following Tim Hortons Notes properly tendered at the Early Tender Deadline: (i) C$2.7
million Series 1 Notes; (ii) C$7.3 million Series 2 Notes and (iii) C$3.9 million Series 3 Notes. On February 24, 2015 Tim Hortons accepted for purchase, and
settled for cash, the following: (i) C$132,000 Series 1 Notes; (ii) C$95,000 Series 2 Notes and (iii) C$215,000 Series 3 Notes. Subsequent to these tender
offers, the following Tim Hortons Notes remain outstanding: (i) C$47.4 million Series 1 Notes; (ii) C$2.6 million Series 2 Notes and (iii) C$3.9 million Series
3 Notes.
</t>
        </r>
      </text>
    </comment>
    <comment ref="CA86" authorId="4">
      <text>
        <r>
          <rPr>
            <b/>
            <sz val="9"/>
            <color indexed="81"/>
            <rFont val="Tahoma"/>
            <family val="2"/>
          </rPr>
          <t>2014 10K:</t>
        </r>
        <r>
          <rPr>
            <sz val="9"/>
            <color indexed="81"/>
            <rFont val="Tahoma"/>
            <family val="2"/>
          </rPr>
          <t xml:space="preserve">
At the time of the Transactions, Tim Hortons had the following Canadian dollar denominated senior unsecured notes outstanding: (i) C$300.0 million
aggregate principal amount of 4.20% Senior Unsecured Notes, Series 1, due June 1, 2017 (“Series 1 Notes”), (ii) C$450.0 million aggregate principal amount
of 4.52% Senior Unsecured Notes, Series 2, due December 1, 2023 (“Series 2 Notes”) and (iii) C$450.0 million aggregate principal amount of 2.85% Senior
Unsecured Notes, Series 3, due April 1, 2019 (“Series 3 Notes”) (collectively, the “TimHortons Notes”). Due to the transactions, and the resulting rating downgrade of Tim Hortons to below investment grade, Tim Hortons offered to repurchase
for cash any and all of the outstanding Tim Hortons Notes on December 12, 2014. The consideration offered for Tim Hortons Notes properly tendered was an
amount in cash equal to 101% of the principal amount of such tendered Tim Hortons Notes together with accrued and unpaid interest thereon. This initial
offer expired on January 12, 2015, and on January 13, 2015 Tim Hortons accepted for purchase, and settled for cash, the following: (i) C$249.8 million Series
1 Notes; (ii) C$440.0 million Series 2 Notes and (iii) C$442.0 million Series 3 Notes.
On January 26, 2015, Tim Hortons commenced a second tender offer for the outstanding balance of the Tim Hortons Notes, expiring on February 23,
2015. The consideration offered for the Tim Hortons Notes properly tendered was an amount in cash equal to 100% of the principal amount of such tendered
Tim Hortons Notes, together with accrued and unpaid interest thereon. Tim Hortons Notes properly tendered at 5:00 p.m., Toronto time, on February 6, 2015
(the “Early Tender Deadline”) received additional cash consideration of 1% of the principal amount of such tendered Tim Hortons Notes. On February 9,
2015 Tim Hortons accepted for purchase, and settled for cash, the following Tim Hortons Notes properly tendered at the Early Tender Deadline: (i) C$2.7
million Series 1 Notes; (ii) C$7.3 million Series 2 Notes and (iii) C$3.9 million Series 3 Notes. On February 24, 2015 Tim Hortons accepted for purchase, and
settled for cash, the following: (i) C$132,000 Series 1 Notes; (ii) C$95,000 Series 2 Notes and (iii) C$215,000 Series 3 Notes. Subsequent to these tender
offers, the following Tim Hortons Notes remain outstanding: (i) C$47.4 million Series 1 Notes; (ii) C$2.6 million Series 2 Notes and (iii) C$3.9 million Series
3 Notes.
</t>
        </r>
      </text>
    </comment>
    <comment ref="A87" authorId="4">
      <text>
        <r>
          <rPr>
            <sz val="9"/>
            <color indexed="81"/>
            <rFont val="Tahoma"/>
            <family val="2"/>
          </rPr>
          <t xml:space="preserve">Matures 12/1/23
</t>
        </r>
      </text>
    </comment>
    <comment ref="A88" authorId="4">
      <text>
        <r>
          <rPr>
            <sz val="9"/>
            <color indexed="81"/>
            <rFont val="Tahoma"/>
            <family val="2"/>
          </rPr>
          <t xml:space="preserve">Matures 4/1/19
</t>
        </r>
      </text>
    </comment>
    <comment ref="BX89" authorId="3">
      <text>
        <r>
          <rPr>
            <b/>
            <sz val="9"/>
            <color indexed="81"/>
            <rFont val="Tahoma"/>
            <family val="2"/>
          </rPr>
          <t>O'Brien, Courtney (Research):</t>
        </r>
        <r>
          <rPr>
            <sz val="9"/>
            <color indexed="81"/>
            <rFont val="Tahoma"/>
            <family val="2"/>
          </rPr>
          <t xml:space="preserve">
expect to leave outstanding until maturity</t>
        </r>
      </text>
    </comment>
    <comment ref="BU90" authorId="4">
      <text>
        <r>
          <rPr>
            <b/>
            <sz val="9"/>
            <color indexed="81"/>
            <rFont val="Tahoma"/>
            <family val="2"/>
          </rPr>
          <t>2014 10K</t>
        </r>
        <r>
          <rPr>
            <sz val="9"/>
            <color indexed="81"/>
            <rFont val="Tahoma"/>
            <family val="2"/>
          </rPr>
          <t xml:space="preserve">
Includes $59.9M capitalized leases</t>
        </r>
      </text>
    </comment>
    <comment ref="BX90" authorId="3">
      <text>
        <r>
          <rPr>
            <sz val="9"/>
            <color indexed="81"/>
            <rFont val="Tahoma"/>
            <family val="2"/>
          </rPr>
          <t xml:space="preserve">
</t>
        </r>
      </text>
    </comment>
    <comment ref="A91"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 xml:space="preserve">The principal amount of the Tranche A Term Loans amortizes in quarterly installments of (i) $6.4 million from December 31, 2012 through September 30, 2013, (ii) $12.9 million from December 31, 2013 through September 30, 2014, (iii) $19.3 million from December 31, 2014 through September 30, 2015, (iv) $25.8 million from December 31, 2015 through September 30, 2016, and (v) $32.2 million from December 31, 2016 through June 30, 2017, with the balance payable at maturity. </t>
        </r>
      </text>
    </comment>
    <comment ref="A92"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 xml:space="preserve">The principal amount of the Tranche B Term Loans amortizes in quarterly installments equal to 0.25% of the original principal amount of the Tranche B Term Loans, with the balance payable at maturity. </t>
        </r>
      </text>
    </comment>
    <comment ref="BK93"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 xml:space="preserve">As of December 31, 2012, we had no amounts outstanding under the 2012 Revolving Credit Facility. Funds available under the 2012 Revolving Credit Facility for future borrowings may be used to repay other debt, finance debt or share repurchases, acquisitions, capital expenditures and other general corporate purposes. We have a $75.0 million letter of credit sublimit as part of our revolving credit facility, which reduces our borrowing capacity under the 2012 Revolving Credit Facility by the cumulative amount of outstanding letters of credit, which was $11.6 million at December 31, 2012. As of December 31, 2012, our remaining borrowing capacity under the 2012 Revolving Credit Facility was $118.4 million. </t>
        </r>
      </text>
    </comment>
    <comment ref="A94"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No principal payments due until maturity</t>
        </r>
      </text>
    </comment>
    <comment ref="A95"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Until April 15, 2016, no cash interest will accrue, but the Discount Notes will accrete at a rate of 11.0% per annum compounded semi-annually such that the accreted value on April 15, 2016 will be equal to the principal amount at maturity. Thereafter, cash interest on the Discount Notes will accrue at a rate equal to 11.0% per annum and will be payable semi-annually in cash in arrears on April 15 and October 15 of each year, commencing on October 15, 2016. The Discount Notes will mature on April 15, 2019.</t>
        </r>
      </text>
    </comment>
    <comment ref="BX98" authorId="3">
      <text>
        <r>
          <rPr>
            <b/>
            <sz val="9"/>
            <color indexed="81"/>
            <rFont val="Tahoma"/>
            <family val="2"/>
          </rPr>
          <t>O'Brien, Courtney (Research):</t>
        </r>
        <r>
          <rPr>
            <sz val="9"/>
            <color indexed="81"/>
            <rFont val="Tahoma"/>
            <family val="2"/>
          </rPr>
          <t xml:space="preserve">
10/20/15
$137.1 million related to the 2014 Term Loan Facility; $9.3 million related to the 2015 Senior Notes; $42.2 million related to the 2014 Senior Notes</t>
        </r>
      </text>
    </comment>
    <comment ref="A111" authorId="4">
      <text>
        <r>
          <rPr>
            <sz val="9"/>
            <color indexed="81"/>
            <rFont val="Tahoma"/>
            <family val="2"/>
          </rPr>
          <t xml:space="preserve">2014 10K:
0.25% of original principal amount ($6,750M)
</t>
        </r>
      </text>
    </comment>
    <comment ref="A115" authorId="4">
      <text>
        <r>
          <rPr>
            <sz val="9"/>
            <color indexed="81"/>
            <rFont val="Tahoma"/>
            <family val="2"/>
          </rPr>
          <t xml:space="preserve">Matures 12/12/19
</t>
        </r>
      </text>
    </comment>
    <comment ref="A116" authorId="4">
      <text>
        <r>
          <rPr>
            <b/>
            <sz val="9"/>
            <color indexed="81"/>
            <rFont val="Tahoma"/>
            <family val="2"/>
          </rPr>
          <t>2014 10K:</t>
        </r>
        <r>
          <rPr>
            <sz val="9"/>
            <color indexed="81"/>
            <rFont val="Tahoma"/>
            <family val="2"/>
          </rPr>
          <t xml:space="preserve">
No principal payments required until maturity</t>
        </r>
      </text>
    </comment>
    <comment ref="CH116" authorId="6">
      <text>
        <r>
          <rPr>
            <b/>
            <sz val="9"/>
            <color indexed="81"/>
            <rFont val="Tahoma"/>
            <family val="2"/>
          </rPr>
          <t>Carril, Christopher E (Research):</t>
        </r>
        <r>
          <rPr>
            <sz val="9"/>
            <color indexed="81"/>
            <rFont val="Tahoma"/>
            <family val="2"/>
          </rPr>
          <t xml:space="preserve">
</t>
        </r>
        <r>
          <rPr>
            <b/>
            <sz val="9"/>
            <color indexed="81"/>
            <rFont val="Tahoma"/>
            <family val="2"/>
          </rPr>
          <t>8.8.2017</t>
        </r>
        <r>
          <rPr>
            <sz val="9"/>
            <color indexed="81"/>
            <rFont val="Tahoma"/>
            <family val="2"/>
          </rPr>
          <t xml:space="preserve">
The proceeds from the offering of the August 2017 Senior Notes are expected to be used to redeem a portion of the Issuers' outstanding 6.0% Second Lien Senior Secured Notes due 2022 ("6.0% Senior Notes") and to pay related premiums, fees and expenses. On August 8, 2017, the Issuers sent a notice of partial redemption providing for the redemption, on September 7, 2017, of an aggregate of $1,250 million principal amount of 6.0% Senior Notes.</t>
        </r>
      </text>
    </comment>
    <comment ref="CI116" authorId="6">
      <text>
        <r>
          <rPr>
            <b/>
            <sz val="9"/>
            <color indexed="81"/>
            <rFont val="Tahoma"/>
            <family val="2"/>
          </rPr>
          <t>Carril, Christopher E (Research):</t>
        </r>
        <r>
          <rPr>
            <sz val="9"/>
            <color indexed="81"/>
            <rFont val="Tahoma"/>
            <family val="2"/>
          </rPr>
          <t xml:space="preserve">
</t>
        </r>
        <r>
          <rPr>
            <b/>
            <sz val="9"/>
            <color indexed="81"/>
            <rFont val="Tahoma"/>
            <family val="2"/>
          </rPr>
          <t>9.18.2017</t>
        </r>
        <r>
          <rPr>
            <sz val="9"/>
            <color indexed="81"/>
            <rFont val="Tahoma"/>
            <family val="2"/>
          </rPr>
          <t xml:space="preserve">
The proceeds from the offering of the September 2017 Senior Notes are expected to be used to redeem all of the Issuers' outstanding 6.0% Second Lien Senior Secured Notes due 2022 (the "6.0% Senior Notes"), to pay related premiums, fees and expenses, and for general corporate purposes. On September 18, 2017, the Issuers sent a notice of redemption providing for the full redemption, on October 18, 2017, of an aggregate of $1,000 million principal amount of 6.0% Senior Notes.</t>
        </r>
      </text>
    </comment>
    <comment ref="A121" authorId="4">
      <text>
        <r>
          <rPr>
            <sz val="9"/>
            <color indexed="81"/>
            <rFont val="Tahoma"/>
            <family val="2"/>
          </rPr>
          <t xml:space="preserve">Matures 6/1/17
</t>
        </r>
      </text>
    </comment>
    <comment ref="A122" authorId="4">
      <text>
        <r>
          <rPr>
            <sz val="9"/>
            <color indexed="81"/>
            <rFont val="Tahoma"/>
            <family val="2"/>
          </rPr>
          <t xml:space="preserve">Matures 12/1/23
</t>
        </r>
      </text>
    </comment>
    <comment ref="A123" authorId="4">
      <text>
        <r>
          <rPr>
            <sz val="9"/>
            <color indexed="81"/>
            <rFont val="Tahoma"/>
            <family val="2"/>
          </rPr>
          <t xml:space="preserve">Matures 4/1/19
</t>
        </r>
      </text>
    </comment>
    <comment ref="BL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BM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BN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BO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BQ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BR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BS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BT126" authorId="8">
      <text>
        <r>
          <rPr>
            <b/>
            <sz val="8"/>
            <color indexed="81"/>
            <rFont val="Tahoma"/>
            <family val="2"/>
          </rPr>
          <t xml:space="preserve">2013 10K:
</t>
        </r>
        <r>
          <rPr>
            <sz val="8"/>
            <color indexed="81"/>
            <rFont val="Tahoma"/>
            <family val="2"/>
          </rPr>
          <t xml:space="preserve">Amortizes at quarterly installments of 0.25% the original principal amount ($705M) </t>
        </r>
        <r>
          <rPr>
            <sz val="8"/>
            <color indexed="81"/>
            <rFont val="Tahoma"/>
            <family val="2"/>
          </rPr>
          <t xml:space="preserve">
</t>
        </r>
      </text>
    </comment>
    <comment ref="A130" authorId="4">
      <text>
        <r>
          <rPr>
            <b/>
            <sz val="9"/>
            <color indexed="81"/>
            <rFont val="Tahoma"/>
            <family val="2"/>
          </rPr>
          <t>2014 10K:</t>
        </r>
        <r>
          <rPr>
            <sz val="9"/>
            <color indexed="81"/>
            <rFont val="Tahoma"/>
            <family val="2"/>
          </rPr>
          <t xml:space="preserve">
Represents the effective interest rate for the instrument computed on a quarterly basis, including the amortization of deferred debt issuance costs and
original issue discount, as applicable, and in the case of our term loans, the effect of interest rate caps.</t>
        </r>
      </text>
    </comment>
    <comment ref="A133" authorId="3">
      <text>
        <r>
          <rPr>
            <b/>
            <sz val="9"/>
            <color indexed="81"/>
            <rFont val="Tahoma"/>
            <family val="2"/>
          </rPr>
          <t>O'Brien, Courtney (Research):</t>
        </r>
        <r>
          <rPr>
            <sz val="9"/>
            <color indexed="81"/>
            <rFont val="Tahoma"/>
            <family val="2"/>
          </rPr>
          <t xml:space="preserve">
5.22.15
The Borrowers are party to an indenture, dated as of May 22, 2015 (the “2015 Senior Notes Indenture”), in connection with the issuance of $1,250.0 million of 4.625% first lien senior secured notes due January 15, 2022 (the “2015 Senior Notes”). </t>
        </r>
      </text>
    </comment>
    <comment ref="BX133" authorId="3">
      <text>
        <r>
          <rPr>
            <b/>
            <sz val="9"/>
            <color indexed="81"/>
            <rFont val="Tahoma"/>
            <family val="2"/>
          </rPr>
          <t>O'Brien, Courtney (Research):</t>
        </r>
        <r>
          <rPr>
            <sz val="9"/>
            <color indexed="81"/>
            <rFont val="Tahoma"/>
            <family val="2"/>
          </rPr>
          <t xml:space="preserve">
5.22.15
4.625% first lien senior secured notes due January 15, 2022 (the “2015 Senior Notes”). </t>
        </r>
      </text>
    </comment>
    <comment ref="A134" authorId="4">
      <text>
        <r>
          <rPr>
            <sz val="9"/>
            <color indexed="81"/>
            <rFont val="Tahoma"/>
            <family val="2"/>
          </rPr>
          <t xml:space="preserve">Maturity date: 12/12/21
</t>
        </r>
      </text>
    </comment>
    <comment ref="BW136" authorId="5">
      <text>
        <r>
          <rPr>
            <b/>
            <sz val="9"/>
            <color indexed="81"/>
            <rFont val="Tahoma"/>
            <family val="2"/>
          </rPr>
          <t>Glass, John (Research):</t>
        </r>
        <r>
          <rPr>
            <sz val="9"/>
            <color indexed="81"/>
            <rFont val="Tahoma"/>
            <family val="2"/>
          </rPr>
          <t xml:space="preserve">
assumes refi 1/2 of Q; lowring cost of first lien to 3.925% from 4.6% w pre-pricing and new debt</t>
        </r>
      </text>
    </comment>
    <comment ref="A142" authorId="4">
      <text>
        <r>
          <rPr>
            <b/>
            <sz val="9"/>
            <color indexed="81"/>
            <rFont val="Tahoma"/>
            <family val="2"/>
          </rPr>
          <t>2014 10K:
Ranges from .375-0.500%</t>
        </r>
        <r>
          <rPr>
            <sz val="9"/>
            <color indexed="81"/>
            <rFont val="Tahoma"/>
            <family val="2"/>
          </rPr>
          <t xml:space="preserve">
</t>
        </r>
      </text>
    </comment>
    <comment ref="A144" authorId="4">
      <text>
        <r>
          <rPr>
            <sz val="9"/>
            <color indexed="81"/>
            <rFont val="Tahoma"/>
            <family val="2"/>
          </rPr>
          <t>Maturity date: 4/1/22</t>
        </r>
        <r>
          <rPr>
            <b/>
            <sz val="9"/>
            <color indexed="81"/>
            <rFont val="Tahoma"/>
            <family val="2"/>
          </rPr>
          <t xml:space="preserve">
</t>
        </r>
        <r>
          <rPr>
            <sz val="9"/>
            <color indexed="81"/>
            <rFont val="Tahoma"/>
            <family val="2"/>
          </rPr>
          <t xml:space="preserve">
</t>
        </r>
      </text>
    </comment>
    <comment ref="A148" authorId="4">
      <text>
        <r>
          <rPr>
            <sz val="9"/>
            <color indexed="81"/>
            <rFont val="Tahoma"/>
            <family val="2"/>
          </rPr>
          <t xml:space="preserve">Matures 6/1/17
</t>
        </r>
      </text>
    </comment>
    <comment ref="A149" authorId="4">
      <text>
        <r>
          <rPr>
            <sz val="9"/>
            <color indexed="81"/>
            <rFont val="Tahoma"/>
            <family val="2"/>
          </rPr>
          <t xml:space="preserve">Matures 12/1/23
</t>
        </r>
      </text>
    </comment>
    <comment ref="A150" authorId="4">
      <text>
        <r>
          <rPr>
            <sz val="9"/>
            <color indexed="81"/>
            <rFont val="Tahoma"/>
            <family val="2"/>
          </rPr>
          <t xml:space="preserve">Matures 4/1/19
</t>
        </r>
      </text>
    </comment>
    <comment ref="A151"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 xml:space="preserve">The principal amount of the Tranche A Term Loans amortizes in quarterly installments of (i) $6.4 million from December 31, 2012 through September 30, 2013, (ii) $12.9 million from December 31, 2013 through September 30, 2014, (iii) $19.3 million from December 31, 2014 through September 30, 2015, (iv) $25.8 million from December 31, 2015 through September 30, 2016, and (v) $32.2 million from December 31, 2016 through June 30, 2017, with the balance payable at maturity. </t>
        </r>
      </text>
    </comment>
    <comment ref="A152"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 xml:space="preserve">The principal amount of the Tranche B Term Loans amortizes in quarterly installments equal to 0.25% of the original principal amount of the Tranche B Term Loans, with the balance payable at maturity. </t>
        </r>
      </text>
    </comment>
    <comment ref="BK153"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 xml:space="preserve">As of December 31, 2012, we had no amounts outstanding under the 2012 Revolving Credit Facility. Funds available under the 2012 Revolving Credit Facility for future borrowings may be used to repay other debt, finance debt or share repurchases, acquisitions, capital expenditures and other general corporate purposes. We have a $75.0 million letter of credit sublimit as part of our revolving credit facility, which reduces our borrowing capacity under the 2012 Revolving Credit Facility by the cumulative amount of outstanding letters of credit, which was $11.6 million at December 31, 2012. As of December 31, 2012, our remaining borrowing capacity under the 2012 Revolving Credit Facility was $118.4 million. </t>
        </r>
      </text>
    </comment>
    <comment ref="A154"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No principal payments due until maturity</t>
        </r>
      </text>
    </comment>
    <comment ref="A155"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Until April 15, 2016, no cash interest will accrue, but the Discount Notes will accrete at a rate of 11.0% per annum compounded semi-annually such that the accreted value on April 15, 2016 will be equal to the principal amount at maturity. Thereafter, cash interest on the Discount Notes will accrue at a rate equal to 11.0% per annum and will be payable semi-annually in cash in arrears on April 15 and October 15 of each year, commencing on October 15, 2016. The Discount Notes will mature on April 15, 2019.</t>
        </r>
      </text>
    </comment>
    <comment ref="A164" authorId="4">
      <text>
        <r>
          <rPr>
            <sz val="9"/>
            <color indexed="81"/>
            <rFont val="Tahoma"/>
            <family val="2"/>
          </rPr>
          <t xml:space="preserve">Maturity date: 12/12/21
</t>
        </r>
      </text>
    </comment>
    <comment ref="A165" authorId="4">
      <text>
        <r>
          <rPr>
            <sz val="9"/>
            <color indexed="81"/>
            <rFont val="Tahoma"/>
            <family val="2"/>
          </rPr>
          <t xml:space="preserve">Matures 12/12/19
</t>
        </r>
      </text>
    </comment>
    <comment ref="A167" authorId="4">
      <text>
        <r>
          <rPr>
            <sz val="8"/>
            <color indexed="81"/>
            <rFont val="Tahoma"/>
            <family val="2"/>
          </rPr>
          <t>Maturity date: 4/1/22</t>
        </r>
        <r>
          <rPr>
            <b/>
            <sz val="8"/>
            <color indexed="81"/>
            <rFont val="Tahoma"/>
            <family val="2"/>
          </rPr>
          <t xml:space="preserve">
</t>
        </r>
        <r>
          <rPr>
            <sz val="8"/>
            <color indexed="81"/>
            <rFont val="Tahoma"/>
            <family val="2"/>
          </rPr>
          <t xml:space="preserve">
The Borrowers may redeem some or all of the 2014 Senior Notes at any time prior to October 1, 2017 at a price equal to 100% of the principal amount of the Notes redeemed plus a “make whole” premium and, at any time on or after October 1, 2017, at the redemption prices set forth in the Indenture. In
addition, at any time prior to October 1, 2017, up to 40% of the aggregate principal amount of the 2014 Senior Notes may be redeemed with the net proceeds of certain equity offerings, at the redemption price specified in the Indenture. In connection with any tender offer for the 2014 Senior Notes, including a change of control offer or an asset sale offer, the Borrowers will have the right to redeem the 2014 Senior Notes at a redemption price equal to the amountoffered in that tender offer if not less than 90% in aggregate principal amount of the outstanding 2014 Senior Notes validly tender and do not withdraw such2014 Senior Notes in such tender offer. If the Borrowers experience a change of control, the holders of the 2014 Senior Notes will have the right to require theBorrowers to repurchase the 2014 Senior Notes at a purchase price equal to 101% of their aggregate principal amount plus accrued and unpaid interest and
Additional Amounts (as defined in the Indenture), if any, to the date of such repurchase.</t>
        </r>
      </text>
    </comment>
    <comment ref="A170" authorId="4">
      <text>
        <r>
          <rPr>
            <sz val="9"/>
            <color indexed="81"/>
            <rFont val="Tahoma"/>
            <family val="2"/>
          </rPr>
          <t xml:space="preserve">Matures 6/1/17
</t>
        </r>
      </text>
    </comment>
    <comment ref="A171" authorId="4">
      <text>
        <r>
          <rPr>
            <sz val="9"/>
            <color indexed="81"/>
            <rFont val="Tahoma"/>
            <family val="2"/>
          </rPr>
          <t xml:space="preserve">Matures 12/1/23
</t>
        </r>
      </text>
    </comment>
    <comment ref="A172" authorId="4">
      <text>
        <r>
          <rPr>
            <sz val="9"/>
            <color indexed="81"/>
            <rFont val="Tahoma"/>
            <family val="2"/>
          </rPr>
          <t xml:space="preserve">Matures 4/1/19
</t>
        </r>
      </text>
    </comment>
    <comment ref="BJ173"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Refinanced on 9/28/12 and replaced prior term loans with tranche A and tranche B</t>
        </r>
      </text>
    </comment>
    <comment ref="BJ174"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Refinanced on 9/28/12 and replaced prior term loans with tranche A and tranche B</t>
        </r>
      </text>
    </comment>
    <comment ref="BJ175"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Refinanced on 9/28/12 and replaced prior term loans with tranche A and tranche B</t>
        </r>
      </text>
    </comment>
    <comment ref="BJ176"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Refinanced on 9/28/12 and replaced prior term loans with tranche A and tranche B</t>
        </r>
      </text>
    </comment>
    <comment ref="BF180" authorId="8">
      <text>
        <r>
          <rPr>
            <b/>
            <sz val="8"/>
            <color indexed="81"/>
            <rFont val="Tahoma"/>
            <family val="2"/>
          </rPr>
          <t xml:space="preserve">2013 10K:
</t>
        </r>
        <r>
          <rPr>
            <sz val="8"/>
            <color indexed="81"/>
            <rFont val="Tahoma"/>
            <family val="2"/>
          </rPr>
          <t>Includes $12.5M od amort of defered financing costs</t>
        </r>
        <r>
          <rPr>
            <sz val="8"/>
            <color indexed="81"/>
            <rFont val="Tahoma"/>
            <family val="2"/>
          </rPr>
          <t xml:space="preserve">
</t>
        </r>
      </text>
    </comment>
    <comment ref="BK180" authorId="8">
      <text>
        <r>
          <rPr>
            <b/>
            <sz val="8"/>
            <color indexed="81"/>
            <rFont val="Tahoma"/>
            <family val="2"/>
          </rPr>
          <t xml:space="preserve">2013 10K:
</t>
        </r>
        <r>
          <rPr>
            <sz val="8"/>
            <color indexed="81"/>
            <rFont val="Tahoma"/>
            <family val="2"/>
          </rPr>
          <t>Includes $10.9M od amort of defered financing costs</t>
        </r>
        <r>
          <rPr>
            <sz val="8"/>
            <color indexed="81"/>
            <rFont val="Tahoma"/>
            <family val="2"/>
          </rPr>
          <t xml:space="preserve">
</t>
        </r>
      </text>
    </comment>
    <comment ref="BP180" authorId="7">
      <text>
        <r>
          <rPr>
            <b/>
            <sz val="8"/>
            <color indexed="81"/>
            <rFont val="Tahoma"/>
            <family val="2"/>
          </rPr>
          <t xml:space="preserve">2013 10K:
</t>
        </r>
        <r>
          <rPr>
            <sz val="8"/>
            <color indexed="81"/>
            <rFont val="Tahoma"/>
            <family val="2"/>
          </rPr>
          <t>Includes $8.9M od amort of defered financing costs</t>
        </r>
        <r>
          <rPr>
            <sz val="8"/>
            <color indexed="81"/>
            <rFont val="Tahoma"/>
            <family val="2"/>
          </rPr>
          <t xml:space="preserve">
</t>
        </r>
        <r>
          <rPr>
            <b/>
            <sz val="8"/>
            <color indexed="81"/>
            <rFont val="Tahoma"/>
            <family val="2"/>
          </rPr>
          <t xml:space="preserve">2012 10-K:
</t>
        </r>
        <r>
          <rPr>
            <sz val="8"/>
            <color indexed="81"/>
            <rFont val="Tahoma"/>
            <family val="2"/>
          </rPr>
          <t>We had unamortized deferred financing costs of $53.5 million at December 31, 2012 and $57.0 million at December 31, 2011</t>
        </r>
      </text>
    </comment>
    <comment ref="A183"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 xml:space="preserve">includes commitment fees of $13.5 million associated with the bridge loan available at the closing of the 2010 Transactions for the period of October 19, 2010 to December 31, 2010. </t>
        </r>
      </text>
    </comment>
    <comment ref="BF183" authorId="7">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Amount includes commitment fees of $13.5 million associated with the bridge loan available at the closing of the 2010 Transactions for the period of October 19, 2010 to December 31, 2010.</t>
        </r>
      </text>
    </comment>
    <comment ref="A200" authorId="4">
      <text>
        <r>
          <rPr>
            <b/>
            <sz val="9"/>
            <color indexed="81"/>
            <rFont val="Tahoma"/>
            <family val="2"/>
          </rPr>
          <t>2014 10K:</t>
        </r>
        <r>
          <rPr>
            <sz val="9"/>
            <color indexed="81"/>
            <rFont val="Tahoma"/>
            <family val="2"/>
          </rPr>
          <t xml:space="preserve">
The Preferred Shares may be redeemed at our option on and after the third anniversary of the original issue date. After the tenth anniversary of the original issue date, holders of not less than a majority of the outstanding Preferred Shares may cause us to redeem their Preferred Shares. In either case, the fixed redemption price is 109.9% of the Purchase Price per share (the “redemption price”) plus accrued and unpaid dividends and unpaid make-whole dividends. Holders of the Preferred Shares also hold a contingently exercisable option to cause us to redeem their Preferred Shares at the redemption price in the event of a change in control.</t>
        </r>
      </text>
    </comment>
    <comment ref="BS205" authorId="4">
      <text>
        <r>
          <rPr>
            <b/>
            <sz val="9"/>
            <color indexed="81"/>
            <rFont val="Tahoma"/>
            <family val="2"/>
          </rPr>
          <t>3q 10q:</t>
        </r>
        <r>
          <rPr>
            <sz val="9"/>
            <color indexed="81"/>
            <rFont val="Tahoma"/>
            <family val="2"/>
          </rPr>
          <t xml:space="preserve">
Carroll's secondary reduced BKW's stake to 21%, from 29%</t>
        </r>
      </text>
    </comment>
    <comment ref="BT205" authorId="4">
      <text>
        <r>
          <rPr>
            <b/>
            <sz val="9"/>
            <color indexed="81"/>
            <rFont val="Tahoma"/>
            <family val="2"/>
          </rPr>
          <t>10K:</t>
        </r>
        <r>
          <rPr>
            <sz val="9"/>
            <color indexed="81"/>
            <rFont val="Tahoma"/>
            <family val="2"/>
          </rPr>
          <t xml:space="preserve">
Increased due to TimWen inclusion? Includes mkt value of $71.8M for Carrol's stake</t>
        </r>
      </text>
    </comment>
  </commentList>
</comments>
</file>

<file path=xl/comments4.xml><?xml version="1.0" encoding="utf-8"?>
<comments xmlns="http://schemas.openxmlformats.org/spreadsheetml/2006/main">
  <authors>
    <author>Jon Tower</author>
    <author>Sushama Dasari</author>
    <author>glassj</author>
    <author>towerj</author>
    <author>O'Brien, Courtney (Research)</author>
    <author>CIBC</author>
    <author>Glass, John (Research)</author>
    <author>John Glass</author>
    <author>bartljak</author>
    <author>Jake Bartlett</author>
    <author>Bartlett, Jake (Research)</author>
  </authors>
  <commentList>
    <comment ref="AT11" authorId="0">
      <text>
        <r>
          <rPr>
            <b/>
            <sz val="8"/>
            <color indexed="81"/>
            <rFont val="Tahoma"/>
            <family val="2"/>
          </rPr>
          <t>Jon Tower:</t>
        </r>
        <r>
          <rPr>
            <sz val="8"/>
            <color indexed="81"/>
            <rFont val="Tahoma"/>
            <family val="2"/>
          </rPr>
          <t xml:space="preserve">
8.25.09
Depreciation expense is expected to increase 10 to 15 percent as capital
expenditures have increased in support of the company’s development plans and
reimaging initiative.
---implies ~$112M between Jun'09 - Jun'10</t>
        </r>
      </text>
    </comment>
    <comment ref="BF11" authorId="0">
      <text>
        <r>
          <rPr>
            <b/>
            <sz val="8"/>
            <color indexed="81"/>
            <rFont val="Tahoma"/>
            <family val="2"/>
          </rPr>
          <t>Jon Tower:</t>
        </r>
        <r>
          <rPr>
            <sz val="8"/>
            <color indexed="81"/>
            <rFont val="Tahoma"/>
            <family val="2"/>
          </rPr>
          <t xml:space="preserve">
8.24.10
Depreciation and amortization is expected to increase 3 to 7 percent as capital expenditures have increased in support of the Company's development plans and reimaging initiative</t>
        </r>
      </text>
    </comment>
    <comment ref="BG20" authorId="1">
      <text>
        <r>
          <rPr>
            <b/>
            <sz val="8"/>
            <color indexed="81"/>
            <rFont val="Tahoma"/>
            <family val="2"/>
          </rPr>
          <t>Sushama Dasari:</t>
        </r>
        <r>
          <rPr>
            <sz val="8"/>
            <color indexed="81"/>
            <rFont val="Tahoma"/>
            <family val="2"/>
          </rPr>
          <t xml:space="preserve">
Amortization of prior service costs</t>
        </r>
      </text>
    </comment>
    <comment ref="BH20" authorId="1">
      <text>
        <r>
          <rPr>
            <b/>
            <sz val="8"/>
            <color indexed="81"/>
            <rFont val="Tahoma"/>
            <family val="2"/>
          </rPr>
          <t>Sushama Dasari:</t>
        </r>
        <r>
          <rPr>
            <sz val="8"/>
            <color indexed="81"/>
            <rFont val="Tahoma"/>
            <family val="2"/>
          </rPr>
          <t xml:space="preserve">
Amortization of prior service costs</t>
        </r>
      </text>
    </comment>
    <comment ref="BI20" authorId="1">
      <text>
        <r>
          <rPr>
            <b/>
            <sz val="8"/>
            <color indexed="81"/>
            <rFont val="Tahoma"/>
            <family val="2"/>
          </rPr>
          <t>Sushama Dasari:</t>
        </r>
        <r>
          <rPr>
            <sz val="8"/>
            <color indexed="81"/>
            <rFont val="Tahoma"/>
            <family val="2"/>
          </rPr>
          <t xml:space="preserve">
Amortization of prior service costs</t>
        </r>
      </text>
    </comment>
    <comment ref="BJ20" authorId="1">
      <text>
        <r>
          <rPr>
            <b/>
            <sz val="8"/>
            <color indexed="81"/>
            <rFont val="Tahoma"/>
            <family val="2"/>
          </rPr>
          <t>Sushama Dasari:</t>
        </r>
        <r>
          <rPr>
            <sz val="8"/>
            <color indexed="81"/>
            <rFont val="Tahoma"/>
            <family val="2"/>
          </rPr>
          <t xml:space="preserve">
Amortization of prior service costs</t>
        </r>
      </text>
    </comment>
    <comment ref="BE21" authorId="1">
      <text>
        <r>
          <rPr>
            <b/>
            <sz val="8"/>
            <color indexed="81"/>
            <rFont val="Tahoma"/>
            <family val="2"/>
          </rPr>
          <t>Sushama Dasari:</t>
        </r>
        <r>
          <rPr>
            <sz val="8"/>
            <color indexed="81"/>
            <rFont val="Tahoma"/>
            <family val="2"/>
          </rPr>
          <t xml:space="preserve">
Impairment of non-restaurant properties</t>
        </r>
      </text>
    </comment>
    <comment ref="AB34" authorId="2">
      <text>
        <r>
          <rPr>
            <b/>
            <sz val="8"/>
            <color indexed="81"/>
            <rFont val="Tahoma"/>
            <family val="2"/>
          </rPr>
          <t>glassj:</t>
        </r>
        <r>
          <rPr>
            <sz val="8"/>
            <color indexed="81"/>
            <rFont val="Tahoma"/>
            <family val="2"/>
          </rPr>
          <t xml:space="preserve">
One time tax payment for the international  reorganization</t>
        </r>
      </text>
    </comment>
    <comment ref="AA38" authorId="2">
      <text>
        <r>
          <rPr>
            <b/>
            <sz val="8"/>
            <color indexed="81"/>
            <rFont val="Tahoma"/>
            <family val="2"/>
          </rPr>
          <t>glassj:</t>
        </r>
        <r>
          <rPr>
            <sz val="8"/>
            <color indexed="81"/>
            <rFont val="Tahoma"/>
            <family val="2"/>
          </rPr>
          <t xml:space="preserve">
imapcted by the make whoel payment of $33M, + $30 M from managemetn contract termu=ination. And PIK notes.
Excluding these, would have been $240 M</t>
        </r>
      </text>
    </comment>
    <comment ref="AA43" authorId="2">
      <text>
        <r>
          <rPr>
            <b/>
            <sz val="8"/>
            <color indexed="81"/>
            <rFont val="Tahoma"/>
            <family val="2"/>
          </rPr>
          <t>glassj:</t>
        </r>
        <r>
          <rPr>
            <sz val="8"/>
            <color indexed="81"/>
            <rFont val="Tahoma"/>
            <family val="2"/>
          </rPr>
          <t xml:space="preserve">
$25 M new units
$46 M maint. Capex
$14 other/corporate</t>
        </r>
      </text>
    </comment>
    <comment ref="AF43" authorId="2">
      <text>
        <r>
          <rPr>
            <b/>
            <sz val="8"/>
            <color indexed="81"/>
            <rFont val="Tahoma"/>
            <family val="2"/>
          </rPr>
          <t xml:space="preserve">8.21.08
Capex spend Total FY07: $87M
</t>
        </r>
        <r>
          <rPr>
            <sz val="8"/>
            <color indexed="81"/>
            <rFont val="Tahoma"/>
            <family val="2"/>
          </rPr>
          <t>New development: $23M (Includes investment in new company-owned restaurants and company-owned properties leased to franchisees.)
Reimaging: $11M (Includes company scrape-and-rebuilds, significant and minor remodels and capital investments on restaurants acquired from franchisees.)
Other investment in existing restaurants: $36M  (Includes investment in maintenance of our company restaurants, company operations initiatives such as flexible batch broilers and point-of-sale equipment, real estate purchases of existing company restaurants and improvements to company-owned properties leased to franchisees.)
Corporate: $17M</t>
        </r>
        <r>
          <rPr>
            <b/>
            <sz val="8"/>
            <color indexed="81"/>
            <rFont val="Tahoma"/>
            <family val="2"/>
          </rPr>
          <t xml:space="preserve">
glassj:</t>
        </r>
        <r>
          <rPr>
            <sz val="8"/>
            <color indexed="81"/>
            <rFont val="Tahoma"/>
            <family val="2"/>
          </rPr>
          <t xml:space="preserve">
LT guidnace $80-100 M</t>
        </r>
      </text>
    </comment>
    <comment ref="AG43" authorId="0">
      <text>
        <r>
          <rPr>
            <b/>
            <sz val="8"/>
            <color indexed="81"/>
            <rFont val="Tahoma"/>
            <family val="2"/>
          </rPr>
          <t>Jon Tower:</t>
        </r>
        <r>
          <rPr>
            <sz val="8"/>
            <color indexed="81"/>
            <rFont val="Tahoma"/>
            <family val="2"/>
          </rPr>
          <t xml:space="preserve">
New units $6
Existing units $13
Other, incl corp $4</t>
        </r>
      </text>
    </comment>
    <comment ref="AK43" authorId="3">
      <text>
        <r>
          <rPr>
            <b/>
            <sz val="8"/>
            <color indexed="81"/>
            <rFont val="Arial"/>
            <family val="2"/>
          </rPr>
          <t>towerj:
8.21.08
Capex spend Total: $178M</t>
        </r>
        <r>
          <rPr>
            <sz val="8"/>
            <color indexed="81"/>
            <rFont val="Arial"/>
            <family val="2"/>
          </rPr>
          <t xml:space="preserve">
</t>
        </r>
        <r>
          <rPr>
            <b/>
            <sz val="8"/>
            <color indexed="81"/>
            <rFont val="Arial"/>
            <family val="2"/>
          </rPr>
          <t>New development</t>
        </r>
        <r>
          <rPr>
            <sz val="8"/>
            <color indexed="81"/>
            <rFont val="Arial"/>
            <family val="2"/>
          </rPr>
          <t xml:space="preserve">: $55M (Includes investment in new company-owned restaurants and company-owned properties leased to franchisees.)
</t>
        </r>
        <r>
          <rPr>
            <b/>
            <sz val="8"/>
            <color indexed="81"/>
            <rFont val="Arial"/>
            <family val="2"/>
          </rPr>
          <t>Reimaging:</t>
        </r>
        <r>
          <rPr>
            <sz val="8"/>
            <color indexed="81"/>
            <rFont val="Arial"/>
            <family val="2"/>
          </rPr>
          <t xml:space="preserve"> $41M (2Includes company scrape-and-rebuilds, significant and minor remodels and capital investments on restaurants acquired from franchisees.)
</t>
        </r>
        <r>
          <rPr>
            <b/>
            <sz val="8"/>
            <color indexed="81"/>
            <rFont val="Arial"/>
            <family val="2"/>
          </rPr>
          <t>Other investment in existing restaurants:</t>
        </r>
        <r>
          <rPr>
            <sz val="8"/>
            <color indexed="81"/>
            <rFont val="Arial"/>
            <family val="2"/>
          </rPr>
          <t xml:space="preserve"> $61M  (Includes investment in maintenance of our company restaurants, company operations initiatives such as flexible batch broilers and point-of-sale equipment, real estate purchases of existing company restaurants and improvements to company-owned properties leased to franchisees.)
</t>
        </r>
        <r>
          <rPr>
            <b/>
            <sz val="8"/>
            <color indexed="81"/>
            <rFont val="Arial"/>
            <family val="2"/>
          </rPr>
          <t>Corporate:</t>
        </r>
        <r>
          <rPr>
            <sz val="8"/>
            <color indexed="81"/>
            <rFont val="Arial"/>
            <family val="2"/>
          </rPr>
          <t xml:space="preserve"> $21M
</t>
        </r>
        <r>
          <rPr>
            <b/>
            <sz val="8"/>
            <color indexed="81"/>
            <rFont val="Arial"/>
            <family val="2"/>
          </rPr>
          <t xml:space="preserve">
1.31.08
$140M --- 
$49M on new units
$76M remodels
balance = corp , etc.
</t>
        </r>
        <r>
          <rPr>
            <sz val="8"/>
            <color indexed="81"/>
            <rFont val="Arial"/>
            <family val="2"/>
          </rPr>
          <t xml:space="preserve">8.24.07
$120-150M
$50 co stores  -- about 50 company units and 10 BKLs
$46 M rebuilds/remodels --- (includes $20M rebuilds, (20 stores) &amp; $26M for remodels)
$21 Maint
$25 M other -- includes IT spending (headsets, POS, employee check payment technology)
3.9.07 (conf call w/Wagner) 
$80-100M/year
o $35-50M – on co-owned stores- $1M to build/store
o $35-40M – maintenance &amp; BK leases
o $5-10M – corp IT
</t>
        </r>
      </text>
    </comment>
    <comment ref="AL43" authorId="0">
      <text>
        <r>
          <rPr>
            <b/>
            <sz val="8"/>
            <color indexed="81"/>
            <rFont val="Tahoma"/>
            <family val="2"/>
          </rPr>
          <t>Jon Tower:</t>
        </r>
        <r>
          <rPr>
            <sz val="8"/>
            <color indexed="81"/>
            <rFont val="Tahoma"/>
            <family val="2"/>
          </rPr>
          <t xml:space="preserve">
10.31.08
$33M in raw capex, 
of capex:
$15M in reimaging costs
$8M in new unit growth
made Simmonds acq. of 72 units (based in NE, IA)
-------- 'During the quarter, we spent 33 million in CapEx including 15 million on our U.S. and Canadian reimaging program where we significantly upgraded 14 of our new company restaurants. We also spent 8 million on building new restaurants worldwide.'</t>
        </r>
      </text>
    </comment>
    <comment ref="AP43" authorId="2">
      <text>
        <r>
          <rPr>
            <b/>
            <sz val="8"/>
            <color indexed="81"/>
            <rFont val="Tahoma"/>
            <family val="2"/>
          </rPr>
          <t xml:space="preserve">JMT:
4.29.09
now $200M
10.31.08
reit $170-$190M ---does not include acquisitions
8.21.08
</t>
        </r>
        <r>
          <rPr>
            <sz val="8"/>
            <color indexed="81"/>
            <rFont val="Tahoma"/>
            <family val="2"/>
          </rPr>
          <t>Capex spend Total: $170-$190M
New development: $70-$80M
Reimaging: $40-$45M
Other investment in existing restaurants: $40-$45M
Corporate: $20M</t>
        </r>
        <r>
          <rPr>
            <b/>
            <sz val="8"/>
            <color indexed="81"/>
            <rFont val="Tahoma"/>
            <family val="2"/>
          </rPr>
          <t xml:space="preserve">
5.14.07 no longer moving HQ --- 
</t>
        </r>
        <r>
          <rPr>
            <sz val="8"/>
            <color indexed="81"/>
            <rFont val="Tahoma"/>
            <family val="2"/>
          </rPr>
          <t xml:space="preserve">
moving into a new HQ in '09; expect $18 M in TI, $17 will be capitalized
3.9.07 (conf call w/Wagner) 
$80-100M/year
o $35-50M – on co-owned stores- $1M to build/store
o $35-40M – maintenance &amp; BK leases
o $5-10M – corp IT
</t>
        </r>
      </text>
    </comment>
    <comment ref="AT43" authorId="0">
      <text>
        <r>
          <rPr>
            <b/>
            <sz val="8"/>
            <color indexed="81"/>
            <rFont val="Tahoma"/>
            <family val="2"/>
          </rPr>
          <t xml:space="preserve">Jon Tower:
4.29.10
reit $150-$175M
2.4.10
</t>
        </r>
        <r>
          <rPr>
            <sz val="8"/>
            <color indexed="81"/>
            <rFont val="Tahoma"/>
            <family val="2"/>
          </rPr>
          <t>range of</t>
        </r>
        <r>
          <rPr>
            <b/>
            <sz val="8"/>
            <color indexed="81"/>
            <rFont val="Tahoma"/>
            <family val="2"/>
          </rPr>
          <t xml:space="preserve"> $150 million to $175</t>
        </r>
        <r>
          <rPr>
            <sz val="8"/>
            <color indexed="81"/>
            <rFont val="Tahoma"/>
            <family val="2"/>
          </rPr>
          <t xml:space="preserve"> million from its previous guidance of $175 million to $200 million due to softer sales and cash required for a pending acquisition in Singapore, which is expected to be completed in the third quarter of fiscal 2010.</t>
        </r>
        <r>
          <rPr>
            <b/>
            <sz val="8"/>
            <color indexed="81"/>
            <rFont val="Tahoma"/>
            <family val="2"/>
          </rPr>
          <t xml:space="preserve">
</t>
        </r>
        <r>
          <rPr>
            <sz val="8"/>
            <color indexed="81"/>
            <rFont val="Tahoma"/>
            <family val="2"/>
          </rPr>
          <t xml:space="preserve">
8.25.09
Capital expenditures for fiscal 2010 are expected to be in the range of
approximately $175 - $200 million depending on company performance and
related cash flows from operations. About 30% will be used to build new
company restaurants; 25% to fund the company’s U.S. and Canada reimaging
program; 35% to be used in other existing restaurants, including routine repairs
and maintenance and 10% will be allocated for other corporate purposes,
including information technology</t>
        </r>
      </text>
    </comment>
    <comment ref="BA43" authorId="0">
      <text>
        <r>
          <rPr>
            <b/>
            <sz val="8"/>
            <color indexed="81"/>
            <rFont val="Tahoma"/>
            <family val="2"/>
          </rPr>
          <t xml:space="preserve">Jon Tower:
4.29.10
reit $150-$175M
2.4.10
</t>
        </r>
        <r>
          <rPr>
            <sz val="8"/>
            <color indexed="81"/>
            <rFont val="Tahoma"/>
            <family val="2"/>
          </rPr>
          <t>range of</t>
        </r>
        <r>
          <rPr>
            <b/>
            <sz val="8"/>
            <color indexed="81"/>
            <rFont val="Tahoma"/>
            <family val="2"/>
          </rPr>
          <t xml:space="preserve"> $150 million to $175</t>
        </r>
        <r>
          <rPr>
            <sz val="8"/>
            <color indexed="81"/>
            <rFont val="Tahoma"/>
            <family val="2"/>
          </rPr>
          <t xml:space="preserve"> million from its previous guidance of $175 million to $200 million due to softer sales and cash required for a pending acquisition in Singapore, which is expected to be completed in the third quarter of fiscal 2010.</t>
        </r>
        <r>
          <rPr>
            <b/>
            <sz val="8"/>
            <color indexed="81"/>
            <rFont val="Tahoma"/>
            <family val="2"/>
          </rPr>
          <t xml:space="preserve">
</t>
        </r>
        <r>
          <rPr>
            <sz val="8"/>
            <color indexed="81"/>
            <rFont val="Tahoma"/>
            <family val="2"/>
          </rPr>
          <t xml:space="preserve">
8.25.09
Capital expenditures for fiscal 2010 are expected to be in the range of
approximately $175 - $200 million depending on company performance and
related cash flows from operations. About 30% will be used to build new
company restaurants; 25% to fund the company’s U.S. and Canada reimaging
program; 35% to be used in other existing restaurants, including routine repairs
and maintenance and 10% will be allocated for other corporate purposes,
including information technology</t>
        </r>
      </text>
    </comment>
    <comment ref="BF43" authorId="0">
      <text>
        <r>
          <rPr>
            <b/>
            <sz val="8"/>
            <color indexed="81"/>
            <rFont val="Tahoma"/>
            <family val="2"/>
          </rPr>
          <t>Jon Tower:</t>
        </r>
        <r>
          <rPr>
            <sz val="8"/>
            <color indexed="81"/>
            <rFont val="Tahoma"/>
            <family val="2"/>
          </rPr>
          <t xml:space="preserve">
8.24.10
Capital expenditures for fiscal 2011 are expected to be in the range o</t>
        </r>
        <r>
          <rPr>
            <b/>
            <sz val="8"/>
            <color indexed="81"/>
            <rFont val="Tahoma"/>
            <family val="2"/>
          </rPr>
          <t>f $175 to $200 million</t>
        </r>
        <r>
          <rPr>
            <sz val="8"/>
            <color indexed="81"/>
            <rFont val="Tahoma"/>
            <family val="2"/>
          </rPr>
          <t xml:space="preserve"> depending on Company performance and related cash flows from operations. About 20 percent will be used to build new Company restaurants; 65 percent to fund the Company's reimaging program, including routine repairs and maintenance; and 15 percent will be allocated for other corporate purposes, including information technology</t>
        </r>
      </text>
    </comment>
    <comment ref="BP43" authorId="1">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Expect $30-40M cap ex in FY13, and possible lower afterwards</t>
        </r>
      </text>
    </comment>
    <comment ref="BU43" authorId="1">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Expect $30-40M cap ex in FY13, and possible lower afterwards</t>
        </r>
      </text>
    </comment>
    <comment ref="BZ43" authorId="1">
      <text>
        <r>
          <rPr>
            <b/>
            <sz val="8"/>
            <color indexed="81"/>
            <rFont val="Tahoma"/>
            <family val="2"/>
          </rPr>
          <t xml:space="preserve">10.27.15 
"not updating guidance"
QSR 2014 10K:
</t>
        </r>
        <r>
          <rPr>
            <sz val="8"/>
            <color indexed="81"/>
            <rFont val="Tahoma"/>
            <family val="2"/>
          </rPr>
          <t xml:space="preserve">$180M guidance
</t>
        </r>
        <r>
          <rPr>
            <b/>
            <sz val="8"/>
            <color indexed="81"/>
            <rFont val="Tahoma"/>
            <family val="2"/>
          </rPr>
          <t xml:space="preserve">2.15.13
</t>
        </r>
        <r>
          <rPr>
            <sz val="8"/>
            <color indexed="81"/>
            <rFont val="Tahoma"/>
            <family val="2"/>
          </rPr>
          <t>Expect $30-40M cap ex in FY13, and possible lower afterwards</t>
        </r>
      </text>
    </comment>
    <comment ref="CE43" authorId="4">
      <text>
        <r>
          <rPr>
            <b/>
            <sz val="9"/>
            <color indexed="81"/>
            <rFont val="Tahoma"/>
            <family val="2"/>
          </rPr>
          <t>O'Brien, Courtney (Research):</t>
        </r>
        <r>
          <rPr>
            <sz val="9"/>
            <color indexed="81"/>
            <rFont val="Tahoma"/>
            <family val="2"/>
          </rPr>
          <t xml:space="preserve">
2.7.16
$34m</t>
        </r>
      </text>
    </comment>
    <comment ref="CJ43" authorId="4">
      <text>
        <r>
          <rPr>
            <b/>
            <sz val="9"/>
            <color indexed="81"/>
            <rFont val="Tahoma"/>
            <family val="2"/>
          </rPr>
          <t>O'Brien, Courtney (Research):</t>
        </r>
        <r>
          <rPr>
            <sz val="9"/>
            <color indexed="81"/>
            <rFont val="Tahoma"/>
            <family val="2"/>
          </rPr>
          <t xml:space="preserve">
PLKI capex = ~14M</t>
        </r>
      </text>
    </comment>
    <comment ref="CG51" authorId="4">
      <text>
        <r>
          <rPr>
            <b/>
            <sz val="9"/>
            <color indexed="81"/>
            <rFont val="Tahoma"/>
            <family val="2"/>
          </rPr>
          <t xml:space="preserve">O'Brien, Courtney (Research):
8.2.17
</t>
        </r>
      </text>
    </comment>
    <comment ref="AZ57" authorId="1">
      <text>
        <r>
          <rPr>
            <b/>
            <sz val="8"/>
            <color indexed="81"/>
            <rFont val="Tahoma"/>
            <family val="2"/>
          </rPr>
          <t>Sushama Dasari:</t>
        </r>
        <r>
          <rPr>
            <sz val="8"/>
            <color indexed="81"/>
            <rFont val="Tahoma"/>
            <family val="2"/>
          </rPr>
          <t xml:space="preserve">
1) Proceeds from New Term Loans and other debt: 1,837.1
2) Proceeds from Senior Notes: 800.0</t>
        </r>
      </text>
    </comment>
    <comment ref="AG58" authorId="5">
      <text>
        <r>
          <rPr>
            <sz val="8"/>
            <color indexed="81"/>
            <rFont val="Tahoma"/>
            <family val="2"/>
          </rPr>
          <t xml:space="preserve">7.26.07
that it will retire an additional $25 million in debt on July 31, 2007 using cash generated from operations.
</t>
        </r>
      </text>
    </comment>
    <comment ref="AN58" authorId="0">
      <text>
        <r>
          <rPr>
            <b/>
            <sz val="8"/>
            <color indexed="81"/>
            <rFont val="Tahoma"/>
            <family val="2"/>
          </rPr>
          <t>Jon Tower:</t>
        </r>
        <r>
          <rPr>
            <sz val="8"/>
            <color indexed="81"/>
            <rFont val="Tahoma"/>
            <family val="2"/>
          </rPr>
          <t xml:space="preserve">
4.15.09
Interest expense also improved over the prior year period primarily due to lower average interest rates in addition to the impact of the retirement of $40 million in debt within the quarter. </t>
        </r>
      </text>
    </comment>
    <comment ref="AQ58" authorId="0">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R58" authorId="0">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S58" authorId="0">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T58" authorId="0">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AZ58" authorId="1">
      <text>
        <r>
          <rPr>
            <b/>
            <sz val="8"/>
            <color indexed="81"/>
            <rFont val="Tahoma"/>
            <family val="2"/>
          </rPr>
          <t>Sushama Dasari:</t>
        </r>
        <r>
          <rPr>
            <sz val="8"/>
            <color indexed="81"/>
            <rFont val="Tahoma"/>
            <family val="2"/>
          </rPr>
          <t xml:space="preserve">
1) Extinguishment of debt: -731.8
2) Repayments of debt and capital leases: -3.2
</t>
        </r>
      </text>
    </comment>
    <comment ref="BA58" authorId="0">
      <text>
        <r>
          <rPr>
            <b/>
            <sz val="8"/>
            <color indexed="81"/>
            <rFont val="Tahoma"/>
            <family val="2"/>
          </rPr>
          <t>Jon Tower:</t>
        </r>
        <r>
          <rPr>
            <sz val="8"/>
            <color indexed="81"/>
            <rFont val="Tahoma"/>
            <family val="2"/>
          </rPr>
          <t xml:space="preserve">
8.25.09
The company is expected to pay down $62.5 million of senior debt during fiscal
2010 in equal quarterly installments of $15.6 million.</t>
        </r>
      </text>
    </comment>
    <comment ref="BB58" authorId="0">
      <text>
        <r>
          <rPr>
            <b/>
            <sz val="8"/>
            <color indexed="81"/>
            <rFont val="Tahoma"/>
            <family val="2"/>
          </rPr>
          <t>Jon Tower:</t>
        </r>
        <r>
          <rPr>
            <sz val="8"/>
            <color indexed="81"/>
            <rFont val="Tahoma"/>
            <family val="2"/>
          </rPr>
          <t xml:space="preserve">
8.24.10
The Company is expected to pay $21.9 million in scheduled quarterly debt repayments in accordance with the current indebtedness agreement until it refinances its debt. 
In light of the maturity schedule of the Company's senior debt, the Company is currently evaluating its refinancing options. Many factors will influence the ultimate decision, including the mix of debt instruments, interest rates, covenant set and interest rate swaps. 
</t>
        </r>
      </text>
    </comment>
    <comment ref="BC58" authorId="0">
      <text>
        <r>
          <rPr>
            <b/>
            <sz val="8"/>
            <color indexed="81"/>
            <rFont val="Tahoma"/>
            <family val="2"/>
          </rPr>
          <t>Jon Tower:</t>
        </r>
        <r>
          <rPr>
            <sz val="8"/>
            <color indexed="81"/>
            <rFont val="Tahoma"/>
            <family val="2"/>
          </rPr>
          <t xml:space="preserve">
8.24.10
The Company is expected to pay $21.9 million in scheduled quarterly debt repayments in accordance with the current indebtedness agreement until it refinances its debt. 
In light of the maturity schedule of the Company's senior debt, the Company is currently evaluating its refinancing options. Many factors will influence the ultimate decision, including the mix of debt instruments, interest rates, covenant set and interest rate swaps. 
</t>
        </r>
      </text>
    </comment>
    <comment ref="BD58" authorId="0">
      <text>
        <r>
          <rPr>
            <b/>
            <sz val="8"/>
            <color indexed="81"/>
            <rFont val="Tahoma"/>
            <family val="2"/>
          </rPr>
          <t>Jon Tower:</t>
        </r>
        <r>
          <rPr>
            <sz val="8"/>
            <color indexed="81"/>
            <rFont val="Tahoma"/>
            <family val="2"/>
          </rPr>
          <t xml:space="preserve">
8.24.10
The Company is expected to pay $21.9 million in scheduled quarterly debt repayments in accordance with the current indebtedness agreement until it refinances its debt. 
In light of the maturity schedule of the Company's senior debt, the Company is currently evaluating its refinancing options. Many factors will influence the ultimate decision, including the mix of debt instruments, interest rates, covenant set and interest rate swaps. 
</t>
        </r>
      </text>
    </comment>
    <comment ref="BE58" authorId="0">
      <text>
        <r>
          <rPr>
            <b/>
            <sz val="8"/>
            <color indexed="81"/>
            <rFont val="Tahoma"/>
            <family val="2"/>
          </rPr>
          <t>Jon Tower:</t>
        </r>
        <r>
          <rPr>
            <sz val="8"/>
            <color indexed="81"/>
            <rFont val="Tahoma"/>
            <family val="2"/>
          </rPr>
          <t xml:space="preserve">
8.24.10
The Company is expected to pay $21.9 million in scheduled quarterly debt repayments in accordance with the current indebtedness agreement until it refinances its debt. 
In light of the maturity schedule of the Company's senior debt, the Company is currently evaluating its refinancing options. Many factors will influence the ultimate decision, including the mix of debt instruments, interest rates, covenant set and interest rate swaps. 
</t>
        </r>
      </text>
    </comment>
    <comment ref="BF58" authorId="0">
      <text>
        <r>
          <rPr>
            <b/>
            <sz val="8"/>
            <color indexed="81"/>
            <rFont val="Tahoma"/>
            <family val="2"/>
          </rPr>
          <t>Jon Tower:</t>
        </r>
        <r>
          <rPr>
            <sz val="8"/>
            <color indexed="81"/>
            <rFont val="Tahoma"/>
            <family val="2"/>
          </rPr>
          <t xml:space="preserve">
8.24.10
The Company is expected to pay $21.9 million in scheduled quarterly debt repayments in accordance with the current indebtedness agreement until it refinances its debt. 
In light of the maturity schedule of the Company's senior debt, the Company is currently evaluating its refinancing options. Many factors will influence the ultimate decision, including the mix of debt instruments, interest rates, covenant set and interest rate swaps. 
</t>
        </r>
      </text>
    </comment>
    <comment ref="BK58" authorId="0">
      <text>
        <r>
          <rPr>
            <b/>
            <sz val="8"/>
            <color indexed="81"/>
            <rFont val="Tahoma"/>
            <family val="2"/>
          </rPr>
          <t>Jon Tower:</t>
        </r>
        <r>
          <rPr>
            <sz val="8"/>
            <color indexed="81"/>
            <rFont val="Tahoma"/>
            <family val="2"/>
          </rPr>
          <t xml:space="preserve">
per 10k == have $666.4M in principal payments due in FY12</t>
        </r>
      </text>
    </comment>
    <comment ref="CI60" authorId="6">
      <text>
        <r>
          <rPr>
            <b/>
            <sz val="9"/>
            <color indexed="81"/>
            <rFont val="Tahoma"/>
            <family val="2"/>
          </rPr>
          <t>Glass, John (Research):</t>
        </r>
        <r>
          <rPr>
            <sz val="9"/>
            <color indexed="81"/>
            <rFont val="Tahoma"/>
            <family val="2"/>
          </rPr>
          <t xml:space="preserve">
Assume redeem 9% preferred stock</t>
        </r>
      </text>
    </comment>
    <comment ref="AD66" authorId="3">
      <text>
        <r>
          <rPr>
            <b/>
            <sz val="9"/>
            <color indexed="81"/>
            <rFont val="Tahoma"/>
            <family val="2"/>
          </rPr>
          <t>towerj:</t>
        </r>
        <r>
          <rPr>
            <sz val="9"/>
            <color indexed="81"/>
            <rFont val="Tahoma"/>
            <family val="2"/>
          </rPr>
          <t xml:space="preserve">
1.31.07
quarterly cash div of $0.0625 per share announced - payment March 15th</t>
        </r>
      </text>
    </comment>
    <comment ref="AG66" authorId="3">
      <text>
        <r>
          <rPr>
            <b/>
            <sz val="9"/>
            <color indexed="81"/>
            <rFont val="Tahoma"/>
            <family val="2"/>
          </rPr>
          <t>towerj:</t>
        </r>
        <r>
          <rPr>
            <sz val="9"/>
            <color indexed="81"/>
            <rFont val="Tahoma"/>
            <family val="2"/>
          </rPr>
          <t xml:space="preserve">
$0.10 per share</t>
        </r>
      </text>
    </comment>
    <comment ref="AH66" authorId="3">
      <text>
        <r>
          <rPr>
            <b/>
            <sz val="9"/>
            <color indexed="81"/>
            <rFont val="Tahoma"/>
            <family val="2"/>
          </rPr>
          <t>towerj:</t>
        </r>
        <r>
          <rPr>
            <sz val="9"/>
            <color indexed="81"/>
            <rFont val="Tahoma"/>
            <family val="2"/>
          </rPr>
          <t xml:space="preserve">
$0.10 per share</t>
        </r>
      </text>
    </comment>
    <comment ref="AI66" authorId="3">
      <text>
        <r>
          <rPr>
            <b/>
            <sz val="9"/>
            <color indexed="81"/>
            <rFont val="Tahoma"/>
            <family val="2"/>
          </rPr>
          <t>towerj:</t>
        </r>
        <r>
          <rPr>
            <sz val="9"/>
            <color indexed="81"/>
            <rFont val="Tahoma"/>
            <family val="2"/>
          </rPr>
          <t xml:space="preserve">
$0.10 per share</t>
        </r>
      </text>
    </comment>
    <comment ref="AJ66" authorId="3">
      <text>
        <r>
          <rPr>
            <b/>
            <sz val="9"/>
            <color indexed="81"/>
            <rFont val="Tahoma"/>
            <family val="2"/>
          </rPr>
          <t>towerj:</t>
        </r>
        <r>
          <rPr>
            <sz val="9"/>
            <color indexed="81"/>
            <rFont val="Tahoma"/>
            <family val="2"/>
          </rPr>
          <t xml:space="preserve">
$0.10 per share</t>
        </r>
      </text>
    </comment>
    <comment ref="BG66" authorId="1">
      <text>
        <r>
          <rPr>
            <b/>
            <sz val="8"/>
            <color indexed="81"/>
            <rFont val="Tahoma"/>
            <family val="2"/>
          </rPr>
          <t>Sushama Dasari:</t>
        </r>
        <r>
          <rPr>
            <sz val="8"/>
            <color indexed="81"/>
            <rFont val="Tahoma"/>
            <family val="2"/>
          </rPr>
          <t xml:space="preserve">
Dividend to parent</t>
        </r>
      </text>
    </comment>
    <comment ref="BL66" authorId="1">
      <text>
        <r>
          <rPr>
            <b/>
            <sz val="8"/>
            <color indexed="81"/>
            <rFont val="Tahoma"/>
            <family val="2"/>
          </rPr>
          <t>Sushama Dasari:</t>
        </r>
        <r>
          <rPr>
            <sz val="8"/>
            <color indexed="81"/>
            <rFont val="Tahoma"/>
            <family val="2"/>
          </rPr>
          <t xml:space="preserve">
</t>
        </r>
        <r>
          <rPr>
            <b/>
            <sz val="8"/>
            <color indexed="81"/>
            <rFont val="Tahoma"/>
            <family val="2"/>
          </rPr>
          <t xml:space="preserve">2.15.13
</t>
        </r>
        <r>
          <rPr>
            <sz val="8"/>
            <color indexed="81"/>
            <rFont val="Tahoma"/>
            <family val="2"/>
          </rPr>
          <t>Raised dividend 25% to $0.05 per share in Q1 2013</t>
        </r>
      </text>
    </comment>
    <comment ref="BO66" authorId="7">
      <text>
        <r>
          <rPr>
            <b/>
            <sz val="8"/>
            <color indexed="81"/>
            <rFont val="Tahoma"/>
            <family val="2"/>
          </rPr>
          <t>John Glass:</t>
        </r>
        <r>
          <rPr>
            <sz val="8"/>
            <color indexed="81"/>
            <rFont val="Tahoma"/>
            <family val="2"/>
          </rPr>
          <t xml:space="preserve">
11.13: increased quarterly dividned to 7c per share from 6c</t>
        </r>
      </text>
    </comment>
    <comment ref="AF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AK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AP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BA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BF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BK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BP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BU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BZ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CE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CJ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CO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CT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CY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DD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DI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DN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DS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DX91" authorId="3">
      <text>
        <r>
          <rPr>
            <b/>
            <sz val="9"/>
            <color indexed="81"/>
            <rFont val="Tahoma"/>
            <family val="2"/>
          </rPr>
          <t>towerj:</t>
        </r>
        <r>
          <rPr>
            <sz val="9"/>
            <color indexed="81"/>
            <rFont val="Tahoma"/>
            <family val="2"/>
          </rPr>
          <t xml:space="preserve">
3.9.07
USES of Cash (in order of priority):
§ Growth of business/brand – co-owned unit growth, buying franchisees &amp; resale
§ International market seeding
§ Repurchasing shares from sponsors @ discount
§ Increase the dividend.
</t>
        </r>
      </text>
    </comment>
    <comment ref="AA95" authorId="2">
      <text>
        <r>
          <rPr>
            <b/>
            <sz val="8"/>
            <color indexed="81"/>
            <rFont val="Tahoma"/>
            <family val="2"/>
          </rPr>
          <t>glassj:</t>
        </r>
        <r>
          <rPr>
            <sz val="8"/>
            <color indexed="81"/>
            <rFont val="Tahoma"/>
            <family val="2"/>
          </rPr>
          <t xml:space="preserve">
$155 M excluding 1X costs</t>
        </r>
      </text>
    </comment>
    <comment ref="AF95" authorId="2">
      <text>
        <r>
          <rPr>
            <b/>
            <sz val="8"/>
            <color indexed="81"/>
            <rFont val="Tahoma"/>
            <family val="2"/>
          </rPr>
          <t>glassj:</t>
        </r>
        <r>
          <rPr>
            <sz val="8"/>
            <color indexed="81"/>
            <rFont val="Tahoma"/>
            <family val="2"/>
          </rPr>
          <t xml:space="preserve">
$150 M exluding 1X items</t>
        </r>
      </text>
    </comment>
    <comment ref="BQ103" authorId="8">
      <text>
        <r>
          <rPr>
            <b/>
            <sz val="8"/>
            <color indexed="81"/>
            <rFont val="Tahoma"/>
            <family val="2"/>
          </rPr>
          <t>2013 10K:</t>
        </r>
        <r>
          <rPr>
            <sz val="8"/>
            <color indexed="81"/>
            <rFont val="Tahoma"/>
            <family val="2"/>
          </rPr>
          <t xml:space="preserve">
On February 12, 2014, our board declared a cash dividend of $0.07 per share, which will be paid on March 12, 2014 to shareholders of record on February 26, 2014.</t>
        </r>
        <r>
          <rPr>
            <sz val="8"/>
            <color indexed="81"/>
            <rFont val="Tahoma"/>
            <family val="2"/>
          </rPr>
          <t xml:space="preserve">
</t>
        </r>
      </text>
    </comment>
    <comment ref="BK121" authorId="1">
      <text>
        <r>
          <rPr>
            <b/>
            <sz val="8"/>
            <color indexed="81"/>
            <rFont val="Tahoma"/>
            <family val="2"/>
          </rPr>
          <t>Sushama Dasari:</t>
        </r>
        <r>
          <rPr>
            <sz val="8"/>
            <color indexed="81"/>
            <rFont val="Tahoma"/>
            <family val="2"/>
          </rPr>
          <t xml:space="preserve">
10-K shows 113.7 as the total within D&amp;A breakdown but 114.2 in CF</t>
        </r>
      </text>
    </comment>
    <comment ref="BP145" authorId="9">
      <text>
        <r>
          <rPr>
            <b/>
            <sz val="8"/>
            <color indexed="81"/>
            <rFont val="Tahoma"/>
            <family val="2"/>
          </rPr>
          <t>Jake Bartlett:</t>
        </r>
        <r>
          <rPr>
            <sz val="8"/>
            <color indexed="81"/>
            <rFont val="Tahoma"/>
            <family val="2"/>
          </rPr>
          <t xml:space="preserve">
350 units</t>
        </r>
      </text>
    </comment>
    <comment ref="BU145" authorId="9">
      <text>
        <r>
          <rPr>
            <b/>
            <sz val="8"/>
            <color indexed="81"/>
            <rFont val="Tahoma"/>
            <family val="2"/>
          </rPr>
          <t>Jake Bartlett:</t>
        </r>
        <r>
          <rPr>
            <sz val="8"/>
            <color indexed="81"/>
            <rFont val="Tahoma"/>
            <family val="2"/>
          </rPr>
          <t xml:space="preserve">
450 units</t>
        </r>
      </text>
    </comment>
    <comment ref="A147" authorId="0">
      <text>
        <r>
          <rPr>
            <b/>
            <sz val="8"/>
            <color indexed="81"/>
            <rFont val="Tahoma"/>
            <family val="2"/>
          </rPr>
          <t>Jon Tower:</t>
        </r>
        <r>
          <rPr>
            <sz val="8"/>
            <color indexed="81"/>
            <rFont val="Tahoma"/>
            <family val="2"/>
          </rPr>
          <t xml:space="preserve">
2011 10K 
Capital expenditures relate to the acquisition and installation of additional digital menu boards in Canadian restaurants which is being funded by our
Canadian advertising fund.</t>
        </r>
      </text>
    </comment>
    <comment ref="BP149" authorId="7">
      <text>
        <r>
          <rPr>
            <b/>
            <sz val="8"/>
            <color indexed="81"/>
            <rFont val="Tahoma"/>
            <family val="2"/>
          </rPr>
          <t>John Glass:</t>
        </r>
        <r>
          <rPr>
            <sz val="8"/>
            <color indexed="81"/>
            <rFont val="Tahoma"/>
            <family val="2"/>
          </rPr>
          <t xml:space="preserve">
$300 to $350 M icluding $50 m from ad fund</t>
        </r>
      </text>
    </comment>
    <comment ref="BZ154" authorId="10">
      <text>
        <r>
          <rPr>
            <b/>
            <sz val="9"/>
            <color indexed="81"/>
            <rFont val="Tahoma"/>
            <family val="2"/>
          </rPr>
          <t>QSR 2014 10K:</t>
        </r>
        <r>
          <rPr>
            <sz val="9"/>
            <color indexed="81"/>
            <rFont val="Tahoma"/>
            <family val="2"/>
          </rPr>
          <t xml:space="preserve">
$180M guidance</t>
        </r>
      </text>
    </comment>
  </commentList>
</comments>
</file>

<file path=xl/sharedStrings.xml><?xml version="1.0" encoding="utf-8"?>
<sst xmlns="http://schemas.openxmlformats.org/spreadsheetml/2006/main" count="2018" uniqueCount="1224">
  <si>
    <t>Adj. EBITDA - Organic (ex refranchising, F/X)</t>
  </si>
  <si>
    <t>SWITCH TO DEC FISCAL YEAR</t>
  </si>
  <si>
    <t>Dividend payout ratio</t>
  </si>
  <si>
    <t>F3Q08A</t>
  </si>
  <si>
    <t>Statement of Stockholder's Equity</t>
  </si>
  <si>
    <t>EBITDA (adj)</t>
  </si>
  <si>
    <t>EBITDA (adj,) Growth</t>
  </si>
  <si>
    <t>Global SSS growth</t>
  </si>
  <si>
    <t>Snapshot: FY Ends Dec (June prior to 2010)</t>
  </si>
  <si>
    <t>Equity method investments</t>
  </si>
  <si>
    <t xml:space="preserve">      Change in equity method investments</t>
  </si>
  <si>
    <t xml:space="preserve">   Equity method investments asset</t>
  </si>
  <si>
    <t>Property revenues</t>
  </si>
  <si>
    <t>Y/Y change</t>
  </si>
  <si>
    <t>Total revenue from affiliates</t>
  </si>
  <si>
    <t>Contribution to total franchise revenu</t>
  </si>
  <si>
    <t>Common Equity Beginning of Period</t>
  </si>
  <si>
    <t>AOCI changes</t>
  </si>
  <si>
    <t>Other Changes</t>
  </si>
  <si>
    <t>Common Equity End of Period</t>
  </si>
  <si>
    <t>F4Q10A</t>
  </si>
  <si>
    <t>BKW.N,mscalc:sedolCodeCalc</t>
  </si>
  <si>
    <t>BKW.N,mscalc:targetPrice,,,,USD</t>
  </si>
  <si>
    <t>BKW.N,mscalc:closePriceCurrencyCalc</t>
  </si>
  <si>
    <t>Price Target/Base Case</t>
  </si>
  <si>
    <t>Average Systemwide Stores</t>
  </si>
  <si>
    <t>Other/Misc</t>
  </si>
  <si>
    <t>TTM systemsales</t>
  </si>
  <si>
    <t>TTM revenue</t>
  </si>
  <si>
    <t>TTM adj. EBITDA (BKW method)</t>
  </si>
  <si>
    <t>TTM adj. EPS</t>
  </si>
  <si>
    <t>Adjusted EBITDA (MS calc)</t>
  </si>
  <si>
    <t xml:space="preserve">TTM adj. NI </t>
  </si>
  <si>
    <t>Adj. Net income</t>
  </si>
  <si>
    <t>G&amp;A analysis</t>
  </si>
  <si>
    <t>EBITDA, EBIT and NI Adjustments</t>
  </si>
  <si>
    <t>Line Item Detail</t>
  </si>
  <si>
    <t xml:space="preserve">   Y/Y growth</t>
  </si>
  <si>
    <t>Preferred shares</t>
  </si>
  <si>
    <t>Difference</t>
  </si>
  <si>
    <t>Prefered dividend</t>
  </si>
  <si>
    <t>38</t>
  </si>
  <si>
    <t>3Q14A</t>
  </si>
  <si>
    <t>APAC</t>
  </si>
  <si>
    <t>US/Canada SSS Growth</t>
  </si>
  <si>
    <t>BKC.N,mscalc:sedolCodeCalc</t>
  </si>
  <si>
    <t>BKC.N,mscalc:targetPrice,,,,USD</t>
  </si>
  <si>
    <t>Dividends</t>
  </si>
  <si>
    <t>Total dividend payment</t>
  </si>
  <si>
    <t>Dividend per share</t>
  </si>
  <si>
    <t>Special dividend</t>
  </si>
  <si>
    <t>Quarterly dividend payment</t>
  </si>
  <si>
    <t>Annualized payout of NI (TTM) (ex special div)</t>
  </si>
  <si>
    <t>Special div/share</t>
  </si>
  <si>
    <t>BKC.N,mscalc:closePriceCurrencyCalc</t>
  </si>
  <si>
    <t>Accumulated other comprehensive income (loss)</t>
  </si>
  <si>
    <t>Retained earnings/(Accumulated deficit)</t>
  </si>
  <si>
    <t xml:space="preserve">  Food, paper and product costs</t>
  </si>
  <si>
    <t>Franchise and property expenses</t>
  </si>
  <si>
    <t>Franchise and property margin</t>
  </si>
  <si>
    <t xml:space="preserve">  Franchise and property revenues</t>
  </si>
  <si>
    <t>Franchise and property revenue</t>
  </si>
  <si>
    <t xml:space="preserve"> Proceeds from refranchisings, asset disposals and restaurant closures</t>
  </si>
  <si>
    <t>Gain on hedging activities, terminated caps/swings</t>
  </si>
  <si>
    <t>Investments in unconsolidated affiliates</t>
  </si>
  <si>
    <t>Enterprise Value</t>
  </si>
  <si>
    <t>Income Taxes Paid</t>
  </si>
  <si>
    <t>Supplemental cash flow information</t>
  </si>
  <si>
    <t>Interest Paid</t>
  </si>
  <si>
    <t>Non-cash investing &amp; financing activities</t>
  </si>
  <si>
    <t>Acquisition of property with capital lease obligations</t>
  </si>
  <si>
    <t>Current shares outstanding</t>
  </si>
  <si>
    <t>F4Q08A</t>
  </si>
  <si>
    <t>FY08A</t>
  </si>
  <si>
    <t>Balance Sheet Data</t>
  </si>
  <si>
    <t>Cash (includes restricted cash)</t>
  </si>
  <si>
    <t>Long-term Debt</t>
  </si>
  <si>
    <t xml:space="preserve">Cash Flow Data </t>
  </si>
  <si>
    <t>Cash from Operations</t>
  </si>
  <si>
    <t>Capex</t>
  </si>
  <si>
    <t>FCF (CFO less Capex)</t>
  </si>
  <si>
    <t>Market Cap</t>
  </si>
  <si>
    <t>EV/EBITDA</t>
  </si>
  <si>
    <t>Adj. SG&amp;A (as per BKW)</t>
  </si>
  <si>
    <t>Adj. SG&amp;A (incl. stock comp)</t>
  </si>
  <si>
    <t>Current stock price</t>
  </si>
  <si>
    <t>Current net debt</t>
  </si>
  <si>
    <t>P/E</t>
  </si>
  <si>
    <t>Company</t>
  </si>
  <si>
    <t>Share-based compensation</t>
  </si>
  <si>
    <t>Transaction costs</t>
  </si>
  <si>
    <t>B7ZS2R8</t>
  </si>
  <si>
    <t>Field optimization project costs</t>
  </si>
  <si>
    <t>F3Q09A</t>
  </si>
  <si>
    <t>FY08</t>
  </si>
  <si>
    <t>CY12E</t>
  </si>
  <si>
    <t>CY13E</t>
  </si>
  <si>
    <t>Revenue-Total, as reported</t>
  </si>
  <si>
    <t>Revenue-Organic (ex refranchising, F/X)</t>
  </si>
  <si>
    <t>TTM Adj EBITDA</t>
  </si>
  <si>
    <t>4Q13A</t>
  </si>
  <si>
    <t>2013A</t>
  </si>
  <si>
    <t>Less: current maturities of debt</t>
  </si>
  <si>
    <t>Adj. G&amp;A per average systemwide store ($)</t>
  </si>
  <si>
    <t>Total adj. G&amp;A (incl. stock comp)</t>
  </si>
  <si>
    <t>Sales/Avg Assets (adj. for intang., Cash and GW)</t>
  </si>
  <si>
    <t>ROAA (adjusted)</t>
  </si>
  <si>
    <t>System sales</t>
  </si>
  <si>
    <t>System Sales Growth</t>
  </si>
  <si>
    <t>CY15E</t>
  </si>
  <si>
    <t>CY16E</t>
  </si>
  <si>
    <t>CY12</t>
  </si>
  <si>
    <t>CY13</t>
  </si>
  <si>
    <t>New debt</t>
  </si>
  <si>
    <t>Capital leases</t>
  </si>
  <si>
    <t>Total LT capital leases</t>
  </si>
  <si>
    <t>Capital lease implied interest</t>
  </si>
  <si>
    <t>Unamortized deferred financing balance</t>
  </si>
  <si>
    <t>Cash balance</t>
  </si>
  <si>
    <t>Share-based compensation &amp; non cash incentive</t>
  </si>
  <si>
    <t>Other Operating (Income) Expenses, net</t>
  </si>
  <si>
    <t>Net (gains) losses on disposal of assets, restaurant closures and refranchising</t>
  </si>
  <si>
    <t>Litigation settlements and reserves</t>
  </si>
  <si>
    <t>Foreign exchange net losses (gains)</t>
  </si>
  <si>
    <t>Other operting (income) expenses, net</t>
  </si>
  <si>
    <t>Incremental EBIT margin</t>
  </si>
  <si>
    <t>D&amp;A</t>
  </si>
  <si>
    <t>1Q10A</t>
  </si>
  <si>
    <t>2Q10A</t>
  </si>
  <si>
    <t>3Q10A</t>
  </si>
  <si>
    <t>4Q10A</t>
  </si>
  <si>
    <t>Franchise and property revenues</t>
  </si>
  <si>
    <t>F2Q09A</t>
  </si>
  <si>
    <t>Reported Net Income</t>
  </si>
  <si>
    <t>Reported EBITDA</t>
  </si>
  <si>
    <t>Adjustments to Net Income and EPS</t>
  </si>
  <si>
    <t>Restaurant acquisition charges</t>
  </si>
  <si>
    <t>Systemwide sales in constant currencies</t>
  </si>
  <si>
    <t>Acquisition start up charges</t>
  </si>
  <si>
    <t>LTM/NTM EBIT</t>
  </si>
  <si>
    <t>Free Cash Flow Yield</t>
  </si>
  <si>
    <t>dollars in millions, except per share data</t>
  </si>
  <si>
    <t>1Q02A</t>
  </si>
  <si>
    <t>2Q02A</t>
  </si>
  <si>
    <t>3Q02A</t>
  </si>
  <si>
    <t>4Q02A</t>
  </si>
  <si>
    <t>1Q03A</t>
  </si>
  <si>
    <t>Other</t>
  </si>
  <si>
    <t>2Q03A</t>
  </si>
  <si>
    <t>3Q03A</t>
  </si>
  <si>
    <t>4Q03A</t>
  </si>
  <si>
    <t>y/y</t>
  </si>
  <si>
    <t>SYSTEMWIDE SALES</t>
  </si>
  <si>
    <t>REVENUE</t>
  </si>
  <si>
    <t>TOTAL REVENUE</t>
  </si>
  <si>
    <t xml:space="preserve">  Payroll and benefits</t>
  </si>
  <si>
    <t xml:space="preserve">  Occupany and Other</t>
  </si>
  <si>
    <t>Company-operated costs</t>
  </si>
  <si>
    <t>SG&amp;A</t>
  </si>
  <si>
    <t>OPERATING INCOME</t>
  </si>
  <si>
    <t>Interest expense, net</t>
  </si>
  <si>
    <t>Pretax Income</t>
  </si>
  <si>
    <t>NA</t>
  </si>
  <si>
    <t>Shares outstanding (diluted)</t>
  </si>
  <si>
    <t>Margin Analysis</t>
  </si>
  <si>
    <t>Operating Income</t>
  </si>
  <si>
    <t>Tax rate</t>
  </si>
  <si>
    <t>Year-over-Year Change</t>
  </si>
  <si>
    <t>Systemwide sales</t>
  </si>
  <si>
    <t>Company-operated revenue</t>
  </si>
  <si>
    <t>Franchise revenue</t>
  </si>
  <si>
    <t>Revenue (total)</t>
  </si>
  <si>
    <t>A</t>
  </si>
  <si>
    <t>Interest income rate</t>
  </si>
  <si>
    <t>PASTE AS VALUE Interest income</t>
  </si>
  <si>
    <t xml:space="preserve">   Deferred financing costs in period</t>
  </si>
  <si>
    <t xml:space="preserve">   Amortization of original issue discount</t>
  </si>
  <si>
    <t>Tranche A Term Loan (9/28/2017)</t>
  </si>
  <si>
    <t>Deferred Premiums on interest rate caps</t>
  </si>
  <si>
    <t>Total debt</t>
  </si>
  <si>
    <t>Total LT debt</t>
  </si>
  <si>
    <t>(dollars in millions)</t>
  </si>
  <si>
    <t>ASSETS</t>
  </si>
  <si>
    <t>Cash and equivalents</t>
  </si>
  <si>
    <t>Prepaid expenses and other current assets</t>
  </si>
  <si>
    <t xml:space="preserve">  Total Current Assets</t>
  </si>
  <si>
    <t>Average proceeds/store</t>
  </si>
  <si>
    <t>Net PP&amp;E</t>
  </si>
  <si>
    <t xml:space="preserve">  TOTAL ASSETS</t>
  </si>
  <si>
    <t>Octher accrued liabilities Days</t>
  </si>
  <si>
    <t>Prepaid expenses and other current assets Days</t>
  </si>
  <si>
    <t>LIABILITIES AND SHAREHOLDERS' EQUITY</t>
  </si>
  <si>
    <t>Other accrued liabilities</t>
  </si>
  <si>
    <t xml:space="preserve">  Total Current Liabilities</t>
  </si>
  <si>
    <t>DUPONT ANALYSIS</t>
  </si>
  <si>
    <t>Sales/Average Assets</t>
  </si>
  <si>
    <t>2Q14A</t>
  </si>
  <si>
    <t>Average Assets/Average Equity</t>
  </si>
  <si>
    <t>ROAA</t>
  </si>
  <si>
    <t>ROAE</t>
  </si>
  <si>
    <t>Working capital</t>
  </si>
  <si>
    <t>Working capital ex cash</t>
  </si>
  <si>
    <t>Debt to Capital</t>
  </si>
  <si>
    <t>A2</t>
  </si>
  <si>
    <t>A+</t>
  </si>
  <si>
    <t>($ in millions)</t>
  </si>
  <si>
    <t>Operating activities:</t>
  </si>
  <si>
    <t>Net income</t>
  </si>
  <si>
    <t>Adj. to reconcile to cash provided by ops</t>
  </si>
  <si>
    <t>Total</t>
  </si>
  <si>
    <t>This sheet contains Factset binary data for use with this workbook's =FDS codes.  Modifying the worksheet's contents may damage the workbook's =FDS functionality.</t>
  </si>
  <si>
    <t>1Q04A</t>
  </si>
  <si>
    <t xml:space="preserve">SG&amp;A </t>
  </si>
  <si>
    <t>2Q04A</t>
  </si>
  <si>
    <t>3Q04A</t>
  </si>
  <si>
    <t>4Q04A</t>
  </si>
  <si>
    <t xml:space="preserve">F/X impact (included in operating EPS) </t>
  </si>
  <si>
    <t>1Q05A</t>
  </si>
  <si>
    <t>2Q05A</t>
  </si>
  <si>
    <t>3Q05A</t>
  </si>
  <si>
    <t>4Q05A</t>
  </si>
  <si>
    <t>Reported EPS</t>
  </si>
  <si>
    <t>% company revenues</t>
  </si>
  <si>
    <t>% total revenues</t>
  </si>
  <si>
    <t>Impairment of goodwill</t>
  </si>
  <si>
    <t>Other operating expenses (income), net</t>
  </si>
  <si>
    <t>Loss on early extinguishment of debt</t>
  </si>
  <si>
    <t>1Q11A</t>
  </si>
  <si>
    <t>2Q11A</t>
  </si>
  <si>
    <t>3Q11A</t>
  </si>
  <si>
    <t>4Q11A</t>
  </si>
  <si>
    <t>BALANCE SHEET DRIVERS</t>
  </si>
  <si>
    <t>Taxes (benefit)</t>
  </si>
  <si>
    <t>EBITDA</t>
  </si>
  <si>
    <t>FY04</t>
  </si>
  <si>
    <t>FY05</t>
  </si>
  <si>
    <t>F1Q05A</t>
  </si>
  <si>
    <t>F2Q05A</t>
  </si>
  <si>
    <t>F3Q05A</t>
  </si>
  <si>
    <t>F4Q05A</t>
  </si>
  <si>
    <t>F1Q04A</t>
  </si>
  <si>
    <t>F2Q04A</t>
  </si>
  <si>
    <t>F3Q04A</t>
  </si>
  <si>
    <t>F4Q04A</t>
  </si>
  <si>
    <t>FY03</t>
  </si>
  <si>
    <t>FY02</t>
  </si>
  <si>
    <t>FY01</t>
  </si>
  <si>
    <t xml:space="preserve">FY04 </t>
  </si>
  <si>
    <t>Property margin</t>
  </si>
  <si>
    <t>EBITDA Margin</t>
  </si>
  <si>
    <t>Operating Margin</t>
  </si>
  <si>
    <t>Property revenue</t>
  </si>
  <si>
    <t xml:space="preserve">Systemwide  </t>
  </si>
  <si>
    <t>Units</t>
  </si>
  <si>
    <t>AUVs</t>
  </si>
  <si>
    <t>Y/Y % Change</t>
  </si>
  <si>
    <t>FY06</t>
  </si>
  <si>
    <t>F1Q06</t>
  </si>
  <si>
    <t>F2Q06</t>
  </si>
  <si>
    <t>F3Q06</t>
  </si>
  <si>
    <t>F4Q06</t>
  </si>
  <si>
    <t>Trade and notes receivable, net</t>
  </si>
  <si>
    <t>Deferred income taxes, net</t>
  </si>
  <si>
    <t>Intangible assets, net</t>
  </si>
  <si>
    <t>Goodwill</t>
  </si>
  <si>
    <t>Net Investment in property leased to franchisees</t>
  </si>
  <si>
    <t>Other Assets, net</t>
  </si>
  <si>
    <t>Fees paid to affiliates</t>
  </si>
  <si>
    <t>F1Q07</t>
  </si>
  <si>
    <t>Accounts and drafts payable</t>
  </si>
  <si>
    <t>Accrued advertising</t>
  </si>
  <si>
    <t>Current portion of LT debt and capital leases</t>
  </si>
  <si>
    <t>Term debt, net of current portion</t>
  </si>
  <si>
    <t>Capital leases, net of current portion</t>
  </si>
  <si>
    <t>Other deferrals and liabilities</t>
  </si>
  <si>
    <t>Total Liabilities</t>
  </si>
  <si>
    <t>Y/Y % growth</t>
  </si>
  <si>
    <t>Shareholders' Equity</t>
  </si>
  <si>
    <t>Restricted Stock Units</t>
  </si>
  <si>
    <t>1Q14A</t>
  </si>
  <si>
    <t>Additional paid-in capital</t>
  </si>
  <si>
    <t>Total stockholders' equity</t>
  </si>
  <si>
    <t>Interest expense payable in kind</t>
  </si>
  <si>
    <t>Depreciation and amortization</t>
  </si>
  <si>
    <t>Impairment of long-lived assets</t>
  </si>
  <si>
    <t>Avg. Price (Shrs issued)</t>
  </si>
  <si>
    <t>Avg. Price (shrs repurchased)</t>
  </si>
  <si>
    <t xml:space="preserve">   Q/Q price change</t>
  </si>
  <si>
    <t>Total interest expense</t>
  </si>
  <si>
    <t>Net Debt/Adj EBITDA</t>
  </si>
  <si>
    <t>Adjusted EBITDA (BKW calc)</t>
  </si>
  <si>
    <t>1Q12A</t>
  </si>
  <si>
    <t>2Q12A</t>
  </si>
  <si>
    <t>3Q12A</t>
  </si>
  <si>
    <t>4Q12A</t>
  </si>
  <si>
    <r>
      <t>Fiscal year ends: Dec.</t>
    </r>
    <r>
      <rPr>
        <i/>
        <sz val="8"/>
        <rFont val="Arial"/>
        <family val="2"/>
      </rPr>
      <t xml:space="preserve"> </t>
    </r>
    <r>
      <rPr>
        <b/>
        <i/>
        <sz val="8"/>
        <rFont val="Arial"/>
        <family val="2"/>
      </rPr>
      <t>($ in millions)</t>
    </r>
  </si>
  <si>
    <t>1Q13A</t>
  </si>
  <si>
    <t>2Q13A</t>
  </si>
  <si>
    <t>3Q13A</t>
  </si>
  <si>
    <t>1Q18E</t>
  </si>
  <si>
    <t>2Q18E</t>
  </si>
  <si>
    <t>3Q18E</t>
  </si>
  <si>
    <t>4Q18E</t>
  </si>
  <si>
    <t>2019E</t>
  </si>
  <si>
    <t>1Q20E</t>
  </si>
  <si>
    <t>1Q19E</t>
  </si>
  <si>
    <t>2Q19E</t>
  </si>
  <si>
    <t>3Q19E</t>
  </si>
  <si>
    <t>4Q19E</t>
  </si>
  <si>
    <t>2Q20E</t>
  </si>
  <si>
    <t>3Q20E</t>
  </si>
  <si>
    <t>4Q20E</t>
  </si>
  <si>
    <t>2020E</t>
  </si>
  <si>
    <t>1Q21E</t>
  </si>
  <si>
    <t>2Q21E</t>
  </si>
  <si>
    <t>3Q21E</t>
  </si>
  <si>
    <t>2021E</t>
  </si>
  <si>
    <t>4Q21E</t>
  </si>
  <si>
    <t>1Q22E</t>
  </si>
  <si>
    <t>2Q22E</t>
  </si>
  <si>
    <t>3Q22E</t>
  </si>
  <si>
    <t>4Q22E</t>
  </si>
  <si>
    <t>2022E</t>
  </si>
  <si>
    <t>1Q23E</t>
  </si>
  <si>
    <t>2Q23E</t>
  </si>
  <si>
    <t>3Q23E</t>
  </si>
  <si>
    <t>4Q23E</t>
  </si>
  <si>
    <t>1Q24E</t>
  </si>
  <si>
    <t>2Q24E</t>
  </si>
  <si>
    <t>3Q24E</t>
  </si>
  <si>
    <t>4Q24E</t>
  </si>
  <si>
    <t>2023E</t>
  </si>
  <si>
    <t>2024E</t>
  </si>
  <si>
    <t>Source: Company estiamtes; Morgan Stanley estimates</t>
  </si>
  <si>
    <t>Amortization of unearned compensation</t>
  </si>
  <si>
    <t>Deferred income tax (benefit) expense</t>
  </si>
  <si>
    <t>Changes in current assets and liabilities, net of acquisitions</t>
  </si>
  <si>
    <t>Trade and notes receivables</t>
  </si>
  <si>
    <t>Payment of interest on PIK notes</t>
  </si>
  <si>
    <t/>
  </si>
  <si>
    <t xml:space="preserve"> Net cash provided by operating activities</t>
  </si>
  <si>
    <t>Cash flows from investing activities:</t>
  </si>
  <si>
    <t xml:space="preserve"> Purchases of available for sale securities</t>
  </si>
  <si>
    <t xml:space="preserve"> Proceeds from available for sale securities</t>
  </si>
  <si>
    <t xml:space="preserve"> Payments for property and equipment</t>
  </si>
  <si>
    <t xml:space="preserve"> Payments for acquired franchisee operations</t>
  </si>
  <si>
    <t xml:space="preserve"> Investment in franchisee debt</t>
  </si>
  <si>
    <t xml:space="preserve"> Repayments of franchisee debt</t>
  </si>
  <si>
    <t xml:space="preserve"> Release from restricted cash/escrow account</t>
  </si>
  <si>
    <t xml:space="preserve"> Net cash used for investing activities</t>
  </si>
  <si>
    <t>Cash flows from financing activities:</t>
  </si>
  <si>
    <t xml:space="preserve"> Proceeds from term debt and credit facility</t>
  </si>
  <si>
    <t xml:space="preserve"> Repayments of term debt, credit facility and capital leases</t>
  </si>
  <si>
    <t xml:space="preserve"> Payments for financing costs</t>
  </si>
  <si>
    <t xml:space="preserve"> Proceeds from sale of common stock, net</t>
  </si>
  <si>
    <t xml:space="preserve"> Treasury stock purchases</t>
  </si>
  <si>
    <t xml:space="preserve"> Net cash (used for) provided by financing activities</t>
  </si>
  <si>
    <t xml:space="preserve"> (Decrease) increase in cash and cash equivalents</t>
  </si>
  <si>
    <t xml:space="preserve"> Cash and cash equivalents at beginning of period</t>
  </si>
  <si>
    <t xml:space="preserve"> Cash and cash equivalents at end of period</t>
  </si>
  <si>
    <t>Other long-term assets and liabilities, net</t>
  </si>
  <si>
    <t>-</t>
  </si>
  <si>
    <t>Stock-based compensation</t>
  </si>
  <si>
    <t xml:space="preserve"> Stock-based comp tax benefits</t>
  </si>
  <si>
    <t>F2Q07A</t>
  </si>
  <si>
    <t>y/y growth</t>
  </si>
  <si>
    <t>F2Q07</t>
  </si>
  <si>
    <t>Loss on termination of interest rate cap</t>
  </si>
  <si>
    <t>Other, net</t>
  </si>
  <si>
    <t>Other operating (income) expense, net</t>
  </si>
  <si>
    <t>Treasury Stock Repurchased ($ millions)</t>
  </si>
  <si>
    <t>TTM  Net Sales</t>
  </si>
  <si>
    <t>TTM COGS</t>
  </si>
  <si>
    <t>TTM SG&amp;A</t>
  </si>
  <si>
    <t>TTM Expenses</t>
  </si>
  <si>
    <t>Impairment of debt investments and investments in unconsolidated cos. &amp; JVs</t>
  </si>
  <si>
    <t>Equity in net loss from unconsolidated affiliates</t>
  </si>
  <si>
    <t>Franchise agreement amortization</t>
  </si>
  <si>
    <t>Amortization of deferred financing costs and original issue discount</t>
  </si>
  <si>
    <t>Business Combination Agreement expenses</t>
  </si>
  <si>
    <t>Adjusted income tax expense</t>
  </si>
  <si>
    <t>Tax rate %</t>
  </si>
  <si>
    <t>Total Adjustments pre-tax</t>
  </si>
  <si>
    <t>Nonrecurring adjustments - pre-tax</t>
  </si>
  <si>
    <t>Nonrecurring adjustments - post-tax</t>
  </si>
  <si>
    <t>EPS - Nonrecurring adjustments</t>
  </si>
  <si>
    <t>Adjusted EPS</t>
  </si>
  <si>
    <t>Global restructuring and related professional fees</t>
  </si>
  <si>
    <t>Global portfolio realignment project costs</t>
  </si>
  <si>
    <t>Business combination agreement expenses</t>
  </si>
  <si>
    <t>Total G&amp;A</t>
  </si>
  <si>
    <t xml:space="preserve">  Selling Expenses</t>
  </si>
  <si>
    <t xml:space="preserve">  G&amp;A Expenses</t>
  </si>
  <si>
    <t>Net Income</t>
  </si>
  <si>
    <t>Food, paper and product costs</t>
  </si>
  <si>
    <t>Payroll and employee benefits</t>
  </si>
  <si>
    <t>Occupany and other op costs</t>
  </si>
  <si>
    <t>F2Q10A</t>
  </si>
  <si>
    <t>F4Q09A</t>
  </si>
  <si>
    <t>FY09A</t>
  </si>
  <si>
    <t>CY06</t>
  </si>
  <si>
    <t>CY07</t>
  </si>
  <si>
    <t>CY08</t>
  </si>
  <si>
    <t>CY09</t>
  </si>
  <si>
    <t>CY05</t>
  </si>
  <si>
    <t>Free Cash Flow</t>
  </si>
  <si>
    <t>CFO</t>
  </si>
  <si>
    <t>FCF</t>
  </si>
  <si>
    <t xml:space="preserve">  Effect of exchange rates on cash &amp; cash equivalents</t>
  </si>
  <si>
    <t>Systemwide Same-Store Sales</t>
  </si>
  <si>
    <t>Company restaurant margin</t>
  </si>
  <si>
    <t xml:space="preserve"> Other investing activities</t>
  </si>
  <si>
    <t xml:space="preserve"> Return of investment on direct financing leases</t>
  </si>
  <si>
    <t>D&amp;A as % of Revenue</t>
  </si>
  <si>
    <t xml:space="preserve">  Sale of PP&amp;E</t>
  </si>
  <si>
    <t>- Dividends</t>
  </si>
  <si>
    <t>- Share repurchase</t>
  </si>
  <si>
    <t>- Debt repurchase</t>
  </si>
  <si>
    <t>less: Capex</t>
  </si>
  <si>
    <t>FCF Per share</t>
  </si>
  <si>
    <t>Plus</t>
  </si>
  <si>
    <t xml:space="preserve"> = Adjusted Free Cash Flow</t>
  </si>
  <si>
    <t>Adjusted EBITDA</t>
  </si>
  <si>
    <t>Income tax expense</t>
  </si>
  <si>
    <t>Depreciation &amp; amortization</t>
  </si>
  <si>
    <t>Franchise system distress impact</t>
  </si>
  <si>
    <t>Loss on asset disposals and asset impairment</t>
  </si>
  <si>
    <t>Compensatory make-whole payments</t>
  </si>
  <si>
    <t>Management termination fee</t>
  </si>
  <si>
    <t xml:space="preserve">Management fee </t>
  </si>
  <si>
    <t>Executive severence</t>
  </si>
  <si>
    <t>European and Asian business realignment costs</t>
  </si>
  <si>
    <t>Total Adjustments</t>
  </si>
  <si>
    <t>Income before income tax expense</t>
  </si>
  <si>
    <t>Interest on $350M loan paid-off at IPO</t>
  </si>
  <si>
    <t>Adjusted Net Income</t>
  </si>
  <si>
    <t>Operating EPS</t>
  </si>
  <si>
    <t>NM</t>
  </si>
  <si>
    <t>SG&amp;A per system store</t>
  </si>
  <si>
    <t>F3Q07A</t>
  </si>
  <si>
    <t>F3Q07</t>
  </si>
  <si>
    <t>EBIT/Sales (TTM)</t>
  </si>
  <si>
    <t>NI/Sales (TTM)</t>
  </si>
  <si>
    <t>Go To:</t>
  </si>
  <si>
    <t>(data in $ millions except EPS &amp; Units)</t>
  </si>
  <si>
    <t>Income Statement</t>
  </si>
  <si>
    <t xml:space="preserve">Revenue </t>
  </si>
  <si>
    <t>Balance Sheet</t>
  </si>
  <si>
    <t>Revenue Growth</t>
  </si>
  <si>
    <t>Statement of Cash Flows</t>
  </si>
  <si>
    <t>Unit Detail</t>
  </si>
  <si>
    <t>Operating Income Growth</t>
  </si>
  <si>
    <t>Same-store Sales</t>
  </si>
  <si>
    <t>System Sales</t>
  </si>
  <si>
    <t>Operating EPS Growth</t>
  </si>
  <si>
    <t>Segment Detail</t>
  </si>
  <si>
    <t>Total Units</t>
  </si>
  <si>
    <t>Total Unit Growth</t>
  </si>
  <si>
    <t>Depreciation &amp; Amortization Breakdown</t>
  </si>
  <si>
    <t>Capital Expenditures</t>
  </si>
  <si>
    <t>2010A</t>
  </si>
  <si>
    <t>2011A</t>
  </si>
  <si>
    <t>2012A</t>
  </si>
  <si>
    <t>Tranche B Term Loan</t>
  </si>
  <si>
    <t>Tranche A Term Loan (9/28/2017, 2.5625%)</t>
  </si>
  <si>
    <t>Tranche B Term Loan (9/28/2019, 3.75%)</t>
  </si>
  <si>
    <t>Revolver</t>
  </si>
  <si>
    <t>Senior Notes (10/15/2018, 9.875% semi-annual Apr/Oct)</t>
  </si>
  <si>
    <t>Senior Discount Notes (4/15/2019, 11.0% semi-annual Apr/Oct)</t>
  </si>
  <si>
    <t>Interest Expense, net</t>
  </si>
  <si>
    <t>Tranche A Term Loan</t>
  </si>
  <si>
    <t>Secured Term Loan - USD tranche</t>
  </si>
  <si>
    <t>Secured Term Loan - Euro tranche</t>
  </si>
  <si>
    <t>Interest Rate Caps - USD and Euro</t>
  </si>
  <si>
    <t>9.875% Senior Notes</t>
  </si>
  <si>
    <t>11.0% Discount Notes</t>
  </si>
  <si>
    <t>Predecessor term loans</t>
  </si>
  <si>
    <t>Capital lease obligations</t>
  </si>
  <si>
    <t>F3Q10A</t>
  </si>
  <si>
    <t>Capex to Sales</t>
  </si>
  <si>
    <t>D&amp;A as % of Revs</t>
  </si>
  <si>
    <t>F1Q10A</t>
  </si>
  <si>
    <t>ECM (unadjusted): (CFO-NI)/Revs x 100%</t>
  </si>
  <si>
    <t>Y/Y increase</t>
  </si>
  <si>
    <t>LTM/NTM Revenue</t>
  </si>
  <si>
    <t>LTM/NTM EBITDA</t>
  </si>
  <si>
    <t>LTM/NTM Operating EPS</t>
  </si>
  <si>
    <t>LTM/NTM CFO</t>
  </si>
  <si>
    <t>LTM/NTM Capex</t>
  </si>
  <si>
    <t>Debt to TTM EBITDA</t>
  </si>
  <si>
    <t>F4Q07A</t>
  </si>
  <si>
    <t>FY07A</t>
  </si>
  <si>
    <t>Lease termination costs</t>
  </si>
  <si>
    <t>F1Q08A</t>
  </si>
  <si>
    <t xml:space="preserve"> Stock option exercises</t>
  </si>
  <si>
    <t xml:space="preserve">Interest Coverage </t>
  </si>
  <si>
    <t>John Glass (617) 856-8752</t>
  </si>
  <si>
    <t>Interest expense</t>
  </si>
  <si>
    <t>Interest expense (income), net</t>
  </si>
  <si>
    <t>Amortization of deferred financing costs and debt issuance discount</t>
  </si>
  <si>
    <t>Loss (gain) on remeasurement of foreign denominated transactions</t>
  </si>
  <si>
    <t>Loss (gain) on refranchisings and dispositions of assets</t>
  </si>
  <si>
    <t>Bad debt expense (recoveries), net</t>
  </si>
  <si>
    <t xml:space="preserve"> Capital contribution from 3G</t>
  </si>
  <si>
    <t>United States and Canada</t>
  </si>
  <si>
    <t>EMEA / APAC</t>
  </si>
  <si>
    <t>Unallocated</t>
  </si>
  <si>
    <t>Interest income</t>
  </si>
  <si>
    <t>F2Q08A</t>
  </si>
  <si>
    <t>(617) 856-8752</t>
  </si>
  <si>
    <t>John S. Glass</t>
  </si>
  <si>
    <t>john.glass@morganstanley.com</t>
  </si>
  <si>
    <t>Adjusted EBITDA Margin</t>
  </si>
  <si>
    <t>FY07</t>
  </si>
  <si>
    <t>Share Count Calculation</t>
  </si>
  <si>
    <t>Shares Issued (millions)</t>
  </si>
  <si>
    <t>F1Q09A</t>
  </si>
  <si>
    <t>FY10A</t>
  </si>
  <si>
    <t xml:space="preserve">Average Diluted shares outstanding </t>
  </si>
  <si>
    <t>Period end diluted shares outstanding</t>
  </si>
  <si>
    <t>Period end basic shares outstanding</t>
  </si>
  <si>
    <t>Taxes</t>
  </si>
  <si>
    <t>Effective tax rate</t>
  </si>
  <si>
    <t>Statutory tax rate</t>
  </si>
  <si>
    <t xml:space="preserve">    State &amp; local taxes</t>
  </si>
  <si>
    <t xml:space="preserve">    Other, net</t>
  </si>
  <si>
    <t>Elmer's Statutory tax rate</t>
  </si>
  <si>
    <t>mstag:statutoryTaxRate</t>
  </si>
  <si>
    <t>Total SG&amp;A</t>
  </si>
  <si>
    <t>A/R Days</t>
  </si>
  <si>
    <t>A/P Days</t>
  </si>
  <si>
    <t>Inventories</t>
  </si>
  <si>
    <t>Treasury Stock Repurchased (shares)</t>
  </si>
  <si>
    <t xml:space="preserve">   Dilution</t>
  </si>
  <si>
    <t xml:space="preserve">   Equity in net loss by region</t>
  </si>
  <si>
    <t>LAC</t>
  </si>
  <si>
    <t>check</t>
  </si>
  <si>
    <t>Common Dividends</t>
  </si>
  <si>
    <t>Net Issuance (Repurchase) of Common Shares</t>
  </si>
  <si>
    <t>Unrecorded Goodwill from Poolings</t>
  </si>
  <si>
    <t>ND</t>
  </si>
  <si>
    <t>FY09</t>
  </si>
  <si>
    <t>Proceeds from the issuance of common stock</t>
  </si>
  <si>
    <t>Repayment of LT debt, capital leases</t>
  </si>
  <si>
    <t>Corporate</t>
  </si>
  <si>
    <t>USD</t>
  </si>
  <si>
    <t xml:space="preserve">   Other</t>
  </si>
  <si>
    <t>Franchise royalties</t>
  </si>
  <si>
    <t>Franchise fees and other revenue</t>
  </si>
  <si>
    <t>Valuation Metrics</t>
  </si>
  <si>
    <t>YY11</t>
  </si>
  <si>
    <t>Weighted Avg Cost of Debt</t>
  </si>
  <si>
    <t>LEVERAGE ANALYSIS</t>
  </si>
  <si>
    <t>Preferred stock</t>
  </si>
  <si>
    <t>Common stock</t>
  </si>
  <si>
    <t>Treasury stock</t>
  </si>
  <si>
    <t xml:space="preserve">  TOTAL LIAB. AND SHAREHOLDERS' EQUITY</t>
  </si>
  <si>
    <t>Amortization of def. financing costs and debt issuance disc.</t>
  </si>
  <si>
    <t>ms_eqr_gcim_Decimal:ms_eqr_gcim_decimal</t>
  </si>
  <si>
    <t>Segment-level</t>
  </si>
  <si>
    <t>Change in other comp income/loss</t>
  </si>
  <si>
    <t>CY10</t>
  </si>
  <si>
    <t>CY11</t>
  </si>
  <si>
    <t>Y/Y Growth</t>
  </si>
  <si>
    <t xml:space="preserve">Dividend </t>
  </si>
  <si>
    <t>Total dividends paid</t>
  </si>
  <si>
    <t xml:space="preserve">   Divident per share</t>
  </si>
  <si>
    <t xml:space="preserve">   Y/Y change</t>
  </si>
  <si>
    <t>Payout (% of EPS, TTM basis)</t>
  </si>
  <si>
    <t>Interest rate</t>
  </si>
  <si>
    <t>Shares (options) issued ($ millions)</t>
  </si>
  <si>
    <t>EMEA</t>
  </si>
  <si>
    <t>Net investment in direct financing leases</t>
  </si>
  <si>
    <t>Fiscal Year Ended: June</t>
  </si>
  <si>
    <t>Dividend Yield</t>
  </si>
  <si>
    <t>2018E</t>
  </si>
  <si>
    <t xml:space="preserve"> </t>
  </si>
  <si>
    <t>CY14E</t>
  </si>
  <si>
    <t>A vs. E</t>
  </si>
  <si>
    <t>BURGER KING WORLDWIDE: INCOME STATEMENT</t>
  </si>
  <si>
    <t>QSR.N</t>
  </si>
  <si>
    <t>Restaurant Brands International, Inc.</t>
  </si>
  <si>
    <t>QSR.N,mscalc:sedolCodeCalc</t>
  </si>
  <si>
    <t>QSR.N,mscalc:targetPrice,,,,USD</t>
  </si>
  <si>
    <t>QSR.N,mscalc:closePriceCurrencyCalc</t>
  </si>
  <si>
    <t>BTF8CG1</t>
  </si>
  <si>
    <t>Ticker (NYSE): QSR</t>
  </si>
  <si>
    <t>Restaurant Brands Int'l</t>
  </si>
  <si>
    <t>Restaurant Brands International, Inc. (QSR): INCOME STATEMENT</t>
  </si>
  <si>
    <t>Restaurant Brands International, Inc. (QSR): BALANCE SHEET</t>
  </si>
  <si>
    <t>Restaurant Brands International, Inc. (QSR). STATEMENT OF CASH FLOWS</t>
  </si>
  <si>
    <t>Sales</t>
  </si>
  <si>
    <t>Same-Store Sales</t>
  </si>
  <si>
    <t>Average basic shares outstanding</t>
  </si>
  <si>
    <t>Noncontrolling interests</t>
  </si>
  <si>
    <t>.</t>
  </si>
  <si>
    <t>United States</t>
  </si>
  <si>
    <t xml:space="preserve">   Canada</t>
  </si>
  <si>
    <t xml:space="preserve">   US</t>
  </si>
  <si>
    <t>Distribution sales</t>
  </si>
  <si>
    <t>1Q25E</t>
  </si>
  <si>
    <t>2Q25E</t>
  </si>
  <si>
    <t>3Q25E</t>
  </si>
  <si>
    <t>4Q25E</t>
  </si>
  <si>
    <t>2025E</t>
  </si>
  <si>
    <t>4Q14A</t>
  </si>
  <si>
    <t>2014A</t>
  </si>
  <si>
    <t xml:space="preserve">  BK Company-operated restaurants</t>
  </si>
  <si>
    <t>Accretion of preferred shr to redemption value</t>
  </si>
  <si>
    <t>Net losses (gains) on derivatives</t>
  </si>
  <si>
    <t>(Income) loss from equity method investments</t>
  </si>
  <si>
    <t>Non recurring share base stock expense</t>
  </si>
  <si>
    <t>Management G&amp;A - BK</t>
  </si>
  <si>
    <t>Management G&amp;A - TH</t>
  </si>
  <si>
    <t>Management G&amp;A - RBI</t>
  </si>
  <si>
    <t>Burger King</t>
  </si>
  <si>
    <t>Tim Horton's</t>
  </si>
  <si>
    <t>Restricted cash and equiv.</t>
  </si>
  <si>
    <t>Advertising fund and restricted assets</t>
  </si>
  <si>
    <t>Gift card liability</t>
  </si>
  <si>
    <t>Tim Horton's notes</t>
  </si>
  <si>
    <t>Advertising fund liabilities</t>
  </si>
  <si>
    <t>Amortization of inventory step-up</t>
  </si>
  <si>
    <t>Restricted cash and equivalents</t>
  </si>
  <si>
    <t>Inventories and other current assets</t>
  </si>
  <si>
    <t xml:space="preserve"> Settlement/sales of dervatives</t>
  </si>
  <si>
    <t xml:space="preserve"> Extinguishment of debt</t>
  </si>
  <si>
    <t xml:space="preserve"> Proceeds from issuance of preferred shares, </t>
  </si>
  <si>
    <t>Revenue from affiliates (BK)</t>
  </si>
  <si>
    <t>Debt detail</t>
  </si>
  <si>
    <t xml:space="preserve">2014 Term Loan Facility </t>
  </si>
  <si>
    <t>Series 1 Notes</t>
  </si>
  <si>
    <t>Series 2 Notes</t>
  </si>
  <si>
    <t>Series 3 Notes</t>
  </si>
  <si>
    <t>Less: Tim Horton Notes</t>
  </si>
  <si>
    <t>Senior Revolving Credit Facility of $500M</t>
  </si>
  <si>
    <t>2014 Senior Notes</t>
  </si>
  <si>
    <t>Libor</t>
  </si>
  <si>
    <t xml:space="preserve">   Libor floor</t>
  </si>
  <si>
    <t xml:space="preserve">   Libor spread</t>
  </si>
  <si>
    <t xml:space="preserve">   Discounts, amortization</t>
  </si>
  <si>
    <t>2014 Revolver</t>
  </si>
  <si>
    <t>Revolver commitment fee (unused balance)</t>
  </si>
  <si>
    <t>Other debt</t>
  </si>
  <si>
    <t>Disctribution cost of sales</t>
  </si>
  <si>
    <t>Company-operated costs (includes VIE's)</t>
  </si>
  <si>
    <t xml:space="preserve">     TH</t>
  </si>
  <si>
    <t xml:space="preserve">  TH Company-operated and VIE sales</t>
  </si>
  <si>
    <t xml:space="preserve">  TH distribution </t>
  </si>
  <si>
    <t xml:space="preserve">   BK Company-operated expenses</t>
  </si>
  <si>
    <t xml:space="preserve">   TH Company-operated and VIE expenses</t>
  </si>
  <si>
    <t>As % of mgmt G&amp;A</t>
  </si>
  <si>
    <t>Accretion analysis</t>
  </si>
  <si>
    <t>Implied accretion</t>
  </si>
  <si>
    <r>
      <rPr>
        <i/>
        <sz val="8"/>
        <rFont val="Arial"/>
        <family val="2"/>
      </rPr>
      <t xml:space="preserve">Prior: </t>
    </r>
    <r>
      <rPr>
        <sz val="8"/>
        <rFont val="Arial"/>
        <family val="2"/>
      </rPr>
      <t>BKW - EBITDA (adj.)</t>
    </r>
  </si>
  <si>
    <r>
      <rPr>
        <i/>
        <sz val="8"/>
        <rFont val="Arial"/>
        <family val="2"/>
      </rPr>
      <t xml:space="preserve">Current: </t>
    </r>
    <r>
      <rPr>
        <sz val="8"/>
        <rFont val="Arial"/>
        <family val="2"/>
      </rPr>
      <t>BKW - EBITDA (adj.)</t>
    </r>
  </si>
  <si>
    <r>
      <rPr>
        <i/>
        <sz val="8"/>
        <rFont val="Arial"/>
        <family val="2"/>
      </rPr>
      <t xml:space="preserve">Prior: </t>
    </r>
    <r>
      <rPr>
        <sz val="8"/>
        <rFont val="Arial"/>
        <family val="2"/>
      </rPr>
      <t>THI (USD) - EBITDA (adj.)</t>
    </r>
  </si>
  <si>
    <r>
      <rPr>
        <i/>
        <sz val="8"/>
        <rFont val="Arial"/>
        <family val="2"/>
      </rPr>
      <t xml:space="preserve">Current: </t>
    </r>
    <r>
      <rPr>
        <sz val="8"/>
        <rFont val="Arial"/>
        <family val="2"/>
      </rPr>
      <t>THI (USD) - EBITDA (adj.)</t>
    </r>
  </si>
  <si>
    <r>
      <rPr>
        <i/>
        <sz val="8"/>
        <rFont val="Arial"/>
        <family val="2"/>
      </rPr>
      <t xml:space="preserve">Prior: </t>
    </r>
    <r>
      <rPr>
        <sz val="8"/>
        <rFont val="Arial"/>
        <family val="2"/>
      </rPr>
      <t>BKW - SG&amp;A (adj.)</t>
    </r>
  </si>
  <si>
    <r>
      <rPr>
        <i/>
        <sz val="8"/>
        <rFont val="Arial"/>
        <family val="2"/>
      </rPr>
      <t xml:space="preserve">Current: </t>
    </r>
    <r>
      <rPr>
        <sz val="8"/>
        <rFont val="Arial"/>
        <family val="2"/>
      </rPr>
      <t>BKW - G&amp;A (adj.)</t>
    </r>
  </si>
  <si>
    <r>
      <rPr>
        <i/>
        <sz val="8"/>
        <rFont val="Arial"/>
        <family val="2"/>
      </rPr>
      <t xml:space="preserve">Prior: </t>
    </r>
    <r>
      <rPr>
        <sz val="8"/>
        <rFont val="Arial"/>
        <family val="2"/>
      </rPr>
      <t>THI (USD) - SG&amp;A (adj.)</t>
    </r>
  </si>
  <si>
    <r>
      <rPr>
        <i/>
        <sz val="8"/>
        <rFont val="Arial"/>
        <family val="2"/>
      </rPr>
      <t xml:space="preserve">Current: </t>
    </r>
    <r>
      <rPr>
        <sz val="8"/>
        <rFont val="Arial"/>
        <family val="2"/>
      </rPr>
      <t>THI (USD) - SG&amp;A (adj.)</t>
    </r>
  </si>
  <si>
    <r>
      <rPr>
        <i/>
        <sz val="8"/>
        <rFont val="Arial"/>
        <family val="2"/>
      </rPr>
      <t xml:space="preserve">Prior: </t>
    </r>
    <r>
      <rPr>
        <sz val="8"/>
        <rFont val="Arial"/>
        <family val="2"/>
      </rPr>
      <t>THI (CAD) - EBITDA (adj.)</t>
    </r>
  </si>
  <si>
    <r>
      <rPr>
        <i/>
        <sz val="8"/>
        <rFont val="Arial"/>
        <family val="2"/>
      </rPr>
      <t xml:space="preserve">Current: </t>
    </r>
    <r>
      <rPr>
        <sz val="8"/>
        <rFont val="Arial"/>
        <family val="2"/>
      </rPr>
      <t>THI (CAD) - EBITDA (adj.)</t>
    </r>
  </si>
  <si>
    <t>G&amp;A (MS adj, includes stock op.)</t>
  </si>
  <si>
    <t>TH Series 1 Notes</t>
  </si>
  <si>
    <t>TH Series 2 Notes</t>
  </si>
  <si>
    <t>TH Series 3 Notes</t>
  </si>
  <si>
    <t>Gift card liability - def. revenue as % of TH syst sales</t>
  </si>
  <si>
    <t>Pro forma</t>
  </si>
  <si>
    <t>Debt Worksheet</t>
  </si>
  <si>
    <t xml:space="preserve">      Commitment fee for revolver</t>
  </si>
  <si>
    <t>Preferred Stock</t>
  </si>
  <si>
    <t>Redemptions premium</t>
  </si>
  <si>
    <t>Preferred dividend</t>
  </si>
  <si>
    <t xml:space="preserve">   Preferred dividend rate</t>
  </si>
  <si>
    <t>Face value</t>
  </si>
  <si>
    <t>Can redeem</t>
  </si>
  <si>
    <t>Net Income to RBI</t>
  </si>
  <si>
    <t>Net income to common</t>
  </si>
  <si>
    <t>Net income (loss) attributable to noncontrolling interests</t>
  </si>
  <si>
    <t>Less: preferred dividend</t>
  </si>
  <si>
    <t>BK SG&amp;A (recurring)</t>
  </si>
  <si>
    <t>TH SG&amp;A (recurring)</t>
  </si>
  <si>
    <t>Adj. EBITDA (RBI calc.)</t>
  </si>
  <si>
    <t>New debt (when existing debt is replaced)</t>
  </si>
  <si>
    <t xml:space="preserve">   Unallocated</t>
  </si>
  <si>
    <t xml:space="preserve">     BK</t>
  </si>
  <si>
    <t xml:space="preserve">         US &amp; Canada</t>
  </si>
  <si>
    <t xml:space="preserve">         EMEA</t>
  </si>
  <si>
    <t xml:space="preserve">         LAC</t>
  </si>
  <si>
    <t xml:space="preserve">         APAC</t>
  </si>
  <si>
    <t>BK - System AUV</t>
  </si>
  <si>
    <t>TB - System AUV</t>
  </si>
  <si>
    <t>BK - Systemwide</t>
  </si>
  <si>
    <t xml:space="preserve">   US &amp; Canada</t>
  </si>
  <si>
    <t xml:space="preserve">   EMEA</t>
  </si>
  <si>
    <t xml:space="preserve">   LAC</t>
  </si>
  <si>
    <t xml:space="preserve">   APAC</t>
  </si>
  <si>
    <t>TH - Systemwide</t>
  </si>
  <si>
    <r>
      <rPr>
        <i/>
        <sz val="8"/>
        <rFont val="Arial"/>
        <family val="2"/>
      </rPr>
      <t xml:space="preserve">Prior: </t>
    </r>
    <r>
      <rPr>
        <sz val="8"/>
        <rFont val="Arial"/>
        <family val="2"/>
      </rPr>
      <t>Combined (USD) - EBITDA (adj.)</t>
    </r>
  </si>
  <si>
    <r>
      <rPr>
        <i/>
        <sz val="8"/>
        <rFont val="Arial"/>
        <family val="2"/>
      </rPr>
      <t xml:space="preserve">Current: </t>
    </r>
    <r>
      <rPr>
        <sz val="8"/>
        <rFont val="Arial"/>
        <family val="2"/>
      </rPr>
      <t>Combined (USD) - EBITDA (adj.)</t>
    </r>
  </si>
  <si>
    <t>(Different due to includion of equity income)</t>
  </si>
  <si>
    <t>TH - CAD</t>
  </si>
  <si>
    <t>TH - USD (exludes selling expense at THI had reported)</t>
  </si>
  <si>
    <t>TH - CAN (exludes selling expense at THI had reported)</t>
  </si>
  <si>
    <t>Distribution Profits (in CAD to better guage implied savings</t>
  </si>
  <si>
    <t>Distribution profit margin margin</t>
  </si>
  <si>
    <t xml:space="preserve">Distribution profits </t>
  </si>
  <si>
    <t>Prior:</t>
  </si>
  <si>
    <t>Current:</t>
  </si>
  <si>
    <t>Accretion:</t>
  </si>
  <si>
    <t>G&amp;A contribution</t>
  </si>
  <si>
    <t xml:space="preserve">Distribution </t>
  </si>
  <si>
    <t>Other (change in operations)</t>
  </si>
  <si>
    <t xml:space="preserve">   EMEA/APAC</t>
  </si>
  <si>
    <t>Distribution</t>
  </si>
  <si>
    <t>BK total capex</t>
  </si>
  <si>
    <t xml:space="preserve">   United States and Canada</t>
  </si>
  <si>
    <t xml:space="preserve">   EMEA / APAC</t>
  </si>
  <si>
    <t xml:space="preserve">   TH</t>
  </si>
  <si>
    <t xml:space="preserve">   New restaurants</t>
  </si>
  <si>
    <t xml:space="preserve">   Existing restaurants</t>
  </si>
  <si>
    <t xml:space="preserve">   Store replacements &amp; renovations</t>
  </si>
  <si>
    <t xml:space="preserve">   New Coffee roasting facility/Guelph Distribution Center</t>
  </si>
  <si>
    <t xml:space="preserve">   Ad Fund (2) </t>
  </si>
  <si>
    <t xml:space="preserve">   Other capital needs</t>
  </si>
  <si>
    <t xml:space="preserve">   Corporate Services</t>
  </si>
  <si>
    <t>Tim Horton's (in CAD)</t>
  </si>
  <si>
    <t>4Q ex $8M TH</t>
  </si>
  <si>
    <t>TH total capex (CAD)</t>
  </si>
  <si>
    <t>TH total capex (USD)</t>
  </si>
  <si>
    <t>$8M from TH (last two wks)</t>
  </si>
  <si>
    <t>Total QSR</t>
  </si>
  <si>
    <t>Options outstanding</t>
  </si>
  <si>
    <t xml:space="preserve">   Avg. Strike price</t>
  </si>
  <si>
    <t xml:space="preserve">   Assumped QSR price/shr</t>
  </si>
  <si>
    <t>Options Dilution</t>
  </si>
  <si>
    <t xml:space="preserve">RSU's </t>
  </si>
  <si>
    <t>RSU Dilution</t>
  </si>
  <si>
    <t>10K</t>
  </si>
  <si>
    <t>Total dilution</t>
  </si>
  <si>
    <t>Debt Amortization/Paydown Schedule</t>
  </si>
  <si>
    <t>New Debt when current debt matures (assumes same as term loan)</t>
  </si>
  <si>
    <t>Dilution calc - Treasury stock method</t>
  </si>
  <si>
    <t>BK</t>
  </si>
  <si>
    <t>2014PF</t>
  </si>
  <si>
    <t>1Q15A</t>
  </si>
  <si>
    <t>Cost of Sale</t>
  </si>
  <si>
    <t>Amortization of costs true up</t>
  </si>
  <si>
    <t>Incentive Compensation expense</t>
  </si>
  <si>
    <t>Adjusted Income before income taxes (BK way)</t>
  </si>
  <si>
    <t xml:space="preserve"> Shares outstanding (basic)</t>
  </si>
  <si>
    <t>Amortization of inventory/cost of sales step-up</t>
  </si>
  <si>
    <r>
      <t xml:space="preserve">    </t>
    </r>
    <r>
      <rPr>
        <sz val="8"/>
        <rFont val="Arial"/>
        <family val="2"/>
      </rPr>
      <t>Reclassificarion of restricted cash to cash and cash equivalents</t>
    </r>
  </si>
  <si>
    <t>Total Management SG&amp;A</t>
  </si>
  <si>
    <t>Selling expenses (included in segment G&amp;A above)</t>
  </si>
  <si>
    <t>2014 Senior Notes (second lien secured notes)</t>
  </si>
  <si>
    <t>1Q14PF</t>
  </si>
  <si>
    <t>2Q14PF</t>
  </si>
  <si>
    <t>3Q14PF</t>
  </si>
  <si>
    <t>4Q14PF</t>
  </si>
  <si>
    <t xml:space="preserve">  Sales</t>
  </si>
  <si>
    <t>2Q15A</t>
  </si>
  <si>
    <t>Adjusted EBITDA Margin (MS)</t>
  </si>
  <si>
    <t>Adjusted EPS (MS calc)</t>
  </si>
  <si>
    <t>CY17E</t>
  </si>
  <si>
    <t xml:space="preserve">   US </t>
  </si>
  <si>
    <t xml:space="preserve"> Canada</t>
  </si>
  <si>
    <t>3Q15A</t>
  </si>
  <si>
    <t xml:space="preserve"> Acquisition accounting impact on cost of sales</t>
  </si>
  <si>
    <t>2015 Senior Notes</t>
  </si>
  <si>
    <t>2015 Term Loan Facility</t>
  </si>
  <si>
    <t>43</t>
  </si>
  <si>
    <t>Total Capex (actual)</t>
  </si>
  <si>
    <t>Ebitda Adjustments</t>
  </si>
  <si>
    <t>4Q15A</t>
  </si>
  <si>
    <t>Deferred financing costs</t>
  </si>
  <si>
    <t>TH notes</t>
  </si>
  <si>
    <t>Adjusted EBITDA Margin (BK)</t>
  </si>
  <si>
    <t>Net Debt/Adj EBITDA (incl preferred debt)</t>
  </si>
  <si>
    <t>2015A</t>
  </si>
  <si>
    <t>Adj. EBITDA - MS calc (ex refranchising, F/X)</t>
  </si>
  <si>
    <t>Adjusted EBITDA (RBI calc)</t>
  </si>
  <si>
    <t>Adjusted EPS (RBI calc)</t>
  </si>
  <si>
    <t>QSR.N,mscalc:targetPrice</t>
  </si>
  <si>
    <t>$T$2</t>
  </si>
  <si>
    <t>1Q16A</t>
  </si>
  <si>
    <t>Changes due to restatements</t>
  </si>
  <si>
    <t xml:space="preserve">   QSR common shrs basic outstanding</t>
  </si>
  <si>
    <t>2Q16A</t>
  </si>
  <si>
    <t>GAAP EPS</t>
  </si>
  <si>
    <t>Pension curtailment gain/amortization od defined benefit pension and postretirement items</t>
  </si>
  <si>
    <t>3Q16A</t>
  </si>
  <si>
    <t>Partnership Exchangeable Units</t>
  </si>
  <si>
    <t>CY18E</t>
  </si>
  <si>
    <t>4Q16A</t>
  </si>
  <si>
    <t>2016A</t>
  </si>
  <si>
    <t>2014 Term Loan Facility / Term B loan</t>
  </si>
  <si>
    <t>Popeye's</t>
  </si>
  <si>
    <t xml:space="preserve">   PLKI Company-operated expenses</t>
  </si>
  <si>
    <t>PLKI SG&amp;A (recurring)</t>
  </si>
  <si>
    <t>Adj. EBITDA (MS calc., incl SBC &amp; loss from equity investments)</t>
  </si>
  <si>
    <t>PLKI Capex</t>
  </si>
  <si>
    <t>PLKI</t>
  </si>
  <si>
    <t xml:space="preserve">  Company-owned Restaurants</t>
  </si>
  <si>
    <t xml:space="preserve">  Domestic Franchised</t>
  </si>
  <si>
    <t xml:space="preserve">  International Franchised</t>
  </si>
  <si>
    <t>Source: Company estimates; Morgan Stanley estimates</t>
  </si>
  <si>
    <t>Rent Expense</t>
  </si>
  <si>
    <t>Rent Expense * 8</t>
  </si>
  <si>
    <t>1Q17A</t>
  </si>
  <si>
    <t xml:space="preserve">   Tim Horton's</t>
  </si>
  <si>
    <t xml:space="preserve">   Popeye's</t>
  </si>
  <si>
    <t xml:space="preserve">   Burger King</t>
  </si>
  <si>
    <t xml:space="preserve"> Net proceeds for purchase of BKH/THI/PLKI</t>
  </si>
  <si>
    <t>THI</t>
  </si>
  <si>
    <t>Disclosure no longer given as of 1Q17</t>
  </si>
  <si>
    <t>2017 Senior Notes</t>
  </si>
  <si>
    <t>P/FCF</t>
  </si>
  <si>
    <t>Adjustments:</t>
  </si>
  <si>
    <t>Adjusted Net Income (RBI method)</t>
  </si>
  <si>
    <t>Adjusted EPS (RBI method)</t>
  </si>
  <si>
    <t>Adjusted Net Income (MS method)</t>
  </si>
  <si>
    <t>Adjusted EPS (MS method)</t>
  </si>
  <si>
    <t xml:space="preserve">Units </t>
  </si>
  <si>
    <t>Total RBI</t>
  </si>
  <si>
    <t>2Q17A</t>
  </si>
  <si>
    <t>2017 Second Lien</t>
  </si>
  <si>
    <t xml:space="preserve"> Dividend paid on preferred stock</t>
  </si>
  <si>
    <t xml:space="preserve"> Other investing activities, net</t>
  </si>
  <si>
    <t xml:space="preserve">   Term Loan - Voluntary Debt Paydown</t>
  </si>
  <si>
    <t xml:space="preserve">2014 Term Loan Facility Amortization </t>
  </si>
  <si>
    <t xml:space="preserve">   Term Loan - Required Amortization</t>
  </si>
  <si>
    <t>3Q17A</t>
  </si>
  <si>
    <t>Prior EPS (RBI)</t>
  </si>
  <si>
    <t>Prior EBITDA (RBI)</t>
  </si>
  <si>
    <t>Chris Carril</t>
  </si>
  <si>
    <t>(617) 856-8750</t>
  </si>
  <si>
    <t>christopher.carril@morganstanley.com</t>
  </si>
  <si>
    <t>4Q17A</t>
  </si>
  <si>
    <t>2017A</t>
  </si>
  <si>
    <t>Adjusted tax rate</t>
  </si>
  <si>
    <t>Total Net Interest expense</t>
  </si>
  <si>
    <t>Actual (net)</t>
  </si>
  <si>
    <t>2017 Senior Notes (4.25%, due '24, callable 5/15/20)</t>
  </si>
  <si>
    <t>2017 Senior Notes (4.25%due '24, callable '20)</t>
  </si>
  <si>
    <t>2017 Second lien Senior notes (5% due oct 25, callable 20)</t>
  </si>
  <si>
    <t>Systemwide sales in constant currencies (MSe)</t>
  </si>
  <si>
    <t xml:space="preserve"> Dividends paid on common/preferred</t>
  </si>
  <si>
    <t>Currency</t>
  </si>
  <si>
    <t>Current Stock Price</t>
  </si>
  <si>
    <t>Count</t>
  </si>
  <si>
    <t>69</t>
  </si>
  <si>
    <t>1Q18A</t>
  </si>
  <si>
    <t>Corporate restructuring and tax advisory fees</t>
  </si>
  <si>
    <t>Adj. EBITDA - Organic (ex accounting change, refranchising, F/X)</t>
  </si>
  <si>
    <t>Pre-rev rec accounting EBITDA (RBI)</t>
  </si>
  <si>
    <t>MSA12568</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</si>
  <si>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</si>
  <si>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</si>
  <si>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</si>
  <si>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</si>
  <si>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</si>
  <si>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</si>
  <si>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</si>
  <si>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John Glass</t>
  </si>
  <si>
    <t>Date: 25 Apr 2018</t>
  </si>
  <si>
    <t>Ticker: QSR.N</t>
  </si>
  <si>
    <t>Stock Rating: Overweight</t>
  </si>
  <si>
    <t>Industry: Restaurants</t>
  </si>
  <si>
    <t>Industry View: In-Line</t>
  </si>
  <si>
    <t>Price as of 25 Apr 2018: 55.63</t>
  </si>
  <si>
    <t>Target Price: 69</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</si>
  <si>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</si>
  <si>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</si>
  <si>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</si>
  <si>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</si>
  <si>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Restaurant Brands International,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</si>
  <si>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</si>
  <si>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</si>
  <si>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</si>
  <si>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</si>
  <si>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</si>
  <si>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</si>
  <si>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</si>
  <si>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</si>
  <si>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</si>
  <si>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</si>
  <si>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</si>
  <si>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</si>
  <si>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</si>
  <si>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</si>
  <si>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</si>
  <si>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</si>
  <si>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</si>
  <si>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</si>
  <si>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</si>
  <si>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</si>
  <si>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</si>
  <si>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</si>
  <si>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</si>
  <si>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</si>
  <si>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</si>
  <si>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</si>
  <si>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</si>
  <si>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</si>
  <si>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</si>
  <si>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</si>
  <si>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</si>
  <si>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</si>
  <si>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</si>
  <si>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</si>
  <si>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</si>
  <si>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</si>
  <si>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</si>
  <si>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</si>
  <si>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</si>
  <si>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</si>
  <si>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</si>
  <si>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</si>
  <si>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</si>
  <si>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</si>
  <si>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</si>
  <si>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</si>
  <si>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</si>
  <si>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</si>
  <si>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</si>
  <si>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</si>
  <si>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</si>
  <si>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</si>
  <si>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</si>
  <si>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</si>
  <si>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</si>
  <si>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</si>
  <si>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</si>
  <si>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</si>
  <si>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</si>
  <si>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</si>
  <si>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</si>
  <si>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</si>
  <si>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</si>
  <si>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</si>
  <si>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</si>
  <si>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</si>
  <si>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</si>
  <si>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</si>
  <si>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</si>
  <si>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</si>
  <si>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</si>
  <si>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</si>
  <si>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</si>
  <si>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</si>
  <si>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</si>
  <si>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</si>
  <si>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</si>
  <si>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</si>
  <si>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</si>
  <si>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</si>
  <si>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</si>
  <si>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</si>
  <si>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</si>
  <si>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</si>
  <si>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</si>
  <si>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</si>
  <si>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</si>
  <si>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</si>
  <si>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</si>
  <si>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</si>
  <si>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</si>
  <si>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</si>
  <si>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</si>
  <si>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</si>
  <si>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</si>
  <si>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</si>
  <si>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</si>
  <si>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</si>
  <si>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</si>
  <si>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</si>
  <si>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</si>
  <si>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</si>
  <si>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</si>
  <si>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</si>
  <si>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</si>
  <si>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</si>
  <si>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</si>
  <si>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</si>
  <si>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</si>
  <si>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</si>
  <si>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</si>
  <si>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</si>
  <si>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</si>
  <si>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</si>
  <si>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</si>
  <si>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</si>
  <si>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</si>
  <si>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</si>
  <si>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</si>
  <si>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</si>
  <si>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</si>
  <si>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</si>
  <si>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</si>
  <si>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</si>
  <si>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</si>
  <si>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</si>
  <si>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</si>
  <si>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</si>
  <si>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</si>
  <si>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</si>
  <si>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</si>
  <si>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</si>
  <si>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</si>
  <si>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</si>
  <si>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</si>
  <si>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</si>
  <si>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</si>
  <si>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</si>
  <si>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</si>
  <si>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</si>
  <si>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</si>
  <si>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</si>
  <si>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</si>
  <si>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</si>
  <si>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</si>
  <si>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</si>
  <si>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</si>
  <si>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</si>
  <si>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</si>
  <si>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</si>
  <si>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</si>
  <si>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</si>
  <si>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</si>
  <si>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</si>
  <si>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</si>
  <si>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</si>
  <si>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</si>
  <si>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</si>
  <si>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</si>
  <si>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</si>
  <si>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</si>
  <si>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</si>
  <si>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</si>
  <si>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</si>
  <si>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</si>
  <si>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</si>
  <si>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</si>
  <si>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</si>
  <si>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</si>
  <si>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</si>
  <si>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</si>
  <si>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</si>
  <si>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</si>
  <si>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</si>
  <si>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</si>
  <si>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</si>
  <si>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</si>
  <si>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</si>
  <si>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</si>
  <si>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</si>
  <si>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</si>
  <si>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</si>
  <si>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</si>
  <si>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</si>
  <si>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</si>
  <si>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</si>
  <si>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</si>
  <si>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</si>
  <si>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</si>
  <si>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</si>
  <si>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</si>
  <si>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</si>
  <si>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</si>
  <si>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</si>
  <si>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</si>
  <si>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</si>
  <si>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</si>
  <si>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</si>
  <si>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</si>
  <si>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</si>
  <si>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</si>
  <si>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</si>
  <si>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</si>
  <si>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</si>
  <si>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</si>
  <si>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</si>
  <si>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</si>
  <si>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</si>
  <si>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</si>
  <si>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</si>
  <si>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</si>
  <si>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</si>
  <si>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</si>
  <si>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</si>
  <si>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</si>
  <si>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</si>
  <si>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</si>
  <si>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</si>
  <si>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</si>
  <si>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</si>
  <si>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</si>
  <si>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</si>
  <si>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</si>
  <si>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</si>
  <si>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</si>
  <si>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</si>
  <si>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</si>
  <si>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</si>
  <si>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</si>
  <si>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</si>
  <si>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</si>
  <si>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</si>
  <si>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</si>
  <si>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</si>
  <si>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</si>
  <si>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</si>
  <si>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</si>
  <si>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</si>
  <si>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</si>
  <si>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</si>
  <si>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</si>
  <si>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</si>
  <si>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Restaurant Brands International, Inc..</t>
  </si>
  <si>
    <t>Within the last 12 months, Morgan Stanley has provided or is providing investment banking services to,</t>
  </si>
  <si>
    <t>or has an investment banking client relationship with, the following company: Restaurant Brands</t>
  </si>
  <si>
    <t>International, Inc..</t>
  </si>
  <si>
    <t>Within the last 12 months, Morgan Stanley has received compensation for products and services other than</t>
  </si>
  <si>
    <t>investment banking services from Restaurant Brands International, Inc..</t>
  </si>
  <si>
    <t>In the next 3 months, Morgan Stanley expects to receive or intends to seek compensation for investment</t>
  </si>
  <si>
    <t>banking services from Restaurant Brands International, Inc..</t>
  </si>
  <si>
    <t>Within the last 12 months, Morgan Stanley has received compensation for investment banking services from</t>
  </si>
  <si>
    <t>Restaurant Brands International, Inc..</t>
  </si>
  <si>
    <t>Within the last 12 months, Morgan Stanley managed or co-managed a public offering (or 144A offering) of</t>
  </si>
  <si>
    <t>securities of Restaurant Brands International,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</si>
  <si>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</si>
  <si>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</si>
  <si>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</si>
  <si>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</si>
  <si>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</si>
  <si>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John Glass.</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</si>
  <si>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</si>
  <si>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</si>
  <si>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</si>
  <si>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</si>
  <si>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</si>
  <si>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</si>
  <si>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</si>
  <si>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</si>
  <si>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</si>
  <si>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</si>
  <si>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</si>
  <si>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</si>
  <si>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</si>
  <si>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</si>
  <si>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</si>
  <si>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</si>
  <si>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</si>
  <si>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</si>
  <si>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</si>
  <si>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</si>
  <si>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</si>
  <si>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</si>
  <si>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</si>
  <si>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</si>
  <si>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</si>
  <si>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</si>
  <si>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</si>
  <si>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</si>
  <si>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</si>
  <si>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</si>
  <si>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</si>
  <si>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</si>
  <si>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</si>
  <si>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</si>
  <si>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</si>
  <si>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</si>
  <si>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</si>
  <si>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</si>
  <si>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</si>
  <si>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</si>
  <si>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</si>
  <si>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</si>
  <si>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</si>
  <si>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</si>
  <si>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</si>
  <si>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</si>
  <si>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</si>
  <si>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</si>
  <si>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</si>
  <si>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</si>
  <si>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</si>
  <si>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</si>
  <si>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</si>
  <si>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</si>
  <si>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</si>
  <si>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</si>
  <si>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</si>
  <si>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</si>
  <si>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</si>
  <si>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</si>
  <si>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</si>
  <si>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</si>
  <si>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</si>
  <si>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</si>
  <si>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</si>
  <si>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</si>
  <si>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</si>
  <si>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</si>
  <si>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</si>
  <si>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carrichr</t>
  </si>
  <si>
    <t>76131D103</t>
  </si>
  <si>
    <t>C:\Users\carrichr\AppData\Local\Temp\QSR - MS.xlsm</t>
  </si>
  <si>
    <t>[BRO MSA]</t>
  </si>
  <si>
    <t>[PRODUCT MODEL]</t>
  </si>
  <si>
    <t>[EMAIL_ALERT YES]</t>
  </si>
  <si>
    <t>[DISCIPLINE Company]</t>
  </si>
  <si>
    <t>[SUPPRESSED NO]</t>
  </si>
  <si>
    <t>[DOCDAT 2018-04-25]</t>
  </si>
  <si>
    <t>[DOCTIME 10:52]</t>
  </si>
  <si>
    <t>[PSYM QSR.N(S&amp;P) (None)]</t>
  </si>
  <si>
    <t>[COU 1]</t>
  </si>
  <si>
    <t>[ANA ]</t>
  </si>
  <si>
    <t>[HL QSR.N Model]</t>
  </si>
  <si>
    <t>[IND RESTLG]</t>
  </si>
  <si>
    <t>[PANA MSA12568]</t>
  </si>
</sst>
</file>

<file path=xl/styles.xml><?xml version="1.0" encoding="utf-8"?>
<styleSheet xmlns="http://schemas.openxmlformats.org/spreadsheetml/2006/main" xmlns:mc="http://schemas.openxmlformats.org/markup-compatibility/2006" xmlns:x14ac="http://schemas.microsoft.com/office/spreadsheetml/2009/9/ac" mc:Ignorable="x14ac">
  <numFmts count="41">
    <numFmt numFmtId="5" formatCode="&quot;$&quot;#,##0_);\(&quot;$&quot;#,##0\)"/>
    <numFmt numFmtId="7" formatCode="&quot;$&quot;#,##0.00_);\(&quot;$&quot;#,##0.00\)"/>
    <numFmt numFmtId="44" formatCode="_(&quot;$&quot;* #,##0.00_);_(&quot;$&quot;* \(#,##0.00\);_(&quot;$&quot;* &quot;-&quot;??_);_(@_)"/>
    <numFmt numFmtId="43" formatCode="_(* #,##0.00_);_(* \(#,##0.00\);_(* &quot;-&quot;??_);_(@_)"/>
    <numFmt numFmtId="164" formatCode="0.0%"/>
    <numFmt numFmtId="165" formatCode="0_);\(0\)"/>
    <numFmt numFmtId="166" formatCode="#,##0.0_);\(#,##0.0\)"/>
    <numFmt numFmtId="167" formatCode="_(* #,##0_);_(* \(#,##0\);_(* &quot;-&quot;??_);_(@_)"/>
    <numFmt numFmtId="168" formatCode="_(* #,##0.0_);_(* \(#,##0.0\);_(* &quot;-&quot;?_);_(@_)"/>
    <numFmt numFmtId="169" formatCode="_(* #,##0.000_);_(* \(#,##0.000\);_(* &quot;-&quot;??_);_(@_)"/>
    <numFmt numFmtId="170" formatCode="_(* #,##0.0_);_(* \(#,##0.0\);_(* &quot;-&quot;??_);_(@_)"/>
    <numFmt numFmtId="171" formatCode="_(&quot;$&quot;* #,##0.000_);_(&quot;$&quot;* \(#,##0.000\);_(&quot;$&quot;* &quot;-&quot;??_);_(@_)"/>
    <numFmt numFmtId="172" formatCode="&quot;$&quot;#,##0.000_);\(&quot;$&quot;#,##0.000\)"/>
    <numFmt numFmtId="173" formatCode="&quot;$&quot;#,##0.00"/>
    <numFmt numFmtId="174" formatCode="0.000"/>
    <numFmt numFmtId="175" formatCode="0.0"/>
    <numFmt numFmtId="176" formatCode="&quot;$&quot;#,##0"/>
    <numFmt numFmtId="178" formatCode="_(&quot;$&quot;* #,##0.0000_);_(&quot;$&quot;* \(#,##0.0000\);_(&quot;$&quot;* &quot;-&quot;??_);_(@_)"/>
    <numFmt numFmtId="179" formatCode="#,##0.0"/>
    <numFmt numFmtId="180" formatCode="&quot;$&quot;#,##0.0"/>
    <numFmt numFmtId="181" formatCode="0.0_);\(0.0\)"/>
    <numFmt numFmtId="182" formatCode="_(&quot;$&quot;* #,##0.0_);_(&quot;$&quot;* \(#,##0.0\);_(&quot;$&quot;* &quot;-&quot;??_);_(@_)"/>
    <numFmt numFmtId="183" formatCode="_(&quot;$&quot;* #,##0_);_(&quot;$&quot;* \(#,##0\);_(&quot;$&quot;* &quot;-&quot;??_);_(@_)"/>
    <numFmt numFmtId="184" formatCode="_(* #,##0.0000_);_(* \(#,##0.0000\);_(* &quot;-&quot;??_);_(@_)"/>
    <numFmt numFmtId="185" formatCode="_(* #,##0.0_);_(* \(#,##0.0\);_(* &quot;-&quot;_);_(@_)"/>
    <numFmt numFmtId="186" formatCode="_(&quot;$&quot;* #,##0.0_);_(&quot;$&quot;* \(#,##0.0\);_(&quot;$&quot;* &quot;-&quot;?_);_(@_)"/>
    <numFmt numFmtId="187" formatCode="0.0\X"/>
    <numFmt numFmtId="192" formatCode="#,##0.0_);[Red]\(#,##0.0\)"/>
    <numFmt numFmtId="196" formatCode="&quot;$&quot;#,##0.000"/>
    <numFmt numFmtId="197" formatCode="_(* #,##0_);_(* \(#,##0\);_(* &quot;-&quot;?_);_(@_)"/>
    <numFmt numFmtId="198" formatCode="&quot;$&quot;#,##0.0_);\(&quot;$&quot;#,##0.0\)"/>
    <numFmt numFmtId="199" formatCode="0&quot;bps&quot;"/>
    <numFmt numFmtId="200" formatCode="0.000%"/>
    <numFmt numFmtId="201" formatCode="0.0\x"/>
    <numFmt numFmtId="202" formatCode="_(* #,##0.00000_);_(* \(#,##0.00000\);_(* &quot;-&quot;??_);_(@_)"/>
    <numFmt numFmtId="203" formatCode="_(* #,##0.00_);_(* \(#,##0.00\);_(* &quot;-&quot;?_);_(@_)"/>
    <numFmt numFmtId="204" formatCode="_(* #,##0.000_);_(* \(#,##0.000\);_(* &quot;-&quot;?_);_(@_)"/>
    <numFmt numFmtId="211" formatCode="&quot;$&quot;#,##0.0000_);\(&quot;$&quot;#,##0.0000\)"/>
    <numFmt numFmtId="213" formatCode="&quot;$&quot;#,##0.00;[Red]&quot;$&quot;#,##0.00"/>
    <numFmt numFmtId="215" formatCode="&quot;N/A&quot;"/>
    <numFmt numFmtId="226" formatCode="mm/dd/yy\ hh:mm"/>
  </numFmts>
  <fonts count="103" x14ac:knownFonts="1">
    <font>
      <sz val="10"/>
      <name val="Arial"/>
    </font>
    <font>
      <sz val="10"/>
      <name val="Arial"/>
      <family val="2"/>
    </font>
    <font>
      <sz val="9"/>
      <name val="Times New Roman"/>
      <family val="1"/>
    </font>
    <font>
      <sz val="8"/>
      <name val="Arial"/>
      <family val="2"/>
    </font>
    <font>
      <sz val="10"/>
      <name val="Arial"/>
      <family val="2"/>
    </font>
    <font>
      <sz val="8"/>
      <color indexed="12"/>
      <name val="Arial"/>
      <family val="2"/>
    </font>
    <font>
      <sz val="12"/>
      <color indexed="8"/>
      <name val="Times New Roman"/>
      <family val="1"/>
    </font>
    <font>
      <sz val="8"/>
      <name val="Arial"/>
      <family val="2"/>
    </font>
    <font>
      <b/>
      <sz val="8"/>
      <name val="Arial"/>
      <family val="2"/>
    </font>
    <font>
      <b/>
      <sz val="8"/>
      <color indexed="9"/>
      <name val="Arial"/>
      <family val="2"/>
    </font>
    <font>
      <i/>
      <sz val="8"/>
      <name val="Arial"/>
      <family val="2"/>
    </font>
    <font>
      <u/>
      <sz val="8"/>
      <name val="Arial"/>
      <family val="2"/>
    </font>
    <font>
      <u val="singleAccounting"/>
      <sz val="8"/>
      <name val="Arial"/>
      <family val="2"/>
    </font>
    <font>
      <sz val="8"/>
      <color indexed="8"/>
      <name val="Arial"/>
      <family val="2"/>
    </font>
    <font>
      <u val="singleAccounting"/>
      <sz val="8"/>
      <color indexed="12"/>
      <name val="Arial"/>
      <family val="2"/>
    </font>
    <font>
      <b/>
      <sz val="10"/>
      <name val="Arial"/>
      <family val="2"/>
    </font>
    <font>
      <b/>
      <sz val="8"/>
      <color indexed="12"/>
      <name val="Arial"/>
      <family val="2"/>
    </font>
    <font>
      <b/>
      <sz val="8"/>
      <color indexed="81"/>
      <name val="Tahoma"/>
      <family val="2"/>
    </font>
    <font>
      <sz val="8"/>
      <color indexed="81"/>
      <name val="Tahoma"/>
      <family val="2"/>
    </font>
    <font>
      <sz val="8"/>
      <color indexed="9"/>
      <name val="Arial"/>
      <family val="2"/>
    </font>
    <font>
      <b/>
      <i/>
      <sz val="8"/>
      <name val="Arial"/>
      <family val="2"/>
    </font>
    <font>
      <b/>
      <sz val="8"/>
      <color indexed="8"/>
      <name val="Arial"/>
      <family val="2"/>
    </font>
    <font>
      <i/>
      <sz val="8"/>
      <color indexed="8"/>
      <name val="Arial"/>
      <family val="2"/>
    </font>
    <font>
      <b/>
      <u/>
      <sz val="8"/>
      <name val="Arial"/>
      <family val="2"/>
    </font>
    <font>
      <i/>
      <sz val="8"/>
      <color indexed="12"/>
      <name val="Arial"/>
      <family val="2"/>
    </font>
    <font>
      <u/>
      <sz val="8"/>
      <color indexed="12"/>
      <name val="Arial"/>
      <family val="2"/>
    </font>
    <font>
      <i/>
      <sz val="8"/>
      <color indexed="53"/>
      <name val="Arial"/>
      <family val="2"/>
    </font>
    <font>
      <i/>
      <sz val="10"/>
      <name val="Arial"/>
      <family val="2"/>
    </font>
    <font>
      <b/>
      <u/>
      <sz val="8"/>
      <color indexed="12"/>
      <name val="Arial"/>
      <family val="2"/>
    </font>
    <font>
      <b/>
      <u/>
      <sz val="8"/>
      <color indexed="8"/>
      <name val="Arial"/>
      <family val="2"/>
    </font>
    <font>
      <sz val="10"/>
      <color indexed="12"/>
      <name val="Tahoma"/>
      <family val="2"/>
    </font>
    <font>
      <b/>
      <i/>
      <sz val="8"/>
      <color indexed="8"/>
      <name val="Arial"/>
      <family val="2"/>
    </font>
    <font>
      <sz val="9"/>
      <color indexed="81"/>
      <name val="Tahoma"/>
      <family val="2"/>
    </font>
    <font>
      <b/>
      <sz val="9"/>
      <color indexed="81"/>
      <name val="Tahoma"/>
      <family val="2"/>
    </font>
    <font>
      <b/>
      <i/>
      <sz val="8"/>
      <color indexed="12"/>
      <name val="Arial"/>
      <family val="2"/>
    </font>
    <font>
      <b/>
      <sz val="8"/>
      <color indexed="10"/>
      <name val="Arial"/>
      <family val="2"/>
    </font>
    <font>
      <u/>
      <sz val="10"/>
      <color indexed="12"/>
      <name val="Arial Narrow"/>
      <family val="2"/>
    </font>
    <font>
      <b/>
      <sz val="14"/>
      <name val="Arial"/>
      <family val="2"/>
    </font>
    <font>
      <u/>
      <sz val="8"/>
      <color indexed="12"/>
      <name val="Arial Narrow"/>
      <family val="2"/>
    </font>
    <font>
      <b/>
      <u/>
      <sz val="10"/>
      <color indexed="12"/>
      <name val="Arial Narrow"/>
      <family val="2"/>
    </font>
    <font>
      <sz val="8"/>
      <name val="Times New Roman"/>
      <family val="1"/>
    </font>
    <font>
      <sz val="11"/>
      <name val="Arial"/>
      <family val="2"/>
    </font>
    <font>
      <sz val="10"/>
      <name val="MS Sans Serif"/>
      <family val="2"/>
    </font>
    <font>
      <b/>
      <sz val="12"/>
      <name val="Arial"/>
      <family val="2"/>
    </font>
    <font>
      <b/>
      <sz val="8"/>
      <color indexed="22"/>
      <name val="Arial"/>
      <family val="2"/>
    </font>
    <font>
      <b/>
      <sz val="10"/>
      <color indexed="8"/>
      <name val="Times New Roman"/>
      <family val="1"/>
    </font>
    <font>
      <sz val="12"/>
      <color indexed="8"/>
      <name val="Tms Rmn"/>
    </font>
    <font>
      <sz val="10"/>
      <color indexed="8"/>
      <name val="Times New Roman"/>
      <family val="1"/>
    </font>
    <font>
      <i/>
      <sz val="8"/>
      <name val="Times New Roman"/>
      <family val="1"/>
    </font>
    <font>
      <b/>
      <sz val="8"/>
      <color indexed="81"/>
      <name val="Arial"/>
      <family val="2"/>
    </font>
    <font>
      <sz val="8"/>
      <color indexed="81"/>
      <name val="Arial"/>
      <family val="2"/>
    </font>
    <font>
      <sz val="10"/>
      <name val="Tahoma"/>
      <family val="2"/>
    </font>
    <font>
      <sz val="10"/>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u val="singleAccounting"/>
      <sz val="8"/>
      <name val="Arial"/>
      <family val="2"/>
    </font>
    <font>
      <sz val="8"/>
      <color indexed="12"/>
      <name val="Arial"/>
      <family val="2"/>
    </font>
    <font>
      <u/>
      <sz val="8"/>
      <color indexed="81"/>
      <name val="Tahoma"/>
      <family val="2"/>
    </font>
    <font>
      <u val="singleAccounting"/>
      <sz val="8"/>
      <name val="Arial"/>
      <family val="2"/>
    </font>
    <font>
      <sz val="10"/>
      <name val="Arial"/>
      <family val="2"/>
    </font>
    <font>
      <sz val="8"/>
      <color indexed="12"/>
      <name val="Arial"/>
      <family val="2"/>
    </font>
    <font>
      <sz val="10"/>
      <name val="Arial"/>
      <family val="2"/>
    </font>
    <font>
      <sz val="8"/>
      <color indexed="8"/>
      <name val="Arial"/>
      <family val="2"/>
    </font>
    <font>
      <b/>
      <sz val="8"/>
      <color indexed="8"/>
      <name val="Arial"/>
      <family val="2"/>
    </font>
    <font>
      <sz val="11"/>
      <color theme="1"/>
      <name val="Calibri"/>
      <family val="2"/>
      <scheme val="minor"/>
    </font>
    <font>
      <sz val="8"/>
      <color rgb="FF0000FF"/>
      <name val="Arial"/>
      <family val="2"/>
    </font>
    <font>
      <b/>
      <sz val="8"/>
      <color rgb="FF0000FF"/>
      <name val="Arial"/>
      <family val="2"/>
    </font>
    <font>
      <u/>
      <sz val="8"/>
      <color rgb="FF0000FF"/>
      <name val="Arial"/>
      <family val="2"/>
    </font>
    <font>
      <i/>
      <sz val="8"/>
      <color rgb="FF0000FF"/>
      <name val="Arial"/>
      <family val="2"/>
    </font>
    <font>
      <b/>
      <u/>
      <sz val="8"/>
      <color rgb="FF0000FF"/>
      <name val="Arial"/>
      <family val="2"/>
    </font>
    <font>
      <i/>
      <sz val="8"/>
      <color theme="1"/>
      <name val="Arial"/>
      <family val="2"/>
    </font>
    <font>
      <b/>
      <sz val="8"/>
      <color theme="1"/>
      <name val="Arial"/>
      <family val="2"/>
    </font>
    <font>
      <i/>
      <u val="singleAccounting"/>
      <sz val="8"/>
      <name val="Arial"/>
      <family val="2"/>
    </font>
    <font>
      <b/>
      <i/>
      <sz val="10"/>
      <name val="Arial"/>
      <family val="2"/>
    </font>
    <font>
      <sz val="10"/>
      <name val="Arial"/>
      <family val="2"/>
    </font>
    <font>
      <u val="singleAccounting"/>
      <sz val="8"/>
      <color rgb="FF0000FF"/>
      <name val="Arial"/>
      <family val="2"/>
    </font>
    <font>
      <b/>
      <i/>
      <sz val="8"/>
      <color rgb="FF0000FF"/>
      <name val="Arial"/>
      <family val="2"/>
    </font>
    <font>
      <sz val="8"/>
      <color theme="1"/>
      <name val="Arial"/>
      <family val="2"/>
    </font>
    <font>
      <b/>
      <u/>
      <sz val="8"/>
      <color theme="1"/>
      <name val="Arial"/>
      <family val="2"/>
    </font>
    <font>
      <sz val="10"/>
      <color theme="1"/>
      <name val="Arial"/>
      <family val="2"/>
    </font>
    <font>
      <sz val="8"/>
      <color theme="0"/>
      <name val="Arial"/>
      <family val="2"/>
    </font>
    <font>
      <b/>
      <sz val="8"/>
      <color theme="0"/>
      <name val="Arial"/>
      <family val="2"/>
    </font>
    <font>
      <u/>
      <sz val="10"/>
      <color theme="10"/>
      <name val="Arial"/>
      <family val="2"/>
    </font>
    <font>
      <u/>
      <sz val="8"/>
      <color theme="10"/>
      <name val="Arial Narrow"/>
      <family val="2"/>
    </font>
    <font>
      <sz val="10"/>
      <name val="Arial"/>
      <family val="2"/>
    </font>
    <font>
      <sz val="10"/>
      <name val="Courier"/>
      <family val="3"/>
    </font>
    <font>
      <sz val="10"/>
      <color rgb="FF000000"/>
      <name val="Arial"/>
      <family val="2"/>
    </font>
    <font>
      <b/>
      <sz val="12"/>
      <color rgb="FF000080"/>
      <name val="Arial"/>
      <family val="2"/>
    </font>
  </fonts>
  <fills count="27">
    <fill>
      <patternFill patternType="none"/>
    </fill>
    <fill>
      <patternFill patternType="gray125"/>
    </fill>
    <fill>
      <patternFill patternType="solid">
        <fgColor indexed="27"/>
      </patternFill>
    </fill>
    <fill>
      <patternFill patternType="solid">
        <fgColor indexed="47"/>
      </patternFill>
    </fill>
    <fill>
      <patternFill patternType="solid">
        <fgColor indexed="29"/>
      </patternFill>
    </fill>
    <fill>
      <patternFill patternType="solid">
        <fgColor indexed="9"/>
      </patternFill>
    </fill>
    <fill>
      <patternFill patternType="solid">
        <fgColor indexed="28"/>
      </patternFill>
    </fill>
    <fill>
      <patternFill patternType="solid">
        <fgColor indexed="22"/>
      </patternFill>
    </fill>
    <fill>
      <patternFill patternType="solid">
        <fgColor indexed="49"/>
      </patternFill>
    </fill>
    <fill>
      <patternFill patternType="solid">
        <fgColor indexed="26"/>
      </patternFill>
    </fill>
    <fill>
      <patternFill patternType="solid">
        <fgColor indexed="54"/>
      </patternFill>
    </fill>
    <fill>
      <patternFill patternType="solid">
        <fgColor indexed="30"/>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42"/>
        <bgColor indexed="64"/>
      </patternFill>
    </fill>
    <fill>
      <patternFill patternType="solid">
        <fgColor rgb="FFFFC000"/>
        <bgColor indexed="64"/>
      </patternFill>
    </fill>
    <fill>
      <patternFill patternType="solid">
        <fgColor theme="0" tint="-0.249977111117893"/>
        <bgColor indexed="64"/>
      </patternFill>
    </fill>
    <fill>
      <patternFill patternType="solid">
        <fgColor indexed="65"/>
        <bgColor indexed="64"/>
      </patternFill>
    </fill>
  </fills>
  <borders count="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7"/>
      </bottom>
      <diagonal/>
    </border>
    <border>
      <left/>
      <right/>
      <top/>
      <bottom style="medium">
        <color indexed="27"/>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8"/>
      </top>
      <bottom style="thin">
        <color indexed="64"/>
      </bottom>
      <diagonal/>
    </border>
    <border>
      <left style="thin">
        <color indexed="64"/>
      </left>
      <right/>
      <top/>
      <bottom style="thin">
        <color indexed="8"/>
      </bottom>
      <diagonal/>
    </border>
    <border>
      <left style="thin">
        <color indexed="64"/>
      </left>
      <right style="thin">
        <color indexed="64"/>
      </right>
      <top/>
      <bottom style="thin">
        <color indexed="8"/>
      </bottom>
      <diagonal/>
    </border>
    <border>
      <left/>
      <right style="thin">
        <color indexed="64"/>
      </right>
      <top/>
      <bottom style="thin">
        <color indexed="8"/>
      </bottom>
      <diagonal/>
    </border>
    <border>
      <left style="thin">
        <color indexed="8"/>
      </left>
      <right style="thin">
        <color indexed="64"/>
      </right>
      <top/>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style="thin">
        <color indexed="8"/>
      </bottom>
      <diagonal/>
    </border>
    <border>
      <left style="thin">
        <color indexed="64"/>
      </left>
      <right style="thin">
        <color indexed="64"/>
      </right>
      <top style="thin">
        <color indexed="64"/>
      </top>
      <bottom style="thin">
        <color indexed="8"/>
      </bottom>
      <diagonal/>
    </border>
    <border>
      <left/>
      <right/>
      <top style="thin">
        <color indexed="64"/>
      </top>
      <bottom style="thin">
        <color indexed="8"/>
      </bottom>
      <diagonal/>
    </border>
    <border>
      <left style="thin">
        <color indexed="64"/>
      </left>
      <right/>
      <top style="thin">
        <color indexed="64"/>
      </top>
      <bottom style="thin">
        <color indexed="8"/>
      </bottom>
      <diagonal/>
    </border>
    <border>
      <left/>
      <right style="thin">
        <color indexed="64"/>
      </right>
      <top style="thin">
        <color indexed="64"/>
      </top>
      <bottom style="thin">
        <color indexed="8"/>
      </bottom>
      <diagonal/>
    </border>
    <border>
      <left style="thin">
        <color indexed="8"/>
      </left>
      <right style="thin">
        <color indexed="64"/>
      </right>
      <top/>
      <bottom style="thin">
        <color indexed="64"/>
      </bottom>
      <diagonal/>
    </border>
    <border>
      <left style="thin">
        <color indexed="8"/>
      </left>
      <right style="thin">
        <color indexed="64"/>
      </right>
      <top style="thin">
        <color indexed="8"/>
      </top>
      <bottom style="thin">
        <color indexed="64"/>
      </bottom>
      <diagonal/>
    </border>
    <border>
      <left style="thin">
        <color indexed="64"/>
      </left>
      <right style="thin">
        <color indexed="64"/>
      </right>
      <top style="thin">
        <color indexed="8"/>
      </top>
      <bottom style="thin">
        <color indexed="64"/>
      </bottom>
      <diagonal/>
    </border>
    <border>
      <left style="thin">
        <color indexed="64"/>
      </left>
      <right/>
      <top style="thin">
        <color indexed="8"/>
      </top>
      <bottom style="thin">
        <color indexed="64"/>
      </bottom>
      <diagonal/>
    </border>
    <border>
      <left/>
      <right style="thin">
        <color indexed="64"/>
      </right>
      <top style="thin">
        <color indexed="8"/>
      </top>
      <bottom style="thin">
        <color indexed="64"/>
      </bottom>
      <diagonal/>
    </border>
    <border>
      <left style="thin">
        <color indexed="8"/>
      </left>
      <right/>
      <top/>
      <bottom/>
      <diagonal/>
    </border>
    <border>
      <left style="thin">
        <color indexed="8"/>
      </left>
      <right/>
      <top/>
      <bottom style="thin">
        <color indexed="8"/>
      </bottom>
      <diagonal/>
    </border>
    <border>
      <left style="thin">
        <color indexed="64"/>
      </left>
      <right style="thin">
        <color indexed="8"/>
      </right>
      <top style="thin">
        <color indexed="8"/>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style="thin">
        <color indexed="64"/>
      </top>
      <bottom style="thin">
        <color indexed="64"/>
      </bottom>
      <diagonal/>
    </border>
    <border>
      <left style="thin">
        <color indexed="64"/>
      </left>
      <right style="thin">
        <color indexed="8"/>
      </right>
      <top style="thin">
        <color indexed="64"/>
      </top>
      <bottom style="thin">
        <color indexed="8"/>
      </bottom>
      <diagonal/>
    </border>
    <border>
      <left style="thin">
        <color indexed="8"/>
      </left>
      <right/>
      <top style="thin">
        <color indexed="8"/>
      </top>
      <bottom style="thin">
        <color indexed="64"/>
      </bottom>
      <diagonal/>
    </border>
    <border>
      <left/>
      <right style="thin">
        <color indexed="8"/>
      </right>
      <top/>
      <bottom/>
      <diagonal/>
    </border>
    <border>
      <left/>
      <right style="thin">
        <color indexed="8"/>
      </right>
      <top/>
      <bottom style="thin">
        <color indexed="8"/>
      </bottom>
      <diagonal/>
    </border>
    <border>
      <left/>
      <right style="thin">
        <color indexed="8"/>
      </right>
      <top style="thin">
        <color indexed="8"/>
      </top>
      <bottom style="thin">
        <color indexed="64"/>
      </bottom>
      <diagonal/>
    </border>
    <border>
      <left/>
      <right style="thin">
        <color indexed="8"/>
      </right>
      <top style="thin">
        <color indexed="64"/>
      </top>
      <bottom style="thin">
        <color indexed="64"/>
      </bottom>
      <diagonal/>
    </border>
    <border>
      <left/>
      <right style="thin">
        <color indexed="8"/>
      </right>
      <top/>
      <bottom style="thin">
        <color indexed="64"/>
      </bottom>
      <diagonal/>
    </border>
    <border>
      <left style="thin">
        <color indexed="8"/>
      </left>
      <right style="thin">
        <color indexed="64"/>
      </right>
      <top/>
      <bottom style="thin">
        <color indexed="8"/>
      </bottom>
      <diagonal/>
    </border>
    <border>
      <left style="thin">
        <color indexed="8"/>
      </left>
      <right style="thin">
        <color indexed="64"/>
      </right>
      <top style="thin">
        <color indexed="64"/>
      </top>
      <bottom/>
      <diagonal/>
    </border>
    <border>
      <left style="thin">
        <color indexed="64"/>
      </left>
      <right style="thin">
        <color indexed="8"/>
      </right>
      <top/>
      <bottom style="thin">
        <color indexed="64"/>
      </bottom>
      <diagonal/>
    </border>
    <border>
      <left/>
      <right style="thin">
        <color indexed="8"/>
      </right>
      <top style="thin">
        <color indexed="64"/>
      </top>
      <bottom/>
      <diagonal/>
    </border>
    <border>
      <left style="thin">
        <color indexed="64"/>
      </left>
      <right style="thin">
        <color indexed="8"/>
      </right>
      <top/>
      <bottom style="thin">
        <color indexed="8"/>
      </bottom>
      <diagonal/>
    </border>
    <border>
      <left style="thin">
        <color indexed="8"/>
      </left>
      <right/>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style="thin">
        <color indexed="8"/>
      </left>
      <right style="thin">
        <color indexed="8"/>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2">
    <xf numFmtId="0" fontId="0" fillId="0" borderId="0"/>
    <xf numFmtId="0" fontId="1" fillId="0" borderId="0"/>
    <xf numFmtId="0" fontId="74" fillId="0" borderId="0"/>
    <xf numFmtId="0" fontId="4" fillId="0" borderId="0"/>
    <xf numFmtId="0" fontId="1" fillId="0" borderId="0"/>
    <xf numFmtId="0" fontId="42" fillId="0" borderId="0"/>
    <xf numFmtId="0" fontId="42" fillId="0" borderId="0"/>
    <xf numFmtId="0" fontId="53" fillId="2" borderId="0" applyNumberFormat="0" applyBorder="0" applyAlignment="0" applyProtection="0"/>
    <xf numFmtId="0" fontId="53" fillId="3" borderId="0" applyNumberFormat="0" applyBorder="0" applyAlignment="0" applyProtection="0"/>
    <xf numFmtId="0" fontId="53" fillId="4" borderId="0" applyNumberFormat="0" applyBorder="0" applyAlignment="0" applyProtection="0"/>
    <xf numFmtId="0" fontId="53" fillId="5" borderId="0" applyNumberFormat="0" applyBorder="0" applyAlignment="0" applyProtection="0"/>
    <xf numFmtId="0" fontId="53" fillId="2" borderId="0" applyNumberFormat="0" applyBorder="0" applyAlignment="0" applyProtection="0"/>
    <xf numFmtId="0" fontId="53" fillId="3" borderId="0" applyNumberFormat="0" applyBorder="0" applyAlignment="0" applyProtection="0"/>
    <xf numFmtId="0" fontId="53" fillId="2" borderId="0" applyNumberFormat="0" applyBorder="0" applyAlignment="0" applyProtection="0"/>
    <xf numFmtId="0" fontId="53" fillId="6" borderId="0" applyNumberFormat="0" applyBorder="0" applyAlignment="0" applyProtection="0"/>
    <xf numFmtId="0" fontId="53" fillId="4" borderId="0" applyNumberFormat="0" applyBorder="0" applyAlignment="0" applyProtection="0"/>
    <xf numFmtId="0" fontId="53" fillId="7" borderId="0" applyNumberFormat="0" applyBorder="0" applyAlignment="0" applyProtection="0"/>
    <xf numFmtId="0" fontId="53" fillId="2" borderId="0" applyNumberFormat="0" applyBorder="0" applyAlignment="0" applyProtection="0"/>
    <xf numFmtId="0" fontId="53" fillId="3" borderId="0" applyNumberFormat="0" applyBorder="0" applyAlignment="0" applyProtection="0"/>
    <xf numFmtId="0" fontId="54" fillId="2" borderId="0" applyNumberFormat="0" applyBorder="0" applyAlignment="0" applyProtection="0"/>
    <xf numFmtId="0" fontId="54" fillId="6" borderId="0" applyNumberFormat="0" applyBorder="0" applyAlignment="0" applyProtection="0"/>
    <xf numFmtId="0" fontId="54" fillId="4" borderId="0" applyNumberFormat="0" applyBorder="0" applyAlignment="0" applyProtection="0"/>
    <xf numFmtId="0" fontId="54" fillId="7" borderId="0" applyNumberFormat="0" applyBorder="0" applyAlignment="0" applyProtection="0"/>
    <xf numFmtId="0" fontId="54" fillId="2" borderId="0" applyNumberFormat="0" applyBorder="0" applyAlignment="0" applyProtection="0"/>
    <xf numFmtId="0" fontId="54" fillId="3" borderId="0" applyNumberFormat="0" applyBorder="0" applyAlignment="0" applyProtection="0"/>
    <xf numFmtId="0" fontId="54" fillId="8" borderId="0" applyNumberFormat="0" applyBorder="0" applyAlignment="0" applyProtection="0"/>
    <xf numFmtId="0" fontId="54" fillId="6"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8" borderId="0" applyNumberFormat="0" applyBorder="0" applyAlignment="0" applyProtection="0"/>
    <xf numFmtId="0" fontId="54" fillId="6" borderId="0" applyNumberFormat="0" applyBorder="0" applyAlignment="0" applyProtection="0"/>
    <xf numFmtId="0" fontId="55" fillId="11" borderId="0" applyNumberFormat="0" applyBorder="0" applyAlignment="0" applyProtection="0"/>
    <xf numFmtId="0" fontId="45" fillId="0" borderId="0"/>
    <xf numFmtId="0" fontId="56" fillId="5" borderId="1" applyNumberFormat="0" applyAlignment="0" applyProtection="0"/>
    <xf numFmtId="0" fontId="57" fillId="12" borderId="2" applyNumberFormat="0" applyAlignment="0" applyProtection="0"/>
    <xf numFmtId="43" fontId="1" fillId="0" borderId="0" applyFont="0" applyFill="0" applyBorder="0" applyAlignment="0" applyProtection="0"/>
    <xf numFmtId="43" fontId="53" fillId="0" borderId="0" applyFont="0" applyFill="0" applyBorder="0" applyAlignment="0" applyProtection="0"/>
    <xf numFmtId="44" fontId="1" fillId="0" borderId="0" applyFont="0" applyFill="0" applyBorder="0" applyAlignment="0" applyProtection="0"/>
    <xf numFmtId="44" fontId="74" fillId="0" borderId="0" applyFont="0" applyFill="0" applyBorder="0" applyAlignment="0" applyProtection="0"/>
    <xf numFmtId="0" fontId="58" fillId="0" borderId="0" applyNumberFormat="0" applyFill="0" applyBorder="0" applyAlignment="0" applyProtection="0"/>
    <xf numFmtId="0" fontId="59" fillId="4" borderId="0" applyNumberFormat="0" applyBorder="0" applyAlignment="0" applyProtection="0"/>
    <xf numFmtId="0" fontId="60" fillId="0" borderId="3" applyNumberFormat="0" applyFill="0" applyAlignment="0" applyProtection="0"/>
    <xf numFmtId="0" fontId="61" fillId="0" borderId="4" applyNumberFormat="0" applyFill="0" applyAlignment="0" applyProtection="0"/>
    <xf numFmtId="0" fontId="62" fillId="0" borderId="5" applyNumberFormat="0" applyFill="0" applyAlignment="0" applyProtection="0"/>
    <xf numFmtId="0" fontId="62" fillId="0" borderId="0" applyNumberFormat="0" applyFill="0" applyBorder="0" applyAlignment="0" applyProtection="0"/>
    <xf numFmtId="0" fontId="36" fillId="0" borderId="0" applyNumberFormat="0" applyFill="0" applyBorder="0" applyAlignment="0" applyProtection="0">
      <alignment vertical="top"/>
      <protection locked="0"/>
    </xf>
    <xf numFmtId="0" fontId="63" fillId="3" borderId="1" applyNumberFormat="0" applyAlignment="0" applyProtection="0"/>
    <xf numFmtId="0" fontId="64" fillId="0" borderId="6" applyNumberFormat="0" applyFill="0" applyAlignment="0" applyProtection="0"/>
    <xf numFmtId="0" fontId="65" fillId="13" borderId="0" applyNumberFormat="0" applyBorder="0" applyAlignment="0" applyProtection="0"/>
    <xf numFmtId="0" fontId="79" fillId="0" borderId="0"/>
    <xf numFmtId="0" fontId="1" fillId="0" borderId="0"/>
    <xf numFmtId="0" fontId="40" fillId="0" borderId="0"/>
    <xf numFmtId="0" fontId="40" fillId="0" borderId="0"/>
    <xf numFmtId="0" fontId="6" fillId="0" borderId="0"/>
    <xf numFmtId="0" fontId="4" fillId="13" borderId="7" applyNumberFormat="0" applyFont="0" applyAlignment="0" applyProtection="0"/>
    <xf numFmtId="0" fontId="66" fillId="5" borderId="8" applyNumberFormat="0" applyAlignment="0" applyProtection="0"/>
    <xf numFmtId="0" fontId="2" fillId="0" borderId="0">
      <alignment vertical="center"/>
    </xf>
    <xf numFmtId="9" fontId="1" fillId="0" borderId="0" applyFont="0" applyFill="0" applyBorder="0" applyAlignment="0" applyProtection="0"/>
    <xf numFmtId="9" fontId="53" fillId="0" borderId="0" applyFont="0" applyFill="0" applyBorder="0" applyAlignment="0" applyProtection="0"/>
    <xf numFmtId="0" fontId="4" fillId="14" borderId="0" applyNumberFormat="0" applyFont="0" applyBorder="0" applyAlignment="0" applyProtection="0"/>
    <xf numFmtId="0" fontId="47" fillId="0" borderId="0"/>
    <xf numFmtId="0" fontId="47" fillId="0" borderId="9">
      <alignment horizontal="centerContinuous"/>
    </xf>
    <xf numFmtId="0" fontId="48" fillId="0" borderId="9"/>
    <xf numFmtId="0" fontId="67" fillId="0" borderId="0" applyNumberFormat="0" applyFill="0" applyBorder="0" applyAlignment="0" applyProtection="0"/>
    <xf numFmtId="0" fontId="68" fillId="0" borderId="10" applyNumberFormat="0" applyFill="0" applyAlignment="0" applyProtection="0"/>
    <xf numFmtId="0" fontId="69" fillId="0" borderId="0" applyNumberFormat="0" applyFill="0" applyBorder="0" applyAlignment="0" applyProtection="0"/>
    <xf numFmtId="0" fontId="1" fillId="0" borderId="0"/>
    <xf numFmtId="0" fontId="1" fillId="14" borderId="0" applyNumberFormat="0" applyFont="0" applyBorder="0" applyAlignment="0" applyProtection="0"/>
    <xf numFmtId="44" fontId="89" fillId="0" borderId="0" applyFont="0" applyFill="0" applyBorder="0" applyAlignment="0" applyProtection="0"/>
    <xf numFmtId="0" fontId="97" fillId="0" borderId="0" applyNumberFormat="0" applyFill="0" applyBorder="0" applyAlignment="0" applyProtection="0"/>
    <xf numFmtId="44" fontId="99" fillId="0" borderId="0" applyFont="0" applyFill="0" applyBorder="0" applyAlignment="0" applyProtection="0"/>
    <xf numFmtId="0" fontId="100" fillId="0" borderId="0"/>
  </cellStyleXfs>
  <cellXfs count="1829">
    <xf numFmtId="0" fontId="0" fillId="0" borderId="0" xfId="0"/>
    <xf numFmtId="49" fontId="0" fillId="0" borderId="0" xfId="2" applyNumberFormat="1" applyFont="1"/>
    <xf numFmtId="0" fontId="8" fillId="16" borderId="16" xfId="2" applyFont="1" applyFill="1" applyBorder="1"/>
    <xf numFmtId="0" fontId="9" fillId="16" borderId="17" xfId="2" applyFont="1" applyFill="1" applyBorder="1"/>
    <xf numFmtId="0" fontId="8" fillId="16" borderId="17" xfId="2" applyFont="1" applyFill="1" applyBorder="1"/>
    <xf numFmtId="0" fontId="3" fillId="16" borderId="17" xfId="2" applyFont="1" applyFill="1" applyBorder="1"/>
    <xf numFmtId="0" fontId="3" fillId="16" borderId="18" xfId="2" applyFont="1" applyFill="1" applyBorder="1"/>
    <xf numFmtId="164" fontId="8" fillId="16" borderId="16" xfId="2" applyNumberFormat="1" applyFont="1" applyFill="1" applyBorder="1"/>
    <xf numFmtId="164" fontId="3" fillId="16" borderId="17" xfId="57" applyNumberFormat="1" applyFont="1" applyFill="1" applyBorder="1" applyAlignment="1"/>
    <xf numFmtId="164" fontId="3" fillId="16" borderId="18" xfId="57" applyNumberFormat="1" applyFont="1" applyFill="1" applyBorder="1" applyAlignment="1"/>
    <xf numFmtId="0" fontId="8" fillId="16" borderId="17" xfId="2" applyFont="1" applyFill="1" applyBorder="1" applyAlignment="1">
      <alignment horizontal="center"/>
    </xf>
    <xf numFmtId="0" fontId="8" fillId="16" borderId="16" xfId="2" applyFont="1" applyFill="1" applyBorder="1" applyAlignment="1">
      <alignment horizontal="center"/>
    </xf>
    <xf numFmtId="0" fontId="8" fillId="16" borderId="19" xfId="2" applyFont="1" applyFill="1" applyBorder="1" applyAlignment="1">
      <alignment horizontal="center"/>
    </xf>
    <xf numFmtId="2" fontId="8" fillId="16" borderId="16" xfId="2" applyNumberFormat="1" applyFont="1" applyFill="1" applyBorder="1"/>
    <xf numFmtId="0" fontId="16" fillId="16" borderId="17" xfId="2" applyFont="1" applyFill="1" applyBorder="1" applyAlignment="1">
      <alignment horizontal="center"/>
    </xf>
    <xf numFmtId="0" fontId="0" fillId="15" borderId="0" xfId="2" applyFont="1" applyFill="1"/>
    <xf numFmtId="0" fontId="3" fillId="15" borderId="0" xfId="2" applyFont="1" applyFill="1"/>
    <xf numFmtId="0" fontId="3" fillId="15" borderId="0" xfId="53" applyFont="1" applyFill="1" applyBorder="1"/>
    <xf numFmtId="0" fontId="3" fillId="15" borderId="20" xfId="2" applyFont="1" applyFill="1" applyBorder="1"/>
    <xf numFmtId="0" fontId="3" fillId="15" borderId="21" xfId="2" applyFont="1" applyFill="1" applyBorder="1"/>
    <xf numFmtId="179" fontId="3" fillId="15" borderId="0" xfId="2" applyNumberFormat="1" applyFont="1" applyFill="1" applyBorder="1"/>
    <xf numFmtId="0" fontId="3" fillId="15" borderId="0" xfId="2" applyFont="1" applyFill="1" applyBorder="1"/>
    <xf numFmtId="164" fontId="3" fillId="15" borderId="0" xfId="57" applyNumberFormat="1" applyFont="1" applyFill="1" applyBorder="1"/>
    <xf numFmtId="0" fontId="3" fillId="15" borderId="22" xfId="2" applyFont="1" applyFill="1" applyBorder="1"/>
    <xf numFmtId="166" fontId="3" fillId="15" borderId="0" xfId="2" applyNumberFormat="1" applyFont="1" applyFill="1" applyBorder="1"/>
    <xf numFmtId="0" fontId="8" fillId="15" borderId="0" xfId="2" applyFont="1" applyFill="1"/>
    <xf numFmtId="2" fontId="3" fillId="15" borderId="0" xfId="2" applyNumberFormat="1" applyFont="1" applyFill="1" applyBorder="1"/>
    <xf numFmtId="0" fontId="8" fillId="15" borderId="16" xfId="2" applyFont="1" applyFill="1" applyBorder="1"/>
    <xf numFmtId="0" fontId="3" fillId="15" borderId="23" xfId="2" applyFont="1" applyFill="1" applyBorder="1"/>
    <xf numFmtId="0" fontId="3" fillId="15" borderId="24" xfId="2" applyFont="1" applyFill="1" applyBorder="1"/>
    <xf numFmtId="0" fontId="19" fillId="15" borderId="0" xfId="2" applyFont="1" applyFill="1"/>
    <xf numFmtId="164" fontId="3" fillId="15" borderId="22" xfId="2" applyNumberFormat="1" applyFont="1" applyFill="1" applyBorder="1"/>
    <xf numFmtId="0" fontId="8" fillId="15" borderId="21" xfId="2" applyFont="1" applyFill="1" applyBorder="1"/>
    <xf numFmtId="0" fontId="8" fillId="15" borderId="24" xfId="2" applyFont="1" applyFill="1" applyBorder="1"/>
    <xf numFmtId="164" fontId="3" fillId="15" borderId="0" xfId="57" applyNumberFormat="1" applyFont="1" applyFill="1"/>
    <xf numFmtId="164" fontId="8" fillId="15" borderId="0" xfId="57" applyNumberFormat="1" applyFont="1" applyFill="1" applyBorder="1" applyAlignment="1">
      <alignment horizontal="right"/>
    </xf>
    <xf numFmtId="175" fontId="3" fillId="15" borderId="0" xfId="2" applyNumberFormat="1" applyFont="1" applyFill="1" applyBorder="1"/>
    <xf numFmtId="0" fontId="8" fillId="15" borderId="0" xfId="2" applyFont="1" applyFill="1" applyBorder="1"/>
    <xf numFmtId="170" fontId="3" fillId="15" borderId="0" xfId="35" applyNumberFormat="1" applyFont="1" applyFill="1" applyBorder="1"/>
    <xf numFmtId="170" fontId="3" fillId="15" borderId="22" xfId="35" applyNumberFormat="1" applyFont="1" applyFill="1" applyBorder="1"/>
    <xf numFmtId="170" fontId="3" fillId="15" borderId="11" xfId="35" applyNumberFormat="1" applyFont="1" applyFill="1" applyBorder="1"/>
    <xf numFmtId="170" fontId="5" fillId="15" borderId="0" xfId="35" applyNumberFormat="1" applyFont="1" applyFill="1" applyBorder="1"/>
    <xf numFmtId="164" fontId="20" fillId="15" borderId="0" xfId="57" applyNumberFormat="1" applyFont="1" applyFill="1" applyBorder="1"/>
    <xf numFmtId="164" fontId="10" fillId="15" borderId="0" xfId="57" applyNumberFormat="1" applyFont="1" applyFill="1"/>
    <xf numFmtId="9" fontId="3" fillId="15" borderId="0" xfId="57" applyFont="1" applyFill="1"/>
    <xf numFmtId="0" fontId="3" fillId="15" borderId="11" xfId="2" applyFont="1" applyFill="1" applyBorder="1"/>
    <xf numFmtId="170" fontId="8" fillId="15" borderId="0" xfId="35" applyNumberFormat="1" applyFont="1" applyFill="1" applyBorder="1"/>
    <xf numFmtId="170" fontId="8" fillId="15" borderId="22" xfId="35" applyNumberFormat="1" applyFont="1" applyFill="1" applyBorder="1"/>
    <xf numFmtId="170" fontId="8" fillId="15" borderId="11" xfId="35" applyNumberFormat="1" applyFont="1" applyFill="1" applyBorder="1"/>
    <xf numFmtId="0" fontId="8" fillId="15" borderId="11" xfId="2" applyFont="1" applyFill="1" applyBorder="1"/>
    <xf numFmtId="170" fontId="8" fillId="15" borderId="11" xfId="2" applyNumberFormat="1" applyFont="1" applyFill="1" applyBorder="1"/>
    <xf numFmtId="170" fontId="8" fillId="15" borderId="0" xfId="2" applyNumberFormat="1" applyFont="1" applyFill="1" applyBorder="1"/>
    <xf numFmtId="170" fontId="8" fillId="15" borderId="22" xfId="2" applyNumberFormat="1" applyFont="1" applyFill="1" applyBorder="1"/>
    <xf numFmtId="170" fontId="3" fillId="15" borderId="0" xfId="2" applyNumberFormat="1" applyFont="1" applyFill="1" applyBorder="1"/>
    <xf numFmtId="170" fontId="3" fillId="15" borderId="22" xfId="2" applyNumberFormat="1" applyFont="1" applyFill="1" applyBorder="1"/>
    <xf numFmtId="170" fontId="3" fillId="15" borderId="0" xfId="2" applyNumberFormat="1" applyFont="1" applyFill="1"/>
    <xf numFmtId="164" fontId="3" fillId="15" borderId="21" xfId="2" applyNumberFormat="1" applyFont="1" applyFill="1" applyBorder="1"/>
    <xf numFmtId="0" fontId="8" fillId="15" borderId="0" xfId="2" applyFont="1" applyFill="1" applyBorder="1" applyAlignment="1">
      <alignment horizontal="center"/>
    </xf>
    <xf numFmtId="0" fontId="3" fillId="15" borderId="0" xfId="2" applyFont="1" applyFill="1" applyBorder="1" applyAlignment="1">
      <alignment horizontal="center"/>
    </xf>
    <xf numFmtId="0" fontId="8" fillId="16" borderId="18" xfId="2" applyFont="1" applyFill="1" applyBorder="1" applyAlignment="1">
      <alignment horizontal="center"/>
    </xf>
    <xf numFmtId="9" fontId="3" fillId="15" borderId="0" xfId="57" applyFont="1" applyFill="1" applyBorder="1"/>
    <xf numFmtId="0" fontId="10" fillId="15" borderId="0" xfId="2" applyFont="1" applyFill="1" applyBorder="1"/>
    <xf numFmtId="182" fontId="3" fillId="15" borderId="0" xfId="37" applyNumberFormat="1" applyFont="1" applyFill="1" applyBorder="1"/>
    <xf numFmtId="0" fontId="13" fillId="15" borderId="0" xfId="2" applyFont="1" applyFill="1" applyBorder="1"/>
    <xf numFmtId="0" fontId="20" fillId="15" borderId="0" xfId="2" applyFont="1" applyFill="1" applyBorder="1"/>
    <xf numFmtId="168" fontId="3" fillId="15" borderId="0" xfId="2" applyNumberFormat="1" applyFont="1" applyFill="1" applyBorder="1"/>
    <xf numFmtId="0" fontId="15" fillId="15" borderId="0" xfId="2" applyFont="1" applyFill="1"/>
    <xf numFmtId="0" fontId="3" fillId="15" borderId="0" xfId="53" applyFont="1" applyFill="1"/>
    <xf numFmtId="170" fontId="3" fillId="15" borderId="0" xfId="53" applyNumberFormat="1" applyFont="1" applyFill="1"/>
    <xf numFmtId="178" fontId="3" fillId="15" borderId="0" xfId="37" applyNumberFormat="1" applyFont="1" applyFill="1" applyBorder="1"/>
    <xf numFmtId="183" fontId="3" fillId="15" borderId="0" xfId="37" applyNumberFormat="1" applyFont="1" applyFill="1" applyBorder="1"/>
    <xf numFmtId="164" fontId="3" fillId="15" borderId="0" xfId="37" applyNumberFormat="1" applyFont="1" applyFill="1" applyBorder="1"/>
    <xf numFmtId="171" fontId="3" fillId="15" borderId="0" xfId="37" applyNumberFormat="1" applyFont="1" applyFill="1" applyBorder="1"/>
    <xf numFmtId="184" fontId="3" fillId="15" borderId="0" xfId="2" applyNumberFormat="1" applyFont="1" applyFill="1"/>
    <xf numFmtId="44" fontId="3" fillId="15" borderId="0" xfId="37" applyNumberFormat="1" applyFont="1" applyFill="1" applyBorder="1"/>
    <xf numFmtId="44" fontId="26" fillId="15" borderId="0" xfId="37" applyNumberFormat="1" applyFont="1" applyFill="1" applyBorder="1"/>
    <xf numFmtId="184" fontId="3" fillId="15" borderId="0" xfId="35" applyNumberFormat="1" applyFont="1" applyFill="1" applyBorder="1"/>
    <xf numFmtId="169" fontId="3" fillId="15" borderId="0" xfId="35" applyNumberFormat="1" applyFont="1" applyFill="1" applyBorder="1"/>
    <xf numFmtId="43" fontId="3" fillId="15" borderId="0" xfId="2" applyNumberFormat="1" applyFont="1" applyFill="1"/>
    <xf numFmtId="10" fontId="3" fillId="15" borderId="0" xfId="57" applyNumberFormat="1" applyFont="1" applyFill="1"/>
    <xf numFmtId="0" fontId="9" fillId="15" borderId="0" xfId="2" applyFont="1" applyFill="1"/>
    <xf numFmtId="170" fontId="8" fillId="15" borderId="21" xfId="2" applyNumberFormat="1" applyFont="1" applyFill="1" applyBorder="1"/>
    <xf numFmtId="170" fontId="8" fillId="15" borderId="21" xfId="35" applyNumberFormat="1" applyFont="1" applyFill="1" applyBorder="1"/>
    <xf numFmtId="166" fontId="8" fillId="15" borderId="21" xfId="2" applyNumberFormat="1" applyFont="1" applyFill="1" applyBorder="1"/>
    <xf numFmtId="166" fontId="3" fillId="15" borderId="21" xfId="2" applyNumberFormat="1" applyFont="1" applyFill="1" applyBorder="1"/>
    <xf numFmtId="170" fontId="3" fillId="15" borderId="11" xfId="2" applyNumberFormat="1" applyFont="1" applyFill="1" applyBorder="1"/>
    <xf numFmtId="170" fontId="3" fillId="15" borderId="21" xfId="2" applyNumberFormat="1" applyFont="1" applyFill="1" applyBorder="1"/>
    <xf numFmtId="170" fontId="3" fillId="15" borderId="21" xfId="35" applyNumberFormat="1" applyFont="1" applyFill="1" applyBorder="1"/>
    <xf numFmtId="164" fontId="3" fillId="15" borderId="22" xfId="57" applyNumberFormat="1" applyFont="1" applyFill="1" applyBorder="1"/>
    <xf numFmtId="170" fontId="12" fillId="15" borderId="21" xfId="35" applyNumberFormat="1" applyFont="1" applyFill="1" applyBorder="1"/>
    <xf numFmtId="170" fontId="12" fillId="15" borderId="0" xfId="35" applyNumberFormat="1" applyFont="1" applyFill="1" applyBorder="1"/>
    <xf numFmtId="170" fontId="12" fillId="15" borderId="11" xfId="2" applyNumberFormat="1" applyFont="1" applyFill="1" applyBorder="1"/>
    <xf numFmtId="170" fontId="12" fillId="15" borderId="22" xfId="35" applyNumberFormat="1" applyFont="1" applyFill="1" applyBorder="1"/>
    <xf numFmtId="166" fontId="8" fillId="15" borderId="0" xfId="2" applyNumberFormat="1" applyFont="1" applyFill="1" applyBorder="1"/>
    <xf numFmtId="0" fontId="3" fillId="15" borderId="21" xfId="53" applyFont="1" applyFill="1" applyBorder="1"/>
    <xf numFmtId="170" fontId="5" fillId="15" borderId="21" xfId="35" applyNumberFormat="1" applyFont="1" applyFill="1" applyBorder="1"/>
    <xf numFmtId="170" fontId="14" fillId="15" borderId="21" xfId="35" applyNumberFormat="1" applyFont="1" applyFill="1" applyBorder="1"/>
    <xf numFmtId="170" fontId="14" fillId="15" borderId="0" xfId="35" applyNumberFormat="1" applyFont="1" applyFill="1" applyBorder="1"/>
    <xf numFmtId="166" fontId="3" fillId="15" borderId="11" xfId="2" applyNumberFormat="1" applyFont="1" applyFill="1" applyBorder="1"/>
    <xf numFmtId="164" fontId="8" fillId="15" borderId="22" xfId="57" applyNumberFormat="1" applyFont="1" applyFill="1" applyBorder="1"/>
    <xf numFmtId="7" fontId="3" fillId="15" borderId="11" xfId="37" applyNumberFormat="1" applyFont="1" applyFill="1" applyBorder="1"/>
    <xf numFmtId="7" fontId="3" fillId="15" borderId="21" xfId="37" applyNumberFormat="1" applyFont="1" applyFill="1" applyBorder="1"/>
    <xf numFmtId="7" fontId="3" fillId="15" borderId="0" xfId="37" applyNumberFormat="1" applyFont="1" applyFill="1" applyBorder="1"/>
    <xf numFmtId="7" fontId="3" fillId="15" borderId="22" xfId="37" applyNumberFormat="1" applyFont="1" applyFill="1" applyBorder="1"/>
    <xf numFmtId="166" fontId="13" fillId="15" borderId="0" xfId="2" applyNumberFormat="1" applyFont="1" applyFill="1" applyBorder="1"/>
    <xf numFmtId="166" fontId="3" fillId="15" borderId="22" xfId="2" applyNumberFormat="1" applyFont="1" applyFill="1" applyBorder="1"/>
    <xf numFmtId="171" fontId="3" fillId="15" borderId="11" xfId="2" applyNumberFormat="1" applyFont="1" applyFill="1" applyBorder="1"/>
    <xf numFmtId="181" fontId="3" fillId="15" borderId="21" xfId="2" applyNumberFormat="1" applyFont="1" applyFill="1" applyBorder="1"/>
    <xf numFmtId="181" fontId="3" fillId="15" borderId="0" xfId="2" applyNumberFormat="1" applyFont="1" applyFill="1" applyBorder="1"/>
    <xf numFmtId="181" fontId="3" fillId="15" borderId="11" xfId="2" applyNumberFormat="1" applyFont="1" applyFill="1" applyBorder="1"/>
    <xf numFmtId="164" fontId="3" fillId="15" borderId="24" xfId="57" applyNumberFormat="1" applyFont="1" applyFill="1" applyBorder="1"/>
    <xf numFmtId="7" fontId="8" fillId="15" borderId="21" xfId="2" applyNumberFormat="1" applyFont="1" applyFill="1" applyBorder="1"/>
    <xf numFmtId="7" fontId="8" fillId="15" borderId="0" xfId="2" applyNumberFormat="1" applyFont="1" applyFill="1" applyBorder="1"/>
    <xf numFmtId="7" fontId="8" fillId="15" borderId="25" xfId="2" applyNumberFormat="1" applyFont="1" applyFill="1" applyBorder="1"/>
    <xf numFmtId="7" fontId="8" fillId="15" borderId="11" xfId="2" applyNumberFormat="1" applyFont="1" applyFill="1" applyBorder="1"/>
    <xf numFmtId="7" fontId="8" fillId="15" borderId="22" xfId="2" applyNumberFormat="1" applyFont="1" applyFill="1" applyBorder="1"/>
    <xf numFmtId="164" fontId="3" fillId="15" borderId="22" xfId="57" applyNumberFormat="1" applyFont="1" applyFill="1" applyBorder="1" applyAlignment="1">
      <alignment horizontal="right"/>
    </xf>
    <xf numFmtId="164" fontId="3" fillId="15" borderId="26" xfId="57" applyNumberFormat="1" applyFont="1" applyFill="1" applyBorder="1"/>
    <xf numFmtId="0" fontId="10" fillId="15" borderId="0" xfId="2" applyFont="1" applyFill="1"/>
    <xf numFmtId="164" fontId="10" fillId="15" borderId="22" xfId="57" applyNumberFormat="1" applyFont="1" applyFill="1" applyBorder="1"/>
    <xf numFmtId="0" fontId="20" fillId="15" borderId="0" xfId="2" applyFont="1" applyFill="1"/>
    <xf numFmtId="7" fontId="3" fillId="15" borderId="21" xfId="2" applyNumberFormat="1" applyFont="1" applyFill="1" applyBorder="1"/>
    <xf numFmtId="164" fontId="3" fillId="15" borderId="21" xfId="57" applyNumberFormat="1" applyFont="1" applyFill="1" applyBorder="1"/>
    <xf numFmtId="164" fontId="3" fillId="15" borderId="11" xfId="57" applyNumberFormat="1" applyFont="1" applyFill="1" applyBorder="1"/>
    <xf numFmtId="10" fontId="3" fillId="15" borderId="0" xfId="57" applyNumberFormat="1" applyFont="1" applyFill="1" applyBorder="1"/>
    <xf numFmtId="164" fontId="3" fillId="15" borderId="21" xfId="57" applyNumberFormat="1" applyFont="1" applyFill="1" applyBorder="1" applyAlignment="1">
      <alignment horizontal="right"/>
    </xf>
    <xf numFmtId="164" fontId="3" fillId="15" borderId="0" xfId="57" applyNumberFormat="1" applyFont="1" applyFill="1" applyBorder="1" applyAlignment="1">
      <alignment horizontal="right"/>
    </xf>
    <xf numFmtId="164" fontId="3" fillId="15" borderId="11" xfId="57" applyNumberFormat="1" applyFont="1" applyFill="1" applyBorder="1" applyAlignment="1">
      <alignment horizontal="right"/>
    </xf>
    <xf numFmtId="164" fontId="3" fillId="15" borderId="0" xfId="2" applyNumberFormat="1" applyFont="1" applyFill="1" applyBorder="1"/>
    <xf numFmtId="164" fontId="3" fillId="15" borderId="11" xfId="2" applyNumberFormat="1" applyFont="1" applyFill="1" applyBorder="1"/>
    <xf numFmtId="164" fontId="5" fillId="15" borderId="0" xfId="57" applyNumberFormat="1" applyFont="1" applyFill="1" applyBorder="1"/>
    <xf numFmtId="10" fontId="5" fillId="15" borderId="0" xfId="57" applyNumberFormat="1" applyFont="1" applyFill="1" applyBorder="1"/>
    <xf numFmtId="164" fontId="3" fillId="15" borderId="21" xfId="57" applyNumberFormat="1" applyFont="1" applyFill="1" applyBorder="1" applyAlignment="1"/>
    <xf numFmtId="164" fontId="3" fillId="15" borderId="0" xfId="57" applyNumberFormat="1" applyFont="1" applyFill="1" applyBorder="1" applyAlignment="1"/>
    <xf numFmtId="164" fontId="3" fillId="15" borderId="11" xfId="57" applyNumberFormat="1" applyFont="1" applyFill="1" applyBorder="1" applyAlignment="1"/>
    <xf numFmtId="164" fontId="3" fillId="15" borderId="22" xfId="57" applyNumberFormat="1" applyFont="1" applyFill="1" applyBorder="1" applyAlignment="1"/>
    <xf numFmtId="164" fontId="8" fillId="15" borderId="21" xfId="57" applyNumberFormat="1" applyFont="1" applyFill="1" applyBorder="1" applyAlignment="1"/>
    <xf numFmtId="164" fontId="8" fillId="15" borderId="0" xfId="57" applyNumberFormat="1" applyFont="1" applyFill="1" applyBorder="1" applyAlignment="1"/>
    <xf numFmtId="164" fontId="8" fillId="15" borderId="11" xfId="57" applyNumberFormat="1" applyFont="1" applyFill="1" applyBorder="1" applyAlignment="1"/>
    <xf numFmtId="164" fontId="8" fillId="15" borderId="22" xfId="57" applyNumberFormat="1" applyFont="1" applyFill="1" applyBorder="1" applyAlignment="1"/>
    <xf numFmtId="0" fontId="8" fillId="15" borderId="22" xfId="2" applyFont="1" applyFill="1" applyBorder="1"/>
    <xf numFmtId="164" fontId="8" fillId="15" borderId="21" xfId="2" applyNumberFormat="1" applyFont="1" applyFill="1" applyBorder="1"/>
    <xf numFmtId="164" fontId="8" fillId="15" borderId="11" xfId="57" applyNumberFormat="1" applyFont="1" applyFill="1" applyBorder="1" applyAlignment="1">
      <alignment horizontal="right"/>
    </xf>
    <xf numFmtId="164" fontId="8" fillId="15" borderId="22" xfId="57" applyNumberFormat="1" applyFont="1" applyFill="1" applyBorder="1" applyAlignment="1">
      <alignment horizontal="right"/>
    </xf>
    <xf numFmtId="164" fontId="8" fillId="15" borderId="21" xfId="57" applyNumberFormat="1" applyFont="1" applyFill="1" applyBorder="1" applyAlignment="1">
      <alignment horizontal="right"/>
    </xf>
    <xf numFmtId="164" fontId="8" fillId="15" borderId="27" xfId="57" applyNumberFormat="1" applyFont="1" applyFill="1" applyBorder="1"/>
    <xf numFmtId="164" fontId="8" fillId="15" borderId="24" xfId="57" applyNumberFormat="1" applyFont="1" applyFill="1" applyBorder="1"/>
    <xf numFmtId="0" fontId="5" fillId="15" borderId="0" xfId="2" applyFont="1" applyFill="1"/>
    <xf numFmtId="164" fontId="24" fillId="15" borderId="0" xfId="57" applyNumberFormat="1" applyFont="1" applyFill="1"/>
    <xf numFmtId="0" fontId="3" fillId="15" borderId="0" xfId="53" applyFont="1" applyFill="1" applyBorder="1" applyAlignment="1">
      <alignment horizontal="left"/>
    </xf>
    <xf numFmtId="179" fontId="3" fillId="15" borderId="0" xfId="2" applyNumberFormat="1" applyFont="1" applyFill="1"/>
    <xf numFmtId="0" fontId="9" fillId="15" borderId="0" xfId="2" applyFont="1" applyFill="1" applyBorder="1"/>
    <xf numFmtId="164" fontId="3" fillId="15" borderId="27" xfId="57" applyNumberFormat="1" applyFont="1" applyFill="1" applyBorder="1"/>
    <xf numFmtId="164" fontId="5" fillId="15" borderId="24" xfId="57" applyNumberFormat="1" applyFont="1" applyFill="1" applyBorder="1"/>
    <xf numFmtId="0" fontId="8" fillId="15" borderId="0" xfId="53" applyFont="1" applyFill="1"/>
    <xf numFmtId="0" fontId="21" fillId="15" borderId="0" xfId="53" applyFont="1" applyFill="1"/>
    <xf numFmtId="164" fontId="22" fillId="15" borderId="11" xfId="57" applyNumberFormat="1" applyFont="1" applyFill="1" applyBorder="1"/>
    <xf numFmtId="37" fontId="13" fillId="15" borderId="11" xfId="2" applyNumberFormat="1" applyFont="1" applyFill="1" applyBorder="1" applyAlignment="1">
      <alignment horizontal="right"/>
    </xf>
    <xf numFmtId="0" fontId="13" fillId="15" borderId="11" xfId="2" applyFont="1" applyFill="1" applyBorder="1" applyAlignment="1">
      <alignment horizontal="right"/>
    </xf>
    <xf numFmtId="0" fontId="13" fillId="15" borderId="0" xfId="2" applyFont="1" applyFill="1"/>
    <xf numFmtId="0" fontId="13" fillId="15" borderId="11" xfId="2" applyFont="1" applyFill="1" applyBorder="1"/>
    <xf numFmtId="170" fontId="3" fillId="15" borderId="28" xfId="2" applyNumberFormat="1" applyFont="1" applyFill="1" applyBorder="1"/>
    <xf numFmtId="0" fontId="11" fillId="15" borderId="0" xfId="2" applyFont="1" applyFill="1"/>
    <xf numFmtId="164" fontId="13" fillId="15" borderId="0" xfId="57" applyNumberFormat="1" applyFont="1" applyFill="1" applyBorder="1"/>
    <xf numFmtId="164" fontId="5" fillId="15" borderId="22" xfId="57" applyNumberFormat="1" applyFont="1" applyFill="1" applyBorder="1"/>
    <xf numFmtId="0" fontId="23" fillId="15" borderId="11" xfId="2" applyFont="1" applyFill="1" applyBorder="1"/>
    <xf numFmtId="0" fontId="10" fillId="15" borderId="21" xfId="2" applyFont="1" applyFill="1" applyBorder="1"/>
    <xf numFmtId="179" fontId="8" fillId="15" borderId="19" xfId="2" applyNumberFormat="1" applyFont="1" applyFill="1" applyBorder="1"/>
    <xf numFmtId="179" fontId="8" fillId="15" borderId="17" xfId="2" applyNumberFormat="1" applyFont="1" applyFill="1" applyBorder="1"/>
    <xf numFmtId="0" fontId="5" fillId="15" borderId="11" xfId="2" applyFont="1" applyFill="1" applyBorder="1"/>
    <xf numFmtId="2" fontId="3" fillId="15" borderId="21" xfId="2" applyNumberFormat="1" applyFont="1" applyFill="1" applyBorder="1"/>
    <xf numFmtId="2" fontId="5" fillId="15" borderId="0" xfId="2" applyNumberFormat="1" applyFont="1" applyFill="1" applyBorder="1"/>
    <xf numFmtId="179" fontId="3" fillId="15" borderId="0" xfId="53" applyNumberFormat="1" applyFont="1" applyFill="1"/>
    <xf numFmtId="0" fontId="3" fillId="15" borderId="0" xfId="2" applyFont="1" applyFill="1" applyAlignment="1">
      <alignment horizontal="center"/>
    </xf>
    <xf numFmtId="179" fontId="3" fillId="15" borderId="11" xfId="2" applyNumberFormat="1" applyFont="1" applyFill="1" applyBorder="1"/>
    <xf numFmtId="0" fontId="5" fillId="15" borderId="25" xfId="2" applyFont="1" applyFill="1" applyBorder="1"/>
    <xf numFmtId="2" fontId="8" fillId="15" borderId="0" xfId="2" applyNumberFormat="1" applyFont="1" applyFill="1" applyBorder="1"/>
    <xf numFmtId="179" fontId="13" fillId="15" borderId="0" xfId="2" applyNumberFormat="1" applyFont="1" applyFill="1" applyBorder="1" applyAlignment="1"/>
    <xf numFmtId="179" fontId="5" fillId="15" borderId="0" xfId="2" applyNumberFormat="1" applyFont="1" applyFill="1" applyBorder="1"/>
    <xf numFmtId="179" fontId="5" fillId="15" borderId="11" xfId="2" applyNumberFormat="1" applyFont="1" applyFill="1" applyBorder="1"/>
    <xf numFmtId="179" fontId="13" fillId="15" borderId="0" xfId="2" applyNumberFormat="1" applyFont="1" applyFill="1" applyBorder="1"/>
    <xf numFmtId="179" fontId="11" fillId="15" borderId="11" xfId="2" applyNumberFormat="1" applyFont="1" applyFill="1" applyBorder="1"/>
    <xf numFmtId="179" fontId="11" fillId="15" borderId="0" xfId="2" applyNumberFormat="1" applyFont="1" applyFill="1" applyBorder="1"/>
    <xf numFmtId="179" fontId="8" fillId="15" borderId="11" xfId="2" applyNumberFormat="1" applyFont="1" applyFill="1" applyBorder="1"/>
    <xf numFmtId="179" fontId="8" fillId="15" borderId="0" xfId="2" applyNumberFormat="1" applyFont="1" applyFill="1" applyBorder="1"/>
    <xf numFmtId="179" fontId="21" fillId="15" borderId="0" xfId="2" applyNumberFormat="1" applyFont="1" applyFill="1" applyBorder="1"/>
    <xf numFmtId="179" fontId="16" fillId="15" borderId="0" xfId="2" applyNumberFormat="1" applyFont="1" applyFill="1" applyBorder="1"/>
    <xf numFmtId="179" fontId="21" fillId="15" borderId="17" xfId="2" applyNumberFormat="1" applyFont="1" applyFill="1" applyBorder="1"/>
    <xf numFmtId="0" fontId="23" fillId="15" borderId="0" xfId="2" applyFont="1" applyFill="1"/>
    <xf numFmtId="2" fontId="3" fillId="15" borderId="11" xfId="57" applyNumberFormat="1" applyFont="1" applyFill="1" applyBorder="1"/>
    <xf numFmtId="2" fontId="3" fillId="15" borderId="0" xfId="57" applyNumberFormat="1" applyFont="1" applyFill="1" applyBorder="1"/>
    <xf numFmtId="2" fontId="3" fillId="15" borderId="0" xfId="35" applyNumberFormat="1" applyFont="1" applyFill="1" applyBorder="1"/>
    <xf numFmtId="2" fontId="3" fillId="15" borderId="21" xfId="57" applyNumberFormat="1" applyFont="1" applyFill="1" applyBorder="1"/>
    <xf numFmtId="2" fontId="5" fillId="15" borderId="21" xfId="2" applyNumberFormat="1" applyFont="1" applyFill="1" applyBorder="1"/>
    <xf numFmtId="2" fontId="5" fillId="15" borderId="22" xfId="2" applyNumberFormat="1" applyFont="1" applyFill="1" applyBorder="1"/>
    <xf numFmtId="2" fontId="5" fillId="15" borderId="22" xfId="57" applyNumberFormat="1" applyFont="1" applyFill="1" applyBorder="1"/>
    <xf numFmtId="2" fontId="3" fillId="15" borderId="22" xfId="57" applyNumberFormat="1" applyFont="1" applyFill="1" applyBorder="1"/>
    <xf numFmtId="2" fontId="5" fillId="15" borderId="21" xfId="57" applyNumberFormat="1" applyFont="1" applyFill="1" applyBorder="1"/>
    <xf numFmtId="2" fontId="5" fillId="15" borderId="0" xfId="57" applyNumberFormat="1" applyFont="1" applyFill="1" applyBorder="1"/>
    <xf numFmtId="164" fontId="5" fillId="15" borderId="21" xfId="57" applyNumberFormat="1" applyFont="1" applyFill="1" applyBorder="1"/>
    <xf numFmtId="164" fontId="3" fillId="15" borderId="23" xfId="57" applyNumberFormat="1" applyFont="1" applyFill="1" applyBorder="1"/>
    <xf numFmtId="181" fontId="3" fillId="15" borderId="0" xfId="57" applyNumberFormat="1" applyFont="1" applyFill="1" applyBorder="1"/>
    <xf numFmtId="181" fontId="5" fillId="15" borderId="0" xfId="57" applyNumberFormat="1" applyFont="1" applyFill="1" applyBorder="1"/>
    <xf numFmtId="186" fontId="3" fillId="15" borderId="21" xfId="53" applyNumberFormat="1" applyFont="1" applyFill="1" applyBorder="1"/>
    <xf numFmtId="168" fontId="3" fillId="15" borderId="0" xfId="2" applyNumberFormat="1" applyFont="1" applyFill="1"/>
    <xf numFmtId="168" fontId="5" fillId="15" borderId="0" xfId="2" applyNumberFormat="1" applyFont="1" applyFill="1"/>
    <xf numFmtId="168" fontId="3" fillId="15" borderId="21" xfId="53" applyNumberFormat="1" applyFont="1" applyFill="1" applyBorder="1"/>
    <xf numFmtId="164" fontId="5" fillId="15" borderId="0" xfId="57" applyNumberFormat="1" applyFont="1" applyFill="1"/>
    <xf numFmtId="0" fontId="8" fillId="16" borderId="18" xfId="2" applyFont="1" applyFill="1" applyBorder="1"/>
    <xf numFmtId="164" fontId="5" fillId="15" borderId="21" xfId="2" applyNumberFormat="1" applyFont="1" applyFill="1" applyBorder="1"/>
    <xf numFmtId="164" fontId="5" fillId="15" borderId="0" xfId="2" applyNumberFormat="1" applyFont="1" applyFill="1" applyBorder="1"/>
    <xf numFmtId="164" fontId="5" fillId="15" borderId="22" xfId="2" applyNumberFormat="1" applyFont="1" applyFill="1" applyBorder="1"/>
    <xf numFmtId="0" fontId="5" fillId="16" borderId="17" xfId="2" applyFont="1" applyFill="1" applyBorder="1"/>
    <xf numFmtId="0" fontId="5" fillId="16" borderId="18" xfId="2" applyFont="1" applyFill="1" applyBorder="1"/>
    <xf numFmtId="164" fontId="13" fillId="15" borderId="0" xfId="57" applyNumberFormat="1" applyFont="1" applyFill="1"/>
    <xf numFmtId="168" fontId="3" fillId="15" borderId="11" xfId="2" applyNumberFormat="1" applyFont="1" applyFill="1" applyBorder="1"/>
    <xf numFmtId="168" fontId="13" fillId="15" borderId="0" xfId="2" applyNumberFormat="1" applyFont="1" applyFill="1" applyBorder="1"/>
    <xf numFmtId="168" fontId="5" fillId="15" borderId="0" xfId="2" applyNumberFormat="1" applyFont="1" applyFill="1" applyBorder="1"/>
    <xf numFmtId="168" fontId="8" fillId="15" borderId="11" xfId="2" applyNumberFormat="1" applyFont="1" applyFill="1" applyBorder="1"/>
    <xf numFmtId="168" fontId="8" fillId="15" borderId="0" xfId="2" applyNumberFormat="1" applyFont="1" applyFill="1" applyBorder="1"/>
    <xf numFmtId="168" fontId="21" fillId="15" borderId="0" xfId="2" applyNumberFormat="1" applyFont="1" applyFill="1" applyBorder="1"/>
    <xf numFmtId="168" fontId="16" fillId="15" borderId="0" xfId="2" applyNumberFormat="1" applyFont="1" applyFill="1" applyBorder="1"/>
    <xf numFmtId="185" fontId="3" fillId="15" borderId="11" xfId="2" applyNumberFormat="1" applyFont="1" applyFill="1" applyBorder="1"/>
    <xf numFmtId="185" fontId="8" fillId="15" borderId="0" xfId="2" applyNumberFormat="1" applyFont="1" applyFill="1" applyBorder="1"/>
    <xf numFmtId="185" fontId="8" fillId="15" borderId="11" xfId="2" applyNumberFormat="1" applyFont="1" applyFill="1" applyBorder="1"/>
    <xf numFmtId="44" fontId="3" fillId="15" borderId="0" xfId="37" applyFont="1" applyFill="1"/>
    <xf numFmtId="2" fontId="3" fillId="15" borderId="0" xfId="2" applyNumberFormat="1" applyFont="1" applyFill="1"/>
    <xf numFmtId="2" fontId="3" fillId="15" borderId="0" xfId="2" applyNumberFormat="1" applyFont="1" applyFill="1" applyAlignment="1">
      <alignment horizontal="right"/>
    </xf>
    <xf numFmtId="0" fontId="3" fillId="15" borderId="0" xfId="2" applyFont="1" applyFill="1" applyBorder="1" applyAlignment="1">
      <alignment horizontal="right"/>
    </xf>
    <xf numFmtId="0" fontId="3" fillId="15" borderId="26" xfId="2" applyFont="1" applyFill="1" applyBorder="1"/>
    <xf numFmtId="0" fontId="10" fillId="15" borderId="22" xfId="2" applyFont="1" applyFill="1" applyBorder="1"/>
    <xf numFmtId="0" fontId="8" fillId="15" borderId="20" xfId="2" applyFont="1" applyFill="1" applyBorder="1"/>
    <xf numFmtId="172" fontId="10" fillId="15" borderId="24" xfId="57" applyNumberFormat="1" applyFont="1" applyFill="1" applyBorder="1"/>
    <xf numFmtId="164" fontId="10" fillId="15" borderId="24" xfId="57" applyNumberFormat="1" applyFont="1" applyFill="1" applyBorder="1"/>
    <xf numFmtId="0" fontId="10" fillId="15" borderId="23" xfId="2" applyFont="1" applyFill="1" applyBorder="1" applyAlignment="1">
      <alignment horizontal="left" indent="2"/>
    </xf>
    <xf numFmtId="172" fontId="10" fillId="15" borderId="27" xfId="57" applyNumberFormat="1" applyFont="1" applyFill="1" applyBorder="1"/>
    <xf numFmtId="164" fontId="10" fillId="15" borderId="27" xfId="57" applyNumberFormat="1" applyFont="1" applyFill="1" applyBorder="1"/>
    <xf numFmtId="0" fontId="3" fillId="16" borderId="24" xfId="2" applyFont="1" applyFill="1" applyBorder="1"/>
    <xf numFmtId="170" fontId="12" fillId="15" borderId="22" xfId="2" applyNumberFormat="1" applyFont="1" applyFill="1" applyBorder="1"/>
    <xf numFmtId="37" fontId="3" fillId="15" borderId="0" xfId="2" applyNumberFormat="1" applyFont="1" applyFill="1" applyBorder="1"/>
    <xf numFmtId="37" fontId="3" fillId="15" borderId="11" xfId="2" applyNumberFormat="1" applyFont="1" applyFill="1" applyBorder="1"/>
    <xf numFmtId="164" fontId="10" fillId="15" borderId="21" xfId="57" applyNumberFormat="1" applyFont="1" applyFill="1" applyBorder="1"/>
    <xf numFmtId="164" fontId="10" fillId="15" borderId="0" xfId="57" applyNumberFormat="1" applyFont="1" applyFill="1" applyBorder="1"/>
    <xf numFmtId="164" fontId="10" fillId="15" borderId="11" xfId="57" applyNumberFormat="1" applyFont="1" applyFill="1" applyBorder="1"/>
    <xf numFmtId="37" fontId="3" fillId="15" borderId="11" xfId="2" applyNumberFormat="1" applyFont="1" applyFill="1" applyBorder="1" applyAlignment="1">
      <alignment horizontal="right"/>
    </xf>
    <xf numFmtId="164" fontId="8" fillId="15" borderId="0" xfId="57" applyNumberFormat="1" applyFont="1" applyFill="1" applyBorder="1"/>
    <xf numFmtId="37" fontId="8" fillId="15" borderId="11" xfId="2" applyNumberFormat="1" applyFont="1" applyFill="1" applyBorder="1" applyAlignment="1">
      <alignment horizontal="right"/>
    </xf>
    <xf numFmtId="37" fontId="8" fillId="15" borderId="11" xfId="2" applyNumberFormat="1" applyFont="1" applyFill="1" applyBorder="1"/>
    <xf numFmtId="168" fontId="3" fillId="15" borderId="21" xfId="2" applyNumberFormat="1" applyFont="1" applyFill="1" applyBorder="1"/>
    <xf numFmtId="168" fontId="13" fillId="15" borderId="11" xfId="2" applyNumberFormat="1" applyFont="1" applyFill="1" applyBorder="1"/>
    <xf numFmtId="0" fontId="3" fillId="15" borderId="11" xfId="2" applyFont="1" applyFill="1" applyBorder="1" applyAlignment="1">
      <alignment horizontal="center"/>
    </xf>
    <xf numFmtId="0" fontId="13" fillId="15" borderId="11" xfId="2" applyFont="1" applyFill="1" applyBorder="1" applyAlignment="1">
      <alignment horizontal="center"/>
    </xf>
    <xf numFmtId="0" fontId="3" fillId="15" borderId="21" xfId="2" applyFont="1" applyFill="1" applyBorder="1" applyAlignment="1">
      <alignment horizontal="center"/>
    </xf>
    <xf numFmtId="0" fontId="3" fillId="15" borderId="25" xfId="2" applyFont="1" applyFill="1" applyBorder="1"/>
    <xf numFmtId="168" fontId="3" fillId="15" borderId="11" xfId="2" applyNumberFormat="1" applyFont="1" applyFill="1" applyBorder="1" applyAlignment="1">
      <alignment horizontal="center"/>
    </xf>
    <xf numFmtId="0" fontId="3" fillId="15" borderId="28" xfId="2" applyFont="1" applyFill="1" applyBorder="1"/>
    <xf numFmtId="0" fontId="3" fillId="15" borderId="29" xfId="2" applyFont="1" applyFill="1" applyBorder="1"/>
    <xf numFmtId="168" fontId="3" fillId="15" borderId="22" xfId="2" applyNumberFormat="1" applyFont="1" applyFill="1" applyBorder="1"/>
    <xf numFmtId="168" fontId="8" fillId="15" borderId="21" xfId="2" applyNumberFormat="1" applyFont="1" applyFill="1" applyBorder="1"/>
    <xf numFmtId="168" fontId="8" fillId="15" borderId="22" xfId="2" applyNumberFormat="1" applyFont="1" applyFill="1" applyBorder="1"/>
    <xf numFmtId="185" fontId="8" fillId="15" borderId="21" xfId="2" applyNumberFormat="1" applyFont="1" applyFill="1" applyBorder="1"/>
    <xf numFmtId="185" fontId="8" fillId="15" borderId="22" xfId="2" applyNumberFormat="1" applyFont="1" applyFill="1" applyBorder="1"/>
    <xf numFmtId="185" fontId="3" fillId="15" borderId="21" xfId="2" applyNumberFormat="1" applyFont="1" applyFill="1" applyBorder="1"/>
    <xf numFmtId="185" fontId="3" fillId="15" borderId="0" xfId="2" applyNumberFormat="1" applyFont="1" applyFill="1" applyBorder="1"/>
    <xf numFmtId="185" fontId="3" fillId="15" borderId="22" xfId="2" applyNumberFormat="1" applyFont="1" applyFill="1" applyBorder="1"/>
    <xf numFmtId="0" fontId="3" fillId="15" borderId="22" xfId="2" applyFont="1" applyFill="1" applyBorder="1" applyAlignment="1">
      <alignment horizontal="center"/>
    </xf>
    <xf numFmtId="168" fontId="3" fillId="15" borderId="21" xfId="2" applyNumberFormat="1" applyFont="1" applyFill="1" applyBorder="1" applyAlignment="1">
      <alignment horizontal="center"/>
    </xf>
    <xf numFmtId="37" fontId="3" fillId="15" borderId="17" xfId="2" applyNumberFormat="1" applyFont="1" applyFill="1" applyBorder="1"/>
    <xf numFmtId="37" fontId="3" fillId="15" borderId="19" xfId="2" applyNumberFormat="1" applyFont="1" applyFill="1" applyBorder="1"/>
    <xf numFmtId="37" fontId="5" fillId="15" borderId="17" xfId="2" applyNumberFormat="1" applyFont="1" applyFill="1" applyBorder="1"/>
    <xf numFmtId="166" fontId="10" fillId="15" borderId="21" xfId="2" applyNumberFormat="1" applyFont="1" applyFill="1" applyBorder="1"/>
    <xf numFmtId="37" fontId="20" fillId="15" borderId="11" xfId="2" applyNumberFormat="1" applyFont="1" applyFill="1" applyBorder="1"/>
    <xf numFmtId="37" fontId="31" fillId="15" borderId="11" xfId="2" applyNumberFormat="1" applyFont="1" applyFill="1" applyBorder="1"/>
    <xf numFmtId="0" fontId="3" fillId="15" borderId="11" xfId="53" applyFont="1" applyFill="1" applyBorder="1"/>
    <xf numFmtId="164" fontId="10" fillId="15" borderId="0" xfId="57" applyNumberFormat="1" applyFont="1" applyFill="1" applyBorder="1" applyAlignment="1">
      <alignment horizontal="right"/>
    </xf>
    <xf numFmtId="9" fontId="3" fillId="15" borderId="11" xfId="57" applyFont="1" applyFill="1" applyBorder="1"/>
    <xf numFmtId="166" fontId="8" fillId="15" borderId="16" xfId="2" applyNumberFormat="1" applyFont="1" applyFill="1" applyBorder="1"/>
    <xf numFmtId="164" fontId="10" fillId="15" borderId="24" xfId="57" applyNumberFormat="1" applyFont="1" applyFill="1" applyBorder="1" applyAlignment="1">
      <alignment horizontal="right"/>
    </xf>
    <xf numFmtId="164" fontId="8" fillId="15" borderId="21" xfId="57" applyNumberFormat="1" applyFont="1" applyFill="1" applyBorder="1"/>
    <xf numFmtId="164" fontId="20" fillId="15" borderId="11" xfId="57" applyNumberFormat="1" applyFont="1" applyFill="1" applyBorder="1"/>
    <xf numFmtId="37" fontId="10" fillId="15" borderId="11" xfId="2" applyNumberFormat="1" applyFont="1" applyFill="1" applyBorder="1"/>
    <xf numFmtId="0" fontId="10" fillId="15" borderId="11" xfId="2" applyFont="1" applyFill="1" applyBorder="1"/>
    <xf numFmtId="7" fontId="3" fillId="15" borderId="0" xfId="2" applyNumberFormat="1" applyFont="1" applyFill="1" applyBorder="1"/>
    <xf numFmtId="166" fontId="3" fillId="15" borderId="21" xfId="2" applyNumberFormat="1" applyFont="1" applyFill="1" applyBorder="1" applyAlignment="1">
      <alignment horizontal="left" indent="1"/>
    </xf>
    <xf numFmtId="0" fontId="0" fillId="15" borderId="0" xfId="2" applyFont="1" applyFill="1" applyBorder="1"/>
    <xf numFmtId="0" fontId="27" fillId="15" borderId="0" xfId="2" applyFont="1" applyFill="1" applyBorder="1"/>
    <xf numFmtId="0" fontId="15" fillId="15" borderId="0" xfId="2" applyFont="1" applyFill="1" applyBorder="1"/>
    <xf numFmtId="164" fontId="8" fillId="15" borderId="0" xfId="2" applyNumberFormat="1" applyFont="1" applyFill="1" applyBorder="1"/>
    <xf numFmtId="0" fontId="3" fillId="15" borderId="27" xfId="2" applyFont="1" applyFill="1" applyBorder="1"/>
    <xf numFmtId="170" fontId="12" fillId="15" borderId="0" xfId="2" applyNumberFormat="1" applyFont="1" applyFill="1" applyBorder="1"/>
    <xf numFmtId="10" fontId="3" fillId="15" borderId="11" xfId="57" applyNumberFormat="1" applyFont="1" applyFill="1" applyBorder="1"/>
    <xf numFmtId="0" fontId="8" fillId="15" borderId="17" xfId="2" applyFont="1" applyFill="1" applyBorder="1"/>
    <xf numFmtId="164" fontId="10" fillId="15" borderId="19" xfId="57" applyNumberFormat="1" applyFont="1" applyFill="1" applyBorder="1"/>
    <xf numFmtId="164" fontId="10" fillId="15" borderId="17" xfId="57" applyNumberFormat="1" applyFont="1" applyFill="1" applyBorder="1"/>
    <xf numFmtId="0" fontId="8" fillId="15" borderId="0" xfId="2" applyFont="1" applyFill="1" applyBorder="1" applyAlignment="1">
      <alignment horizontal="right"/>
    </xf>
    <xf numFmtId="37" fontId="8" fillId="15" borderId="0" xfId="2" applyNumberFormat="1" applyFont="1" applyFill="1"/>
    <xf numFmtId="37" fontId="3" fillId="15" borderId="0" xfId="2" applyNumberFormat="1" applyFont="1" applyFill="1"/>
    <xf numFmtId="43" fontId="3" fillId="15" borderId="0" xfId="2" applyNumberFormat="1" applyFont="1" applyFill="1" applyBorder="1"/>
    <xf numFmtId="164" fontId="24" fillId="15" borderId="0" xfId="57" applyNumberFormat="1" applyFont="1" applyFill="1" applyBorder="1"/>
    <xf numFmtId="164" fontId="5" fillId="15" borderId="0" xfId="57" applyNumberFormat="1" applyFont="1" applyFill="1" applyBorder="1" applyAlignment="1">
      <alignment horizontal="right"/>
    </xf>
    <xf numFmtId="164" fontId="8" fillId="15" borderId="11" xfId="57" applyNumberFormat="1" applyFont="1" applyFill="1" applyBorder="1"/>
    <xf numFmtId="168" fontId="8" fillId="15" borderId="19" xfId="2" applyNumberFormat="1" applyFont="1" applyFill="1" applyBorder="1"/>
    <xf numFmtId="168" fontId="21" fillId="15" borderId="19" xfId="2" applyNumberFormat="1" applyFont="1" applyFill="1" applyBorder="1"/>
    <xf numFmtId="168" fontId="8" fillId="15" borderId="16" xfId="2" applyNumberFormat="1" applyFont="1" applyFill="1" applyBorder="1"/>
    <xf numFmtId="168" fontId="8" fillId="15" borderId="17" xfId="2" applyNumberFormat="1" applyFont="1" applyFill="1" applyBorder="1"/>
    <xf numFmtId="168" fontId="8" fillId="15" borderId="18" xfId="2" applyNumberFormat="1" applyFont="1" applyFill="1" applyBorder="1"/>
    <xf numFmtId="168" fontId="21" fillId="15" borderId="17" xfId="2" applyNumberFormat="1" applyFont="1" applyFill="1" applyBorder="1"/>
    <xf numFmtId="185" fontId="8" fillId="15" borderId="19" xfId="2" applyNumberFormat="1" applyFont="1" applyFill="1" applyBorder="1"/>
    <xf numFmtId="185" fontId="8" fillId="15" borderId="16" xfId="2" applyNumberFormat="1" applyFont="1" applyFill="1" applyBorder="1"/>
    <xf numFmtId="185" fontId="8" fillId="15" borderId="17" xfId="2" applyNumberFormat="1" applyFont="1" applyFill="1" applyBorder="1"/>
    <xf numFmtId="185" fontId="8" fillId="15" borderId="18" xfId="2" applyNumberFormat="1" applyFont="1" applyFill="1" applyBorder="1"/>
    <xf numFmtId="168" fontId="16" fillId="15" borderId="17" xfId="2" applyNumberFormat="1" applyFont="1" applyFill="1" applyBorder="1"/>
    <xf numFmtId="168" fontId="3" fillId="15" borderId="0" xfId="2" applyNumberFormat="1" applyFont="1" applyFill="1" applyBorder="1" applyAlignment="1">
      <alignment horizontal="center"/>
    </xf>
    <xf numFmtId="170" fontId="3" fillId="15" borderId="23" xfId="2" applyNumberFormat="1" applyFont="1" applyFill="1" applyBorder="1"/>
    <xf numFmtId="170" fontId="3" fillId="15" borderId="26" xfId="2" applyNumberFormat="1" applyFont="1" applyFill="1" applyBorder="1"/>
    <xf numFmtId="17" fontId="10" fillId="15" borderId="0" xfId="2" applyNumberFormat="1" applyFont="1" applyFill="1" applyBorder="1"/>
    <xf numFmtId="164" fontId="16" fillId="15" borderId="0" xfId="57" applyNumberFormat="1" applyFont="1" applyFill="1" applyBorder="1"/>
    <xf numFmtId="175" fontId="3" fillId="15" borderId="0" xfId="57" applyNumberFormat="1" applyFont="1" applyFill="1"/>
    <xf numFmtId="172" fontId="10" fillId="15" borderId="23" xfId="57" applyNumberFormat="1" applyFont="1" applyFill="1" applyBorder="1"/>
    <xf numFmtId="175" fontId="3" fillId="15" borderId="0" xfId="2" applyNumberFormat="1" applyFont="1" applyFill="1" applyBorder="1" applyAlignment="1">
      <alignment horizontal="center"/>
    </xf>
    <xf numFmtId="168" fontId="5" fillId="15" borderId="22" xfId="2" applyNumberFormat="1" applyFont="1" applyFill="1" applyBorder="1"/>
    <xf numFmtId="168" fontId="3" fillId="15" borderId="28" xfId="2" applyNumberFormat="1" applyFont="1" applyFill="1" applyBorder="1"/>
    <xf numFmtId="168" fontId="8" fillId="15" borderId="24" xfId="2" applyNumberFormat="1" applyFont="1" applyFill="1" applyBorder="1"/>
    <xf numFmtId="0" fontId="3" fillId="15" borderId="21" xfId="2" quotePrefix="1" applyFont="1" applyFill="1" applyBorder="1"/>
    <xf numFmtId="168" fontId="3" fillId="16" borderId="17" xfId="2" applyNumberFormat="1" applyFont="1" applyFill="1" applyBorder="1"/>
    <xf numFmtId="168" fontId="5" fillId="16" borderId="17" xfId="2" applyNumberFormat="1" applyFont="1" applyFill="1" applyBorder="1"/>
    <xf numFmtId="168" fontId="5" fillId="16" borderId="18" xfId="2" applyNumberFormat="1" applyFont="1" applyFill="1" applyBorder="1"/>
    <xf numFmtId="0" fontId="8" fillId="15" borderId="16" xfId="2" quotePrefix="1" applyFont="1" applyFill="1" applyBorder="1"/>
    <xf numFmtId="168" fontId="3" fillId="15" borderId="25" xfId="2" applyNumberFormat="1" applyFont="1" applyFill="1" applyBorder="1"/>
    <xf numFmtId="168" fontId="8" fillId="15" borderId="27" xfId="2" applyNumberFormat="1" applyFont="1" applyFill="1" applyBorder="1"/>
    <xf numFmtId="44" fontId="3" fillId="15" borderId="11" xfId="37" applyFont="1" applyFill="1" applyBorder="1"/>
    <xf numFmtId="168" fontId="5" fillId="15" borderId="25" xfId="2" applyNumberFormat="1" applyFont="1" applyFill="1" applyBorder="1"/>
    <xf numFmtId="168" fontId="5" fillId="15" borderId="11" xfId="2" applyNumberFormat="1" applyFont="1" applyFill="1" applyBorder="1"/>
    <xf numFmtId="168" fontId="16" fillId="15" borderId="27" xfId="2" applyNumberFormat="1" applyFont="1" applyFill="1" applyBorder="1"/>
    <xf numFmtId="185" fontId="3" fillId="15" borderId="0" xfId="2" applyNumberFormat="1" applyFont="1" applyFill="1"/>
    <xf numFmtId="170" fontId="8" fillId="15" borderId="17" xfId="35" applyNumberFormat="1" applyFont="1" applyFill="1" applyBorder="1"/>
    <xf numFmtId="185" fontId="8" fillId="15" borderId="11" xfId="2" applyNumberFormat="1" applyFont="1" applyFill="1" applyBorder="1" applyAlignment="1">
      <alignment horizontal="center"/>
    </xf>
    <xf numFmtId="185" fontId="3" fillId="15" borderId="11" xfId="2" applyNumberFormat="1" applyFont="1" applyFill="1" applyBorder="1" applyAlignment="1">
      <alignment horizontal="center"/>
    </xf>
    <xf numFmtId="0" fontId="19" fillId="16" borderId="17" xfId="2" applyFont="1" applyFill="1" applyBorder="1"/>
    <xf numFmtId="0" fontId="19" fillId="16" borderId="18" xfId="2" applyFont="1" applyFill="1" applyBorder="1"/>
    <xf numFmtId="168" fontId="16" fillId="15" borderId="24" xfId="2" applyNumberFormat="1" applyFont="1" applyFill="1" applyBorder="1"/>
    <xf numFmtId="44" fontId="5" fillId="15" borderId="11" xfId="37" applyFont="1" applyFill="1" applyBorder="1"/>
    <xf numFmtId="168" fontId="16" fillId="15" borderId="19" xfId="2" applyNumberFormat="1" applyFont="1" applyFill="1" applyBorder="1"/>
    <xf numFmtId="185" fontId="5" fillId="15" borderId="0" xfId="2" applyNumberFormat="1" applyFont="1" applyFill="1"/>
    <xf numFmtId="185" fontId="5" fillId="15" borderId="11" xfId="2" applyNumberFormat="1" applyFont="1" applyFill="1" applyBorder="1"/>
    <xf numFmtId="0" fontId="5" fillId="15" borderId="28" xfId="2" applyFont="1" applyFill="1" applyBorder="1"/>
    <xf numFmtId="0" fontId="5" fillId="15" borderId="29" xfId="2" applyFont="1" applyFill="1" applyBorder="1"/>
    <xf numFmtId="168" fontId="5" fillId="15" borderId="21" xfId="2" applyNumberFormat="1" applyFont="1" applyFill="1" applyBorder="1"/>
    <xf numFmtId="168" fontId="16" fillId="15" borderId="22" xfId="2" applyNumberFormat="1" applyFont="1" applyFill="1" applyBorder="1"/>
    <xf numFmtId="168" fontId="16" fillId="15" borderId="18" xfId="2" applyNumberFormat="1" applyFont="1" applyFill="1" applyBorder="1"/>
    <xf numFmtId="185" fontId="16" fillId="15" borderId="17" xfId="2" applyNumberFormat="1" applyFont="1" applyFill="1" applyBorder="1"/>
    <xf numFmtId="185" fontId="5" fillId="15" borderId="0" xfId="2" applyNumberFormat="1" applyFont="1" applyFill="1" applyBorder="1"/>
    <xf numFmtId="185" fontId="5" fillId="15" borderId="22" xfId="2" applyNumberFormat="1" applyFont="1" applyFill="1" applyBorder="1"/>
    <xf numFmtId="185" fontId="16" fillId="15" borderId="18" xfId="2" applyNumberFormat="1" applyFont="1" applyFill="1" applyBorder="1"/>
    <xf numFmtId="168" fontId="5" fillId="15" borderId="0" xfId="2" applyNumberFormat="1" applyFont="1" applyFill="1" applyBorder="1" applyAlignment="1">
      <alignment horizontal="center"/>
    </xf>
    <xf numFmtId="7" fontId="8" fillId="15" borderId="16" xfId="2" applyNumberFormat="1" applyFont="1" applyFill="1" applyBorder="1"/>
    <xf numFmtId="7" fontId="8" fillId="15" borderId="17" xfId="2" applyNumberFormat="1" applyFont="1" applyFill="1" applyBorder="1"/>
    <xf numFmtId="7" fontId="8" fillId="15" borderId="19" xfId="2" applyNumberFormat="1" applyFont="1" applyFill="1" applyBorder="1"/>
    <xf numFmtId="7" fontId="8" fillId="15" borderId="18" xfId="2" applyNumberFormat="1" applyFont="1" applyFill="1" applyBorder="1"/>
    <xf numFmtId="168" fontId="3" fillId="15" borderId="22" xfId="2" applyNumberFormat="1" applyFont="1" applyFill="1" applyBorder="1" applyAlignment="1">
      <alignment horizontal="center"/>
    </xf>
    <xf numFmtId="170" fontId="3" fillId="15" borderId="17" xfId="2" applyNumberFormat="1" applyFont="1" applyFill="1" applyBorder="1"/>
    <xf numFmtId="170" fontId="3" fillId="15" borderId="19" xfId="2" applyNumberFormat="1" applyFont="1" applyFill="1" applyBorder="1"/>
    <xf numFmtId="170" fontId="3" fillId="15" borderId="18" xfId="2" applyNumberFormat="1" applyFont="1" applyFill="1" applyBorder="1"/>
    <xf numFmtId="170" fontId="3" fillId="15" borderId="16" xfId="2" applyNumberFormat="1" applyFont="1" applyFill="1" applyBorder="1"/>
    <xf numFmtId="170" fontId="3" fillId="15" borderId="28" xfId="35" applyNumberFormat="1" applyFont="1" applyFill="1" applyBorder="1"/>
    <xf numFmtId="0" fontId="8" fillId="15" borderId="21" xfId="53" applyFont="1" applyFill="1" applyBorder="1"/>
    <xf numFmtId="170" fontId="3" fillId="15" borderId="16" xfId="35" applyNumberFormat="1" applyFont="1" applyFill="1" applyBorder="1"/>
    <xf numFmtId="170" fontId="3" fillId="15" borderId="17" xfId="35" applyNumberFormat="1" applyFont="1" applyFill="1" applyBorder="1"/>
    <xf numFmtId="170" fontId="7" fillId="15" borderId="17" xfId="35" applyNumberFormat="1" applyFont="1" applyFill="1" applyBorder="1"/>
    <xf numFmtId="170" fontId="3" fillId="15" borderId="18" xfId="35" applyNumberFormat="1" applyFont="1" applyFill="1" applyBorder="1"/>
    <xf numFmtId="170" fontId="5" fillId="15" borderId="17" xfId="35" applyNumberFormat="1" applyFont="1" applyFill="1" applyBorder="1"/>
    <xf numFmtId="170" fontId="12" fillId="15" borderId="11" xfId="35" applyNumberFormat="1" applyFont="1" applyFill="1" applyBorder="1"/>
    <xf numFmtId="168" fontId="12" fillId="15" borderId="0" xfId="2" applyNumberFormat="1" applyFont="1" applyFill="1" applyBorder="1"/>
    <xf numFmtId="0" fontId="4" fillId="15" borderId="0" xfId="2" applyFont="1" applyFill="1" applyBorder="1"/>
    <xf numFmtId="7" fontId="3" fillId="15" borderId="11" xfId="2" applyNumberFormat="1" applyFont="1" applyFill="1" applyBorder="1"/>
    <xf numFmtId="7" fontId="16" fillId="15" borderId="0" xfId="2" applyNumberFormat="1" applyFont="1" applyFill="1" applyBorder="1"/>
    <xf numFmtId="170" fontId="8" fillId="15" borderId="17" xfId="2" applyNumberFormat="1" applyFont="1" applyFill="1" applyBorder="1"/>
    <xf numFmtId="170" fontId="8" fillId="15" borderId="19" xfId="2" applyNumberFormat="1" applyFont="1" applyFill="1" applyBorder="1"/>
    <xf numFmtId="168" fontId="3" fillId="15" borderId="0" xfId="37" applyNumberFormat="1" applyFont="1" applyFill="1" applyBorder="1"/>
    <xf numFmtId="168" fontId="3" fillId="15" borderId="22" xfId="37" applyNumberFormat="1" applyFont="1" applyFill="1" applyBorder="1"/>
    <xf numFmtId="43" fontId="12" fillId="15" borderId="0" xfId="2" applyNumberFormat="1" applyFont="1" applyFill="1" applyBorder="1"/>
    <xf numFmtId="7" fontId="3" fillId="15" borderId="22" xfId="2" applyNumberFormat="1" applyFont="1" applyFill="1" applyBorder="1"/>
    <xf numFmtId="174" fontId="3" fillId="15" borderId="0" xfId="57" applyNumberFormat="1" applyFont="1" applyFill="1"/>
    <xf numFmtId="0" fontId="3" fillId="15" borderId="29" xfId="2" applyFont="1" applyFill="1" applyBorder="1" applyAlignment="1">
      <alignment horizontal="center"/>
    </xf>
    <xf numFmtId="7" fontId="3" fillId="15" borderId="0" xfId="2" applyNumberFormat="1" applyFont="1" applyFill="1" applyBorder="1" applyAlignment="1">
      <alignment horizontal="center"/>
    </xf>
    <xf numFmtId="0" fontId="3" fillId="16" borderId="26" xfId="2" applyFont="1" applyFill="1" applyBorder="1"/>
    <xf numFmtId="9" fontId="3" fillId="15" borderId="0" xfId="2" applyNumberFormat="1" applyFont="1" applyFill="1"/>
    <xf numFmtId="164" fontId="3" fillId="15" borderId="25" xfId="57" applyNumberFormat="1" applyFont="1" applyFill="1" applyBorder="1"/>
    <xf numFmtId="2" fontId="3" fillId="15" borderId="22" xfId="2" applyNumberFormat="1" applyFont="1" applyFill="1" applyBorder="1"/>
    <xf numFmtId="0" fontId="0" fillId="0" borderId="0" xfId="2" applyFont="1" applyFill="1" applyBorder="1"/>
    <xf numFmtId="0" fontId="37" fillId="15" borderId="0" xfId="2" applyFont="1" applyFill="1"/>
    <xf numFmtId="0" fontId="0" fillId="15" borderId="0" xfId="2" applyFont="1" applyFill="1" applyBorder="1" applyAlignment="1">
      <alignment horizontal="center"/>
    </xf>
    <xf numFmtId="0" fontId="38" fillId="15" borderId="0" xfId="45" applyFont="1" applyFill="1" applyAlignment="1" applyProtection="1"/>
    <xf numFmtId="0" fontId="10" fillId="15" borderId="0" xfId="2" applyFont="1" applyFill="1" applyBorder="1" applyAlignment="1">
      <alignment horizontal="centerContinuous"/>
    </xf>
    <xf numFmtId="0" fontId="7" fillId="15" borderId="0" xfId="2" applyFont="1" applyFill="1" applyBorder="1" applyAlignment="1">
      <alignment horizontal="centerContinuous"/>
    </xf>
    <xf numFmtId="0" fontId="8" fillId="15" borderId="30" xfId="2" applyFont="1" applyFill="1" applyBorder="1" applyAlignment="1">
      <alignment horizontal="center"/>
    </xf>
    <xf numFmtId="0" fontId="39" fillId="15" borderId="31" xfId="45" applyFont="1" applyFill="1" applyBorder="1" applyAlignment="1" applyProtection="1">
      <alignment horizontal="center"/>
    </xf>
    <xf numFmtId="0" fontId="36" fillId="15" borderId="0" xfId="45" applyFont="1" applyFill="1" applyBorder="1" applyAlignment="1" applyProtection="1">
      <alignment horizontal="center"/>
    </xf>
    <xf numFmtId="0" fontId="1" fillId="15" borderId="0" xfId="2" applyFont="1" applyFill="1" applyBorder="1"/>
    <xf numFmtId="0" fontId="10" fillId="15" borderId="32" xfId="2" applyFont="1" applyFill="1" applyBorder="1" applyAlignment="1">
      <alignment horizontal="left" indent="1"/>
    </xf>
    <xf numFmtId="164" fontId="10" fillId="15" borderId="0" xfId="57" applyNumberFormat="1" applyFont="1" applyFill="1" applyBorder="1" applyAlignment="1">
      <alignment horizontal="center"/>
    </xf>
    <xf numFmtId="164" fontId="10" fillId="15" borderId="33" xfId="57" applyNumberFormat="1" applyFont="1" applyFill="1" applyBorder="1" applyAlignment="1">
      <alignment horizontal="center"/>
    </xf>
    <xf numFmtId="0" fontId="36" fillId="15" borderId="0" xfId="45" applyFill="1" applyBorder="1" applyAlignment="1" applyProtection="1">
      <alignment horizontal="center"/>
    </xf>
    <xf numFmtId="0" fontId="7" fillId="15" borderId="32" xfId="2" applyFont="1" applyFill="1" applyBorder="1"/>
    <xf numFmtId="179" fontId="3" fillId="15" borderId="0" xfId="2" applyNumberFormat="1" applyFont="1" applyFill="1" applyBorder="1" applyAlignment="1">
      <alignment horizontal="center"/>
    </xf>
    <xf numFmtId="179" fontId="3" fillId="15" borderId="33" xfId="2" applyNumberFormat="1" applyFont="1" applyFill="1" applyBorder="1" applyAlignment="1">
      <alignment horizontal="center"/>
    </xf>
    <xf numFmtId="7" fontId="3" fillId="15" borderId="33" xfId="2" applyNumberFormat="1" applyFont="1" applyFill="1" applyBorder="1" applyAlignment="1">
      <alignment horizontal="center"/>
    </xf>
    <xf numFmtId="164" fontId="10" fillId="15" borderId="0" xfId="2" applyNumberFormat="1" applyFont="1" applyFill="1" applyBorder="1" applyAlignment="1">
      <alignment horizontal="center"/>
    </xf>
    <xf numFmtId="164" fontId="3" fillId="15" borderId="0" xfId="57" applyNumberFormat="1" applyFont="1" applyFill="1" applyBorder="1" applyAlignment="1">
      <alignment horizontal="center"/>
    </xf>
    <xf numFmtId="164" fontId="3" fillId="15" borderId="33" xfId="57" applyNumberFormat="1" applyFont="1" applyFill="1" applyBorder="1" applyAlignment="1">
      <alignment horizontal="center"/>
    </xf>
    <xf numFmtId="0" fontId="7" fillId="15" borderId="0" xfId="2" applyFont="1" applyFill="1" applyBorder="1"/>
    <xf numFmtId="37" fontId="3" fillId="15" borderId="0" xfId="2" applyNumberFormat="1" applyFont="1" applyFill="1" applyBorder="1" applyAlignment="1">
      <alignment horizontal="center"/>
    </xf>
    <xf numFmtId="37" fontId="3" fillId="15" borderId="33" xfId="2" applyNumberFormat="1" applyFont="1" applyFill="1" applyBorder="1" applyAlignment="1">
      <alignment horizontal="center"/>
    </xf>
    <xf numFmtId="0" fontId="39" fillId="15" borderId="34" xfId="45" applyFont="1" applyFill="1" applyBorder="1" applyAlignment="1" applyProtection="1">
      <alignment horizontal="center"/>
    </xf>
    <xf numFmtId="0" fontId="7" fillId="15" borderId="0" xfId="2" applyFont="1" applyFill="1"/>
    <xf numFmtId="0" fontId="10" fillId="15" borderId="35" xfId="2" applyFont="1" applyFill="1" applyBorder="1" applyAlignment="1">
      <alignment horizontal="left" indent="1"/>
    </xf>
    <xf numFmtId="0" fontId="0" fillId="0" borderId="0" xfId="2" applyFont="1" applyFill="1" applyBorder="1" applyAlignment="1">
      <alignment horizontal="center"/>
    </xf>
    <xf numFmtId="43" fontId="3" fillId="15" borderId="0" xfId="35" applyNumberFormat="1" applyFont="1" applyFill="1" applyBorder="1"/>
    <xf numFmtId="0" fontId="3" fillId="16" borderId="16" xfId="2" applyFont="1" applyFill="1" applyBorder="1"/>
    <xf numFmtId="0" fontId="8" fillId="15" borderId="0" xfId="2" applyFont="1" applyFill="1" applyAlignment="1">
      <alignment horizontal="center"/>
    </xf>
    <xf numFmtId="168" fontId="3" fillId="15" borderId="20" xfId="2" applyNumberFormat="1" applyFont="1" applyFill="1" applyBorder="1" applyAlignment="1">
      <alignment horizontal="center"/>
    </xf>
    <xf numFmtId="168" fontId="8" fillId="15" borderId="23" xfId="2" applyNumberFormat="1" applyFont="1" applyFill="1" applyBorder="1" applyAlignment="1">
      <alignment horizontal="center"/>
    </xf>
    <xf numFmtId="0" fontId="3" fillId="15" borderId="20" xfId="2" applyFont="1" applyFill="1" applyBorder="1" applyAlignment="1">
      <alignment horizontal="center"/>
    </xf>
    <xf numFmtId="0" fontId="3" fillId="15" borderId="28" xfId="2" applyFont="1" applyFill="1" applyBorder="1" applyAlignment="1">
      <alignment horizontal="center"/>
    </xf>
    <xf numFmtId="168" fontId="8" fillId="15" borderId="21" xfId="2" applyNumberFormat="1" applyFont="1" applyFill="1" applyBorder="1" applyAlignment="1">
      <alignment horizontal="center"/>
    </xf>
    <xf numFmtId="0" fontId="8" fillId="15" borderId="21" xfId="2" applyFont="1" applyFill="1" applyBorder="1" applyAlignment="1">
      <alignment horizontal="center"/>
    </xf>
    <xf numFmtId="168" fontId="8" fillId="15" borderId="16" xfId="2" applyNumberFormat="1" applyFont="1" applyFill="1" applyBorder="1" applyAlignment="1">
      <alignment horizontal="center"/>
    </xf>
    <xf numFmtId="0" fontId="8" fillId="16" borderId="16" xfId="2" applyFont="1" applyFill="1" applyBorder="1" applyAlignment="1"/>
    <xf numFmtId="169" fontId="3" fillId="15" borderId="0" xfId="2" applyNumberFormat="1" applyFont="1" applyFill="1"/>
    <xf numFmtId="169" fontId="3" fillId="15" borderId="0" xfId="57" applyNumberFormat="1" applyFont="1" applyFill="1"/>
    <xf numFmtId="169" fontId="3" fillId="15" borderId="0" xfId="2" applyNumberFormat="1" applyFont="1" applyFill="1" applyBorder="1"/>
    <xf numFmtId="164" fontId="20" fillId="15" borderId="25" xfId="57" applyNumberFormat="1" applyFont="1" applyFill="1" applyBorder="1"/>
    <xf numFmtId="170" fontId="3" fillId="15" borderId="27" xfId="2" applyNumberFormat="1" applyFont="1" applyFill="1" applyBorder="1"/>
    <xf numFmtId="0" fontId="8" fillId="16" borderId="36" xfId="2" applyFont="1" applyFill="1" applyBorder="1" applyAlignment="1">
      <alignment horizontal="center"/>
    </xf>
    <xf numFmtId="0" fontId="8" fillId="16" borderId="37" xfId="2" applyFont="1" applyFill="1" applyBorder="1" applyAlignment="1">
      <alignment horizontal="center"/>
    </xf>
    <xf numFmtId="9" fontId="10" fillId="15" borderId="14" xfId="2" applyNumberFormat="1" applyFont="1" applyFill="1" applyBorder="1" applyAlignment="1">
      <alignment horizontal="center"/>
    </xf>
    <xf numFmtId="170" fontId="3" fillId="15" borderId="25" xfId="2" applyNumberFormat="1" applyFont="1" applyFill="1" applyBorder="1"/>
    <xf numFmtId="164" fontId="3" fillId="15" borderId="0" xfId="2" applyNumberFormat="1" applyFont="1" applyFill="1"/>
    <xf numFmtId="170" fontId="10" fillId="15" borderId="11" xfId="2" applyNumberFormat="1" applyFont="1" applyFill="1" applyBorder="1"/>
    <xf numFmtId="170" fontId="10" fillId="15" borderId="21" xfId="35" applyNumberFormat="1" applyFont="1" applyFill="1" applyBorder="1"/>
    <xf numFmtId="170" fontId="10" fillId="15" borderId="0" xfId="35" applyNumberFormat="1" applyFont="1" applyFill="1" applyBorder="1"/>
    <xf numFmtId="170" fontId="10" fillId="15" borderId="22" xfId="35" applyNumberFormat="1" applyFont="1" applyFill="1" applyBorder="1"/>
    <xf numFmtId="170" fontId="10" fillId="15" borderId="22" xfId="2" applyNumberFormat="1" applyFont="1" applyFill="1" applyBorder="1"/>
    <xf numFmtId="9" fontId="10" fillId="15" borderId="21" xfId="57" applyFont="1" applyFill="1" applyBorder="1"/>
    <xf numFmtId="9" fontId="10" fillId="15" borderId="11" xfId="57" applyFont="1" applyFill="1" applyBorder="1"/>
    <xf numFmtId="9" fontId="10" fillId="15" borderId="0" xfId="57" applyFont="1" applyFill="1" applyBorder="1"/>
    <xf numFmtId="44" fontId="3" fillId="15" borderId="24" xfId="37" applyNumberFormat="1" applyFont="1" applyFill="1" applyBorder="1"/>
    <xf numFmtId="7" fontId="3" fillId="15" borderId="24" xfId="37" applyNumberFormat="1" applyFont="1" applyFill="1" applyBorder="1"/>
    <xf numFmtId="44" fontId="3" fillId="15" borderId="27" xfId="37" applyNumberFormat="1" applyFont="1" applyFill="1" applyBorder="1"/>
    <xf numFmtId="164" fontId="8" fillId="15" borderId="11" xfId="2" applyNumberFormat="1" applyFont="1" applyFill="1" applyBorder="1"/>
    <xf numFmtId="164" fontId="8" fillId="15" borderId="22" xfId="2" applyNumberFormat="1" applyFont="1" applyFill="1" applyBorder="1"/>
    <xf numFmtId="168" fontId="20" fillId="15" borderId="11" xfId="2" applyNumberFormat="1" applyFont="1" applyFill="1" applyBorder="1"/>
    <xf numFmtId="168" fontId="20" fillId="15" borderId="0" xfId="2" applyNumberFormat="1" applyFont="1" applyFill="1" applyBorder="1"/>
    <xf numFmtId="168" fontId="31" fillId="15" borderId="0" xfId="2" applyNumberFormat="1" applyFont="1" applyFill="1" applyBorder="1"/>
    <xf numFmtId="168" fontId="20" fillId="15" borderId="21" xfId="2" applyNumberFormat="1" applyFont="1" applyFill="1" applyBorder="1"/>
    <xf numFmtId="168" fontId="20" fillId="15" borderId="22" xfId="2" applyNumberFormat="1" applyFont="1" applyFill="1" applyBorder="1"/>
    <xf numFmtId="168" fontId="20" fillId="15" borderId="21" xfId="2" applyNumberFormat="1" applyFont="1" applyFill="1" applyBorder="1" applyAlignment="1">
      <alignment horizontal="center"/>
    </xf>
    <xf numFmtId="164" fontId="3" fillId="15" borderId="28" xfId="57" applyNumberFormat="1" applyFont="1" applyFill="1" applyBorder="1"/>
    <xf numFmtId="0" fontId="3" fillId="16" borderId="23" xfId="2" applyFont="1" applyFill="1" applyBorder="1"/>
    <xf numFmtId="164" fontId="3" fillId="16" borderId="16" xfId="57" applyNumberFormat="1" applyFont="1" applyFill="1" applyBorder="1" applyAlignment="1"/>
    <xf numFmtId="2" fontId="37" fillId="16" borderId="16" xfId="2" applyNumberFormat="1" applyFont="1" applyFill="1" applyBorder="1"/>
    <xf numFmtId="167" fontId="3" fillId="15" borderId="0" xfId="35" applyNumberFormat="1" applyFont="1" applyFill="1" applyBorder="1"/>
    <xf numFmtId="173" fontId="3" fillId="15" borderId="11" xfId="53" applyNumberFormat="1" applyFont="1" applyFill="1" applyBorder="1"/>
    <xf numFmtId="173" fontId="3" fillId="15" borderId="0" xfId="53" applyNumberFormat="1" applyFont="1" applyFill="1" applyBorder="1"/>
    <xf numFmtId="175" fontId="3" fillId="15" borderId="0" xfId="53" applyNumberFormat="1" applyFont="1" applyFill="1" applyBorder="1"/>
    <xf numFmtId="175" fontId="7" fillId="15" borderId="0" xfId="2" applyNumberFormat="1" applyFont="1" applyFill="1" applyBorder="1"/>
    <xf numFmtId="192" fontId="3" fillId="15" borderId="0" xfId="52" applyNumberFormat="1" applyFont="1" applyFill="1" applyBorder="1" applyAlignment="1">
      <alignment horizontal="center"/>
    </xf>
    <xf numFmtId="192" fontId="7" fillId="15" borderId="0" xfId="52" applyNumberFormat="1" applyFont="1" applyFill="1" applyBorder="1" applyAlignment="1">
      <alignment horizontal="center"/>
    </xf>
    <xf numFmtId="164" fontId="7" fillId="15" borderId="11" xfId="57" applyNumberFormat="1" applyFont="1" applyFill="1" applyBorder="1"/>
    <xf numFmtId="164" fontId="7" fillId="15" borderId="0" xfId="57" applyNumberFormat="1" applyFont="1" applyFill="1" applyBorder="1"/>
    <xf numFmtId="164" fontId="7" fillId="15" borderId="27" xfId="57" applyNumberFormat="1" applyFont="1" applyFill="1" applyBorder="1"/>
    <xf numFmtId="0" fontId="3" fillId="15" borderId="0" xfId="2" applyFont="1" applyFill="1" applyAlignment="1">
      <alignment horizontal="left"/>
    </xf>
    <xf numFmtId="0" fontId="3" fillId="15" borderId="0" xfId="2" applyFont="1" applyFill="1" applyAlignment="1"/>
    <xf numFmtId="0" fontId="10" fillId="15" borderId="0" xfId="2" applyFont="1" applyFill="1" applyAlignment="1"/>
    <xf numFmtId="164" fontId="3" fillId="0" borderId="0" xfId="57" applyNumberFormat="1" applyFont="1" applyBorder="1" applyAlignment="1" applyProtection="1"/>
    <xf numFmtId="0" fontId="3" fillId="0" borderId="0" xfId="2" applyFont="1"/>
    <xf numFmtId="0" fontId="3" fillId="0" borderId="0" xfId="2" applyFont="1" applyAlignment="1">
      <alignment horizontal="right"/>
    </xf>
    <xf numFmtId="0" fontId="3" fillId="15" borderId="0" xfId="2" applyFont="1" applyFill="1" applyAlignment="1">
      <alignment horizontal="right"/>
    </xf>
    <xf numFmtId="166" fontId="3" fillId="15" borderId="0" xfId="2" applyNumberFormat="1" applyFont="1" applyFill="1"/>
    <xf numFmtId="0" fontId="3" fillId="16" borderId="0" xfId="2" applyFont="1" applyFill="1"/>
    <xf numFmtId="164" fontId="3" fillId="0" borderId="0" xfId="57" applyNumberFormat="1" applyFont="1" applyFill="1" applyBorder="1" applyAlignment="1">
      <alignment horizontal="right"/>
    </xf>
    <xf numFmtId="164" fontId="10" fillId="15" borderId="23" xfId="57" applyNumberFormat="1" applyFont="1" applyFill="1" applyBorder="1"/>
    <xf numFmtId="164" fontId="10" fillId="15" borderId="26" xfId="57" applyNumberFormat="1" applyFont="1" applyFill="1" applyBorder="1"/>
    <xf numFmtId="164" fontId="3" fillId="16" borderId="19" xfId="57" applyNumberFormat="1" applyFont="1" applyFill="1" applyBorder="1" applyAlignment="1"/>
    <xf numFmtId="168" fontId="8" fillId="15" borderId="17" xfId="2" applyNumberFormat="1" applyFont="1" applyFill="1" applyBorder="1" applyAlignment="1">
      <alignment horizontal="center"/>
    </xf>
    <xf numFmtId="168" fontId="20" fillId="15" borderId="0" xfId="2" applyNumberFormat="1" applyFont="1" applyFill="1" applyBorder="1" applyAlignment="1">
      <alignment horizontal="center"/>
    </xf>
    <xf numFmtId="168" fontId="8" fillId="15" borderId="0" xfId="2" applyNumberFormat="1" applyFont="1" applyFill="1" applyBorder="1" applyAlignment="1">
      <alignment horizontal="center"/>
    </xf>
    <xf numFmtId="0" fontId="3" fillId="16" borderId="17" xfId="2" applyFont="1" applyFill="1" applyBorder="1" applyAlignment="1">
      <alignment horizontal="center"/>
    </xf>
    <xf numFmtId="168" fontId="3" fillId="15" borderId="28" xfId="2" applyNumberFormat="1" applyFont="1" applyFill="1" applyBorder="1" applyAlignment="1">
      <alignment horizontal="center"/>
    </xf>
    <xf numFmtId="168" fontId="8" fillId="15" borderId="24" xfId="2" applyNumberFormat="1" applyFont="1" applyFill="1" applyBorder="1" applyAlignment="1">
      <alignment horizontal="center"/>
    </xf>
    <xf numFmtId="166" fontId="3" fillId="15" borderId="11" xfId="51" applyNumberFormat="1" applyFont="1" applyFill="1" applyBorder="1" applyAlignment="1">
      <alignment horizontal="left"/>
    </xf>
    <xf numFmtId="166" fontId="3" fillId="15" borderId="27" xfId="51" applyNumberFormat="1" applyFont="1" applyFill="1" applyBorder="1" applyAlignment="1">
      <alignment horizontal="left"/>
    </xf>
    <xf numFmtId="170" fontId="3" fillId="15" borderId="9" xfId="35" applyNumberFormat="1" applyFont="1" applyFill="1" applyBorder="1"/>
    <xf numFmtId="170" fontId="3" fillId="15" borderId="39" xfId="2" applyNumberFormat="1" applyFont="1" applyFill="1" applyBorder="1"/>
    <xf numFmtId="170" fontId="3" fillId="15" borderId="40" xfId="2" applyNumberFormat="1" applyFont="1" applyFill="1" applyBorder="1"/>
    <xf numFmtId="170" fontId="3" fillId="15" borderId="41" xfId="2" applyNumberFormat="1" applyFont="1" applyFill="1" applyBorder="1"/>
    <xf numFmtId="2" fontId="8" fillId="15" borderId="42" xfId="2" applyNumberFormat="1" applyFont="1" applyFill="1" applyBorder="1"/>
    <xf numFmtId="2" fontId="3" fillId="15" borderId="42" xfId="2" applyNumberFormat="1" applyFont="1" applyFill="1" applyBorder="1"/>
    <xf numFmtId="2" fontId="3" fillId="15" borderId="42" xfId="2" applyNumberFormat="1" applyFont="1" applyFill="1" applyBorder="1" applyAlignment="1">
      <alignment horizontal="left" indent="1"/>
    </xf>
    <xf numFmtId="0" fontId="30" fillId="15" borderId="42" xfId="2" applyFont="1" applyFill="1" applyBorder="1" applyAlignment="1">
      <alignment horizontal="left"/>
    </xf>
    <xf numFmtId="2" fontId="8" fillId="15" borderId="43" xfId="2" applyNumberFormat="1" applyFont="1" applyFill="1" applyBorder="1"/>
    <xf numFmtId="2" fontId="8" fillId="15" borderId="44" xfId="2" applyNumberFormat="1" applyFont="1" applyFill="1" applyBorder="1"/>
    <xf numFmtId="168" fontId="8" fillId="15" borderId="45" xfId="2" applyNumberFormat="1" applyFont="1" applyFill="1" applyBorder="1"/>
    <xf numFmtId="168" fontId="21" fillId="15" borderId="45" xfId="2" applyNumberFormat="1" applyFont="1" applyFill="1" applyBorder="1"/>
    <xf numFmtId="168" fontId="8" fillId="15" borderId="46" xfId="2" applyNumberFormat="1" applyFont="1" applyFill="1" applyBorder="1"/>
    <xf numFmtId="168" fontId="8" fillId="15" borderId="47" xfId="2" applyNumberFormat="1" applyFont="1" applyFill="1" applyBorder="1"/>
    <xf numFmtId="168" fontId="8" fillId="15" borderId="48" xfId="2" applyNumberFormat="1" applyFont="1" applyFill="1" applyBorder="1"/>
    <xf numFmtId="168" fontId="16" fillId="15" borderId="46" xfId="2" applyNumberFormat="1" applyFont="1" applyFill="1" applyBorder="1"/>
    <xf numFmtId="168" fontId="16" fillId="15" borderId="48" xfId="2" applyNumberFormat="1" applyFont="1" applyFill="1" applyBorder="1"/>
    <xf numFmtId="0" fontId="3" fillId="15" borderId="42" xfId="2" applyFont="1" applyFill="1" applyBorder="1"/>
    <xf numFmtId="0" fontId="8" fillId="16" borderId="51" xfId="2" applyFont="1" applyFill="1" applyBorder="1" applyAlignment="1">
      <alignment horizontal="center"/>
    </xf>
    <xf numFmtId="0" fontId="8" fillId="16" borderId="52" xfId="2" applyFont="1" applyFill="1" applyBorder="1" applyAlignment="1">
      <alignment horizontal="center"/>
    </xf>
    <xf numFmtId="0" fontId="8" fillId="16" borderId="38" xfId="2" applyFont="1" applyFill="1" applyBorder="1" applyAlignment="1">
      <alignment horizontal="center"/>
    </xf>
    <xf numFmtId="0" fontId="8" fillId="16" borderId="53" xfId="2" applyFont="1" applyFill="1" applyBorder="1" applyAlignment="1">
      <alignment horizontal="center"/>
    </xf>
    <xf numFmtId="0" fontId="16" fillId="16" borderId="38" xfId="2" applyFont="1" applyFill="1" applyBorder="1" applyAlignment="1">
      <alignment horizontal="center"/>
    </xf>
    <xf numFmtId="179" fontId="8" fillId="15" borderId="45" xfId="2" applyNumberFormat="1" applyFont="1" applyFill="1" applyBorder="1"/>
    <xf numFmtId="180" fontId="8" fillId="15" borderId="45" xfId="2" applyNumberFormat="1" applyFont="1" applyFill="1" applyBorder="1"/>
    <xf numFmtId="179" fontId="8" fillId="15" borderId="46" xfId="2" applyNumberFormat="1" applyFont="1" applyFill="1" applyBorder="1"/>
    <xf numFmtId="179" fontId="21" fillId="15" borderId="46" xfId="2" applyNumberFormat="1" applyFont="1" applyFill="1" applyBorder="1"/>
    <xf numFmtId="179" fontId="16" fillId="15" borderId="46" xfId="2" applyNumberFormat="1" applyFont="1" applyFill="1" applyBorder="1"/>
    <xf numFmtId="0" fontId="16" fillId="16" borderId="0" xfId="2" applyFont="1" applyFill="1" applyBorder="1" applyAlignment="1">
      <alignment horizontal="center"/>
    </xf>
    <xf numFmtId="0" fontId="8" fillId="15" borderId="0" xfId="53" applyFont="1" applyFill="1" applyBorder="1"/>
    <xf numFmtId="10" fontId="8" fillId="15" borderId="0" xfId="57" applyNumberFormat="1" applyFont="1" applyFill="1" applyBorder="1"/>
    <xf numFmtId="2" fontId="8" fillId="15" borderId="42" xfId="2" applyNumberFormat="1" applyFont="1" applyFill="1" applyBorder="1" applyAlignment="1">
      <alignment horizontal="left"/>
    </xf>
    <xf numFmtId="168" fontId="16" fillId="15" borderId="11" xfId="2" applyNumberFormat="1" applyFont="1" applyFill="1" applyBorder="1"/>
    <xf numFmtId="0" fontId="19" fillId="15" borderId="0" xfId="2" applyFont="1" applyFill="1" applyBorder="1"/>
    <xf numFmtId="179" fontId="19" fillId="15" borderId="0" xfId="2" applyNumberFormat="1" applyFont="1" applyFill="1" applyBorder="1"/>
    <xf numFmtId="0" fontId="19" fillId="15" borderId="11" xfId="2" applyFont="1" applyFill="1" applyBorder="1"/>
    <xf numFmtId="179" fontId="19" fillId="15" borderId="11" xfId="2" applyNumberFormat="1" applyFont="1" applyFill="1" applyBorder="1"/>
    <xf numFmtId="43" fontId="19" fillId="15" borderId="11" xfId="35" applyFont="1" applyFill="1" applyBorder="1"/>
    <xf numFmtId="43" fontId="19" fillId="15" borderId="0" xfId="35" applyFont="1" applyFill="1" applyBorder="1"/>
    <xf numFmtId="0" fontId="21" fillId="15" borderId="0" xfId="2" applyFont="1" applyFill="1" applyBorder="1"/>
    <xf numFmtId="0" fontId="23" fillId="15" borderId="0" xfId="2" applyFont="1" applyFill="1" applyBorder="1"/>
    <xf numFmtId="0" fontId="29" fillId="15" borderId="0" xfId="2" applyFont="1" applyFill="1" applyBorder="1"/>
    <xf numFmtId="0" fontId="44" fillId="16" borderId="50" xfId="2" applyFont="1" applyFill="1" applyBorder="1"/>
    <xf numFmtId="0" fontId="21" fillId="16" borderId="38" xfId="2" applyFont="1" applyFill="1" applyBorder="1" applyAlignment="1">
      <alignment horizontal="center"/>
    </xf>
    <xf numFmtId="0" fontId="16" fillId="16" borderId="56" xfId="2" applyFont="1" applyFill="1" applyBorder="1" applyAlignment="1">
      <alignment horizontal="center"/>
    </xf>
    <xf numFmtId="0" fontId="5" fillId="15" borderId="57" xfId="2" applyFont="1" applyFill="1" applyBorder="1"/>
    <xf numFmtId="168" fontId="5" fillId="15" borderId="58" xfId="2" applyNumberFormat="1" applyFont="1" applyFill="1" applyBorder="1"/>
    <xf numFmtId="168" fontId="16" fillId="15" borderId="58" xfId="2" applyNumberFormat="1" applyFont="1" applyFill="1" applyBorder="1"/>
    <xf numFmtId="168" fontId="16" fillId="15" borderId="59" xfId="2" applyNumberFormat="1" applyFont="1" applyFill="1" applyBorder="1"/>
    <xf numFmtId="185" fontId="16" fillId="15" borderId="59" xfId="2" applyNumberFormat="1" applyFont="1" applyFill="1" applyBorder="1"/>
    <xf numFmtId="185" fontId="5" fillId="15" borderId="58" xfId="2" applyNumberFormat="1" applyFont="1" applyFill="1" applyBorder="1"/>
    <xf numFmtId="168" fontId="5" fillId="15" borderId="58" xfId="2" applyNumberFormat="1" applyFont="1" applyFill="1" applyBorder="1" applyAlignment="1">
      <alignment horizontal="center"/>
    </xf>
    <xf numFmtId="168" fontId="16" fillId="15" borderId="60" xfId="2" applyNumberFormat="1" applyFont="1" applyFill="1" applyBorder="1"/>
    <xf numFmtId="0" fontId="1" fillId="15" borderId="0" xfId="2" applyFont="1" applyFill="1"/>
    <xf numFmtId="170" fontId="3" fillId="15" borderId="62" xfId="35" applyNumberFormat="1" applyFont="1" applyFill="1" applyBorder="1"/>
    <xf numFmtId="0" fontId="3" fillId="16" borderId="64" xfId="2" applyFont="1" applyFill="1" applyBorder="1"/>
    <xf numFmtId="164" fontId="3" fillId="15" borderId="62" xfId="57" applyNumberFormat="1" applyFont="1" applyFill="1" applyBorder="1"/>
    <xf numFmtId="164" fontId="3" fillId="15" borderId="62" xfId="57" applyNumberFormat="1" applyFont="1" applyFill="1" applyBorder="1" applyAlignment="1">
      <alignment horizontal="right"/>
    </xf>
    <xf numFmtId="164" fontId="3" fillId="15" borderId="62" xfId="2" applyNumberFormat="1" applyFont="1" applyFill="1" applyBorder="1"/>
    <xf numFmtId="164" fontId="8" fillId="15" borderId="62" xfId="2" applyNumberFormat="1" applyFont="1" applyFill="1" applyBorder="1"/>
    <xf numFmtId="0" fontId="3" fillId="16" borderId="65" xfId="2" applyFont="1" applyFill="1" applyBorder="1"/>
    <xf numFmtId="164" fontId="3" fillId="15" borderId="62" xfId="57" applyNumberFormat="1" applyFont="1" applyFill="1" applyBorder="1" applyAlignment="1"/>
    <xf numFmtId="164" fontId="8" fillId="15" borderId="62" xfId="57" applyNumberFormat="1" applyFont="1" applyFill="1" applyBorder="1" applyAlignment="1"/>
    <xf numFmtId="164" fontId="3" fillId="16" borderId="65" xfId="57" applyNumberFormat="1" applyFont="1" applyFill="1" applyBorder="1" applyAlignment="1"/>
    <xf numFmtId="164" fontId="10" fillId="15" borderId="66" xfId="57" applyNumberFormat="1" applyFont="1" applyFill="1" applyBorder="1"/>
    <xf numFmtId="166" fontId="8" fillId="15" borderId="42" xfId="2" applyNumberFormat="1" applyFont="1" applyFill="1" applyBorder="1"/>
    <xf numFmtId="166" fontId="3" fillId="15" borderId="42" xfId="2" applyNumberFormat="1" applyFont="1" applyFill="1" applyBorder="1"/>
    <xf numFmtId="7" fontId="8" fillId="15" borderId="43" xfId="2" applyNumberFormat="1" applyFont="1" applyFill="1" applyBorder="1"/>
    <xf numFmtId="7" fontId="3" fillId="15" borderId="42" xfId="2" applyNumberFormat="1" applyFont="1" applyFill="1" applyBorder="1"/>
    <xf numFmtId="7" fontId="8" fillId="16" borderId="49" xfId="2" applyNumberFormat="1" applyFont="1" applyFill="1" applyBorder="1"/>
    <xf numFmtId="7" fontId="3" fillId="15" borderId="42" xfId="2" applyNumberFormat="1" applyFont="1" applyFill="1" applyBorder="1" applyAlignment="1">
      <alignment horizontal="left" indent="1"/>
    </xf>
    <xf numFmtId="165" fontId="3" fillId="15" borderId="42" xfId="2" applyNumberFormat="1" applyFont="1" applyFill="1" applyBorder="1"/>
    <xf numFmtId="164" fontId="3" fillId="15" borderId="42" xfId="2" applyNumberFormat="1" applyFont="1" applyFill="1" applyBorder="1"/>
    <xf numFmtId="166" fontId="3" fillId="15" borderId="42" xfId="2" applyNumberFormat="1" applyFont="1" applyFill="1" applyBorder="1" applyAlignment="1">
      <alignment horizontal="left"/>
    </xf>
    <xf numFmtId="164" fontId="8" fillId="15" borderId="42" xfId="2" applyNumberFormat="1" applyFont="1" applyFill="1" applyBorder="1"/>
    <xf numFmtId="164" fontId="8" fillId="16" borderId="43" xfId="2" applyNumberFormat="1" applyFont="1" applyFill="1" applyBorder="1"/>
    <xf numFmtId="7" fontId="8" fillId="15" borderId="42" xfId="2" applyNumberFormat="1" applyFont="1" applyFill="1" applyBorder="1"/>
    <xf numFmtId="166" fontId="8" fillId="15" borderId="42" xfId="2" applyNumberFormat="1" applyFont="1" applyFill="1" applyBorder="1" applyAlignment="1">
      <alignment horizontal="left"/>
    </xf>
    <xf numFmtId="0" fontId="8" fillId="16" borderId="50" xfId="53" applyFont="1" applyFill="1" applyBorder="1"/>
    <xf numFmtId="0" fontId="8" fillId="16" borderId="56" xfId="2" applyFont="1" applyFill="1" applyBorder="1" applyAlignment="1">
      <alignment horizontal="center"/>
    </xf>
    <xf numFmtId="170" fontId="3" fillId="15" borderId="58" xfId="2" applyNumberFormat="1" applyFont="1" applyFill="1" applyBorder="1"/>
    <xf numFmtId="170" fontId="8" fillId="15" borderId="58" xfId="35" applyNumberFormat="1" applyFont="1" applyFill="1" applyBorder="1"/>
    <xf numFmtId="0" fontId="3" fillId="15" borderId="58" xfId="2" applyFont="1" applyFill="1" applyBorder="1"/>
    <xf numFmtId="7" fontId="8" fillId="15" borderId="59" xfId="2" applyNumberFormat="1" applyFont="1" applyFill="1" applyBorder="1"/>
    <xf numFmtId="7" fontId="3" fillId="15" borderId="58" xfId="2" applyNumberFormat="1" applyFont="1" applyFill="1" applyBorder="1"/>
    <xf numFmtId="164" fontId="3" fillId="15" borderId="58" xfId="57" applyNumberFormat="1" applyFont="1" applyFill="1" applyBorder="1"/>
    <xf numFmtId="164" fontId="3" fillId="15" borderId="58" xfId="57" applyNumberFormat="1" applyFont="1" applyFill="1" applyBorder="1" applyAlignment="1">
      <alignment horizontal="right"/>
    </xf>
    <xf numFmtId="164" fontId="3" fillId="15" borderId="58" xfId="2" applyNumberFormat="1" applyFont="1" applyFill="1" applyBorder="1"/>
    <xf numFmtId="164" fontId="8" fillId="15" borderId="58" xfId="2" applyNumberFormat="1" applyFont="1" applyFill="1" applyBorder="1"/>
    <xf numFmtId="164" fontId="3" fillId="15" borderId="58" xfId="57" applyNumberFormat="1" applyFont="1" applyFill="1" applyBorder="1" applyAlignment="1"/>
    <xf numFmtId="164" fontId="8" fillId="15" borderId="58" xfId="57" applyNumberFormat="1" applyFont="1" applyFill="1" applyBorder="1" applyAlignment="1"/>
    <xf numFmtId="164" fontId="10" fillId="15" borderId="69" xfId="57" applyNumberFormat="1" applyFont="1" applyFill="1" applyBorder="1"/>
    <xf numFmtId="43" fontId="3" fillId="15" borderId="0" xfId="35" applyFont="1" applyFill="1" applyBorder="1"/>
    <xf numFmtId="1" fontId="3" fillId="15" borderId="21" xfId="2" applyNumberFormat="1" applyFont="1" applyFill="1" applyBorder="1"/>
    <xf numFmtId="1" fontId="8" fillId="15" borderId="19" xfId="2" applyNumberFormat="1" applyFont="1" applyFill="1" applyBorder="1"/>
    <xf numFmtId="37" fontId="5" fillId="15" borderId="19" xfId="2" applyNumberFormat="1" applyFont="1" applyFill="1" applyBorder="1"/>
    <xf numFmtId="37" fontId="5" fillId="15" borderId="0" xfId="2" applyNumberFormat="1" applyFont="1" applyFill="1"/>
    <xf numFmtId="37" fontId="5" fillId="15" borderId="11" xfId="2" applyNumberFormat="1" applyFont="1" applyFill="1" applyBorder="1"/>
    <xf numFmtId="164" fontId="3" fillId="15" borderId="27" xfId="57" applyNumberFormat="1" applyFont="1" applyFill="1" applyBorder="1" applyAlignment="1">
      <alignment horizontal="right"/>
    </xf>
    <xf numFmtId="164" fontId="3" fillId="15" borderId="24" xfId="57" applyNumberFormat="1" applyFont="1" applyFill="1" applyBorder="1" applyAlignment="1">
      <alignment horizontal="right"/>
    </xf>
    <xf numFmtId="166" fontId="8" fillId="15" borderId="19" xfId="51" applyNumberFormat="1" applyFont="1" applyFill="1" applyBorder="1" applyAlignment="1">
      <alignment horizontal="left"/>
    </xf>
    <xf numFmtId="175" fontId="3" fillId="15" borderId="19" xfId="53" applyNumberFormat="1" applyFont="1" applyFill="1" applyBorder="1"/>
    <xf numFmtId="175" fontId="3" fillId="15" borderId="17" xfId="53" applyNumberFormat="1" applyFont="1" applyFill="1" applyBorder="1"/>
    <xf numFmtId="7" fontId="8" fillId="15" borderId="65" xfId="2" applyNumberFormat="1" applyFont="1" applyFill="1" applyBorder="1"/>
    <xf numFmtId="7" fontId="3" fillId="15" borderId="62" xfId="2" applyNumberFormat="1" applyFont="1" applyFill="1" applyBorder="1"/>
    <xf numFmtId="0" fontId="5" fillId="15" borderId="58" xfId="2" applyFont="1" applyFill="1" applyBorder="1"/>
    <xf numFmtId="168" fontId="3" fillId="16" borderId="18" xfId="2" applyNumberFormat="1" applyFont="1" applyFill="1" applyBorder="1"/>
    <xf numFmtId="43" fontId="3" fillId="15" borderId="11" xfId="35" applyFont="1" applyFill="1" applyBorder="1"/>
    <xf numFmtId="0" fontId="3" fillId="15" borderId="54" xfId="2" applyFont="1" applyFill="1" applyBorder="1" applyAlignment="1">
      <alignment horizontal="left"/>
    </xf>
    <xf numFmtId="0" fontId="3" fillId="15" borderId="55" xfId="2" applyFont="1" applyFill="1" applyBorder="1" applyAlignment="1">
      <alignment horizontal="left"/>
    </xf>
    <xf numFmtId="164" fontId="8" fillId="15" borderId="9" xfId="57" applyNumberFormat="1" applyFont="1" applyFill="1" applyBorder="1"/>
    <xf numFmtId="170" fontId="3" fillId="15" borderId="41" xfId="35" applyNumberFormat="1" applyFont="1" applyFill="1" applyBorder="1"/>
    <xf numFmtId="170" fontId="3" fillId="15" borderId="39" xfId="35" applyNumberFormat="1" applyFont="1" applyFill="1" applyBorder="1"/>
    <xf numFmtId="170" fontId="3" fillId="15" borderId="63" xfId="35" applyNumberFormat="1" applyFont="1" applyFill="1" applyBorder="1"/>
    <xf numFmtId="170" fontId="3" fillId="15" borderId="71" xfId="2" applyNumberFormat="1" applyFont="1" applyFill="1" applyBorder="1"/>
    <xf numFmtId="164" fontId="8" fillId="15" borderId="58" xfId="57" applyNumberFormat="1" applyFont="1" applyFill="1" applyBorder="1"/>
    <xf numFmtId="164" fontId="3" fillId="16" borderId="38" xfId="57" applyNumberFormat="1" applyFont="1" applyFill="1" applyBorder="1" applyAlignment="1"/>
    <xf numFmtId="164" fontId="3" fillId="16" borderId="64" xfId="57" applyNumberFormat="1" applyFont="1" applyFill="1" applyBorder="1" applyAlignment="1"/>
    <xf numFmtId="170" fontId="3" fillId="16" borderId="17" xfId="57" applyNumberFormat="1" applyFont="1" applyFill="1" applyBorder="1" applyAlignment="1"/>
    <xf numFmtId="3" fontId="3" fillId="15" borderId="0" xfId="50" applyNumberFormat="1" applyFont="1" applyFill="1" applyBorder="1" applyAlignment="1">
      <alignment horizontal="center"/>
    </xf>
    <xf numFmtId="0" fontId="7" fillId="15" borderId="0" xfId="50" applyFont="1" applyFill="1" applyBorder="1" applyAlignment="1">
      <alignment horizontal="center"/>
    </xf>
    <xf numFmtId="37" fontId="3" fillId="15" borderId="0" xfId="50" applyNumberFormat="1" applyFont="1" applyFill="1" applyBorder="1" applyAlignment="1">
      <alignment horizontal="center"/>
    </xf>
    <xf numFmtId="0" fontId="1" fillId="15" borderId="0" xfId="50" applyFill="1" applyBorder="1" applyAlignment="1">
      <alignment horizontal="center"/>
    </xf>
    <xf numFmtId="0" fontId="15" fillId="15" borderId="0" xfId="50" applyFont="1" applyFill="1" applyBorder="1"/>
    <xf numFmtId="187" fontId="8" fillId="15" borderId="0" xfId="50" applyNumberFormat="1" applyFont="1" applyFill="1" applyBorder="1" applyAlignment="1">
      <alignment horizontal="center"/>
    </xf>
    <xf numFmtId="187" fontId="8" fillId="15" borderId="0" xfId="50" applyNumberFormat="1" applyFont="1" applyFill="1" applyBorder="1"/>
    <xf numFmtId="0" fontId="15" fillId="15" borderId="0" xfId="50" applyFont="1" applyFill="1" applyBorder="1" applyAlignment="1">
      <alignment horizontal="center"/>
    </xf>
    <xf numFmtId="0" fontId="15" fillId="15" borderId="0" xfId="2" applyFont="1" applyFill="1" applyAlignment="1">
      <alignment horizontal="left"/>
    </xf>
    <xf numFmtId="0" fontId="5" fillId="15" borderId="0" xfId="2" applyFont="1" applyFill="1" applyBorder="1"/>
    <xf numFmtId="170" fontId="3" fillId="15" borderId="24" xfId="35" applyNumberFormat="1" applyFont="1" applyFill="1" applyBorder="1"/>
    <xf numFmtId="170" fontId="3" fillId="15" borderId="26" xfId="35" applyNumberFormat="1" applyFont="1" applyFill="1" applyBorder="1"/>
    <xf numFmtId="164" fontId="10" fillId="15" borderId="22" xfId="57" applyNumberFormat="1" applyFont="1" applyFill="1" applyBorder="1" applyAlignment="1">
      <alignment horizontal="right"/>
    </xf>
    <xf numFmtId="165" fontId="3" fillId="15" borderId="11" xfId="2" applyNumberFormat="1" applyFont="1" applyFill="1" applyBorder="1"/>
    <xf numFmtId="2" fontId="3" fillId="15" borderId="23" xfId="2" applyNumberFormat="1" applyFont="1" applyFill="1" applyBorder="1"/>
    <xf numFmtId="168" fontId="21" fillId="15" borderId="24" xfId="2" applyNumberFormat="1" applyFont="1" applyFill="1" applyBorder="1"/>
    <xf numFmtId="168" fontId="3" fillId="15" borderId="27" xfId="2" applyNumberFormat="1" applyFont="1" applyFill="1" applyBorder="1"/>
    <xf numFmtId="168" fontId="3" fillId="15" borderId="24" xfId="2" applyNumberFormat="1" applyFont="1" applyFill="1" applyBorder="1"/>
    <xf numFmtId="168" fontId="5" fillId="15" borderId="24" xfId="2" applyNumberFormat="1" applyFont="1" applyFill="1" applyBorder="1"/>
    <xf numFmtId="168" fontId="5" fillId="15" borderId="27" xfId="2" applyNumberFormat="1" applyFont="1" applyFill="1" applyBorder="1"/>
    <xf numFmtId="43" fontId="3" fillId="15" borderId="58" xfId="35" applyFont="1" applyFill="1" applyBorder="1"/>
    <xf numFmtId="196" fontId="3" fillId="15" borderId="0" xfId="37" applyNumberFormat="1" applyFont="1" applyFill="1"/>
    <xf numFmtId="0" fontId="19" fillId="15" borderId="42" xfId="2" applyFont="1" applyFill="1" applyBorder="1"/>
    <xf numFmtId="164" fontId="3" fillId="16" borderId="24" xfId="57" applyNumberFormat="1" applyFont="1" applyFill="1" applyBorder="1" applyAlignment="1"/>
    <xf numFmtId="164" fontId="3" fillId="16" borderId="23" xfId="57" applyNumberFormat="1" applyFont="1" applyFill="1" applyBorder="1" applyAlignment="1"/>
    <xf numFmtId="164" fontId="3" fillId="16" borderId="26" xfId="57" applyNumberFormat="1" applyFont="1" applyFill="1" applyBorder="1" applyAlignment="1"/>
    <xf numFmtId="164" fontId="3" fillId="16" borderId="66" xfId="57" applyNumberFormat="1" applyFont="1" applyFill="1" applyBorder="1" applyAlignment="1"/>
    <xf numFmtId="0" fontId="3" fillId="15" borderId="57" xfId="2" applyFont="1" applyFill="1" applyBorder="1"/>
    <xf numFmtId="179" fontId="3" fillId="15" borderId="58" xfId="2" applyNumberFormat="1" applyFont="1" applyFill="1" applyBorder="1"/>
    <xf numFmtId="2" fontId="3" fillId="15" borderId="62" xfId="57" applyNumberFormat="1" applyFont="1" applyFill="1" applyBorder="1"/>
    <xf numFmtId="168" fontId="3" fillId="15" borderId="58" xfId="2" applyNumberFormat="1" applyFont="1" applyFill="1" applyBorder="1"/>
    <xf numFmtId="168" fontId="8" fillId="15" borderId="58" xfId="2" applyNumberFormat="1" applyFont="1" applyFill="1" applyBorder="1"/>
    <xf numFmtId="168" fontId="8" fillId="15" borderId="59" xfId="2" applyNumberFormat="1" applyFont="1" applyFill="1" applyBorder="1"/>
    <xf numFmtId="168" fontId="20" fillId="15" borderId="58" xfId="2" applyNumberFormat="1" applyFont="1" applyFill="1" applyBorder="1"/>
    <xf numFmtId="185" fontId="8" fillId="15" borderId="59" xfId="2" applyNumberFormat="1" applyFont="1" applyFill="1" applyBorder="1"/>
    <xf numFmtId="185" fontId="3" fillId="15" borderId="58" xfId="2" applyNumberFormat="1" applyFont="1" applyFill="1" applyBorder="1"/>
    <xf numFmtId="168" fontId="3" fillId="15" borderId="58" xfId="2" applyNumberFormat="1" applyFont="1" applyFill="1" applyBorder="1" applyAlignment="1">
      <alignment horizontal="center"/>
    </xf>
    <xf numFmtId="168" fontId="8" fillId="15" borderId="60" xfId="2" applyNumberFormat="1" applyFont="1" applyFill="1" applyBorder="1"/>
    <xf numFmtId="164" fontId="24" fillId="15" borderId="11" xfId="57" applyNumberFormat="1" applyFont="1" applyFill="1" applyBorder="1"/>
    <xf numFmtId="0" fontId="4" fillId="15" borderId="0" xfId="50" applyFont="1" applyFill="1" applyBorder="1" applyAlignment="1">
      <alignment horizontal="center"/>
    </xf>
    <xf numFmtId="187" fontId="3" fillId="15" borderId="0" xfId="50" applyNumberFormat="1" applyFont="1" applyFill="1" applyBorder="1" applyAlignment="1">
      <alignment horizontal="center"/>
    </xf>
    <xf numFmtId="187" fontId="3" fillId="15" borderId="0" xfId="50" applyNumberFormat="1" applyFont="1" applyFill="1" applyBorder="1"/>
    <xf numFmtId="0" fontId="10" fillId="15" borderId="39" xfId="2" applyFont="1" applyFill="1" applyBorder="1"/>
    <xf numFmtId="7" fontId="16" fillId="15" borderId="0" xfId="57" applyNumberFormat="1" applyFont="1" applyFill="1" applyBorder="1"/>
    <xf numFmtId="2" fontId="15" fillId="15" borderId="43" xfId="2" applyNumberFormat="1" applyFont="1" applyFill="1" applyBorder="1"/>
    <xf numFmtId="2" fontId="15" fillId="15" borderId="44" xfId="2" applyNumberFormat="1" applyFont="1" applyFill="1" applyBorder="1"/>
    <xf numFmtId="164" fontId="3" fillId="16" borderId="59" xfId="57" applyNumberFormat="1" applyFont="1" applyFill="1" applyBorder="1" applyAlignment="1"/>
    <xf numFmtId="175" fontId="10" fillId="15" borderId="0" xfId="2" applyNumberFormat="1" applyFont="1" applyFill="1"/>
    <xf numFmtId="168" fontId="3" fillId="15" borderId="0" xfId="57" applyNumberFormat="1" applyFont="1" applyFill="1"/>
    <xf numFmtId="170" fontId="3" fillId="15" borderId="27" xfId="35" applyNumberFormat="1" applyFont="1" applyFill="1" applyBorder="1"/>
    <xf numFmtId="170" fontId="3" fillId="15" borderId="19" xfId="35" applyNumberFormat="1" applyFont="1" applyFill="1" applyBorder="1"/>
    <xf numFmtId="0" fontId="52" fillId="0" borderId="0" xfId="2" applyFont="1"/>
    <xf numFmtId="164" fontId="8" fillId="15" borderId="0" xfId="57" applyNumberFormat="1" applyFont="1" applyFill="1" applyBorder="1" applyAlignment="1">
      <alignment horizontal="center"/>
    </xf>
    <xf numFmtId="170" fontId="3" fillId="15" borderId="20" xfId="2" applyNumberFormat="1" applyFont="1" applyFill="1" applyBorder="1"/>
    <xf numFmtId="173" fontId="3" fillId="15" borderId="21" xfId="53" applyNumberFormat="1" applyFont="1" applyFill="1" applyBorder="1"/>
    <xf numFmtId="164" fontId="24" fillId="15" borderId="21" xfId="57" applyNumberFormat="1" applyFont="1" applyFill="1" applyBorder="1"/>
    <xf numFmtId="175" fontId="3" fillId="15" borderId="16" xfId="53" applyNumberFormat="1" applyFont="1" applyFill="1" applyBorder="1"/>
    <xf numFmtId="175" fontId="10" fillId="15" borderId="0" xfId="2" applyNumberFormat="1" applyFont="1" applyFill="1" applyBorder="1"/>
    <xf numFmtId="164" fontId="3" fillId="15" borderId="29" xfId="57" applyNumberFormat="1" applyFont="1" applyFill="1" applyBorder="1"/>
    <xf numFmtId="0" fontId="4" fillId="15" borderId="0" xfId="2" applyFont="1" applyFill="1"/>
    <xf numFmtId="0" fontId="8" fillId="16" borderId="38" xfId="2" applyFont="1" applyFill="1" applyBorder="1" applyAlignment="1">
      <alignment horizontal="centerContinuous" vertical="center"/>
    </xf>
    <xf numFmtId="1" fontId="8" fillId="15" borderId="16" xfId="2" applyNumberFormat="1" applyFont="1" applyFill="1" applyBorder="1"/>
    <xf numFmtId="170" fontId="3" fillId="15" borderId="0" xfId="35" applyNumberFormat="1" applyFont="1" applyFill="1"/>
    <xf numFmtId="170" fontId="5" fillId="15" borderId="0" xfId="35" applyNumberFormat="1" applyFont="1" applyFill="1"/>
    <xf numFmtId="170" fontId="5" fillId="15" borderId="11" xfId="35" applyNumberFormat="1" applyFont="1" applyFill="1" applyBorder="1"/>
    <xf numFmtId="2" fontId="8" fillId="15" borderId="23" xfId="2" applyNumberFormat="1" applyFont="1" applyFill="1" applyBorder="1"/>
    <xf numFmtId="0" fontId="8" fillId="15" borderId="49" xfId="2" applyFont="1" applyFill="1" applyBorder="1"/>
    <xf numFmtId="179" fontId="8" fillId="15" borderId="27" xfId="2" applyNumberFormat="1" applyFont="1" applyFill="1" applyBorder="1"/>
    <xf numFmtId="179" fontId="16" fillId="15" borderId="24" xfId="2" applyNumberFormat="1" applyFont="1" applyFill="1" applyBorder="1"/>
    <xf numFmtId="179" fontId="8" fillId="15" borderId="24" xfId="2" applyNumberFormat="1" applyFont="1" applyFill="1" applyBorder="1"/>
    <xf numFmtId="179" fontId="21" fillId="15" borderId="24" xfId="2" applyNumberFormat="1" applyFont="1" applyFill="1" applyBorder="1"/>
    <xf numFmtId="168" fontId="8" fillId="17" borderId="24" xfId="2" applyNumberFormat="1" applyFont="1" applyFill="1" applyBorder="1"/>
    <xf numFmtId="43" fontId="3" fillId="15" borderId="28" xfId="2" applyNumberFormat="1" applyFont="1" applyFill="1" applyBorder="1"/>
    <xf numFmtId="168" fontId="8" fillId="15" borderId="42" xfId="2" applyNumberFormat="1" applyFont="1" applyFill="1" applyBorder="1"/>
    <xf numFmtId="168" fontId="8" fillId="15" borderId="21" xfId="35" applyNumberFormat="1" applyFont="1" applyFill="1" applyBorder="1"/>
    <xf numFmtId="168" fontId="8" fillId="15" borderId="0" xfId="35" applyNumberFormat="1" applyFont="1" applyFill="1" applyBorder="1"/>
    <xf numFmtId="168" fontId="8" fillId="15" borderId="22" xfId="35" applyNumberFormat="1" applyFont="1" applyFill="1" applyBorder="1"/>
    <xf numFmtId="168" fontId="8" fillId="15" borderId="25" xfId="2" applyNumberFormat="1" applyFont="1" applyFill="1" applyBorder="1"/>
    <xf numFmtId="168" fontId="3" fillId="15" borderId="62" xfId="2" applyNumberFormat="1" applyFont="1" applyFill="1" applyBorder="1"/>
    <xf numFmtId="168" fontId="3" fillId="15" borderId="42" xfId="2" applyNumberFormat="1" applyFont="1" applyFill="1" applyBorder="1"/>
    <xf numFmtId="168" fontId="3" fillId="15" borderId="21" xfId="35" applyNumberFormat="1" applyFont="1" applyFill="1" applyBorder="1"/>
    <xf numFmtId="168" fontId="3" fillId="15" borderId="0" xfId="35" applyNumberFormat="1" applyFont="1" applyFill="1" applyBorder="1"/>
    <xf numFmtId="168" fontId="3" fillId="15" borderId="22" xfId="35" applyNumberFormat="1" applyFont="1" applyFill="1" applyBorder="1"/>
    <xf numFmtId="168" fontId="3" fillId="15" borderId="62" xfId="35" applyNumberFormat="1" applyFont="1" applyFill="1" applyBorder="1"/>
    <xf numFmtId="168" fontId="5" fillId="15" borderId="0" xfId="35" applyNumberFormat="1" applyFont="1" applyFill="1" applyBorder="1"/>
    <xf numFmtId="168" fontId="3" fillId="15" borderId="42" xfId="2" applyNumberFormat="1" applyFont="1" applyFill="1" applyBorder="1" applyAlignment="1">
      <alignment vertical="center"/>
    </xf>
    <xf numFmtId="168" fontId="12" fillId="15" borderId="22" xfId="2" applyNumberFormat="1" applyFont="1" applyFill="1" applyBorder="1" applyAlignment="1">
      <alignment vertical="center"/>
    </xf>
    <xf numFmtId="168" fontId="12" fillId="15" borderId="11" xfId="2" applyNumberFormat="1" applyFont="1" applyFill="1" applyBorder="1" applyAlignment="1">
      <alignment vertical="center"/>
    </xf>
    <xf numFmtId="168" fontId="12" fillId="15" borderId="58" xfId="2" applyNumberFormat="1" applyFont="1" applyFill="1" applyBorder="1" applyAlignment="1">
      <alignment vertical="center"/>
    </xf>
    <xf numFmtId="168" fontId="12" fillId="15" borderId="21" xfId="2" applyNumberFormat="1" applyFont="1" applyFill="1" applyBorder="1" applyAlignment="1">
      <alignment vertical="center"/>
    </xf>
    <xf numFmtId="168" fontId="11" fillId="15" borderId="21" xfId="35" applyNumberFormat="1" applyFont="1" applyFill="1" applyBorder="1" applyAlignment="1">
      <alignment vertical="center"/>
    </xf>
    <xf numFmtId="168" fontId="11" fillId="15" borderId="0" xfId="35" applyNumberFormat="1" applyFont="1" applyFill="1" applyBorder="1" applyAlignment="1">
      <alignment vertical="center"/>
    </xf>
    <xf numFmtId="168" fontId="11" fillId="15" borderId="22" xfId="35" applyNumberFormat="1" applyFont="1" applyFill="1" applyBorder="1" applyAlignment="1">
      <alignment vertical="center"/>
    </xf>
    <xf numFmtId="168" fontId="11" fillId="15" borderId="62" xfId="35" applyNumberFormat="1" applyFont="1" applyFill="1" applyBorder="1" applyAlignment="1">
      <alignment vertical="center"/>
    </xf>
    <xf numFmtId="168" fontId="3" fillId="15" borderId="0" xfId="2" applyNumberFormat="1" applyFont="1" applyFill="1" applyAlignment="1">
      <alignment vertical="center"/>
    </xf>
    <xf numFmtId="168" fontId="8" fillId="15" borderId="11" xfId="35" applyNumberFormat="1" applyFont="1" applyFill="1" applyBorder="1"/>
    <xf numFmtId="168" fontId="8" fillId="15" borderId="62" xfId="35" applyNumberFormat="1" applyFont="1" applyFill="1" applyBorder="1"/>
    <xf numFmtId="168" fontId="3" fillId="15" borderId="11" xfId="37" applyNumberFormat="1" applyFont="1" applyFill="1" applyBorder="1"/>
    <xf numFmtId="168" fontId="3" fillId="15" borderId="69" xfId="2" applyNumberFormat="1" applyFont="1" applyFill="1" applyBorder="1"/>
    <xf numFmtId="168" fontId="3" fillId="15" borderId="23" xfId="2" applyNumberFormat="1" applyFont="1" applyFill="1" applyBorder="1"/>
    <xf numFmtId="168" fontId="20" fillId="15" borderId="0" xfId="2" applyNumberFormat="1" applyFont="1" applyFill="1"/>
    <xf numFmtId="168" fontId="3" fillId="15" borderId="67" xfId="2" applyNumberFormat="1" applyFont="1" applyFill="1" applyBorder="1"/>
    <xf numFmtId="168" fontId="3" fillId="15" borderId="40" xfId="2" applyNumberFormat="1" applyFont="1" applyFill="1" applyBorder="1"/>
    <xf numFmtId="168" fontId="3" fillId="15" borderId="39" xfId="2" applyNumberFormat="1" applyFont="1" applyFill="1" applyBorder="1"/>
    <xf numFmtId="168" fontId="3" fillId="15" borderId="9" xfId="2" applyNumberFormat="1" applyFont="1" applyFill="1" applyBorder="1"/>
    <xf numFmtId="168" fontId="3" fillId="15" borderId="41" xfId="2" applyNumberFormat="1" applyFont="1" applyFill="1" applyBorder="1"/>
    <xf numFmtId="168" fontId="3" fillId="15" borderId="63" xfId="2" applyNumberFormat="1" applyFont="1" applyFill="1" applyBorder="1"/>
    <xf numFmtId="168" fontId="3" fillId="15" borderId="26" xfId="2" applyNumberFormat="1" applyFont="1" applyFill="1" applyBorder="1"/>
    <xf numFmtId="164" fontId="10" fillId="15" borderId="54" xfId="57" applyNumberFormat="1" applyFont="1" applyFill="1" applyBorder="1"/>
    <xf numFmtId="164" fontId="3" fillId="15" borderId="54" xfId="57" applyNumberFormat="1" applyFont="1" applyFill="1" applyBorder="1" applyAlignment="1">
      <alignment horizontal="right"/>
    </xf>
    <xf numFmtId="168" fontId="21" fillId="15" borderId="11" xfId="2" applyNumberFormat="1" applyFont="1" applyFill="1" applyBorder="1"/>
    <xf numFmtId="185" fontId="16" fillId="15" borderId="0" xfId="2" applyNumberFormat="1" applyFont="1" applyFill="1" applyBorder="1"/>
    <xf numFmtId="166" fontId="10" fillId="15" borderId="42" xfId="2" applyNumberFormat="1" applyFont="1" applyFill="1" applyBorder="1"/>
    <xf numFmtId="7" fontId="10" fillId="15" borderId="11" xfId="37" applyNumberFormat="1" applyFont="1" applyFill="1" applyBorder="1"/>
    <xf numFmtId="7" fontId="10" fillId="15" borderId="21" xfId="37" applyNumberFormat="1" applyFont="1" applyFill="1" applyBorder="1"/>
    <xf numFmtId="7" fontId="10" fillId="15" borderId="0" xfId="37" applyNumberFormat="1" applyFont="1" applyFill="1" applyBorder="1"/>
    <xf numFmtId="7" fontId="10" fillId="15" borderId="22" xfId="37" applyNumberFormat="1" applyFont="1" applyFill="1" applyBorder="1"/>
    <xf numFmtId="7" fontId="24" fillId="15" borderId="0" xfId="37" applyNumberFormat="1" applyFont="1" applyFill="1" applyBorder="1"/>
    <xf numFmtId="170" fontId="10" fillId="15" borderId="22" xfId="37" applyNumberFormat="1" applyFont="1" applyFill="1" applyBorder="1"/>
    <xf numFmtId="7" fontId="10" fillId="15" borderId="62" xfId="37" applyNumberFormat="1" applyFont="1" applyFill="1" applyBorder="1"/>
    <xf numFmtId="7" fontId="10" fillId="15" borderId="58" xfId="37" applyNumberFormat="1" applyFont="1" applyFill="1" applyBorder="1"/>
    <xf numFmtId="198" fontId="8" fillId="15" borderId="0" xfId="35" applyNumberFormat="1" applyFont="1" applyFill="1" applyBorder="1"/>
    <xf numFmtId="198" fontId="8" fillId="15" borderId="58" xfId="35" applyNumberFormat="1" applyFont="1" applyFill="1" applyBorder="1"/>
    <xf numFmtId="198" fontId="8" fillId="15" borderId="21" xfId="35" applyNumberFormat="1" applyFont="1" applyFill="1" applyBorder="1"/>
    <xf numFmtId="164" fontId="10" fillId="15" borderId="42" xfId="2" applyNumberFormat="1" applyFont="1" applyFill="1" applyBorder="1"/>
    <xf numFmtId="164" fontId="10" fillId="15" borderId="11" xfId="57" applyNumberFormat="1" applyFont="1" applyFill="1" applyBorder="1" applyAlignment="1"/>
    <xf numFmtId="164" fontId="10" fillId="15" borderId="21" xfId="57" applyNumberFormat="1" applyFont="1" applyFill="1" applyBorder="1" applyAlignment="1"/>
    <xf numFmtId="164" fontId="10" fillId="15" borderId="0" xfId="57" applyNumberFormat="1" applyFont="1" applyFill="1" applyBorder="1" applyAlignment="1"/>
    <xf numFmtId="164" fontId="10" fillId="15" borderId="22" xfId="57" applyNumberFormat="1" applyFont="1" applyFill="1" applyBorder="1" applyAlignment="1"/>
    <xf numFmtId="164" fontId="10" fillId="15" borderId="62" xfId="57" applyNumberFormat="1" applyFont="1" applyFill="1" applyBorder="1" applyAlignment="1"/>
    <xf numFmtId="164" fontId="10" fillId="15" borderId="58" xfId="57" applyNumberFormat="1" applyFont="1" applyFill="1" applyBorder="1" applyAlignment="1"/>
    <xf numFmtId="173" fontId="10" fillId="15" borderId="0" xfId="2" applyNumberFormat="1" applyFont="1" applyFill="1" applyBorder="1"/>
    <xf numFmtId="173" fontId="10" fillId="15" borderId="22" xfId="2" applyNumberFormat="1" applyFont="1" applyFill="1" applyBorder="1"/>
    <xf numFmtId="0" fontId="10" fillId="16" borderId="61" xfId="53" applyFont="1" applyFill="1" applyBorder="1"/>
    <xf numFmtId="164" fontId="8" fillId="16" borderId="72" xfId="2" applyNumberFormat="1" applyFont="1" applyFill="1" applyBorder="1"/>
    <xf numFmtId="170" fontId="3" fillId="15" borderId="23" xfId="35" applyNumberFormat="1" applyFont="1" applyFill="1" applyBorder="1"/>
    <xf numFmtId="164" fontId="8" fillId="16" borderId="50" xfId="2" applyNumberFormat="1" applyFont="1" applyFill="1" applyBorder="1"/>
    <xf numFmtId="168" fontId="8" fillId="15" borderId="18" xfId="2" applyNumberFormat="1" applyFont="1" applyFill="1" applyBorder="1" applyAlignment="1">
      <alignment horizontal="center"/>
    </xf>
    <xf numFmtId="168" fontId="20" fillId="15" borderId="22" xfId="2" applyNumberFormat="1" applyFont="1" applyFill="1" applyBorder="1" applyAlignment="1">
      <alignment horizontal="center"/>
    </xf>
    <xf numFmtId="168" fontId="8" fillId="15" borderId="22" xfId="2" applyNumberFormat="1" applyFont="1" applyFill="1" applyBorder="1" applyAlignment="1">
      <alignment horizontal="center"/>
    </xf>
    <xf numFmtId="0" fontId="8" fillId="15" borderId="22" xfId="2" applyFont="1" applyFill="1" applyBorder="1" applyAlignment="1">
      <alignment horizontal="center"/>
    </xf>
    <xf numFmtId="0" fontId="3" fillId="16" borderId="18" xfId="2" applyFont="1" applyFill="1" applyBorder="1" applyAlignment="1">
      <alignment horizontal="center"/>
    </xf>
    <xf numFmtId="168" fontId="3" fillId="15" borderId="29" xfId="2" applyNumberFormat="1" applyFont="1" applyFill="1" applyBorder="1" applyAlignment="1">
      <alignment horizontal="center"/>
    </xf>
    <xf numFmtId="168" fontId="8" fillId="15" borderId="26" xfId="2" applyNumberFormat="1" applyFont="1" applyFill="1" applyBorder="1" applyAlignment="1">
      <alignment horizontal="center"/>
    </xf>
    <xf numFmtId="0" fontId="3" fillId="0" borderId="0" xfId="2" applyFont="1" applyBorder="1"/>
    <xf numFmtId="185" fontId="3" fillId="15" borderId="0" xfId="2" applyNumberFormat="1" applyFont="1" applyFill="1" applyBorder="1" applyAlignment="1">
      <alignment horizontal="center"/>
    </xf>
    <xf numFmtId="185" fontId="3" fillId="15" borderId="22" xfId="2" applyNumberFormat="1" applyFont="1" applyFill="1" applyBorder="1" applyAlignment="1">
      <alignment horizontal="center"/>
    </xf>
    <xf numFmtId="9" fontId="8" fillId="15" borderId="0" xfId="2" applyNumberFormat="1" applyFont="1" applyFill="1"/>
    <xf numFmtId="170" fontId="10" fillId="15" borderId="11" xfId="35" applyNumberFormat="1" applyFont="1" applyFill="1" applyBorder="1"/>
    <xf numFmtId="170" fontId="3" fillId="15" borderId="0" xfId="35" applyNumberFormat="1" applyFont="1" applyFill="1" applyBorder="1" applyAlignment="1">
      <alignment horizontal="right"/>
    </xf>
    <xf numFmtId="170" fontId="10" fillId="15" borderId="21" xfId="2" applyNumberFormat="1" applyFont="1" applyFill="1" applyBorder="1"/>
    <xf numFmtId="170" fontId="10" fillId="15" borderId="0" xfId="2" applyNumberFormat="1" applyFont="1" applyFill="1" applyBorder="1"/>
    <xf numFmtId="170" fontId="22" fillId="15" borderId="0" xfId="2" applyNumberFormat="1" applyFont="1" applyFill="1" applyBorder="1"/>
    <xf numFmtId="170" fontId="8" fillId="15" borderId="11" xfId="57" applyNumberFormat="1" applyFont="1" applyFill="1" applyBorder="1"/>
    <xf numFmtId="170" fontId="5" fillId="15" borderId="0" xfId="2" applyNumberFormat="1" applyFont="1" applyFill="1" applyBorder="1"/>
    <xf numFmtId="170" fontId="8" fillId="15" borderId="16" xfId="2" applyNumberFormat="1" applyFont="1" applyFill="1" applyBorder="1"/>
    <xf numFmtId="170" fontId="8" fillId="15" borderId="0" xfId="35" applyNumberFormat="1" applyFont="1" applyFill="1" applyBorder="1" applyAlignment="1">
      <alignment horizontal="right"/>
    </xf>
    <xf numFmtId="170" fontId="3" fillId="15" borderId="25" xfId="35" applyNumberFormat="1" applyFont="1" applyFill="1" applyBorder="1"/>
    <xf numFmtId="164" fontId="4" fillId="15" borderId="0" xfId="57" applyNumberFormat="1" applyFont="1" applyFill="1" applyBorder="1"/>
    <xf numFmtId="179" fontId="0" fillId="15" borderId="0" xfId="2" applyNumberFormat="1" applyFont="1" applyFill="1" applyBorder="1"/>
    <xf numFmtId="179" fontId="8" fillId="15" borderId="21" xfId="2" applyNumberFormat="1" applyFont="1" applyFill="1" applyBorder="1"/>
    <xf numFmtId="179" fontId="8" fillId="15" borderId="22" xfId="2" applyNumberFormat="1" applyFont="1" applyFill="1" applyBorder="1"/>
    <xf numFmtId="173" fontId="5" fillId="15" borderId="0" xfId="53" applyNumberFormat="1" applyFont="1" applyFill="1" applyBorder="1"/>
    <xf numFmtId="164" fontId="27" fillId="15" borderId="0" xfId="57" applyNumberFormat="1" applyFont="1" applyFill="1" applyBorder="1"/>
    <xf numFmtId="164" fontId="10" fillId="15" borderId="16" xfId="57" applyNumberFormat="1" applyFont="1" applyFill="1" applyBorder="1" applyAlignment="1">
      <alignment horizontal="left" indent="2"/>
    </xf>
    <xf numFmtId="164" fontId="24" fillId="15" borderId="16" xfId="57" applyNumberFormat="1" applyFont="1" applyFill="1" applyBorder="1"/>
    <xf numFmtId="164" fontId="24" fillId="15" borderId="17" xfId="57" applyNumberFormat="1" applyFont="1" applyFill="1" applyBorder="1"/>
    <xf numFmtId="164" fontId="10" fillId="15" borderId="18" xfId="57" applyNumberFormat="1" applyFont="1" applyFill="1" applyBorder="1"/>
    <xf numFmtId="164" fontId="10" fillId="15" borderId="16" xfId="57" applyNumberFormat="1" applyFont="1" applyFill="1" applyBorder="1"/>
    <xf numFmtId="170" fontId="8" fillId="15" borderId="0" xfId="35" applyNumberFormat="1" applyFont="1" applyFill="1"/>
    <xf numFmtId="170" fontId="8" fillId="15" borderId="24" xfId="35" applyNumberFormat="1" applyFont="1" applyFill="1" applyBorder="1"/>
    <xf numFmtId="170" fontId="8" fillId="15" borderId="27" xfId="35" applyNumberFormat="1" applyFont="1" applyFill="1" applyBorder="1"/>
    <xf numFmtId="168" fontId="3" fillId="15" borderId="0" xfId="35" applyNumberFormat="1" applyFont="1" applyFill="1"/>
    <xf numFmtId="168" fontId="3" fillId="15" borderId="11" xfId="35" applyNumberFormat="1" applyFont="1" applyFill="1" applyBorder="1"/>
    <xf numFmtId="168" fontId="8" fillId="15" borderId="24" xfId="35" applyNumberFormat="1" applyFont="1" applyFill="1" applyBorder="1"/>
    <xf numFmtId="168" fontId="8" fillId="15" borderId="27" xfId="35" applyNumberFormat="1" applyFont="1" applyFill="1" applyBorder="1"/>
    <xf numFmtId="168" fontId="5" fillId="15" borderId="28" xfId="2" applyNumberFormat="1" applyFont="1" applyFill="1" applyBorder="1"/>
    <xf numFmtId="170" fontId="3" fillId="15" borderId="20" xfId="35" applyNumberFormat="1" applyFont="1" applyFill="1" applyBorder="1"/>
    <xf numFmtId="170" fontId="3" fillId="15" borderId="29" xfId="35" applyNumberFormat="1" applyFont="1" applyFill="1" applyBorder="1"/>
    <xf numFmtId="0" fontId="8" fillId="15" borderId="23" xfId="2" applyFont="1" applyFill="1" applyBorder="1"/>
    <xf numFmtId="170" fontId="8" fillId="15" borderId="26" xfId="35" applyNumberFormat="1" applyFont="1" applyFill="1" applyBorder="1"/>
    <xf numFmtId="170" fontId="8" fillId="15" borderId="27" xfId="2" applyNumberFormat="1" applyFont="1" applyFill="1" applyBorder="1"/>
    <xf numFmtId="0" fontId="8" fillId="15" borderId="27" xfId="2" applyFont="1" applyFill="1" applyBorder="1"/>
    <xf numFmtId="0" fontId="20" fillId="15" borderId="21" xfId="2" applyFont="1" applyFill="1" applyBorder="1"/>
    <xf numFmtId="7" fontId="3" fillId="15" borderId="23" xfId="37" applyNumberFormat="1" applyFont="1" applyFill="1" applyBorder="1"/>
    <xf numFmtId="164" fontId="8" fillId="15" borderId="20" xfId="57" applyNumberFormat="1" applyFont="1" applyFill="1" applyBorder="1"/>
    <xf numFmtId="168" fontId="5" fillId="15" borderId="22" xfId="35" applyNumberFormat="1" applyFont="1" applyFill="1" applyBorder="1"/>
    <xf numFmtId="170" fontId="8" fillId="15" borderId="19" xfId="35" applyNumberFormat="1" applyFont="1" applyFill="1" applyBorder="1"/>
    <xf numFmtId="164" fontId="20" fillId="15" borderId="39" xfId="57" applyNumberFormat="1" applyFont="1" applyFill="1" applyBorder="1"/>
    <xf numFmtId="164" fontId="20" fillId="15" borderId="9" xfId="57" applyNumberFormat="1" applyFont="1" applyFill="1" applyBorder="1"/>
    <xf numFmtId="164" fontId="20" fillId="15" borderId="40" xfId="57" applyNumberFormat="1" applyFont="1" applyFill="1" applyBorder="1"/>
    <xf numFmtId="164" fontId="20" fillId="15" borderId="63" xfId="57" applyNumberFormat="1" applyFont="1" applyFill="1" applyBorder="1"/>
    <xf numFmtId="164" fontId="20" fillId="15" borderId="41" xfId="57" applyNumberFormat="1" applyFont="1" applyFill="1" applyBorder="1"/>
    <xf numFmtId="164" fontId="20" fillId="15" borderId="58" xfId="57" applyNumberFormat="1" applyFont="1" applyFill="1" applyBorder="1"/>
    <xf numFmtId="37" fontId="20" fillId="15" borderId="0" xfId="2" applyNumberFormat="1" applyFont="1" applyFill="1"/>
    <xf numFmtId="164" fontId="20" fillId="15" borderId="23" xfId="57" applyNumberFormat="1" applyFont="1" applyFill="1" applyBorder="1"/>
    <xf numFmtId="0" fontId="3" fillId="15" borderId="17" xfId="2" applyFont="1" applyFill="1" applyBorder="1"/>
    <xf numFmtId="0" fontId="3" fillId="15" borderId="18" xfId="2" applyFont="1" applyFill="1" applyBorder="1"/>
    <xf numFmtId="7" fontId="3" fillId="15" borderId="0" xfId="57" applyNumberFormat="1" applyFont="1" applyFill="1" applyBorder="1" applyAlignment="1">
      <alignment horizontal="right"/>
    </xf>
    <xf numFmtId="7" fontId="0" fillId="15" borderId="0" xfId="2" applyNumberFormat="1" applyFont="1" applyFill="1" applyBorder="1"/>
    <xf numFmtId="166" fontId="10" fillId="15" borderId="11" xfId="2" applyNumberFormat="1" applyFont="1" applyFill="1" applyBorder="1"/>
    <xf numFmtId="17" fontId="10" fillId="15" borderId="9" xfId="2" applyNumberFormat="1" applyFont="1" applyFill="1" applyBorder="1"/>
    <xf numFmtId="199" fontId="3" fillId="15" borderId="0" xfId="57" applyNumberFormat="1" applyFont="1" applyFill="1" applyBorder="1" applyAlignment="1">
      <alignment horizontal="right"/>
    </xf>
    <xf numFmtId="170" fontId="10" fillId="15" borderId="0" xfId="35" applyNumberFormat="1" applyFont="1" applyFill="1" applyBorder="1" applyAlignment="1">
      <alignment horizontal="right"/>
    </xf>
    <xf numFmtId="0" fontId="10" fillId="15" borderId="0" xfId="2" applyFont="1" applyFill="1" applyBorder="1" applyAlignment="1">
      <alignment horizontal="left"/>
    </xf>
    <xf numFmtId="170" fontId="24" fillId="15" borderId="0" xfId="35" applyNumberFormat="1" applyFont="1" applyFill="1" applyBorder="1"/>
    <xf numFmtId="0" fontId="3" fillId="15" borderId="16" xfId="2" applyFont="1" applyFill="1" applyBorder="1"/>
    <xf numFmtId="0" fontId="8" fillId="16" borderId="0" xfId="2" applyFont="1" applyFill="1" applyBorder="1" applyAlignment="1">
      <alignment horizontal="center"/>
    </xf>
    <xf numFmtId="9" fontId="3" fillId="15" borderId="24" xfId="57" applyFont="1" applyFill="1" applyBorder="1"/>
    <xf numFmtId="170" fontId="16" fillId="15" borderId="0" xfId="35" applyNumberFormat="1" applyFont="1" applyFill="1" applyBorder="1"/>
    <xf numFmtId="0" fontId="8" fillId="15" borderId="19" xfId="2" applyFont="1" applyFill="1" applyBorder="1"/>
    <xf numFmtId="164" fontId="10" fillId="15" borderId="0" xfId="57" applyNumberFormat="1" applyFont="1" applyFill="1" applyBorder="1" applyAlignment="1">
      <alignment horizontal="left" indent="2"/>
    </xf>
    <xf numFmtId="164" fontId="10" fillId="18" borderId="0" xfId="57" applyNumberFormat="1" applyFont="1" applyFill="1" applyBorder="1" applyAlignment="1"/>
    <xf numFmtId="164" fontId="10" fillId="18" borderId="22" xfId="57" applyNumberFormat="1" applyFont="1" applyFill="1" applyBorder="1" applyAlignment="1"/>
    <xf numFmtId="170" fontId="70" fillId="15" borderId="11" xfId="2" applyNumberFormat="1" applyFont="1" applyFill="1" applyBorder="1"/>
    <xf numFmtId="170" fontId="70" fillId="15" borderId="21" xfId="35" applyNumberFormat="1" applyFont="1" applyFill="1" applyBorder="1"/>
    <xf numFmtId="170" fontId="70" fillId="15" borderId="0" xfId="35" applyNumberFormat="1" applyFont="1" applyFill="1" applyBorder="1"/>
    <xf numFmtId="170" fontId="70" fillId="15" borderId="22" xfId="35" applyNumberFormat="1" applyFont="1" applyFill="1" applyBorder="1"/>
    <xf numFmtId="166" fontId="3" fillId="15" borderId="17" xfId="2" applyNumberFormat="1" applyFont="1" applyFill="1" applyBorder="1"/>
    <xf numFmtId="166" fontId="3" fillId="15" borderId="19" xfId="2" applyNumberFormat="1" applyFont="1" applyFill="1" applyBorder="1"/>
    <xf numFmtId="166" fontId="3" fillId="15" borderId="0" xfId="35" applyNumberFormat="1" applyFont="1" applyFill="1" applyBorder="1"/>
    <xf numFmtId="166" fontId="8" fillId="15" borderId="11" xfId="2" applyNumberFormat="1" applyFont="1" applyFill="1" applyBorder="1"/>
    <xf numFmtId="0" fontId="12" fillId="15" borderId="0" xfId="2" applyFont="1" applyFill="1"/>
    <xf numFmtId="164" fontId="11" fillId="15" borderId="0" xfId="57" applyNumberFormat="1" applyFont="1" applyFill="1" applyBorder="1"/>
    <xf numFmtId="164" fontId="11" fillId="15" borderId="11" xfId="57" applyNumberFormat="1" applyFont="1" applyFill="1" applyBorder="1"/>
    <xf numFmtId="7" fontId="5" fillId="15" borderId="0" xfId="2" applyNumberFormat="1" applyFont="1" applyFill="1" applyBorder="1"/>
    <xf numFmtId="10" fontId="8" fillId="15" borderId="27" xfId="57" applyNumberFormat="1" applyFont="1" applyFill="1" applyBorder="1"/>
    <xf numFmtId="10" fontId="8" fillId="15" borderId="24" xfId="57" applyNumberFormat="1" applyFont="1" applyFill="1" applyBorder="1"/>
    <xf numFmtId="0" fontId="3" fillId="15" borderId="0" xfId="2" applyNumberFormat="1" applyFont="1" applyFill="1" applyBorder="1"/>
    <xf numFmtId="170" fontId="5" fillId="15" borderId="28" xfId="35" applyNumberFormat="1" applyFont="1" applyFill="1" applyBorder="1"/>
    <xf numFmtId="173" fontId="3" fillId="15" borderId="0" xfId="53" applyNumberFormat="1" applyFont="1" applyFill="1" applyBorder="1" applyAlignment="1">
      <alignment horizontal="right"/>
    </xf>
    <xf numFmtId="0" fontId="8" fillId="15" borderId="25" xfId="2" applyFont="1" applyFill="1" applyBorder="1"/>
    <xf numFmtId="167" fontId="10" fillId="15" borderId="0" xfId="35" applyNumberFormat="1" applyFont="1" applyFill="1" applyBorder="1"/>
    <xf numFmtId="170" fontId="7" fillId="15" borderId="0" xfId="35" applyNumberFormat="1" applyFont="1" applyFill="1" applyBorder="1"/>
    <xf numFmtId="173" fontId="3" fillId="15" borderId="0" xfId="35" applyNumberFormat="1" applyFont="1" applyFill="1" applyBorder="1"/>
    <xf numFmtId="180" fontId="3" fillId="15" borderId="0" xfId="35" applyNumberFormat="1" applyFont="1" applyFill="1" applyBorder="1"/>
    <xf numFmtId="180" fontId="3" fillId="15" borderId="11" xfId="53" applyNumberFormat="1" applyFont="1" applyFill="1" applyBorder="1"/>
    <xf numFmtId="175" fontId="71" fillId="15" borderId="0" xfId="2" applyNumberFormat="1" applyFont="1" applyFill="1" applyBorder="1"/>
    <xf numFmtId="175" fontId="5" fillId="15" borderId="0" xfId="53" applyNumberFormat="1" applyFont="1" applyFill="1" applyBorder="1"/>
    <xf numFmtId="0" fontId="8" fillId="16" borderId="38" xfId="2" applyFont="1" applyFill="1" applyBorder="1" applyAlignment="1">
      <alignment horizontal="center" vertical="center"/>
    </xf>
    <xf numFmtId="170" fontId="8" fillId="15" borderId="0" xfId="57" applyNumberFormat="1" applyFont="1" applyFill="1" applyBorder="1"/>
    <xf numFmtId="170" fontId="20" fillId="15" borderId="0" xfId="35" applyNumberFormat="1" applyFont="1" applyFill="1" applyBorder="1"/>
    <xf numFmtId="170" fontId="3" fillId="15" borderId="58" xfId="35" applyNumberFormat="1" applyFont="1" applyFill="1" applyBorder="1"/>
    <xf numFmtId="170" fontId="5" fillId="15" borderId="58" xfId="35" applyNumberFormat="1" applyFont="1" applyFill="1" applyBorder="1"/>
    <xf numFmtId="170" fontId="8" fillId="15" borderId="59" xfId="35" applyNumberFormat="1" applyFont="1" applyFill="1" applyBorder="1"/>
    <xf numFmtId="170" fontId="23" fillId="15" borderId="0" xfId="35" applyNumberFormat="1" applyFont="1" applyFill="1" applyBorder="1"/>
    <xf numFmtId="170" fontId="28" fillId="15" borderId="11" xfId="35" applyNumberFormat="1" applyFont="1" applyFill="1" applyBorder="1"/>
    <xf numFmtId="170" fontId="23" fillId="15" borderId="11" xfId="35" applyNumberFormat="1" applyFont="1" applyFill="1" applyBorder="1"/>
    <xf numFmtId="170" fontId="23" fillId="15" borderId="58" xfId="35" applyNumberFormat="1" applyFont="1" applyFill="1" applyBorder="1"/>
    <xf numFmtId="170" fontId="23" fillId="15" borderId="0" xfId="35" applyNumberFormat="1" applyFont="1" applyFill="1"/>
    <xf numFmtId="170" fontId="28" fillId="15" borderId="58" xfId="35" applyNumberFormat="1" applyFont="1" applyFill="1" applyBorder="1"/>
    <xf numFmtId="170" fontId="8" fillId="15" borderId="69" xfId="35" applyNumberFormat="1" applyFont="1" applyFill="1" applyBorder="1"/>
    <xf numFmtId="170" fontId="8" fillId="15" borderId="46" xfId="35" applyNumberFormat="1" applyFont="1" applyFill="1" applyBorder="1"/>
    <xf numFmtId="170" fontId="8" fillId="15" borderId="45" xfId="35" applyNumberFormat="1" applyFont="1" applyFill="1" applyBorder="1"/>
    <xf numFmtId="170" fontId="8" fillId="15" borderId="60" xfId="35" applyNumberFormat="1" applyFont="1" applyFill="1" applyBorder="1"/>
    <xf numFmtId="167" fontId="10" fillId="15" borderId="0" xfId="35" applyNumberFormat="1" applyFont="1" applyFill="1"/>
    <xf numFmtId="167" fontId="10" fillId="15" borderId="0" xfId="2" applyNumberFormat="1" applyFont="1" applyFill="1"/>
    <xf numFmtId="7" fontId="10" fillId="15" borderId="0" xfId="2" applyNumberFormat="1" applyFont="1" applyFill="1"/>
    <xf numFmtId="170" fontId="24" fillId="15" borderId="21" xfId="35" applyNumberFormat="1" applyFont="1" applyFill="1" applyBorder="1"/>
    <xf numFmtId="176" fontId="3" fillId="15" borderId="0" xfId="37" applyNumberFormat="1" applyFont="1" applyFill="1"/>
    <xf numFmtId="176" fontId="3" fillId="15" borderId="11" xfId="37" applyNumberFormat="1" applyFont="1" applyFill="1" applyBorder="1"/>
    <xf numFmtId="166" fontId="10" fillId="15" borderId="21" xfId="2" applyNumberFormat="1" applyFont="1" applyFill="1" applyBorder="1" applyAlignment="1">
      <alignment horizontal="left" indent="1"/>
    </xf>
    <xf numFmtId="0" fontId="3" fillId="15" borderId="25" xfId="53" applyFont="1" applyFill="1" applyBorder="1"/>
    <xf numFmtId="192" fontId="3" fillId="15" borderId="11" xfId="52" applyNumberFormat="1" applyFont="1" applyFill="1" applyBorder="1" applyAlignment="1">
      <alignment horizontal="center"/>
    </xf>
    <xf numFmtId="0" fontId="3" fillId="15" borderId="19" xfId="2" applyFont="1" applyFill="1" applyBorder="1"/>
    <xf numFmtId="166" fontId="8" fillId="15" borderId="23" xfId="2" applyNumberFormat="1" applyFont="1" applyFill="1" applyBorder="1"/>
    <xf numFmtId="170" fontId="7" fillId="15" borderId="24" xfId="35" applyNumberFormat="1" applyFont="1" applyFill="1" applyBorder="1"/>
    <xf numFmtId="170" fontId="5" fillId="15" borderId="24" xfId="35" applyNumberFormat="1" applyFont="1" applyFill="1" applyBorder="1"/>
    <xf numFmtId="170" fontId="8" fillId="15" borderId="18" xfId="35" applyNumberFormat="1" applyFont="1" applyFill="1" applyBorder="1"/>
    <xf numFmtId="164" fontId="8" fillId="15" borderId="23" xfId="57" applyNumberFormat="1" applyFont="1" applyFill="1" applyBorder="1"/>
    <xf numFmtId="17" fontId="10" fillId="15" borderId="11" xfId="2" applyNumberFormat="1" applyFont="1" applyFill="1" applyBorder="1"/>
    <xf numFmtId="0" fontId="8" fillId="15" borderId="11" xfId="2" applyFont="1" applyFill="1" applyBorder="1" applyAlignment="1">
      <alignment horizontal="center"/>
    </xf>
    <xf numFmtId="0" fontId="8" fillId="15" borderId="11" xfId="53" applyFont="1" applyFill="1" applyBorder="1" applyAlignment="1">
      <alignment horizontal="center"/>
    </xf>
    <xf numFmtId="170" fontId="12" fillId="15" borderId="21" xfId="2" applyNumberFormat="1" applyFont="1" applyFill="1" applyBorder="1"/>
    <xf numFmtId="170" fontId="70" fillId="15" borderId="21" xfId="2" applyNumberFormat="1" applyFont="1" applyFill="1" applyBorder="1"/>
    <xf numFmtId="168" fontId="3" fillId="15" borderId="21" xfId="37" applyNumberFormat="1" applyFont="1" applyFill="1" applyBorder="1"/>
    <xf numFmtId="44" fontId="3" fillId="15" borderId="23" xfId="37" applyNumberFormat="1" applyFont="1" applyFill="1" applyBorder="1"/>
    <xf numFmtId="176" fontId="3" fillId="15" borderId="11" xfId="2" applyNumberFormat="1" applyFont="1" applyFill="1" applyBorder="1"/>
    <xf numFmtId="37" fontId="21" fillId="15" borderId="11" xfId="2" applyNumberFormat="1" applyFont="1" applyFill="1" applyBorder="1" applyAlignment="1">
      <alignment horizontal="right"/>
    </xf>
    <xf numFmtId="37" fontId="22" fillId="15" borderId="11" xfId="2" applyNumberFormat="1" applyFont="1" applyFill="1" applyBorder="1"/>
    <xf numFmtId="0" fontId="21" fillId="15" borderId="11" xfId="2" applyFont="1" applyFill="1" applyBorder="1" applyAlignment="1">
      <alignment horizontal="right"/>
    </xf>
    <xf numFmtId="164" fontId="3" fillId="15" borderId="17" xfId="57" applyNumberFormat="1" applyFont="1" applyFill="1" applyBorder="1"/>
    <xf numFmtId="164" fontId="3" fillId="15" borderId="19" xfId="57" applyNumberFormat="1" applyFont="1" applyFill="1" applyBorder="1"/>
    <xf numFmtId="164" fontId="5" fillId="15" borderId="17" xfId="2" applyNumberFormat="1" applyFont="1" applyFill="1" applyBorder="1"/>
    <xf numFmtId="170" fontId="3" fillId="16" borderId="21" xfId="35" applyNumberFormat="1" applyFont="1" applyFill="1" applyBorder="1"/>
    <xf numFmtId="170" fontId="3" fillId="16" borderId="0" xfId="35" applyNumberFormat="1" applyFont="1" applyFill="1" applyBorder="1"/>
    <xf numFmtId="37" fontId="8" fillId="16" borderId="11" xfId="2" applyNumberFormat="1" applyFont="1" applyFill="1" applyBorder="1" applyAlignment="1">
      <alignment horizontal="right"/>
    </xf>
    <xf numFmtId="170" fontId="3" fillId="16" borderId="22" xfId="35" applyNumberFormat="1" applyFont="1" applyFill="1" applyBorder="1"/>
    <xf numFmtId="170" fontId="3" fillId="16" borderId="11" xfId="35" applyNumberFormat="1" applyFont="1" applyFill="1" applyBorder="1"/>
    <xf numFmtId="168" fontId="3" fillId="16" borderId="0" xfId="35" applyNumberFormat="1" applyFont="1" applyFill="1"/>
    <xf numFmtId="168" fontId="3" fillId="16" borderId="11" xfId="35" applyNumberFormat="1" applyFont="1" applyFill="1" applyBorder="1"/>
    <xf numFmtId="170" fontId="3" fillId="16" borderId="0" xfId="35" applyNumberFormat="1" applyFont="1" applyFill="1"/>
    <xf numFmtId="170" fontId="5" fillId="16" borderId="0" xfId="35" applyNumberFormat="1" applyFont="1" applyFill="1"/>
    <xf numFmtId="170" fontId="8" fillId="15" borderId="23" xfId="35" applyNumberFormat="1" applyFont="1" applyFill="1" applyBorder="1"/>
    <xf numFmtId="170" fontId="8" fillId="15" borderId="24" xfId="2" applyNumberFormat="1" applyFont="1" applyFill="1" applyBorder="1"/>
    <xf numFmtId="164" fontId="8" fillId="15" borderId="26" xfId="57" applyNumberFormat="1" applyFont="1" applyFill="1" applyBorder="1"/>
    <xf numFmtId="10" fontId="5" fillId="15" borderId="21" xfId="57" applyNumberFormat="1" applyFont="1" applyFill="1" applyBorder="1"/>
    <xf numFmtId="10" fontId="5" fillId="15" borderId="22" xfId="57" applyNumberFormat="1" applyFont="1" applyFill="1" applyBorder="1"/>
    <xf numFmtId="203" fontId="8" fillId="15" borderId="0" xfId="2" applyNumberFormat="1" applyFont="1" applyFill="1" applyBorder="1"/>
    <xf numFmtId="168" fontId="3" fillId="15" borderId="25" xfId="35" applyNumberFormat="1" applyFont="1" applyFill="1" applyBorder="1"/>
    <xf numFmtId="202" fontId="8" fillId="15" borderId="0" xfId="35" applyNumberFormat="1" applyFont="1" applyFill="1" applyBorder="1"/>
    <xf numFmtId="168" fontId="8" fillId="15" borderId="17" xfId="35" applyNumberFormat="1" applyFont="1" applyFill="1" applyBorder="1"/>
    <xf numFmtId="168" fontId="3" fillId="15" borderId="17" xfId="35" applyNumberFormat="1" applyFont="1" applyFill="1" applyBorder="1"/>
    <xf numFmtId="168" fontId="5" fillId="15" borderId="17" xfId="35" applyNumberFormat="1" applyFont="1" applyFill="1" applyBorder="1"/>
    <xf numFmtId="168" fontId="8" fillId="15" borderId="18" xfId="35" applyNumberFormat="1" applyFont="1" applyFill="1" applyBorder="1"/>
    <xf numFmtId="168" fontId="3" fillId="15" borderId="24" xfId="35" applyNumberFormat="1" applyFont="1" applyFill="1" applyBorder="1"/>
    <xf numFmtId="168" fontId="5" fillId="15" borderId="24" xfId="35" applyNumberFormat="1" applyFont="1" applyFill="1" applyBorder="1"/>
    <xf numFmtId="168" fontId="3" fillId="15" borderId="26" xfId="35" applyNumberFormat="1" applyFont="1" applyFill="1" applyBorder="1"/>
    <xf numFmtId="168" fontId="3" fillId="15" borderId="19" xfId="35" applyNumberFormat="1" applyFont="1" applyFill="1" applyBorder="1"/>
    <xf numFmtId="168" fontId="3" fillId="15" borderId="27" xfId="35" applyNumberFormat="1" applyFont="1" applyFill="1" applyBorder="1"/>
    <xf numFmtId="164" fontId="8" fillId="15" borderId="19" xfId="57" applyNumberFormat="1" applyFont="1" applyFill="1" applyBorder="1"/>
    <xf numFmtId="166" fontId="10" fillId="15" borderId="11" xfId="51" applyNumberFormat="1" applyFont="1" applyFill="1" applyBorder="1" applyAlignment="1">
      <alignment horizontal="left"/>
    </xf>
    <xf numFmtId="173" fontId="7" fillId="15" borderId="0" xfId="57" applyNumberFormat="1" applyFont="1" applyFill="1" applyBorder="1"/>
    <xf numFmtId="173" fontId="3" fillId="15" borderId="11" xfId="57" applyNumberFormat="1" applyFont="1" applyFill="1" applyBorder="1"/>
    <xf numFmtId="173" fontId="71" fillId="15" borderId="0" xfId="57" applyNumberFormat="1" applyFont="1" applyFill="1" applyBorder="1"/>
    <xf numFmtId="9" fontId="3" fillId="15" borderId="24" xfId="57" applyNumberFormat="1" applyFont="1" applyFill="1" applyBorder="1"/>
    <xf numFmtId="9" fontId="3" fillId="15" borderId="27" xfId="57" applyNumberFormat="1" applyFont="1" applyFill="1" applyBorder="1"/>
    <xf numFmtId="0" fontId="8" fillId="15" borderId="21" xfId="2" quotePrefix="1" applyFont="1" applyFill="1" applyBorder="1"/>
    <xf numFmtId="164" fontId="3" fillId="15" borderId="27" xfId="2" applyNumberFormat="1" applyFont="1" applyFill="1" applyBorder="1"/>
    <xf numFmtId="2" fontId="3" fillId="15" borderId="0" xfId="2" applyNumberFormat="1" applyFont="1" applyFill="1" applyBorder="1" applyAlignment="1">
      <alignment horizontal="right"/>
    </xf>
    <xf numFmtId="170" fontId="16" fillId="15" borderId="11" xfId="35" applyNumberFormat="1" applyFont="1" applyFill="1" applyBorder="1"/>
    <xf numFmtId="180" fontId="7" fillId="15" borderId="0" xfId="2" applyNumberFormat="1" applyFont="1" applyFill="1" applyBorder="1" applyAlignment="1">
      <alignment horizontal="center"/>
    </xf>
    <xf numFmtId="180" fontId="7" fillId="15" borderId="33" xfId="2" applyNumberFormat="1" applyFont="1" applyFill="1" applyBorder="1" applyAlignment="1">
      <alignment horizontal="center"/>
    </xf>
    <xf numFmtId="164" fontId="10" fillId="15" borderId="14" xfId="57" applyNumberFormat="1" applyFont="1" applyFill="1" applyBorder="1" applyAlignment="1">
      <alignment horizontal="center"/>
    </xf>
    <xf numFmtId="164" fontId="10" fillId="15" borderId="15" xfId="57" applyNumberFormat="1" applyFont="1" applyFill="1" applyBorder="1" applyAlignment="1">
      <alignment horizontal="center"/>
    </xf>
    <xf numFmtId="0" fontId="10" fillId="16" borderId="73" xfId="2" applyFont="1" applyFill="1" applyBorder="1" applyAlignment="1">
      <alignment horizontal="centerContinuous"/>
    </xf>
    <xf numFmtId="164" fontId="10" fillId="16" borderId="0" xfId="57" applyNumberFormat="1" applyFont="1" applyFill="1" applyBorder="1" applyAlignment="1">
      <alignment horizontal="center"/>
    </xf>
    <xf numFmtId="44" fontId="16" fillId="15" borderId="0" xfId="37" applyFont="1" applyFill="1" applyBorder="1" applyAlignment="1">
      <alignment horizontal="center"/>
    </xf>
    <xf numFmtId="0" fontId="1" fillId="15" borderId="0" xfId="50" applyFill="1" applyBorder="1"/>
    <xf numFmtId="7" fontId="3" fillId="15" borderId="0" xfId="57" applyNumberFormat="1" applyFont="1" applyFill="1" applyBorder="1" applyAlignment="1">
      <alignment horizontal="center"/>
    </xf>
    <xf numFmtId="170" fontId="71" fillId="15" borderId="0" xfId="35" applyNumberFormat="1" applyFont="1" applyFill="1" applyBorder="1"/>
    <xf numFmtId="170" fontId="73" fillId="15" borderId="0" xfId="35" applyNumberFormat="1" applyFont="1" applyFill="1" applyBorder="1"/>
    <xf numFmtId="166" fontId="8" fillId="15" borderId="11" xfId="51" applyNumberFormat="1" applyFont="1" applyFill="1" applyBorder="1" applyAlignment="1">
      <alignment horizontal="left"/>
    </xf>
    <xf numFmtId="164" fontId="3" fillId="15" borderId="24" xfId="35" applyNumberFormat="1" applyFont="1" applyFill="1" applyBorder="1"/>
    <xf numFmtId="0" fontId="0" fillId="15" borderId="0" xfId="2" applyFont="1" applyFill="1" applyAlignment="1">
      <alignment horizontal="right"/>
    </xf>
    <xf numFmtId="0" fontId="8" fillId="16" borderId="17" xfId="2" applyFont="1" applyFill="1" applyBorder="1" applyAlignment="1">
      <alignment horizontal="right"/>
    </xf>
    <xf numFmtId="0" fontId="3" fillId="16" borderId="17" xfId="2" applyFont="1" applyFill="1" applyBorder="1" applyAlignment="1">
      <alignment horizontal="right"/>
    </xf>
    <xf numFmtId="0" fontId="3" fillId="16" borderId="18" xfId="2" applyFont="1" applyFill="1" applyBorder="1" applyAlignment="1">
      <alignment horizontal="right"/>
    </xf>
    <xf numFmtId="0" fontId="9" fillId="15" borderId="0" xfId="2" applyFont="1" applyFill="1" applyBorder="1" applyAlignment="1">
      <alignment horizontal="right"/>
    </xf>
    <xf numFmtId="0" fontId="3" fillId="15" borderId="22" xfId="2" applyFont="1" applyFill="1" applyBorder="1" applyAlignment="1">
      <alignment horizontal="right"/>
    </xf>
    <xf numFmtId="14" fontId="10" fillId="15" borderId="0" xfId="2" applyNumberFormat="1" applyFont="1" applyFill="1" applyBorder="1" applyAlignment="1">
      <alignment horizontal="right"/>
    </xf>
    <xf numFmtId="0" fontId="10" fillId="15" borderId="41" xfId="2" applyFont="1" applyFill="1" applyBorder="1" applyAlignment="1">
      <alignment horizontal="right"/>
    </xf>
    <xf numFmtId="0" fontId="8" fillId="16" borderId="38" xfId="2" applyFont="1" applyFill="1" applyBorder="1" applyAlignment="1">
      <alignment horizontal="right"/>
    </xf>
    <xf numFmtId="0" fontId="16" fillId="16" borderId="38" xfId="2" applyFont="1" applyFill="1" applyBorder="1" applyAlignment="1">
      <alignment horizontal="right"/>
    </xf>
    <xf numFmtId="0" fontId="8" fillId="16" borderId="64" xfId="2" applyFont="1" applyFill="1" applyBorder="1" applyAlignment="1">
      <alignment horizontal="right"/>
    </xf>
    <xf numFmtId="168" fontId="8" fillId="15" borderId="0" xfId="35" applyNumberFormat="1" applyFont="1" applyFill="1" applyBorder="1" applyAlignment="1">
      <alignment horizontal="right"/>
    </xf>
    <xf numFmtId="164" fontId="8" fillId="15" borderId="62" xfId="57" applyNumberFormat="1" applyFont="1" applyFill="1" applyBorder="1" applyAlignment="1">
      <alignment horizontal="right"/>
    </xf>
    <xf numFmtId="168" fontId="3" fillId="15" borderId="0" xfId="2" applyNumberFormat="1" applyFont="1" applyFill="1" applyBorder="1" applyAlignment="1">
      <alignment horizontal="right"/>
    </xf>
    <xf numFmtId="168" fontId="3" fillId="15" borderId="0" xfId="35" applyNumberFormat="1" applyFont="1" applyFill="1" applyBorder="1" applyAlignment="1">
      <alignment horizontal="right"/>
    </xf>
    <xf numFmtId="168" fontId="5" fillId="15" borderId="0" xfId="35" applyNumberFormat="1" applyFont="1" applyFill="1" applyBorder="1" applyAlignment="1">
      <alignment horizontal="right"/>
    </xf>
    <xf numFmtId="168" fontId="11" fillId="15" borderId="0" xfId="35" applyNumberFormat="1" applyFont="1" applyFill="1" applyBorder="1" applyAlignment="1">
      <alignment horizontal="right" vertical="center"/>
    </xf>
    <xf numFmtId="7" fontId="10" fillId="15" borderId="0" xfId="37" applyNumberFormat="1" applyFont="1" applyFill="1" applyBorder="1" applyAlignment="1">
      <alignment horizontal="right"/>
    </xf>
    <xf numFmtId="7" fontId="8" fillId="15" borderId="17" xfId="2" applyNumberFormat="1" applyFont="1" applyFill="1" applyBorder="1" applyAlignment="1">
      <alignment horizontal="right"/>
    </xf>
    <xf numFmtId="164" fontId="8" fillId="15" borderId="65" xfId="57" applyNumberFormat="1" applyFont="1" applyFill="1" applyBorder="1" applyAlignment="1">
      <alignment horizontal="right"/>
    </xf>
    <xf numFmtId="7" fontId="3" fillId="15" borderId="0" xfId="2" applyNumberFormat="1" applyFont="1" applyFill="1" applyBorder="1" applyAlignment="1">
      <alignment horizontal="right"/>
    </xf>
    <xf numFmtId="164" fontId="3" fillId="16" borderId="65" xfId="2" applyNumberFormat="1" applyFont="1" applyFill="1" applyBorder="1" applyAlignment="1">
      <alignment horizontal="right"/>
    </xf>
    <xf numFmtId="164" fontId="3" fillId="15" borderId="62" xfId="2" applyNumberFormat="1" applyFont="1" applyFill="1" applyBorder="1" applyAlignment="1">
      <alignment horizontal="right"/>
    </xf>
    <xf numFmtId="164" fontId="3" fillId="15" borderId="0" xfId="2" applyNumberFormat="1" applyFont="1" applyFill="1" applyBorder="1" applyAlignment="1">
      <alignment horizontal="right"/>
    </xf>
    <xf numFmtId="164" fontId="8" fillId="15" borderId="0" xfId="2" applyNumberFormat="1" applyFont="1" applyFill="1" applyBorder="1" applyAlignment="1">
      <alignment horizontal="right"/>
    </xf>
    <xf numFmtId="0" fontId="3" fillId="15" borderId="62" xfId="2" applyFont="1" applyFill="1" applyBorder="1" applyAlignment="1">
      <alignment horizontal="right"/>
    </xf>
    <xf numFmtId="0" fontId="3" fillId="16" borderId="65" xfId="2" applyFont="1" applyFill="1" applyBorder="1" applyAlignment="1">
      <alignment horizontal="right"/>
    </xf>
    <xf numFmtId="0" fontId="10" fillId="15" borderId="62" xfId="2" applyFont="1" applyFill="1" applyBorder="1" applyAlignment="1">
      <alignment horizontal="right"/>
    </xf>
    <xf numFmtId="0" fontId="8" fillId="15" borderId="62" xfId="2" applyFont="1" applyFill="1" applyBorder="1" applyAlignment="1">
      <alignment horizontal="right"/>
    </xf>
    <xf numFmtId="164" fontId="3" fillId="16" borderId="17" xfId="57" applyNumberFormat="1" applyFont="1" applyFill="1" applyBorder="1" applyAlignment="1">
      <alignment horizontal="right"/>
    </xf>
    <xf numFmtId="164" fontId="3" fillId="16" borderId="23" xfId="57" applyNumberFormat="1" applyFont="1" applyFill="1" applyBorder="1" applyAlignment="1">
      <alignment horizontal="right"/>
    </xf>
    <xf numFmtId="164" fontId="3" fillId="16" borderId="24" xfId="57" applyNumberFormat="1" applyFont="1" applyFill="1" applyBorder="1" applyAlignment="1">
      <alignment horizontal="right"/>
    </xf>
    <xf numFmtId="164" fontId="3" fillId="16" borderId="26" xfId="57" applyNumberFormat="1" applyFont="1" applyFill="1" applyBorder="1" applyAlignment="1">
      <alignment horizontal="right"/>
    </xf>
    <xf numFmtId="170" fontId="3" fillId="15" borderId="21" xfId="35" applyNumberFormat="1" applyFont="1" applyFill="1" applyBorder="1" applyAlignment="1">
      <alignment horizontal="right"/>
    </xf>
    <xf numFmtId="170" fontId="3" fillId="15" borderId="22" xfId="35" applyNumberFormat="1" applyFont="1" applyFill="1" applyBorder="1" applyAlignment="1">
      <alignment horizontal="right"/>
    </xf>
    <xf numFmtId="164" fontId="3" fillId="16" borderId="16" xfId="57" applyNumberFormat="1" applyFont="1" applyFill="1" applyBorder="1" applyAlignment="1">
      <alignment horizontal="right"/>
    </xf>
    <xf numFmtId="164" fontId="3" fillId="16" borderId="18" xfId="57" applyNumberFormat="1" applyFont="1" applyFill="1" applyBorder="1" applyAlignment="1">
      <alignment horizontal="right"/>
    </xf>
    <xf numFmtId="170" fontId="3" fillId="15" borderId="23" xfId="35" applyNumberFormat="1" applyFont="1" applyFill="1" applyBorder="1" applyAlignment="1">
      <alignment horizontal="right"/>
    </xf>
    <xf numFmtId="170" fontId="3" fillId="15" borderId="24" xfId="35" applyNumberFormat="1" applyFont="1" applyFill="1" applyBorder="1" applyAlignment="1">
      <alignment horizontal="right"/>
    </xf>
    <xf numFmtId="170" fontId="3" fillId="15" borderId="26" xfId="35" applyNumberFormat="1" applyFont="1" applyFill="1" applyBorder="1" applyAlignment="1">
      <alignment horizontal="right"/>
    </xf>
    <xf numFmtId="0" fontId="8" fillId="15" borderId="0" xfId="2" applyFont="1" applyFill="1" applyAlignment="1">
      <alignment horizontal="right"/>
    </xf>
    <xf numFmtId="0" fontId="10" fillId="15" borderId="0" xfId="2" applyFont="1" applyFill="1" applyBorder="1" applyAlignment="1">
      <alignment horizontal="right"/>
    </xf>
    <xf numFmtId="0" fontId="10" fillId="15" borderId="0" xfId="2" applyFont="1" applyFill="1" applyAlignment="1">
      <alignment horizontal="right"/>
    </xf>
    <xf numFmtId="179" fontId="3" fillId="15" borderId="0" xfId="2" applyNumberFormat="1" applyFont="1" applyFill="1" applyBorder="1" applyAlignment="1">
      <alignment horizontal="right"/>
    </xf>
    <xf numFmtId="0" fontId="15" fillId="15" borderId="0" xfId="2" applyFont="1" applyFill="1" applyAlignment="1">
      <alignment horizontal="right"/>
    </xf>
    <xf numFmtId="164" fontId="10" fillId="15" borderId="0" xfId="57" applyNumberFormat="1" applyFont="1" applyFill="1" applyAlignment="1">
      <alignment horizontal="right"/>
    </xf>
    <xf numFmtId="0" fontId="4" fillId="15" borderId="0" xfId="2" applyFont="1" applyFill="1" applyAlignment="1">
      <alignment horizontal="right"/>
    </xf>
    <xf numFmtId="0" fontId="27" fillId="15" borderId="0" xfId="2" applyFont="1" applyFill="1" applyAlignment="1">
      <alignment horizontal="right"/>
    </xf>
    <xf numFmtId="0" fontId="43" fillId="15" borderId="0" xfId="2" applyFont="1" applyFill="1" applyBorder="1"/>
    <xf numFmtId="0" fontId="8" fillId="15" borderId="74" xfId="50" applyFont="1" applyFill="1" applyBorder="1"/>
    <xf numFmtId="164" fontId="10" fillId="15" borderId="12" xfId="57" applyNumberFormat="1" applyFont="1" applyFill="1" applyBorder="1" applyAlignment="1">
      <alignment horizontal="center"/>
    </xf>
    <xf numFmtId="175" fontId="3" fillId="15" borderId="12" xfId="50" applyNumberFormat="1" applyFont="1" applyFill="1" applyBorder="1" applyAlignment="1">
      <alignment horizontal="center"/>
    </xf>
    <xf numFmtId="0" fontId="0" fillId="15" borderId="12" xfId="2" applyFont="1" applyFill="1" applyBorder="1"/>
    <xf numFmtId="0" fontId="1" fillId="15" borderId="13" xfId="2" applyFont="1" applyFill="1" applyBorder="1"/>
    <xf numFmtId="0" fontId="8" fillId="16" borderId="32" xfId="50" applyFont="1" applyFill="1" applyBorder="1"/>
    <xf numFmtId="0" fontId="8" fillId="16" borderId="33" xfId="2" applyFont="1" applyFill="1" applyBorder="1" applyAlignment="1">
      <alignment horizontal="center"/>
    </xf>
    <xf numFmtId="0" fontId="7" fillId="15" borderId="32" xfId="50" applyFont="1" applyFill="1" applyBorder="1"/>
    <xf numFmtId="0" fontId="7" fillId="15" borderId="33" xfId="2" applyFont="1" applyFill="1" applyBorder="1"/>
    <xf numFmtId="0" fontId="8" fillId="15" borderId="32" xfId="50" applyFont="1" applyFill="1" applyBorder="1" applyAlignment="1">
      <alignment horizontal="left"/>
    </xf>
    <xf numFmtId="187" fontId="8" fillId="15" borderId="33" xfId="50" applyNumberFormat="1" applyFont="1" applyFill="1" applyBorder="1" applyAlignment="1">
      <alignment horizontal="center"/>
    </xf>
    <xf numFmtId="164" fontId="8" fillId="15" borderId="33" xfId="57" applyNumberFormat="1" applyFont="1" applyFill="1" applyBorder="1" applyAlignment="1">
      <alignment horizontal="center"/>
    </xf>
    <xf numFmtId="0" fontId="0" fillId="15" borderId="33" xfId="2" applyFont="1" applyFill="1" applyBorder="1"/>
    <xf numFmtId="0" fontId="3" fillId="15" borderId="32" xfId="50" applyFont="1" applyFill="1" applyBorder="1" applyAlignment="1">
      <alignment horizontal="left"/>
    </xf>
    <xf numFmtId="7" fontId="3" fillId="15" borderId="33" xfId="57" applyNumberFormat="1" applyFont="1" applyFill="1" applyBorder="1" applyAlignment="1">
      <alignment horizontal="center"/>
    </xf>
    <xf numFmtId="199" fontId="3" fillId="15" borderId="0" xfId="2" applyNumberFormat="1" applyFont="1" applyFill="1" applyBorder="1" applyAlignment="1">
      <alignment horizontal="right"/>
    </xf>
    <xf numFmtId="199" fontId="8" fillId="15" borderId="0" xfId="2" applyNumberFormat="1" applyFont="1" applyFill="1" applyBorder="1" applyAlignment="1">
      <alignment horizontal="right"/>
    </xf>
    <xf numFmtId="199" fontId="3" fillId="15" borderId="62" xfId="2" applyNumberFormat="1" applyFont="1" applyFill="1" applyBorder="1" applyAlignment="1">
      <alignment horizontal="right"/>
    </xf>
    <xf numFmtId="199" fontId="8" fillId="15" borderId="62" xfId="2" applyNumberFormat="1" applyFont="1" applyFill="1" applyBorder="1" applyAlignment="1">
      <alignment horizontal="right"/>
    </xf>
    <xf numFmtId="164" fontId="8" fillId="16" borderId="23" xfId="2" applyNumberFormat="1" applyFont="1" applyFill="1" applyBorder="1"/>
    <xf numFmtId="164" fontId="8" fillId="15" borderId="27" xfId="57" applyNumberFormat="1" applyFont="1" applyFill="1" applyBorder="1" applyAlignment="1"/>
    <xf numFmtId="164" fontId="8" fillId="15" borderId="23" xfId="57" applyNumberFormat="1" applyFont="1" applyFill="1" applyBorder="1" applyAlignment="1"/>
    <xf numFmtId="164" fontId="8" fillId="15" borderId="24" xfId="57" applyNumberFormat="1" applyFont="1" applyFill="1" applyBorder="1" applyAlignment="1"/>
    <xf numFmtId="164" fontId="8" fillId="15" borderId="26" xfId="57" applyNumberFormat="1" applyFont="1" applyFill="1" applyBorder="1" applyAlignment="1"/>
    <xf numFmtId="164" fontId="8" fillId="15" borderId="27" xfId="57" applyNumberFormat="1" applyFont="1" applyFill="1" applyBorder="1" applyAlignment="1">
      <alignment horizontal="right"/>
    </xf>
    <xf numFmtId="164" fontId="8" fillId="15" borderId="24" xfId="57" applyNumberFormat="1" applyFont="1" applyFill="1" applyBorder="1" applyAlignment="1">
      <alignment horizontal="right"/>
    </xf>
    <xf numFmtId="164" fontId="8" fillId="15" borderId="26" xfId="57" applyNumberFormat="1" applyFont="1" applyFill="1" applyBorder="1" applyAlignment="1">
      <alignment horizontal="right"/>
    </xf>
    <xf numFmtId="164" fontId="3" fillId="15" borderId="24" xfId="57" applyNumberFormat="1" applyFont="1" applyFill="1" applyBorder="1" applyAlignment="1"/>
    <xf numFmtId="164" fontId="3" fillId="15" borderId="27" xfId="57" applyNumberFormat="1" applyFont="1" applyFill="1" applyBorder="1" applyAlignment="1"/>
    <xf numFmtId="164" fontId="3" fillId="15" borderId="66" xfId="57" applyNumberFormat="1" applyFont="1" applyFill="1" applyBorder="1" applyAlignment="1"/>
    <xf numFmtId="164" fontId="3" fillId="15" borderId="26" xfId="57" applyNumberFormat="1" applyFont="1" applyFill="1" applyBorder="1" applyAlignment="1"/>
    <xf numFmtId="164" fontId="3" fillId="15" borderId="23" xfId="57" applyNumberFormat="1" applyFont="1" applyFill="1" applyBorder="1" applyAlignment="1"/>
    <xf numFmtId="37" fontId="31" fillId="15" borderId="27" xfId="2" applyNumberFormat="1" applyFont="1" applyFill="1" applyBorder="1"/>
    <xf numFmtId="164" fontId="3" fillId="15" borderId="69" xfId="57" applyNumberFormat="1" applyFont="1" applyFill="1" applyBorder="1" applyAlignment="1"/>
    <xf numFmtId="173" fontId="3" fillId="15" borderId="0" xfId="2" applyNumberFormat="1" applyFont="1" applyFill="1" applyBorder="1"/>
    <xf numFmtId="173" fontId="3" fillId="15" borderId="0" xfId="57" applyNumberFormat="1" applyFont="1" applyFill="1" applyBorder="1"/>
    <xf numFmtId="164" fontId="75" fillId="15" borderId="22" xfId="57" applyNumberFormat="1" applyFont="1" applyFill="1" applyBorder="1"/>
    <xf numFmtId="164" fontId="75" fillId="15" borderId="21" xfId="57" applyNumberFormat="1" applyFont="1" applyFill="1" applyBorder="1"/>
    <xf numFmtId="164" fontId="75" fillId="15" borderId="0" xfId="57" applyNumberFormat="1" applyFont="1" applyFill="1" applyBorder="1"/>
    <xf numFmtId="0" fontId="76" fillId="15" borderId="0" xfId="2" applyFont="1" applyFill="1" applyBorder="1" applyAlignment="1">
      <alignment horizontal="center"/>
    </xf>
    <xf numFmtId="9" fontId="3" fillId="15" borderId="42" xfId="2" applyNumberFormat="1" applyFont="1" applyFill="1" applyBorder="1"/>
    <xf numFmtId="0" fontId="3" fillId="15" borderId="54" xfId="2" applyFont="1" applyFill="1" applyBorder="1"/>
    <xf numFmtId="9" fontId="3" fillId="15" borderId="58" xfId="57" applyFont="1" applyFill="1" applyBorder="1"/>
    <xf numFmtId="9" fontId="5" fillId="15" borderId="0" xfId="57" applyFont="1" applyFill="1" applyBorder="1"/>
    <xf numFmtId="9" fontId="5" fillId="15" borderId="11" xfId="57" applyFont="1" applyFill="1" applyBorder="1"/>
    <xf numFmtId="2" fontId="3" fillId="16" borderId="16" xfId="2" applyNumberFormat="1" applyFont="1" applyFill="1" applyBorder="1" applyAlignment="1">
      <alignment horizontal="left"/>
    </xf>
    <xf numFmtId="0" fontId="8" fillId="15" borderId="17" xfId="2" applyFont="1" applyFill="1" applyBorder="1" applyAlignment="1">
      <alignment horizontal="center"/>
    </xf>
    <xf numFmtId="0" fontId="8" fillId="16" borderId="17" xfId="2" applyFont="1" applyFill="1" applyBorder="1" applyAlignment="1">
      <alignment horizontal="centerContinuous"/>
    </xf>
    <xf numFmtId="0" fontId="16" fillId="16" borderId="18" xfId="2" applyFont="1" applyFill="1" applyBorder="1" applyAlignment="1">
      <alignment horizontal="center"/>
    </xf>
    <xf numFmtId="168" fontId="77" fillId="15" borderId="0" xfId="35" applyNumberFormat="1" applyFont="1" applyFill="1" applyBorder="1"/>
    <xf numFmtId="168" fontId="77" fillId="15" borderId="24" xfId="35" applyNumberFormat="1" applyFont="1" applyFill="1" applyBorder="1"/>
    <xf numFmtId="170" fontId="77" fillId="15" borderId="0" xfId="35" applyNumberFormat="1" applyFont="1" applyFill="1" applyBorder="1"/>
    <xf numFmtId="170" fontId="78" fillId="15" borderId="0" xfId="35" applyNumberFormat="1" applyFont="1" applyFill="1" applyBorder="1"/>
    <xf numFmtId="170" fontId="78" fillId="15" borderId="24" xfId="2" applyNumberFormat="1" applyFont="1" applyFill="1" applyBorder="1"/>
    <xf numFmtId="170" fontId="77" fillId="15" borderId="0" xfId="35" applyNumberFormat="1" applyFont="1" applyFill="1"/>
    <xf numFmtId="168" fontId="78" fillId="15" borderId="24" xfId="35" applyNumberFormat="1" applyFont="1" applyFill="1" applyBorder="1"/>
    <xf numFmtId="49" fontId="0" fillId="0" borderId="0" xfId="0" applyNumberFormat="1"/>
    <xf numFmtId="164" fontId="3" fillId="16" borderId="0" xfId="57" applyNumberFormat="1" applyFont="1" applyFill="1" applyBorder="1" applyAlignment="1">
      <alignment horizontal="right"/>
    </xf>
    <xf numFmtId="201" fontId="3" fillId="15" borderId="0" xfId="57" applyNumberFormat="1" applyFont="1" applyFill="1" applyBorder="1"/>
    <xf numFmtId="201" fontId="3" fillId="15" borderId="11" xfId="57" applyNumberFormat="1" applyFont="1" applyFill="1" applyBorder="1"/>
    <xf numFmtId="201" fontId="8" fillId="15" borderId="0" xfId="57" applyNumberFormat="1" applyFont="1" applyFill="1" applyBorder="1"/>
    <xf numFmtId="201" fontId="8" fillId="15" borderId="11" xfId="57" applyNumberFormat="1" applyFont="1" applyFill="1" applyBorder="1"/>
    <xf numFmtId="166" fontId="8" fillId="15" borderId="0" xfId="35" applyNumberFormat="1" applyFont="1" applyFill="1" applyBorder="1"/>
    <xf numFmtId="164" fontId="20" fillId="15" borderId="20" xfId="57" applyNumberFormat="1" applyFont="1" applyFill="1" applyBorder="1"/>
    <xf numFmtId="164" fontId="20" fillId="15" borderId="28" xfId="57" applyNumberFormat="1" applyFont="1" applyFill="1" applyBorder="1"/>
    <xf numFmtId="198" fontId="8" fillId="15" borderId="11" xfId="35" applyNumberFormat="1" applyFont="1" applyFill="1" applyBorder="1"/>
    <xf numFmtId="164" fontId="10" fillId="0" borderId="0" xfId="57" applyNumberFormat="1" applyFont="1" applyFill="1" applyBorder="1"/>
    <xf numFmtId="199" fontId="3" fillId="15" borderId="11" xfId="57" applyNumberFormat="1" applyFont="1" applyFill="1" applyBorder="1"/>
    <xf numFmtId="199" fontId="3" fillId="15" borderId="0" xfId="57" applyNumberFormat="1" applyFont="1" applyFill="1" applyBorder="1"/>
    <xf numFmtId="199" fontId="80" fillId="15" borderId="0" xfId="57" applyNumberFormat="1" applyFont="1" applyFill="1" applyBorder="1"/>
    <xf numFmtId="0" fontId="0" fillId="19" borderId="0" xfId="0" applyFill="1"/>
    <xf numFmtId="170" fontId="20" fillId="15" borderId="11" xfId="35" applyNumberFormat="1" applyFont="1" applyFill="1" applyBorder="1"/>
    <xf numFmtId="0" fontId="1" fillId="0" borderId="0" xfId="0" applyFont="1"/>
    <xf numFmtId="211" fontId="16" fillId="15" borderId="0" xfId="57" applyNumberFormat="1" applyFont="1" applyFill="1" applyBorder="1"/>
    <xf numFmtId="170" fontId="16" fillId="15" borderId="21" xfId="35" applyNumberFormat="1" applyFont="1" applyFill="1" applyBorder="1"/>
    <xf numFmtId="0" fontId="15" fillId="0" borderId="0" xfId="0" applyFont="1"/>
    <xf numFmtId="170" fontId="80" fillId="15" borderId="0" xfId="35" applyNumberFormat="1" applyFont="1" applyFill="1" applyBorder="1"/>
    <xf numFmtId="170" fontId="81" fillId="15" borderId="0" xfId="35" applyNumberFormat="1" applyFont="1" applyFill="1" applyBorder="1"/>
    <xf numFmtId="0" fontId="27" fillId="0" borderId="0" xfId="0" applyFont="1"/>
    <xf numFmtId="164" fontId="80" fillId="15" borderId="0" xfId="57" applyNumberFormat="1" applyFont="1" applyFill="1" applyBorder="1" applyAlignment="1">
      <alignment horizontal="right"/>
    </xf>
    <xf numFmtId="164" fontId="35" fillId="15" borderId="11" xfId="57" applyNumberFormat="1" applyFont="1" applyFill="1" applyBorder="1" applyAlignment="1">
      <alignment vertical="center" textRotation="180"/>
    </xf>
    <xf numFmtId="200" fontId="3" fillId="15" borderId="0" xfId="57" applyNumberFormat="1" applyFont="1" applyFill="1" applyBorder="1"/>
    <xf numFmtId="199" fontId="5" fillId="15" borderId="0" xfId="57" applyNumberFormat="1" applyFont="1" applyFill="1" applyBorder="1"/>
    <xf numFmtId="164" fontId="3" fillId="19" borderId="11" xfId="57" applyNumberFormat="1" applyFont="1" applyFill="1" applyBorder="1"/>
    <xf numFmtId="164" fontId="10" fillId="19" borderId="11" xfId="57" applyNumberFormat="1" applyFont="1" applyFill="1" applyBorder="1"/>
    <xf numFmtId="170" fontId="8" fillId="19" borderId="11" xfId="35" applyNumberFormat="1" applyFont="1" applyFill="1" applyBorder="1"/>
    <xf numFmtId="164" fontId="83" fillId="15" borderId="0" xfId="57" applyNumberFormat="1" applyFont="1" applyFill="1" applyBorder="1"/>
    <xf numFmtId="0" fontId="10" fillId="15" borderId="21" xfId="53" applyFont="1" applyFill="1" applyBorder="1"/>
    <xf numFmtId="164" fontId="81" fillId="15" borderId="0" xfId="57" applyNumberFormat="1" applyFont="1" applyFill="1" applyBorder="1" applyAlignment="1">
      <alignment horizontal="right"/>
    </xf>
    <xf numFmtId="0" fontId="10" fillId="16" borderId="17" xfId="2" applyFont="1" applyFill="1" applyBorder="1"/>
    <xf numFmtId="168" fontId="10" fillId="15" borderId="17" xfId="35" applyNumberFormat="1" applyFont="1" applyFill="1" applyBorder="1"/>
    <xf numFmtId="0" fontId="1" fillId="15" borderId="0" xfId="2" applyFont="1" applyFill="1" applyAlignment="1">
      <alignment horizontal="right"/>
    </xf>
    <xf numFmtId="170" fontId="8" fillId="15" borderId="26" xfId="2" applyNumberFormat="1" applyFont="1" applyFill="1" applyBorder="1"/>
    <xf numFmtId="0" fontId="10" fillId="15" borderId="23" xfId="2" applyFont="1" applyFill="1" applyBorder="1"/>
    <xf numFmtId="0" fontId="10" fillId="15" borderId="24" xfId="2" applyFont="1" applyFill="1" applyBorder="1"/>
    <xf numFmtId="170" fontId="10" fillId="15" borderId="24" xfId="2" applyNumberFormat="1" applyFont="1" applyFill="1" applyBorder="1"/>
    <xf numFmtId="170" fontId="10" fillId="15" borderId="26" xfId="2" applyNumberFormat="1" applyFont="1" applyFill="1" applyBorder="1"/>
    <xf numFmtId="170" fontId="80" fillId="15" borderId="58" xfId="35" applyNumberFormat="1" applyFont="1" applyFill="1" applyBorder="1"/>
    <xf numFmtId="170" fontId="81" fillId="15" borderId="58" xfId="35" applyNumberFormat="1" applyFont="1" applyFill="1" applyBorder="1"/>
    <xf numFmtId="170" fontId="81" fillId="15" borderId="17" xfId="35" applyNumberFormat="1" applyFont="1" applyFill="1" applyBorder="1"/>
    <xf numFmtId="170" fontId="81" fillId="15" borderId="59" xfId="35" applyNumberFormat="1" applyFont="1" applyFill="1" applyBorder="1"/>
    <xf numFmtId="170" fontId="84" fillId="15" borderId="0" xfId="35" applyNumberFormat="1" applyFont="1" applyFill="1"/>
    <xf numFmtId="170" fontId="84" fillId="15" borderId="58" xfId="35" applyNumberFormat="1" applyFont="1" applyFill="1" applyBorder="1"/>
    <xf numFmtId="170" fontId="81" fillId="15" borderId="24" xfId="35" applyNumberFormat="1" applyFont="1" applyFill="1" applyBorder="1"/>
    <xf numFmtId="170" fontId="81" fillId="15" borderId="69" xfId="35" applyNumberFormat="1" applyFont="1" applyFill="1" applyBorder="1"/>
    <xf numFmtId="170" fontId="81" fillId="15" borderId="46" xfId="35" applyNumberFormat="1" applyFont="1" applyFill="1" applyBorder="1"/>
    <xf numFmtId="170" fontId="81" fillId="15" borderId="60" xfId="35" applyNumberFormat="1" applyFont="1" applyFill="1" applyBorder="1"/>
    <xf numFmtId="170" fontId="85" fillId="15" borderId="0" xfId="35" applyNumberFormat="1" applyFont="1" applyFill="1" applyBorder="1"/>
    <xf numFmtId="170" fontId="86" fillId="15" borderId="0" xfId="35" applyNumberFormat="1" applyFont="1" applyFill="1" applyBorder="1"/>
    <xf numFmtId="170" fontId="86" fillId="15" borderId="11" xfId="35" applyNumberFormat="1" applyFont="1" applyFill="1" applyBorder="1"/>
    <xf numFmtId="0" fontId="10" fillId="15" borderId="0" xfId="53" applyFont="1" applyFill="1" applyBorder="1"/>
    <xf numFmtId="164" fontId="3" fillId="16" borderId="28" xfId="57" applyNumberFormat="1" applyFont="1" applyFill="1" applyBorder="1" applyAlignment="1"/>
    <xf numFmtId="172" fontId="10" fillId="15" borderId="21" xfId="57" applyNumberFormat="1" applyFont="1" applyFill="1" applyBorder="1"/>
    <xf numFmtId="164" fontId="10" fillId="15" borderId="58" xfId="57" applyNumberFormat="1" applyFont="1" applyFill="1" applyBorder="1"/>
    <xf numFmtId="172" fontId="10" fillId="15" borderId="0" xfId="57" applyNumberFormat="1" applyFont="1" applyFill="1" applyBorder="1"/>
    <xf numFmtId="172" fontId="10" fillId="15" borderId="11" xfId="57" applyNumberFormat="1" applyFont="1" applyFill="1" applyBorder="1"/>
    <xf numFmtId="164" fontId="10" fillId="15" borderId="62" xfId="57" applyNumberFormat="1" applyFont="1" applyFill="1" applyBorder="1"/>
    <xf numFmtId="164" fontId="3" fillId="16" borderId="57" xfId="57" applyNumberFormat="1" applyFont="1" applyFill="1" applyBorder="1" applyAlignment="1"/>
    <xf numFmtId="0" fontId="8" fillId="21" borderId="21" xfId="53" applyFont="1" applyFill="1" applyBorder="1"/>
    <xf numFmtId="170" fontId="8" fillId="21" borderId="11" xfId="2" applyNumberFormat="1" applyFont="1" applyFill="1" applyBorder="1"/>
    <xf numFmtId="170" fontId="70" fillId="21" borderId="21" xfId="35" applyNumberFormat="1" applyFont="1" applyFill="1" applyBorder="1"/>
    <xf numFmtId="170" fontId="70" fillId="21" borderId="0" xfId="35" applyNumberFormat="1" applyFont="1" applyFill="1" applyBorder="1"/>
    <xf numFmtId="170" fontId="70" fillId="21" borderId="22" xfId="35" applyNumberFormat="1" applyFont="1" applyFill="1" applyBorder="1"/>
    <xf numFmtId="170" fontId="8" fillId="21" borderId="0" xfId="35" applyNumberFormat="1" applyFont="1" applyFill="1" applyBorder="1"/>
    <xf numFmtId="170" fontId="8" fillId="21" borderId="22" xfId="35" applyNumberFormat="1" applyFont="1" applyFill="1" applyBorder="1"/>
    <xf numFmtId="170" fontId="8" fillId="21" borderId="22" xfId="2" applyNumberFormat="1" applyFont="1" applyFill="1" applyBorder="1"/>
    <xf numFmtId="170" fontId="8" fillId="21" borderId="21" xfId="35" applyNumberFormat="1" applyFont="1" applyFill="1" applyBorder="1"/>
    <xf numFmtId="170" fontId="8" fillId="21" borderId="21" xfId="2" applyNumberFormat="1" applyFont="1" applyFill="1" applyBorder="1"/>
    <xf numFmtId="0" fontId="8" fillId="21" borderId="11" xfId="2" applyFont="1" applyFill="1" applyBorder="1"/>
    <xf numFmtId="170" fontId="8" fillId="21" borderId="11" xfId="35" applyNumberFormat="1" applyFont="1" applyFill="1" applyBorder="1"/>
    <xf numFmtId="0" fontId="8" fillId="22" borderId="21" xfId="53" applyFont="1" applyFill="1" applyBorder="1"/>
    <xf numFmtId="170" fontId="3" fillId="22" borderId="11" xfId="2" applyNumberFormat="1" applyFont="1" applyFill="1" applyBorder="1"/>
    <xf numFmtId="170" fontId="14" fillId="22" borderId="21" xfId="35" applyNumberFormat="1" applyFont="1" applyFill="1" applyBorder="1"/>
    <xf numFmtId="170" fontId="14" fillId="22" borderId="0" xfId="35" applyNumberFormat="1" applyFont="1" applyFill="1" applyBorder="1"/>
    <xf numFmtId="170" fontId="12" fillId="22" borderId="22" xfId="35" applyNumberFormat="1" applyFont="1" applyFill="1" applyBorder="1"/>
    <xf numFmtId="170" fontId="12" fillId="22" borderId="0" xfId="35" applyNumberFormat="1" applyFont="1" applyFill="1" applyBorder="1"/>
    <xf numFmtId="170" fontId="3" fillId="22" borderId="0" xfId="35" applyNumberFormat="1" applyFont="1" applyFill="1" applyBorder="1"/>
    <xf numFmtId="170" fontId="3" fillId="22" borderId="22" xfId="35" applyNumberFormat="1" applyFont="1" applyFill="1" applyBorder="1"/>
    <xf numFmtId="170" fontId="3" fillId="22" borderId="22" xfId="2" applyNumberFormat="1" applyFont="1" applyFill="1" applyBorder="1"/>
    <xf numFmtId="170" fontId="3" fillId="22" borderId="21" xfId="35" applyNumberFormat="1" applyFont="1" applyFill="1" applyBorder="1"/>
    <xf numFmtId="170" fontId="5" fillId="22" borderId="0" xfId="35" applyNumberFormat="1" applyFont="1" applyFill="1" applyBorder="1"/>
    <xf numFmtId="170" fontId="3" fillId="22" borderId="21" xfId="2" applyNumberFormat="1" applyFont="1" applyFill="1" applyBorder="1"/>
    <xf numFmtId="0" fontId="3" fillId="22" borderId="11" xfId="2" applyFont="1" applyFill="1" applyBorder="1"/>
    <xf numFmtId="170" fontId="12" fillId="22" borderId="21" xfId="35" applyNumberFormat="1" applyFont="1" applyFill="1" applyBorder="1"/>
    <xf numFmtId="170" fontId="87" fillId="15" borderId="21" xfId="35" applyNumberFormat="1" applyFont="1" applyFill="1" applyBorder="1"/>
    <xf numFmtId="170" fontId="87" fillId="15" borderId="0" xfId="35" applyNumberFormat="1" applyFont="1" applyFill="1" applyBorder="1"/>
    <xf numFmtId="170" fontId="87" fillId="15" borderId="22" xfId="35" applyNumberFormat="1" applyFont="1" applyFill="1" applyBorder="1"/>
    <xf numFmtId="0" fontId="88" fillId="15" borderId="0" xfId="2" applyFont="1" applyFill="1" applyBorder="1"/>
    <xf numFmtId="0" fontId="20" fillId="15" borderId="0" xfId="2" applyFont="1" applyFill="1" applyBorder="1" applyAlignment="1">
      <alignment horizontal="right"/>
    </xf>
    <xf numFmtId="0" fontId="20" fillId="15" borderId="0" xfId="2" applyFont="1" applyFill="1" applyAlignment="1">
      <alignment horizontal="right"/>
    </xf>
    <xf numFmtId="0" fontId="88" fillId="0" borderId="0" xfId="0" applyFont="1"/>
    <xf numFmtId="172" fontId="8" fillId="15" borderId="20" xfId="57" applyNumberFormat="1" applyFont="1" applyFill="1" applyBorder="1"/>
    <xf numFmtId="172" fontId="8" fillId="15" borderId="28" xfId="57" applyNumberFormat="1" applyFont="1" applyFill="1" applyBorder="1"/>
    <xf numFmtId="172" fontId="8" fillId="15" borderId="25" xfId="57" applyNumberFormat="1" applyFont="1" applyFill="1" applyBorder="1"/>
    <xf numFmtId="172" fontId="8" fillId="15" borderId="70" xfId="57" applyNumberFormat="1" applyFont="1" applyFill="1" applyBorder="1"/>
    <xf numFmtId="172" fontId="8" fillId="15" borderId="29" xfId="57" applyNumberFormat="1" applyFont="1" applyFill="1" applyBorder="1"/>
    <xf numFmtId="5" fontId="8" fillId="15" borderId="57" xfId="57" applyNumberFormat="1" applyFont="1" applyFill="1" applyBorder="1"/>
    <xf numFmtId="5" fontId="8" fillId="15" borderId="20" xfId="57" applyNumberFormat="1" applyFont="1" applyFill="1" applyBorder="1"/>
    <xf numFmtId="5" fontId="8" fillId="15" borderId="28" xfId="57" applyNumberFormat="1" applyFont="1" applyFill="1" applyBorder="1"/>
    <xf numFmtId="172" fontId="8" fillId="15" borderId="21" xfId="57" applyNumberFormat="1" applyFont="1" applyFill="1" applyBorder="1"/>
    <xf numFmtId="172" fontId="8" fillId="15" borderId="0" xfId="57" applyNumberFormat="1" applyFont="1" applyFill="1" applyBorder="1"/>
    <xf numFmtId="172" fontId="8" fillId="15" borderId="11" xfId="57" applyNumberFormat="1" applyFont="1" applyFill="1" applyBorder="1"/>
    <xf numFmtId="172" fontId="8" fillId="15" borderId="62" xfId="57" applyNumberFormat="1" applyFont="1" applyFill="1" applyBorder="1"/>
    <xf numFmtId="172" fontId="8" fillId="15" borderId="22" xfId="57" applyNumberFormat="1" applyFont="1" applyFill="1" applyBorder="1"/>
    <xf numFmtId="5" fontId="8" fillId="15" borderId="58" xfId="57" applyNumberFormat="1" applyFont="1" applyFill="1" applyBorder="1"/>
    <xf numFmtId="5" fontId="8" fillId="15" borderId="21" xfId="57" applyNumberFormat="1" applyFont="1" applyFill="1" applyBorder="1"/>
    <xf numFmtId="5" fontId="8" fillId="15" borderId="0" xfId="57" applyNumberFormat="1" applyFont="1" applyFill="1" applyBorder="1"/>
    <xf numFmtId="5" fontId="8" fillId="15" borderId="22" xfId="57" applyNumberFormat="1" applyFont="1" applyFill="1" applyBorder="1"/>
    <xf numFmtId="5" fontId="8" fillId="15" borderId="54" xfId="57" applyNumberFormat="1" applyFont="1" applyFill="1" applyBorder="1"/>
    <xf numFmtId="2" fontId="8" fillId="15" borderId="21" xfId="2" applyNumberFormat="1" applyFont="1" applyFill="1" applyBorder="1"/>
    <xf numFmtId="0" fontId="8" fillId="15" borderId="17" xfId="53" applyFont="1" applyFill="1" applyBorder="1"/>
    <xf numFmtId="0" fontId="3" fillId="15" borderId="32" xfId="50" applyFont="1" applyFill="1" applyBorder="1"/>
    <xf numFmtId="0" fontId="1" fillId="15" borderId="12" xfId="2" applyFont="1" applyFill="1" applyBorder="1"/>
    <xf numFmtId="0" fontId="3" fillId="15" borderId="35" xfId="50" applyFont="1" applyFill="1" applyBorder="1" applyAlignment="1">
      <alignment horizontal="left"/>
    </xf>
    <xf numFmtId="0" fontId="4" fillId="15" borderId="14" xfId="50" applyFont="1" applyFill="1" applyBorder="1" applyAlignment="1">
      <alignment horizontal="center"/>
    </xf>
    <xf numFmtId="187" fontId="3" fillId="15" borderId="14" xfId="50" applyNumberFormat="1" applyFont="1" applyFill="1" applyBorder="1" applyAlignment="1">
      <alignment horizontal="center"/>
    </xf>
    <xf numFmtId="187" fontId="3" fillId="15" borderId="14" xfId="50" applyNumberFormat="1" applyFont="1" applyFill="1" applyBorder="1"/>
    <xf numFmtId="164" fontId="3" fillId="15" borderId="14" xfId="57" applyNumberFormat="1" applyFont="1" applyFill="1" applyBorder="1" applyAlignment="1">
      <alignment horizontal="center"/>
    </xf>
    <xf numFmtId="7" fontId="3" fillId="15" borderId="14" xfId="57" applyNumberFormat="1" applyFont="1" applyFill="1" applyBorder="1" applyAlignment="1">
      <alignment horizontal="center"/>
    </xf>
    <xf numFmtId="9" fontId="3" fillId="15" borderId="14" xfId="57" applyFont="1" applyFill="1" applyBorder="1" applyAlignment="1">
      <alignment horizontal="center"/>
    </xf>
    <xf numFmtId="9" fontId="3" fillId="15" borderId="15" xfId="57" applyFont="1" applyFill="1" applyBorder="1" applyAlignment="1">
      <alignment horizontal="center"/>
    </xf>
    <xf numFmtId="0" fontId="0" fillId="19" borderId="32" xfId="0" applyFill="1" applyBorder="1"/>
    <xf numFmtId="0" fontId="0" fillId="19" borderId="0" xfId="0" applyFill="1" applyBorder="1"/>
    <xf numFmtId="164" fontId="20" fillId="19" borderId="0" xfId="57" applyNumberFormat="1" applyFont="1" applyFill="1"/>
    <xf numFmtId="164" fontId="3" fillId="19" borderId="0" xfId="57" applyNumberFormat="1" applyFont="1" applyFill="1" applyBorder="1"/>
    <xf numFmtId="0" fontId="27" fillId="19" borderId="0" xfId="0" applyFont="1" applyFill="1"/>
    <xf numFmtId="164" fontId="3" fillId="19" borderId="0" xfId="57" applyNumberFormat="1" applyFont="1" applyFill="1" applyBorder="1" applyAlignment="1"/>
    <xf numFmtId="37" fontId="31" fillId="19" borderId="11" xfId="2" applyNumberFormat="1" applyFont="1" applyFill="1" applyBorder="1"/>
    <xf numFmtId="0" fontId="3" fillId="19" borderId="0" xfId="2" applyFont="1" applyFill="1"/>
    <xf numFmtId="164" fontId="3" fillId="19" borderId="21" xfId="57" applyNumberFormat="1" applyFont="1" applyFill="1" applyBorder="1" applyAlignment="1"/>
    <xf numFmtId="167" fontId="3" fillId="19" borderId="0" xfId="35" applyNumberFormat="1" applyFont="1" applyFill="1" applyBorder="1" applyAlignment="1"/>
    <xf numFmtId="167" fontId="8" fillId="19" borderId="0" xfId="35" applyNumberFormat="1" applyFont="1" applyFill="1" applyBorder="1" applyAlignment="1"/>
    <xf numFmtId="164" fontId="10" fillId="19" borderId="0" xfId="57" applyNumberFormat="1" applyFont="1" applyFill="1" applyBorder="1" applyAlignment="1"/>
    <xf numFmtId="167" fontId="3" fillId="19" borderId="25" xfId="35" applyNumberFormat="1" applyFont="1" applyFill="1" applyBorder="1" applyAlignment="1"/>
    <xf numFmtId="164" fontId="10" fillId="19" borderId="11" xfId="57" applyNumberFormat="1" applyFont="1" applyFill="1" applyBorder="1" applyAlignment="1"/>
    <xf numFmtId="167" fontId="3" fillId="19" borderId="11" xfId="35" applyNumberFormat="1" applyFont="1" applyFill="1" applyBorder="1" applyAlignment="1"/>
    <xf numFmtId="167" fontId="8" fillId="19" borderId="11" xfId="35" applyNumberFormat="1" applyFont="1" applyFill="1" applyBorder="1" applyAlignment="1"/>
    <xf numFmtId="164" fontId="10" fillId="19" borderId="27" xfId="57" applyNumberFormat="1" applyFont="1" applyFill="1" applyBorder="1" applyAlignment="1"/>
    <xf numFmtId="173" fontId="80" fillId="15" borderId="0" xfId="53" applyNumberFormat="1" applyFont="1" applyFill="1" applyBorder="1"/>
    <xf numFmtId="175" fontId="3" fillId="15" borderId="0" xfId="2" applyNumberFormat="1" applyFont="1" applyFill="1"/>
    <xf numFmtId="213" fontId="3" fillId="15" borderId="0" xfId="2" applyNumberFormat="1" applyFont="1" applyFill="1"/>
    <xf numFmtId="37" fontId="22" fillId="15" borderId="11" xfId="2" applyNumberFormat="1" applyFont="1" applyFill="1" applyBorder="1" applyAlignment="1">
      <alignment horizontal="right"/>
    </xf>
    <xf numFmtId="164" fontId="80" fillId="15" borderId="0" xfId="57" applyNumberFormat="1" applyFont="1" applyFill="1" applyBorder="1"/>
    <xf numFmtId="0" fontId="8" fillId="15" borderId="18" xfId="2" applyFont="1" applyFill="1" applyBorder="1"/>
    <xf numFmtId="0" fontId="15" fillId="15" borderId="17" xfId="2" applyFont="1" applyFill="1" applyBorder="1"/>
    <xf numFmtId="0" fontId="10" fillId="15" borderId="17" xfId="2" applyFont="1" applyFill="1" applyBorder="1" applyAlignment="1">
      <alignment horizontal="right"/>
    </xf>
    <xf numFmtId="0" fontId="3" fillId="0" borderId="0" xfId="2" applyFont="1" applyFill="1"/>
    <xf numFmtId="168" fontId="3" fillId="19" borderId="0" xfId="2" applyNumberFormat="1" applyFont="1" applyFill="1" applyBorder="1"/>
    <xf numFmtId="168" fontId="3" fillId="19" borderId="0" xfId="35" applyNumberFormat="1" applyFont="1" applyFill="1" applyBorder="1"/>
    <xf numFmtId="168" fontId="12" fillId="19" borderId="0" xfId="35" applyNumberFormat="1" applyFont="1" applyFill="1" applyBorder="1"/>
    <xf numFmtId="168" fontId="5" fillId="19" borderId="0" xfId="35" applyNumberFormat="1" applyFont="1" applyFill="1" applyBorder="1"/>
    <xf numFmtId="168" fontId="12" fillId="19" borderId="21" xfId="2" applyNumberFormat="1" applyFont="1" applyFill="1" applyBorder="1" applyAlignment="1">
      <alignment vertical="center"/>
    </xf>
    <xf numFmtId="198" fontId="8" fillId="19" borderId="21" xfId="2" applyNumberFormat="1" applyFont="1" applyFill="1" applyBorder="1"/>
    <xf numFmtId="198" fontId="8" fillId="19" borderId="0" xfId="2" applyNumberFormat="1" applyFont="1" applyFill="1" applyBorder="1"/>
    <xf numFmtId="168" fontId="20" fillId="19" borderId="0" xfId="2" applyNumberFormat="1" applyFont="1" applyFill="1" applyBorder="1"/>
    <xf numFmtId="168" fontId="11" fillId="19" borderId="0" xfId="35" applyNumberFormat="1" applyFont="1" applyFill="1" applyBorder="1" applyAlignment="1">
      <alignment vertical="center"/>
    </xf>
    <xf numFmtId="198" fontId="8" fillId="19" borderId="0" xfId="35" applyNumberFormat="1" applyFont="1" applyFill="1" applyBorder="1"/>
    <xf numFmtId="3" fontId="3" fillId="19" borderId="0" xfId="50" applyNumberFormat="1" applyFont="1" applyFill="1" applyBorder="1" applyAlignment="1">
      <alignment horizontal="center"/>
    </xf>
    <xf numFmtId="164" fontId="10" fillId="19" borderId="62" xfId="57" applyNumberFormat="1" applyFont="1" applyFill="1" applyBorder="1" applyAlignment="1"/>
    <xf numFmtId="166" fontId="3" fillId="19" borderId="11" xfId="51" applyNumberFormat="1" applyFont="1" applyFill="1" applyBorder="1" applyAlignment="1">
      <alignment horizontal="left"/>
    </xf>
    <xf numFmtId="164" fontId="7" fillId="19" borderId="11" xfId="57" applyNumberFormat="1" applyFont="1" applyFill="1" applyBorder="1"/>
    <xf numFmtId="164" fontId="7" fillId="19" borderId="0" xfId="57" applyNumberFormat="1" applyFont="1" applyFill="1" applyBorder="1"/>
    <xf numFmtId="164" fontId="3" fillId="19" borderId="21" xfId="57" applyNumberFormat="1" applyFont="1" applyFill="1" applyBorder="1"/>
    <xf numFmtId="0" fontId="3" fillId="19" borderId="11" xfId="2" applyFont="1" applyFill="1" applyBorder="1"/>
    <xf numFmtId="0" fontId="3" fillId="19" borderId="0" xfId="2" applyFont="1" applyFill="1" applyBorder="1" applyAlignment="1">
      <alignment horizontal="right"/>
    </xf>
    <xf numFmtId="0" fontId="0" fillId="19" borderId="0" xfId="2" applyFont="1" applyFill="1" applyAlignment="1">
      <alignment horizontal="right"/>
    </xf>
    <xf numFmtId="0" fontId="3" fillId="19" borderId="0" xfId="2" applyFont="1" applyFill="1" applyAlignment="1">
      <alignment horizontal="right"/>
    </xf>
    <xf numFmtId="0" fontId="8" fillId="19" borderId="0" xfId="2" applyFont="1" applyFill="1" applyBorder="1"/>
    <xf numFmtId="0" fontId="8" fillId="19" borderId="0" xfId="2" applyFont="1" applyFill="1"/>
    <xf numFmtId="179" fontId="0" fillId="19" borderId="0" xfId="0" applyNumberFormat="1" applyFill="1" applyBorder="1"/>
    <xf numFmtId="167" fontId="3" fillId="19" borderId="20" xfId="35" applyNumberFormat="1" applyFont="1" applyFill="1" applyBorder="1" applyAlignment="1"/>
    <xf numFmtId="164" fontId="10" fillId="19" borderId="21" xfId="57" applyNumberFormat="1" applyFont="1" applyFill="1" applyBorder="1" applyAlignment="1"/>
    <xf numFmtId="167" fontId="3" fillId="19" borderId="21" xfId="35" applyNumberFormat="1" applyFont="1" applyFill="1" applyBorder="1" applyAlignment="1"/>
    <xf numFmtId="167" fontId="8" fillId="19" borderId="21" xfId="35" applyNumberFormat="1" applyFont="1" applyFill="1" applyBorder="1" applyAlignment="1"/>
    <xf numFmtId="164" fontId="10" fillId="19" borderId="23" xfId="57" applyNumberFormat="1" applyFont="1" applyFill="1" applyBorder="1" applyAlignment="1"/>
    <xf numFmtId="164" fontId="8" fillId="16" borderId="68" xfId="2" applyNumberFormat="1" applyFont="1" applyFill="1" applyBorder="1"/>
    <xf numFmtId="164" fontId="3" fillId="16" borderId="28" xfId="57" applyNumberFormat="1" applyFont="1" applyFill="1" applyBorder="1" applyAlignment="1">
      <alignment horizontal="right"/>
    </xf>
    <xf numFmtId="0" fontId="3" fillId="16" borderId="70" xfId="2" applyFont="1" applyFill="1" applyBorder="1" applyAlignment="1">
      <alignment horizontal="right"/>
    </xf>
    <xf numFmtId="164" fontId="20" fillId="15" borderId="28" xfId="57" applyNumberFormat="1" applyFont="1" applyFill="1" applyBorder="1" applyAlignment="1">
      <alignment horizontal="right"/>
    </xf>
    <xf numFmtId="164" fontId="20" fillId="15" borderId="29" xfId="57" applyNumberFormat="1" applyFont="1" applyFill="1" applyBorder="1" applyAlignment="1">
      <alignment horizontal="right"/>
    </xf>
    <xf numFmtId="166" fontId="8" fillId="15" borderId="25" xfId="2" applyNumberFormat="1" applyFont="1" applyFill="1" applyBorder="1" applyAlignment="1">
      <alignment horizontal="left"/>
    </xf>
    <xf numFmtId="166" fontId="8" fillId="15" borderId="27" xfId="2" applyNumberFormat="1" applyFont="1" applyFill="1" applyBorder="1" applyAlignment="1">
      <alignment horizontal="left"/>
    </xf>
    <xf numFmtId="164" fontId="8" fillId="19" borderId="21" xfId="2" applyNumberFormat="1" applyFont="1" applyFill="1" applyBorder="1"/>
    <xf numFmtId="167" fontId="3" fillId="19" borderId="28" xfId="35" applyNumberFormat="1" applyFont="1" applyFill="1" applyBorder="1" applyAlignment="1"/>
    <xf numFmtId="167" fontId="3" fillId="19" borderId="29" xfId="35" applyNumberFormat="1" applyFont="1" applyFill="1" applyBorder="1" applyAlignment="1"/>
    <xf numFmtId="164" fontId="10" fillId="19" borderId="22" xfId="57" applyNumberFormat="1" applyFont="1" applyFill="1" applyBorder="1" applyAlignment="1"/>
    <xf numFmtId="167" fontId="3" fillId="19" borderId="22" xfId="35" applyNumberFormat="1" applyFont="1" applyFill="1" applyBorder="1" applyAlignment="1"/>
    <xf numFmtId="167" fontId="8" fillId="19" borderId="22" xfId="35" applyNumberFormat="1" applyFont="1" applyFill="1" applyBorder="1" applyAlignment="1"/>
    <xf numFmtId="164" fontId="10" fillId="19" borderId="24" xfId="57" applyNumberFormat="1" applyFont="1" applyFill="1" applyBorder="1" applyAlignment="1"/>
    <xf numFmtId="164" fontId="10" fillId="19" borderId="26" xfId="57" applyNumberFormat="1" applyFont="1" applyFill="1" applyBorder="1" applyAlignment="1"/>
    <xf numFmtId="0" fontId="3" fillId="16" borderId="62" xfId="2" applyFont="1" applyFill="1" applyBorder="1" applyAlignment="1">
      <alignment horizontal="right"/>
    </xf>
    <xf numFmtId="164" fontId="8" fillId="16" borderId="42" xfId="2" applyNumberFormat="1" applyFont="1" applyFill="1" applyBorder="1"/>
    <xf numFmtId="5" fontId="8" fillId="15" borderId="0" xfId="57" applyNumberFormat="1" applyFont="1" applyFill="1" applyBorder="1" applyAlignment="1">
      <alignment horizontal="right"/>
    </xf>
    <xf numFmtId="5" fontId="8" fillId="15" borderId="28" xfId="57" applyNumberFormat="1" applyFont="1" applyFill="1" applyBorder="1" applyAlignment="1">
      <alignment horizontal="right"/>
    </xf>
    <xf numFmtId="5" fontId="8" fillId="15" borderId="29" xfId="57" applyNumberFormat="1" applyFont="1" applyFill="1" applyBorder="1" applyAlignment="1">
      <alignment horizontal="right"/>
    </xf>
    <xf numFmtId="0" fontId="10" fillId="15" borderId="21" xfId="2" applyFont="1" applyFill="1" applyBorder="1" applyAlignment="1">
      <alignment horizontal="left" indent="2"/>
    </xf>
    <xf numFmtId="5" fontId="8" fillId="15" borderId="22" xfId="57" applyNumberFormat="1" applyFont="1" applyFill="1" applyBorder="1" applyAlignment="1">
      <alignment horizontal="right"/>
    </xf>
    <xf numFmtId="164" fontId="10" fillId="15" borderId="26" xfId="57" applyNumberFormat="1" applyFont="1" applyFill="1" applyBorder="1" applyAlignment="1">
      <alignment horizontal="right"/>
    </xf>
    <xf numFmtId="43" fontId="80" fillId="0" borderId="0" xfId="35" applyNumberFormat="1" applyFont="1" applyFill="1" applyBorder="1" applyAlignment="1">
      <alignment horizontal="center"/>
    </xf>
    <xf numFmtId="43" fontId="3" fillId="0" borderId="0" xfId="35" applyNumberFormat="1" applyFont="1" applyFill="1" applyBorder="1" applyAlignment="1">
      <alignment horizontal="center"/>
    </xf>
    <xf numFmtId="43" fontId="3" fillId="23" borderId="0" xfId="35" applyNumberFormat="1" applyFont="1" applyFill="1" applyAlignment="1">
      <alignment horizontal="center"/>
    </xf>
    <xf numFmtId="167" fontId="0" fillId="19" borderId="0" xfId="0" applyNumberFormat="1" applyFill="1"/>
    <xf numFmtId="164" fontId="35" fillId="15" borderId="11" xfId="57" applyNumberFormat="1" applyFont="1" applyFill="1" applyBorder="1" applyAlignment="1">
      <alignment vertical="center" textRotation="180"/>
    </xf>
    <xf numFmtId="7" fontId="8" fillId="15" borderId="62" xfId="2" applyNumberFormat="1" applyFont="1" applyFill="1" applyBorder="1"/>
    <xf numFmtId="7" fontId="8" fillId="15" borderId="58" xfId="2" applyNumberFormat="1" applyFont="1" applyFill="1" applyBorder="1"/>
    <xf numFmtId="7" fontId="8" fillId="15" borderId="0" xfId="2" applyNumberFormat="1" applyFont="1" applyFill="1" applyBorder="1" applyAlignment="1">
      <alignment horizontal="right"/>
    </xf>
    <xf numFmtId="10" fontId="3" fillId="15" borderId="21" xfId="57" applyNumberFormat="1" applyFont="1" applyFill="1" applyBorder="1"/>
    <xf numFmtId="164" fontId="3" fillId="15" borderId="17" xfId="2" applyNumberFormat="1" applyFont="1" applyFill="1" applyBorder="1"/>
    <xf numFmtId="197" fontId="3" fillId="15" borderId="0" xfId="35" applyNumberFormat="1" applyFont="1" applyFill="1" applyBorder="1" applyAlignment="1">
      <alignment horizontal="right"/>
    </xf>
    <xf numFmtId="43" fontId="3" fillId="19" borderId="0" xfId="35" applyFont="1" applyFill="1" applyBorder="1" applyAlignment="1"/>
    <xf numFmtId="167" fontId="8" fillId="15" borderId="22" xfId="35" applyNumberFormat="1" applyFont="1" applyFill="1" applyBorder="1" applyAlignment="1"/>
    <xf numFmtId="168" fontId="80" fillId="15" borderId="0" xfId="2" applyNumberFormat="1" applyFont="1" applyFill="1" applyBorder="1"/>
    <xf numFmtId="168" fontId="80" fillId="15" borderId="0" xfId="35" applyNumberFormat="1" applyFont="1" applyFill="1" applyBorder="1"/>
    <xf numFmtId="168" fontId="80" fillId="19" borderId="0" xfId="2" applyNumberFormat="1" applyFont="1" applyFill="1" applyBorder="1"/>
    <xf numFmtId="168" fontId="80" fillId="19" borderId="0" xfId="35" applyNumberFormat="1" applyFont="1" applyFill="1" applyBorder="1"/>
    <xf numFmtId="168" fontId="90" fillId="19" borderId="0" xfId="35" applyNumberFormat="1" applyFont="1" applyFill="1" applyBorder="1"/>
    <xf numFmtId="198" fontId="81" fillId="19" borderId="0" xfId="2" applyNumberFormat="1" applyFont="1" applyFill="1" applyBorder="1"/>
    <xf numFmtId="168" fontId="91" fillId="19" borderId="0" xfId="2" applyNumberFormat="1" applyFont="1" applyFill="1" applyBorder="1"/>
    <xf numFmtId="198" fontId="81" fillId="19" borderId="0" xfId="35" applyNumberFormat="1" applyFont="1" applyFill="1" applyBorder="1"/>
    <xf numFmtId="198" fontId="81" fillId="15" borderId="0" xfId="35" applyNumberFormat="1" applyFont="1" applyFill="1" applyBorder="1"/>
    <xf numFmtId="7" fontId="83" fillId="15" borderId="0" xfId="37" applyNumberFormat="1" applyFont="1" applyFill="1" applyBorder="1"/>
    <xf numFmtId="7" fontId="83" fillId="15" borderId="22" xfId="37" applyNumberFormat="1" applyFont="1" applyFill="1" applyBorder="1"/>
    <xf numFmtId="7" fontId="81" fillId="15" borderId="17" xfId="2" applyNumberFormat="1" applyFont="1" applyFill="1" applyBorder="1"/>
    <xf numFmtId="7" fontId="80" fillId="15" borderId="0" xfId="2" applyNumberFormat="1" applyFont="1" applyFill="1" applyBorder="1"/>
    <xf numFmtId="0" fontId="80" fillId="16" borderId="17" xfId="2" applyFont="1" applyFill="1" applyBorder="1"/>
    <xf numFmtId="164" fontId="80" fillId="0" borderId="0" xfId="57" applyNumberFormat="1" applyFont="1" applyFill="1" applyBorder="1" applyAlignment="1">
      <alignment horizontal="right"/>
    </xf>
    <xf numFmtId="164" fontId="80" fillId="15" borderId="0" xfId="2" applyNumberFormat="1" applyFont="1" applyFill="1" applyBorder="1"/>
    <xf numFmtId="164" fontId="81" fillId="15" borderId="0" xfId="2" applyNumberFormat="1" applyFont="1" applyFill="1" applyBorder="1"/>
    <xf numFmtId="164" fontId="80" fillId="15" borderId="0" xfId="57" applyNumberFormat="1" applyFont="1" applyFill="1" applyBorder="1" applyAlignment="1"/>
    <xf numFmtId="164" fontId="80" fillId="15" borderId="22" xfId="57" applyNumberFormat="1" applyFont="1" applyFill="1" applyBorder="1" applyAlignment="1"/>
    <xf numFmtId="164" fontId="83" fillId="15" borderId="0" xfId="57" applyNumberFormat="1" applyFont="1" applyFill="1" applyBorder="1" applyAlignment="1"/>
    <xf numFmtId="164" fontId="83" fillId="15" borderId="22" xfId="57" applyNumberFormat="1" applyFont="1" applyFill="1" applyBorder="1" applyAlignment="1"/>
    <xf numFmtId="164" fontId="81" fillId="15" borderId="0" xfId="57" applyNumberFormat="1" applyFont="1" applyFill="1" applyBorder="1" applyAlignment="1"/>
    <xf numFmtId="164" fontId="81" fillId="15" borderId="22" xfId="57" applyNumberFormat="1" applyFont="1" applyFill="1" applyBorder="1" applyAlignment="1"/>
    <xf numFmtId="164" fontId="80" fillId="15" borderId="24" xfId="57" applyNumberFormat="1" applyFont="1" applyFill="1" applyBorder="1" applyAlignment="1"/>
    <xf numFmtId="164" fontId="80" fillId="16" borderId="24" xfId="57" applyNumberFormat="1" applyFont="1" applyFill="1" applyBorder="1" applyAlignment="1"/>
    <xf numFmtId="167" fontId="80" fillId="19" borderId="0" xfId="35" applyNumberFormat="1" applyFont="1" applyFill="1" applyBorder="1" applyAlignment="1"/>
    <xf numFmtId="164" fontId="83" fillId="19" borderId="0" xfId="57" applyNumberFormat="1" applyFont="1" applyFill="1" applyBorder="1" applyAlignment="1"/>
    <xf numFmtId="167" fontId="81" fillId="19" borderId="0" xfId="35" applyNumberFormat="1" applyFont="1" applyFill="1" applyBorder="1" applyAlignment="1"/>
    <xf numFmtId="164" fontId="80" fillId="16" borderId="17" xfId="57" applyNumberFormat="1" applyFont="1" applyFill="1" applyBorder="1" applyAlignment="1"/>
    <xf numFmtId="5" fontId="81" fillId="15" borderId="28" xfId="57" applyNumberFormat="1" applyFont="1" applyFill="1" applyBorder="1"/>
    <xf numFmtId="5" fontId="81" fillId="15" borderId="0" xfId="57" applyNumberFormat="1" applyFont="1" applyFill="1" applyBorder="1"/>
    <xf numFmtId="164" fontId="83" fillId="15" borderId="24" xfId="57" applyNumberFormat="1" applyFont="1" applyFill="1" applyBorder="1"/>
    <xf numFmtId="164" fontId="91" fillId="15" borderId="0" xfId="57" applyNumberFormat="1" applyFont="1" applyFill="1" applyBorder="1"/>
    <xf numFmtId="164" fontId="81" fillId="15" borderId="0" xfId="57" applyNumberFormat="1" applyFont="1" applyFill="1" applyBorder="1"/>
    <xf numFmtId="170" fontId="80" fillId="15" borderId="9" xfId="35" applyNumberFormat="1" applyFont="1" applyFill="1" applyBorder="1"/>
    <xf numFmtId="170" fontId="83" fillId="15" borderId="0" xfId="35" applyNumberFormat="1" applyFont="1" applyFill="1" applyBorder="1"/>
    <xf numFmtId="170" fontId="80" fillId="15" borderId="17" xfId="2" applyNumberFormat="1" applyFont="1" applyFill="1" applyBorder="1"/>
    <xf numFmtId="170" fontId="80" fillId="15" borderId="17" xfId="35" applyNumberFormat="1" applyFont="1" applyFill="1" applyBorder="1"/>
    <xf numFmtId="170" fontId="80" fillId="15" borderId="0" xfId="2" applyNumberFormat="1" applyFont="1" applyFill="1" applyBorder="1"/>
    <xf numFmtId="170" fontId="90" fillId="15" borderId="0" xfId="35" applyNumberFormat="1" applyFont="1" applyFill="1" applyBorder="1"/>
    <xf numFmtId="0" fontId="80" fillId="15" borderId="0" xfId="2" applyFont="1" applyFill="1" applyBorder="1"/>
    <xf numFmtId="170" fontId="81" fillId="15" borderId="17" xfId="2" applyNumberFormat="1" applyFont="1" applyFill="1" applyBorder="1"/>
    <xf numFmtId="170" fontId="80" fillId="22" borderId="0" xfId="35" applyNumberFormat="1" applyFont="1" applyFill="1" applyBorder="1"/>
    <xf numFmtId="170" fontId="81" fillId="21" borderId="0" xfId="35" applyNumberFormat="1" applyFont="1" applyFill="1" applyBorder="1"/>
    <xf numFmtId="170" fontId="91" fillId="15" borderId="0" xfId="35" applyNumberFormat="1" applyFont="1" applyFill="1" applyBorder="1"/>
    <xf numFmtId="0" fontId="80" fillId="15" borderId="0" xfId="2" applyFont="1" applyFill="1"/>
    <xf numFmtId="166" fontId="80" fillId="15" borderId="17" xfId="2" applyNumberFormat="1" applyFont="1" applyFill="1" applyBorder="1"/>
    <xf numFmtId="166" fontId="80" fillId="15" borderId="0" xfId="2" applyNumberFormat="1" applyFont="1" applyFill="1" applyBorder="1"/>
    <xf numFmtId="170" fontId="80" fillId="15" borderId="24" xfId="35" applyNumberFormat="1" applyFont="1" applyFill="1" applyBorder="1"/>
    <xf numFmtId="37" fontId="80" fillId="15" borderId="0" xfId="2" applyNumberFormat="1" applyFont="1" applyFill="1"/>
    <xf numFmtId="37" fontId="80" fillId="15" borderId="0" xfId="2" applyNumberFormat="1" applyFont="1" applyFill="1" applyBorder="1"/>
    <xf numFmtId="176" fontId="80" fillId="15" borderId="0" xfId="37" applyNumberFormat="1" applyFont="1" applyFill="1"/>
    <xf numFmtId="164" fontId="83" fillId="15" borderId="17" xfId="57" applyNumberFormat="1" applyFont="1" applyFill="1" applyBorder="1"/>
    <xf numFmtId="0" fontId="80" fillId="15" borderId="17" xfId="2" applyFont="1" applyFill="1" applyBorder="1"/>
    <xf numFmtId="164" fontId="80" fillId="19" borderId="0" xfId="57" applyNumberFormat="1" applyFont="1" applyFill="1" applyBorder="1"/>
    <xf numFmtId="164" fontId="80" fillId="15" borderId="24" xfId="57" applyNumberFormat="1" applyFont="1" applyFill="1" applyBorder="1"/>
    <xf numFmtId="180" fontId="80" fillId="15" borderId="0" xfId="35" applyNumberFormat="1" applyFont="1" applyFill="1" applyBorder="1"/>
    <xf numFmtId="173" fontId="80" fillId="15" borderId="0" xfId="53" applyNumberFormat="1" applyFont="1" applyFill="1" applyBorder="1" applyAlignment="1">
      <alignment horizontal="right"/>
    </xf>
    <xf numFmtId="175" fontId="80" fillId="15" borderId="0" xfId="53" applyNumberFormat="1" applyFont="1" applyFill="1" applyBorder="1"/>
    <xf numFmtId="175" fontId="80" fillId="15" borderId="0" xfId="2" applyNumberFormat="1" applyFont="1" applyFill="1" applyBorder="1"/>
    <xf numFmtId="175" fontId="80" fillId="15" borderId="17" xfId="53" applyNumberFormat="1" applyFont="1" applyFill="1" applyBorder="1"/>
    <xf numFmtId="0" fontId="81" fillId="15" borderId="17" xfId="2" applyFont="1" applyFill="1" applyBorder="1"/>
    <xf numFmtId="0" fontId="83" fillId="15" borderId="17" xfId="2" applyFont="1" applyFill="1" applyBorder="1" applyAlignment="1">
      <alignment horizontal="right"/>
    </xf>
    <xf numFmtId="213" fontId="80" fillId="15" borderId="0" xfId="2" applyNumberFormat="1" applyFont="1" applyFill="1"/>
    <xf numFmtId="0" fontId="81" fillId="15" borderId="0" xfId="2" applyFont="1" applyFill="1"/>
    <xf numFmtId="170" fontId="81" fillId="15" borderId="0" xfId="35" applyNumberFormat="1" applyFont="1" applyFill="1"/>
    <xf numFmtId="175" fontId="80" fillId="15" borderId="0" xfId="2" applyNumberFormat="1" applyFont="1" applyFill="1"/>
    <xf numFmtId="170" fontId="80" fillId="15" borderId="0" xfId="35" applyNumberFormat="1" applyFont="1" applyFill="1"/>
    <xf numFmtId="173" fontId="80" fillId="15" borderId="0" xfId="57" applyNumberFormat="1" applyFont="1" applyFill="1" applyBorder="1"/>
    <xf numFmtId="9" fontId="80" fillId="15" borderId="24" xfId="57" applyNumberFormat="1" applyFont="1" applyFill="1" applyBorder="1"/>
    <xf numFmtId="164" fontId="82" fillId="15" borderId="0" xfId="57" applyNumberFormat="1" applyFont="1" applyFill="1" applyBorder="1"/>
    <xf numFmtId="167" fontId="83" fillId="15" borderId="0" xfId="35" applyNumberFormat="1" applyFont="1" applyFill="1"/>
    <xf numFmtId="167" fontId="83" fillId="15" borderId="0" xfId="35" applyNumberFormat="1" applyFont="1" applyFill="1" applyBorder="1"/>
    <xf numFmtId="7" fontId="83" fillId="15" borderId="0" xfId="2" applyNumberFormat="1" applyFont="1" applyFill="1"/>
    <xf numFmtId="164" fontId="80" fillId="15" borderId="28" xfId="57" applyNumberFormat="1" applyFont="1" applyFill="1" applyBorder="1"/>
    <xf numFmtId="164" fontId="83" fillId="15" borderId="0" xfId="57" applyNumberFormat="1" applyFont="1" applyFill="1"/>
    <xf numFmtId="175" fontId="83" fillId="15" borderId="0" xfId="2" applyNumberFormat="1" applyFont="1" applyFill="1"/>
    <xf numFmtId="164" fontId="80" fillId="15" borderId="0" xfId="57" applyNumberFormat="1" applyFont="1" applyFill="1"/>
    <xf numFmtId="170" fontId="80" fillId="15" borderId="28" xfId="2" applyNumberFormat="1" applyFont="1" applyFill="1" applyBorder="1"/>
    <xf numFmtId="44" fontId="80" fillId="15" borderId="24" xfId="37" applyNumberFormat="1" applyFont="1" applyFill="1" applyBorder="1"/>
    <xf numFmtId="7" fontId="80" fillId="15" borderId="24" xfId="37" applyNumberFormat="1" applyFont="1" applyFill="1" applyBorder="1"/>
    <xf numFmtId="198" fontId="8" fillId="19" borderId="22" xfId="2" applyNumberFormat="1" applyFont="1" applyFill="1" applyBorder="1"/>
    <xf numFmtId="0" fontId="86" fillId="16" borderId="17" xfId="2" applyFont="1" applyFill="1" applyBorder="1" applyAlignment="1">
      <alignment horizontal="center"/>
    </xf>
    <xf numFmtId="170" fontId="92" fillId="15" borderId="0" xfId="35" applyNumberFormat="1" applyFont="1" applyFill="1" applyBorder="1"/>
    <xf numFmtId="170" fontId="86" fillId="15" borderId="17" xfId="35" applyNumberFormat="1" applyFont="1" applyFill="1" applyBorder="1"/>
    <xf numFmtId="164" fontId="92" fillId="15" borderId="0" xfId="57" applyNumberFormat="1" applyFont="1" applyFill="1" applyBorder="1"/>
    <xf numFmtId="170" fontId="92" fillId="15" borderId="0" xfId="2" applyNumberFormat="1" applyFont="1" applyFill="1" applyBorder="1"/>
    <xf numFmtId="0" fontId="86" fillId="16" borderId="38" xfId="2" applyFont="1" applyFill="1" applyBorder="1" applyAlignment="1">
      <alignment horizontal="center"/>
    </xf>
    <xf numFmtId="0" fontId="92" fillId="15" borderId="0" xfId="2" applyFont="1" applyFill="1"/>
    <xf numFmtId="43" fontId="92" fillId="15" borderId="0" xfId="2" applyNumberFormat="1" applyFont="1" applyFill="1"/>
    <xf numFmtId="170" fontId="92" fillId="15" borderId="0" xfId="2" applyNumberFormat="1" applyFont="1" applyFill="1"/>
    <xf numFmtId="0" fontId="86" fillId="16" borderId="17" xfId="2" applyFont="1" applyFill="1" applyBorder="1"/>
    <xf numFmtId="17" fontId="85" fillId="15" borderId="0" xfId="2" applyNumberFormat="1" applyFont="1" applyFill="1" applyBorder="1"/>
    <xf numFmtId="170" fontId="93" fillId="15" borderId="0" xfId="35" applyNumberFormat="1" applyFont="1" applyFill="1"/>
    <xf numFmtId="170" fontId="86" fillId="15" borderId="24" xfId="35" applyNumberFormat="1" applyFont="1" applyFill="1" applyBorder="1"/>
    <xf numFmtId="170" fontId="86" fillId="15" borderId="46" xfId="35" applyNumberFormat="1" applyFont="1" applyFill="1" applyBorder="1"/>
    <xf numFmtId="43" fontId="92" fillId="15" borderId="0" xfId="35" applyFont="1" applyFill="1" applyBorder="1"/>
    <xf numFmtId="0" fontId="92" fillId="15" borderId="0" xfId="2" applyFont="1" applyFill="1" applyBorder="1"/>
    <xf numFmtId="0" fontId="92" fillId="16" borderId="17" xfId="2" applyFont="1" applyFill="1" applyBorder="1"/>
    <xf numFmtId="164" fontId="92" fillId="15" borderId="0" xfId="2" applyNumberFormat="1" applyFont="1" applyFill="1" applyBorder="1"/>
    <xf numFmtId="2" fontId="92" fillId="15" borderId="0" xfId="2" applyNumberFormat="1" applyFont="1" applyFill="1" applyBorder="1"/>
    <xf numFmtId="2" fontId="92" fillId="15" borderId="0" xfId="57" applyNumberFormat="1" applyFont="1" applyFill="1" applyBorder="1"/>
    <xf numFmtId="9" fontId="92" fillId="15" borderId="0" xfId="57" applyFont="1" applyFill="1" applyBorder="1"/>
    <xf numFmtId="0" fontId="86" fillId="15" borderId="0" xfId="2" applyFont="1" applyFill="1"/>
    <xf numFmtId="37" fontId="92" fillId="15" borderId="17" xfId="2" applyNumberFormat="1" applyFont="1" applyFill="1" applyBorder="1"/>
    <xf numFmtId="37" fontId="92" fillId="15" borderId="0" xfId="2" applyNumberFormat="1" applyFont="1" applyFill="1"/>
    <xf numFmtId="0" fontId="92" fillId="15" borderId="17" xfId="2" applyFont="1" applyFill="1" applyBorder="1"/>
    <xf numFmtId="170" fontId="86" fillId="15" borderId="24" xfId="2" applyNumberFormat="1" applyFont="1" applyFill="1" applyBorder="1"/>
    <xf numFmtId="170" fontId="85" fillId="15" borderId="0" xfId="2" applyNumberFormat="1" applyFont="1" applyFill="1" applyBorder="1"/>
    <xf numFmtId="170" fontId="92" fillId="15" borderId="28" xfId="35" applyNumberFormat="1" applyFont="1" applyFill="1" applyBorder="1"/>
    <xf numFmtId="170" fontId="85" fillId="15" borderId="24" xfId="2" applyNumberFormat="1" applyFont="1" applyFill="1" applyBorder="1"/>
    <xf numFmtId="10" fontId="92" fillId="15" borderId="0" xfId="57" applyNumberFormat="1" applyFont="1" applyFill="1" applyBorder="1"/>
    <xf numFmtId="199" fontId="92" fillId="15" borderId="0" xfId="57" applyNumberFormat="1" applyFont="1" applyFill="1" applyBorder="1"/>
    <xf numFmtId="164" fontId="86" fillId="15" borderId="0" xfId="57" applyNumberFormat="1" applyFont="1" applyFill="1" applyBorder="1"/>
    <xf numFmtId="164" fontId="86" fillId="15" borderId="0" xfId="57" applyNumberFormat="1" applyFont="1" applyFill="1" applyBorder="1" applyAlignment="1">
      <alignment horizontal="right"/>
    </xf>
    <xf numFmtId="164" fontId="92" fillId="15" borderId="0" xfId="57" applyNumberFormat="1" applyFont="1" applyFill="1" applyBorder="1" applyAlignment="1">
      <alignment horizontal="right"/>
    </xf>
    <xf numFmtId="0" fontId="86" fillId="15" borderId="24" xfId="2" applyFont="1" applyFill="1" applyBorder="1"/>
    <xf numFmtId="0" fontId="86" fillId="15" borderId="0" xfId="2" applyFont="1" applyFill="1" applyBorder="1"/>
    <xf numFmtId="164" fontId="92" fillId="15" borderId="17" xfId="2" applyNumberFormat="1" applyFont="1" applyFill="1" applyBorder="1"/>
    <xf numFmtId="168" fontId="92" fillId="15" borderId="28" xfId="2" applyNumberFormat="1" applyFont="1" applyFill="1" applyBorder="1"/>
    <xf numFmtId="168" fontId="92" fillId="15" borderId="0" xfId="2" applyNumberFormat="1" applyFont="1" applyFill="1" applyBorder="1"/>
    <xf numFmtId="170" fontId="92" fillId="15" borderId="0" xfId="35" applyNumberFormat="1" applyFont="1" applyFill="1"/>
    <xf numFmtId="170" fontId="92" fillId="16" borderId="0" xfId="35" applyNumberFormat="1" applyFont="1" applyFill="1"/>
    <xf numFmtId="168" fontId="86" fillId="15" borderId="24" xfId="35" applyNumberFormat="1" applyFont="1" applyFill="1" applyBorder="1"/>
    <xf numFmtId="168" fontId="86" fillId="15" borderId="0" xfId="35" applyNumberFormat="1" applyFont="1" applyFill="1" applyBorder="1"/>
    <xf numFmtId="168" fontId="92" fillId="15" borderId="17" xfId="35" applyNumberFormat="1" applyFont="1" applyFill="1" applyBorder="1"/>
    <xf numFmtId="168" fontId="92" fillId="15" borderId="0" xfId="35" applyNumberFormat="1" applyFont="1" applyFill="1" applyBorder="1"/>
    <xf numFmtId="168" fontId="92" fillId="15" borderId="24" xfId="35" applyNumberFormat="1" applyFont="1" applyFill="1" applyBorder="1"/>
    <xf numFmtId="197" fontId="92" fillId="15" borderId="0" xfId="35" applyNumberFormat="1" applyFont="1" applyFill="1" applyBorder="1" applyAlignment="1">
      <alignment horizontal="right"/>
    </xf>
    <xf numFmtId="164" fontId="92" fillId="15" borderId="24" xfId="57" applyNumberFormat="1" applyFont="1" applyFill="1" applyBorder="1"/>
    <xf numFmtId="0" fontId="85" fillId="16" borderId="17" xfId="2" applyFont="1" applyFill="1" applyBorder="1"/>
    <xf numFmtId="168" fontId="92" fillId="15" borderId="0" xfId="2" applyNumberFormat="1" applyFont="1" applyFill="1"/>
    <xf numFmtId="164" fontId="92" fillId="15" borderId="0" xfId="57" applyNumberFormat="1" applyFont="1" applyFill="1"/>
    <xf numFmtId="181" fontId="92" fillId="15" borderId="0" xfId="57" applyNumberFormat="1" applyFont="1" applyFill="1" applyBorder="1"/>
    <xf numFmtId="166" fontId="92" fillId="15" borderId="0" xfId="2" applyNumberFormat="1" applyFont="1" applyFill="1"/>
    <xf numFmtId="0" fontId="92" fillId="15" borderId="0" xfId="2" applyFont="1" applyFill="1" applyAlignment="1">
      <alignment horizontal="right"/>
    </xf>
    <xf numFmtId="0" fontId="94" fillId="0" borderId="0" xfId="0" applyFont="1"/>
    <xf numFmtId="10" fontId="92" fillId="15" borderId="0" xfId="57" applyNumberFormat="1" applyFont="1" applyFill="1"/>
    <xf numFmtId="168" fontId="92" fillId="15" borderId="0" xfId="57" applyNumberFormat="1" applyFont="1" applyFill="1"/>
    <xf numFmtId="0" fontId="92" fillId="15" borderId="28" xfId="2" applyFont="1" applyFill="1" applyBorder="1"/>
    <xf numFmtId="168" fontId="86" fillId="15" borderId="0" xfId="2" applyNumberFormat="1" applyFont="1" applyFill="1" applyBorder="1"/>
    <xf numFmtId="168" fontId="86" fillId="15" borderId="17" xfId="2" applyNumberFormat="1" applyFont="1" applyFill="1" applyBorder="1"/>
    <xf numFmtId="185" fontId="86" fillId="15" borderId="17" xfId="2" applyNumberFormat="1" applyFont="1" applyFill="1" applyBorder="1"/>
    <xf numFmtId="185" fontId="92" fillId="15" borderId="0" xfId="2" applyNumberFormat="1" applyFont="1" applyFill="1" applyBorder="1"/>
    <xf numFmtId="185" fontId="86" fillId="15" borderId="0" xfId="2" applyNumberFormat="1" applyFont="1" applyFill="1" applyBorder="1"/>
    <xf numFmtId="168" fontId="92" fillId="15" borderId="0" xfId="2" applyNumberFormat="1" applyFont="1" applyFill="1" applyBorder="1" applyAlignment="1">
      <alignment horizontal="center"/>
    </xf>
    <xf numFmtId="168" fontId="86" fillId="15" borderId="46" xfId="2" applyNumberFormat="1" applyFont="1" applyFill="1" applyBorder="1"/>
    <xf numFmtId="168" fontId="92" fillId="15" borderId="24" xfId="2" applyNumberFormat="1" applyFont="1" applyFill="1" applyBorder="1"/>
    <xf numFmtId="168" fontId="92" fillId="16" borderId="17" xfId="2" applyNumberFormat="1" applyFont="1" applyFill="1" applyBorder="1"/>
    <xf numFmtId="168" fontId="86" fillId="15" borderId="24" xfId="2" applyNumberFormat="1" applyFont="1" applyFill="1" applyBorder="1"/>
    <xf numFmtId="185" fontId="92" fillId="15" borderId="0" xfId="2" applyNumberFormat="1" applyFont="1" applyFill="1"/>
    <xf numFmtId="173" fontId="92" fillId="15" borderId="0" xfId="57" applyNumberFormat="1" applyFont="1" applyFill="1" applyBorder="1"/>
    <xf numFmtId="164" fontId="85" fillId="15" borderId="0" xfId="57" applyNumberFormat="1" applyFont="1" applyFill="1" applyBorder="1"/>
    <xf numFmtId="173" fontId="92" fillId="15" borderId="0" xfId="35" applyNumberFormat="1" applyFont="1" applyFill="1" applyBorder="1"/>
    <xf numFmtId="9" fontId="92" fillId="15" borderId="24" xfId="57" applyFont="1" applyFill="1" applyBorder="1"/>
    <xf numFmtId="170" fontId="86" fillId="15" borderId="0" xfId="2" applyNumberFormat="1" applyFont="1" applyFill="1" applyBorder="1"/>
    <xf numFmtId="203" fontId="3" fillId="15" borderId="0" xfId="57" applyNumberFormat="1" applyFont="1" applyFill="1"/>
    <xf numFmtId="164" fontId="8" fillId="15" borderId="62" xfId="57" applyNumberFormat="1" applyFont="1" applyFill="1" applyBorder="1"/>
    <xf numFmtId="166" fontId="8" fillId="15" borderId="24" xfId="2" applyNumberFormat="1" applyFont="1" applyFill="1" applyBorder="1" applyAlignment="1">
      <alignment horizontal="left"/>
    </xf>
    <xf numFmtId="166" fontId="8" fillId="15" borderId="11" xfId="2" applyNumberFormat="1" applyFont="1" applyFill="1" applyBorder="1" applyAlignment="1">
      <alignment horizontal="left"/>
    </xf>
    <xf numFmtId="0" fontId="0" fillId="0" borderId="11" xfId="0" applyBorder="1"/>
    <xf numFmtId="164" fontId="3" fillId="15" borderId="75" xfId="57" applyNumberFormat="1" applyFont="1" applyFill="1" applyBorder="1" applyAlignment="1"/>
    <xf numFmtId="168" fontId="3" fillId="19" borderId="58" xfId="2" applyNumberFormat="1" applyFont="1" applyFill="1" applyBorder="1"/>
    <xf numFmtId="168" fontId="12" fillId="19" borderId="58" xfId="2" applyNumberFormat="1" applyFont="1" applyFill="1" applyBorder="1" applyAlignment="1">
      <alignment vertical="center"/>
    </xf>
    <xf numFmtId="168" fontId="16" fillId="0" borderId="58" xfId="2" applyNumberFormat="1" applyFont="1" applyFill="1" applyBorder="1"/>
    <xf numFmtId="185" fontId="16" fillId="0" borderId="0" xfId="2" applyNumberFormat="1" applyFont="1" applyFill="1" applyBorder="1"/>
    <xf numFmtId="170" fontId="8" fillId="24" borderId="0" xfId="35" applyNumberFormat="1" applyFont="1" applyFill="1" applyBorder="1"/>
    <xf numFmtId="0" fontId="8" fillId="24" borderId="0" xfId="2" applyFont="1" applyFill="1"/>
    <xf numFmtId="0" fontId="15" fillId="24" borderId="0" xfId="0" applyFont="1" applyFill="1"/>
    <xf numFmtId="0" fontId="8" fillId="24" borderId="0" xfId="2" applyFont="1" applyFill="1" applyBorder="1"/>
    <xf numFmtId="0" fontId="15" fillId="24" borderId="0" xfId="2" applyFont="1" applyFill="1" applyBorder="1"/>
    <xf numFmtId="0" fontId="8" fillId="24" borderId="0" xfId="2" applyFont="1" applyFill="1" applyBorder="1" applyAlignment="1">
      <alignment horizontal="right"/>
    </xf>
    <xf numFmtId="0" fontId="8" fillId="24" borderId="0" xfId="2" applyFont="1" applyFill="1" applyAlignment="1">
      <alignment horizontal="right"/>
    </xf>
    <xf numFmtId="164" fontId="35" fillId="19" borderId="11" xfId="57" applyNumberFormat="1" applyFont="1" applyFill="1" applyBorder="1" applyAlignment="1">
      <alignment vertical="center" textRotation="180"/>
    </xf>
    <xf numFmtId="0" fontId="15" fillId="19" borderId="0" xfId="0" applyFont="1" applyFill="1"/>
    <xf numFmtId="164" fontId="3" fillId="19" borderId="0" xfId="57" applyNumberFormat="1" applyFont="1" applyFill="1" applyBorder="1" applyAlignment="1">
      <alignment horizontal="right"/>
    </xf>
    <xf numFmtId="170" fontId="3" fillId="19" borderId="21" xfId="2" applyNumberFormat="1" applyFont="1" applyFill="1" applyBorder="1"/>
    <xf numFmtId="0" fontId="1" fillId="19" borderId="0" xfId="0" applyFont="1" applyFill="1"/>
    <xf numFmtId="164" fontId="3" fillId="19" borderId="11" xfId="57" applyNumberFormat="1" applyFont="1" applyFill="1" applyBorder="1" applyAlignment="1"/>
    <xf numFmtId="164" fontId="8" fillId="19" borderId="11" xfId="57" applyNumberFormat="1" applyFont="1" applyFill="1" applyBorder="1"/>
    <xf numFmtId="164" fontId="8" fillId="19" borderId="0" xfId="57" applyNumberFormat="1" applyFont="1" applyFill="1" applyBorder="1" applyAlignment="1">
      <alignment horizontal="right"/>
    </xf>
    <xf numFmtId="170" fontId="3" fillId="19" borderId="11" xfId="2" applyNumberFormat="1" applyFont="1" applyFill="1" applyBorder="1"/>
    <xf numFmtId="170" fontId="3" fillId="19" borderId="0" xfId="35" applyNumberFormat="1" applyFont="1" applyFill="1" applyBorder="1"/>
    <xf numFmtId="170" fontId="3" fillId="19" borderId="0" xfId="35" applyNumberFormat="1" applyFont="1" applyFill="1" applyBorder="1" applyAlignment="1">
      <alignment horizontal="right"/>
    </xf>
    <xf numFmtId="166" fontId="8" fillId="19" borderId="11" xfId="2" applyNumberFormat="1" applyFont="1" applyFill="1" applyBorder="1"/>
    <xf numFmtId="168" fontId="8" fillId="19" borderId="42" xfId="2" applyNumberFormat="1" applyFont="1" applyFill="1" applyBorder="1"/>
    <xf numFmtId="168" fontId="8" fillId="19" borderId="11" xfId="2" applyNumberFormat="1" applyFont="1" applyFill="1" applyBorder="1"/>
    <xf numFmtId="168" fontId="8" fillId="19" borderId="21" xfId="35" applyNumberFormat="1" applyFont="1" applyFill="1" applyBorder="1"/>
    <xf numFmtId="168" fontId="8" fillId="19" borderId="0" xfId="35" applyNumberFormat="1" applyFont="1" applyFill="1" applyBorder="1"/>
    <xf numFmtId="168" fontId="8" fillId="19" borderId="22" xfId="35" applyNumberFormat="1" applyFont="1" applyFill="1" applyBorder="1"/>
    <xf numFmtId="168" fontId="8" fillId="19" borderId="25" xfId="2" applyNumberFormat="1" applyFont="1" applyFill="1" applyBorder="1"/>
    <xf numFmtId="168" fontId="8" fillId="19" borderId="20" xfId="35" applyNumberFormat="1" applyFont="1" applyFill="1" applyBorder="1"/>
    <xf numFmtId="168" fontId="8" fillId="19" borderId="28" xfId="35" applyNumberFormat="1" applyFont="1" applyFill="1" applyBorder="1"/>
    <xf numFmtId="168" fontId="8" fillId="19" borderId="29" xfId="35" applyNumberFormat="1" applyFont="1" applyFill="1" applyBorder="1"/>
    <xf numFmtId="168" fontId="81" fillId="19" borderId="0" xfId="35" applyNumberFormat="1" applyFont="1" applyFill="1" applyBorder="1"/>
    <xf numFmtId="168" fontId="3" fillId="19" borderId="0" xfId="2" applyNumberFormat="1" applyFont="1" applyFill="1"/>
    <xf numFmtId="168" fontId="3" fillId="19" borderId="21" xfId="2" applyNumberFormat="1" applyFont="1" applyFill="1" applyBorder="1"/>
    <xf numFmtId="168" fontId="3" fillId="19" borderId="22" xfId="2" applyNumberFormat="1" applyFont="1" applyFill="1" applyBorder="1"/>
    <xf numFmtId="168" fontId="8" fillId="19" borderId="0" xfId="35" applyNumberFormat="1" applyFont="1" applyFill="1" applyBorder="1" applyAlignment="1">
      <alignment horizontal="right"/>
    </xf>
    <xf numFmtId="164" fontId="8" fillId="19" borderId="62" xfId="57" applyNumberFormat="1" applyFont="1" applyFill="1" applyBorder="1" applyAlignment="1">
      <alignment horizontal="right"/>
    </xf>
    <xf numFmtId="168" fontId="3" fillId="19" borderId="11" xfId="2" applyNumberFormat="1" applyFont="1" applyFill="1" applyBorder="1"/>
    <xf numFmtId="168" fontId="3" fillId="19" borderId="62" xfId="2" applyNumberFormat="1" applyFont="1" applyFill="1" applyBorder="1"/>
    <xf numFmtId="168" fontId="3" fillId="19" borderId="0" xfId="2" applyNumberFormat="1" applyFont="1" applyFill="1" applyBorder="1" applyAlignment="1">
      <alignment horizontal="right"/>
    </xf>
    <xf numFmtId="168" fontId="3" fillId="19" borderId="62" xfId="57" applyNumberFormat="1" applyFont="1" applyFill="1" applyBorder="1" applyAlignment="1">
      <alignment horizontal="right"/>
    </xf>
    <xf numFmtId="168" fontId="3" fillId="19" borderId="42" xfId="2" applyNumberFormat="1" applyFont="1" applyFill="1" applyBorder="1"/>
    <xf numFmtId="168" fontId="3" fillId="19" borderId="21" xfId="35" applyNumberFormat="1" applyFont="1" applyFill="1" applyBorder="1"/>
    <xf numFmtId="168" fontId="3" fillId="19" borderId="22" xfId="35" applyNumberFormat="1" applyFont="1" applyFill="1" applyBorder="1"/>
    <xf numFmtId="168" fontId="3" fillId="19" borderId="62" xfId="35" applyNumberFormat="1" applyFont="1" applyFill="1" applyBorder="1"/>
    <xf numFmtId="168" fontId="3" fillId="19" borderId="0" xfId="35" applyNumberFormat="1" applyFont="1" applyFill="1" applyBorder="1" applyAlignment="1">
      <alignment horizontal="right"/>
    </xf>
    <xf numFmtId="164" fontId="3" fillId="19" borderId="62" xfId="57" applyNumberFormat="1" applyFont="1" applyFill="1" applyBorder="1" applyAlignment="1">
      <alignment horizontal="right"/>
    </xf>
    <xf numFmtId="168" fontId="12" fillId="19" borderId="11" xfId="2" applyNumberFormat="1" applyFont="1" applyFill="1" applyBorder="1"/>
    <xf numFmtId="168" fontId="12" fillId="19" borderId="21" xfId="35" applyNumberFormat="1" applyFont="1" applyFill="1" applyBorder="1"/>
    <xf numFmtId="168" fontId="12" fillId="19" borderId="22" xfId="35" applyNumberFormat="1" applyFont="1" applyFill="1" applyBorder="1"/>
    <xf numFmtId="168" fontId="12" fillId="19" borderId="22" xfId="2" applyNumberFormat="1" applyFont="1" applyFill="1" applyBorder="1"/>
    <xf numFmtId="168" fontId="12" fillId="19" borderId="62" xfId="35" applyNumberFormat="1" applyFont="1" applyFill="1" applyBorder="1"/>
    <xf numFmtId="168" fontId="12" fillId="19" borderId="58" xfId="2" applyNumberFormat="1" applyFont="1" applyFill="1" applyBorder="1"/>
    <xf numFmtId="168" fontId="12" fillId="19" borderId="21" xfId="2" applyNumberFormat="1" applyFont="1" applyFill="1" applyBorder="1"/>
    <xf numFmtId="168" fontId="12" fillId="19" borderId="0" xfId="35" applyNumberFormat="1" applyFont="1" applyFill="1" applyBorder="1" applyAlignment="1">
      <alignment horizontal="right"/>
    </xf>
    <xf numFmtId="168" fontId="8" fillId="19" borderId="21" xfId="2" applyNumberFormat="1" applyFont="1" applyFill="1" applyBorder="1"/>
    <xf numFmtId="168" fontId="8" fillId="19" borderId="0" xfId="2" applyNumberFormat="1" applyFont="1" applyFill="1" applyBorder="1"/>
    <xf numFmtId="168" fontId="8" fillId="19" borderId="22" xfId="2" applyNumberFormat="1" applyFont="1" applyFill="1" applyBorder="1"/>
    <xf numFmtId="168" fontId="8" fillId="19" borderId="62" xfId="2" applyNumberFormat="1" applyFont="1" applyFill="1" applyBorder="1"/>
    <xf numFmtId="168" fontId="8" fillId="19" borderId="58" xfId="2" applyNumberFormat="1" applyFont="1" applyFill="1" applyBorder="1"/>
    <xf numFmtId="168" fontId="8" fillId="19" borderId="0" xfId="2" applyNumberFormat="1" applyFont="1" applyFill="1" applyBorder="1" applyAlignment="1">
      <alignment horizontal="right"/>
    </xf>
    <xf numFmtId="168" fontId="3" fillId="19" borderId="42" xfId="53" applyNumberFormat="1" applyFont="1" applyFill="1" applyBorder="1"/>
    <xf numFmtId="168" fontId="5" fillId="19" borderId="21" xfId="35" applyNumberFormat="1" applyFont="1" applyFill="1" applyBorder="1"/>
    <xf numFmtId="168" fontId="5" fillId="19" borderId="0" xfId="35" applyNumberFormat="1" applyFont="1" applyFill="1" applyBorder="1" applyAlignment="1">
      <alignment horizontal="right"/>
    </xf>
    <xf numFmtId="168" fontId="14" fillId="19" borderId="21" xfId="35" applyNumberFormat="1" applyFont="1" applyFill="1" applyBorder="1"/>
    <xf numFmtId="168" fontId="14" fillId="19" borderId="0" xfId="35" applyNumberFormat="1" applyFont="1" applyFill="1" applyBorder="1"/>
    <xf numFmtId="168" fontId="11" fillId="19" borderId="21" xfId="35" applyNumberFormat="1" applyFont="1" applyFill="1" applyBorder="1"/>
    <xf numFmtId="168" fontId="11" fillId="19" borderId="0" xfId="35" applyNumberFormat="1" applyFont="1" applyFill="1" applyBorder="1"/>
    <xf numFmtId="168" fontId="11" fillId="19" borderId="0" xfId="2" applyNumberFormat="1" applyFont="1" applyFill="1" applyBorder="1"/>
    <xf numFmtId="168" fontId="11" fillId="19" borderId="22" xfId="35" applyNumberFormat="1" applyFont="1" applyFill="1" applyBorder="1"/>
    <xf numFmtId="168" fontId="25" fillId="19" borderId="0" xfId="35" applyNumberFormat="1" applyFont="1" applyFill="1" applyBorder="1" applyAlignment="1">
      <alignment horizontal="right"/>
    </xf>
    <xf numFmtId="168" fontId="11" fillId="19" borderId="0" xfId="35" applyNumberFormat="1" applyFont="1" applyFill="1" applyBorder="1" applyAlignment="1">
      <alignment horizontal="right"/>
    </xf>
    <xf numFmtId="170" fontId="3" fillId="19" borderId="58" xfId="35" applyNumberFormat="1" applyFont="1" applyFill="1" applyBorder="1"/>
    <xf numFmtId="168" fontId="3" fillId="19" borderId="42" xfId="2" applyNumberFormat="1" applyFont="1" applyFill="1" applyBorder="1" applyAlignment="1">
      <alignment vertical="center"/>
    </xf>
    <xf numFmtId="168" fontId="12" fillId="19" borderId="22" xfId="2" applyNumberFormat="1" applyFont="1" applyFill="1" applyBorder="1" applyAlignment="1">
      <alignment vertical="center"/>
    </xf>
    <xf numFmtId="168" fontId="12" fillId="19" borderId="21" xfId="35" applyNumberFormat="1" applyFont="1" applyFill="1" applyBorder="1" applyAlignment="1">
      <alignment vertical="center"/>
    </xf>
    <xf numFmtId="168" fontId="12" fillId="19" borderId="0" xfId="35" applyNumberFormat="1" applyFont="1" applyFill="1" applyBorder="1" applyAlignment="1">
      <alignment vertical="center"/>
    </xf>
    <xf numFmtId="168" fontId="12" fillId="19" borderId="11" xfId="2" applyNumberFormat="1" applyFont="1" applyFill="1" applyBorder="1" applyAlignment="1">
      <alignment vertical="center"/>
    </xf>
    <xf numFmtId="168" fontId="12" fillId="19" borderId="62" xfId="35" applyNumberFormat="1" applyFont="1" applyFill="1" applyBorder="1" applyAlignment="1">
      <alignment vertical="center"/>
    </xf>
    <xf numFmtId="168" fontId="12" fillId="19" borderId="0" xfId="2" applyNumberFormat="1" applyFont="1" applyFill="1" applyBorder="1" applyAlignment="1">
      <alignment vertical="center"/>
    </xf>
    <xf numFmtId="198" fontId="8" fillId="19" borderId="58" xfId="2" applyNumberFormat="1" applyFont="1" applyFill="1" applyBorder="1"/>
    <xf numFmtId="168" fontId="8" fillId="19" borderId="0" xfId="57" applyNumberFormat="1" applyFont="1" applyFill="1"/>
    <xf numFmtId="168" fontId="8" fillId="19" borderId="0" xfId="2" applyNumberFormat="1" applyFont="1" applyFill="1"/>
    <xf numFmtId="168" fontId="20" fillId="19" borderId="42" xfId="2" applyNumberFormat="1" applyFont="1" applyFill="1" applyBorder="1"/>
    <xf numFmtId="168" fontId="20" fillId="19" borderId="11" xfId="2" applyNumberFormat="1" applyFont="1" applyFill="1" applyBorder="1"/>
    <xf numFmtId="168" fontId="20" fillId="19" borderId="21" xfId="2" applyNumberFormat="1" applyFont="1" applyFill="1" applyBorder="1"/>
    <xf numFmtId="168" fontId="20" fillId="19" borderId="22" xfId="2" applyNumberFormat="1" applyFont="1" applyFill="1" applyBorder="1"/>
    <xf numFmtId="168" fontId="20" fillId="19" borderId="62" xfId="2" applyNumberFormat="1" applyFont="1" applyFill="1" applyBorder="1"/>
    <xf numFmtId="168" fontId="20" fillId="19" borderId="58" xfId="2" applyNumberFormat="1" applyFont="1" applyFill="1" applyBorder="1"/>
    <xf numFmtId="204" fontId="20" fillId="19" borderId="0" xfId="2" applyNumberFormat="1" applyFont="1" applyFill="1"/>
    <xf numFmtId="168" fontId="20" fillId="19" borderId="0" xfId="2" applyNumberFormat="1" applyFont="1" applyFill="1"/>
    <xf numFmtId="168" fontId="20" fillId="19" borderId="0" xfId="2" applyNumberFormat="1" applyFont="1" applyFill="1" applyBorder="1" applyAlignment="1">
      <alignment horizontal="right"/>
    </xf>
    <xf numFmtId="164" fontId="20" fillId="19" borderId="62" xfId="57" applyNumberFormat="1" applyFont="1" applyFill="1" applyBorder="1" applyAlignment="1">
      <alignment horizontal="right"/>
    </xf>
    <xf numFmtId="9" fontId="20" fillId="19" borderId="0" xfId="57" applyFont="1" applyFill="1"/>
    <xf numFmtId="168" fontId="5" fillId="19" borderId="0" xfId="2" applyNumberFormat="1" applyFont="1" applyFill="1" applyBorder="1"/>
    <xf numFmtId="166" fontId="3" fillId="19" borderId="42" xfId="2" applyNumberFormat="1" applyFont="1" applyFill="1" applyBorder="1"/>
    <xf numFmtId="170" fontId="3" fillId="19" borderId="11" xfId="35" applyNumberFormat="1" applyFont="1" applyFill="1" applyBorder="1"/>
    <xf numFmtId="170" fontId="3" fillId="19" borderId="21" xfId="35" applyNumberFormat="1" applyFont="1" applyFill="1" applyBorder="1"/>
    <xf numFmtId="170" fontId="3" fillId="19" borderId="22" xfId="35" applyNumberFormat="1" applyFont="1" applyFill="1" applyBorder="1"/>
    <xf numFmtId="170" fontId="3" fillId="19" borderId="62" xfId="35" applyNumberFormat="1" applyFont="1" applyFill="1" applyBorder="1"/>
    <xf numFmtId="170" fontId="80" fillId="19" borderId="0" xfId="35" applyNumberFormat="1" applyFont="1" applyFill="1" applyBorder="1"/>
    <xf numFmtId="166" fontId="8" fillId="19" borderId="42" xfId="2" applyNumberFormat="1" applyFont="1" applyFill="1" applyBorder="1"/>
    <xf numFmtId="170" fontId="8" fillId="19" borderId="21" xfId="35" applyNumberFormat="1" applyFont="1" applyFill="1" applyBorder="1"/>
    <xf numFmtId="170" fontId="8" fillId="19" borderId="0" xfId="35" applyNumberFormat="1" applyFont="1" applyFill="1" applyBorder="1"/>
    <xf numFmtId="170" fontId="8" fillId="19" borderId="22" xfId="35" applyNumberFormat="1" applyFont="1" applyFill="1" applyBorder="1"/>
    <xf numFmtId="170" fontId="8" fillId="19" borderId="62" xfId="35" applyNumberFormat="1" applyFont="1" applyFill="1" applyBorder="1"/>
    <xf numFmtId="170" fontId="8" fillId="19" borderId="58" xfId="35" applyNumberFormat="1" applyFont="1" applyFill="1" applyBorder="1"/>
    <xf numFmtId="170" fontId="8" fillId="19" borderId="0" xfId="35" applyNumberFormat="1" applyFont="1" applyFill="1" applyBorder="1" applyAlignment="1">
      <alignment horizontal="right"/>
    </xf>
    <xf numFmtId="168" fontId="8" fillId="19" borderId="11" xfId="37" applyNumberFormat="1" applyFont="1" applyFill="1" applyBorder="1"/>
    <xf numFmtId="168" fontId="8" fillId="19" borderId="21" xfId="37" applyNumberFormat="1" applyFont="1" applyFill="1" applyBorder="1"/>
    <xf numFmtId="168" fontId="8" fillId="19" borderId="0" xfId="37" applyNumberFormat="1" applyFont="1" applyFill="1" applyBorder="1"/>
    <xf numFmtId="168" fontId="8" fillId="19" borderId="22" xfId="37" applyNumberFormat="1" applyFont="1" applyFill="1" applyBorder="1"/>
    <xf numFmtId="168" fontId="16" fillId="19" borderId="0" xfId="37" applyNumberFormat="1" applyFont="1" applyFill="1" applyBorder="1"/>
    <xf numFmtId="168" fontId="8" fillId="19" borderId="62" xfId="37" applyNumberFormat="1" applyFont="1" applyFill="1" applyBorder="1"/>
    <xf numFmtId="168" fontId="8" fillId="19" borderId="58" xfId="37" applyNumberFormat="1" applyFont="1" applyFill="1" applyBorder="1"/>
    <xf numFmtId="168" fontId="81" fillId="19" borderId="0" xfId="37" applyNumberFormat="1" applyFont="1" applyFill="1" applyBorder="1"/>
    <xf numFmtId="168" fontId="8" fillId="19" borderId="0" xfId="37" applyNumberFormat="1" applyFont="1" applyFill="1" applyBorder="1" applyAlignment="1">
      <alignment horizontal="right"/>
    </xf>
    <xf numFmtId="198" fontId="3" fillId="15" borderId="0" xfId="2" applyNumberFormat="1" applyFont="1" applyFill="1" applyBorder="1"/>
    <xf numFmtId="164" fontId="8" fillId="19" borderId="11" xfId="57" applyNumberFormat="1" applyFont="1" applyFill="1" applyBorder="1" applyAlignment="1"/>
    <xf numFmtId="164" fontId="8" fillId="19" borderId="21" xfId="57" applyNumberFormat="1" applyFont="1" applyFill="1" applyBorder="1" applyAlignment="1"/>
    <xf numFmtId="164" fontId="8" fillId="19" borderId="0" xfId="57" applyNumberFormat="1" applyFont="1" applyFill="1" applyBorder="1" applyAlignment="1"/>
    <xf numFmtId="164" fontId="8" fillId="19" borderId="22" xfId="57" applyNumberFormat="1" applyFont="1" applyFill="1" applyBorder="1" applyAlignment="1"/>
    <xf numFmtId="164" fontId="8" fillId="19" borderId="62" xfId="57" applyNumberFormat="1" applyFont="1" applyFill="1" applyBorder="1" applyAlignment="1"/>
    <xf numFmtId="164" fontId="8" fillId="19" borderId="58" xfId="57" applyNumberFormat="1" applyFont="1" applyFill="1" applyBorder="1" applyAlignment="1"/>
    <xf numFmtId="164" fontId="81" fillId="19" borderId="0" xfId="57" applyNumberFormat="1" applyFont="1" applyFill="1" applyBorder="1" applyAlignment="1"/>
    <xf numFmtId="164" fontId="81" fillId="19" borderId="22" xfId="57" applyNumberFormat="1" applyFont="1" applyFill="1" applyBorder="1" applyAlignment="1"/>
    <xf numFmtId="0" fontId="8" fillId="19" borderId="62" xfId="2" applyFont="1" applyFill="1" applyBorder="1" applyAlignment="1">
      <alignment horizontal="right"/>
    </xf>
    <xf numFmtId="168" fontId="16" fillId="19" borderId="17" xfId="2" applyNumberFormat="1" applyFont="1" applyFill="1" applyBorder="1"/>
    <xf numFmtId="168" fontId="16" fillId="19" borderId="18" xfId="2" applyNumberFormat="1" applyFont="1" applyFill="1" applyBorder="1"/>
    <xf numFmtId="168" fontId="16" fillId="19" borderId="59" xfId="2" applyNumberFormat="1" applyFont="1" applyFill="1" applyBorder="1"/>
    <xf numFmtId="202" fontId="3" fillId="15" borderId="0" xfId="35" applyNumberFormat="1" applyFont="1" applyFill="1" applyBorder="1"/>
    <xf numFmtId="7" fontId="3" fillId="19" borderId="0" xfId="2" applyNumberFormat="1" applyFont="1" applyFill="1" applyBorder="1" applyAlignment="1">
      <alignment horizontal="center"/>
    </xf>
    <xf numFmtId="7" fontId="95" fillId="15" borderId="0" xfId="2" applyNumberFormat="1" applyFont="1" applyFill="1" applyBorder="1"/>
    <xf numFmtId="164" fontId="96" fillId="15" borderId="0" xfId="57" applyNumberFormat="1" applyFont="1" applyFill="1" applyBorder="1"/>
    <xf numFmtId="7" fontId="96" fillId="15" borderId="0" xfId="57" applyNumberFormat="1" applyFont="1" applyFill="1" applyBorder="1"/>
    <xf numFmtId="198" fontId="8" fillId="19" borderId="11" xfId="2" applyNumberFormat="1" applyFont="1" applyFill="1" applyBorder="1"/>
    <xf numFmtId="0" fontId="10" fillId="15" borderId="41" xfId="2" applyFont="1" applyFill="1" applyBorder="1" applyAlignment="1">
      <alignment horizontal="center"/>
    </xf>
    <xf numFmtId="0" fontId="10" fillId="15" borderId="0" xfId="2" applyFont="1" applyFill="1" applyBorder="1" applyAlignment="1">
      <alignment horizontal="center"/>
    </xf>
    <xf numFmtId="14" fontId="10" fillId="15" borderId="0" xfId="2" applyNumberFormat="1" applyFont="1" applyFill="1" applyBorder="1" applyAlignment="1">
      <alignment horizontal="center"/>
    </xf>
    <xf numFmtId="17" fontId="10" fillId="15" borderId="0" xfId="2" applyNumberFormat="1" applyFont="1" applyFill="1" applyBorder="1" applyAlignment="1">
      <alignment horizontal="center"/>
    </xf>
    <xf numFmtId="166" fontId="81" fillId="15" borderId="0" xfId="2" applyNumberFormat="1" applyFont="1" applyFill="1" applyBorder="1"/>
    <xf numFmtId="166" fontId="8" fillId="15" borderId="58" xfId="2" applyNumberFormat="1" applyFont="1" applyFill="1" applyBorder="1"/>
    <xf numFmtId="7" fontId="8" fillId="15" borderId="0" xfId="57" applyNumberFormat="1" applyFont="1" applyFill="1" applyBorder="1"/>
    <xf numFmtId="168" fontId="3" fillId="15" borderId="17" xfId="2" applyNumberFormat="1" applyFont="1" applyFill="1" applyBorder="1"/>
    <xf numFmtId="43" fontId="3" fillId="15" borderId="17" xfId="2" applyNumberFormat="1" applyFont="1" applyFill="1" applyBorder="1"/>
    <xf numFmtId="43" fontId="3" fillId="19" borderId="0" xfId="35" applyFont="1" applyFill="1"/>
    <xf numFmtId="43" fontId="8" fillId="19" borderId="0" xfId="35" applyFont="1" applyFill="1"/>
    <xf numFmtId="0" fontId="3" fillId="19" borderId="0" xfId="2" applyFont="1" applyFill="1" applyBorder="1"/>
    <xf numFmtId="43" fontId="20" fillId="19" borderId="0" xfId="35" applyFont="1" applyFill="1"/>
    <xf numFmtId="0" fontId="20" fillId="19" borderId="0" xfId="2" applyFont="1" applyFill="1" applyBorder="1"/>
    <xf numFmtId="185" fontId="3" fillId="19" borderId="0" xfId="2" applyNumberFormat="1" applyFont="1" applyFill="1" applyBorder="1"/>
    <xf numFmtId="185" fontId="8" fillId="19" borderId="0" xfId="2" applyNumberFormat="1" applyFont="1" applyFill="1" applyBorder="1"/>
    <xf numFmtId="43" fontId="3" fillId="19" borderId="0" xfId="2" applyNumberFormat="1" applyFont="1" applyFill="1" applyBorder="1"/>
    <xf numFmtId="168" fontId="3" fillId="19" borderId="0" xfId="2" applyNumberFormat="1" applyFont="1" applyFill="1" applyBorder="1" applyAlignment="1">
      <alignment horizontal="center"/>
    </xf>
    <xf numFmtId="170" fontId="7" fillId="15" borderId="27" xfId="35" applyNumberFormat="1" applyFont="1" applyFill="1" applyBorder="1"/>
    <xf numFmtId="164" fontId="3" fillId="19" borderId="62" xfId="57" applyNumberFormat="1" applyFont="1" applyFill="1" applyBorder="1" applyAlignment="1"/>
    <xf numFmtId="164" fontId="3" fillId="19" borderId="22" xfId="57" applyNumberFormat="1" applyFont="1" applyFill="1" applyBorder="1" applyAlignment="1"/>
    <xf numFmtId="175" fontId="92" fillId="15" borderId="0" xfId="2" applyNumberFormat="1" applyFont="1" applyFill="1"/>
    <xf numFmtId="168" fontId="3" fillId="0" borderId="0" xfId="2" applyNumberFormat="1" applyFont="1" applyFill="1" applyBorder="1"/>
    <xf numFmtId="168" fontId="8" fillId="0" borderId="17" xfId="2" applyNumberFormat="1" applyFont="1" applyFill="1" applyBorder="1"/>
    <xf numFmtId="168" fontId="8" fillId="0" borderId="0" xfId="2" applyNumberFormat="1" applyFont="1" applyFill="1" applyBorder="1"/>
    <xf numFmtId="168" fontId="16" fillId="0" borderId="0" xfId="2" applyNumberFormat="1" applyFont="1" applyFill="1" applyBorder="1"/>
    <xf numFmtId="185" fontId="8" fillId="0" borderId="17" xfId="2" applyNumberFormat="1" applyFont="1" applyFill="1" applyBorder="1"/>
    <xf numFmtId="0" fontId="3" fillId="16" borderId="59" xfId="2" applyFont="1" applyFill="1" applyBorder="1"/>
    <xf numFmtId="164" fontId="3" fillId="16" borderId="69" xfId="57" applyNumberFormat="1" applyFont="1" applyFill="1" applyBorder="1" applyAlignment="1"/>
    <xf numFmtId="168" fontId="3" fillId="19" borderId="11" xfId="53" applyNumberFormat="1" applyFont="1" applyFill="1" applyBorder="1"/>
    <xf numFmtId="168" fontId="3" fillId="19" borderId="11" xfId="2" applyNumberFormat="1" applyFont="1" applyFill="1" applyBorder="1" applyAlignment="1">
      <alignment vertical="center"/>
    </xf>
    <xf numFmtId="168" fontId="3" fillId="15" borderId="11" xfId="2" applyNumberFormat="1" applyFont="1" applyFill="1" applyBorder="1" applyAlignment="1">
      <alignment vertical="center"/>
    </xf>
    <xf numFmtId="166" fontId="3" fillId="19" borderId="11" xfId="2" applyNumberFormat="1" applyFont="1" applyFill="1" applyBorder="1"/>
    <xf numFmtId="2" fontId="8" fillId="15" borderId="19" xfId="2" applyNumberFormat="1" applyFont="1" applyFill="1" applyBorder="1"/>
    <xf numFmtId="2" fontId="8" fillId="19" borderId="19" xfId="2" applyNumberFormat="1" applyFont="1" applyFill="1" applyBorder="1"/>
    <xf numFmtId="2" fontId="8" fillId="15" borderId="11" xfId="2" applyNumberFormat="1" applyFont="1" applyFill="1" applyBorder="1"/>
    <xf numFmtId="7" fontId="8" fillId="16" borderId="27" xfId="2" applyNumberFormat="1" applyFont="1" applyFill="1" applyBorder="1"/>
    <xf numFmtId="7" fontId="3" fillId="15" borderId="11" xfId="2" applyNumberFormat="1" applyFont="1" applyFill="1" applyBorder="1" applyAlignment="1">
      <alignment horizontal="left" indent="1"/>
    </xf>
    <xf numFmtId="166" fontId="3" fillId="15" borderId="11" xfId="2" applyNumberFormat="1" applyFont="1" applyFill="1" applyBorder="1" applyAlignment="1">
      <alignment horizontal="left"/>
    </xf>
    <xf numFmtId="164" fontId="10" fillId="15" borderId="11" xfId="2" applyNumberFormat="1" applyFont="1" applyFill="1" applyBorder="1"/>
    <xf numFmtId="164" fontId="8" fillId="16" borderId="19" xfId="2" applyNumberFormat="1" applyFont="1" applyFill="1" applyBorder="1"/>
    <xf numFmtId="0" fontId="10" fillId="15" borderId="11" xfId="2" applyFont="1" applyFill="1" applyBorder="1" applyAlignment="1">
      <alignment horizontal="left" indent="2"/>
    </xf>
    <xf numFmtId="0" fontId="10" fillId="15" borderId="27" xfId="2" applyFont="1" applyFill="1" applyBorder="1" applyAlignment="1">
      <alignment horizontal="left" indent="2"/>
    </xf>
    <xf numFmtId="164" fontId="8" fillId="16" borderId="25" xfId="2" applyNumberFormat="1" applyFont="1" applyFill="1" applyBorder="1"/>
    <xf numFmtId="164" fontId="8" fillId="16" borderId="27" xfId="2" applyNumberFormat="1" applyFont="1" applyFill="1" applyBorder="1"/>
    <xf numFmtId="0" fontId="3" fillId="15" borderId="21" xfId="2" applyFont="1" applyFill="1" applyBorder="1" applyAlignment="1">
      <alignment horizontal="left"/>
    </xf>
    <xf numFmtId="0" fontId="3" fillId="15" borderId="39" xfId="2" applyFont="1" applyFill="1" applyBorder="1" applyAlignment="1">
      <alignment horizontal="left"/>
    </xf>
    <xf numFmtId="169" fontId="3" fillId="19" borderId="0" xfId="2" applyNumberFormat="1" applyFont="1" applyFill="1"/>
    <xf numFmtId="203" fontId="8" fillId="19" borderId="0" xfId="2" applyNumberFormat="1" applyFont="1" applyFill="1"/>
    <xf numFmtId="169" fontId="3" fillId="15" borderId="0" xfId="35" applyNumberFormat="1" applyFont="1" applyFill="1"/>
    <xf numFmtId="168" fontId="8" fillId="19" borderId="17" xfId="2" applyNumberFormat="1" applyFont="1" applyFill="1" applyBorder="1"/>
    <xf numFmtId="164" fontId="3" fillId="15" borderId="25" xfId="57" applyNumberFormat="1" applyFont="1" applyFill="1" applyBorder="1" applyAlignment="1"/>
    <xf numFmtId="198" fontId="8" fillId="19" borderId="11" xfId="35" applyNumberFormat="1" applyFont="1" applyFill="1" applyBorder="1"/>
    <xf numFmtId="204" fontId="3" fillId="15" borderId="0" xfId="2" applyNumberFormat="1" applyFont="1" applyFill="1"/>
    <xf numFmtId="168" fontId="8" fillId="19" borderId="18" xfId="2" applyNumberFormat="1" applyFont="1" applyFill="1" applyBorder="1"/>
    <xf numFmtId="168" fontId="8" fillId="19" borderId="59" xfId="2" applyNumberFormat="1" applyFont="1" applyFill="1" applyBorder="1"/>
    <xf numFmtId="43" fontId="3" fillId="15" borderId="58" xfId="2" applyNumberFormat="1" applyFont="1" applyFill="1" applyBorder="1"/>
    <xf numFmtId="164" fontId="3" fillId="19" borderId="11" xfId="2" applyNumberFormat="1" applyFont="1" applyFill="1" applyBorder="1"/>
    <xf numFmtId="0" fontId="3" fillId="15" borderId="0" xfId="50" applyFont="1" applyFill="1" applyBorder="1" applyAlignment="1">
      <alignment horizontal="center"/>
    </xf>
    <xf numFmtId="170" fontId="3" fillId="19" borderId="22" xfId="2" applyNumberFormat="1" applyFont="1" applyFill="1" applyBorder="1"/>
    <xf numFmtId="168" fontId="8" fillId="19" borderId="28" xfId="2" applyNumberFormat="1" applyFont="1" applyFill="1" applyBorder="1"/>
    <xf numFmtId="168" fontId="8" fillId="19" borderId="23" xfId="2" applyNumberFormat="1" applyFont="1" applyFill="1" applyBorder="1"/>
    <xf numFmtId="168" fontId="8" fillId="19" borderId="23" xfId="35" applyNumberFormat="1" applyFont="1" applyFill="1" applyBorder="1"/>
    <xf numFmtId="168" fontId="8" fillId="19" borderId="24" xfId="35" applyNumberFormat="1" applyFont="1" applyFill="1" applyBorder="1"/>
    <xf numFmtId="168" fontId="8" fillId="19" borderId="27" xfId="2" applyNumberFormat="1" applyFont="1" applyFill="1" applyBorder="1"/>
    <xf numFmtId="168" fontId="81" fillId="19" borderId="24" xfId="35" applyNumberFormat="1" applyFont="1" applyFill="1" applyBorder="1"/>
    <xf numFmtId="168" fontId="8" fillId="19" borderId="26" xfId="35" applyNumberFormat="1" applyFont="1" applyFill="1" applyBorder="1"/>
    <xf numFmtId="168" fontId="8" fillId="19" borderId="67" xfId="2" applyNumberFormat="1" applyFont="1" applyFill="1" applyBorder="1"/>
    <xf numFmtId="168" fontId="10" fillId="19" borderId="42" xfId="2" applyNumberFormat="1" applyFont="1" applyFill="1" applyBorder="1"/>
    <xf numFmtId="168" fontId="20" fillId="19" borderId="21" xfId="35" applyNumberFormat="1" applyFont="1" applyFill="1" applyBorder="1"/>
    <xf numFmtId="168" fontId="20" fillId="19" borderId="0" xfId="35" applyNumberFormat="1" applyFont="1" applyFill="1" applyBorder="1"/>
    <xf numFmtId="168" fontId="20" fillId="19" borderId="22" xfId="35" applyNumberFormat="1" applyFont="1" applyFill="1" applyBorder="1"/>
    <xf numFmtId="168" fontId="91" fillId="19" borderId="0" xfId="35" applyNumberFormat="1" applyFont="1" applyFill="1" applyBorder="1"/>
    <xf numFmtId="168" fontId="10" fillId="19" borderId="21" xfId="35" applyNumberFormat="1" applyFont="1" applyFill="1" applyBorder="1"/>
    <xf numFmtId="168" fontId="10" fillId="19" borderId="0" xfId="35" applyNumberFormat="1" applyFont="1" applyFill="1" applyBorder="1"/>
    <xf numFmtId="168" fontId="10" fillId="19" borderId="22" xfId="35" applyNumberFormat="1" applyFont="1" applyFill="1" applyBorder="1"/>
    <xf numFmtId="168" fontId="10" fillId="19" borderId="11" xfId="35" applyNumberFormat="1" applyFont="1" applyFill="1" applyBorder="1"/>
    <xf numFmtId="168" fontId="10" fillId="19" borderId="0" xfId="2" applyNumberFormat="1" applyFont="1" applyFill="1"/>
    <xf numFmtId="168" fontId="10" fillId="19" borderId="21" xfId="2" applyNumberFormat="1" applyFont="1" applyFill="1" applyBorder="1"/>
    <xf numFmtId="168" fontId="10" fillId="19" borderId="0" xfId="2" applyNumberFormat="1" applyFont="1" applyFill="1" applyBorder="1"/>
    <xf numFmtId="168" fontId="10" fillId="19" borderId="22" xfId="2" applyNumberFormat="1" applyFont="1" applyFill="1" applyBorder="1"/>
    <xf numFmtId="168" fontId="20" fillId="19" borderId="0" xfId="35" applyNumberFormat="1" applyFont="1" applyFill="1" applyBorder="1" applyAlignment="1">
      <alignment horizontal="right"/>
    </xf>
    <xf numFmtId="215" fontId="3" fillId="15" borderId="0" xfId="53" applyNumberFormat="1" applyFont="1" applyFill="1" applyBorder="1"/>
    <xf numFmtId="213" fontId="10" fillId="15" borderId="17" xfId="2" applyNumberFormat="1" applyFont="1" applyFill="1" applyBorder="1" applyAlignment="1">
      <alignment horizontal="right"/>
    </xf>
    <xf numFmtId="213" fontId="8" fillId="15" borderId="17" xfId="2" applyNumberFormat="1" applyFont="1" applyFill="1" applyBorder="1"/>
    <xf numFmtId="9" fontId="8" fillId="15" borderId="24" xfId="2" applyNumberFormat="1" applyFont="1" applyFill="1" applyBorder="1"/>
    <xf numFmtId="170" fontId="3" fillId="25" borderId="0" xfId="35" applyNumberFormat="1" applyFont="1" applyFill="1"/>
    <xf numFmtId="0" fontId="3" fillId="15" borderId="0" xfId="2" applyFont="1" applyFill="1" applyAlignment="1">
      <alignment horizontal="centerContinuous"/>
    </xf>
    <xf numFmtId="0" fontId="8" fillId="15" borderId="0" xfId="2" applyFont="1" applyFill="1" applyAlignment="1">
      <alignment horizontal="centerContinuous"/>
    </xf>
    <xf numFmtId="170" fontId="5" fillId="0" borderId="0" xfId="35" applyNumberFormat="1" applyFont="1" applyFill="1" applyBorder="1"/>
    <xf numFmtId="0" fontId="3" fillId="0" borderId="11" xfId="2" applyFont="1" applyFill="1" applyBorder="1"/>
    <xf numFmtId="0" fontId="8" fillId="0" borderId="11" xfId="2" applyFont="1" applyFill="1" applyBorder="1"/>
    <xf numFmtId="166" fontId="3" fillId="19" borderId="21" xfId="2" applyNumberFormat="1" applyFont="1" applyFill="1" applyBorder="1" applyAlignment="1">
      <alignment horizontal="left" indent="1"/>
    </xf>
    <xf numFmtId="170" fontId="5" fillId="19" borderId="21" xfId="35" applyNumberFormat="1" applyFont="1" applyFill="1" applyBorder="1"/>
    <xf numFmtId="170" fontId="5" fillId="19" borderId="0" xfId="35" applyNumberFormat="1" applyFont="1" applyFill="1" applyBorder="1"/>
    <xf numFmtId="170" fontId="92" fillId="19" borderId="0" xfId="35" applyNumberFormat="1" applyFont="1" applyFill="1" applyBorder="1"/>
    <xf numFmtId="0" fontId="0" fillId="19" borderId="0" xfId="2" applyFont="1" applyFill="1" applyBorder="1"/>
    <xf numFmtId="166" fontId="20" fillId="15" borderId="21" xfId="2" applyNumberFormat="1" applyFont="1" applyFill="1" applyBorder="1"/>
    <xf numFmtId="166" fontId="3" fillId="15" borderId="16" xfId="2" applyNumberFormat="1" applyFont="1" applyFill="1" applyBorder="1"/>
    <xf numFmtId="7" fontId="3" fillId="15" borderId="19" xfId="2" applyNumberFormat="1" applyFont="1" applyFill="1" applyBorder="1"/>
    <xf numFmtId="7" fontId="3" fillId="15" borderId="16" xfId="2" applyNumberFormat="1" applyFont="1" applyFill="1" applyBorder="1"/>
    <xf numFmtId="7" fontId="3" fillId="15" borderId="17" xfId="2" applyNumberFormat="1" applyFont="1" applyFill="1" applyBorder="1"/>
    <xf numFmtId="7" fontId="3" fillId="15" borderId="18" xfId="2" applyNumberFormat="1" applyFont="1" applyFill="1" applyBorder="1"/>
    <xf numFmtId="7" fontId="80" fillId="15" borderId="17" xfId="2" applyNumberFormat="1" applyFont="1" applyFill="1" applyBorder="1"/>
    <xf numFmtId="164" fontId="10" fillId="0" borderId="0" xfId="57" applyNumberFormat="1" applyFont="1" applyFill="1" applyBorder="1" applyAlignment="1"/>
    <xf numFmtId="203" fontId="3" fillId="19" borderId="0" xfId="2" applyNumberFormat="1" applyFont="1" applyFill="1"/>
    <xf numFmtId="164" fontId="10" fillId="0" borderId="11" xfId="57" applyNumberFormat="1" applyFont="1" applyFill="1" applyBorder="1"/>
    <xf numFmtId="198" fontId="8" fillId="15" borderId="0" xfId="2" applyNumberFormat="1" applyFont="1" applyFill="1" applyBorder="1"/>
    <xf numFmtId="173" fontId="95" fillId="19" borderId="0" xfId="2" applyNumberFormat="1" applyFont="1" applyFill="1" applyBorder="1"/>
    <xf numFmtId="0" fontId="37" fillId="16" borderId="16" xfId="2" applyFont="1" applyFill="1" applyBorder="1"/>
    <xf numFmtId="0" fontId="8" fillId="15" borderId="19" xfId="53" applyFont="1" applyFill="1" applyBorder="1"/>
    <xf numFmtId="0" fontId="9" fillId="16" borderId="18" xfId="2" applyFont="1" applyFill="1" applyBorder="1"/>
    <xf numFmtId="170" fontId="3" fillId="0" borderId="0" xfId="35" applyNumberFormat="1" applyFont="1" applyFill="1" applyBorder="1"/>
    <xf numFmtId="0" fontId="3" fillId="0" borderId="0" xfId="2" applyFont="1" applyFill="1" applyBorder="1"/>
    <xf numFmtId="0" fontId="0" fillId="0" borderId="0" xfId="0" applyFill="1"/>
    <xf numFmtId="0" fontId="3" fillId="0" borderId="0" xfId="2" applyFont="1" applyFill="1" applyBorder="1" applyAlignment="1">
      <alignment horizontal="right"/>
    </xf>
    <xf numFmtId="0" fontId="3" fillId="0" borderId="0" xfId="2" applyFont="1" applyFill="1" applyAlignment="1">
      <alignment horizontal="right"/>
    </xf>
    <xf numFmtId="164" fontId="27" fillId="0" borderId="0" xfId="57" applyNumberFormat="1" applyFont="1" applyFill="1" applyBorder="1"/>
    <xf numFmtId="164" fontId="10" fillId="0" borderId="0" xfId="57" applyNumberFormat="1" applyFont="1" applyFill="1"/>
    <xf numFmtId="164" fontId="10" fillId="0" borderId="0" xfId="57" applyNumberFormat="1" applyFont="1" applyFill="1" applyBorder="1" applyAlignment="1">
      <alignment horizontal="right"/>
    </xf>
    <xf numFmtId="164" fontId="10" fillId="0" borderId="0" xfId="57" applyNumberFormat="1" applyFont="1" applyFill="1" applyAlignment="1">
      <alignment horizontal="right"/>
    </xf>
    <xf numFmtId="0" fontId="4" fillId="0" borderId="0" xfId="2" applyFont="1" applyFill="1" applyBorder="1"/>
    <xf numFmtId="170" fontId="10" fillId="0" borderId="0" xfId="35" applyNumberFormat="1" applyFont="1" applyFill="1" applyBorder="1"/>
    <xf numFmtId="0" fontId="10" fillId="0" borderId="0" xfId="2" applyFont="1" applyFill="1" applyBorder="1"/>
    <xf numFmtId="0" fontId="27" fillId="0" borderId="0" xfId="2" applyFont="1" applyFill="1" applyBorder="1"/>
    <xf numFmtId="0" fontId="10" fillId="0" borderId="0" xfId="2" applyFont="1" applyFill="1"/>
    <xf numFmtId="0" fontId="27" fillId="0" borderId="0" xfId="0" applyFont="1" applyFill="1"/>
    <xf numFmtId="0" fontId="10" fillId="0" borderId="0" xfId="2" applyFont="1" applyFill="1" applyBorder="1" applyAlignment="1">
      <alignment horizontal="right"/>
    </xf>
    <xf numFmtId="0" fontId="10" fillId="0" borderId="0" xfId="2" applyFont="1" applyFill="1" applyAlignment="1">
      <alignment horizontal="right"/>
    </xf>
    <xf numFmtId="180" fontId="7" fillId="15" borderId="28" xfId="2" applyNumberFormat="1" applyFont="1" applyFill="1" applyBorder="1" applyAlignment="1">
      <alignment horizontal="center"/>
    </xf>
    <xf numFmtId="7" fontId="16" fillId="15" borderId="0" xfId="37" applyNumberFormat="1" applyFont="1" applyFill="1" applyBorder="1" applyAlignment="1">
      <alignment horizontal="center"/>
    </xf>
    <xf numFmtId="5" fontId="15" fillId="15" borderId="19" xfId="2" applyNumberFormat="1" applyFont="1" applyFill="1" applyBorder="1" applyAlignment="1">
      <alignment horizontal="center"/>
    </xf>
    <xf numFmtId="0" fontId="98" fillId="15" borderId="0" xfId="69" applyFont="1" applyFill="1" applyAlignment="1" applyProtection="1"/>
    <xf numFmtId="166" fontId="8" fillId="0" borderId="23" xfId="2" applyNumberFormat="1" applyFont="1" applyFill="1" applyBorder="1"/>
    <xf numFmtId="170" fontId="3" fillId="0" borderId="27" xfId="2" applyNumberFormat="1" applyFont="1" applyFill="1" applyBorder="1"/>
    <xf numFmtId="170" fontId="3" fillId="0" borderId="23" xfId="35" applyNumberFormat="1" applyFont="1" applyFill="1" applyBorder="1"/>
    <xf numFmtId="170" fontId="7" fillId="0" borderId="24" xfId="35" applyNumberFormat="1" applyFont="1" applyFill="1" applyBorder="1"/>
    <xf numFmtId="170" fontId="3" fillId="0" borderId="24" xfId="35" applyNumberFormat="1" applyFont="1" applyFill="1" applyBorder="1"/>
    <xf numFmtId="170" fontId="3" fillId="0" borderId="26" xfId="35" applyNumberFormat="1" applyFont="1" applyFill="1" applyBorder="1"/>
    <xf numFmtId="170" fontId="3" fillId="0" borderId="26" xfId="2" applyNumberFormat="1" applyFont="1" applyFill="1" applyBorder="1"/>
    <xf numFmtId="170" fontId="5" fillId="0" borderId="24" xfId="35" applyNumberFormat="1" applyFont="1" applyFill="1" applyBorder="1"/>
    <xf numFmtId="170" fontId="3" fillId="0" borderId="23" xfId="2" applyNumberFormat="1" applyFont="1" applyFill="1" applyBorder="1"/>
    <xf numFmtId="170" fontId="80" fillId="0" borderId="24" xfId="35" applyNumberFormat="1" applyFont="1" applyFill="1" applyBorder="1"/>
    <xf numFmtId="166" fontId="3" fillId="0" borderId="21" xfId="2" applyNumberFormat="1" applyFont="1" applyFill="1" applyBorder="1"/>
    <xf numFmtId="170" fontId="3" fillId="0" borderId="11" xfId="2" applyNumberFormat="1" applyFont="1" applyFill="1" applyBorder="1"/>
    <xf numFmtId="170" fontId="3" fillId="0" borderId="21" xfId="35" applyNumberFormat="1" applyFont="1" applyFill="1" applyBorder="1"/>
    <xf numFmtId="170" fontId="3" fillId="0" borderId="22" xfId="35" applyNumberFormat="1" applyFont="1" applyFill="1" applyBorder="1"/>
    <xf numFmtId="170" fontId="3" fillId="0" borderId="22" xfId="2" applyNumberFormat="1" applyFont="1" applyFill="1" applyBorder="1"/>
    <xf numFmtId="170" fontId="3" fillId="0" borderId="21" xfId="2" applyNumberFormat="1" applyFont="1" applyFill="1" applyBorder="1"/>
    <xf numFmtId="170" fontId="80" fillId="0" borderId="0" xfId="35" applyNumberFormat="1" applyFont="1" applyFill="1" applyBorder="1"/>
    <xf numFmtId="170" fontId="3" fillId="0" borderId="25" xfId="2" applyNumberFormat="1" applyFont="1" applyFill="1" applyBorder="1"/>
    <xf numFmtId="166" fontId="10" fillId="0" borderId="21" xfId="2" applyNumberFormat="1" applyFont="1" applyFill="1" applyBorder="1"/>
    <xf numFmtId="170" fontId="10" fillId="0" borderId="11" xfId="2" applyNumberFormat="1" applyFont="1" applyFill="1" applyBorder="1"/>
    <xf numFmtId="170" fontId="10" fillId="0" borderId="21" xfId="35" applyNumberFormat="1" applyFont="1" applyFill="1" applyBorder="1"/>
    <xf numFmtId="170" fontId="10" fillId="0" borderId="22" xfId="35" applyNumberFormat="1" applyFont="1" applyFill="1" applyBorder="1"/>
    <xf numFmtId="170" fontId="10" fillId="0" borderId="22" xfId="2" applyNumberFormat="1" applyFont="1" applyFill="1" applyBorder="1"/>
    <xf numFmtId="170" fontId="24" fillId="0" borderId="0" xfId="35" applyNumberFormat="1" applyFont="1" applyFill="1" applyBorder="1"/>
    <xf numFmtId="170" fontId="10" fillId="0" borderId="21" xfId="2" applyNumberFormat="1" applyFont="1" applyFill="1" applyBorder="1"/>
    <xf numFmtId="0" fontId="10" fillId="0" borderId="11" xfId="2" applyFont="1" applyFill="1" applyBorder="1"/>
    <xf numFmtId="164" fontId="83" fillId="0" borderId="0" xfId="57" applyNumberFormat="1" applyFont="1" applyFill="1" applyBorder="1"/>
    <xf numFmtId="166" fontId="8" fillId="0" borderId="21" xfId="2" applyNumberFormat="1" applyFont="1" applyFill="1" applyBorder="1"/>
    <xf numFmtId="170" fontId="8" fillId="0" borderId="11" xfId="2" applyNumberFormat="1" applyFont="1" applyFill="1" applyBorder="1"/>
    <xf numFmtId="170" fontId="8" fillId="0" borderId="21" xfId="35" applyNumberFormat="1" applyFont="1" applyFill="1" applyBorder="1"/>
    <xf numFmtId="170" fontId="8" fillId="0" borderId="0" xfId="35" applyNumberFormat="1" applyFont="1" applyFill="1" applyBorder="1"/>
    <xf numFmtId="170" fontId="8" fillId="0" borderId="22" xfId="35" applyNumberFormat="1" applyFont="1" applyFill="1" applyBorder="1"/>
    <xf numFmtId="170" fontId="8" fillId="0" borderId="22" xfId="2" applyNumberFormat="1" applyFont="1" applyFill="1" applyBorder="1"/>
    <xf numFmtId="170" fontId="16" fillId="0" borderId="0" xfId="35" applyNumberFormat="1" applyFont="1" applyFill="1" applyBorder="1"/>
    <xf numFmtId="170" fontId="8" fillId="0" borderId="21" xfId="2" applyNumberFormat="1" applyFont="1" applyFill="1" applyBorder="1"/>
    <xf numFmtId="170" fontId="81" fillId="0" borderId="0" xfId="35" applyNumberFormat="1" applyFont="1" applyFill="1" applyBorder="1"/>
    <xf numFmtId="164" fontId="24" fillId="0" borderId="0" xfId="57" applyNumberFormat="1" applyFont="1" applyFill="1" applyBorder="1"/>
    <xf numFmtId="170" fontId="5" fillId="0" borderId="21" xfId="35" applyNumberFormat="1" applyFont="1" applyFill="1" applyBorder="1"/>
    <xf numFmtId="164" fontId="10" fillId="0" borderId="21" xfId="57" applyNumberFormat="1" applyFont="1" applyFill="1" applyBorder="1" applyAlignment="1">
      <alignment horizontal="left" indent="2"/>
    </xf>
    <xf numFmtId="164" fontId="24" fillId="0" borderId="21" xfId="57" applyNumberFormat="1" applyFont="1" applyFill="1" applyBorder="1"/>
    <xf numFmtId="164" fontId="10" fillId="0" borderId="22" xfId="57" applyNumberFormat="1" applyFont="1" applyFill="1" applyBorder="1"/>
    <xf numFmtId="164" fontId="10" fillId="0" borderId="21" xfId="57" applyNumberFormat="1" applyFont="1" applyFill="1" applyBorder="1"/>
    <xf numFmtId="166" fontId="3" fillId="0" borderId="21" xfId="2" applyNumberFormat="1" applyFont="1" applyFill="1" applyBorder="1" applyAlignment="1">
      <alignment horizontal="left" indent="1"/>
    </xf>
    <xf numFmtId="164" fontId="3" fillId="0" borderId="21" xfId="57" applyNumberFormat="1" applyFont="1" applyFill="1" applyBorder="1" applyAlignment="1">
      <alignment horizontal="left" indent="2"/>
    </xf>
    <xf numFmtId="164" fontId="10" fillId="0" borderId="21" xfId="57" applyNumberFormat="1" applyFont="1" applyFill="1" applyBorder="1" applyAlignment="1">
      <alignment horizontal="left" indent="3"/>
    </xf>
    <xf numFmtId="170" fontId="92" fillId="0" borderId="0" xfId="35" applyNumberFormat="1" applyFont="1" applyFill="1" applyBorder="1"/>
    <xf numFmtId="170" fontId="24" fillId="0" borderId="21" xfId="35" applyNumberFormat="1" applyFont="1" applyFill="1" applyBorder="1"/>
    <xf numFmtId="168" fontId="3" fillId="0" borderId="0" xfId="35" applyNumberFormat="1" applyFont="1" applyFill="1" applyBorder="1"/>
    <xf numFmtId="43" fontId="3" fillId="15" borderId="58" xfId="35" applyNumberFormat="1" applyFont="1" applyFill="1" applyBorder="1"/>
    <xf numFmtId="168" fontId="8" fillId="0" borderId="58" xfId="2" applyNumberFormat="1" applyFont="1" applyFill="1" applyBorder="1"/>
    <xf numFmtId="164" fontId="10" fillId="20" borderId="0" xfId="57" applyNumberFormat="1" applyFont="1" applyFill="1" applyBorder="1" applyAlignment="1"/>
    <xf numFmtId="201" fontId="3" fillId="15" borderId="54" xfId="2" applyNumberFormat="1" applyFont="1" applyFill="1" applyBorder="1"/>
    <xf numFmtId="201" fontId="5" fillId="15" borderId="0" xfId="57" applyNumberFormat="1" applyFont="1" applyFill="1" applyBorder="1"/>
    <xf numFmtId="201" fontId="3" fillId="15" borderId="58" xfId="57" applyNumberFormat="1" applyFont="1" applyFill="1" applyBorder="1"/>
    <xf numFmtId="201" fontId="13" fillId="15" borderId="11" xfId="2" applyNumberFormat="1" applyFont="1" applyFill="1" applyBorder="1" applyAlignment="1">
      <alignment horizontal="right"/>
    </xf>
    <xf numFmtId="201" fontId="92" fillId="15" borderId="0" xfId="57" applyNumberFormat="1" applyFont="1" applyFill="1" applyBorder="1"/>
    <xf numFmtId="201" fontId="5" fillId="15" borderId="11" xfId="57" applyNumberFormat="1" applyFont="1" applyFill="1" applyBorder="1"/>
    <xf numFmtId="201" fontId="8" fillId="15" borderId="54" xfId="2" applyNumberFormat="1" applyFont="1" applyFill="1" applyBorder="1"/>
    <xf numFmtId="201" fontId="8" fillId="15" borderId="58" xfId="57" applyNumberFormat="1" applyFont="1" applyFill="1" applyBorder="1"/>
    <xf numFmtId="201" fontId="10" fillId="15" borderId="11" xfId="57" applyNumberFormat="1" applyFont="1" applyFill="1" applyBorder="1"/>
    <xf numFmtId="201" fontId="86" fillId="15" borderId="0" xfId="57" applyNumberFormat="1" applyFont="1" applyFill="1" applyBorder="1"/>
    <xf numFmtId="201" fontId="16" fillId="15" borderId="0" xfId="57" applyNumberFormat="1" applyFont="1" applyFill="1" applyBorder="1"/>
    <xf numFmtId="201" fontId="3" fillId="15" borderId="55" xfId="2" applyNumberFormat="1" applyFont="1" applyFill="1" applyBorder="1"/>
    <xf numFmtId="201" fontId="3" fillId="15" borderId="9" xfId="57" applyNumberFormat="1" applyFont="1" applyFill="1" applyBorder="1"/>
    <xf numFmtId="201" fontId="3" fillId="15" borderId="40" xfId="57" applyNumberFormat="1" applyFont="1" applyFill="1" applyBorder="1"/>
    <xf numFmtId="201" fontId="3" fillId="15" borderId="71" xfId="57" applyNumberFormat="1" applyFont="1" applyFill="1" applyBorder="1"/>
    <xf numFmtId="201" fontId="3" fillId="15" borderId="24" xfId="57" applyNumberFormat="1" applyFont="1" applyFill="1" applyBorder="1"/>
    <xf numFmtId="201" fontId="3" fillId="15" borderId="27" xfId="57" applyNumberFormat="1" applyFont="1" applyFill="1" applyBorder="1"/>
    <xf numFmtId="201" fontId="5" fillId="15" borderId="24" xfId="57" applyNumberFormat="1" applyFont="1" applyFill="1" applyBorder="1"/>
    <xf numFmtId="201" fontId="5" fillId="15" borderId="27" xfId="57" applyNumberFormat="1" applyFont="1" applyFill="1" applyBorder="1"/>
    <xf numFmtId="168" fontId="34" fillId="0" borderId="0" xfId="2" applyNumberFormat="1" applyFont="1" applyFill="1" applyBorder="1"/>
    <xf numFmtId="168" fontId="34" fillId="0" borderId="58" xfId="2" applyNumberFormat="1" applyFont="1" applyFill="1" applyBorder="1"/>
    <xf numFmtId="168" fontId="8" fillId="15" borderId="0" xfId="35" applyNumberFormat="1" applyFont="1" applyFill="1"/>
    <xf numFmtId="168" fontId="21" fillId="15" borderId="0" xfId="35" applyNumberFormat="1" applyFont="1" applyFill="1"/>
    <xf numFmtId="168" fontId="86" fillId="15" borderId="0" xfId="35" applyNumberFormat="1" applyFont="1" applyFill="1"/>
    <xf numFmtId="2" fontId="3" fillId="15" borderId="24" xfId="2" applyNumberFormat="1" applyFont="1" applyFill="1" applyBorder="1"/>
    <xf numFmtId="44" fontId="3" fillId="15" borderId="27" xfId="37" applyFont="1" applyFill="1" applyBorder="1"/>
    <xf numFmtId="44" fontId="3" fillId="15" borderId="24" xfId="37" applyFont="1" applyFill="1" applyBorder="1"/>
    <xf numFmtId="44" fontId="3" fillId="15" borderId="27" xfId="2" applyNumberFormat="1" applyFont="1" applyFill="1" applyBorder="1"/>
    <xf numFmtId="7" fontId="3" fillId="15" borderId="27" xfId="2" applyNumberFormat="1" applyFont="1" applyFill="1" applyBorder="1"/>
    <xf numFmtId="7" fontId="92" fillId="15" borderId="24" xfId="37" applyNumberFormat="1" applyFont="1" applyFill="1" applyBorder="1"/>
    <xf numFmtId="7" fontId="5" fillId="15" borderId="24" xfId="37" applyNumberFormat="1" applyFont="1" applyFill="1" applyBorder="1"/>
    <xf numFmtId="7" fontId="5" fillId="15" borderId="27" xfId="2" applyNumberFormat="1" applyFont="1" applyFill="1" applyBorder="1"/>
    <xf numFmtId="0" fontId="10" fillId="15" borderId="40" xfId="2" applyFont="1" applyFill="1" applyBorder="1"/>
    <xf numFmtId="0" fontId="22" fillId="15" borderId="0" xfId="2" applyFont="1" applyFill="1" applyBorder="1"/>
    <xf numFmtId="17" fontId="85" fillId="15" borderId="9" xfId="2" applyNumberFormat="1" applyFont="1" applyFill="1" applyBorder="1"/>
    <xf numFmtId="0" fontId="13" fillId="16" borderId="17" xfId="2" applyFont="1" applyFill="1" applyBorder="1"/>
    <xf numFmtId="164" fontId="10" fillId="0" borderId="11" xfId="2" applyNumberFormat="1" applyFont="1" applyFill="1" applyBorder="1"/>
    <xf numFmtId="164" fontId="10" fillId="0" borderId="11" xfId="57" applyNumberFormat="1" applyFont="1" applyFill="1" applyBorder="1" applyAlignment="1"/>
    <xf numFmtId="164" fontId="10" fillId="0" borderId="21" xfId="57" applyNumberFormat="1" applyFont="1" applyFill="1" applyBorder="1" applyAlignment="1"/>
    <xf numFmtId="164" fontId="10" fillId="0" borderId="22" xfId="57" applyNumberFormat="1" applyFont="1" applyFill="1" applyBorder="1" applyAlignment="1"/>
    <xf numFmtId="164" fontId="10" fillId="0" borderId="62" xfId="57" applyNumberFormat="1" applyFont="1" applyFill="1" applyBorder="1" applyAlignment="1"/>
    <xf numFmtId="37" fontId="8" fillId="0" borderId="11" xfId="2" applyNumberFormat="1" applyFont="1" applyFill="1" applyBorder="1"/>
    <xf numFmtId="164" fontId="10" fillId="0" borderId="58" xfId="57" applyNumberFormat="1" applyFont="1" applyFill="1" applyBorder="1" applyAlignment="1"/>
    <xf numFmtId="164" fontId="83" fillId="0" borderId="0" xfId="57" applyNumberFormat="1" applyFont="1" applyFill="1" applyBorder="1" applyAlignment="1"/>
    <xf numFmtId="164" fontId="83" fillId="0" borderId="22" xfId="57" applyNumberFormat="1" applyFont="1" applyFill="1" applyBorder="1" applyAlignment="1"/>
    <xf numFmtId="168" fontId="20" fillId="0" borderId="0" xfId="2" applyNumberFormat="1" applyFont="1" applyFill="1" applyBorder="1"/>
    <xf numFmtId="185" fontId="8" fillId="0" borderId="0" xfId="2" applyNumberFormat="1" applyFont="1" applyFill="1" applyBorder="1"/>
    <xf numFmtId="164" fontId="3" fillId="18" borderId="0" xfId="57" applyNumberFormat="1" applyFont="1" applyFill="1" applyBorder="1" applyAlignment="1"/>
    <xf numFmtId="164" fontId="3" fillId="0" borderId="0" xfId="57" applyNumberFormat="1" applyFont="1" applyFill="1" applyBorder="1" applyAlignment="1"/>
    <xf numFmtId="198" fontId="9" fillId="16" borderId="17" xfId="2" applyNumberFormat="1" applyFont="1" applyFill="1" applyBorder="1"/>
    <xf numFmtId="173" fontId="95" fillId="15" borderId="0" xfId="2" applyNumberFormat="1" applyFont="1" applyFill="1" applyBorder="1"/>
    <xf numFmtId="7" fontId="96" fillId="15" borderId="0" xfId="2" applyNumberFormat="1" applyFont="1" applyFill="1" applyBorder="1"/>
    <xf numFmtId="198" fontId="96" fillId="15" borderId="0" xfId="2" applyNumberFormat="1" applyFont="1" applyFill="1" applyBorder="1"/>
    <xf numFmtId="164" fontId="35" fillId="15" borderId="11" xfId="57" applyNumberFormat="1" applyFont="1" applyFill="1" applyBorder="1" applyAlignment="1">
      <alignment vertical="center" textRotation="180"/>
    </xf>
    <xf numFmtId="0" fontId="1" fillId="0" borderId="0" xfId="66"/>
    <xf numFmtId="0" fontId="1" fillId="26" borderId="0" xfId="71" applyFont="1" applyFill="1" applyAlignment="1">
      <alignment vertical="top"/>
    </xf>
    <xf numFmtId="0" fontId="1" fillId="26" borderId="0" xfId="66" applyFill="1" applyAlignment="1">
      <alignment vertical="top"/>
    </xf>
    <xf numFmtId="0" fontId="1" fillId="26" borderId="0" xfId="66" applyFill="1"/>
    <xf numFmtId="0" fontId="41" fillId="26" borderId="0" xfId="71" applyFont="1" applyFill="1" applyAlignment="1">
      <alignment horizontal="left" vertical="top"/>
    </xf>
    <xf numFmtId="0" fontId="1" fillId="26" borderId="0" xfId="66" applyFont="1" applyFill="1" applyAlignment="1">
      <alignment vertical="top"/>
    </xf>
    <xf numFmtId="0" fontId="27" fillId="26" borderId="0" xfId="71" applyFont="1" applyFill="1" applyAlignment="1">
      <alignment vertical="top"/>
    </xf>
    <xf numFmtId="0" fontId="0" fillId="26" borderId="0" xfId="0" applyFill="1" applyAlignment="1">
      <alignment vertical="top"/>
    </xf>
    <xf numFmtId="0" fontId="101" fillId="26" borderId="0" xfId="0" applyFont="1" applyFill="1" applyAlignment="1">
      <alignment vertical="top"/>
    </xf>
    <xf numFmtId="0" fontId="102" fillId="26" borderId="0" xfId="0" applyFont="1" applyFill="1" applyAlignment="1">
      <alignment vertical="top"/>
    </xf>
    <xf numFmtId="0" fontId="102" fillId="26" borderId="0" xfId="0" applyFont="1" applyFill="1" applyAlignment="1">
      <alignment vertical="top"/>
    </xf>
    <xf numFmtId="0" fontId="101" fillId="26" borderId="0" xfId="0" applyFont="1" applyFill="1" applyAlignment="1">
      <alignment vertical="top"/>
    </xf>
    <xf numFmtId="0" fontId="0" fillId="26" borderId="0" xfId="0" applyFill="1" applyAlignment="1">
      <alignment vertical="top"/>
    </xf>
    <xf numFmtId="0" fontId="0" fillId="26" borderId="80" xfId="0" applyFill="1" applyBorder="1" applyAlignment="1">
      <alignment vertical="top"/>
    </xf>
    <xf numFmtId="0" fontId="101" fillId="26" borderId="76" xfId="0" applyFont="1" applyFill="1" applyBorder="1" applyAlignment="1">
      <alignment vertical="top"/>
    </xf>
    <xf numFmtId="0" fontId="101" fillId="26" borderId="77" xfId="0" applyFont="1" applyFill="1" applyBorder="1" applyAlignment="1">
      <alignment vertical="top"/>
    </xf>
    <xf numFmtId="0" fontId="101" fillId="26" borderId="78" xfId="0" applyFont="1" applyFill="1" applyBorder="1" applyAlignment="1">
      <alignment vertical="top"/>
    </xf>
    <xf numFmtId="0" fontId="101" fillId="26" borderId="79" xfId="0" applyFont="1" applyFill="1" applyBorder="1" applyAlignment="1">
      <alignment vertical="top"/>
    </xf>
    <xf numFmtId="9" fontId="101" fillId="26" borderId="76" xfId="0" applyNumberFormat="1" applyFont="1" applyFill="1" applyBorder="1" applyAlignment="1">
      <alignment vertical="top"/>
    </xf>
    <xf numFmtId="3" fontId="101" fillId="26" borderId="76" xfId="0" applyNumberFormat="1" applyFont="1" applyFill="1" applyBorder="1" applyAlignment="1">
      <alignment vertical="top"/>
    </xf>
    <xf numFmtId="0" fontId="0" fillId="26" borderId="81" xfId="0" applyFill="1" applyBorder="1" applyAlignment="1">
      <alignment vertical="top"/>
    </xf>
    <xf numFmtId="2" fontId="1" fillId="0" borderId="0" xfId="66" applyNumberFormat="1" applyAlignment="1">
      <alignment horizontal="left"/>
    </xf>
    <xf numFmtId="0" fontId="1" fillId="0" borderId="0" xfId="66" applyNumberFormat="1" applyAlignment="1">
      <alignment horizontal="left"/>
    </xf>
    <xf numFmtId="1" fontId="1" fillId="0" borderId="0" xfId="66" applyNumberFormat="1" applyAlignment="1">
      <alignment horizontal="left"/>
    </xf>
    <xf numFmtId="0" fontId="1" fillId="0" borderId="0" xfId="66" applyFont="1"/>
    <xf numFmtId="226" fontId="1" fillId="0" borderId="0" xfId="66" applyNumberFormat="1" applyAlignment="1">
      <alignment horizontal="left"/>
    </xf>
    <xf numFmtId="49" fontId="1" fillId="0" borderId="0" xfId="66" applyNumberFormat="1"/>
  </cellXfs>
  <cellStyles count="72">
    <cellStyle name=" 1" xfId="1"/>
    <cellStyle name="_x000a_386grabber=M" xfId="2"/>
    <cellStyle name="_x000a_386grabber=M 2" xfId="3"/>
    <cellStyle name="_SUMMARY " xfId="4"/>
    <cellStyle name="0_Capex &amp; Depreciation " xfId="5"/>
    <cellStyle name="0_Valuing BP " xfId="6"/>
    <cellStyle name="20% - Accent1" xfId="7" builtinId="30" customBuiltin="1"/>
    <cellStyle name="20% - Accent2" xfId="8" builtinId="34" customBuiltin="1"/>
    <cellStyle name="20% - Accent3" xfId="9" builtinId="38" customBuiltin="1"/>
    <cellStyle name="20% - Accent4" xfId="10" builtinId="42" customBuiltin="1"/>
    <cellStyle name="20% - Accent5" xfId="11" builtinId="46" customBuiltin="1"/>
    <cellStyle name="20% - Accent6" xfId="12" builtinId="50" customBuiltin="1"/>
    <cellStyle name="40% - Accent1" xfId="13" builtinId="31" customBuiltin="1"/>
    <cellStyle name="40% - Accent2" xfId="14" builtinId="35" customBuiltin="1"/>
    <cellStyle name="40% - Accent3" xfId="15" builtinId="39" customBuiltin="1"/>
    <cellStyle name="40% - Accent4" xfId="16" builtinId="43" customBuiltin="1"/>
    <cellStyle name="40% - Accent5" xfId="17" builtinId="47" customBuiltin="1"/>
    <cellStyle name="40% - Accent6" xfId="18" builtinId="51" customBuiltin="1"/>
    <cellStyle name="60% - Accent1" xfId="19" builtinId="32" customBuiltin="1"/>
    <cellStyle name="60% - Accent2" xfId="20" builtinId="36" customBuiltin="1"/>
    <cellStyle name="60% - Accent3" xfId="21" builtinId="40" customBuiltin="1"/>
    <cellStyle name="60% - Accent4" xfId="22" builtinId="44" customBuiltin="1"/>
    <cellStyle name="60% - Accent5" xfId="23" builtinId="48" customBuiltin="1"/>
    <cellStyle name="60% - Accent6" xfId="24" builtinId="52" customBuiltin="1"/>
    <cellStyle name="Accent1" xfId="25" builtinId="29" customBuiltin="1"/>
    <cellStyle name="Accent2" xfId="26" builtinId="33" customBuiltin="1"/>
    <cellStyle name="Accent3" xfId="27" builtinId="37" customBuiltin="1"/>
    <cellStyle name="Accent4" xfId="28" builtinId="41" customBuiltin="1"/>
    <cellStyle name="Accent5" xfId="29" builtinId="45" customBuiltin="1"/>
    <cellStyle name="Accent6" xfId="30" builtinId="49" customBuiltin="1"/>
    <cellStyle name="Bad" xfId="31" builtinId="27" customBuiltin="1"/>
    <cellStyle name="c_HardInc " xfId="32"/>
    <cellStyle name="Calculation" xfId="33" builtinId="22" customBuiltin="1"/>
    <cellStyle name="Check Cell" xfId="34" builtinId="23" customBuiltin="1"/>
    <cellStyle name="Comma" xfId="35" builtinId="3"/>
    <cellStyle name="Comma 2" xfId="36"/>
    <cellStyle name="Currency" xfId="37" builtinId="4"/>
    <cellStyle name="Currency 2" xfId="38"/>
    <cellStyle name="Currency 3" xfId="68"/>
    <cellStyle name="Currency 4" xfId="70"/>
    <cellStyle name="Explanatory Text" xfId="39" builtinId="53" customBuiltin="1"/>
    <cellStyle name="Good" xfId="40" builtinId="26" customBuiltin="1"/>
    <cellStyle name="Heading 1" xfId="41" builtinId="16" customBuiltin="1"/>
    <cellStyle name="Heading 2" xfId="42" builtinId="17" customBuiltin="1"/>
    <cellStyle name="Heading 3" xfId="43" builtinId="18" customBuiltin="1"/>
    <cellStyle name="Heading 4" xfId="44" builtinId="19" customBuiltin="1"/>
    <cellStyle name="Hyperlink" xfId="69" builtinId="8"/>
    <cellStyle name="Hyperlink_DPZ" xfId="45"/>
    <cellStyle name="Input" xfId="46" builtinId="20" customBuiltin="1"/>
    <cellStyle name="Linked Cell" xfId="47" builtinId="24" customBuiltin="1"/>
    <cellStyle name="Neutral" xfId="48" builtinId="28" customBuiltin="1"/>
    <cellStyle name="Normal" xfId="0" builtinId="0"/>
    <cellStyle name="Normal 2" xfId="66"/>
    <cellStyle name="Normal 3" xfId="49"/>
    <cellStyle name="Normal_BKC modelware upgrade" xfId="50"/>
    <cellStyle name="Normal_DisclaimerSheet Samples" xfId="71"/>
    <cellStyle name="Normal_MCD_CF" xfId="51"/>
    <cellStyle name="Normal_MCD_QI" xfId="52"/>
    <cellStyle name="Normal_SBUX" xfId="53"/>
    <cellStyle name="Note" xfId="54" builtinId="10" customBuiltin="1"/>
    <cellStyle name="Output" xfId="55" builtinId="21" customBuiltin="1"/>
    <cellStyle name="p " xfId="56"/>
    <cellStyle name="Percent" xfId="57" builtinId="5"/>
    <cellStyle name="Percent 2" xfId="58"/>
    <cellStyle name="RRSInstruction" xfId="59"/>
    <cellStyle name="RRSInstruction 2" xfId="67"/>
    <cellStyle name="s_HardInc " xfId="60"/>
    <cellStyle name="s_Valuation " xfId="61"/>
    <cellStyle name="ssp " xfId="62"/>
    <cellStyle name="Title" xfId="63" builtinId="15" customBuiltin="1"/>
    <cellStyle name="Total" xfId="64" builtinId="25" customBuiltin="1"/>
    <cellStyle name="Warning Text" xfId="65" builtinId="11" customBuiltin="1"/>
  </cellStyles>
  <dxfs count="12">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83C3"/>
      <rgbColor rgb="00F5C54C"/>
      <rgbColor rgb="0032C464"/>
      <rgbColor rgb="009DDEED"/>
      <rgbColor rgb="00F37B53"/>
      <rgbColor rgb="00B9F391"/>
      <rgbColor rgb="00FF9B9D"/>
      <rgbColor rgb="00993D66"/>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theme/theme1.xml" Type="http://schemas.openxmlformats.org/officeDocument/2006/relationships/theme"/>
<Relationship Id="rId13" Target="styles.xml" Type="http://schemas.openxmlformats.org/officeDocument/2006/relationships/styles"/>
<Relationship Id="rId14" Target="sharedStrings.xml" Type="http://schemas.openxmlformats.org/officeDocument/2006/relationships/sharedStrings"/>
<Relationship Id="rId15" Target="calcChain.xml" Type="http://schemas.openxmlformats.org/officeDocument/2006/relationships/calcChain"/>
<Relationship Id="rId16" Target="../customXml/item1.xml" Type="http://schemas.openxmlformats.org/officeDocument/2006/relationships/customXml"/>
<Relationship Id="rId17"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181</xdr:row>
      <xdr:rowOff>0</xdr:rowOff>
    </xdr:from>
    <xdr:to>
      <xdr:col>7</xdr:col>
      <xdr:colOff>390525</xdr:colOff>
      <xdr:row>204</xdr:row>
      <xdr:rowOff>104775</xdr:rowOff>
    </xdr:to>
    <xdr:pic>
      <xdr:nvPicPr>
        <xdr:cNvPr id="2386945" name="Picture 1" descr="C:\Users\carrichr\AppData\Local\Temp\MercuryPriceRatingHistoryChart\QSR.N_2018_04_24_19_04_3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76200</xdr:rowOff>
    </xdr:from>
    <xdr:to>
      <xdr:col>0</xdr:col>
      <xdr:colOff>1762125</xdr:colOff>
      <xdr:row>0</xdr:row>
      <xdr:rowOff>409575</xdr:rowOff>
    </xdr:to>
    <xdr:pic>
      <xdr:nvPicPr>
        <xdr:cNvPr id="49326" name="Picture 3"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76200"/>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1847850</xdr:colOff>
      <xdr:row>0</xdr:row>
      <xdr:rowOff>457200</xdr:rowOff>
    </xdr:to>
    <xdr:pic>
      <xdr:nvPicPr>
        <xdr:cNvPr id="380122" name="Picture 6457"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1847850</xdr:colOff>
      <xdr:row>0</xdr:row>
      <xdr:rowOff>457200</xdr:rowOff>
    </xdr:to>
    <xdr:pic>
      <xdr:nvPicPr>
        <xdr:cNvPr id="940136" name="Picture 349"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1847850</xdr:colOff>
      <xdr:row>0</xdr:row>
      <xdr:rowOff>457200</xdr:rowOff>
    </xdr:to>
    <xdr:pic>
      <xdr:nvPicPr>
        <xdr:cNvPr id="331764" name="Picture 59"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Users/bartljak/AppData/Local/Research/ModelPublishing/SubmittedModels/THI.TO.txt"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mportantDisclosures"/>
      <sheetName val="IS"/>
      <sheetName val="MW-Cache"/>
      <sheetName val="Balance Sheet"/>
      <sheetName val="Cash Flow"/>
      <sheetName val="THI.TO"/>
      <sheetName val="ModPubIndex"/>
      <sheetName val="Proforma financials"/>
      <sheetName val="Output"/>
    </sheetNames>
    <definedNames>
      <definedName name="assum1"/>
      <definedName name="assum2"/>
      <definedName name="bal"/>
      <definedName name="CASH"/>
      <definedName name="dcf"/>
      <definedName name="_xlbgnm.dcf1"/>
      <definedName name="INC"/>
      <definedName name="int"/>
      <definedName name="val"/>
      <definedName name="XRange"/>
      <definedName name="XRange2"/>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mailto:john.glass@morganstanley.com" TargetMode="External" Type="http://schemas.openxmlformats.org/officeDocument/2006/relationships/hyperlink"/>
<Relationship Id="rId2" Target="mailto:christopher.carril@morganstanley.com" TargetMode="External" Type="http://schemas.openxmlformats.org/officeDocument/2006/relationships/hyperlink"/>
<Relationship Id="rId3" Target="../printerSettings/printerSettings4.bin" Type="http://schemas.openxmlformats.org/officeDocument/2006/relationships/printerSettings"/>
<Relationship Id="rId4" Target="../drawings/drawing2.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2.75" x14ac:dyDescent="0.2"/>
  <sheetData>
    <row r="1" spans="1:2" x14ac:dyDescent="0.2">
      <c r="A1" s="662"/>
      <c r="B1" t="s">
        <v>210</v>
      </c>
    </row>
  </sheetData>
  <phoneticPr fontId="7"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
  <sheetViews>
    <sheetView workbookViewId="0"/>
  </sheetViews>
  <sheetFormatPr defaultRowHeight="12.75" x14ac:dyDescent="0.2"/>
  <sheetData>
    <row r="1" spans="1:20" x14ac:dyDescent="0.2">
      <c r="A1" t="s">
        <v>786</v>
      </c>
    </row>
    <row r="2" spans="1:20" x14ac:dyDescent="0.2">
      <c r="A2" s="1" t="s">
        <v>46</v>
      </c>
      <c r="B2" s="1" t="s">
        <v>162</v>
      </c>
      <c r="C2" s="1" t="s">
        <v>584</v>
      </c>
      <c r="D2" s="1" t="s">
        <v>545</v>
      </c>
      <c r="E2" s="1" t="s">
        <v>583</v>
      </c>
      <c r="F2" s="1" t="s">
        <v>853</v>
      </c>
      <c r="G2" s="1" t="s">
        <v>23</v>
      </c>
      <c r="H2" s="1" t="s">
        <v>545</v>
      </c>
      <c r="I2" s="1" t="s">
        <v>582</v>
      </c>
      <c r="J2" s="1" t="s">
        <v>585</v>
      </c>
      <c r="K2" s="1" t="s">
        <v>21</v>
      </c>
      <c r="L2" s="1" t="s">
        <v>91</v>
      </c>
      <c r="M2" s="1050" t="s">
        <v>54</v>
      </c>
      <c r="N2" s="1050" t="s">
        <v>162</v>
      </c>
      <c r="O2" s="1050" t="s">
        <v>785</v>
      </c>
      <c r="P2" s="1050" t="s">
        <v>773</v>
      </c>
      <c r="Q2" s="1050" t="s">
        <v>45</v>
      </c>
      <c r="R2" s="1050" t="s">
        <v>162</v>
      </c>
      <c r="S2" s="1050" t="s">
        <v>22</v>
      </c>
      <c r="T2" s="1050" t="s">
        <v>41</v>
      </c>
    </row>
  </sheetData>
  <phoneticPr fontId="7"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5"/>
  <sheetViews>
    <sheetView showGridLines="0" tabSelected="1" workbookViewId="0">
      <selection activeCell="Z1" sqref="Z1"/>
    </sheetView>
  </sheetViews>
  <sheetFormatPr defaultRowHeight="12.75" x14ac:dyDescent="0.2"/>
  <cols>
    <col min="1" max="1" width="25.7109375" style="1805" customWidth="1"/>
    <col min="2" max="5" width="9.140625" style="1805"/>
    <col min="6" max="6" width="18.7109375" style="1805" customWidth="1"/>
    <col min="7" max="256" width="9.140625" style="1805"/>
    <col min="257" max="257" width="100.7109375" style="1805" customWidth="1"/>
    <col min="258" max="512" width="9.140625" style="1805"/>
    <col min="513" max="513" width="100.7109375" style="1805" customWidth="1"/>
    <col min="514" max="768" width="9.140625" style="1805"/>
    <col min="769" max="769" width="100.7109375" style="1805" customWidth="1"/>
    <col min="770" max="1024" width="9.140625" style="1805"/>
    <col min="1025" max="1025" width="100.7109375" style="1805" customWidth="1"/>
    <col min="1026" max="1280" width="9.140625" style="1805"/>
    <col min="1281" max="1281" width="100.7109375" style="1805" customWidth="1"/>
    <col min="1282" max="1536" width="9.140625" style="1805"/>
    <col min="1537" max="1537" width="100.7109375" style="1805" customWidth="1"/>
    <col min="1538" max="1792" width="9.140625" style="1805"/>
    <col min="1793" max="1793" width="100.7109375" style="1805" customWidth="1"/>
    <col min="1794" max="2048" width="9.140625" style="1805"/>
    <col min="2049" max="2049" width="100.7109375" style="1805" customWidth="1"/>
    <col min="2050" max="2304" width="9.140625" style="1805"/>
    <col min="2305" max="2305" width="100.7109375" style="1805" customWidth="1"/>
    <col min="2306" max="2560" width="9.140625" style="1805"/>
    <col min="2561" max="2561" width="100.7109375" style="1805" customWidth="1"/>
    <col min="2562" max="2816" width="9.140625" style="1805"/>
    <col min="2817" max="2817" width="100.7109375" style="1805" customWidth="1"/>
    <col min="2818" max="3072" width="9.140625" style="1805"/>
    <col min="3073" max="3073" width="100.7109375" style="1805" customWidth="1"/>
    <col min="3074" max="3328" width="9.140625" style="1805"/>
    <col min="3329" max="3329" width="100.7109375" style="1805" customWidth="1"/>
    <col min="3330" max="3584" width="9.140625" style="1805"/>
    <col min="3585" max="3585" width="100.7109375" style="1805" customWidth="1"/>
    <col min="3586" max="3840" width="9.140625" style="1805"/>
    <col min="3841" max="3841" width="100.7109375" style="1805" customWidth="1"/>
    <col min="3842" max="4096" width="9.140625" style="1805"/>
    <col min="4097" max="4097" width="100.7109375" style="1805" customWidth="1"/>
    <col min="4098" max="4352" width="9.140625" style="1805"/>
    <col min="4353" max="4353" width="100.7109375" style="1805" customWidth="1"/>
    <col min="4354" max="4608" width="9.140625" style="1805"/>
    <col min="4609" max="4609" width="100.7109375" style="1805" customWidth="1"/>
    <col min="4610" max="4864" width="9.140625" style="1805"/>
    <col min="4865" max="4865" width="100.7109375" style="1805" customWidth="1"/>
    <col min="4866" max="5120" width="9.140625" style="1805"/>
    <col min="5121" max="5121" width="100.7109375" style="1805" customWidth="1"/>
    <col min="5122" max="5376" width="9.140625" style="1805"/>
    <col min="5377" max="5377" width="100.7109375" style="1805" customWidth="1"/>
    <col min="5378" max="5632" width="9.140625" style="1805"/>
    <col min="5633" max="5633" width="100.7109375" style="1805" customWidth="1"/>
    <col min="5634" max="5888" width="9.140625" style="1805"/>
    <col min="5889" max="5889" width="100.7109375" style="1805" customWidth="1"/>
    <col min="5890" max="6144" width="9.140625" style="1805"/>
    <col min="6145" max="6145" width="100.7109375" style="1805" customWidth="1"/>
    <col min="6146" max="6400" width="9.140625" style="1805"/>
    <col min="6401" max="6401" width="100.7109375" style="1805" customWidth="1"/>
    <col min="6402" max="6656" width="9.140625" style="1805"/>
    <col min="6657" max="6657" width="100.7109375" style="1805" customWidth="1"/>
    <col min="6658" max="6912" width="9.140625" style="1805"/>
    <col min="6913" max="6913" width="100.7109375" style="1805" customWidth="1"/>
    <col min="6914" max="7168" width="9.140625" style="1805"/>
    <col min="7169" max="7169" width="100.7109375" style="1805" customWidth="1"/>
    <col min="7170" max="7424" width="9.140625" style="1805"/>
    <col min="7425" max="7425" width="100.7109375" style="1805" customWidth="1"/>
    <col min="7426" max="7680" width="9.140625" style="1805"/>
    <col min="7681" max="7681" width="100.7109375" style="1805" customWidth="1"/>
    <col min="7682" max="7936" width="9.140625" style="1805"/>
    <col min="7937" max="7937" width="100.7109375" style="1805" customWidth="1"/>
    <col min="7938" max="8192" width="9.140625" style="1805"/>
    <col min="8193" max="8193" width="100.7109375" style="1805" customWidth="1"/>
    <col min="8194" max="8448" width="9.140625" style="1805"/>
    <col min="8449" max="8449" width="100.7109375" style="1805" customWidth="1"/>
    <col min="8450" max="8704" width="9.140625" style="1805"/>
    <col min="8705" max="8705" width="100.7109375" style="1805" customWidth="1"/>
    <col min="8706" max="8960" width="9.140625" style="1805"/>
    <col min="8961" max="8961" width="100.7109375" style="1805" customWidth="1"/>
    <col min="8962" max="9216" width="9.140625" style="1805"/>
    <col min="9217" max="9217" width="100.7109375" style="1805" customWidth="1"/>
    <col min="9218" max="9472" width="9.140625" style="1805"/>
    <col min="9473" max="9473" width="100.7109375" style="1805" customWidth="1"/>
    <col min="9474" max="9728" width="9.140625" style="1805"/>
    <col min="9729" max="9729" width="100.7109375" style="1805" customWidth="1"/>
    <col min="9730" max="9984" width="9.140625" style="1805"/>
    <col min="9985" max="9985" width="100.7109375" style="1805" customWidth="1"/>
    <col min="9986" max="10240" width="9.140625" style="1805"/>
    <col min="10241" max="10241" width="100.7109375" style="1805" customWidth="1"/>
    <col min="10242" max="10496" width="9.140625" style="1805"/>
    <col min="10497" max="10497" width="100.7109375" style="1805" customWidth="1"/>
    <col min="10498" max="10752" width="9.140625" style="1805"/>
    <col min="10753" max="10753" width="100.7109375" style="1805" customWidth="1"/>
    <col min="10754" max="11008" width="9.140625" style="1805"/>
    <col min="11009" max="11009" width="100.7109375" style="1805" customWidth="1"/>
    <col min="11010" max="11264" width="9.140625" style="1805"/>
    <col min="11265" max="11265" width="100.7109375" style="1805" customWidth="1"/>
    <col min="11266" max="11520" width="9.140625" style="1805"/>
    <col min="11521" max="11521" width="100.7109375" style="1805" customWidth="1"/>
    <col min="11522" max="11776" width="9.140625" style="1805"/>
    <col min="11777" max="11777" width="100.7109375" style="1805" customWidth="1"/>
    <col min="11778" max="12032" width="9.140625" style="1805"/>
    <col min="12033" max="12033" width="100.7109375" style="1805" customWidth="1"/>
    <col min="12034" max="12288" width="9.140625" style="1805"/>
    <col min="12289" max="12289" width="100.7109375" style="1805" customWidth="1"/>
    <col min="12290" max="12544" width="9.140625" style="1805"/>
    <col min="12545" max="12545" width="100.7109375" style="1805" customWidth="1"/>
    <col min="12546" max="12800" width="9.140625" style="1805"/>
    <col min="12801" max="12801" width="100.7109375" style="1805" customWidth="1"/>
    <col min="12802" max="13056" width="9.140625" style="1805"/>
    <col min="13057" max="13057" width="100.7109375" style="1805" customWidth="1"/>
    <col min="13058" max="13312" width="9.140625" style="1805"/>
    <col min="13313" max="13313" width="100.7109375" style="1805" customWidth="1"/>
    <col min="13314" max="13568" width="9.140625" style="1805"/>
    <col min="13569" max="13569" width="100.7109375" style="1805" customWidth="1"/>
    <col min="13570" max="13824" width="9.140625" style="1805"/>
    <col min="13825" max="13825" width="100.7109375" style="1805" customWidth="1"/>
    <col min="13826" max="14080" width="9.140625" style="1805"/>
    <col min="14081" max="14081" width="100.7109375" style="1805" customWidth="1"/>
    <col min="14082" max="14336" width="9.140625" style="1805"/>
    <col min="14337" max="14337" width="100.7109375" style="1805" customWidth="1"/>
    <col min="14338" max="14592" width="9.140625" style="1805"/>
    <col min="14593" max="14593" width="100.7109375" style="1805" customWidth="1"/>
    <col min="14594" max="14848" width="9.140625" style="1805"/>
    <col min="14849" max="14849" width="100.7109375" style="1805" customWidth="1"/>
    <col min="14850" max="15104" width="9.140625" style="1805"/>
    <col min="15105" max="15105" width="100.7109375" style="1805" customWidth="1"/>
    <col min="15106" max="15360" width="9.140625" style="1805"/>
    <col min="15361" max="15361" width="100.7109375" style="1805" customWidth="1"/>
    <col min="15362" max="15616" width="9.140625" style="1805"/>
    <col min="15617" max="15617" width="100.7109375" style="1805" customWidth="1"/>
    <col min="15618" max="15872" width="9.140625" style="1805"/>
    <col min="15873" max="15873" width="100.7109375" style="1805" customWidth="1"/>
    <col min="15874" max="16128" width="9.140625" style="1805"/>
    <col min="16129" max="16129" width="100.7109375" style="1805" customWidth="1"/>
    <col min="16130" max="16384" width="9.140625" style="1805"/>
  </cols>
  <sheetData>
    <row r="1" spans="1:8" ht="30" customHeight="1" x14ac:dyDescent="0.2">
      <c r="A1" s="1803"/>
      <c r="B1" s="1804"/>
      <c r="C1" s="1804"/>
      <c r="D1" s="1804"/>
      <c r="E1" s="1804"/>
      <c r="F1" s="1804"/>
      <c r="G1" s="1804"/>
      <c r="H1" s="1804"/>
    </row>
    <row r="2" spans="1:8" ht="14.25" x14ac:dyDescent="0.2">
      <c r="A2" s="1806" t="s">
        <v>863</v>
      </c>
      <c r="B2" s="1804"/>
      <c r="C2" s="1804"/>
      <c r="D2" s="1804"/>
      <c r="E2" s="1804"/>
      <c r="F2" s="1804"/>
      <c r="G2" s="1804"/>
      <c r="H2" s="1804"/>
    </row>
    <row r="3" spans="1:8" ht="14.25" x14ac:dyDescent="0.2">
      <c r="A3" s="1806" t="s">
        <v>864</v>
      </c>
      <c r="B3" s="1804"/>
      <c r="C3" s="1804"/>
      <c r="D3" s="1804"/>
      <c r="E3" s="1804"/>
      <c r="F3" s="1804"/>
      <c r="G3" s="1804"/>
      <c r="H3" s="1804"/>
    </row>
    <row r="4" spans="1:8" ht="14.25" x14ac:dyDescent="0.2">
      <c r="A4" s="1806" t="s">
        <v>596</v>
      </c>
      <c r="B4" s="1804"/>
      <c r="C4" s="1804"/>
      <c r="D4" s="1804"/>
      <c r="E4" s="1804"/>
      <c r="F4" s="1804"/>
      <c r="G4" s="1804"/>
      <c r="H4" s="1804"/>
    </row>
    <row r="5" spans="1:8" ht="14.25" x14ac:dyDescent="0.2">
      <c r="A5" s="1806" t="s">
        <v>865</v>
      </c>
      <c r="B5" s="1804"/>
      <c r="C5" s="1804"/>
      <c r="D5" s="1804"/>
      <c r="E5" s="1804"/>
      <c r="F5" s="1804"/>
      <c r="G5" s="1804"/>
      <c r="H5" s="1804"/>
    </row>
    <row r="6" spans="1:8" ht="14.25" x14ac:dyDescent="0.2">
      <c r="A6" s="1806"/>
      <c r="B6" s="1804"/>
      <c r="C6" s="1804"/>
      <c r="D6" s="1804"/>
      <c r="E6" s="1804"/>
      <c r="F6" s="1804"/>
      <c r="G6" s="1804"/>
      <c r="H6" s="1804"/>
    </row>
    <row r="7" spans="1:8" x14ac:dyDescent="0.2">
      <c r="A7" s="1803" t="s">
        <v>866</v>
      </c>
      <c r="B7" s="1804"/>
      <c r="C7" s="1804"/>
      <c r="D7" s="1804"/>
      <c r="E7" s="1804"/>
      <c r="F7" s="1804"/>
      <c r="G7" s="1804"/>
      <c r="H7" s="1804"/>
    </row>
    <row r="8" spans="1:8" x14ac:dyDescent="0.2">
      <c r="A8" s="1803" t="s">
        <v>867</v>
      </c>
      <c r="B8" s="1804"/>
      <c r="C8" s="1804"/>
      <c r="D8" s="1804"/>
      <c r="E8" s="1804"/>
      <c r="F8" s="1804"/>
      <c r="G8" s="1804"/>
      <c r="H8" s="1804"/>
    </row>
    <row r="9" spans="1:8" x14ac:dyDescent="0.2">
      <c r="A9" s="1803"/>
      <c r="B9" s="1804"/>
      <c r="C9" s="1804"/>
      <c r="D9" s="1804"/>
      <c r="E9" s="1804"/>
      <c r="F9" s="1804"/>
      <c r="G9" s="1804"/>
      <c r="H9" s="1804"/>
    </row>
    <row r="10" spans="1:8" x14ac:dyDescent="0.2">
      <c r="A10" s="1807" t="s">
        <v>868</v>
      </c>
      <c r="B10" s="1804"/>
      <c r="C10" s="1804"/>
      <c r="D10" s="1804"/>
      <c r="E10" s="1804"/>
      <c r="F10" s="1804"/>
      <c r="G10" s="1804"/>
      <c r="H10" s="1804"/>
    </row>
    <row r="11" spans="1:8" x14ac:dyDescent="0.2">
      <c r="A11" s="1807" t="s">
        <v>869</v>
      </c>
      <c r="B11" s="1804"/>
      <c r="C11" s="1804"/>
      <c r="D11" s="1804"/>
      <c r="E11" s="1804"/>
      <c r="F11" s="1804"/>
      <c r="G11" s="1804"/>
      <c r="H11" s="1804"/>
    </row>
    <row r="12" spans="1:8" x14ac:dyDescent="0.2">
      <c r="A12" s="1807" t="s">
        <v>870</v>
      </c>
      <c r="B12" s="1804"/>
      <c r="C12" s="1804"/>
      <c r="D12" s="1804"/>
      <c r="E12" s="1804"/>
      <c r="F12" s="1804"/>
      <c r="G12" s="1804"/>
      <c r="H12" s="1804"/>
    </row>
    <row r="13" spans="1:8" x14ac:dyDescent="0.2">
      <c r="A13" s="1807" t="s">
        <v>871</v>
      </c>
      <c r="B13" s="1804"/>
      <c r="C13" s="1804"/>
      <c r="D13" s="1804"/>
      <c r="E13" s="1804"/>
      <c r="F13" s="1804"/>
      <c r="G13" s="1804"/>
      <c r="H13" s="1804"/>
    </row>
    <row r="14" spans="1:8" x14ac:dyDescent="0.2">
      <c r="A14" s="1807" t="s">
        <v>872</v>
      </c>
      <c r="B14" s="1804"/>
      <c r="C14" s="1804"/>
      <c r="D14" s="1804"/>
      <c r="E14" s="1804"/>
      <c r="F14" s="1804"/>
      <c r="G14" s="1804"/>
      <c r="H14" s="1804"/>
    </row>
    <row r="15" spans="1:8" x14ac:dyDescent="0.2">
      <c r="A15" s="1807" t="s">
        <v>873</v>
      </c>
      <c r="B15" s="1804"/>
      <c r="C15" s="1804"/>
      <c r="D15" s="1804"/>
      <c r="E15" s="1804"/>
      <c r="F15" s="1804"/>
      <c r="G15" s="1804"/>
      <c r="H15" s="1804"/>
    </row>
    <row r="16" spans="1:8" x14ac:dyDescent="0.2">
      <c r="A16" s="1807"/>
      <c r="B16" s="1804"/>
      <c r="C16" s="1804"/>
      <c r="D16" s="1804"/>
      <c r="E16" s="1804"/>
      <c r="F16" s="1804"/>
      <c r="G16" s="1804"/>
      <c r="H16" s="1804"/>
    </row>
    <row r="17" spans="1:8" x14ac:dyDescent="0.2">
      <c r="A17" s="1807" t="s">
        <v>860</v>
      </c>
      <c r="B17" s="1804"/>
      <c r="C17" s="1804"/>
      <c r="D17" s="1804"/>
      <c r="E17" s="1804"/>
      <c r="F17" s="1804"/>
      <c r="G17" s="1804"/>
      <c r="H17" s="1804"/>
    </row>
    <row r="18" spans="1:8" x14ac:dyDescent="0.2">
      <c r="A18" s="1807"/>
      <c r="B18" s="1804"/>
      <c r="C18" s="1804"/>
      <c r="D18" s="1804"/>
      <c r="E18" s="1804"/>
      <c r="F18" s="1804"/>
      <c r="G18" s="1804"/>
      <c r="H18" s="1804"/>
    </row>
    <row r="19" spans="1:8" x14ac:dyDescent="0.2">
      <c r="A19" s="1807" t="s">
        <v>861</v>
      </c>
      <c r="B19" s="1804"/>
      <c r="C19" s="1804"/>
      <c r="D19" s="1804"/>
      <c r="E19" s="1804"/>
      <c r="F19" s="1804"/>
      <c r="G19" s="1804"/>
      <c r="H19" s="1804"/>
    </row>
    <row r="20" spans="1:8" x14ac:dyDescent="0.2">
      <c r="A20" s="1803"/>
      <c r="B20" s="1804"/>
      <c r="C20" s="1804"/>
      <c r="D20" s="1804"/>
      <c r="E20" s="1804"/>
      <c r="F20" s="1804"/>
      <c r="G20" s="1804"/>
      <c r="H20" s="1804"/>
    </row>
    <row r="21" spans="1:8" x14ac:dyDescent="0.2">
      <c r="A21" s="1808" t="s">
        <v>862</v>
      </c>
      <c r="B21" s="1804"/>
      <c r="C21" s="1804"/>
      <c r="D21" s="1804"/>
      <c r="E21" s="1804"/>
      <c r="F21" s="1804"/>
      <c r="G21" s="1804"/>
      <c r="H21" s="1804"/>
    </row>
    <row r="22" spans="1:8" x14ac:dyDescent="0.2">
      <c r="A22" s="1809"/>
      <c r="B22" s="1809"/>
      <c r="C22" s="1809"/>
      <c r="D22" s="1809"/>
      <c r="E22" s="1809"/>
      <c r="F22" s="1809"/>
      <c r="G22" s="1809"/>
      <c r="H22" s="1809"/>
    </row>
    <row r="23" spans="1:8" x14ac:dyDescent="0.2">
      <c r="A23" s="1810" t="s">
        <v>1154</v>
      </c>
      <c r="B23" s="1809"/>
      <c r="C23" s="1809"/>
      <c r="D23" s="1809"/>
      <c r="E23" s="1809"/>
      <c r="F23" s="1809"/>
      <c r="G23" s="1809"/>
      <c r="H23" s="1809"/>
    </row>
    <row r="24" spans="1:8" x14ac:dyDescent="0.2">
      <c r="A24" s="1810" t="s">
        <v>1155</v>
      </c>
      <c r="B24" s="1809"/>
      <c r="C24" s="1809"/>
      <c r="D24" s="1809"/>
      <c r="E24" s="1809"/>
      <c r="F24" s="1809"/>
      <c r="G24" s="1809"/>
      <c r="H24" s="1809"/>
    </row>
    <row r="25" spans="1:8" x14ac:dyDescent="0.2">
      <c r="A25" s="1810" t="s">
        <v>1156</v>
      </c>
      <c r="B25" s="1809"/>
      <c r="C25" s="1809"/>
      <c r="D25" s="1809"/>
      <c r="E25" s="1809"/>
      <c r="F25" s="1809"/>
      <c r="G25" s="1809"/>
      <c r="H25" s="1809"/>
    </row>
    <row r="26" spans="1:8" x14ac:dyDescent="0.2">
      <c r="A26" s="1810" t="s">
        <v>1157</v>
      </c>
      <c r="B26" s="1809"/>
      <c r="C26" s="1809"/>
      <c r="D26" s="1809"/>
      <c r="E26" s="1809"/>
      <c r="F26" s="1809"/>
      <c r="G26" s="1809"/>
      <c r="H26" s="1809"/>
    </row>
    <row r="27" spans="1:8" x14ac:dyDescent="0.2">
      <c r="A27" s="1809"/>
      <c r="B27" s="1809"/>
      <c r="C27" s="1809"/>
      <c r="D27" s="1809"/>
      <c r="E27" s="1809"/>
      <c r="F27" s="1809"/>
      <c r="G27" s="1809"/>
      <c r="H27" s="1809"/>
    </row>
    <row r="28" spans="1:8" x14ac:dyDescent="0.2">
      <c r="A28" s="1809"/>
      <c r="B28" s="1809"/>
      <c r="C28" s="1809"/>
      <c r="D28" s="1809"/>
      <c r="E28" s="1809"/>
      <c r="F28" s="1809"/>
      <c r="G28" s="1809"/>
      <c r="H28" s="1809"/>
    </row>
    <row r="29" spans="1:8" x14ac:dyDescent="0.2">
      <c r="A29" s="1810" t="s">
        <v>1149</v>
      </c>
      <c r="B29" s="1809"/>
      <c r="C29" s="1809"/>
      <c r="D29" s="1809"/>
      <c r="E29" s="1809"/>
      <c r="F29" s="1809"/>
      <c r="G29" s="1809"/>
      <c r="H29" s="1809"/>
    </row>
    <row r="30" spans="1:8" x14ac:dyDescent="0.2">
      <c r="A30" s="1810" t="s">
        <v>1150</v>
      </c>
      <c r="B30" s="1809"/>
      <c r="C30" s="1809"/>
      <c r="D30" s="1809"/>
      <c r="E30" s="1809"/>
      <c r="F30" s="1809"/>
      <c r="G30" s="1809"/>
      <c r="H30" s="1809"/>
    </row>
    <row r="31" spans="1:8" x14ac:dyDescent="0.2">
      <c r="A31" s="1810" t="s">
        <v>1151</v>
      </c>
      <c r="B31" s="1809"/>
      <c r="C31" s="1809"/>
      <c r="D31" s="1809"/>
      <c r="E31" s="1809"/>
      <c r="F31" s="1809"/>
      <c r="G31" s="1809"/>
      <c r="H31" s="1809"/>
    </row>
    <row r="32" spans="1:8" x14ac:dyDescent="0.2">
      <c r="A32" s="1810" t="s">
        <v>1152</v>
      </c>
      <c r="B32" s="1809"/>
      <c r="C32" s="1809"/>
      <c r="D32" s="1809"/>
      <c r="E32" s="1809"/>
      <c r="F32" s="1809"/>
      <c r="G32" s="1809"/>
      <c r="H32" s="1809"/>
    </row>
    <row r="33" spans="1:8" x14ac:dyDescent="0.2">
      <c r="A33" s="1810" t="s">
        <v>1153</v>
      </c>
      <c r="B33" s="1809"/>
      <c r="C33" s="1809"/>
      <c r="D33" s="1809"/>
      <c r="E33" s="1809"/>
      <c r="F33" s="1809"/>
      <c r="G33" s="1809"/>
      <c r="H33" s="1809"/>
    </row>
    <row r="34" spans="1:8" x14ac:dyDescent="0.2">
      <c r="A34" s="1809"/>
      <c r="B34" s="1809"/>
      <c r="C34" s="1809"/>
      <c r="D34" s="1809"/>
      <c r="E34" s="1809"/>
      <c r="F34" s="1809"/>
      <c r="G34" s="1809"/>
      <c r="H34" s="1809"/>
    </row>
    <row r="35" spans="1:8" x14ac:dyDescent="0.2">
      <c r="A35" s="1810" t="s">
        <v>1145</v>
      </c>
      <c r="B35" s="1809"/>
      <c r="C35" s="1809"/>
      <c r="D35" s="1809"/>
      <c r="E35" s="1809"/>
      <c r="F35" s="1809"/>
      <c r="G35" s="1809"/>
      <c r="H35" s="1809"/>
    </row>
    <row r="36" spans="1:8" x14ac:dyDescent="0.2">
      <c r="A36" s="1810" t="s">
        <v>1146</v>
      </c>
      <c r="B36" s="1809"/>
      <c r="C36" s="1809"/>
      <c r="D36" s="1809"/>
      <c r="E36" s="1809"/>
      <c r="F36" s="1809"/>
      <c r="G36" s="1809"/>
      <c r="H36" s="1809"/>
    </row>
    <row r="37" spans="1:8" x14ac:dyDescent="0.2">
      <c r="A37" s="1810" t="s">
        <v>1147</v>
      </c>
      <c r="B37" s="1809"/>
      <c r="C37" s="1809"/>
      <c r="D37" s="1809"/>
      <c r="E37" s="1809"/>
      <c r="F37" s="1809"/>
      <c r="G37" s="1809"/>
      <c r="H37" s="1809"/>
    </row>
    <row r="38" spans="1:8" x14ac:dyDescent="0.2">
      <c r="A38" s="1810" t="s">
        <v>1148</v>
      </c>
      <c r="B38" s="1809"/>
      <c r="C38" s="1809"/>
      <c r="D38" s="1809"/>
      <c r="E38" s="1809"/>
      <c r="F38" s="1809"/>
      <c r="G38" s="1809"/>
      <c r="H38" s="1809"/>
    </row>
    <row r="39" spans="1:8" x14ac:dyDescent="0.2">
      <c r="A39" s="1809"/>
      <c r="B39" s="1809"/>
      <c r="C39" s="1809"/>
      <c r="D39" s="1809"/>
      <c r="E39" s="1809"/>
      <c r="F39" s="1809"/>
      <c r="G39" s="1809"/>
      <c r="H39" s="1809"/>
    </row>
    <row r="40" spans="1:8" x14ac:dyDescent="0.2">
      <c r="A40" s="1810" t="s">
        <v>1139</v>
      </c>
      <c r="B40" s="1809"/>
      <c r="C40" s="1809"/>
      <c r="D40" s="1809"/>
      <c r="E40" s="1809"/>
      <c r="F40" s="1809"/>
      <c r="G40" s="1809"/>
      <c r="H40" s="1809"/>
    </row>
    <row r="41" spans="1:8" x14ac:dyDescent="0.2">
      <c r="A41" s="1810" t="s">
        <v>1140</v>
      </c>
      <c r="B41" s="1809"/>
      <c r="C41" s="1809"/>
      <c r="D41" s="1809"/>
      <c r="E41" s="1809"/>
      <c r="F41" s="1809"/>
      <c r="G41" s="1809"/>
      <c r="H41" s="1809"/>
    </row>
    <row r="42" spans="1:8" x14ac:dyDescent="0.2">
      <c r="A42" s="1810" t="s">
        <v>1141</v>
      </c>
      <c r="B42" s="1809"/>
      <c r="C42" s="1809"/>
      <c r="D42" s="1809"/>
      <c r="E42" s="1809"/>
      <c r="F42" s="1809"/>
      <c r="G42" s="1809"/>
      <c r="H42" s="1809"/>
    </row>
    <row r="43" spans="1:8" x14ac:dyDescent="0.2">
      <c r="A43" s="1810" t="s">
        <v>1142</v>
      </c>
      <c r="B43" s="1809"/>
      <c r="C43" s="1809"/>
      <c r="D43" s="1809"/>
      <c r="E43" s="1809"/>
      <c r="F43" s="1809"/>
      <c r="G43" s="1809"/>
      <c r="H43" s="1809"/>
    </row>
    <row r="44" spans="1:8" x14ac:dyDescent="0.2">
      <c r="A44" s="1810" t="s">
        <v>1143</v>
      </c>
      <c r="B44" s="1809"/>
      <c r="C44" s="1809"/>
      <c r="D44" s="1809"/>
      <c r="E44" s="1809"/>
      <c r="F44" s="1809"/>
      <c r="G44" s="1809"/>
      <c r="H44" s="1809"/>
    </row>
    <row r="45" spans="1:8" x14ac:dyDescent="0.2">
      <c r="A45" s="1810" t="s">
        <v>1144</v>
      </c>
      <c r="B45" s="1809"/>
      <c r="C45" s="1809"/>
      <c r="D45" s="1809"/>
      <c r="E45" s="1809"/>
      <c r="F45" s="1809"/>
      <c r="G45" s="1809"/>
      <c r="H45" s="1809"/>
    </row>
    <row r="46" spans="1:8" x14ac:dyDescent="0.2">
      <c r="A46" s="1809"/>
      <c r="B46" s="1809"/>
      <c r="C46" s="1809"/>
      <c r="D46" s="1809"/>
      <c r="E46" s="1809"/>
      <c r="F46" s="1809"/>
      <c r="G46" s="1809"/>
      <c r="H46" s="1809"/>
    </row>
    <row r="47" spans="1:8" ht="15.75" x14ac:dyDescent="0.2">
      <c r="A47" s="1811" t="s">
        <v>874</v>
      </c>
      <c r="B47" s="1809"/>
      <c r="C47" s="1809"/>
      <c r="D47" s="1809"/>
      <c r="E47" s="1809"/>
      <c r="F47" s="1809"/>
      <c r="G47" s="1809"/>
      <c r="H47" s="1809"/>
    </row>
    <row r="48" spans="1:8" x14ac:dyDescent="0.2">
      <c r="A48" s="1809"/>
      <c r="B48" s="1809"/>
      <c r="C48" s="1809"/>
      <c r="D48" s="1809"/>
      <c r="E48" s="1809"/>
      <c r="F48" s="1809"/>
      <c r="G48" s="1809"/>
      <c r="H48" s="1809"/>
    </row>
    <row r="49" spans="1:8" x14ac:dyDescent="0.2">
      <c r="A49" s="1810" t="s">
        <v>1135</v>
      </c>
      <c r="B49" s="1809"/>
      <c r="C49" s="1809"/>
      <c r="D49" s="1809"/>
      <c r="E49" s="1809"/>
      <c r="F49" s="1809"/>
      <c r="G49" s="1809"/>
      <c r="H49" s="1809"/>
    </row>
    <row r="50" spans="1:8" x14ac:dyDescent="0.2">
      <c r="A50" s="1810" t="s">
        <v>1136</v>
      </c>
      <c r="B50" s="1809"/>
      <c r="C50" s="1809"/>
      <c r="D50" s="1809"/>
      <c r="E50" s="1809"/>
      <c r="F50" s="1809"/>
      <c r="G50" s="1809"/>
      <c r="H50" s="1809"/>
    </row>
    <row r="51" spans="1:8" x14ac:dyDescent="0.2">
      <c r="A51" s="1810" t="s">
        <v>1137</v>
      </c>
      <c r="B51" s="1809"/>
      <c r="C51" s="1809"/>
      <c r="D51" s="1809"/>
      <c r="E51" s="1809"/>
      <c r="F51" s="1809"/>
      <c r="G51" s="1809"/>
      <c r="H51" s="1809"/>
    </row>
    <row r="52" spans="1:8" x14ac:dyDescent="0.2">
      <c r="A52" s="1810" t="s">
        <v>1138</v>
      </c>
      <c r="B52" s="1809"/>
      <c r="C52" s="1809"/>
      <c r="D52" s="1809"/>
      <c r="E52" s="1809"/>
      <c r="F52" s="1809"/>
      <c r="G52" s="1809"/>
      <c r="H52" s="1809"/>
    </row>
    <row r="53" spans="1:8" x14ac:dyDescent="0.2">
      <c r="A53" s="1809"/>
      <c r="B53" s="1809"/>
      <c r="C53" s="1809"/>
      <c r="D53" s="1809"/>
      <c r="E53" s="1809"/>
      <c r="F53" s="1809"/>
      <c r="G53" s="1809"/>
      <c r="H53" s="1809"/>
    </row>
    <row r="54" spans="1:8" x14ac:dyDescent="0.2">
      <c r="A54" s="1810" t="s">
        <v>875</v>
      </c>
      <c r="B54" s="1809"/>
      <c r="C54" s="1809"/>
      <c r="D54" s="1809"/>
      <c r="E54" s="1809"/>
      <c r="F54" s="1809"/>
      <c r="G54" s="1809"/>
      <c r="H54" s="1809"/>
    </row>
    <row r="55" spans="1:8" x14ac:dyDescent="0.2">
      <c r="A55" s="1809"/>
      <c r="B55" s="1809"/>
      <c r="C55" s="1809"/>
      <c r="D55" s="1809"/>
      <c r="E55" s="1809"/>
      <c r="F55" s="1809"/>
      <c r="G55" s="1809"/>
      <c r="H55" s="1809"/>
    </row>
    <row r="56" spans="1:8" ht="15.75" x14ac:dyDescent="0.2">
      <c r="A56" s="1811" t="s">
        <v>876</v>
      </c>
      <c r="B56" s="1809"/>
      <c r="C56" s="1809"/>
      <c r="D56" s="1809"/>
      <c r="E56" s="1809"/>
      <c r="F56" s="1809"/>
      <c r="G56" s="1809"/>
      <c r="H56" s="1809"/>
    </row>
    <row r="57" spans="1:8" x14ac:dyDescent="0.2">
      <c r="A57" s="1809"/>
      <c r="B57" s="1809"/>
      <c r="C57" s="1809"/>
      <c r="D57" s="1809"/>
      <c r="E57" s="1809"/>
      <c r="F57" s="1809"/>
      <c r="G57" s="1809"/>
      <c r="H57" s="1809"/>
    </row>
    <row r="58" spans="1:8" x14ac:dyDescent="0.2">
      <c r="A58" s="1810" t="s">
        <v>1133</v>
      </c>
      <c r="B58" s="1809"/>
      <c r="C58" s="1809"/>
      <c r="D58" s="1809"/>
      <c r="E58" s="1809"/>
      <c r="F58" s="1809"/>
      <c r="G58" s="1809"/>
      <c r="H58" s="1809"/>
    </row>
    <row r="59" spans="1:8" x14ac:dyDescent="0.2">
      <c r="A59" s="1810" t="s">
        <v>1134</v>
      </c>
      <c r="B59" s="1809"/>
      <c r="C59" s="1809"/>
      <c r="D59" s="1809"/>
      <c r="E59" s="1809"/>
      <c r="F59" s="1809"/>
      <c r="G59" s="1809"/>
      <c r="H59" s="1809"/>
    </row>
    <row r="60" spans="1:8" x14ac:dyDescent="0.2">
      <c r="A60" s="1809"/>
      <c r="B60" s="1809"/>
      <c r="C60" s="1809"/>
      <c r="D60" s="1809"/>
      <c r="E60" s="1809"/>
      <c r="F60" s="1809"/>
      <c r="G60" s="1809"/>
      <c r="H60" s="1809"/>
    </row>
    <row r="61" spans="1:8" ht="15.75" x14ac:dyDescent="0.2">
      <c r="A61" s="1811" t="s">
        <v>877</v>
      </c>
      <c r="B61" s="1809"/>
      <c r="C61" s="1809"/>
      <c r="D61" s="1809"/>
      <c r="E61" s="1809"/>
      <c r="F61" s="1809"/>
      <c r="G61" s="1809"/>
      <c r="H61" s="1809"/>
    </row>
    <row r="62" spans="1:8" x14ac:dyDescent="0.2">
      <c r="A62" s="1809"/>
      <c r="B62" s="1809"/>
      <c r="C62" s="1809"/>
      <c r="D62" s="1809"/>
      <c r="E62" s="1809"/>
      <c r="F62" s="1809"/>
      <c r="G62" s="1809"/>
      <c r="H62" s="1809"/>
    </row>
    <row r="63" spans="1:8" x14ac:dyDescent="0.2">
      <c r="A63" s="1810" t="s">
        <v>1131</v>
      </c>
      <c r="B63" s="1809"/>
      <c r="C63" s="1809"/>
      <c r="D63" s="1809"/>
      <c r="E63" s="1809"/>
      <c r="F63" s="1809"/>
      <c r="G63" s="1809"/>
      <c r="H63" s="1809"/>
    </row>
    <row r="64" spans="1:8" x14ac:dyDescent="0.2">
      <c r="A64" s="1810" t="s">
        <v>1132</v>
      </c>
      <c r="B64" s="1809"/>
      <c r="C64" s="1809"/>
      <c r="D64" s="1809"/>
      <c r="E64" s="1809"/>
      <c r="F64" s="1809"/>
      <c r="G64" s="1809"/>
      <c r="H64" s="1809"/>
    </row>
    <row r="65" spans="1:8" x14ac:dyDescent="0.2">
      <c r="A65" s="1809"/>
      <c r="B65" s="1809"/>
      <c r="C65" s="1809"/>
      <c r="D65" s="1809"/>
      <c r="E65" s="1809"/>
      <c r="F65" s="1809"/>
      <c r="G65" s="1809"/>
      <c r="H65" s="1809"/>
    </row>
    <row r="66" spans="1:8" x14ac:dyDescent="0.2">
      <c r="A66" s="1810" t="s">
        <v>1129</v>
      </c>
      <c r="B66" s="1809"/>
      <c r="C66" s="1809"/>
      <c r="D66" s="1809"/>
      <c r="E66" s="1809"/>
      <c r="F66" s="1809"/>
      <c r="G66" s="1809"/>
      <c r="H66" s="1809"/>
    </row>
    <row r="67" spans="1:8" x14ac:dyDescent="0.2">
      <c r="A67" s="1810" t="s">
        <v>1130</v>
      </c>
      <c r="B67" s="1809"/>
      <c r="C67" s="1809"/>
      <c r="D67" s="1809"/>
      <c r="E67" s="1809"/>
      <c r="F67" s="1809"/>
      <c r="G67" s="1809"/>
      <c r="H67" s="1809"/>
    </row>
    <row r="68" spans="1:8" x14ac:dyDescent="0.2">
      <c r="A68" s="1809"/>
      <c r="B68" s="1809"/>
      <c r="C68" s="1809"/>
      <c r="D68" s="1809"/>
      <c r="E68" s="1809"/>
      <c r="F68" s="1809"/>
      <c r="G68" s="1809"/>
      <c r="H68" s="1809"/>
    </row>
    <row r="69" spans="1:8" x14ac:dyDescent="0.2">
      <c r="A69" s="1810" t="s">
        <v>1127</v>
      </c>
      <c r="B69" s="1809"/>
      <c r="C69" s="1809"/>
      <c r="D69" s="1809"/>
      <c r="E69" s="1809"/>
      <c r="F69" s="1809"/>
      <c r="G69" s="1809"/>
      <c r="H69" s="1809"/>
    </row>
    <row r="70" spans="1:8" x14ac:dyDescent="0.2">
      <c r="A70" s="1810" t="s">
        <v>1128</v>
      </c>
      <c r="B70" s="1809"/>
      <c r="C70" s="1809"/>
      <c r="D70" s="1809"/>
      <c r="E70" s="1809"/>
      <c r="F70" s="1809"/>
      <c r="G70" s="1809"/>
      <c r="H70" s="1809"/>
    </row>
    <row r="71" spans="1:8" x14ac:dyDescent="0.2">
      <c r="A71" s="1809"/>
      <c r="B71" s="1809"/>
      <c r="C71" s="1809"/>
      <c r="D71" s="1809"/>
      <c r="E71" s="1809"/>
      <c r="F71" s="1809"/>
      <c r="G71" s="1809"/>
      <c r="H71" s="1809"/>
    </row>
    <row r="72" spans="1:8" x14ac:dyDescent="0.2">
      <c r="A72" s="1810" t="s">
        <v>1125</v>
      </c>
      <c r="B72" s="1809"/>
      <c r="C72" s="1809"/>
      <c r="D72" s="1809"/>
      <c r="E72" s="1809"/>
      <c r="F72" s="1809"/>
      <c r="G72" s="1809"/>
      <c r="H72" s="1809"/>
    </row>
    <row r="73" spans="1:8" x14ac:dyDescent="0.2">
      <c r="A73" s="1810" t="s">
        <v>1126</v>
      </c>
      <c r="B73" s="1809"/>
      <c r="C73" s="1809"/>
      <c r="D73" s="1809"/>
      <c r="E73" s="1809"/>
      <c r="F73" s="1809"/>
      <c r="G73" s="1809"/>
      <c r="H73" s="1809"/>
    </row>
    <row r="74" spans="1:8" x14ac:dyDescent="0.2">
      <c r="A74" s="1809"/>
      <c r="B74" s="1809"/>
      <c r="C74" s="1809"/>
      <c r="D74" s="1809"/>
      <c r="E74" s="1809"/>
      <c r="F74" s="1809"/>
      <c r="G74" s="1809"/>
      <c r="H74" s="1809"/>
    </row>
    <row r="75" spans="1:8" x14ac:dyDescent="0.2">
      <c r="A75" s="1810" t="s">
        <v>1122</v>
      </c>
      <c r="B75" s="1809"/>
      <c r="C75" s="1809"/>
      <c r="D75" s="1809"/>
      <c r="E75" s="1809"/>
      <c r="F75" s="1809"/>
      <c r="G75" s="1809"/>
      <c r="H75" s="1809"/>
    </row>
    <row r="76" spans="1:8" x14ac:dyDescent="0.2">
      <c r="A76" s="1810" t="s">
        <v>1123</v>
      </c>
      <c r="B76" s="1809"/>
      <c r="C76" s="1809"/>
      <c r="D76" s="1809"/>
      <c r="E76" s="1809"/>
      <c r="F76" s="1809"/>
      <c r="G76" s="1809"/>
      <c r="H76" s="1809"/>
    </row>
    <row r="77" spans="1:8" x14ac:dyDescent="0.2">
      <c r="A77" s="1810" t="s">
        <v>1124</v>
      </c>
      <c r="B77" s="1809"/>
      <c r="C77" s="1809"/>
      <c r="D77" s="1809"/>
      <c r="E77" s="1809"/>
      <c r="F77" s="1809"/>
      <c r="G77" s="1809"/>
      <c r="H77" s="1809"/>
    </row>
    <row r="78" spans="1:8" x14ac:dyDescent="0.2">
      <c r="A78" s="1809"/>
      <c r="B78" s="1809"/>
      <c r="C78" s="1809"/>
      <c r="D78" s="1809"/>
      <c r="E78" s="1809"/>
      <c r="F78" s="1809"/>
      <c r="G78" s="1809"/>
      <c r="H78" s="1809"/>
    </row>
    <row r="79" spans="1:8" x14ac:dyDescent="0.2">
      <c r="A79" s="1810" t="s">
        <v>1119</v>
      </c>
      <c r="B79" s="1809"/>
      <c r="C79" s="1809"/>
      <c r="D79" s="1809"/>
      <c r="E79" s="1809"/>
      <c r="F79" s="1809"/>
      <c r="G79" s="1809"/>
      <c r="H79" s="1809"/>
    </row>
    <row r="80" spans="1:8" x14ac:dyDescent="0.2">
      <c r="A80" s="1810" t="s">
        <v>1120</v>
      </c>
      <c r="B80" s="1809"/>
      <c r="C80" s="1809"/>
      <c r="D80" s="1809"/>
      <c r="E80" s="1809"/>
      <c r="F80" s="1809"/>
      <c r="G80" s="1809"/>
      <c r="H80" s="1809"/>
    </row>
    <row r="81" spans="1:8" x14ac:dyDescent="0.2">
      <c r="A81" s="1810" t="s">
        <v>1121</v>
      </c>
      <c r="B81" s="1809"/>
      <c r="C81" s="1809"/>
      <c r="D81" s="1809"/>
      <c r="E81" s="1809"/>
      <c r="F81" s="1809"/>
      <c r="G81" s="1809"/>
      <c r="H81" s="1809"/>
    </row>
    <row r="82" spans="1:8" x14ac:dyDescent="0.2">
      <c r="A82" s="1809"/>
      <c r="B82" s="1809"/>
      <c r="C82" s="1809"/>
      <c r="D82" s="1809"/>
      <c r="E82" s="1809"/>
      <c r="F82" s="1809"/>
      <c r="G82" s="1809"/>
      <c r="H82" s="1809"/>
    </row>
    <row r="83" spans="1:8" x14ac:dyDescent="0.2">
      <c r="A83" s="1810" t="s">
        <v>878</v>
      </c>
      <c r="B83" s="1809"/>
      <c r="C83" s="1809"/>
      <c r="D83" s="1809"/>
      <c r="E83" s="1809"/>
      <c r="F83" s="1809"/>
      <c r="G83" s="1809"/>
      <c r="H83" s="1809"/>
    </row>
    <row r="84" spans="1:8" x14ac:dyDescent="0.2">
      <c r="A84" s="1809"/>
      <c r="B84" s="1809"/>
      <c r="C84" s="1809"/>
      <c r="D84" s="1809"/>
      <c r="E84" s="1809"/>
      <c r="F84" s="1809"/>
      <c r="G84" s="1809"/>
      <c r="H84" s="1809"/>
    </row>
    <row r="85" spans="1:8" x14ac:dyDescent="0.2">
      <c r="A85" s="1810" t="s">
        <v>1114</v>
      </c>
      <c r="B85" s="1809"/>
      <c r="C85" s="1809"/>
      <c r="D85" s="1809"/>
      <c r="E85" s="1809"/>
      <c r="F85" s="1809"/>
      <c r="G85" s="1809"/>
      <c r="H85" s="1809"/>
    </row>
    <row r="86" spans="1:8" x14ac:dyDescent="0.2">
      <c r="A86" s="1810" t="s">
        <v>1115</v>
      </c>
      <c r="B86" s="1809"/>
      <c r="C86" s="1809"/>
      <c r="D86" s="1809"/>
      <c r="E86" s="1809"/>
      <c r="F86" s="1809"/>
      <c r="G86" s="1809"/>
      <c r="H86" s="1809"/>
    </row>
    <row r="87" spans="1:8" x14ac:dyDescent="0.2">
      <c r="A87" s="1810" t="s">
        <v>1116</v>
      </c>
      <c r="B87" s="1809"/>
      <c r="C87" s="1809"/>
      <c r="D87" s="1809"/>
      <c r="E87" s="1809"/>
      <c r="F87" s="1809"/>
      <c r="G87" s="1809"/>
      <c r="H87" s="1809"/>
    </row>
    <row r="88" spans="1:8" x14ac:dyDescent="0.2">
      <c r="A88" s="1810" t="s">
        <v>1117</v>
      </c>
      <c r="B88" s="1809"/>
      <c r="C88" s="1809"/>
      <c r="D88" s="1809"/>
      <c r="E88" s="1809"/>
      <c r="F88" s="1809"/>
      <c r="G88" s="1809"/>
      <c r="H88" s="1809"/>
    </row>
    <row r="89" spans="1:8" x14ac:dyDescent="0.2">
      <c r="A89" s="1810" t="s">
        <v>1118</v>
      </c>
      <c r="B89" s="1809"/>
      <c r="C89" s="1809"/>
      <c r="D89" s="1809"/>
      <c r="E89" s="1809"/>
      <c r="F89" s="1809"/>
      <c r="G89" s="1809"/>
      <c r="H89" s="1809"/>
    </row>
    <row r="90" spans="1:8" x14ac:dyDescent="0.2">
      <c r="A90" s="1810" t="s">
        <v>1003</v>
      </c>
      <c r="B90" s="1809"/>
      <c r="C90" s="1809"/>
      <c r="D90" s="1809"/>
      <c r="E90" s="1809"/>
      <c r="F90" s="1809"/>
      <c r="G90" s="1809"/>
      <c r="H90" s="1809"/>
    </row>
    <row r="91" spans="1:8" x14ac:dyDescent="0.2">
      <c r="A91" s="1809"/>
      <c r="B91" s="1809"/>
      <c r="C91" s="1809"/>
      <c r="D91" s="1809"/>
      <c r="E91" s="1809"/>
      <c r="F91" s="1809"/>
      <c r="G91" s="1809"/>
      <c r="H91" s="1809"/>
    </row>
    <row r="92" spans="1:8" x14ac:dyDescent="0.2">
      <c r="A92" s="1810" t="s">
        <v>1107</v>
      </c>
      <c r="B92" s="1809"/>
      <c r="C92" s="1809"/>
      <c r="D92" s="1809"/>
      <c r="E92" s="1809"/>
      <c r="F92" s="1809"/>
      <c r="G92" s="1809"/>
      <c r="H92" s="1809"/>
    </row>
    <row r="93" spans="1:8" x14ac:dyDescent="0.2">
      <c r="A93" s="1810" t="s">
        <v>1108</v>
      </c>
      <c r="B93" s="1809"/>
      <c r="C93" s="1809"/>
      <c r="D93" s="1809"/>
      <c r="E93" s="1809"/>
      <c r="F93" s="1809"/>
      <c r="G93" s="1809"/>
      <c r="H93" s="1809"/>
    </row>
    <row r="94" spans="1:8" x14ac:dyDescent="0.2">
      <c r="A94" s="1810" t="s">
        <v>1109</v>
      </c>
      <c r="B94" s="1809"/>
      <c r="C94" s="1809"/>
      <c r="D94" s="1809"/>
      <c r="E94" s="1809"/>
      <c r="F94" s="1809"/>
      <c r="G94" s="1809"/>
      <c r="H94" s="1809"/>
    </row>
    <row r="95" spans="1:8" x14ac:dyDescent="0.2">
      <c r="A95" s="1810" t="s">
        <v>1110</v>
      </c>
      <c r="B95" s="1809"/>
      <c r="C95" s="1809"/>
      <c r="D95" s="1809"/>
      <c r="E95" s="1809"/>
      <c r="F95" s="1809"/>
      <c r="G95" s="1809"/>
      <c r="H95" s="1809"/>
    </row>
    <row r="96" spans="1:8" x14ac:dyDescent="0.2">
      <c r="A96" s="1810" t="s">
        <v>1111</v>
      </c>
      <c r="B96" s="1809"/>
      <c r="C96" s="1809"/>
      <c r="D96" s="1809"/>
      <c r="E96" s="1809"/>
      <c r="F96" s="1809"/>
      <c r="G96" s="1809"/>
      <c r="H96" s="1809"/>
    </row>
    <row r="97" spans="1:8" x14ac:dyDescent="0.2">
      <c r="A97" s="1810" t="s">
        <v>1112</v>
      </c>
      <c r="B97" s="1809"/>
      <c r="C97" s="1809"/>
      <c r="D97" s="1809"/>
      <c r="E97" s="1809"/>
      <c r="F97" s="1809"/>
      <c r="G97" s="1809"/>
      <c r="H97" s="1809"/>
    </row>
    <row r="98" spans="1:8" x14ac:dyDescent="0.2">
      <c r="A98" s="1810" t="s">
        <v>1113</v>
      </c>
      <c r="B98" s="1809"/>
      <c r="C98" s="1809"/>
      <c r="D98" s="1809"/>
      <c r="E98" s="1809"/>
      <c r="F98" s="1809"/>
      <c r="G98" s="1809"/>
      <c r="H98" s="1809"/>
    </row>
    <row r="99" spans="1:8" x14ac:dyDescent="0.2">
      <c r="A99" s="1809"/>
      <c r="B99" s="1809"/>
      <c r="C99" s="1809"/>
      <c r="D99" s="1809"/>
      <c r="E99" s="1809"/>
      <c r="F99" s="1809"/>
      <c r="G99" s="1809"/>
      <c r="H99" s="1809"/>
    </row>
    <row r="100" spans="1:8" x14ac:dyDescent="0.2">
      <c r="A100" s="1810" t="s">
        <v>1105</v>
      </c>
      <c r="B100" s="1809"/>
      <c r="C100" s="1809"/>
      <c r="D100" s="1809"/>
      <c r="E100" s="1809"/>
      <c r="F100" s="1809"/>
      <c r="G100" s="1809"/>
      <c r="H100" s="1809"/>
    </row>
    <row r="101" spans="1:8" x14ac:dyDescent="0.2">
      <c r="A101" s="1810" t="s">
        <v>1106</v>
      </c>
      <c r="B101" s="1809"/>
      <c r="C101" s="1809"/>
      <c r="D101" s="1809"/>
      <c r="E101" s="1809"/>
      <c r="F101" s="1809"/>
      <c r="G101" s="1809"/>
      <c r="H101" s="1809"/>
    </row>
    <row r="102" spans="1:8" x14ac:dyDescent="0.2">
      <c r="A102" s="1809"/>
      <c r="B102" s="1809"/>
      <c r="C102" s="1809"/>
      <c r="D102" s="1809"/>
      <c r="E102" s="1809"/>
      <c r="F102" s="1809"/>
      <c r="G102" s="1809"/>
      <c r="H102" s="1809"/>
    </row>
    <row r="103" spans="1:8" ht="15.75" x14ac:dyDescent="0.2">
      <c r="A103" s="1811" t="s">
        <v>879</v>
      </c>
      <c r="B103" s="1809"/>
      <c r="C103" s="1809"/>
      <c r="D103" s="1809"/>
      <c r="E103" s="1809"/>
      <c r="F103" s="1809"/>
      <c r="G103" s="1809"/>
      <c r="H103" s="1809"/>
    </row>
    <row r="104" spans="1:8" x14ac:dyDescent="0.2">
      <c r="A104" s="1809"/>
      <c r="B104" s="1809"/>
      <c r="C104" s="1809"/>
      <c r="D104" s="1809"/>
      <c r="E104" s="1809"/>
      <c r="F104" s="1809"/>
      <c r="G104" s="1809"/>
      <c r="H104" s="1809"/>
    </row>
    <row r="105" spans="1:8" x14ac:dyDescent="0.2">
      <c r="A105" s="1810" t="s">
        <v>1096</v>
      </c>
      <c r="B105" s="1809"/>
      <c r="C105" s="1809"/>
      <c r="D105" s="1809"/>
      <c r="E105" s="1809"/>
      <c r="F105" s="1809"/>
      <c r="G105" s="1809"/>
      <c r="H105" s="1809"/>
    </row>
    <row r="106" spans="1:8" x14ac:dyDescent="0.2">
      <c r="A106" s="1810" t="s">
        <v>1097</v>
      </c>
      <c r="B106" s="1809"/>
      <c r="C106" s="1809"/>
      <c r="D106" s="1809"/>
      <c r="E106" s="1809"/>
      <c r="F106" s="1809"/>
      <c r="G106" s="1809"/>
      <c r="H106" s="1809"/>
    </row>
    <row r="107" spans="1:8" x14ac:dyDescent="0.2">
      <c r="A107" s="1810" t="s">
        <v>1098</v>
      </c>
      <c r="B107" s="1809"/>
      <c r="C107" s="1809"/>
      <c r="D107" s="1809"/>
      <c r="E107" s="1809"/>
      <c r="F107" s="1809"/>
      <c r="G107" s="1809"/>
      <c r="H107" s="1809"/>
    </row>
    <row r="108" spans="1:8" x14ac:dyDescent="0.2">
      <c r="A108" s="1810" t="s">
        <v>1099</v>
      </c>
      <c r="B108" s="1809"/>
      <c r="C108" s="1809"/>
      <c r="D108" s="1809"/>
      <c r="E108" s="1809"/>
      <c r="F108" s="1809"/>
      <c r="G108" s="1809"/>
      <c r="H108" s="1809"/>
    </row>
    <row r="109" spans="1:8" x14ac:dyDescent="0.2">
      <c r="A109" s="1810" t="s">
        <v>1100</v>
      </c>
      <c r="B109" s="1809"/>
      <c r="C109" s="1809"/>
      <c r="D109" s="1809"/>
      <c r="E109" s="1809"/>
      <c r="F109" s="1809"/>
      <c r="G109" s="1809"/>
      <c r="H109" s="1809"/>
    </row>
    <row r="110" spans="1:8" x14ac:dyDescent="0.2">
      <c r="A110" s="1810" t="s">
        <v>1101</v>
      </c>
      <c r="B110" s="1809"/>
      <c r="C110" s="1809"/>
      <c r="D110" s="1809"/>
      <c r="E110" s="1809"/>
      <c r="F110" s="1809"/>
      <c r="G110" s="1809"/>
      <c r="H110" s="1809"/>
    </row>
    <row r="111" spans="1:8" x14ac:dyDescent="0.2">
      <c r="A111" s="1810" t="s">
        <v>1102</v>
      </c>
      <c r="B111" s="1809"/>
      <c r="C111" s="1809"/>
      <c r="D111" s="1809"/>
      <c r="E111" s="1809"/>
      <c r="F111" s="1809"/>
      <c r="G111" s="1809"/>
      <c r="H111" s="1809"/>
    </row>
    <row r="112" spans="1:8" x14ac:dyDescent="0.2">
      <c r="A112" s="1810" t="s">
        <v>1103</v>
      </c>
      <c r="B112" s="1809"/>
      <c r="C112" s="1809"/>
      <c r="D112" s="1809"/>
      <c r="E112" s="1809"/>
      <c r="F112" s="1809"/>
      <c r="G112" s="1809"/>
      <c r="H112" s="1809"/>
    </row>
    <row r="113" spans="1:8" x14ac:dyDescent="0.2">
      <c r="A113" s="1810" t="s">
        <v>1104</v>
      </c>
      <c r="B113" s="1809"/>
      <c r="C113" s="1809"/>
      <c r="D113" s="1809"/>
      <c r="E113" s="1809"/>
      <c r="F113" s="1809"/>
      <c r="G113" s="1809"/>
      <c r="H113" s="1809"/>
    </row>
    <row r="114" spans="1:8" x14ac:dyDescent="0.2">
      <c r="A114" s="1809"/>
      <c r="B114" s="1809"/>
      <c r="C114" s="1809"/>
      <c r="D114" s="1809"/>
      <c r="E114" s="1809"/>
      <c r="F114" s="1809"/>
      <c r="G114" s="1809"/>
      <c r="H114" s="1809"/>
    </row>
    <row r="115" spans="1:8" ht="15.75" x14ac:dyDescent="0.2">
      <c r="A115" s="1812" t="s">
        <v>880</v>
      </c>
      <c r="B115" s="1812"/>
      <c r="C115" s="1812"/>
      <c r="D115" s="1812"/>
      <c r="E115" s="1812"/>
      <c r="F115" s="1812"/>
      <c r="G115" s="1812"/>
      <c r="H115" s="1812"/>
    </row>
    <row r="116" spans="1:8" x14ac:dyDescent="0.2">
      <c r="A116" s="1813" t="s">
        <v>881</v>
      </c>
      <c r="B116" s="1813"/>
      <c r="C116" s="1813"/>
      <c r="D116" s="1813"/>
      <c r="E116" s="1813"/>
      <c r="F116" s="1813"/>
      <c r="G116" s="1813"/>
      <c r="H116" s="1813"/>
    </row>
    <row r="117" spans="1:8" x14ac:dyDescent="0.2">
      <c r="A117" s="1814"/>
      <c r="B117" s="1814"/>
      <c r="C117" s="1814"/>
      <c r="D117" s="1814"/>
      <c r="E117" s="1814"/>
      <c r="F117" s="1814"/>
      <c r="G117" s="1814"/>
      <c r="H117" s="1814"/>
    </row>
    <row r="118" spans="1:8" x14ac:dyDescent="0.2">
      <c r="A118" s="1813" t="s">
        <v>1094</v>
      </c>
      <c r="B118" s="1813"/>
      <c r="C118" s="1813"/>
      <c r="D118" s="1813"/>
      <c r="E118" s="1813"/>
      <c r="F118" s="1813"/>
      <c r="G118" s="1813"/>
      <c r="H118" s="1813"/>
    </row>
    <row r="119" spans="1:8" x14ac:dyDescent="0.2">
      <c r="A119" s="1810" t="s">
        <v>1095</v>
      </c>
      <c r="B119" s="1810"/>
      <c r="C119" s="1810"/>
      <c r="D119" s="1810"/>
      <c r="E119" s="1810"/>
      <c r="F119" s="1810"/>
      <c r="G119" s="1810"/>
      <c r="H119" s="1810"/>
    </row>
    <row r="120" spans="1:8" x14ac:dyDescent="0.2">
      <c r="A120" s="1814"/>
      <c r="B120" s="1814"/>
      <c r="C120" s="1814"/>
      <c r="D120" s="1814"/>
      <c r="E120" s="1814"/>
      <c r="F120" s="1814"/>
      <c r="G120" s="1814"/>
      <c r="H120" s="1814"/>
    </row>
    <row r="121" spans="1:8" x14ac:dyDescent="0.2">
      <c r="A121" s="1813" t="s">
        <v>1087</v>
      </c>
      <c r="B121" s="1813"/>
      <c r="C121" s="1813"/>
      <c r="D121" s="1813"/>
      <c r="E121" s="1813"/>
      <c r="F121" s="1813"/>
      <c r="G121" s="1813"/>
      <c r="H121" s="1813"/>
    </row>
    <row r="122" spans="1:8" x14ac:dyDescent="0.2">
      <c r="A122" s="1810" t="s">
        <v>1088</v>
      </c>
      <c r="B122" s="1810"/>
      <c r="C122" s="1810"/>
      <c r="D122" s="1810"/>
      <c r="E122" s="1810"/>
      <c r="F122" s="1810"/>
      <c r="G122" s="1810"/>
      <c r="H122" s="1810"/>
    </row>
    <row r="123" spans="1:8" x14ac:dyDescent="0.2">
      <c r="A123" s="1810" t="s">
        <v>1089</v>
      </c>
      <c r="B123" s="1810"/>
      <c r="C123" s="1810"/>
      <c r="D123" s="1810"/>
      <c r="E123" s="1810"/>
      <c r="F123" s="1810"/>
      <c r="G123" s="1810"/>
      <c r="H123" s="1810"/>
    </row>
    <row r="124" spans="1:8" x14ac:dyDescent="0.2">
      <c r="A124" s="1810" t="s">
        <v>1090</v>
      </c>
      <c r="B124" s="1810"/>
      <c r="C124" s="1810"/>
      <c r="D124" s="1810"/>
      <c r="E124" s="1810"/>
      <c r="F124" s="1810"/>
      <c r="G124" s="1810"/>
      <c r="H124" s="1810"/>
    </row>
    <row r="125" spans="1:8" x14ac:dyDescent="0.2">
      <c r="A125" s="1810" t="s">
        <v>1091</v>
      </c>
      <c r="B125" s="1810"/>
      <c r="C125" s="1810"/>
      <c r="D125" s="1810"/>
      <c r="E125" s="1810"/>
      <c r="F125" s="1810"/>
      <c r="G125" s="1810"/>
      <c r="H125" s="1810"/>
    </row>
    <row r="126" spans="1:8" x14ac:dyDescent="0.2">
      <c r="A126" s="1810" t="s">
        <v>1092</v>
      </c>
      <c r="B126" s="1810"/>
      <c r="C126" s="1810"/>
      <c r="D126" s="1810"/>
      <c r="E126" s="1810"/>
      <c r="F126" s="1810"/>
      <c r="G126" s="1810"/>
      <c r="H126" s="1810"/>
    </row>
    <row r="127" spans="1:8" x14ac:dyDescent="0.2">
      <c r="A127" s="1810" t="s">
        <v>1093</v>
      </c>
      <c r="B127" s="1810"/>
      <c r="C127" s="1810"/>
      <c r="D127" s="1810"/>
      <c r="E127" s="1810"/>
      <c r="F127" s="1810"/>
      <c r="G127" s="1810"/>
      <c r="H127" s="1810"/>
    </row>
    <row r="128" spans="1:8" x14ac:dyDescent="0.2">
      <c r="A128" s="1815"/>
      <c r="B128" s="1815"/>
      <c r="C128" s="1815"/>
      <c r="D128" s="1815"/>
      <c r="E128" s="1815"/>
      <c r="F128" s="1815"/>
      <c r="G128" s="1815"/>
      <c r="H128" s="1815"/>
    </row>
    <row r="129" spans="1:8" x14ac:dyDescent="0.2">
      <c r="A129" s="1816"/>
      <c r="B129" s="1817" t="s">
        <v>882</v>
      </c>
      <c r="C129" s="1818"/>
      <c r="D129" s="1817" t="s">
        <v>883</v>
      </c>
      <c r="E129" s="1819"/>
      <c r="F129" s="1818"/>
      <c r="G129" s="1817" t="s">
        <v>884</v>
      </c>
      <c r="H129" s="1818"/>
    </row>
    <row r="130" spans="1:8" x14ac:dyDescent="0.2">
      <c r="A130" s="1816" t="s">
        <v>885</v>
      </c>
      <c r="B130" s="1816" t="s">
        <v>852</v>
      </c>
      <c r="C130" s="1816" t="s">
        <v>886</v>
      </c>
      <c r="D130" s="1816" t="s">
        <v>852</v>
      </c>
      <c r="E130" s="1816" t="s">
        <v>887</v>
      </c>
      <c r="F130" s="1816" t="s">
        <v>888</v>
      </c>
      <c r="G130" s="1816" t="s">
        <v>852</v>
      </c>
      <c r="H130" s="1816" t="s">
        <v>889</v>
      </c>
    </row>
    <row r="131" spans="1:8" x14ac:dyDescent="0.2">
      <c r="A131" s="1816" t="s">
        <v>890</v>
      </c>
      <c r="B131" s="1816">
        <v>1189</v>
      </c>
      <c r="C131" s="1820">
        <v>0.38</v>
      </c>
      <c r="D131" s="1816">
        <v>315</v>
      </c>
      <c r="E131" s="1820">
        <v>0.41</v>
      </c>
      <c r="F131" s="1820">
        <v>0.26</v>
      </c>
      <c r="G131" s="1816">
        <v>555</v>
      </c>
      <c r="H131" s="1820">
        <v>0.39</v>
      </c>
    </row>
    <row r="132" spans="1:8" x14ac:dyDescent="0.2">
      <c r="A132" s="1816" t="s">
        <v>891</v>
      </c>
      <c r="B132" s="1816">
        <v>1355</v>
      </c>
      <c r="C132" s="1820">
        <v>0.43</v>
      </c>
      <c r="D132" s="1816">
        <v>364</v>
      </c>
      <c r="E132" s="1820">
        <v>0.47</v>
      </c>
      <c r="F132" s="1820">
        <v>0.27</v>
      </c>
      <c r="G132" s="1816">
        <v>644</v>
      </c>
      <c r="H132" s="1820">
        <v>0.45</v>
      </c>
    </row>
    <row r="133" spans="1:8" x14ac:dyDescent="0.2">
      <c r="A133" s="1816" t="s">
        <v>892</v>
      </c>
      <c r="B133" s="1816">
        <v>53</v>
      </c>
      <c r="C133" s="1820">
        <v>0.02</v>
      </c>
      <c r="D133" s="1816">
        <v>4</v>
      </c>
      <c r="E133" s="1820">
        <v>0.01</v>
      </c>
      <c r="F133" s="1820">
        <v>0.08</v>
      </c>
      <c r="G133" s="1816">
        <v>7</v>
      </c>
      <c r="H133" s="1820">
        <v>0</v>
      </c>
    </row>
    <row r="134" spans="1:8" x14ac:dyDescent="0.2">
      <c r="A134" s="1816" t="s">
        <v>893</v>
      </c>
      <c r="B134" s="1816">
        <v>545</v>
      </c>
      <c r="C134" s="1820">
        <v>0.17</v>
      </c>
      <c r="D134" s="1816">
        <v>84</v>
      </c>
      <c r="E134" s="1820">
        <v>0.11</v>
      </c>
      <c r="F134" s="1820">
        <v>0.15</v>
      </c>
      <c r="G134" s="1816">
        <v>214</v>
      </c>
      <c r="H134" s="1820">
        <v>0.15</v>
      </c>
    </row>
    <row r="135" spans="1:8" x14ac:dyDescent="0.2">
      <c r="A135" s="1816" t="s">
        <v>209</v>
      </c>
      <c r="B135" s="1821">
        <v>3142</v>
      </c>
      <c r="C135" s="1816"/>
      <c r="D135" s="1816">
        <v>767</v>
      </c>
      <c r="E135" s="1816"/>
      <c r="F135" s="1816"/>
      <c r="G135" s="1816">
        <v>1420</v>
      </c>
      <c r="H135" s="1816"/>
    </row>
    <row r="136" spans="1:8" x14ac:dyDescent="0.2">
      <c r="A136" s="1822"/>
      <c r="B136" s="1822"/>
      <c r="C136" s="1822"/>
      <c r="D136" s="1822"/>
      <c r="E136" s="1822"/>
      <c r="F136" s="1822"/>
      <c r="G136" s="1822"/>
      <c r="H136" s="1822"/>
    </row>
    <row r="137" spans="1:8" x14ac:dyDescent="0.2">
      <c r="A137" s="1813" t="s">
        <v>1083</v>
      </c>
      <c r="B137" s="1813"/>
      <c r="C137" s="1813"/>
      <c r="D137" s="1813"/>
      <c r="E137" s="1813"/>
      <c r="F137" s="1813"/>
      <c r="G137" s="1813"/>
      <c r="H137" s="1813"/>
    </row>
    <row r="138" spans="1:8" x14ac:dyDescent="0.2">
      <c r="A138" s="1810" t="s">
        <v>1084</v>
      </c>
      <c r="B138" s="1810"/>
      <c r="C138" s="1810"/>
      <c r="D138" s="1810"/>
      <c r="E138" s="1810"/>
      <c r="F138" s="1810"/>
      <c r="G138" s="1810"/>
      <c r="H138" s="1810"/>
    </row>
    <row r="139" spans="1:8" x14ac:dyDescent="0.2">
      <c r="A139" s="1810" t="s">
        <v>1085</v>
      </c>
      <c r="B139" s="1810"/>
      <c r="C139" s="1810"/>
      <c r="D139" s="1810"/>
      <c r="E139" s="1810"/>
      <c r="F139" s="1810"/>
      <c r="G139" s="1810"/>
      <c r="H139" s="1810"/>
    </row>
    <row r="140" spans="1:8" x14ac:dyDescent="0.2">
      <c r="A140" s="1810" t="s">
        <v>1086</v>
      </c>
      <c r="B140" s="1810"/>
      <c r="C140" s="1810"/>
      <c r="D140" s="1810"/>
      <c r="E140" s="1810"/>
      <c r="F140" s="1810"/>
      <c r="G140" s="1810"/>
      <c r="H140" s="1810"/>
    </row>
    <row r="141" spans="1:8" x14ac:dyDescent="0.2">
      <c r="A141" s="1809"/>
      <c r="B141" s="1809"/>
      <c r="C141" s="1809"/>
      <c r="D141" s="1809"/>
      <c r="E141" s="1809"/>
      <c r="F141" s="1809"/>
      <c r="G141" s="1809"/>
      <c r="H141" s="1809"/>
    </row>
    <row r="142" spans="1:8" ht="15.75" x14ac:dyDescent="0.2">
      <c r="A142" s="1811" t="s">
        <v>894</v>
      </c>
      <c r="B142" s="1809"/>
      <c r="C142" s="1809"/>
      <c r="D142" s="1809"/>
      <c r="E142" s="1809"/>
      <c r="F142" s="1809"/>
      <c r="G142" s="1809"/>
      <c r="H142" s="1809"/>
    </row>
    <row r="143" spans="1:8" x14ac:dyDescent="0.2">
      <c r="A143" s="1809"/>
      <c r="B143" s="1809"/>
      <c r="C143" s="1809"/>
      <c r="D143" s="1809"/>
      <c r="E143" s="1809"/>
      <c r="F143" s="1809"/>
      <c r="G143" s="1809"/>
      <c r="H143" s="1809"/>
    </row>
    <row r="144" spans="1:8" x14ac:dyDescent="0.2">
      <c r="A144" s="1810" t="s">
        <v>1081</v>
      </c>
      <c r="B144" s="1809"/>
      <c r="C144" s="1809"/>
      <c r="D144" s="1809"/>
      <c r="E144" s="1809"/>
      <c r="F144" s="1809"/>
      <c r="G144" s="1809"/>
      <c r="H144" s="1809"/>
    </row>
    <row r="145" spans="1:8" x14ac:dyDescent="0.2">
      <c r="A145" s="1810" t="s">
        <v>1082</v>
      </c>
      <c r="B145" s="1809"/>
      <c r="C145" s="1809"/>
      <c r="D145" s="1809"/>
      <c r="E145" s="1809"/>
      <c r="F145" s="1809"/>
      <c r="G145" s="1809"/>
      <c r="H145" s="1809"/>
    </row>
    <row r="146" spans="1:8" x14ac:dyDescent="0.2">
      <c r="A146" s="1809"/>
      <c r="B146" s="1809"/>
      <c r="C146" s="1809"/>
      <c r="D146" s="1809"/>
      <c r="E146" s="1809"/>
      <c r="F146" s="1809"/>
      <c r="G146" s="1809"/>
      <c r="H146" s="1809"/>
    </row>
    <row r="147" spans="1:8" x14ac:dyDescent="0.2">
      <c r="A147" s="1810" t="s">
        <v>1078</v>
      </c>
      <c r="B147" s="1809"/>
      <c r="C147" s="1809"/>
      <c r="D147" s="1809"/>
      <c r="E147" s="1809"/>
      <c r="F147" s="1809"/>
      <c r="G147" s="1809"/>
      <c r="H147" s="1809"/>
    </row>
    <row r="148" spans="1:8" x14ac:dyDescent="0.2">
      <c r="A148" s="1810" t="s">
        <v>1079</v>
      </c>
      <c r="B148" s="1809"/>
      <c r="C148" s="1809"/>
      <c r="D148" s="1809"/>
      <c r="E148" s="1809"/>
      <c r="F148" s="1809"/>
      <c r="G148" s="1809"/>
      <c r="H148" s="1809"/>
    </row>
    <row r="149" spans="1:8" x14ac:dyDescent="0.2">
      <c r="A149" s="1810" t="s">
        <v>1080</v>
      </c>
      <c r="B149" s="1809"/>
      <c r="C149" s="1809"/>
      <c r="D149" s="1809"/>
      <c r="E149" s="1809"/>
      <c r="F149" s="1809"/>
      <c r="G149" s="1809"/>
      <c r="H149" s="1809"/>
    </row>
    <row r="150" spans="1:8" x14ac:dyDescent="0.2">
      <c r="A150" s="1809"/>
      <c r="B150" s="1809"/>
      <c r="C150" s="1809"/>
      <c r="D150" s="1809"/>
      <c r="E150" s="1809"/>
      <c r="F150" s="1809"/>
      <c r="G150" s="1809"/>
      <c r="H150" s="1809"/>
    </row>
    <row r="151" spans="1:8" x14ac:dyDescent="0.2">
      <c r="A151" s="1810" t="s">
        <v>1075</v>
      </c>
      <c r="B151" s="1809"/>
      <c r="C151" s="1809"/>
      <c r="D151" s="1809"/>
      <c r="E151" s="1809"/>
      <c r="F151" s="1809"/>
      <c r="G151" s="1809"/>
      <c r="H151" s="1809"/>
    </row>
    <row r="152" spans="1:8" x14ac:dyDescent="0.2">
      <c r="A152" s="1810" t="s">
        <v>1076</v>
      </c>
      <c r="B152" s="1809"/>
      <c r="C152" s="1809"/>
      <c r="D152" s="1809"/>
      <c r="E152" s="1809"/>
      <c r="F152" s="1809"/>
      <c r="G152" s="1809"/>
      <c r="H152" s="1809"/>
    </row>
    <row r="153" spans="1:8" x14ac:dyDescent="0.2">
      <c r="A153" s="1810" t="s">
        <v>1077</v>
      </c>
      <c r="B153" s="1809"/>
      <c r="C153" s="1809"/>
      <c r="D153" s="1809"/>
      <c r="E153" s="1809"/>
      <c r="F153" s="1809"/>
      <c r="G153" s="1809"/>
      <c r="H153" s="1809"/>
    </row>
    <row r="154" spans="1:8" x14ac:dyDescent="0.2">
      <c r="A154" s="1809"/>
      <c r="B154" s="1809"/>
      <c r="C154" s="1809"/>
      <c r="D154" s="1809"/>
      <c r="E154" s="1809"/>
      <c r="F154" s="1809"/>
      <c r="G154" s="1809"/>
      <c r="H154" s="1809"/>
    </row>
    <row r="155" spans="1:8" x14ac:dyDescent="0.2">
      <c r="A155" s="1810" t="s">
        <v>1072</v>
      </c>
      <c r="B155" s="1809"/>
      <c r="C155" s="1809"/>
      <c r="D155" s="1809"/>
      <c r="E155" s="1809"/>
      <c r="F155" s="1809"/>
      <c r="G155" s="1809"/>
      <c r="H155" s="1809"/>
    </row>
    <row r="156" spans="1:8" x14ac:dyDescent="0.2">
      <c r="A156" s="1810" t="s">
        <v>1073</v>
      </c>
      <c r="B156" s="1809"/>
      <c r="C156" s="1809"/>
      <c r="D156" s="1809"/>
      <c r="E156" s="1809"/>
      <c r="F156" s="1809"/>
      <c r="G156" s="1809"/>
      <c r="H156" s="1809"/>
    </row>
    <row r="157" spans="1:8" x14ac:dyDescent="0.2">
      <c r="A157" s="1810" t="s">
        <v>1074</v>
      </c>
      <c r="B157" s="1809"/>
      <c r="C157" s="1809"/>
      <c r="D157" s="1809"/>
      <c r="E157" s="1809"/>
      <c r="F157" s="1809"/>
      <c r="G157" s="1809"/>
      <c r="H157" s="1809"/>
    </row>
    <row r="158" spans="1:8" x14ac:dyDescent="0.2">
      <c r="A158" s="1809"/>
      <c r="B158" s="1809"/>
      <c r="C158" s="1809"/>
      <c r="D158" s="1809"/>
      <c r="E158" s="1809"/>
      <c r="F158" s="1809"/>
      <c r="G158" s="1809"/>
      <c r="H158" s="1809"/>
    </row>
    <row r="159" spans="1:8" x14ac:dyDescent="0.2">
      <c r="A159" s="1810" t="s">
        <v>1070</v>
      </c>
      <c r="B159" s="1809"/>
      <c r="C159" s="1809"/>
      <c r="D159" s="1809"/>
      <c r="E159" s="1809"/>
      <c r="F159" s="1809"/>
      <c r="G159" s="1809"/>
      <c r="H159" s="1809"/>
    </row>
    <row r="160" spans="1:8" x14ac:dyDescent="0.2">
      <c r="A160" s="1810" t="s">
        <v>1071</v>
      </c>
      <c r="B160" s="1809"/>
      <c r="C160" s="1809"/>
      <c r="D160" s="1809"/>
      <c r="E160" s="1809"/>
      <c r="F160" s="1809"/>
      <c r="G160" s="1809"/>
      <c r="H160" s="1809"/>
    </row>
    <row r="161" spans="1:8" x14ac:dyDescent="0.2">
      <c r="A161" s="1809"/>
      <c r="B161" s="1809"/>
      <c r="C161" s="1809"/>
      <c r="D161" s="1809"/>
      <c r="E161" s="1809"/>
      <c r="F161" s="1809"/>
      <c r="G161" s="1809"/>
      <c r="H161" s="1809"/>
    </row>
    <row r="162" spans="1:8" ht="15.75" x14ac:dyDescent="0.2">
      <c r="A162" s="1811" t="s">
        <v>895</v>
      </c>
      <c r="B162" s="1809"/>
      <c r="C162" s="1809"/>
      <c r="D162" s="1809"/>
      <c r="E162" s="1809"/>
      <c r="F162" s="1809"/>
      <c r="G162" s="1809"/>
      <c r="H162" s="1809"/>
    </row>
    <row r="163" spans="1:8" x14ac:dyDescent="0.2">
      <c r="A163" s="1809"/>
      <c r="B163" s="1809"/>
      <c r="C163" s="1809"/>
      <c r="D163" s="1809"/>
      <c r="E163" s="1809"/>
      <c r="F163" s="1809"/>
      <c r="G163" s="1809"/>
      <c r="H163" s="1809"/>
    </row>
    <row r="164" spans="1:8" x14ac:dyDescent="0.2">
      <c r="A164" s="1810" t="s">
        <v>1068</v>
      </c>
      <c r="B164" s="1809"/>
      <c r="C164" s="1809"/>
      <c r="D164" s="1809"/>
      <c r="E164" s="1809"/>
      <c r="F164" s="1809"/>
      <c r="G164" s="1809"/>
      <c r="H164" s="1809"/>
    </row>
    <row r="165" spans="1:8" x14ac:dyDescent="0.2">
      <c r="A165" s="1810" t="s">
        <v>1069</v>
      </c>
      <c r="B165" s="1809"/>
      <c r="C165" s="1809"/>
      <c r="D165" s="1809"/>
      <c r="E165" s="1809"/>
      <c r="F165" s="1809"/>
      <c r="G165" s="1809"/>
      <c r="H165" s="1809"/>
    </row>
    <row r="166" spans="1:8" x14ac:dyDescent="0.2">
      <c r="A166" s="1809"/>
      <c r="B166" s="1809"/>
      <c r="C166" s="1809"/>
      <c r="D166" s="1809"/>
      <c r="E166" s="1809"/>
      <c r="F166" s="1809"/>
      <c r="G166" s="1809"/>
      <c r="H166" s="1809"/>
    </row>
    <row r="167" spans="1:8" x14ac:dyDescent="0.2">
      <c r="A167" s="1810" t="s">
        <v>1066</v>
      </c>
      <c r="B167" s="1809"/>
      <c r="C167" s="1809"/>
      <c r="D167" s="1809"/>
      <c r="E167" s="1809"/>
      <c r="F167" s="1809"/>
      <c r="G167" s="1809"/>
      <c r="H167" s="1809"/>
    </row>
    <row r="168" spans="1:8" x14ac:dyDescent="0.2">
      <c r="A168" s="1810" t="s">
        <v>1067</v>
      </c>
      <c r="B168" s="1809"/>
      <c r="C168" s="1809"/>
      <c r="D168" s="1809"/>
      <c r="E168" s="1809"/>
      <c r="F168" s="1809"/>
      <c r="G168" s="1809"/>
      <c r="H168" s="1809"/>
    </row>
    <row r="169" spans="1:8" x14ac:dyDescent="0.2">
      <c r="A169" s="1809"/>
      <c r="B169" s="1809"/>
      <c r="C169" s="1809"/>
      <c r="D169" s="1809"/>
      <c r="E169" s="1809"/>
      <c r="F169" s="1809"/>
      <c r="G169" s="1809"/>
      <c r="H169" s="1809"/>
    </row>
    <row r="170" spans="1:8" x14ac:dyDescent="0.2">
      <c r="A170" s="1810" t="s">
        <v>1064</v>
      </c>
      <c r="B170" s="1809"/>
      <c r="C170" s="1809"/>
      <c r="D170" s="1809"/>
      <c r="E170" s="1809"/>
      <c r="F170" s="1809"/>
      <c r="G170" s="1809"/>
      <c r="H170" s="1809"/>
    </row>
    <row r="171" spans="1:8" x14ac:dyDescent="0.2">
      <c r="A171" s="1810" t="s">
        <v>1065</v>
      </c>
      <c r="B171" s="1809"/>
      <c r="C171" s="1809"/>
      <c r="D171" s="1809"/>
      <c r="E171" s="1809"/>
      <c r="F171" s="1809"/>
      <c r="G171" s="1809"/>
      <c r="H171" s="1809"/>
    </row>
    <row r="172" spans="1:8" x14ac:dyDescent="0.2">
      <c r="A172" s="1809"/>
      <c r="B172" s="1809"/>
      <c r="C172" s="1809"/>
      <c r="D172" s="1809"/>
      <c r="E172" s="1809"/>
      <c r="F172" s="1809"/>
      <c r="G172" s="1809"/>
      <c r="H172" s="1809"/>
    </row>
    <row r="173" spans="1:8" x14ac:dyDescent="0.2">
      <c r="A173" s="1810" t="s">
        <v>1061</v>
      </c>
      <c r="B173" s="1809"/>
      <c r="C173" s="1809"/>
      <c r="D173" s="1809"/>
      <c r="E173" s="1809"/>
      <c r="F173" s="1809"/>
      <c r="G173" s="1809"/>
      <c r="H173" s="1809"/>
    </row>
    <row r="174" spans="1:8" x14ac:dyDescent="0.2">
      <c r="A174" s="1810" t="s">
        <v>1062</v>
      </c>
      <c r="B174" s="1809"/>
      <c r="C174" s="1809"/>
      <c r="D174" s="1809"/>
      <c r="E174" s="1809"/>
      <c r="F174" s="1809"/>
      <c r="G174" s="1809"/>
      <c r="H174" s="1809"/>
    </row>
    <row r="175" spans="1:8" x14ac:dyDescent="0.2">
      <c r="A175" s="1810" t="s">
        <v>1063</v>
      </c>
      <c r="B175" s="1809"/>
      <c r="C175" s="1809"/>
      <c r="D175" s="1809"/>
      <c r="E175" s="1809"/>
      <c r="F175" s="1809"/>
      <c r="G175" s="1809"/>
      <c r="H175" s="1809"/>
    </row>
    <row r="176" spans="1:8" x14ac:dyDescent="0.2">
      <c r="A176" s="1809"/>
      <c r="B176" s="1809"/>
      <c r="C176" s="1809"/>
      <c r="D176" s="1809"/>
      <c r="E176" s="1809"/>
      <c r="F176" s="1809"/>
      <c r="G176" s="1809"/>
      <c r="H176" s="1809"/>
    </row>
    <row r="177" spans="1:8" x14ac:dyDescent="0.2">
      <c r="A177" s="1809"/>
      <c r="B177" s="1809"/>
      <c r="C177" s="1809"/>
      <c r="D177" s="1809"/>
      <c r="E177" s="1809"/>
      <c r="F177" s="1809"/>
      <c r="G177" s="1809"/>
      <c r="H177" s="1809"/>
    </row>
    <row r="178" spans="1:8" x14ac:dyDescent="0.2">
      <c r="A178" s="1810" t="s">
        <v>595</v>
      </c>
      <c r="B178" s="1809"/>
      <c r="C178" s="1809"/>
      <c r="D178" s="1809"/>
      <c r="E178" s="1809"/>
      <c r="F178" s="1809"/>
      <c r="G178" s="1809"/>
      <c r="H178" s="1809"/>
    </row>
    <row r="179" spans="1:8" x14ac:dyDescent="0.2">
      <c r="A179" s="1809"/>
      <c r="B179" s="1809"/>
      <c r="C179" s="1809"/>
      <c r="D179" s="1809"/>
      <c r="E179" s="1809"/>
      <c r="F179" s="1809"/>
      <c r="G179" s="1809"/>
      <c r="H179" s="1809"/>
    </row>
    <row r="180" spans="1:8" ht="15.75" x14ac:dyDescent="0.2">
      <c r="A180" s="1811" t="s">
        <v>896</v>
      </c>
      <c r="B180" s="1809"/>
      <c r="C180" s="1809"/>
      <c r="D180" s="1809"/>
      <c r="E180" s="1809"/>
      <c r="F180" s="1809"/>
      <c r="G180" s="1809"/>
      <c r="H180" s="1809"/>
    </row>
    <row r="181" spans="1:8" x14ac:dyDescent="0.2">
      <c r="A181" s="1809"/>
      <c r="B181" s="1809"/>
      <c r="C181" s="1809"/>
      <c r="D181" s="1809"/>
      <c r="E181" s="1809"/>
      <c r="F181" s="1809"/>
      <c r="G181" s="1809"/>
      <c r="H181" s="1809"/>
    </row>
    <row r="182" spans="1:8" x14ac:dyDescent="0.2">
      <c r="A182" s="1809"/>
      <c r="B182" s="1809"/>
      <c r="C182" s="1809"/>
      <c r="D182" s="1809"/>
      <c r="E182" s="1809"/>
      <c r="F182" s="1809"/>
      <c r="G182" s="1809"/>
      <c r="H182" s="1809"/>
    </row>
    <row r="183" spans="1:8" x14ac:dyDescent="0.2">
      <c r="A183" s="1809"/>
      <c r="B183" s="1809"/>
      <c r="C183" s="1809"/>
      <c r="D183" s="1809"/>
      <c r="E183" s="1809"/>
      <c r="F183" s="1809"/>
      <c r="G183" s="1809"/>
      <c r="H183" s="1809"/>
    </row>
    <row r="184" spans="1:8" x14ac:dyDescent="0.2">
      <c r="A184" s="1809"/>
      <c r="B184" s="1809"/>
      <c r="C184" s="1809"/>
      <c r="D184" s="1809"/>
      <c r="E184" s="1809"/>
      <c r="F184" s="1809"/>
      <c r="G184" s="1809"/>
      <c r="H184" s="1809"/>
    </row>
    <row r="185" spans="1:8" x14ac:dyDescent="0.2">
      <c r="A185" s="1809"/>
      <c r="B185" s="1809"/>
      <c r="C185" s="1809"/>
      <c r="D185" s="1809"/>
      <c r="E185" s="1809"/>
      <c r="F185" s="1809"/>
      <c r="G185" s="1809"/>
      <c r="H185" s="1809"/>
    </row>
    <row r="186" spans="1:8" x14ac:dyDescent="0.2">
      <c r="A186" s="1809"/>
      <c r="B186" s="1809"/>
      <c r="C186" s="1809"/>
      <c r="D186" s="1809"/>
      <c r="E186" s="1809"/>
      <c r="F186" s="1809"/>
      <c r="G186" s="1809"/>
      <c r="H186" s="1809"/>
    </row>
    <row r="187" spans="1:8" x14ac:dyDescent="0.2">
      <c r="A187" s="1809"/>
      <c r="B187" s="1809"/>
      <c r="C187" s="1809"/>
      <c r="D187" s="1809"/>
      <c r="E187" s="1809"/>
      <c r="F187" s="1809"/>
      <c r="G187" s="1809"/>
      <c r="H187" s="1809"/>
    </row>
    <row r="188" spans="1:8" x14ac:dyDescent="0.2">
      <c r="A188" s="1809"/>
      <c r="B188" s="1809"/>
      <c r="C188" s="1809"/>
      <c r="D188" s="1809"/>
      <c r="E188" s="1809"/>
      <c r="F188" s="1809"/>
      <c r="G188" s="1809"/>
      <c r="H188" s="1809"/>
    </row>
    <row r="189" spans="1:8" x14ac:dyDescent="0.2">
      <c r="A189" s="1809"/>
      <c r="B189" s="1809"/>
      <c r="C189" s="1809"/>
      <c r="D189" s="1809"/>
      <c r="E189" s="1809"/>
      <c r="F189" s="1809"/>
      <c r="G189" s="1809"/>
      <c r="H189" s="1809"/>
    </row>
    <row r="190" spans="1:8" x14ac:dyDescent="0.2">
      <c r="A190" s="1809"/>
      <c r="B190" s="1809"/>
      <c r="C190" s="1809"/>
      <c r="D190" s="1809"/>
      <c r="E190" s="1809"/>
      <c r="F190" s="1809"/>
      <c r="G190" s="1809"/>
      <c r="H190" s="1809"/>
    </row>
    <row r="191" spans="1:8" x14ac:dyDescent="0.2">
      <c r="A191" s="1809"/>
      <c r="B191" s="1809"/>
      <c r="C191" s="1809"/>
      <c r="D191" s="1809"/>
      <c r="E191" s="1809"/>
      <c r="F191" s="1809"/>
      <c r="G191" s="1809"/>
      <c r="H191" s="1809"/>
    </row>
    <row r="192" spans="1:8" x14ac:dyDescent="0.2">
      <c r="A192" s="1809"/>
      <c r="B192" s="1809"/>
      <c r="C192" s="1809"/>
      <c r="D192" s="1809"/>
      <c r="E192" s="1809"/>
      <c r="F192" s="1809"/>
      <c r="G192" s="1809"/>
      <c r="H192" s="1809"/>
    </row>
    <row r="193" spans="1:8" x14ac:dyDescent="0.2">
      <c r="A193" s="1809"/>
      <c r="B193" s="1809"/>
      <c r="C193" s="1809"/>
      <c r="D193" s="1809"/>
      <c r="E193" s="1809"/>
      <c r="F193" s="1809"/>
      <c r="G193" s="1809"/>
      <c r="H193" s="1809"/>
    </row>
    <row r="194" spans="1:8" x14ac:dyDescent="0.2">
      <c r="A194" s="1809"/>
      <c r="B194" s="1809"/>
      <c r="C194" s="1809"/>
      <c r="D194" s="1809"/>
      <c r="E194" s="1809"/>
      <c r="F194" s="1809"/>
      <c r="G194" s="1809"/>
      <c r="H194" s="1809"/>
    </row>
    <row r="195" spans="1:8" x14ac:dyDescent="0.2">
      <c r="A195" s="1809"/>
      <c r="B195" s="1809"/>
      <c r="C195" s="1809"/>
      <c r="D195" s="1809"/>
      <c r="E195" s="1809"/>
      <c r="F195" s="1809"/>
      <c r="G195" s="1809"/>
      <c r="H195" s="1809"/>
    </row>
    <row r="196" spans="1:8" x14ac:dyDescent="0.2">
      <c r="A196" s="1809"/>
      <c r="B196" s="1809"/>
      <c r="C196" s="1809"/>
      <c r="D196" s="1809"/>
      <c r="E196" s="1809"/>
      <c r="F196" s="1809"/>
      <c r="G196" s="1809"/>
      <c r="H196" s="1809"/>
    </row>
    <row r="197" spans="1:8" x14ac:dyDescent="0.2">
      <c r="A197" s="1809"/>
      <c r="B197" s="1809"/>
      <c r="C197" s="1809"/>
      <c r="D197" s="1809"/>
      <c r="E197" s="1809"/>
      <c r="F197" s="1809"/>
      <c r="G197" s="1809"/>
      <c r="H197" s="1809"/>
    </row>
    <row r="198" spans="1:8" x14ac:dyDescent="0.2">
      <c r="A198" s="1809"/>
      <c r="B198" s="1809"/>
      <c r="C198" s="1809"/>
      <c r="D198" s="1809"/>
      <c r="E198" s="1809"/>
      <c r="F198" s="1809"/>
      <c r="G198" s="1809"/>
      <c r="H198" s="1809"/>
    </row>
    <row r="199" spans="1:8" x14ac:dyDescent="0.2">
      <c r="A199" s="1809"/>
      <c r="B199" s="1809"/>
      <c r="C199" s="1809"/>
      <c r="D199" s="1809"/>
      <c r="E199" s="1809"/>
      <c r="F199" s="1809"/>
      <c r="G199" s="1809"/>
      <c r="H199" s="1809"/>
    </row>
    <row r="200" spans="1:8" x14ac:dyDescent="0.2">
      <c r="A200" s="1809"/>
      <c r="B200" s="1809"/>
      <c r="C200" s="1809"/>
      <c r="D200" s="1809"/>
      <c r="E200" s="1809"/>
      <c r="F200" s="1809"/>
      <c r="G200" s="1809"/>
      <c r="H200" s="1809"/>
    </row>
    <row r="201" spans="1:8" x14ac:dyDescent="0.2">
      <c r="A201" s="1809"/>
      <c r="B201" s="1809"/>
      <c r="C201" s="1809"/>
      <c r="D201" s="1809"/>
      <c r="E201" s="1809"/>
      <c r="F201" s="1809"/>
      <c r="G201" s="1809"/>
      <c r="H201" s="1809"/>
    </row>
    <row r="202" spans="1:8" x14ac:dyDescent="0.2">
      <c r="A202" s="1809"/>
      <c r="B202" s="1809"/>
      <c r="C202" s="1809"/>
      <c r="D202" s="1809"/>
      <c r="E202" s="1809"/>
      <c r="F202" s="1809"/>
      <c r="G202" s="1809"/>
      <c r="H202" s="1809"/>
    </row>
    <row r="203" spans="1:8" x14ac:dyDescent="0.2">
      <c r="A203" s="1809"/>
      <c r="B203" s="1809"/>
      <c r="C203" s="1809"/>
      <c r="D203" s="1809"/>
      <c r="E203" s="1809"/>
      <c r="F203" s="1809"/>
      <c r="G203" s="1809"/>
      <c r="H203" s="1809"/>
    </row>
    <row r="204" spans="1:8" x14ac:dyDescent="0.2">
      <c r="A204" s="1809"/>
      <c r="B204" s="1809"/>
      <c r="C204" s="1809"/>
      <c r="D204" s="1809"/>
      <c r="E204" s="1809"/>
      <c r="F204" s="1809"/>
      <c r="G204" s="1809"/>
      <c r="H204" s="1809"/>
    </row>
    <row r="205" spans="1:8" x14ac:dyDescent="0.2">
      <c r="A205" s="1809"/>
      <c r="B205" s="1809"/>
      <c r="C205" s="1809"/>
      <c r="D205" s="1809"/>
      <c r="E205" s="1809"/>
      <c r="F205" s="1809"/>
      <c r="G205" s="1809"/>
      <c r="H205" s="1809"/>
    </row>
    <row r="206" spans="1:8" x14ac:dyDescent="0.2">
      <c r="A206" s="1809"/>
      <c r="B206" s="1809"/>
      <c r="C206" s="1809"/>
      <c r="D206" s="1809"/>
      <c r="E206" s="1809"/>
      <c r="F206" s="1809"/>
      <c r="G206" s="1809"/>
      <c r="H206" s="1809"/>
    </row>
    <row r="207" spans="1:8" ht="15.75" x14ac:dyDescent="0.2">
      <c r="A207" s="1811" t="s">
        <v>897</v>
      </c>
      <c r="B207" s="1809"/>
      <c r="C207" s="1809"/>
      <c r="D207" s="1809"/>
      <c r="E207" s="1809"/>
      <c r="F207" s="1809"/>
      <c r="G207" s="1809"/>
      <c r="H207" s="1809"/>
    </row>
    <row r="208" spans="1:8" x14ac:dyDescent="0.2">
      <c r="A208" s="1809"/>
      <c r="B208" s="1809"/>
      <c r="C208" s="1809"/>
      <c r="D208" s="1809"/>
      <c r="E208" s="1809"/>
      <c r="F208" s="1809"/>
      <c r="G208" s="1809"/>
      <c r="H208" s="1809"/>
    </row>
    <row r="209" spans="1:8" x14ac:dyDescent="0.2">
      <c r="A209" s="1810" t="s">
        <v>1056</v>
      </c>
      <c r="B209" s="1809"/>
      <c r="C209" s="1809"/>
      <c r="D209" s="1809"/>
      <c r="E209" s="1809"/>
      <c r="F209" s="1809"/>
      <c r="G209" s="1809"/>
      <c r="H209" s="1809"/>
    </row>
    <row r="210" spans="1:8" x14ac:dyDescent="0.2">
      <c r="A210" s="1810" t="s">
        <v>1057</v>
      </c>
      <c r="B210" s="1809"/>
      <c r="C210" s="1809"/>
      <c r="D210" s="1809"/>
      <c r="E210" s="1809"/>
      <c r="F210" s="1809"/>
      <c r="G210" s="1809"/>
      <c r="H210" s="1809"/>
    </row>
    <row r="211" spans="1:8" x14ac:dyDescent="0.2">
      <c r="A211" s="1810" t="s">
        <v>1058</v>
      </c>
      <c r="B211" s="1809"/>
      <c r="C211" s="1809"/>
      <c r="D211" s="1809"/>
      <c r="E211" s="1809"/>
      <c r="F211" s="1809"/>
      <c r="G211" s="1809"/>
      <c r="H211" s="1809"/>
    </row>
    <row r="212" spans="1:8" x14ac:dyDescent="0.2">
      <c r="A212" s="1810" t="s">
        <v>1059</v>
      </c>
      <c r="B212" s="1809"/>
      <c r="C212" s="1809"/>
      <c r="D212" s="1809"/>
      <c r="E212" s="1809"/>
      <c r="F212" s="1809"/>
      <c r="G212" s="1809"/>
      <c r="H212" s="1809"/>
    </row>
    <row r="213" spans="1:8" x14ac:dyDescent="0.2">
      <c r="A213" s="1810" t="s">
        <v>1060</v>
      </c>
      <c r="B213" s="1809"/>
      <c r="C213" s="1809"/>
      <c r="D213" s="1809"/>
      <c r="E213" s="1809"/>
      <c r="F213" s="1809"/>
      <c r="G213" s="1809"/>
      <c r="H213" s="1809"/>
    </row>
    <row r="214" spans="1:8" x14ac:dyDescent="0.2">
      <c r="A214" s="1809"/>
      <c r="B214" s="1809"/>
      <c r="C214" s="1809"/>
      <c r="D214" s="1809"/>
      <c r="E214" s="1809"/>
      <c r="F214" s="1809"/>
      <c r="G214" s="1809"/>
      <c r="H214" s="1809"/>
    </row>
    <row r="215" spans="1:8" x14ac:dyDescent="0.2">
      <c r="A215" s="1810" t="s">
        <v>1053</v>
      </c>
      <c r="B215" s="1809"/>
      <c r="C215" s="1809"/>
      <c r="D215" s="1809"/>
      <c r="E215" s="1809"/>
      <c r="F215" s="1809"/>
      <c r="G215" s="1809"/>
      <c r="H215" s="1809"/>
    </row>
    <row r="216" spans="1:8" x14ac:dyDescent="0.2">
      <c r="A216" s="1810" t="s">
        <v>1054</v>
      </c>
      <c r="B216" s="1809"/>
      <c r="C216" s="1809"/>
      <c r="D216" s="1809"/>
      <c r="E216" s="1809"/>
      <c r="F216" s="1809"/>
      <c r="G216" s="1809"/>
      <c r="H216" s="1809"/>
    </row>
    <row r="217" spans="1:8" x14ac:dyDescent="0.2">
      <c r="A217" s="1810" t="s">
        <v>1055</v>
      </c>
      <c r="B217" s="1809"/>
      <c r="C217" s="1809"/>
      <c r="D217" s="1809"/>
      <c r="E217" s="1809"/>
      <c r="F217" s="1809"/>
      <c r="G217" s="1809"/>
      <c r="H217" s="1809"/>
    </row>
    <row r="218" spans="1:8" ht="15.75" x14ac:dyDescent="0.2">
      <c r="A218" s="1811" t="s">
        <v>898</v>
      </c>
      <c r="B218" s="1809"/>
      <c r="C218" s="1809"/>
      <c r="D218" s="1809"/>
      <c r="E218" s="1809"/>
      <c r="F218" s="1809"/>
      <c r="G218" s="1809"/>
      <c r="H218" s="1809"/>
    </row>
    <row r="219" spans="1:8" x14ac:dyDescent="0.2">
      <c r="A219" s="1809"/>
      <c r="B219" s="1809"/>
      <c r="C219" s="1809"/>
      <c r="D219" s="1809"/>
      <c r="E219" s="1809"/>
      <c r="F219" s="1809"/>
      <c r="G219" s="1809"/>
      <c r="H219" s="1809"/>
    </row>
    <row r="220" spans="1:8" x14ac:dyDescent="0.2">
      <c r="A220" s="1810" t="s">
        <v>1046</v>
      </c>
      <c r="B220" s="1809"/>
      <c r="C220" s="1809"/>
      <c r="D220" s="1809"/>
      <c r="E220" s="1809"/>
      <c r="F220" s="1809"/>
      <c r="G220" s="1809"/>
      <c r="H220" s="1809"/>
    </row>
    <row r="221" spans="1:8" x14ac:dyDescent="0.2">
      <c r="A221" s="1810" t="s">
        <v>1047</v>
      </c>
      <c r="B221" s="1809"/>
      <c r="C221" s="1809"/>
      <c r="D221" s="1809"/>
      <c r="E221" s="1809"/>
      <c r="F221" s="1809"/>
      <c r="G221" s="1809"/>
      <c r="H221" s="1809"/>
    </row>
    <row r="222" spans="1:8" x14ac:dyDescent="0.2">
      <c r="A222" s="1810" t="s">
        <v>1048</v>
      </c>
      <c r="B222" s="1809"/>
      <c r="C222" s="1809"/>
      <c r="D222" s="1809"/>
      <c r="E222" s="1809"/>
      <c r="F222" s="1809"/>
      <c r="G222" s="1809"/>
      <c r="H222" s="1809"/>
    </row>
    <row r="223" spans="1:8" x14ac:dyDescent="0.2">
      <c r="A223" s="1810" t="s">
        <v>1049</v>
      </c>
      <c r="B223" s="1809"/>
      <c r="C223" s="1809"/>
      <c r="D223" s="1809"/>
      <c r="E223" s="1809"/>
      <c r="F223" s="1809"/>
      <c r="G223" s="1809"/>
      <c r="H223" s="1809"/>
    </row>
    <row r="224" spans="1:8" x14ac:dyDescent="0.2">
      <c r="A224" s="1810" t="s">
        <v>1050</v>
      </c>
      <c r="B224" s="1809"/>
      <c r="C224" s="1809"/>
      <c r="D224" s="1809"/>
      <c r="E224" s="1809"/>
      <c r="F224" s="1809"/>
      <c r="G224" s="1809"/>
      <c r="H224" s="1809"/>
    </row>
    <row r="225" spans="1:8" x14ac:dyDescent="0.2">
      <c r="A225" s="1810" t="s">
        <v>1051</v>
      </c>
      <c r="B225" s="1809"/>
      <c r="C225" s="1809"/>
      <c r="D225" s="1809"/>
      <c r="E225" s="1809"/>
      <c r="F225" s="1809"/>
      <c r="G225" s="1809"/>
      <c r="H225" s="1809"/>
    </row>
    <row r="226" spans="1:8" x14ac:dyDescent="0.2">
      <c r="A226" s="1810" t="s">
        <v>1052</v>
      </c>
      <c r="B226" s="1809"/>
      <c r="C226" s="1809"/>
      <c r="D226" s="1809"/>
      <c r="E226" s="1809"/>
      <c r="F226" s="1809"/>
      <c r="G226" s="1809"/>
      <c r="H226" s="1809"/>
    </row>
    <row r="227" spans="1:8" x14ac:dyDescent="0.2">
      <c r="A227" s="1809"/>
      <c r="B227" s="1809"/>
      <c r="C227" s="1809"/>
      <c r="D227" s="1809"/>
      <c r="E227" s="1809"/>
      <c r="F227" s="1809"/>
      <c r="G227" s="1809"/>
      <c r="H227" s="1809"/>
    </row>
    <row r="228" spans="1:8" x14ac:dyDescent="0.2">
      <c r="A228" s="1810" t="s">
        <v>1043</v>
      </c>
      <c r="B228" s="1809"/>
      <c r="C228" s="1809"/>
      <c r="D228" s="1809"/>
      <c r="E228" s="1809"/>
      <c r="F228" s="1809"/>
      <c r="G228" s="1809"/>
      <c r="H228" s="1809"/>
    </row>
    <row r="229" spans="1:8" x14ac:dyDescent="0.2">
      <c r="A229" s="1810" t="s">
        <v>1044</v>
      </c>
      <c r="B229" s="1809"/>
      <c r="C229" s="1809"/>
      <c r="D229" s="1809"/>
      <c r="E229" s="1809"/>
      <c r="F229" s="1809"/>
      <c r="G229" s="1809"/>
      <c r="H229" s="1809"/>
    </row>
    <row r="230" spans="1:8" x14ac:dyDescent="0.2">
      <c r="A230" s="1810" t="s">
        <v>1045</v>
      </c>
      <c r="B230" s="1809"/>
      <c r="C230" s="1809"/>
      <c r="D230" s="1809"/>
      <c r="E230" s="1809"/>
      <c r="F230" s="1809"/>
      <c r="G230" s="1809"/>
      <c r="H230" s="1809"/>
    </row>
    <row r="231" spans="1:8" x14ac:dyDescent="0.2">
      <c r="A231" s="1809"/>
      <c r="B231" s="1809"/>
      <c r="C231" s="1809"/>
      <c r="D231" s="1809"/>
      <c r="E231" s="1809"/>
      <c r="F231" s="1809"/>
      <c r="G231" s="1809"/>
      <c r="H231" s="1809"/>
    </row>
    <row r="232" spans="1:8" x14ac:dyDescent="0.2">
      <c r="A232" s="1810" t="s">
        <v>1038</v>
      </c>
      <c r="B232" s="1809"/>
      <c r="C232" s="1809"/>
      <c r="D232" s="1809"/>
      <c r="E232" s="1809"/>
      <c r="F232" s="1809"/>
      <c r="G232" s="1809"/>
      <c r="H232" s="1809"/>
    </row>
    <row r="233" spans="1:8" x14ac:dyDescent="0.2">
      <c r="A233" s="1810" t="s">
        <v>1039</v>
      </c>
      <c r="B233" s="1809"/>
      <c r="C233" s="1809"/>
      <c r="D233" s="1809"/>
      <c r="E233" s="1809"/>
      <c r="F233" s="1809"/>
      <c r="G233" s="1809"/>
      <c r="H233" s="1809"/>
    </row>
    <row r="234" spans="1:8" x14ac:dyDescent="0.2">
      <c r="A234" s="1810" t="s">
        <v>1040</v>
      </c>
      <c r="B234" s="1809"/>
      <c r="C234" s="1809"/>
      <c r="D234" s="1809"/>
      <c r="E234" s="1809"/>
      <c r="F234" s="1809"/>
      <c r="G234" s="1809"/>
      <c r="H234" s="1809"/>
    </row>
    <row r="235" spans="1:8" x14ac:dyDescent="0.2">
      <c r="A235" s="1810" t="s">
        <v>1041</v>
      </c>
      <c r="B235" s="1809"/>
      <c r="C235" s="1809"/>
      <c r="D235" s="1809"/>
      <c r="E235" s="1809"/>
      <c r="F235" s="1809"/>
      <c r="G235" s="1809"/>
      <c r="H235" s="1809"/>
    </row>
    <row r="236" spans="1:8" x14ac:dyDescent="0.2">
      <c r="A236" s="1810" t="s">
        <v>1042</v>
      </c>
      <c r="B236" s="1809"/>
      <c r="C236" s="1809"/>
      <c r="D236" s="1809"/>
      <c r="E236" s="1809"/>
      <c r="F236" s="1809"/>
      <c r="G236" s="1809"/>
      <c r="H236" s="1809"/>
    </row>
    <row r="237" spans="1:8" x14ac:dyDescent="0.2">
      <c r="A237" s="1809"/>
      <c r="B237" s="1809"/>
      <c r="C237" s="1809"/>
      <c r="D237" s="1809"/>
      <c r="E237" s="1809"/>
      <c r="F237" s="1809"/>
      <c r="G237" s="1809"/>
      <c r="H237" s="1809"/>
    </row>
    <row r="238" spans="1:8" x14ac:dyDescent="0.2">
      <c r="A238" s="1810" t="s">
        <v>1032</v>
      </c>
      <c r="B238" s="1809"/>
      <c r="C238" s="1809"/>
      <c r="D238" s="1809"/>
      <c r="E238" s="1809"/>
      <c r="F238" s="1809"/>
      <c r="G238" s="1809"/>
      <c r="H238" s="1809"/>
    </row>
    <row r="239" spans="1:8" x14ac:dyDescent="0.2">
      <c r="A239" s="1810" t="s">
        <v>1033</v>
      </c>
      <c r="B239" s="1809"/>
      <c r="C239" s="1809"/>
      <c r="D239" s="1809"/>
      <c r="E239" s="1809"/>
      <c r="F239" s="1809"/>
      <c r="G239" s="1809"/>
      <c r="H239" s="1809"/>
    </row>
    <row r="240" spans="1:8" x14ac:dyDescent="0.2">
      <c r="A240" s="1810" t="s">
        <v>1034</v>
      </c>
      <c r="B240" s="1809"/>
      <c r="C240" s="1809"/>
      <c r="D240" s="1809"/>
      <c r="E240" s="1809"/>
      <c r="F240" s="1809"/>
      <c r="G240" s="1809"/>
      <c r="H240" s="1809"/>
    </row>
    <row r="241" spans="1:8" x14ac:dyDescent="0.2">
      <c r="A241" s="1810" t="s">
        <v>1035</v>
      </c>
      <c r="B241" s="1809"/>
      <c r="C241" s="1809"/>
      <c r="D241" s="1809"/>
      <c r="E241" s="1809"/>
      <c r="F241" s="1809"/>
      <c r="G241" s="1809"/>
      <c r="H241" s="1809"/>
    </row>
    <row r="242" spans="1:8" x14ac:dyDescent="0.2">
      <c r="A242" s="1810" t="s">
        <v>1036</v>
      </c>
      <c r="B242" s="1809"/>
      <c r="C242" s="1809"/>
      <c r="D242" s="1809"/>
      <c r="E242" s="1809"/>
      <c r="F242" s="1809"/>
      <c r="G242" s="1809"/>
      <c r="H242" s="1809"/>
    </row>
    <row r="243" spans="1:8" x14ac:dyDescent="0.2">
      <c r="A243" s="1810" t="s">
        <v>1037</v>
      </c>
      <c r="B243" s="1809"/>
      <c r="C243" s="1809"/>
      <c r="D243" s="1809"/>
      <c r="E243" s="1809"/>
      <c r="F243" s="1809"/>
      <c r="G243" s="1809"/>
      <c r="H243" s="1809"/>
    </row>
    <row r="244" spans="1:8" x14ac:dyDescent="0.2">
      <c r="A244" s="1809"/>
      <c r="B244" s="1809"/>
      <c r="C244" s="1809"/>
      <c r="D244" s="1809"/>
      <c r="E244" s="1809"/>
      <c r="F244" s="1809"/>
      <c r="G244" s="1809"/>
      <c r="H244" s="1809"/>
    </row>
    <row r="245" spans="1:8" x14ac:dyDescent="0.2">
      <c r="A245" s="1810" t="s">
        <v>1022</v>
      </c>
      <c r="B245" s="1809"/>
      <c r="C245" s="1809"/>
      <c r="D245" s="1809"/>
      <c r="E245" s="1809"/>
      <c r="F245" s="1809"/>
      <c r="G245" s="1809"/>
      <c r="H245" s="1809"/>
    </row>
    <row r="246" spans="1:8" x14ac:dyDescent="0.2">
      <c r="A246" s="1810" t="s">
        <v>1023</v>
      </c>
      <c r="B246" s="1809"/>
      <c r="C246" s="1809"/>
      <c r="D246" s="1809"/>
      <c r="E246" s="1809"/>
      <c r="F246" s="1809"/>
      <c r="G246" s="1809"/>
      <c r="H246" s="1809"/>
    </row>
    <row r="247" spans="1:8" x14ac:dyDescent="0.2">
      <c r="A247" s="1810" t="s">
        <v>1024</v>
      </c>
      <c r="B247" s="1809"/>
      <c r="C247" s="1809"/>
      <c r="D247" s="1809"/>
      <c r="E247" s="1809"/>
      <c r="F247" s="1809"/>
      <c r="G247" s="1809"/>
      <c r="H247" s="1809"/>
    </row>
    <row r="248" spans="1:8" x14ac:dyDescent="0.2">
      <c r="A248" s="1810" t="s">
        <v>1025</v>
      </c>
      <c r="B248" s="1809"/>
      <c r="C248" s="1809"/>
      <c r="D248" s="1809"/>
      <c r="E248" s="1809"/>
      <c r="F248" s="1809"/>
      <c r="G248" s="1809"/>
      <c r="H248" s="1809"/>
    </row>
    <row r="249" spans="1:8" x14ac:dyDescent="0.2">
      <c r="A249" s="1810" t="s">
        <v>1026</v>
      </c>
      <c r="B249" s="1809"/>
      <c r="C249" s="1809"/>
      <c r="D249" s="1809"/>
      <c r="E249" s="1809"/>
      <c r="F249" s="1809"/>
      <c r="G249" s="1809"/>
      <c r="H249" s="1809"/>
    </row>
    <row r="250" spans="1:8" x14ac:dyDescent="0.2">
      <c r="A250" s="1810" t="s">
        <v>1027</v>
      </c>
      <c r="B250" s="1809"/>
      <c r="C250" s="1809"/>
      <c r="D250" s="1809"/>
      <c r="E250" s="1809"/>
      <c r="F250" s="1809"/>
      <c r="G250" s="1809"/>
      <c r="H250" s="1809"/>
    </row>
    <row r="251" spans="1:8" x14ac:dyDescent="0.2">
      <c r="A251" s="1810" t="s">
        <v>1028</v>
      </c>
      <c r="B251" s="1809"/>
      <c r="C251" s="1809"/>
      <c r="D251" s="1809"/>
      <c r="E251" s="1809"/>
      <c r="F251" s="1809"/>
      <c r="G251" s="1809"/>
      <c r="H251" s="1809"/>
    </row>
    <row r="252" spans="1:8" x14ac:dyDescent="0.2">
      <c r="A252" s="1810" t="s">
        <v>1029</v>
      </c>
      <c r="B252" s="1809"/>
      <c r="C252" s="1809"/>
      <c r="D252" s="1809"/>
      <c r="E252" s="1809"/>
      <c r="F252" s="1809"/>
      <c r="G252" s="1809"/>
      <c r="H252" s="1809"/>
    </row>
    <row r="253" spans="1:8" x14ac:dyDescent="0.2">
      <c r="A253" s="1810" t="s">
        <v>1030</v>
      </c>
      <c r="B253" s="1809"/>
      <c r="C253" s="1809"/>
      <c r="D253" s="1809"/>
      <c r="E253" s="1809"/>
      <c r="F253" s="1809"/>
      <c r="G253" s="1809"/>
      <c r="H253" s="1809"/>
    </row>
    <row r="254" spans="1:8" x14ac:dyDescent="0.2">
      <c r="A254" s="1810" t="s">
        <v>1031</v>
      </c>
      <c r="B254" s="1809"/>
      <c r="C254" s="1809"/>
      <c r="D254" s="1809"/>
      <c r="E254" s="1809"/>
      <c r="F254" s="1809"/>
      <c r="G254" s="1809"/>
      <c r="H254" s="1809"/>
    </row>
    <row r="255" spans="1:8" x14ac:dyDescent="0.2">
      <c r="A255" s="1809"/>
      <c r="B255" s="1809"/>
      <c r="C255" s="1809"/>
      <c r="D255" s="1809"/>
      <c r="E255" s="1809"/>
      <c r="F255" s="1809"/>
      <c r="G255" s="1809"/>
      <c r="H255" s="1809"/>
    </row>
    <row r="256" spans="1:8" x14ac:dyDescent="0.2">
      <c r="A256" s="1810" t="s">
        <v>1020</v>
      </c>
      <c r="B256" s="1809"/>
      <c r="C256" s="1809"/>
      <c r="D256" s="1809"/>
      <c r="E256" s="1809"/>
      <c r="F256" s="1809"/>
      <c r="G256" s="1809"/>
      <c r="H256" s="1809"/>
    </row>
    <row r="257" spans="1:8" x14ac:dyDescent="0.2">
      <c r="A257" s="1810" t="s">
        <v>1021</v>
      </c>
      <c r="B257" s="1809"/>
      <c r="C257" s="1809"/>
      <c r="D257" s="1809"/>
      <c r="E257" s="1809"/>
      <c r="F257" s="1809"/>
      <c r="G257" s="1809"/>
      <c r="H257" s="1809"/>
    </row>
    <row r="258" spans="1:8" x14ac:dyDescent="0.2">
      <c r="A258" s="1809"/>
      <c r="B258" s="1809"/>
      <c r="C258" s="1809"/>
      <c r="D258" s="1809"/>
      <c r="E258" s="1809"/>
      <c r="F258" s="1809"/>
      <c r="G258" s="1809"/>
      <c r="H258" s="1809"/>
    </row>
    <row r="259" spans="1:8" x14ac:dyDescent="0.2">
      <c r="A259" s="1810" t="s">
        <v>1004</v>
      </c>
      <c r="B259" s="1809"/>
      <c r="C259" s="1809"/>
      <c r="D259" s="1809"/>
      <c r="E259" s="1809"/>
      <c r="F259" s="1809"/>
      <c r="G259" s="1809"/>
      <c r="H259" s="1809"/>
    </row>
    <row r="260" spans="1:8" x14ac:dyDescent="0.2">
      <c r="A260" s="1810" t="s">
        <v>1005</v>
      </c>
      <c r="B260" s="1809"/>
      <c r="C260" s="1809"/>
      <c r="D260" s="1809"/>
      <c r="E260" s="1809"/>
      <c r="F260" s="1809"/>
      <c r="G260" s="1809"/>
      <c r="H260" s="1809"/>
    </row>
    <row r="261" spans="1:8" x14ac:dyDescent="0.2">
      <c r="A261" s="1810" t="s">
        <v>1006</v>
      </c>
      <c r="B261" s="1809"/>
      <c r="C261" s="1809"/>
      <c r="D261" s="1809"/>
      <c r="E261" s="1809"/>
      <c r="F261" s="1809"/>
      <c r="G261" s="1809"/>
      <c r="H261" s="1809"/>
    </row>
    <row r="262" spans="1:8" x14ac:dyDescent="0.2">
      <c r="A262" s="1810" t="s">
        <v>1007</v>
      </c>
      <c r="B262" s="1809"/>
      <c r="C262" s="1809"/>
      <c r="D262" s="1809"/>
      <c r="E262" s="1809"/>
      <c r="F262" s="1809"/>
      <c r="G262" s="1809"/>
      <c r="H262" s="1809"/>
    </row>
    <row r="263" spans="1:8" x14ac:dyDescent="0.2">
      <c r="A263" s="1810" t="s">
        <v>1008</v>
      </c>
      <c r="B263" s="1809"/>
      <c r="C263" s="1809"/>
      <c r="D263" s="1809"/>
      <c r="E263" s="1809"/>
      <c r="F263" s="1809"/>
      <c r="G263" s="1809"/>
      <c r="H263" s="1809"/>
    </row>
    <row r="264" spans="1:8" x14ac:dyDescent="0.2">
      <c r="A264" s="1810" t="s">
        <v>1009</v>
      </c>
      <c r="B264" s="1809"/>
      <c r="C264" s="1809"/>
      <c r="D264" s="1809"/>
      <c r="E264" s="1809"/>
      <c r="F264" s="1809"/>
      <c r="G264" s="1809"/>
      <c r="H264" s="1809"/>
    </row>
    <row r="265" spans="1:8" x14ac:dyDescent="0.2">
      <c r="A265" s="1810" t="s">
        <v>1010</v>
      </c>
      <c r="B265" s="1809"/>
      <c r="C265" s="1809"/>
      <c r="D265" s="1809"/>
      <c r="E265" s="1809"/>
      <c r="F265" s="1809"/>
      <c r="G265" s="1809"/>
      <c r="H265" s="1809"/>
    </row>
    <row r="266" spans="1:8" x14ac:dyDescent="0.2">
      <c r="A266" s="1810" t="s">
        <v>1011</v>
      </c>
      <c r="B266" s="1809"/>
      <c r="C266" s="1809"/>
      <c r="D266" s="1809"/>
      <c r="E266" s="1809"/>
      <c r="F266" s="1809"/>
      <c r="G266" s="1809"/>
      <c r="H266" s="1809"/>
    </row>
    <row r="267" spans="1:8" x14ac:dyDescent="0.2">
      <c r="A267" s="1810" t="s">
        <v>1012</v>
      </c>
      <c r="B267" s="1809"/>
      <c r="C267" s="1809"/>
      <c r="D267" s="1809"/>
      <c r="E267" s="1809"/>
      <c r="F267" s="1809"/>
      <c r="G267" s="1809"/>
      <c r="H267" s="1809"/>
    </row>
    <row r="268" spans="1:8" x14ac:dyDescent="0.2">
      <c r="A268" s="1810" t="s">
        <v>1013</v>
      </c>
      <c r="B268" s="1809"/>
      <c r="C268" s="1809"/>
      <c r="D268" s="1809"/>
      <c r="E268" s="1809"/>
      <c r="F268" s="1809"/>
      <c r="G268" s="1809"/>
      <c r="H268" s="1809"/>
    </row>
    <row r="269" spans="1:8" x14ac:dyDescent="0.2">
      <c r="A269" s="1810" t="s">
        <v>1014</v>
      </c>
      <c r="B269" s="1809"/>
      <c r="C269" s="1809"/>
      <c r="D269" s="1809"/>
      <c r="E269" s="1809"/>
      <c r="F269" s="1809"/>
      <c r="G269" s="1809"/>
      <c r="H269" s="1809"/>
    </row>
    <row r="270" spans="1:8" x14ac:dyDescent="0.2">
      <c r="A270" s="1810" t="s">
        <v>1015</v>
      </c>
      <c r="B270" s="1809"/>
      <c r="C270" s="1809"/>
      <c r="D270" s="1809"/>
      <c r="E270" s="1809"/>
      <c r="F270" s="1809"/>
      <c r="G270" s="1809"/>
      <c r="H270" s="1809"/>
    </row>
    <row r="271" spans="1:8" x14ac:dyDescent="0.2">
      <c r="A271" s="1810" t="s">
        <v>1016</v>
      </c>
      <c r="B271" s="1809"/>
      <c r="C271" s="1809"/>
      <c r="D271" s="1809"/>
      <c r="E271" s="1809"/>
      <c r="F271" s="1809"/>
      <c r="G271" s="1809"/>
      <c r="H271" s="1809"/>
    </row>
    <row r="272" spans="1:8" x14ac:dyDescent="0.2">
      <c r="A272" s="1810" t="s">
        <v>1017</v>
      </c>
      <c r="B272" s="1809"/>
      <c r="C272" s="1809"/>
      <c r="D272" s="1809"/>
      <c r="E272" s="1809"/>
      <c r="F272" s="1809"/>
      <c r="G272" s="1809"/>
      <c r="H272" s="1809"/>
    </row>
    <row r="273" spans="1:8" x14ac:dyDescent="0.2">
      <c r="A273" s="1810" t="s">
        <v>1018</v>
      </c>
      <c r="B273" s="1809"/>
      <c r="C273" s="1809"/>
      <c r="D273" s="1809"/>
      <c r="E273" s="1809"/>
      <c r="F273" s="1809"/>
      <c r="G273" s="1809"/>
      <c r="H273" s="1809"/>
    </row>
    <row r="274" spans="1:8" x14ac:dyDescent="0.2">
      <c r="A274" s="1810" t="s">
        <v>1019</v>
      </c>
      <c r="B274" s="1809"/>
      <c r="C274" s="1809"/>
      <c r="D274" s="1809"/>
      <c r="E274" s="1809"/>
      <c r="F274" s="1809"/>
      <c r="G274" s="1809"/>
      <c r="H274" s="1809"/>
    </row>
    <row r="275" spans="1:8" x14ac:dyDescent="0.2">
      <c r="A275" s="1809"/>
      <c r="B275" s="1809"/>
      <c r="C275" s="1809"/>
      <c r="D275" s="1809"/>
      <c r="E275" s="1809"/>
      <c r="F275" s="1809"/>
      <c r="G275" s="1809"/>
      <c r="H275" s="1809"/>
    </row>
    <row r="276" spans="1:8" x14ac:dyDescent="0.2">
      <c r="A276" s="1810" t="s">
        <v>997</v>
      </c>
      <c r="B276" s="1809"/>
      <c r="C276" s="1809"/>
      <c r="D276" s="1809"/>
      <c r="E276" s="1809"/>
      <c r="F276" s="1809"/>
      <c r="G276" s="1809"/>
      <c r="H276" s="1809"/>
    </row>
    <row r="277" spans="1:8" x14ac:dyDescent="0.2">
      <c r="A277" s="1810" t="s">
        <v>998</v>
      </c>
      <c r="B277" s="1809"/>
      <c r="C277" s="1809"/>
      <c r="D277" s="1809"/>
      <c r="E277" s="1809"/>
      <c r="F277" s="1809"/>
      <c r="G277" s="1809"/>
      <c r="H277" s="1809"/>
    </row>
    <row r="278" spans="1:8" x14ac:dyDescent="0.2">
      <c r="A278" s="1810" t="s">
        <v>999</v>
      </c>
      <c r="B278" s="1809"/>
      <c r="C278" s="1809"/>
      <c r="D278" s="1809"/>
      <c r="E278" s="1809"/>
      <c r="F278" s="1809"/>
      <c r="G278" s="1809"/>
      <c r="H278" s="1809"/>
    </row>
    <row r="279" spans="1:8" x14ac:dyDescent="0.2">
      <c r="A279" s="1810" t="s">
        <v>1000</v>
      </c>
      <c r="B279" s="1809"/>
      <c r="C279" s="1809"/>
      <c r="D279" s="1809"/>
      <c r="E279" s="1809"/>
      <c r="F279" s="1809"/>
      <c r="G279" s="1809"/>
      <c r="H279" s="1809"/>
    </row>
    <row r="280" spans="1:8" x14ac:dyDescent="0.2">
      <c r="A280" s="1810" t="s">
        <v>1001</v>
      </c>
      <c r="B280" s="1809"/>
      <c r="C280" s="1809"/>
      <c r="D280" s="1809"/>
      <c r="E280" s="1809"/>
      <c r="F280" s="1809"/>
      <c r="G280" s="1809"/>
      <c r="H280" s="1809"/>
    </row>
    <row r="281" spans="1:8" x14ac:dyDescent="0.2">
      <c r="A281" s="1810" t="s">
        <v>1002</v>
      </c>
      <c r="B281" s="1809"/>
      <c r="C281" s="1809"/>
      <c r="D281" s="1809"/>
      <c r="E281" s="1809"/>
      <c r="F281" s="1809"/>
      <c r="G281" s="1809"/>
      <c r="H281" s="1809"/>
    </row>
    <row r="282" spans="1:8" x14ac:dyDescent="0.2">
      <c r="A282" s="1810" t="s">
        <v>1003</v>
      </c>
      <c r="B282" s="1809"/>
      <c r="C282" s="1809"/>
      <c r="D282" s="1809"/>
      <c r="E282" s="1809"/>
      <c r="F282" s="1809"/>
      <c r="G282" s="1809"/>
      <c r="H282" s="1809"/>
    </row>
    <row r="283" spans="1:8" x14ac:dyDescent="0.2">
      <c r="A283" s="1809"/>
      <c r="B283" s="1809"/>
      <c r="C283" s="1809"/>
      <c r="D283" s="1809"/>
      <c r="E283" s="1809"/>
      <c r="F283" s="1809"/>
      <c r="G283" s="1809"/>
      <c r="H283" s="1809"/>
    </row>
    <row r="284" spans="1:8" x14ac:dyDescent="0.2">
      <c r="A284" s="1810" t="s">
        <v>988</v>
      </c>
      <c r="B284" s="1809"/>
      <c r="C284" s="1809"/>
      <c r="D284" s="1809"/>
      <c r="E284" s="1809"/>
      <c r="F284" s="1809"/>
      <c r="G284" s="1809"/>
      <c r="H284" s="1809"/>
    </row>
    <row r="285" spans="1:8" x14ac:dyDescent="0.2">
      <c r="A285" s="1810" t="s">
        <v>989</v>
      </c>
      <c r="B285" s="1809"/>
      <c r="C285" s="1809"/>
      <c r="D285" s="1809"/>
      <c r="E285" s="1809"/>
      <c r="F285" s="1809"/>
      <c r="G285" s="1809"/>
      <c r="H285" s="1809"/>
    </row>
    <row r="286" spans="1:8" x14ac:dyDescent="0.2">
      <c r="A286" s="1810" t="s">
        <v>990</v>
      </c>
      <c r="B286" s="1809"/>
      <c r="C286" s="1809"/>
      <c r="D286" s="1809"/>
      <c r="E286" s="1809"/>
      <c r="F286" s="1809"/>
      <c r="G286" s="1809"/>
      <c r="H286" s="1809"/>
    </row>
    <row r="287" spans="1:8" x14ac:dyDescent="0.2">
      <c r="A287" s="1810" t="s">
        <v>991</v>
      </c>
      <c r="B287" s="1809"/>
      <c r="C287" s="1809"/>
      <c r="D287" s="1809"/>
      <c r="E287" s="1809"/>
      <c r="F287" s="1809"/>
      <c r="G287" s="1809"/>
      <c r="H287" s="1809"/>
    </row>
    <row r="288" spans="1:8" x14ac:dyDescent="0.2">
      <c r="A288" s="1810" t="s">
        <v>992</v>
      </c>
      <c r="B288" s="1809"/>
      <c r="C288" s="1809"/>
      <c r="D288" s="1809"/>
      <c r="E288" s="1809"/>
      <c r="F288" s="1809"/>
      <c r="G288" s="1809"/>
      <c r="H288" s="1809"/>
    </row>
    <row r="289" spans="1:8" x14ac:dyDescent="0.2">
      <c r="A289" s="1810" t="s">
        <v>993</v>
      </c>
      <c r="B289" s="1809"/>
      <c r="C289" s="1809"/>
      <c r="D289" s="1809"/>
      <c r="E289" s="1809"/>
      <c r="F289" s="1809"/>
      <c r="G289" s="1809"/>
      <c r="H289" s="1809"/>
    </row>
    <row r="290" spans="1:8" x14ac:dyDescent="0.2">
      <c r="A290" s="1810" t="s">
        <v>994</v>
      </c>
      <c r="B290" s="1809"/>
      <c r="C290" s="1809"/>
      <c r="D290" s="1809"/>
      <c r="E290" s="1809"/>
      <c r="F290" s="1809"/>
      <c r="G290" s="1809"/>
      <c r="H290" s="1809"/>
    </row>
    <row r="291" spans="1:8" x14ac:dyDescent="0.2">
      <c r="A291" s="1810" t="s">
        <v>995</v>
      </c>
      <c r="B291" s="1809"/>
      <c r="C291" s="1809"/>
      <c r="D291" s="1809"/>
      <c r="E291" s="1809"/>
      <c r="F291" s="1809"/>
      <c r="G291" s="1809"/>
      <c r="H291" s="1809"/>
    </row>
    <row r="292" spans="1:8" x14ac:dyDescent="0.2">
      <c r="A292" s="1810" t="s">
        <v>996</v>
      </c>
      <c r="B292" s="1809"/>
      <c r="C292" s="1809"/>
      <c r="D292" s="1809"/>
      <c r="E292" s="1809"/>
      <c r="F292" s="1809"/>
      <c r="G292" s="1809"/>
      <c r="H292" s="1809"/>
    </row>
    <row r="293" spans="1:8" x14ac:dyDescent="0.2">
      <c r="A293" s="1809"/>
      <c r="B293" s="1809"/>
      <c r="C293" s="1809"/>
      <c r="D293" s="1809"/>
      <c r="E293" s="1809"/>
      <c r="F293" s="1809"/>
      <c r="G293" s="1809"/>
      <c r="H293" s="1809"/>
    </row>
    <row r="294" spans="1:8" x14ac:dyDescent="0.2">
      <c r="A294" s="1810" t="s">
        <v>981</v>
      </c>
      <c r="B294" s="1809"/>
      <c r="C294" s="1809"/>
      <c r="D294" s="1809"/>
      <c r="E294" s="1809"/>
      <c r="F294" s="1809"/>
      <c r="G294" s="1809"/>
      <c r="H294" s="1809"/>
    </row>
    <row r="295" spans="1:8" x14ac:dyDescent="0.2">
      <c r="A295" s="1810" t="s">
        <v>982</v>
      </c>
      <c r="B295" s="1809"/>
      <c r="C295" s="1809"/>
      <c r="D295" s="1809"/>
      <c r="E295" s="1809"/>
      <c r="F295" s="1809"/>
      <c r="G295" s="1809"/>
      <c r="H295" s="1809"/>
    </row>
    <row r="296" spans="1:8" x14ac:dyDescent="0.2">
      <c r="A296" s="1810" t="s">
        <v>983</v>
      </c>
      <c r="B296" s="1809"/>
      <c r="C296" s="1809"/>
      <c r="D296" s="1809"/>
      <c r="E296" s="1809"/>
      <c r="F296" s="1809"/>
      <c r="G296" s="1809"/>
      <c r="H296" s="1809"/>
    </row>
    <row r="297" spans="1:8" x14ac:dyDescent="0.2">
      <c r="A297" s="1810" t="s">
        <v>984</v>
      </c>
      <c r="B297" s="1809"/>
      <c r="C297" s="1809"/>
      <c r="D297" s="1809"/>
      <c r="E297" s="1809"/>
      <c r="F297" s="1809"/>
      <c r="G297" s="1809"/>
      <c r="H297" s="1809"/>
    </row>
    <row r="298" spans="1:8" x14ac:dyDescent="0.2">
      <c r="A298" s="1810" t="s">
        <v>985</v>
      </c>
      <c r="B298" s="1809"/>
      <c r="C298" s="1809"/>
      <c r="D298" s="1809"/>
      <c r="E298" s="1809"/>
      <c r="F298" s="1809"/>
      <c r="G298" s="1809"/>
      <c r="H298" s="1809"/>
    </row>
    <row r="299" spans="1:8" x14ac:dyDescent="0.2">
      <c r="A299" s="1810" t="s">
        <v>986</v>
      </c>
      <c r="B299" s="1809"/>
      <c r="C299" s="1809"/>
      <c r="D299" s="1809"/>
      <c r="E299" s="1809"/>
      <c r="F299" s="1809"/>
      <c r="G299" s="1809"/>
      <c r="H299" s="1809"/>
    </row>
    <row r="300" spans="1:8" x14ac:dyDescent="0.2">
      <c r="A300" s="1810" t="s">
        <v>987</v>
      </c>
      <c r="B300" s="1809"/>
      <c r="C300" s="1809"/>
      <c r="D300" s="1809"/>
      <c r="E300" s="1809"/>
      <c r="F300" s="1809"/>
      <c r="G300" s="1809"/>
      <c r="H300" s="1809"/>
    </row>
    <row r="301" spans="1:8" x14ac:dyDescent="0.2">
      <c r="A301" s="1809"/>
      <c r="B301" s="1809"/>
      <c r="C301" s="1809"/>
      <c r="D301" s="1809"/>
      <c r="E301" s="1809"/>
      <c r="F301" s="1809"/>
      <c r="G301" s="1809"/>
      <c r="H301" s="1809"/>
    </row>
    <row r="302" spans="1:8" x14ac:dyDescent="0.2">
      <c r="A302" s="1810" t="s">
        <v>978</v>
      </c>
      <c r="B302" s="1809"/>
      <c r="C302" s="1809"/>
      <c r="D302" s="1809"/>
      <c r="E302" s="1809"/>
      <c r="F302" s="1809"/>
      <c r="G302" s="1809"/>
      <c r="H302" s="1809"/>
    </row>
    <row r="303" spans="1:8" x14ac:dyDescent="0.2">
      <c r="A303" s="1810" t="s">
        <v>979</v>
      </c>
      <c r="B303" s="1809"/>
      <c r="C303" s="1809"/>
      <c r="D303" s="1809"/>
      <c r="E303" s="1809"/>
      <c r="F303" s="1809"/>
      <c r="G303" s="1809"/>
      <c r="H303" s="1809"/>
    </row>
    <row r="304" spans="1:8" x14ac:dyDescent="0.2">
      <c r="A304" s="1810" t="s">
        <v>980</v>
      </c>
      <c r="B304" s="1809"/>
      <c r="C304" s="1809"/>
      <c r="D304" s="1809"/>
      <c r="E304" s="1809"/>
      <c r="F304" s="1809"/>
      <c r="G304" s="1809"/>
      <c r="H304" s="1809"/>
    </row>
    <row r="305" spans="1:8" x14ac:dyDescent="0.2">
      <c r="A305" s="1809"/>
      <c r="B305" s="1809"/>
      <c r="C305" s="1809"/>
      <c r="D305" s="1809"/>
      <c r="E305" s="1809"/>
      <c r="F305" s="1809"/>
      <c r="G305" s="1809"/>
      <c r="H305" s="1809"/>
    </row>
    <row r="306" spans="1:8" x14ac:dyDescent="0.2">
      <c r="A306" s="1810" t="s">
        <v>976</v>
      </c>
      <c r="B306" s="1809"/>
      <c r="C306" s="1809"/>
      <c r="D306" s="1809"/>
      <c r="E306" s="1809"/>
      <c r="F306" s="1809"/>
      <c r="G306" s="1809"/>
      <c r="H306" s="1809"/>
    </row>
    <row r="307" spans="1:8" x14ac:dyDescent="0.2">
      <c r="A307" s="1810" t="s">
        <v>977</v>
      </c>
      <c r="B307" s="1809"/>
      <c r="C307" s="1809"/>
      <c r="D307" s="1809"/>
      <c r="E307" s="1809"/>
      <c r="F307" s="1809"/>
      <c r="G307" s="1809"/>
      <c r="H307" s="1809"/>
    </row>
    <row r="308" spans="1:8" x14ac:dyDescent="0.2">
      <c r="A308" s="1809"/>
      <c r="B308" s="1809"/>
      <c r="C308" s="1809"/>
      <c r="D308" s="1809"/>
      <c r="E308" s="1809"/>
      <c r="F308" s="1809"/>
      <c r="G308" s="1809"/>
      <c r="H308" s="1809"/>
    </row>
    <row r="309" spans="1:8" x14ac:dyDescent="0.2">
      <c r="A309" s="1810" t="s">
        <v>963</v>
      </c>
      <c r="B309" s="1809"/>
      <c r="C309" s="1809"/>
      <c r="D309" s="1809"/>
      <c r="E309" s="1809"/>
      <c r="F309" s="1809"/>
      <c r="G309" s="1809"/>
      <c r="H309" s="1809"/>
    </row>
    <row r="310" spans="1:8" x14ac:dyDescent="0.2">
      <c r="A310" s="1810" t="s">
        <v>964</v>
      </c>
      <c r="B310" s="1809"/>
      <c r="C310" s="1809"/>
      <c r="D310" s="1809"/>
      <c r="E310" s="1809"/>
      <c r="F310" s="1809"/>
      <c r="G310" s="1809"/>
      <c r="H310" s="1809"/>
    </row>
    <row r="311" spans="1:8" x14ac:dyDescent="0.2">
      <c r="A311" s="1810" t="s">
        <v>965</v>
      </c>
      <c r="B311" s="1809"/>
      <c r="C311" s="1809"/>
      <c r="D311" s="1809"/>
      <c r="E311" s="1809"/>
      <c r="F311" s="1809"/>
      <c r="G311" s="1809"/>
      <c r="H311" s="1809"/>
    </row>
    <row r="312" spans="1:8" x14ac:dyDescent="0.2">
      <c r="A312" s="1810" t="s">
        <v>966</v>
      </c>
      <c r="B312" s="1809"/>
      <c r="C312" s="1809"/>
      <c r="D312" s="1809"/>
      <c r="E312" s="1809"/>
      <c r="F312" s="1809"/>
      <c r="G312" s="1809"/>
      <c r="H312" s="1809"/>
    </row>
    <row r="313" spans="1:8" x14ac:dyDescent="0.2">
      <c r="A313" s="1810" t="s">
        <v>967</v>
      </c>
      <c r="B313" s="1809"/>
      <c r="C313" s="1809"/>
      <c r="D313" s="1809"/>
      <c r="E313" s="1809"/>
      <c r="F313" s="1809"/>
      <c r="G313" s="1809"/>
      <c r="H313" s="1809"/>
    </row>
    <row r="314" spans="1:8" x14ac:dyDescent="0.2">
      <c r="A314" s="1810" t="s">
        <v>968</v>
      </c>
      <c r="B314" s="1809"/>
      <c r="C314" s="1809"/>
      <c r="D314" s="1809"/>
      <c r="E314" s="1809"/>
      <c r="F314" s="1809"/>
      <c r="G314" s="1809"/>
      <c r="H314" s="1809"/>
    </row>
    <row r="315" spans="1:8" x14ac:dyDescent="0.2">
      <c r="A315" s="1810" t="s">
        <v>969</v>
      </c>
      <c r="B315" s="1809"/>
      <c r="C315" s="1809"/>
      <c r="D315" s="1809"/>
      <c r="E315" s="1809"/>
      <c r="F315" s="1809"/>
      <c r="G315" s="1809"/>
      <c r="H315" s="1809"/>
    </row>
    <row r="316" spans="1:8" x14ac:dyDescent="0.2">
      <c r="A316" s="1810" t="s">
        <v>970</v>
      </c>
      <c r="B316" s="1809"/>
      <c r="C316" s="1809"/>
      <c r="D316" s="1809"/>
      <c r="E316" s="1809"/>
      <c r="F316" s="1809"/>
      <c r="G316" s="1809"/>
      <c r="H316" s="1809"/>
    </row>
    <row r="317" spans="1:8" x14ac:dyDescent="0.2">
      <c r="A317" s="1810" t="s">
        <v>971</v>
      </c>
      <c r="B317" s="1809"/>
      <c r="C317" s="1809"/>
      <c r="D317" s="1809"/>
      <c r="E317" s="1809"/>
      <c r="F317" s="1809"/>
      <c r="G317" s="1809"/>
      <c r="H317" s="1809"/>
    </row>
    <row r="318" spans="1:8" x14ac:dyDescent="0.2">
      <c r="A318" s="1810" t="s">
        <v>972</v>
      </c>
      <c r="B318" s="1809"/>
      <c r="C318" s="1809"/>
      <c r="D318" s="1809"/>
      <c r="E318" s="1809"/>
      <c r="F318" s="1809"/>
      <c r="G318" s="1809"/>
      <c r="H318" s="1809"/>
    </row>
    <row r="319" spans="1:8" x14ac:dyDescent="0.2">
      <c r="A319" s="1810" t="s">
        <v>973</v>
      </c>
      <c r="B319" s="1809"/>
      <c r="C319" s="1809"/>
      <c r="D319" s="1809"/>
      <c r="E319" s="1809"/>
      <c r="F319" s="1809"/>
      <c r="G319" s="1809"/>
      <c r="H319" s="1809"/>
    </row>
    <row r="320" spans="1:8" x14ac:dyDescent="0.2">
      <c r="A320" s="1810" t="s">
        <v>974</v>
      </c>
      <c r="B320" s="1809"/>
      <c r="C320" s="1809"/>
      <c r="D320" s="1809"/>
      <c r="E320" s="1809"/>
      <c r="F320" s="1809"/>
      <c r="G320" s="1809"/>
      <c r="H320" s="1809"/>
    </row>
    <row r="321" spans="1:8" x14ac:dyDescent="0.2">
      <c r="A321" s="1810" t="s">
        <v>975</v>
      </c>
      <c r="B321" s="1809"/>
      <c r="C321" s="1809"/>
      <c r="D321" s="1809"/>
      <c r="E321" s="1809"/>
      <c r="F321" s="1809"/>
      <c r="G321" s="1809"/>
      <c r="H321" s="1809"/>
    </row>
    <row r="322" spans="1:8" x14ac:dyDescent="0.2">
      <c r="A322" s="1809"/>
      <c r="B322" s="1809"/>
      <c r="C322" s="1809"/>
      <c r="D322" s="1809"/>
      <c r="E322" s="1809"/>
      <c r="F322" s="1809"/>
      <c r="G322" s="1809"/>
      <c r="H322" s="1809"/>
    </row>
    <row r="323" spans="1:8" x14ac:dyDescent="0.2">
      <c r="A323" s="1810" t="s">
        <v>955</v>
      </c>
      <c r="B323" s="1809"/>
      <c r="C323" s="1809"/>
      <c r="D323" s="1809"/>
      <c r="E323" s="1809"/>
      <c r="F323" s="1809"/>
      <c r="G323" s="1809"/>
      <c r="H323" s="1809"/>
    </row>
    <row r="324" spans="1:8" x14ac:dyDescent="0.2">
      <c r="A324" s="1810" t="s">
        <v>956</v>
      </c>
      <c r="B324" s="1809"/>
      <c r="C324" s="1809"/>
      <c r="D324" s="1809"/>
      <c r="E324" s="1809"/>
      <c r="F324" s="1809"/>
      <c r="G324" s="1809"/>
      <c r="H324" s="1809"/>
    </row>
    <row r="325" spans="1:8" x14ac:dyDescent="0.2">
      <c r="A325" s="1810" t="s">
        <v>957</v>
      </c>
      <c r="B325" s="1809"/>
      <c r="C325" s="1809"/>
      <c r="D325" s="1809"/>
      <c r="E325" s="1809"/>
      <c r="F325" s="1809"/>
      <c r="G325" s="1809"/>
      <c r="H325" s="1809"/>
    </row>
    <row r="326" spans="1:8" x14ac:dyDescent="0.2">
      <c r="A326" s="1810" t="s">
        <v>958</v>
      </c>
      <c r="B326" s="1809"/>
      <c r="C326" s="1809"/>
      <c r="D326" s="1809"/>
      <c r="E326" s="1809"/>
      <c r="F326" s="1809"/>
      <c r="G326" s="1809"/>
      <c r="H326" s="1809"/>
    </row>
    <row r="327" spans="1:8" x14ac:dyDescent="0.2">
      <c r="A327" s="1810" t="s">
        <v>959</v>
      </c>
      <c r="B327" s="1809"/>
      <c r="C327" s="1809"/>
      <c r="D327" s="1809"/>
      <c r="E327" s="1809"/>
      <c r="F327" s="1809"/>
      <c r="G327" s="1809"/>
      <c r="H327" s="1809"/>
    </row>
    <row r="328" spans="1:8" x14ac:dyDescent="0.2">
      <c r="A328" s="1810" t="s">
        <v>960</v>
      </c>
      <c r="B328" s="1809"/>
      <c r="C328" s="1809"/>
      <c r="D328" s="1809"/>
      <c r="E328" s="1809"/>
      <c r="F328" s="1809"/>
      <c r="G328" s="1809"/>
      <c r="H328" s="1809"/>
    </row>
    <row r="329" spans="1:8" x14ac:dyDescent="0.2">
      <c r="A329" s="1810" t="s">
        <v>961</v>
      </c>
      <c r="B329" s="1809"/>
      <c r="C329" s="1809"/>
      <c r="D329" s="1809"/>
      <c r="E329" s="1809"/>
      <c r="F329" s="1809"/>
      <c r="G329" s="1809"/>
      <c r="H329" s="1809"/>
    </row>
    <row r="330" spans="1:8" x14ac:dyDescent="0.2">
      <c r="A330" s="1810" t="s">
        <v>962</v>
      </c>
      <c r="B330" s="1809"/>
      <c r="C330" s="1809"/>
      <c r="D330" s="1809"/>
      <c r="E330" s="1809"/>
      <c r="F330" s="1809"/>
      <c r="G330" s="1809"/>
      <c r="H330" s="1809"/>
    </row>
    <row r="331" spans="1:8" x14ac:dyDescent="0.2">
      <c r="A331" s="1809"/>
      <c r="B331" s="1809"/>
      <c r="C331" s="1809"/>
      <c r="D331" s="1809"/>
      <c r="E331" s="1809"/>
      <c r="F331" s="1809"/>
      <c r="G331" s="1809"/>
      <c r="H331" s="1809"/>
    </row>
    <row r="332" spans="1:8" x14ac:dyDescent="0.2">
      <c r="A332" s="1810" t="s">
        <v>920</v>
      </c>
      <c r="B332" s="1809"/>
      <c r="C332" s="1809"/>
      <c r="D332" s="1809"/>
      <c r="E332" s="1809"/>
      <c r="F332" s="1809"/>
      <c r="G332" s="1809"/>
      <c r="H332" s="1809"/>
    </row>
    <row r="333" spans="1:8" x14ac:dyDescent="0.2">
      <c r="A333" s="1810" t="s">
        <v>921</v>
      </c>
      <c r="B333" s="1809"/>
      <c r="C333" s="1809"/>
      <c r="D333" s="1809"/>
      <c r="E333" s="1809"/>
      <c r="F333" s="1809"/>
      <c r="G333" s="1809"/>
      <c r="H333" s="1809"/>
    </row>
    <row r="334" spans="1:8" x14ac:dyDescent="0.2">
      <c r="A334" s="1810" t="s">
        <v>922</v>
      </c>
      <c r="B334" s="1809"/>
      <c r="C334" s="1809"/>
      <c r="D334" s="1809"/>
      <c r="E334" s="1809"/>
      <c r="F334" s="1809"/>
      <c r="G334" s="1809"/>
      <c r="H334" s="1809"/>
    </row>
    <row r="335" spans="1:8" x14ac:dyDescent="0.2">
      <c r="A335" s="1810" t="s">
        <v>923</v>
      </c>
      <c r="B335" s="1809"/>
      <c r="C335" s="1809"/>
      <c r="D335" s="1809"/>
      <c r="E335" s="1809"/>
      <c r="F335" s="1809"/>
      <c r="G335" s="1809"/>
      <c r="H335" s="1809"/>
    </row>
    <row r="336" spans="1:8" x14ac:dyDescent="0.2">
      <c r="A336" s="1810" t="s">
        <v>924</v>
      </c>
      <c r="B336" s="1809"/>
      <c r="C336" s="1809"/>
      <c r="D336" s="1809"/>
      <c r="E336" s="1809"/>
      <c r="F336" s="1809"/>
      <c r="G336" s="1809"/>
      <c r="H336" s="1809"/>
    </row>
    <row r="337" spans="1:8" x14ac:dyDescent="0.2">
      <c r="A337" s="1810" t="s">
        <v>925</v>
      </c>
      <c r="B337" s="1809"/>
      <c r="C337" s="1809"/>
      <c r="D337" s="1809"/>
      <c r="E337" s="1809"/>
      <c r="F337" s="1809"/>
      <c r="G337" s="1809"/>
      <c r="H337" s="1809"/>
    </row>
    <row r="338" spans="1:8" x14ac:dyDescent="0.2">
      <c r="A338" s="1810" t="s">
        <v>926</v>
      </c>
      <c r="B338" s="1809"/>
      <c r="C338" s="1809"/>
      <c r="D338" s="1809"/>
      <c r="E338" s="1809"/>
      <c r="F338" s="1809"/>
      <c r="G338" s="1809"/>
      <c r="H338" s="1809"/>
    </row>
    <row r="339" spans="1:8" x14ac:dyDescent="0.2">
      <c r="A339" s="1810" t="s">
        <v>927</v>
      </c>
      <c r="B339" s="1809"/>
      <c r="C339" s="1809"/>
      <c r="D339" s="1809"/>
      <c r="E339" s="1809"/>
      <c r="F339" s="1809"/>
      <c r="G339" s="1809"/>
      <c r="H339" s="1809"/>
    </row>
    <row r="340" spans="1:8" x14ac:dyDescent="0.2">
      <c r="A340" s="1810" t="s">
        <v>928</v>
      </c>
      <c r="B340" s="1809"/>
      <c r="C340" s="1809"/>
      <c r="D340" s="1809"/>
      <c r="E340" s="1809"/>
      <c r="F340" s="1809"/>
      <c r="G340" s="1809"/>
      <c r="H340" s="1809"/>
    </row>
    <row r="341" spans="1:8" x14ac:dyDescent="0.2">
      <c r="A341" s="1810" t="s">
        <v>929</v>
      </c>
      <c r="B341" s="1809"/>
      <c r="C341" s="1809"/>
      <c r="D341" s="1809"/>
      <c r="E341" s="1809"/>
      <c r="F341" s="1809"/>
      <c r="G341" s="1809"/>
      <c r="H341" s="1809"/>
    </row>
    <row r="342" spans="1:8" x14ac:dyDescent="0.2">
      <c r="A342" s="1810" t="s">
        <v>930</v>
      </c>
      <c r="B342" s="1809"/>
      <c r="C342" s="1809"/>
      <c r="D342" s="1809"/>
      <c r="E342" s="1809"/>
      <c r="F342" s="1809"/>
      <c r="G342" s="1809"/>
      <c r="H342" s="1809"/>
    </row>
    <row r="343" spans="1:8" x14ac:dyDescent="0.2">
      <c r="A343" s="1810" t="s">
        <v>931</v>
      </c>
      <c r="B343" s="1809"/>
      <c r="C343" s="1809"/>
      <c r="D343" s="1809"/>
      <c r="E343" s="1809"/>
      <c r="F343" s="1809"/>
      <c r="G343" s="1809"/>
      <c r="H343" s="1809"/>
    </row>
    <row r="344" spans="1:8" x14ac:dyDescent="0.2">
      <c r="A344" s="1810" t="s">
        <v>932</v>
      </c>
      <c r="B344" s="1809"/>
      <c r="C344" s="1809"/>
      <c r="D344" s="1809"/>
      <c r="E344" s="1809"/>
      <c r="F344" s="1809"/>
      <c r="G344" s="1809"/>
      <c r="H344" s="1809"/>
    </row>
    <row r="345" spans="1:8" x14ac:dyDescent="0.2">
      <c r="A345" s="1810" t="s">
        <v>933</v>
      </c>
      <c r="B345" s="1809"/>
      <c r="C345" s="1809"/>
      <c r="D345" s="1809"/>
      <c r="E345" s="1809"/>
      <c r="F345" s="1809"/>
      <c r="G345" s="1809"/>
      <c r="H345" s="1809"/>
    </row>
    <row r="346" spans="1:8" x14ac:dyDescent="0.2">
      <c r="A346" s="1810" t="s">
        <v>934</v>
      </c>
      <c r="B346" s="1809"/>
      <c r="C346" s="1809"/>
      <c r="D346" s="1809"/>
      <c r="E346" s="1809"/>
      <c r="F346" s="1809"/>
      <c r="G346" s="1809"/>
      <c r="H346" s="1809"/>
    </row>
    <row r="347" spans="1:8" x14ac:dyDescent="0.2">
      <c r="A347" s="1810" t="s">
        <v>935</v>
      </c>
      <c r="B347" s="1809"/>
      <c r="C347" s="1809"/>
      <c r="D347" s="1809"/>
      <c r="E347" s="1809"/>
      <c r="F347" s="1809"/>
      <c r="G347" s="1809"/>
      <c r="H347" s="1809"/>
    </row>
    <row r="348" spans="1:8" x14ac:dyDescent="0.2">
      <c r="A348" s="1810" t="s">
        <v>936</v>
      </c>
      <c r="B348" s="1809"/>
      <c r="C348" s="1809"/>
      <c r="D348" s="1809"/>
      <c r="E348" s="1809"/>
      <c r="F348" s="1809"/>
      <c r="G348" s="1809"/>
      <c r="H348" s="1809"/>
    </row>
    <row r="349" spans="1:8" x14ac:dyDescent="0.2">
      <c r="A349" s="1810" t="s">
        <v>937</v>
      </c>
      <c r="B349" s="1809"/>
      <c r="C349" s="1809"/>
      <c r="D349" s="1809"/>
      <c r="E349" s="1809"/>
      <c r="F349" s="1809"/>
      <c r="G349" s="1809"/>
      <c r="H349" s="1809"/>
    </row>
    <row r="350" spans="1:8" x14ac:dyDescent="0.2">
      <c r="A350" s="1810" t="s">
        <v>938</v>
      </c>
      <c r="B350" s="1809"/>
      <c r="C350" s="1809"/>
      <c r="D350" s="1809"/>
      <c r="E350" s="1809"/>
      <c r="F350" s="1809"/>
      <c r="G350" s="1809"/>
      <c r="H350" s="1809"/>
    </row>
    <row r="351" spans="1:8" x14ac:dyDescent="0.2">
      <c r="A351" s="1810" t="s">
        <v>939</v>
      </c>
      <c r="B351" s="1809"/>
      <c r="C351" s="1809"/>
      <c r="D351" s="1809"/>
      <c r="E351" s="1809"/>
      <c r="F351" s="1809"/>
      <c r="G351" s="1809"/>
      <c r="H351" s="1809"/>
    </row>
    <row r="352" spans="1:8" x14ac:dyDescent="0.2">
      <c r="A352" s="1810" t="s">
        <v>940</v>
      </c>
      <c r="B352" s="1809"/>
      <c r="C352" s="1809"/>
      <c r="D352" s="1809"/>
      <c r="E352" s="1809"/>
      <c r="F352" s="1809"/>
      <c r="G352" s="1809"/>
      <c r="H352" s="1809"/>
    </row>
    <row r="353" spans="1:8" x14ac:dyDescent="0.2">
      <c r="A353" s="1810" t="s">
        <v>941</v>
      </c>
      <c r="B353" s="1809"/>
      <c r="C353" s="1809"/>
      <c r="D353" s="1809"/>
      <c r="E353" s="1809"/>
      <c r="F353" s="1809"/>
      <c r="G353" s="1809"/>
      <c r="H353" s="1809"/>
    </row>
    <row r="354" spans="1:8" x14ac:dyDescent="0.2">
      <c r="A354" s="1810" t="s">
        <v>942</v>
      </c>
      <c r="B354" s="1809"/>
      <c r="C354" s="1809"/>
      <c r="D354" s="1809"/>
      <c r="E354" s="1809"/>
      <c r="F354" s="1809"/>
      <c r="G354" s="1809"/>
      <c r="H354" s="1809"/>
    </row>
    <row r="355" spans="1:8" x14ac:dyDescent="0.2">
      <c r="A355" s="1810" t="s">
        <v>943</v>
      </c>
      <c r="B355" s="1809"/>
      <c r="C355" s="1809"/>
      <c r="D355" s="1809"/>
      <c r="E355" s="1809"/>
      <c r="F355" s="1809"/>
      <c r="G355" s="1809"/>
      <c r="H355" s="1809"/>
    </row>
    <row r="356" spans="1:8" x14ac:dyDescent="0.2">
      <c r="A356" s="1810" t="s">
        <v>944</v>
      </c>
      <c r="B356" s="1809"/>
      <c r="C356" s="1809"/>
      <c r="D356" s="1809"/>
      <c r="E356" s="1809"/>
      <c r="F356" s="1809"/>
      <c r="G356" s="1809"/>
      <c r="H356" s="1809"/>
    </row>
    <row r="357" spans="1:8" x14ac:dyDescent="0.2">
      <c r="A357" s="1810" t="s">
        <v>945</v>
      </c>
      <c r="B357" s="1809"/>
      <c r="C357" s="1809"/>
      <c r="D357" s="1809"/>
      <c r="E357" s="1809"/>
      <c r="F357" s="1809"/>
      <c r="G357" s="1809"/>
      <c r="H357" s="1809"/>
    </row>
    <row r="358" spans="1:8" x14ac:dyDescent="0.2">
      <c r="A358" s="1810" t="s">
        <v>946</v>
      </c>
      <c r="B358" s="1809"/>
      <c r="C358" s="1809"/>
      <c r="D358" s="1809"/>
      <c r="E358" s="1809"/>
      <c r="F358" s="1809"/>
      <c r="G358" s="1809"/>
      <c r="H358" s="1809"/>
    </row>
    <row r="359" spans="1:8" x14ac:dyDescent="0.2">
      <c r="A359" s="1810" t="s">
        <v>947</v>
      </c>
      <c r="B359" s="1809"/>
      <c r="C359" s="1809"/>
      <c r="D359" s="1809"/>
      <c r="E359" s="1809"/>
      <c r="F359" s="1809"/>
      <c r="G359" s="1809"/>
      <c r="H359" s="1809"/>
    </row>
    <row r="360" spans="1:8" x14ac:dyDescent="0.2">
      <c r="A360" s="1810" t="s">
        <v>948</v>
      </c>
      <c r="B360" s="1809"/>
      <c r="C360" s="1809"/>
      <c r="D360" s="1809"/>
      <c r="E360" s="1809"/>
      <c r="F360" s="1809"/>
      <c r="G360" s="1809"/>
      <c r="H360" s="1809"/>
    </row>
    <row r="361" spans="1:8" x14ac:dyDescent="0.2">
      <c r="A361" s="1810" t="s">
        <v>949</v>
      </c>
      <c r="B361" s="1809"/>
      <c r="C361" s="1809"/>
      <c r="D361" s="1809"/>
      <c r="E361" s="1809"/>
      <c r="F361" s="1809"/>
      <c r="G361" s="1809"/>
      <c r="H361" s="1809"/>
    </row>
    <row r="362" spans="1:8" x14ac:dyDescent="0.2">
      <c r="A362" s="1810" t="s">
        <v>950</v>
      </c>
      <c r="B362" s="1809"/>
      <c r="C362" s="1809"/>
      <c r="D362" s="1809"/>
      <c r="E362" s="1809"/>
      <c r="F362" s="1809"/>
      <c r="G362" s="1809"/>
      <c r="H362" s="1809"/>
    </row>
    <row r="363" spans="1:8" x14ac:dyDescent="0.2">
      <c r="A363" s="1810" t="s">
        <v>951</v>
      </c>
      <c r="B363" s="1809"/>
      <c r="C363" s="1809"/>
      <c r="D363" s="1809"/>
      <c r="E363" s="1809"/>
      <c r="F363" s="1809"/>
      <c r="G363" s="1809"/>
      <c r="H363" s="1809"/>
    </row>
    <row r="364" spans="1:8" x14ac:dyDescent="0.2">
      <c r="A364" s="1810" t="s">
        <v>952</v>
      </c>
      <c r="B364" s="1809"/>
      <c r="C364" s="1809"/>
      <c r="D364" s="1809"/>
      <c r="E364" s="1809"/>
      <c r="F364" s="1809"/>
      <c r="G364" s="1809"/>
      <c r="H364" s="1809"/>
    </row>
    <row r="365" spans="1:8" x14ac:dyDescent="0.2">
      <c r="A365" s="1810" t="s">
        <v>953</v>
      </c>
      <c r="B365" s="1809"/>
      <c r="C365" s="1809"/>
      <c r="D365" s="1809"/>
      <c r="E365" s="1809"/>
      <c r="F365" s="1809"/>
      <c r="G365" s="1809"/>
      <c r="H365" s="1809"/>
    </row>
    <row r="366" spans="1:8" x14ac:dyDescent="0.2">
      <c r="A366" s="1810" t="s">
        <v>954</v>
      </c>
      <c r="B366" s="1809"/>
      <c r="C366" s="1809"/>
      <c r="D366" s="1809"/>
      <c r="E366" s="1809"/>
      <c r="F366" s="1809"/>
      <c r="G366" s="1809"/>
      <c r="H366" s="1809"/>
    </row>
    <row r="367" spans="1:8" x14ac:dyDescent="0.2">
      <c r="A367" s="1809"/>
      <c r="B367" s="1809"/>
      <c r="C367" s="1809"/>
      <c r="D367" s="1809"/>
      <c r="E367" s="1809"/>
      <c r="F367" s="1809"/>
      <c r="G367" s="1809"/>
      <c r="H367" s="1809"/>
    </row>
    <row r="368" spans="1:8" x14ac:dyDescent="0.2">
      <c r="A368" s="1810" t="s">
        <v>912</v>
      </c>
      <c r="B368" s="1809"/>
      <c r="C368" s="1809"/>
      <c r="D368" s="1809"/>
      <c r="E368" s="1809"/>
      <c r="F368" s="1809"/>
      <c r="G368" s="1809"/>
      <c r="H368" s="1809"/>
    </row>
    <row r="369" spans="1:8" x14ac:dyDescent="0.2">
      <c r="A369" s="1810" t="s">
        <v>916</v>
      </c>
      <c r="B369" s="1809"/>
      <c r="C369" s="1809"/>
      <c r="D369" s="1809"/>
      <c r="E369" s="1809"/>
      <c r="F369" s="1809"/>
      <c r="G369" s="1809"/>
      <c r="H369" s="1809"/>
    </row>
    <row r="370" spans="1:8" x14ac:dyDescent="0.2">
      <c r="A370" s="1810" t="s">
        <v>917</v>
      </c>
      <c r="B370" s="1809"/>
      <c r="C370" s="1809"/>
      <c r="D370" s="1809"/>
      <c r="E370" s="1809"/>
      <c r="F370" s="1809"/>
      <c r="G370" s="1809"/>
      <c r="H370" s="1809"/>
    </row>
    <row r="371" spans="1:8" x14ac:dyDescent="0.2">
      <c r="A371" s="1810" t="s">
        <v>918</v>
      </c>
      <c r="B371" s="1809"/>
      <c r="C371" s="1809"/>
      <c r="D371" s="1809"/>
      <c r="E371" s="1809"/>
      <c r="F371" s="1809"/>
      <c r="G371" s="1809"/>
      <c r="H371" s="1809"/>
    </row>
    <row r="372" spans="1:8" x14ac:dyDescent="0.2">
      <c r="A372" s="1810" t="s">
        <v>919</v>
      </c>
      <c r="B372" s="1809"/>
      <c r="C372" s="1809"/>
      <c r="D372" s="1809"/>
      <c r="E372" s="1809"/>
      <c r="F372" s="1809"/>
      <c r="G372" s="1809"/>
      <c r="H372" s="1809"/>
    </row>
    <row r="373" spans="1:8" x14ac:dyDescent="0.2">
      <c r="A373" s="1809"/>
      <c r="B373" s="1809"/>
      <c r="C373" s="1809"/>
      <c r="D373" s="1809"/>
      <c r="E373" s="1809"/>
      <c r="F373" s="1809"/>
      <c r="G373" s="1809"/>
      <c r="H373" s="1809"/>
    </row>
    <row r="374" spans="1:8" x14ac:dyDescent="0.2">
      <c r="A374" s="1810" t="s">
        <v>912</v>
      </c>
      <c r="B374" s="1809"/>
      <c r="C374" s="1809"/>
      <c r="D374" s="1809"/>
      <c r="E374" s="1809"/>
      <c r="F374" s="1809"/>
      <c r="G374" s="1809"/>
      <c r="H374" s="1809"/>
    </row>
    <row r="375" spans="1:8" x14ac:dyDescent="0.2">
      <c r="A375" s="1810" t="s">
        <v>913</v>
      </c>
      <c r="B375" s="1809"/>
      <c r="C375" s="1809"/>
      <c r="D375" s="1809"/>
      <c r="E375" s="1809"/>
      <c r="F375" s="1809"/>
      <c r="G375" s="1809"/>
      <c r="H375" s="1809"/>
    </row>
    <row r="376" spans="1:8" x14ac:dyDescent="0.2">
      <c r="A376" s="1810" t="s">
        <v>914</v>
      </c>
      <c r="B376" s="1809"/>
      <c r="C376" s="1809"/>
      <c r="D376" s="1809"/>
      <c r="E376" s="1809"/>
      <c r="F376" s="1809"/>
      <c r="G376" s="1809"/>
      <c r="H376" s="1809"/>
    </row>
    <row r="377" spans="1:8" x14ac:dyDescent="0.2">
      <c r="A377" s="1810" t="s">
        <v>915</v>
      </c>
      <c r="B377" s="1809"/>
      <c r="C377" s="1809"/>
      <c r="D377" s="1809"/>
      <c r="E377" s="1809"/>
      <c r="F377" s="1809"/>
      <c r="G377" s="1809"/>
      <c r="H377" s="1809"/>
    </row>
    <row r="378" spans="1:8" x14ac:dyDescent="0.2">
      <c r="A378" s="1809"/>
      <c r="B378" s="1809"/>
      <c r="C378" s="1809"/>
      <c r="D378" s="1809"/>
      <c r="E378" s="1809"/>
      <c r="F378" s="1809"/>
      <c r="G378" s="1809"/>
      <c r="H378" s="1809"/>
    </row>
    <row r="379" spans="1:8" x14ac:dyDescent="0.2">
      <c r="A379" s="1810" t="s">
        <v>906</v>
      </c>
      <c r="B379" s="1809"/>
      <c r="C379" s="1809"/>
      <c r="D379" s="1809"/>
      <c r="E379" s="1809"/>
      <c r="F379" s="1809"/>
      <c r="G379" s="1809"/>
      <c r="H379" s="1809"/>
    </row>
    <row r="380" spans="1:8" x14ac:dyDescent="0.2">
      <c r="A380" s="1810" t="s">
        <v>907</v>
      </c>
      <c r="B380" s="1809"/>
      <c r="C380" s="1809"/>
      <c r="D380" s="1809"/>
      <c r="E380" s="1809"/>
      <c r="F380" s="1809"/>
      <c r="G380" s="1809"/>
      <c r="H380" s="1809"/>
    </row>
    <row r="381" spans="1:8" x14ac:dyDescent="0.2">
      <c r="A381" s="1810" t="s">
        <v>908</v>
      </c>
      <c r="B381" s="1809"/>
      <c r="C381" s="1809"/>
      <c r="D381" s="1809"/>
      <c r="E381" s="1809"/>
      <c r="F381" s="1809"/>
      <c r="G381" s="1809"/>
      <c r="H381" s="1809"/>
    </row>
    <row r="382" spans="1:8" x14ac:dyDescent="0.2">
      <c r="A382" s="1810" t="s">
        <v>909</v>
      </c>
      <c r="B382" s="1809"/>
      <c r="C382" s="1809"/>
      <c r="D382" s="1809"/>
      <c r="E382" s="1809"/>
      <c r="F382" s="1809"/>
      <c r="G382" s="1809"/>
      <c r="H382" s="1809"/>
    </row>
    <row r="383" spans="1:8" x14ac:dyDescent="0.2">
      <c r="A383" s="1810" t="s">
        <v>910</v>
      </c>
      <c r="B383" s="1809"/>
      <c r="C383" s="1809"/>
      <c r="D383" s="1809"/>
      <c r="E383" s="1809"/>
      <c r="F383" s="1809"/>
      <c r="G383" s="1809"/>
      <c r="H383" s="1809"/>
    </row>
    <row r="384" spans="1:8" x14ac:dyDescent="0.2">
      <c r="A384" s="1810" t="s">
        <v>911</v>
      </c>
      <c r="B384" s="1809"/>
      <c r="C384" s="1809"/>
      <c r="D384" s="1809"/>
      <c r="E384" s="1809"/>
      <c r="F384" s="1809"/>
      <c r="G384" s="1809"/>
      <c r="H384" s="1809"/>
    </row>
    <row r="385" spans="1:8" x14ac:dyDescent="0.2">
      <c r="A385" s="1809"/>
      <c r="B385" s="1809"/>
      <c r="C385" s="1809"/>
      <c r="D385" s="1809"/>
      <c r="E385" s="1809"/>
      <c r="F385" s="1809"/>
      <c r="G385" s="1809"/>
      <c r="H385" s="1809"/>
    </row>
    <row r="386" spans="1:8" x14ac:dyDescent="0.2">
      <c r="A386" s="1810" t="s">
        <v>901</v>
      </c>
      <c r="B386" s="1809"/>
      <c r="C386" s="1809"/>
      <c r="D386" s="1809"/>
      <c r="E386" s="1809"/>
      <c r="F386" s="1809"/>
      <c r="G386" s="1809"/>
      <c r="H386" s="1809"/>
    </row>
    <row r="387" spans="1:8" x14ac:dyDescent="0.2">
      <c r="A387" s="1810" t="s">
        <v>902</v>
      </c>
      <c r="B387" s="1809"/>
      <c r="C387" s="1809"/>
      <c r="D387" s="1809"/>
      <c r="E387" s="1809"/>
      <c r="F387" s="1809"/>
      <c r="G387" s="1809"/>
      <c r="H387" s="1809"/>
    </row>
    <row r="388" spans="1:8" x14ac:dyDescent="0.2">
      <c r="A388" s="1810" t="s">
        <v>903</v>
      </c>
      <c r="B388" s="1809"/>
      <c r="C388" s="1809"/>
      <c r="D388" s="1809"/>
      <c r="E388" s="1809"/>
      <c r="F388" s="1809"/>
      <c r="G388" s="1809"/>
      <c r="H388" s="1809"/>
    </row>
    <row r="389" spans="1:8" x14ac:dyDescent="0.2">
      <c r="A389" s="1810" t="s">
        <v>904</v>
      </c>
      <c r="B389" s="1809"/>
      <c r="C389" s="1809"/>
      <c r="D389" s="1809"/>
      <c r="E389" s="1809"/>
      <c r="F389" s="1809"/>
      <c r="G389" s="1809"/>
      <c r="H389" s="1809"/>
    </row>
    <row r="390" spans="1:8" x14ac:dyDescent="0.2">
      <c r="A390" s="1810" t="s">
        <v>905</v>
      </c>
      <c r="B390" s="1809"/>
      <c r="C390" s="1809"/>
      <c r="D390" s="1809"/>
      <c r="E390" s="1809"/>
      <c r="F390" s="1809"/>
      <c r="G390" s="1809"/>
      <c r="H390" s="1809"/>
    </row>
    <row r="391" spans="1:8" x14ac:dyDescent="0.2">
      <c r="A391" s="1809"/>
      <c r="B391" s="1809"/>
      <c r="C391" s="1809"/>
      <c r="D391" s="1809"/>
      <c r="E391" s="1809"/>
      <c r="F391" s="1809"/>
      <c r="G391" s="1809"/>
      <c r="H391" s="1809"/>
    </row>
    <row r="392" spans="1:8" x14ac:dyDescent="0.2">
      <c r="A392" s="1810" t="s">
        <v>899</v>
      </c>
      <c r="B392" s="1809"/>
      <c r="C392" s="1809"/>
      <c r="D392" s="1809"/>
      <c r="E392" s="1809"/>
      <c r="F392" s="1809"/>
      <c r="G392" s="1809"/>
      <c r="H392" s="1809"/>
    </row>
    <row r="393" spans="1:8" x14ac:dyDescent="0.2">
      <c r="A393" s="1810" t="s">
        <v>900</v>
      </c>
      <c r="B393" s="1809"/>
      <c r="C393" s="1809"/>
      <c r="D393" s="1809"/>
      <c r="E393" s="1809"/>
      <c r="F393" s="1809"/>
      <c r="G393" s="1809"/>
      <c r="H393" s="1809"/>
    </row>
    <row r="395" spans="1:8" x14ac:dyDescent="0.2">
      <c r="A395" s="1805" t="s">
        <v>1158</v>
      </c>
    </row>
  </sheetData>
  <mergeCells count="12">
    <mergeCell ref="A136:H136"/>
    <mergeCell ref="A137:H137"/>
    <mergeCell ref="B129:C129"/>
    <mergeCell ref="D129:F129"/>
    <mergeCell ref="G129:H129"/>
    <mergeCell ref="A115:H115"/>
    <mergeCell ref="A116:H116"/>
    <mergeCell ref="A117:H117"/>
    <mergeCell ref="A118:H118"/>
    <mergeCell ref="A120:H120"/>
    <mergeCell ref="A121:H121"/>
    <mergeCell ref="A128:H128"/>
  </mergeCells>
  <pageMargins left="0.5" right="0.5" top="0.5" bottom="0.5" header="0.5" footer="0.5"/>
  <pageSetup orientation="portrait"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K61"/>
  <sheetViews>
    <sheetView showGridLines="0" zoomScaleNormal="100" workbookViewId="0">
      <selection activeCell="N5" sqref="N5"/>
    </sheetView>
  </sheetViews>
  <sheetFormatPr defaultRowHeight="12.75" outlineLevelCol="1" x14ac:dyDescent="0.2"/>
  <cols>
    <col min="1" max="1" width="34.5703125" bestFit="1" customWidth="1"/>
    <col min="2" max="2" width="1.85546875" customWidth="1"/>
    <col min="3" max="3" width="29.28515625" bestFit="1" customWidth="1"/>
    <col min="4" max="4" width="7.85546875" bestFit="1" customWidth="1"/>
    <col min="5" max="5" width="7.85546875" hidden="1" customWidth="1" outlineLevel="1"/>
    <col min="6" max="6" width="7" hidden="1" customWidth="1" outlineLevel="1"/>
    <col min="7" max="7" width="7.85546875" hidden="1" customWidth="1" outlineLevel="1"/>
    <col min="8" max="8" width="8.28515625" hidden="1" customWidth="1" outlineLevel="1"/>
    <col min="9" max="9" width="8.85546875" hidden="1" customWidth="1" outlineLevel="1"/>
    <col min="10" max="11" width="9.140625" hidden="1" customWidth="1" outlineLevel="1"/>
    <col min="12" max="12" width="9.140625" collapsed="1"/>
    <col min="17" max="19" width="9.140625" customWidth="1"/>
    <col min="20" max="25" width="9.140625" hidden="1" customWidth="1" outlineLevel="1"/>
    <col min="26" max="26" width="9.140625" collapsed="1"/>
    <col min="27" max="27" width="0" hidden="1" customWidth="1"/>
    <col min="28" max="28" width="10.28515625" hidden="1" customWidth="1"/>
  </cols>
  <sheetData>
    <row r="1" spans="1:37" ht="33" customHeight="1" x14ac:dyDescent="0.2">
      <c r="A1" s="391"/>
      <c r="B1" s="284"/>
      <c r="C1" s="1033"/>
      <c r="D1" s="391"/>
      <c r="E1" s="391"/>
      <c r="F1" s="284"/>
      <c r="G1" s="284"/>
      <c r="H1" s="284"/>
      <c r="I1" s="284"/>
      <c r="J1" s="284"/>
      <c r="K1" s="284"/>
      <c r="L1" s="284"/>
      <c r="M1" s="284"/>
      <c r="N1" s="284"/>
      <c r="O1" s="284"/>
      <c r="P1" s="284"/>
      <c r="Q1" s="284"/>
      <c r="R1" s="284"/>
      <c r="S1" s="284"/>
      <c r="T1" s="284"/>
      <c r="U1" s="284"/>
      <c r="V1" s="284"/>
      <c r="W1" s="284"/>
      <c r="X1" s="284"/>
      <c r="Y1" s="284"/>
      <c r="Z1" s="1064"/>
      <c r="AA1" s="1064"/>
      <c r="AB1" s="1064"/>
      <c r="AC1" s="1064"/>
      <c r="AD1" s="1064"/>
      <c r="AE1" s="1064"/>
      <c r="AF1" s="1064"/>
      <c r="AG1" s="1064"/>
      <c r="AH1" s="1064"/>
      <c r="AI1" s="1064"/>
      <c r="AJ1" s="1064"/>
      <c r="AK1" s="1064"/>
    </row>
    <row r="2" spans="1:37" ht="14.25" customHeight="1" x14ac:dyDescent="0.2">
      <c r="A2" s="21" t="s">
        <v>496</v>
      </c>
      <c r="B2" s="284"/>
      <c r="C2" s="1033"/>
      <c r="D2" s="391"/>
      <c r="E2" s="391"/>
      <c r="F2" s="284"/>
      <c r="G2" s="284"/>
      <c r="H2" s="284"/>
      <c r="I2" s="284"/>
      <c r="J2" s="284"/>
      <c r="K2" s="284"/>
      <c r="L2" s="284"/>
      <c r="M2" s="284"/>
      <c r="N2" s="284"/>
      <c r="O2" s="284"/>
      <c r="P2" s="284"/>
      <c r="Q2" s="284"/>
      <c r="R2" s="284"/>
      <c r="S2" s="284"/>
      <c r="T2" s="284"/>
      <c r="U2" s="284"/>
      <c r="V2" s="284"/>
      <c r="W2" s="284"/>
      <c r="X2" s="284"/>
      <c r="Y2" s="284"/>
      <c r="Z2" s="1064"/>
      <c r="AA2" s="1064"/>
      <c r="AB2" s="1064"/>
      <c r="AC2" s="1064"/>
      <c r="AD2" s="1064"/>
      <c r="AE2" s="1064"/>
      <c r="AF2" s="1064"/>
      <c r="AG2" s="1064"/>
      <c r="AH2" s="1064"/>
      <c r="AI2" s="1064"/>
      <c r="AJ2" s="1064"/>
      <c r="AK2" s="1064"/>
    </row>
    <row r="3" spans="1:37" x14ac:dyDescent="0.2">
      <c r="A3" s="21"/>
      <c r="B3" s="284"/>
      <c r="C3" s="1033"/>
      <c r="D3" s="391"/>
      <c r="E3" s="391"/>
      <c r="F3" s="284"/>
      <c r="G3" s="284"/>
      <c r="H3" s="284"/>
      <c r="I3" s="284"/>
      <c r="J3" s="284"/>
      <c r="K3" s="284"/>
      <c r="L3" s="284"/>
      <c r="M3" s="284"/>
      <c r="N3" s="284"/>
      <c r="O3" s="284"/>
      <c r="P3" s="284"/>
      <c r="Q3" s="284"/>
      <c r="R3" s="284"/>
      <c r="S3" s="284"/>
      <c r="T3" s="284"/>
      <c r="U3" s="284"/>
      <c r="V3" s="284"/>
      <c r="W3" s="284"/>
      <c r="X3" s="284"/>
      <c r="Y3" s="284"/>
      <c r="Z3" s="1064"/>
      <c r="AA3" s="1064"/>
      <c r="AB3" s="1064"/>
      <c r="AC3" s="1064"/>
      <c r="AD3" s="1064"/>
      <c r="AE3" s="1064"/>
      <c r="AF3" s="1064"/>
      <c r="AG3" s="1064"/>
      <c r="AH3" s="1064"/>
      <c r="AI3" s="1064"/>
      <c r="AJ3" s="1064"/>
      <c r="AK3" s="1064"/>
    </row>
    <row r="4" spans="1:37" x14ac:dyDescent="0.2">
      <c r="A4" s="21"/>
      <c r="B4" s="284"/>
      <c r="C4" s="1033"/>
      <c r="D4" s="391"/>
      <c r="E4" s="391"/>
      <c r="F4" s="284"/>
      <c r="G4" s="284"/>
      <c r="H4" s="284"/>
      <c r="I4" s="284"/>
      <c r="J4" s="284"/>
      <c r="K4" s="284"/>
      <c r="L4" s="284"/>
      <c r="M4" s="284"/>
      <c r="N4" s="284"/>
      <c r="O4" s="284"/>
      <c r="P4" s="284"/>
      <c r="Q4" s="284"/>
      <c r="R4" s="284"/>
      <c r="S4" s="284"/>
      <c r="T4" s="284"/>
      <c r="U4" s="284"/>
      <c r="V4" s="284"/>
      <c r="W4" s="284"/>
      <c r="X4" s="284"/>
      <c r="Y4" s="284"/>
      <c r="Z4" s="1064"/>
      <c r="AA4" s="1064"/>
      <c r="AB4" s="1064"/>
      <c r="AC4" s="1064"/>
      <c r="AD4" s="1064"/>
      <c r="AE4" s="1064"/>
      <c r="AF4" s="1064"/>
      <c r="AG4" s="1064"/>
      <c r="AH4" s="1064"/>
      <c r="AI4" s="1064"/>
      <c r="AJ4" s="1064"/>
      <c r="AK4" s="1064"/>
    </row>
    <row r="5" spans="1:37" ht="15.75" x14ac:dyDescent="0.25">
      <c r="A5" s="993" t="s">
        <v>581</v>
      </c>
      <c r="B5" s="284"/>
      <c r="C5" s="1033"/>
      <c r="D5" s="391"/>
      <c r="E5" s="391"/>
      <c r="F5" s="284"/>
      <c r="G5" s="284"/>
      <c r="H5" s="284"/>
      <c r="I5" s="284"/>
      <c r="J5" s="284"/>
      <c r="K5" s="284"/>
      <c r="L5" s="284"/>
      <c r="M5" s="284"/>
      <c r="N5" s="284"/>
      <c r="O5" s="284"/>
      <c r="P5" s="284"/>
      <c r="Q5" s="284"/>
      <c r="R5" s="284"/>
      <c r="S5" s="284"/>
      <c r="T5" s="284"/>
      <c r="U5" s="284"/>
      <c r="V5" s="284"/>
      <c r="W5" s="284"/>
      <c r="X5" s="284"/>
      <c r="Y5" s="284"/>
      <c r="Z5" s="1064"/>
      <c r="AA5" s="1064"/>
      <c r="AB5" s="1064"/>
      <c r="AC5" s="1064"/>
      <c r="AD5" s="1064"/>
      <c r="AE5" s="1064"/>
      <c r="AF5" s="1064"/>
      <c r="AG5" s="1064"/>
      <c r="AH5" s="1064"/>
      <c r="AI5" s="1064"/>
      <c r="AJ5" s="1064"/>
      <c r="AK5" s="1064"/>
    </row>
    <row r="6" spans="1:37" x14ac:dyDescent="0.2">
      <c r="A6" s="619" t="s">
        <v>586</v>
      </c>
      <c r="B6" s="15"/>
      <c r="C6" s="1033"/>
      <c r="D6" s="416"/>
      <c r="E6" s="416"/>
      <c r="F6" s="389"/>
      <c r="G6" s="389"/>
      <c r="H6" s="389"/>
      <c r="I6" s="284"/>
      <c r="J6" s="284"/>
      <c r="K6" s="284"/>
      <c r="L6" s="284"/>
      <c r="M6" s="284"/>
      <c r="N6" s="284"/>
      <c r="O6" s="284"/>
      <c r="P6" s="284"/>
      <c r="Q6" s="284"/>
      <c r="R6" s="284"/>
      <c r="S6" s="284"/>
      <c r="T6" s="284"/>
      <c r="U6" s="284"/>
      <c r="V6" s="284"/>
      <c r="W6" s="284"/>
      <c r="X6" s="284"/>
      <c r="Y6" s="284"/>
      <c r="Z6" s="1064"/>
      <c r="AA6" s="1064"/>
      <c r="AB6" s="1064"/>
      <c r="AC6" s="1064"/>
      <c r="AD6" s="1064"/>
      <c r="AE6" s="1064"/>
      <c r="AF6" s="1064"/>
      <c r="AG6" s="1064"/>
      <c r="AH6" s="1064"/>
      <c r="AI6" s="1064"/>
      <c r="AJ6" s="1064"/>
      <c r="AK6" s="1064"/>
    </row>
    <row r="7" spans="1:37" ht="15" customHeight="1" x14ac:dyDescent="0.2">
      <c r="A7" s="389"/>
      <c r="B7" s="15"/>
      <c r="C7" s="619" t="s">
        <v>24</v>
      </c>
      <c r="D7" s="1695">
        <v>69</v>
      </c>
      <c r="E7" s="15"/>
      <c r="F7" s="15"/>
      <c r="G7" s="15" t="e">
        <f>[0]!rngBaseCase</f>
        <v>#NAME?</v>
      </c>
      <c r="H7" s="15"/>
      <c r="I7" s="284"/>
      <c r="J7" s="284"/>
      <c r="K7" s="284"/>
      <c r="L7" s="284"/>
      <c r="M7" s="284"/>
      <c r="N7" s="284"/>
      <c r="O7" s="284"/>
      <c r="P7" s="284"/>
      <c r="Q7" s="284"/>
      <c r="R7" s="284"/>
      <c r="S7" s="284"/>
      <c r="T7" s="284"/>
      <c r="U7" s="284"/>
      <c r="V7" s="284"/>
      <c r="W7" s="284"/>
      <c r="X7" s="284"/>
      <c r="Y7" s="284"/>
      <c r="Z7" s="1064"/>
      <c r="AA7" s="1064"/>
      <c r="AB7" s="1064"/>
      <c r="AC7" s="1064"/>
      <c r="AD7" s="1064"/>
      <c r="AE7" s="1064"/>
      <c r="AF7" s="1064"/>
      <c r="AG7" s="1064"/>
      <c r="AH7" s="1064"/>
      <c r="AI7" s="1064"/>
      <c r="AJ7" s="1064"/>
      <c r="AK7" s="1064"/>
    </row>
    <row r="8" spans="1:37" ht="28.5" customHeight="1" thickBot="1" x14ac:dyDescent="0.25">
      <c r="A8" s="15"/>
      <c r="B8" s="15"/>
      <c r="C8" s="37" t="s">
        <v>8</v>
      </c>
      <c r="D8" s="393"/>
      <c r="E8" s="394"/>
      <c r="F8" s="394"/>
      <c r="G8" s="394"/>
      <c r="H8" s="394"/>
      <c r="I8" s="284"/>
      <c r="J8" s="284"/>
      <c r="K8" s="284"/>
      <c r="L8" s="284"/>
      <c r="M8" s="284"/>
      <c r="N8" s="284"/>
      <c r="O8" s="284"/>
      <c r="P8" s="284"/>
      <c r="Q8" s="284"/>
      <c r="R8" s="284"/>
      <c r="S8" s="284"/>
      <c r="T8" s="284"/>
      <c r="U8" s="284"/>
      <c r="V8" s="284"/>
      <c r="W8" s="284"/>
      <c r="X8" s="284"/>
      <c r="Y8" s="284"/>
      <c r="Z8" s="1064"/>
      <c r="AA8" s="1064"/>
      <c r="AB8" s="1064"/>
      <c r="AC8" s="1064"/>
      <c r="AD8" s="1064"/>
      <c r="AE8" s="1064"/>
      <c r="AF8" s="1064"/>
      <c r="AG8" s="1064"/>
      <c r="AH8" s="1064"/>
      <c r="AI8" s="1064"/>
      <c r="AJ8" s="1064"/>
      <c r="AK8" s="1064"/>
    </row>
    <row r="9" spans="1:37" ht="18" x14ac:dyDescent="0.25">
      <c r="A9" s="390" t="s">
        <v>587</v>
      </c>
      <c r="B9" s="390"/>
      <c r="C9" s="936" t="s">
        <v>444</v>
      </c>
      <c r="D9" s="433"/>
      <c r="E9" s="433" t="s">
        <v>235</v>
      </c>
      <c r="F9" s="433" t="s">
        <v>256</v>
      </c>
      <c r="G9" s="433" t="s">
        <v>513</v>
      </c>
      <c r="H9" s="433" t="s">
        <v>94</v>
      </c>
      <c r="I9" s="433" t="s">
        <v>541</v>
      </c>
      <c r="J9" s="433" t="s">
        <v>460</v>
      </c>
      <c r="K9" s="433" t="s">
        <v>461</v>
      </c>
      <c r="L9" s="433" t="s">
        <v>462</v>
      </c>
      <c r="M9" s="433" t="str">
        <f>IS!BP8</f>
        <v>2013A</v>
      </c>
      <c r="N9" s="433" t="str">
        <f>IS!BU8</f>
        <v>2014A</v>
      </c>
      <c r="O9" s="433" t="str">
        <f>IS!CE8</f>
        <v>2015A</v>
      </c>
      <c r="P9" s="433" t="str">
        <f>IS!CJ8</f>
        <v>2016A</v>
      </c>
      <c r="Q9" s="433" t="str">
        <f>IS!CO8</f>
        <v>2017A</v>
      </c>
      <c r="R9" s="433" t="str">
        <f>IS!CT8</f>
        <v>2018E</v>
      </c>
      <c r="S9" s="434" t="str">
        <f>IS!CY8</f>
        <v>2019E</v>
      </c>
      <c r="T9" s="433" t="str">
        <f>IS!DD8</f>
        <v>2020E</v>
      </c>
      <c r="U9" s="433" t="str">
        <f>IS!DI8</f>
        <v>2021E</v>
      </c>
      <c r="V9" s="433" t="str">
        <f>IS!DN8</f>
        <v>2022E</v>
      </c>
      <c r="W9" s="433" t="str">
        <f>IS!DS8</f>
        <v>2023E</v>
      </c>
      <c r="X9" s="433" t="str">
        <f>IS!DX8</f>
        <v>2024E</v>
      </c>
      <c r="Y9" s="434" t="str">
        <f>IS!EC8</f>
        <v>2025E</v>
      </c>
      <c r="Z9" s="1176"/>
      <c r="AA9" s="1064"/>
      <c r="AB9" s="1064"/>
      <c r="AC9" s="1064"/>
      <c r="AD9" s="1064"/>
      <c r="AE9" s="1064"/>
      <c r="AF9" s="1064"/>
      <c r="AG9" s="1064"/>
      <c r="AH9" s="1064"/>
      <c r="AI9" s="1064"/>
      <c r="AJ9" s="1064"/>
      <c r="AK9" s="1064"/>
    </row>
    <row r="10" spans="1:37" ht="18" x14ac:dyDescent="0.25">
      <c r="A10" s="390"/>
      <c r="B10" s="390"/>
      <c r="C10" s="403" t="s">
        <v>107</v>
      </c>
      <c r="D10" s="932"/>
      <c r="E10" s="932">
        <f>IS!V9</f>
        <v>12224</v>
      </c>
      <c r="F10" s="932">
        <f>IS!AA9</f>
        <v>12419</v>
      </c>
      <c r="G10" s="932">
        <f>IS!AF9</f>
        <v>13232</v>
      </c>
      <c r="H10" s="932">
        <f>IS!AK9</f>
        <v>14688</v>
      </c>
      <c r="I10" s="932">
        <f>IS!AP9</f>
        <v>14669.3</v>
      </c>
      <c r="J10" s="932">
        <f>IS!BA9</f>
        <v>14671.800000000001</v>
      </c>
      <c r="K10" s="932">
        <f>IS!BF9</f>
        <v>15292</v>
      </c>
      <c r="L10" s="932">
        <f>IS!BK9</f>
        <v>15841.800000000001</v>
      </c>
      <c r="M10" s="932">
        <f>IS!BP9</f>
        <v>16301</v>
      </c>
      <c r="N10" s="932">
        <f>IS!BU9</f>
        <v>17017.100000000002</v>
      </c>
      <c r="O10" s="932">
        <f>IS!CE9</f>
        <v>23484.074609791729</v>
      </c>
      <c r="P10" s="932">
        <f>IS!CJ9</f>
        <v>24614.399999999998</v>
      </c>
      <c r="Q10" s="932">
        <f>IS!CO9</f>
        <v>29468.1</v>
      </c>
      <c r="R10" s="1693">
        <f>IS!CT9</f>
        <v>32765.942583858625</v>
      </c>
      <c r="S10" s="933">
        <f>IS!CY9</f>
        <v>35282.556049009247</v>
      </c>
      <c r="T10" s="932">
        <f>IS!DD9</f>
        <v>38131.661518210669</v>
      </c>
      <c r="U10" s="932">
        <f>IS!DI9</f>
        <v>40915.289634026383</v>
      </c>
      <c r="V10" s="932">
        <f>IS!DN9</f>
        <v>44006.530578098704</v>
      </c>
      <c r="W10" s="932">
        <f>IS!DS9</f>
        <v>47299.308802877604</v>
      </c>
      <c r="X10" s="932">
        <f>IS!DX9</f>
        <v>50902.814782973968</v>
      </c>
      <c r="Y10" s="933">
        <f>IS!EC9</f>
        <v>54422.235815707012</v>
      </c>
      <c r="Z10" s="1176"/>
      <c r="AA10" s="1064"/>
      <c r="AB10" s="1064"/>
      <c r="AC10" s="1064"/>
      <c r="AD10" s="1064"/>
      <c r="AE10" s="1064"/>
      <c r="AF10" s="1064"/>
      <c r="AG10" s="1064"/>
      <c r="AH10" s="1064"/>
      <c r="AI10" s="1064"/>
      <c r="AJ10" s="1064"/>
      <c r="AK10" s="1064"/>
    </row>
    <row r="11" spans="1:37" x14ac:dyDescent="0.2">
      <c r="A11" s="16" t="s">
        <v>510</v>
      </c>
      <c r="B11" s="16"/>
      <c r="C11" s="399" t="s">
        <v>108</v>
      </c>
      <c r="D11" s="400"/>
      <c r="E11" s="400" t="e">
        <f>IS!V97</f>
        <v>#REF!</v>
      </c>
      <c r="F11" s="400" t="e">
        <f>IS!AA97</f>
        <v>#REF!</v>
      </c>
      <c r="G11" s="400" t="e">
        <f>IS!AF97</f>
        <v>#REF!</v>
      </c>
      <c r="H11" s="400" t="e">
        <f>IS!AK97</f>
        <v>#REF!</v>
      </c>
      <c r="I11" s="400" t="e">
        <f>IS!AP97</f>
        <v>#REF!</v>
      </c>
      <c r="J11" s="400"/>
      <c r="K11" s="400">
        <f t="shared" ref="K11:X11" si="0">K10/J10-1</f>
        <v>4.2271568587358033E-2</v>
      </c>
      <c r="L11" s="400">
        <f t="shared" si="0"/>
        <v>3.5953439707036461E-2</v>
      </c>
      <c r="M11" s="400">
        <f t="shared" si="0"/>
        <v>2.8986605057506054E-2</v>
      </c>
      <c r="N11" s="400">
        <f t="shared" si="0"/>
        <v>4.3929820256426222E-2</v>
      </c>
      <c r="O11" s="400">
        <f t="shared" si="0"/>
        <v>0.38002800769765277</v>
      </c>
      <c r="P11" s="400">
        <f t="shared" si="0"/>
        <v>4.8131570393537215E-2</v>
      </c>
      <c r="Q11" s="400">
        <f t="shared" si="0"/>
        <v>0.19718945007800315</v>
      </c>
      <c r="R11" s="400">
        <f t="shared" si="0"/>
        <v>0.11191229104891831</v>
      </c>
      <c r="S11" s="401">
        <f t="shared" si="0"/>
        <v>7.6805770464554612E-2</v>
      </c>
      <c r="T11" s="400">
        <f t="shared" si="0"/>
        <v>8.0751107296304525E-2</v>
      </c>
      <c r="U11" s="400">
        <f t="shared" si="0"/>
        <v>7.300044123402083E-2</v>
      </c>
      <c r="V11" s="400">
        <f t="shared" si="0"/>
        <v>7.55522195179954E-2</v>
      </c>
      <c r="W11" s="400">
        <f t="shared" si="0"/>
        <v>7.4824763086814627E-2</v>
      </c>
      <c r="X11" s="400">
        <f t="shared" si="0"/>
        <v>7.6185172073320651E-2</v>
      </c>
      <c r="Y11" s="401">
        <f t="shared" ref="Y11" si="1">Y10/X10-1</f>
        <v>6.9140008224264804E-2</v>
      </c>
      <c r="Z11" s="1176"/>
      <c r="AA11" s="1064"/>
      <c r="AB11" s="1064"/>
      <c r="AC11" s="1064"/>
      <c r="AD11" s="1064"/>
      <c r="AE11" s="1064"/>
      <c r="AF11" s="1064"/>
      <c r="AG11" s="1064"/>
      <c r="AH11" s="1064"/>
      <c r="AI11" s="1064"/>
      <c r="AJ11" s="1064"/>
      <c r="AK11" s="1064"/>
    </row>
    <row r="12" spans="1:37" x14ac:dyDescent="0.2">
      <c r="A12" s="16" t="s">
        <v>509</v>
      </c>
      <c r="B12" s="16"/>
      <c r="C12" s="403" t="s">
        <v>446</v>
      </c>
      <c r="D12" s="932"/>
      <c r="E12" s="932">
        <f>IS!V20</f>
        <v>0</v>
      </c>
      <c r="F12" s="932">
        <f>IS!AA20</f>
        <v>0</v>
      </c>
      <c r="G12" s="932">
        <f>IS!AF20</f>
        <v>0</v>
      </c>
      <c r="H12" s="932">
        <f>IS!AK20</f>
        <v>0</v>
      </c>
      <c r="I12" s="932">
        <f>IS!AP20</f>
        <v>0</v>
      </c>
      <c r="J12" s="932">
        <f>IS!BA20</f>
        <v>2404.3000000000002</v>
      </c>
      <c r="K12" s="932">
        <f>IS!BF20</f>
        <v>2335.6999999999998</v>
      </c>
      <c r="L12" s="932">
        <f>IS!BK20</f>
        <v>1970.9</v>
      </c>
      <c r="M12" s="932">
        <f>IS!BP20</f>
        <v>1146.3</v>
      </c>
      <c r="N12" s="932">
        <f>IS!BU20</f>
        <v>1197.3000000000002</v>
      </c>
      <c r="O12" s="932">
        <f>IS!CE20</f>
        <v>4052.2</v>
      </c>
      <c r="P12" s="932">
        <f>IS!CJ20</f>
        <v>4145.7800000000007</v>
      </c>
      <c r="Q12" s="932">
        <f>IS!CO20</f>
        <v>4576.1000000000004</v>
      </c>
      <c r="R12" s="932">
        <f>IS!CT20</f>
        <v>5513.745035851699</v>
      </c>
      <c r="S12" s="933">
        <f>IS!CY20</f>
        <v>5866.2161208955768</v>
      </c>
      <c r="T12" s="932">
        <f>IS!DD20</f>
        <v>6278.7238028023548</v>
      </c>
      <c r="U12" s="932">
        <f>IS!DI20</f>
        <v>6753.8781559724466</v>
      </c>
      <c r="V12" s="932">
        <f>IS!DN20</f>
        <v>7202.9043152701779</v>
      </c>
      <c r="W12" s="932">
        <f>IS!DS20</f>
        <v>7685.502681439013</v>
      </c>
      <c r="X12" s="932">
        <f>IS!DX20</f>
        <v>8211.8196752399926</v>
      </c>
      <c r="Y12" s="933">
        <f>IS!EC20</f>
        <v>8719.8176232313854</v>
      </c>
      <c r="Z12" s="1176"/>
      <c r="AA12" s="1176"/>
      <c r="AB12" s="1064"/>
      <c r="AC12" s="1064"/>
      <c r="AD12" s="1064"/>
      <c r="AE12" s="1064"/>
      <c r="AF12" s="1064"/>
      <c r="AG12" s="1064"/>
      <c r="AH12" s="1064"/>
      <c r="AI12" s="1064"/>
      <c r="AJ12" s="1064"/>
      <c r="AK12" s="1064"/>
    </row>
    <row r="13" spans="1:37" ht="13.5" x14ac:dyDescent="0.25">
      <c r="A13" s="392" t="s">
        <v>511</v>
      </c>
      <c r="B13" s="16"/>
      <c r="C13" s="399" t="s">
        <v>448</v>
      </c>
      <c r="D13" s="400"/>
      <c r="E13" s="400">
        <f>IS!V99</f>
        <v>0</v>
      </c>
      <c r="F13" s="400">
        <f>IS!AA99</f>
        <v>0</v>
      </c>
      <c r="G13" s="400">
        <f>IS!AF99</f>
        <v>0</v>
      </c>
      <c r="H13" s="400">
        <f>IS!AK99</f>
        <v>0</v>
      </c>
      <c r="I13" s="400">
        <f>IS!AP99</f>
        <v>0</v>
      </c>
      <c r="J13" s="400"/>
      <c r="K13" s="400">
        <f t="shared" ref="K13:X13" si="2">K12/J12-1</f>
        <v>-2.8532213118163452E-2</v>
      </c>
      <c r="L13" s="400">
        <f t="shared" si="2"/>
        <v>-0.15618444149505495</v>
      </c>
      <c r="M13" s="400">
        <f t="shared" si="2"/>
        <v>-0.41838753868790912</v>
      </c>
      <c r="N13" s="400">
        <f t="shared" si="2"/>
        <v>4.4490970950013198E-2</v>
      </c>
      <c r="O13" s="400">
        <f t="shared" si="2"/>
        <v>2.3844483421030644</v>
      </c>
      <c r="P13" s="400">
        <f t="shared" si="2"/>
        <v>2.3093628152608625E-2</v>
      </c>
      <c r="Q13" s="400">
        <f t="shared" si="2"/>
        <v>0.10379711417393089</v>
      </c>
      <c r="R13" s="400">
        <f t="shared" si="2"/>
        <v>0.20490046892587532</v>
      </c>
      <c r="S13" s="401">
        <f t="shared" si="2"/>
        <v>6.3925894786941662E-2</v>
      </c>
      <c r="T13" s="400">
        <f t="shared" si="2"/>
        <v>7.031920976068684E-2</v>
      </c>
      <c r="U13" s="400">
        <f t="shared" si="2"/>
        <v>7.5676899970981149E-2</v>
      </c>
      <c r="V13" s="400">
        <f t="shared" si="2"/>
        <v>6.6484196031972864E-2</v>
      </c>
      <c r="W13" s="400">
        <f t="shared" si="2"/>
        <v>6.7000524378163062E-2</v>
      </c>
      <c r="X13" s="400">
        <f t="shared" si="2"/>
        <v>6.848179170792168E-2</v>
      </c>
      <c r="Y13" s="401">
        <f t="shared" ref="Y13" si="3">Y12/X12-1</f>
        <v>6.1861800195526895E-2</v>
      </c>
      <c r="Z13" s="1176"/>
      <c r="AA13" s="1064"/>
      <c r="AB13" s="1064"/>
      <c r="AC13" s="1064"/>
      <c r="AD13" s="1064"/>
      <c r="AE13" s="1064"/>
      <c r="AF13" s="1064"/>
      <c r="AG13" s="1064"/>
      <c r="AH13" s="1064"/>
      <c r="AI13" s="1064"/>
      <c r="AJ13" s="1064"/>
      <c r="AK13" s="1064"/>
    </row>
    <row r="14" spans="1:37" ht="13.5" x14ac:dyDescent="0.25">
      <c r="A14" s="392"/>
      <c r="B14" s="392"/>
      <c r="C14" s="403" t="s">
        <v>165</v>
      </c>
      <c r="D14" s="404"/>
      <c r="E14" s="404">
        <f>IS!V39</f>
        <v>0</v>
      </c>
      <c r="F14" s="404">
        <f>IS!AA39</f>
        <v>0</v>
      </c>
      <c r="G14" s="404">
        <f>IS!AF39</f>
        <v>0</v>
      </c>
      <c r="H14" s="404">
        <f>IS!AK39</f>
        <v>0</v>
      </c>
      <c r="I14" s="404">
        <f>IS!AP39</f>
        <v>0</v>
      </c>
      <c r="J14" s="404">
        <f>IS!BA39</f>
        <v>177.40000000000009</v>
      </c>
      <c r="K14" s="404">
        <f>IS!BF39</f>
        <v>362.49999999999977</v>
      </c>
      <c r="L14" s="404">
        <f>IS!BK39</f>
        <v>417.70000000000005</v>
      </c>
      <c r="M14" s="404">
        <f>IS!BP39</f>
        <v>522.19999999999993</v>
      </c>
      <c r="N14" s="404">
        <f>IS!BU39</f>
        <v>182.4000000000002</v>
      </c>
      <c r="O14" s="404">
        <f>IS!CE39</f>
        <v>1192.2</v>
      </c>
      <c r="P14" s="404">
        <f>IS!CJ39</f>
        <v>1666.680000000001</v>
      </c>
      <c r="Q14" s="404">
        <f>IS!CO39</f>
        <v>1735.900000000001</v>
      </c>
      <c r="R14" s="404">
        <f>IS!CT39</f>
        <v>1936.6830778255644</v>
      </c>
      <c r="S14" s="405">
        <f>IS!CY39</f>
        <v>2178.7203282368846</v>
      </c>
      <c r="T14" s="404">
        <f>IS!DD39</f>
        <v>2424.5654443235844</v>
      </c>
      <c r="U14" s="404">
        <f>IS!DI39</f>
        <v>2685.6233070884982</v>
      </c>
      <c r="V14" s="404">
        <f>IS!DN39</f>
        <v>3030.4461351419254</v>
      </c>
      <c r="W14" s="404">
        <f>IS!DS39</f>
        <v>3341.0348534932659</v>
      </c>
      <c r="X14" s="404">
        <f>IS!DX39</f>
        <v>3423.014440459096</v>
      </c>
      <c r="Y14" s="405">
        <f>IS!EC39</f>
        <v>3755.6858529421243</v>
      </c>
      <c r="Z14" s="1176"/>
      <c r="AA14" s="1064"/>
      <c r="AB14" s="1064"/>
      <c r="AC14" s="1064"/>
      <c r="AD14" s="1064"/>
      <c r="AE14" s="1064"/>
      <c r="AF14" s="1064"/>
      <c r="AG14" s="1064"/>
      <c r="AH14" s="1064"/>
      <c r="AI14" s="1064"/>
      <c r="AJ14" s="1064"/>
      <c r="AK14" s="1064"/>
    </row>
    <row r="15" spans="1:37" ht="13.5" customHeight="1" x14ac:dyDescent="0.2">
      <c r="A15" s="16" t="s">
        <v>837</v>
      </c>
      <c r="B15" s="16"/>
      <c r="C15" s="399" t="s">
        <v>451</v>
      </c>
      <c r="D15" s="400"/>
      <c r="E15" s="400">
        <f>IS!V106</f>
        <v>0</v>
      </c>
      <c r="F15" s="400">
        <f>IS!AA106</f>
        <v>0</v>
      </c>
      <c r="G15" s="400">
        <f>IS!AF106</f>
        <v>0</v>
      </c>
      <c r="H15" s="400">
        <f>IS!AK106</f>
        <v>0</v>
      </c>
      <c r="I15" s="400">
        <f>IS!AP106</f>
        <v>0</v>
      </c>
      <c r="J15" s="400"/>
      <c r="K15" s="400">
        <f t="shared" ref="K15:X15" si="4">K14/J14-1</f>
        <v>1.0434047350620044</v>
      </c>
      <c r="L15" s="400">
        <f t="shared" si="4"/>
        <v>0.15227586206896637</v>
      </c>
      <c r="M15" s="400">
        <f t="shared" si="4"/>
        <v>0.25017955470433306</v>
      </c>
      <c r="N15" s="400">
        <f t="shared" si="4"/>
        <v>-0.65070854078896923</v>
      </c>
      <c r="O15" s="400">
        <f t="shared" si="4"/>
        <v>5.5361842105263088</v>
      </c>
      <c r="P15" s="400">
        <f t="shared" si="4"/>
        <v>0.39798691494715732</v>
      </c>
      <c r="Q15" s="400">
        <f t="shared" si="4"/>
        <v>4.1531667746657952E-2</v>
      </c>
      <c r="R15" s="400">
        <f t="shared" si="4"/>
        <v>0.11566511770583743</v>
      </c>
      <c r="S15" s="401">
        <f t="shared" si="4"/>
        <v>0.12497514600224147</v>
      </c>
      <c r="T15" s="400">
        <f t="shared" si="4"/>
        <v>0.11283922626528597</v>
      </c>
      <c r="U15" s="400">
        <f t="shared" si="4"/>
        <v>0.1076720215476572</v>
      </c>
      <c r="V15" s="400">
        <f t="shared" si="4"/>
        <v>0.1283958279418016</v>
      </c>
      <c r="W15" s="400">
        <f t="shared" si="4"/>
        <v>0.10248943703359847</v>
      </c>
      <c r="X15" s="400">
        <f t="shared" si="4"/>
        <v>2.4537184004565393E-2</v>
      </c>
      <c r="Y15" s="401">
        <f t="shared" ref="Y15" si="5">Y14/X14-1</f>
        <v>9.7186680999923114E-2</v>
      </c>
      <c r="Z15" s="1176"/>
      <c r="AA15" s="1064"/>
      <c r="AB15" s="1064"/>
      <c r="AC15" s="1064"/>
      <c r="AD15" s="1064"/>
      <c r="AE15" s="1064"/>
      <c r="AF15" s="1064"/>
      <c r="AG15" s="1064"/>
      <c r="AH15" s="1064"/>
      <c r="AI15" s="1064"/>
      <c r="AJ15" s="1064"/>
      <c r="AK15" s="1064"/>
    </row>
    <row r="16" spans="1:37" ht="13.5" x14ac:dyDescent="0.25">
      <c r="A16" s="16" t="s">
        <v>838</v>
      </c>
      <c r="B16" s="392"/>
      <c r="C16" s="403" t="s">
        <v>5</v>
      </c>
      <c r="D16" s="404"/>
      <c r="E16" s="404"/>
      <c r="F16" s="404"/>
      <c r="G16" s="404"/>
      <c r="H16" s="404"/>
      <c r="I16" s="404"/>
      <c r="J16" s="404">
        <f>IS!BA43</f>
        <v>439.39999999999986</v>
      </c>
      <c r="K16" s="404">
        <f>IS!BF43</f>
        <v>577.39999999999975</v>
      </c>
      <c r="L16" s="404">
        <f>IS!BK43</f>
        <v>637.79999999999995</v>
      </c>
      <c r="M16" s="404">
        <f>IS!BP43</f>
        <v>635.30000000000007</v>
      </c>
      <c r="N16" s="404">
        <f>IS!BU43</f>
        <v>714.6</v>
      </c>
      <c r="O16" s="404">
        <f>IS!CE43</f>
        <v>1595.1</v>
      </c>
      <c r="P16" s="404">
        <f>IS!CJ43</f>
        <v>1854.1799999999994</v>
      </c>
      <c r="Q16" s="404">
        <f>IS!CO43</f>
        <v>2089.8000000000002</v>
      </c>
      <c r="R16" s="404">
        <f>IS!CT43</f>
        <v>2249.7302006775585</v>
      </c>
      <c r="S16" s="405">
        <f>IS!CY43</f>
        <v>2489.7050757143943</v>
      </c>
      <c r="T16" s="404">
        <f>IS!DD43</f>
        <v>2745.1327570816547</v>
      </c>
      <c r="U16" s="404">
        <f>IS!DI43</f>
        <v>2960.464854036753</v>
      </c>
      <c r="V16" s="404">
        <f>IS!DN43</f>
        <v>3317.7383931678914</v>
      </c>
      <c r="W16" s="404">
        <f>IS!DS43</f>
        <v>3637.848866184112</v>
      </c>
      <c r="X16" s="404">
        <f>IS!DX43</f>
        <v>3729.9940574560374</v>
      </c>
      <c r="Y16" s="405">
        <f>IS!EC43</f>
        <v>4071.35329562383</v>
      </c>
      <c r="Z16" s="1223"/>
      <c r="AA16" s="1064"/>
      <c r="AB16" s="1064"/>
      <c r="AC16" s="1064"/>
      <c r="AD16" s="1064"/>
      <c r="AE16" s="1064"/>
      <c r="AF16" s="1064"/>
      <c r="AG16" s="1064"/>
      <c r="AH16" s="1064"/>
      <c r="AI16" s="1064"/>
      <c r="AJ16" s="1064"/>
      <c r="AK16" s="1064"/>
    </row>
    <row r="17" spans="1:37" ht="13.5" customHeight="1" x14ac:dyDescent="0.25">
      <c r="A17" s="1696" t="s">
        <v>839</v>
      </c>
      <c r="B17" s="16"/>
      <c r="C17" s="399" t="s">
        <v>6</v>
      </c>
      <c r="D17" s="400"/>
      <c r="E17" s="400">
        <f>IS!V108</f>
        <v>0</v>
      </c>
      <c r="F17" s="400">
        <f>IS!AA108</f>
        <v>0</v>
      </c>
      <c r="G17" s="400">
        <f>IS!AF108</f>
        <v>0</v>
      </c>
      <c r="H17" s="400">
        <f>IS!AK108</f>
        <v>0</v>
      </c>
      <c r="I17" s="400">
        <f>IS!AP108</f>
        <v>0</v>
      </c>
      <c r="J17" s="400"/>
      <c r="K17" s="400">
        <f t="shared" ref="K17:X17" si="6">K16/J16-1</f>
        <v>0.31406463359126069</v>
      </c>
      <c r="L17" s="400">
        <f t="shared" si="6"/>
        <v>0.10460685833044714</v>
      </c>
      <c r="M17" s="400">
        <f t="shared" si="6"/>
        <v>-3.9197240514265985E-3</v>
      </c>
      <c r="N17" s="400">
        <f t="shared" si="6"/>
        <v>0.12482291830631187</v>
      </c>
      <c r="O17" s="400">
        <f t="shared" si="6"/>
        <v>1.2321578505457595</v>
      </c>
      <c r="P17" s="400">
        <f t="shared" si="6"/>
        <v>0.16242241865713725</v>
      </c>
      <c r="Q17" s="400">
        <f t="shared" si="6"/>
        <v>0.12707504125813074</v>
      </c>
      <c r="R17" s="400">
        <f t="shared" si="6"/>
        <v>7.6528950462990908E-2</v>
      </c>
      <c r="S17" s="401">
        <f t="shared" si="6"/>
        <v>0.10666829069750761</v>
      </c>
      <c r="T17" s="400">
        <f t="shared" si="6"/>
        <v>0.10259354967735224</v>
      </c>
      <c r="U17" s="400">
        <f t="shared" si="6"/>
        <v>7.8441414681895916E-2</v>
      </c>
      <c r="V17" s="400">
        <f t="shared" si="6"/>
        <v>0.12068156750585191</v>
      </c>
      <c r="W17" s="400">
        <f t="shared" si="6"/>
        <v>9.6484543107863363E-2</v>
      </c>
      <c r="X17" s="400">
        <f t="shared" si="6"/>
        <v>2.53295820308721E-2</v>
      </c>
      <c r="Y17" s="401">
        <f t="shared" ref="Y17" si="7">Y16/X16-1</f>
        <v>9.1517367832111063E-2</v>
      </c>
      <c r="Z17" s="1176"/>
      <c r="AA17" s="1064"/>
      <c r="AB17" s="1064"/>
      <c r="AC17" s="1064"/>
      <c r="AD17" s="1064"/>
      <c r="AE17" s="1064"/>
      <c r="AF17" s="1064"/>
      <c r="AG17" s="1064"/>
      <c r="AH17" s="1064"/>
      <c r="AI17" s="1064"/>
      <c r="AJ17" s="1064"/>
      <c r="AK17" s="1064"/>
    </row>
    <row r="18" spans="1:37" ht="13.5" customHeight="1" x14ac:dyDescent="0.2">
      <c r="A18" s="16"/>
      <c r="B18" s="16"/>
      <c r="C18" s="403" t="s">
        <v>436</v>
      </c>
      <c r="D18" s="384"/>
      <c r="E18" s="1559">
        <f>IS!V61</f>
        <v>0.86997193638914871</v>
      </c>
      <c r="F18" s="1559">
        <f>IS!AA61</f>
        <v>1.0172544725641524</v>
      </c>
      <c r="G18" s="1559">
        <f>IS!AF61</f>
        <v>-0.93019005847953207</v>
      </c>
      <c r="H18" s="1559">
        <f>IS!AK61</f>
        <v>-1.1933139534883719</v>
      </c>
      <c r="I18" s="1559">
        <f>IS!AP61</f>
        <v>-1.0044275205311353</v>
      </c>
      <c r="J18" s="1559">
        <f>IS!BA61</f>
        <v>1.1778425655976668</v>
      </c>
      <c r="K18" s="1559">
        <f>IS!BF61</f>
        <v>0.50947731188971801</v>
      </c>
      <c r="L18" s="1559">
        <f>IS!BK61</f>
        <v>0.70460321942953952</v>
      </c>
      <c r="M18" s="1559">
        <f>IS!BP61</f>
        <v>0.85460769929434743</v>
      </c>
      <c r="N18" s="1559">
        <f>IS!BU61</f>
        <v>0.91223650739085582</v>
      </c>
      <c r="O18" s="1559">
        <f>IS!CE61</f>
        <v>1.0924369747899165</v>
      </c>
      <c r="P18" s="1559">
        <f>IS!CJ61</f>
        <v>1.5834459279748914</v>
      </c>
      <c r="Q18" s="1559">
        <f>IS!CO61</f>
        <v>2.0979416540093232</v>
      </c>
      <c r="R18" s="1559">
        <f>IS!CT61</f>
        <v>2.6754078027777957</v>
      </c>
      <c r="S18" s="406">
        <f>IS!CY61</f>
        <v>2.9322302483193732</v>
      </c>
      <c r="T18" s="384">
        <f>IS!DD61</f>
        <v>3.3587450959002152</v>
      </c>
      <c r="U18" s="384">
        <f>IS!DI61</f>
        <v>3.6324255420520197</v>
      </c>
      <c r="V18" s="384">
        <f>IS!DN61</f>
        <v>4.202332149762575</v>
      </c>
      <c r="W18" s="384">
        <f>IS!DS61</f>
        <v>4.7417008378315151</v>
      </c>
      <c r="X18" s="384">
        <f>IS!DX61</f>
        <v>4.9614205827165412</v>
      </c>
      <c r="Y18" s="406">
        <f>IS!EC61</f>
        <v>5.6025303051139765</v>
      </c>
      <c r="Z18" s="1176"/>
      <c r="AA18" s="1064"/>
      <c r="AB18" s="1064"/>
      <c r="AC18" s="1064"/>
      <c r="AD18" s="1064"/>
      <c r="AE18" s="1064"/>
      <c r="AF18" s="1064"/>
      <c r="AG18" s="1064"/>
      <c r="AH18" s="1064"/>
      <c r="AI18" s="1064"/>
      <c r="AJ18" s="1064"/>
      <c r="AK18" s="1064"/>
    </row>
    <row r="19" spans="1:37" ht="13.5" x14ac:dyDescent="0.25">
      <c r="A19" s="392"/>
      <c r="B19" s="392"/>
      <c r="C19" s="399" t="s">
        <v>454</v>
      </c>
      <c r="D19" s="407"/>
      <c r="E19" s="407" t="s">
        <v>437</v>
      </c>
      <c r="F19" s="407">
        <f>IS!AA116</f>
        <v>0.16929573244202034</v>
      </c>
      <c r="G19" s="407">
        <f>IS!AF116</f>
        <v>-1.9144123555778914</v>
      </c>
      <c r="H19" s="407">
        <f>IS!AK116</f>
        <v>0.28287111070498461</v>
      </c>
      <c r="I19" s="407">
        <f>IS!AP116</f>
        <v>-0.15828729095563798</v>
      </c>
      <c r="J19" s="407"/>
      <c r="K19" s="400">
        <f t="shared" ref="K19:X19" si="8">K18/J18-1</f>
        <v>-0.56744871787580842</v>
      </c>
      <c r="L19" s="400">
        <f t="shared" si="8"/>
        <v>0.38299233937635813</v>
      </c>
      <c r="M19" s="400">
        <f t="shared" si="8"/>
        <v>0.21289212953959313</v>
      </c>
      <c r="N19" s="400">
        <f t="shared" si="8"/>
        <v>6.7433055124699548E-2</v>
      </c>
      <c r="O19" s="400">
        <f t="shared" si="8"/>
        <v>0.19753700486561665</v>
      </c>
      <c r="P19" s="400">
        <f t="shared" si="8"/>
        <v>0.44946204176163063</v>
      </c>
      <c r="Q19" s="400">
        <f t="shared" si="8"/>
        <v>0.32492156312052489</v>
      </c>
      <c r="R19" s="400">
        <f t="shared" si="8"/>
        <v>0.27525367431686742</v>
      </c>
      <c r="S19" s="401">
        <f t="shared" si="8"/>
        <v>9.599375664335219E-2</v>
      </c>
      <c r="T19" s="400">
        <f t="shared" si="8"/>
        <v>0.14545748848519024</v>
      </c>
      <c r="U19" s="400">
        <f t="shared" si="8"/>
        <v>8.1482946260455158E-2</v>
      </c>
      <c r="V19" s="400">
        <f t="shared" si="8"/>
        <v>0.15689422979572076</v>
      </c>
      <c r="W19" s="400">
        <f t="shared" si="8"/>
        <v>0.12834984690570295</v>
      </c>
      <c r="X19" s="400">
        <f t="shared" si="8"/>
        <v>4.6337749343442036E-2</v>
      </c>
      <c r="Y19" s="401">
        <f t="shared" ref="Y19" si="9">Y18/X18-1</f>
        <v>0.12921898309342827</v>
      </c>
      <c r="Z19" s="1176"/>
      <c r="AA19" s="1064"/>
      <c r="AB19" s="1064"/>
      <c r="AC19" s="1064"/>
      <c r="AD19" s="1064"/>
      <c r="AE19" s="1064"/>
      <c r="AF19" s="1064"/>
      <c r="AG19" s="1064"/>
      <c r="AH19" s="1064"/>
      <c r="AI19" s="1064"/>
      <c r="AJ19" s="1064"/>
      <c r="AK19" s="1064"/>
    </row>
    <row r="20" spans="1:37" x14ac:dyDescent="0.2">
      <c r="A20" s="15"/>
      <c r="B20" s="15"/>
      <c r="C20" s="403" t="s">
        <v>44</v>
      </c>
      <c r="D20" s="408"/>
      <c r="E20" s="408">
        <v>6.6000000000000003E-2</v>
      </c>
      <c r="F20" s="408">
        <v>2.5000000000000001E-2</v>
      </c>
      <c r="G20" s="408">
        <v>3.5999999999999997E-2</v>
      </c>
      <c r="H20" s="408">
        <v>5.425E-2</v>
      </c>
      <c r="I20" s="408">
        <v>4.0000000000000001E-3</v>
      </c>
      <c r="J20" s="408">
        <f>IS!BA134</f>
        <v>-0.06</v>
      </c>
      <c r="K20" s="408">
        <f>IS!BF134</f>
        <v>-3.4000000000000002E-2</v>
      </c>
      <c r="L20" s="408">
        <f>IS!BK134</f>
        <v>3.5000000000000003E-2</v>
      </c>
      <c r="M20" s="408">
        <f>IS!BP134</f>
        <v>-9.0500134264232014E-3</v>
      </c>
      <c r="N20" s="408">
        <f>IS!BU134</f>
        <v>2.0749999999999998E-2</v>
      </c>
      <c r="O20" s="408">
        <f>IS!CE134</f>
        <v>5.7000000000000002E-2</v>
      </c>
      <c r="P20" s="408">
        <f>IS!CJ134</f>
        <v>1.0999999999999999E-2</v>
      </c>
      <c r="Q20" s="408">
        <f>IS!CO134</f>
        <v>2.5000000000000001E-2</v>
      </c>
      <c r="R20" s="408">
        <f>IS!CT134</f>
        <v>2.3E-2</v>
      </c>
      <c r="S20" s="409">
        <f>IS!CY134</f>
        <v>0.02</v>
      </c>
      <c r="T20" s="408">
        <f>IS!DD134</f>
        <v>0.02</v>
      </c>
      <c r="U20" s="408">
        <f>IS!DI134</f>
        <v>0.02</v>
      </c>
      <c r="V20" s="408">
        <f>IS!DN134</f>
        <v>0.02</v>
      </c>
      <c r="W20" s="408">
        <f>IS!DS134</f>
        <v>0.02</v>
      </c>
      <c r="X20" s="408">
        <f>IS!DX134</f>
        <v>0.02</v>
      </c>
      <c r="Y20" s="409">
        <f>IS!EC134</f>
        <v>0.02</v>
      </c>
      <c r="Z20" s="1176"/>
      <c r="AA20" s="1064"/>
      <c r="AB20" s="1064"/>
      <c r="AC20" s="1064"/>
      <c r="AD20" s="1064"/>
      <c r="AE20" s="1064"/>
      <c r="AF20" s="1064"/>
      <c r="AG20" s="1064"/>
      <c r="AH20" s="1064"/>
      <c r="AI20" s="1064"/>
      <c r="AJ20" s="1064"/>
      <c r="AK20" s="1064"/>
    </row>
    <row r="21" spans="1:37" ht="13.5" thickBot="1" x14ac:dyDescent="0.25">
      <c r="A21" s="15"/>
      <c r="B21" s="15"/>
      <c r="C21" s="403" t="s">
        <v>7</v>
      </c>
      <c r="D21" s="408"/>
      <c r="E21" s="408"/>
      <c r="F21" s="408"/>
      <c r="G21" s="408"/>
      <c r="H21" s="408"/>
      <c r="I21" s="408"/>
      <c r="J21" s="408">
        <f>IS!BA133</f>
        <v>-2.8000000000000001E-2</v>
      </c>
      <c r="K21" s="408">
        <f>IS!BF133</f>
        <v>-5.0000000000000001E-3</v>
      </c>
      <c r="L21" s="408">
        <f>IS!BK133</f>
        <v>3.2000000000000001E-2</v>
      </c>
      <c r="M21" s="408">
        <f>IS!BP133</f>
        <v>4.5110668032487013E-3</v>
      </c>
      <c r="N21" s="408">
        <f>IS!BU133</f>
        <v>2.0634279255296848E-2</v>
      </c>
      <c r="O21" s="408">
        <f>IS!CE133</f>
        <v>5.3499999999999999E-2</v>
      </c>
      <c r="P21" s="408">
        <f>IS!CJ133</f>
        <v>2.4250000000000001E-2</v>
      </c>
      <c r="Q21" s="408">
        <f>IS!CO133</f>
        <v>3.1E-2</v>
      </c>
      <c r="R21" s="408">
        <f>IS!CT133</f>
        <v>2.325E-2</v>
      </c>
      <c r="S21" s="409">
        <f>IS!CY133</f>
        <v>2.1422866101756328E-2</v>
      </c>
      <c r="T21" s="408">
        <f>IS!DD133</f>
        <v>2.150005773881385E-2</v>
      </c>
      <c r="U21" s="408">
        <f>IS!DI133</f>
        <v>2.156948791189783E-2</v>
      </c>
      <c r="V21" s="408">
        <f>IS!DN133</f>
        <v>2.1635412886739973E-2</v>
      </c>
      <c r="W21" s="408">
        <f>IS!DS133</f>
        <v>2.1697109447434339E-2</v>
      </c>
      <c r="X21" s="408">
        <f>IS!DX133</f>
        <v>2.1754098618861205E-2</v>
      </c>
      <c r="Y21" s="409">
        <f>IS!EC133</f>
        <v>2.1806777153161344E-2</v>
      </c>
      <c r="Z21" s="1176"/>
      <c r="AA21" s="1064"/>
      <c r="AB21" s="1064"/>
      <c r="AC21" s="1064"/>
      <c r="AD21" s="1064"/>
      <c r="AE21" s="1064"/>
      <c r="AF21" s="1064"/>
      <c r="AG21" s="1064"/>
      <c r="AH21" s="1064"/>
      <c r="AI21" s="1064"/>
      <c r="AJ21" s="1064"/>
      <c r="AK21" s="1064"/>
    </row>
    <row r="22" spans="1:37" x14ac:dyDescent="0.2">
      <c r="A22" s="395" t="s">
        <v>443</v>
      </c>
      <c r="B22" s="58"/>
      <c r="C22" s="403" t="s">
        <v>456</v>
      </c>
      <c r="D22" s="411"/>
      <c r="E22" s="411">
        <v>11104</v>
      </c>
      <c r="F22" s="411">
        <v>11129</v>
      </c>
      <c r="G22" s="411">
        <v>11283</v>
      </c>
      <c r="H22" s="411">
        <v>11565</v>
      </c>
      <c r="I22" s="411">
        <v>11925</v>
      </c>
      <c r="J22" s="411"/>
      <c r="K22" s="411">
        <f>IS!BF125</f>
        <v>16526</v>
      </c>
      <c r="L22" s="411">
        <f>IS!BK125</f>
        <v>17261</v>
      </c>
      <c r="M22" s="411">
        <f>IS!BP125</f>
        <v>18294</v>
      </c>
      <c r="N22" s="411">
        <f>IS!BU125</f>
        <v>18630</v>
      </c>
      <c r="O22" s="411">
        <f>IS!CE125</f>
        <v>19416</v>
      </c>
      <c r="P22" s="411">
        <f>IS!CJ125</f>
        <v>20351</v>
      </c>
      <c r="Q22" s="411">
        <f>IS!CO125</f>
        <v>24407</v>
      </c>
      <c r="R22" s="411">
        <f>IS!CT125</f>
        <v>25801</v>
      </c>
      <c r="S22" s="412">
        <f>IS!CY125</f>
        <v>27307</v>
      </c>
      <c r="T22" s="411">
        <f>IS!DD125</f>
        <v>28837</v>
      </c>
      <c r="U22" s="411">
        <f>IS!DI125</f>
        <v>30405</v>
      </c>
      <c r="V22" s="411">
        <f>IS!DN125</f>
        <v>32068</v>
      </c>
      <c r="W22" s="411">
        <f>IS!DS125</f>
        <v>33795</v>
      </c>
      <c r="X22" s="411">
        <f>IS!DX125</f>
        <v>35566</v>
      </c>
      <c r="Y22" s="412">
        <f>IS!EC125</f>
        <v>37381</v>
      </c>
      <c r="AD22" s="1064"/>
      <c r="AE22" s="1064"/>
      <c r="AF22" s="1064"/>
      <c r="AG22" s="1064"/>
      <c r="AH22" s="1064"/>
      <c r="AI22" s="1064"/>
      <c r="AJ22" s="1064"/>
      <c r="AK22" s="1064"/>
    </row>
    <row r="23" spans="1:37" ht="13.5" thickBot="1" x14ac:dyDescent="0.25">
      <c r="A23" s="396" t="s">
        <v>445</v>
      </c>
      <c r="B23" s="397"/>
      <c r="C23" s="415" t="s">
        <v>457</v>
      </c>
      <c r="D23" s="435"/>
      <c r="E23" s="435" t="e">
        <f>E22/D22-1</f>
        <v>#DIV/0!</v>
      </c>
      <c r="F23" s="435">
        <f>F22/E22-1</f>
        <v>2.2514409221900955E-3</v>
      </c>
      <c r="G23" s="435">
        <f>G22/F22-1</f>
        <v>1.3837721268757264E-2</v>
      </c>
      <c r="H23" s="435">
        <f>H22/G22-1</f>
        <v>2.4993352831693683E-2</v>
      </c>
      <c r="I23" s="435">
        <f>I22/H22-1</f>
        <v>3.112840466926059E-2</v>
      </c>
      <c r="J23" s="435"/>
      <c r="K23" s="934"/>
      <c r="L23" s="934">
        <f>L22/K22-1</f>
        <v>4.447537214086883E-2</v>
      </c>
      <c r="M23" s="934">
        <f t="shared" ref="M23:Y23" si="10">M22/L22-1</f>
        <v>5.9845895371067659E-2</v>
      </c>
      <c r="N23" s="934">
        <f t="shared" si="10"/>
        <v>1.8366677599212844E-2</v>
      </c>
      <c r="O23" s="934">
        <f t="shared" si="10"/>
        <v>4.2190016103059502E-2</v>
      </c>
      <c r="P23" s="934">
        <f t="shared" si="10"/>
        <v>4.8156159868149917E-2</v>
      </c>
      <c r="Q23" s="934">
        <f t="shared" si="10"/>
        <v>0.1993022455898974</v>
      </c>
      <c r="R23" s="934">
        <f t="shared" si="10"/>
        <v>5.711476215839717E-2</v>
      </c>
      <c r="S23" s="935">
        <f t="shared" si="10"/>
        <v>5.8369830626719965E-2</v>
      </c>
      <c r="T23" s="934">
        <f t="shared" si="10"/>
        <v>5.6029589482550213E-2</v>
      </c>
      <c r="U23" s="934">
        <f t="shared" si="10"/>
        <v>5.4374588202656282E-2</v>
      </c>
      <c r="V23" s="934">
        <f t="shared" si="10"/>
        <v>5.4694951488241994E-2</v>
      </c>
      <c r="W23" s="934">
        <f t="shared" si="10"/>
        <v>5.3854309592116678E-2</v>
      </c>
      <c r="X23" s="934">
        <f t="shared" si="10"/>
        <v>5.2404201805000827E-2</v>
      </c>
      <c r="Y23" s="935">
        <f t="shared" si="10"/>
        <v>5.1031884383962112E-2</v>
      </c>
      <c r="Z23" s="1176"/>
      <c r="AA23" s="1064"/>
      <c r="AB23" s="1064"/>
      <c r="AC23" s="1064"/>
      <c r="AD23" s="1064"/>
      <c r="AE23" s="1064"/>
      <c r="AF23" s="1064"/>
      <c r="AG23" s="1064"/>
      <c r="AH23" s="1064"/>
      <c r="AI23" s="1064"/>
      <c r="AJ23" s="1064"/>
      <c r="AK23" s="1064"/>
    </row>
    <row r="24" spans="1:37" x14ac:dyDescent="0.2">
      <c r="A24" s="396" t="s">
        <v>447</v>
      </c>
      <c r="B24" s="397"/>
      <c r="C24" s="410"/>
      <c r="D24" s="319"/>
      <c r="E24" s="319"/>
      <c r="F24" s="319"/>
      <c r="G24" s="319"/>
      <c r="H24" s="319"/>
      <c r="I24" s="319"/>
      <c r="J24" s="319"/>
      <c r="K24" s="319"/>
      <c r="L24" s="319"/>
      <c r="M24" s="319"/>
      <c r="N24" s="319"/>
      <c r="O24" s="398"/>
      <c r="P24" s="398"/>
      <c r="Q24" s="398"/>
      <c r="R24" s="398"/>
      <c r="S24" s="398"/>
      <c r="T24" s="398"/>
      <c r="U24" s="398"/>
      <c r="V24" s="398"/>
      <c r="W24" s="398"/>
      <c r="X24" s="398"/>
      <c r="Y24" s="398"/>
      <c r="Z24" s="1064"/>
      <c r="AA24" s="1064"/>
      <c r="AB24" s="1064"/>
      <c r="AC24" s="1064"/>
      <c r="AD24" s="1064"/>
      <c r="AE24" s="1064"/>
      <c r="AF24" s="1064"/>
      <c r="AG24" s="1064"/>
      <c r="AH24" s="1064"/>
      <c r="AI24" s="1064"/>
      <c r="AJ24" s="1064"/>
      <c r="AK24" s="1064"/>
    </row>
    <row r="25" spans="1:37" x14ac:dyDescent="0.2">
      <c r="A25" s="396" t="s">
        <v>449</v>
      </c>
      <c r="B25" s="402"/>
      <c r="C25" s="37"/>
      <c r="D25" s="400"/>
      <c r="E25" s="400"/>
      <c r="F25" s="400"/>
      <c r="G25" s="400"/>
      <c r="H25" s="400"/>
      <c r="I25" s="400"/>
      <c r="J25" s="400"/>
      <c r="K25" s="400"/>
      <c r="L25" s="400"/>
      <c r="M25" s="400"/>
      <c r="N25" s="400"/>
      <c r="O25" s="398"/>
      <c r="P25" s="398"/>
      <c r="Q25" s="398"/>
      <c r="R25" s="398"/>
      <c r="S25" s="398"/>
      <c r="T25" s="398"/>
      <c r="U25" s="398"/>
      <c r="V25" s="398"/>
      <c r="W25" s="398"/>
      <c r="X25" s="398"/>
      <c r="Y25" s="398"/>
      <c r="Z25" s="1064"/>
      <c r="AA25" s="1064"/>
      <c r="AB25" s="1064"/>
      <c r="AC25" s="1064"/>
      <c r="AD25" s="1064"/>
      <c r="AE25" s="1064"/>
      <c r="AF25" s="1064"/>
      <c r="AG25" s="1064"/>
      <c r="AH25" s="1064"/>
      <c r="AI25" s="1064"/>
      <c r="AJ25" s="1064"/>
      <c r="AK25" s="1064"/>
    </row>
    <row r="26" spans="1:37" ht="13.5" thickBot="1" x14ac:dyDescent="0.25">
      <c r="A26" s="396" t="s">
        <v>450</v>
      </c>
      <c r="B26" s="397"/>
      <c r="C26" s="15"/>
      <c r="D26" s="15"/>
      <c r="E26" s="15"/>
      <c r="F26" s="15"/>
      <c r="G26" s="15"/>
      <c r="H26" s="15"/>
      <c r="I26" s="15"/>
      <c r="J26" s="15"/>
      <c r="K26" s="15"/>
      <c r="L26" s="15"/>
      <c r="M26" s="15"/>
      <c r="N26" s="15"/>
      <c r="O26" s="15"/>
      <c r="P26" s="398"/>
      <c r="Q26" s="398"/>
      <c r="R26" s="398"/>
      <c r="S26" s="398"/>
      <c r="T26" s="398"/>
      <c r="U26" s="398"/>
      <c r="V26" s="398"/>
      <c r="W26" s="398"/>
      <c r="X26" s="398"/>
      <c r="Y26" s="398"/>
      <c r="Z26" s="1064"/>
      <c r="AA26" s="1064"/>
      <c r="AB26" s="1064"/>
      <c r="AC26" s="1064"/>
      <c r="AD26" s="1064"/>
      <c r="AE26" s="1064"/>
      <c r="AF26" s="1064"/>
      <c r="AG26" s="1064"/>
      <c r="AH26" s="1064"/>
      <c r="AI26" s="1064"/>
      <c r="AJ26" s="1064"/>
      <c r="AK26" s="1064"/>
    </row>
    <row r="27" spans="1:37" x14ac:dyDescent="0.2">
      <c r="A27" s="396" t="s">
        <v>452</v>
      </c>
      <c r="B27" s="397"/>
      <c r="C27" s="994" t="s">
        <v>549</v>
      </c>
      <c r="D27" s="995"/>
      <c r="E27" s="996"/>
      <c r="F27" s="996"/>
      <c r="G27" s="996"/>
      <c r="H27" s="996"/>
      <c r="I27" s="996"/>
      <c r="J27" s="995"/>
      <c r="K27" s="995"/>
      <c r="L27" s="995"/>
      <c r="M27" s="995"/>
      <c r="N27" s="995"/>
      <c r="O27" s="997"/>
      <c r="P27" s="997"/>
      <c r="Q27" s="997"/>
      <c r="R27" s="997"/>
      <c r="S27" s="998"/>
      <c r="T27" s="1166"/>
      <c r="U27" s="1166"/>
      <c r="V27" s="1166"/>
      <c r="W27" s="1166"/>
      <c r="X27" s="1166"/>
      <c r="Y27" s="998"/>
      <c r="Z27" s="1175"/>
      <c r="AA27" s="1064"/>
      <c r="AB27" s="1064"/>
      <c r="AC27" s="1064"/>
      <c r="AD27" s="1064"/>
      <c r="AE27" s="1064"/>
      <c r="AF27" s="1064"/>
      <c r="AG27" s="1064"/>
      <c r="AH27" s="1064"/>
      <c r="AI27" s="1064"/>
      <c r="AJ27" s="1064"/>
      <c r="AK27" s="1064"/>
    </row>
    <row r="28" spans="1:37" x14ac:dyDescent="0.2">
      <c r="A28" s="396" t="s">
        <v>453</v>
      </c>
      <c r="B28" s="397"/>
      <c r="C28" s="999"/>
      <c r="D28" s="937"/>
      <c r="E28" s="818" t="s">
        <v>404</v>
      </c>
      <c r="F28" s="818" t="s">
        <v>400</v>
      </c>
      <c r="G28" s="818" t="s">
        <v>401</v>
      </c>
      <c r="H28" s="818" t="s">
        <v>402</v>
      </c>
      <c r="I28" s="818" t="s">
        <v>403</v>
      </c>
      <c r="J28" s="818" t="s">
        <v>561</v>
      </c>
      <c r="K28" s="818" t="s">
        <v>550</v>
      </c>
      <c r="L28" s="818" t="str">
        <f t="shared" ref="L28:Y28" si="11">L9</f>
        <v>2012A</v>
      </c>
      <c r="M28" s="818" t="str">
        <f t="shared" si="11"/>
        <v>2013A</v>
      </c>
      <c r="N28" s="818" t="str">
        <f t="shared" si="11"/>
        <v>2014A</v>
      </c>
      <c r="O28" s="818" t="str">
        <f t="shared" si="11"/>
        <v>2015A</v>
      </c>
      <c r="P28" s="818" t="str">
        <f t="shared" si="11"/>
        <v>2016A</v>
      </c>
      <c r="Q28" s="818" t="str">
        <f t="shared" si="11"/>
        <v>2017A</v>
      </c>
      <c r="R28" s="818" t="str">
        <f t="shared" si="11"/>
        <v>2018E</v>
      </c>
      <c r="S28" s="1000" t="str">
        <f t="shared" si="11"/>
        <v>2019E</v>
      </c>
      <c r="T28" s="818" t="str">
        <f t="shared" si="11"/>
        <v>2020E</v>
      </c>
      <c r="U28" s="818" t="str">
        <f t="shared" si="11"/>
        <v>2021E</v>
      </c>
      <c r="V28" s="818" t="str">
        <f t="shared" si="11"/>
        <v>2022E</v>
      </c>
      <c r="W28" s="818" t="str">
        <f t="shared" si="11"/>
        <v>2023E</v>
      </c>
      <c r="X28" s="818" t="str">
        <f t="shared" si="11"/>
        <v>2024E</v>
      </c>
      <c r="Y28" s="1000" t="str">
        <f t="shared" si="11"/>
        <v>2025E</v>
      </c>
      <c r="Z28" s="1175"/>
      <c r="AA28" s="1064"/>
      <c r="AB28" s="1064"/>
      <c r="AC28" s="1064"/>
      <c r="AD28" s="1064"/>
      <c r="AE28" s="1064"/>
      <c r="AF28" s="1064"/>
      <c r="AG28" s="1064"/>
      <c r="AH28" s="1064"/>
      <c r="AI28" s="1064"/>
      <c r="AJ28" s="1064"/>
      <c r="AK28" s="1064"/>
    </row>
    <row r="29" spans="1:37" x14ac:dyDescent="0.2">
      <c r="A29" s="396" t="s">
        <v>455</v>
      </c>
      <c r="B29" s="397"/>
      <c r="C29" s="1001" t="s">
        <v>85</v>
      </c>
      <c r="D29" s="1694">
        <v>62.06</v>
      </c>
      <c r="E29" s="938"/>
      <c r="F29" s="939"/>
      <c r="G29" s="939"/>
      <c r="H29" s="939"/>
      <c r="I29" s="939"/>
      <c r="J29" s="939"/>
      <c r="K29" s="939"/>
      <c r="L29" s="939"/>
      <c r="M29" s="939"/>
      <c r="N29" s="939"/>
      <c r="O29" s="284"/>
      <c r="P29" s="284"/>
      <c r="Q29" s="284"/>
      <c r="R29" s="284"/>
      <c r="S29" s="1002"/>
      <c r="T29" s="410"/>
      <c r="U29" s="410"/>
      <c r="V29" s="410"/>
      <c r="W29" s="410"/>
      <c r="X29" s="410"/>
      <c r="Y29" s="1002"/>
      <c r="Z29" s="1175"/>
      <c r="AA29" s="1252">
        <v>39.679993000000003</v>
      </c>
      <c r="AB29" s="1255">
        <f t="shared" ref="AB29:AB34" si="12">$D$30*AA29+$D$32+$D$33</f>
        <v>30061.844649800001</v>
      </c>
      <c r="AC29" s="1064"/>
      <c r="AD29" s="1064"/>
      <c r="AE29" s="1064"/>
      <c r="AF29" s="1064"/>
      <c r="AG29" s="1064"/>
      <c r="AH29" s="1064"/>
      <c r="AI29" s="1064"/>
      <c r="AJ29" s="1064"/>
      <c r="AK29" s="1064"/>
    </row>
    <row r="30" spans="1:37" ht="13.5" thickBot="1" x14ac:dyDescent="0.25">
      <c r="A30" s="413"/>
      <c r="B30" s="410"/>
      <c r="C30" s="1001" t="s">
        <v>71</v>
      </c>
      <c r="D30" s="1211">
        <f>IS!CM67</f>
        <v>478.6</v>
      </c>
      <c r="E30" s="612"/>
      <c r="F30" s="612"/>
      <c r="G30" s="612"/>
      <c r="H30" s="612"/>
      <c r="I30" s="612"/>
      <c r="J30" s="612"/>
      <c r="K30" s="612"/>
      <c r="L30" s="612"/>
      <c r="M30" s="612"/>
      <c r="N30" s="612"/>
      <c r="O30" s="284"/>
      <c r="P30" s="284"/>
      <c r="Q30" s="284"/>
      <c r="R30" s="284"/>
      <c r="S30" s="1002"/>
      <c r="T30" s="410"/>
      <c r="U30" s="410"/>
      <c r="V30" s="410"/>
      <c r="W30" s="410"/>
      <c r="X30" s="410"/>
      <c r="Y30" s="1002"/>
      <c r="Z30" s="1175"/>
      <c r="AA30" s="1252">
        <v>39.039994</v>
      </c>
      <c r="AB30" s="1255">
        <f t="shared" si="12"/>
        <v>29755.5411284</v>
      </c>
      <c r="AC30" s="1064"/>
      <c r="AD30" s="1064"/>
      <c r="AE30" s="1064"/>
      <c r="AF30" s="1064"/>
      <c r="AG30" s="1064"/>
      <c r="AH30" s="1064"/>
      <c r="AI30" s="1064"/>
      <c r="AJ30" s="1064"/>
      <c r="AK30" s="1064"/>
    </row>
    <row r="31" spans="1:37" x14ac:dyDescent="0.2">
      <c r="A31" s="410"/>
      <c r="B31" s="414"/>
      <c r="C31" s="1001" t="s">
        <v>81</v>
      </c>
      <c r="D31" s="611">
        <f>D30*D29</f>
        <v>29701.916000000001</v>
      </c>
      <c r="E31" s="612"/>
      <c r="F31" s="612"/>
      <c r="G31" s="612"/>
      <c r="H31" s="612"/>
      <c r="I31" s="612"/>
      <c r="J31" s="612"/>
      <c r="K31" s="612"/>
      <c r="L31" s="612"/>
      <c r="M31" s="612"/>
      <c r="N31" s="612"/>
      <c r="O31" s="284"/>
      <c r="P31" s="284"/>
      <c r="Q31" s="284"/>
      <c r="R31" s="284"/>
      <c r="S31" s="1002"/>
      <c r="T31" s="410"/>
      <c r="U31" s="410"/>
      <c r="V31" s="410"/>
      <c r="W31" s="410"/>
      <c r="X31" s="410"/>
      <c r="Y31" s="1002"/>
      <c r="Z31" s="1175"/>
      <c r="AA31" s="1252">
        <v>39.330002</v>
      </c>
      <c r="AB31" s="1255">
        <f t="shared" si="12"/>
        <v>29894.338957200001</v>
      </c>
      <c r="AC31" s="1064"/>
      <c r="AD31" s="1064"/>
      <c r="AE31" s="1064"/>
      <c r="AF31" s="1064"/>
      <c r="AG31" s="1064"/>
      <c r="AH31" s="1064"/>
      <c r="AI31" s="1064"/>
      <c r="AJ31" s="1064"/>
      <c r="AK31" s="1064"/>
    </row>
    <row r="32" spans="1:37" x14ac:dyDescent="0.2">
      <c r="A32" s="410"/>
      <c r="B32" s="410"/>
      <c r="C32" s="1001" t="s">
        <v>86</v>
      </c>
      <c r="D32" s="613">
        <f>BS!CH33+BS!CH31-BS!CH10</f>
        <v>7774</v>
      </c>
      <c r="E32" s="614"/>
      <c r="F32" s="614"/>
      <c r="G32" s="614"/>
      <c r="H32" s="614"/>
      <c r="I32" s="614"/>
      <c r="J32" s="614"/>
      <c r="K32" s="614"/>
      <c r="L32" s="614"/>
      <c r="M32" s="614"/>
      <c r="N32" s="614"/>
      <c r="O32" s="284"/>
      <c r="P32" s="284"/>
      <c r="Q32" s="284"/>
      <c r="R32" s="284"/>
      <c r="S32" s="1002"/>
      <c r="T32" s="410"/>
      <c r="U32" s="410"/>
      <c r="V32" s="410"/>
      <c r="W32" s="410"/>
      <c r="X32" s="410"/>
      <c r="Y32" s="1002"/>
      <c r="Z32" s="1175"/>
      <c r="AA32" s="1252">
        <v>40.39</v>
      </c>
      <c r="AB32" s="1255">
        <f t="shared" si="12"/>
        <v>30401.654000000002</v>
      </c>
      <c r="AC32" s="1064"/>
      <c r="AD32" s="1064"/>
      <c r="AE32" s="1064"/>
      <c r="AF32" s="1064"/>
      <c r="AG32" s="1064"/>
      <c r="AH32" s="1064"/>
      <c r="AI32" s="1064"/>
      <c r="AJ32" s="1064"/>
      <c r="AK32" s="1064"/>
    </row>
    <row r="33" spans="1:37" x14ac:dyDescent="0.2">
      <c r="A33" s="410"/>
      <c r="B33" s="410"/>
      <c r="C33" s="1165" t="s">
        <v>38</v>
      </c>
      <c r="D33" s="613">
        <f>BS!CH39</f>
        <v>3297</v>
      </c>
      <c r="E33" s="614"/>
      <c r="F33" s="614"/>
      <c r="G33" s="614"/>
      <c r="H33" s="614"/>
      <c r="I33" s="614"/>
      <c r="J33" s="614"/>
      <c r="K33" s="614"/>
      <c r="L33" s="614"/>
      <c r="M33" s="614"/>
      <c r="N33" s="614"/>
      <c r="O33" s="284"/>
      <c r="P33" s="284"/>
      <c r="Q33" s="284"/>
      <c r="R33" s="284"/>
      <c r="S33" s="1002"/>
      <c r="T33" s="410"/>
      <c r="U33" s="410"/>
      <c r="V33" s="410"/>
      <c r="W33" s="410"/>
      <c r="X33" s="410"/>
      <c r="Y33" s="1002"/>
      <c r="Z33" s="1175"/>
      <c r="AA33" s="1252">
        <v>38.910004000000001</v>
      </c>
      <c r="AB33" s="1255">
        <f t="shared" si="12"/>
        <v>29693.327914400001</v>
      </c>
      <c r="AC33" s="1064"/>
      <c r="AD33" s="1064"/>
      <c r="AE33" s="1064"/>
      <c r="AF33" s="1064"/>
      <c r="AG33" s="1064"/>
      <c r="AH33" s="1064"/>
      <c r="AI33" s="1064"/>
      <c r="AJ33" s="1064"/>
      <c r="AK33" s="1064"/>
    </row>
    <row r="34" spans="1:37" ht="12.75" customHeight="1" x14ac:dyDescent="0.2">
      <c r="A34" s="410"/>
      <c r="B34" s="410"/>
      <c r="C34" s="1001" t="s">
        <v>65</v>
      </c>
      <c r="D34" s="613">
        <f>D32+D31+D33</f>
        <v>40772.915999999997</v>
      </c>
      <c r="E34" s="614"/>
      <c r="F34" s="614"/>
      <c r="G34" s="614"/>
      <c r="H34" s="614"/>
      <c r="I34" s="614"/>
      <c r="J34" s="614"/>
      <c r="K34" s="614"/>
      <c r="L34" s="614"/>
      <c r="M34" s="614"/>
      <c r="N34" s="614"/>
      <c r="O34" s="284"/>
      <c r="P34" s="284"/>
      <c r="Q34" s="284"/>
      <c r="R34" s="284"/>
      <c r="S34" s="1002"/>
      <c r="T34" s="410"/>
      <c r="U34" s="410"/>
      <c r="V34" s="410"/>
      <c r="W34" s="410"/>
      <c r="X34" s="410"/>
      <c r="Y34" s="1002"/>
      <c r="Z34" s="1175"/>
      <c r="AA34" s="1252">
        <v>38.330002</v>
      </c>
      <c r="AB34" s="1255">
        <f t="shared" si="12"/>
        <v>29415.738957199999</v>
      </c>
      <c r="AC34" s="1064"/>
      <c r="AD34" s="1064"/>
      <c r="AE34" s="1064"/>
      <c r="AF34" s="1064"/>
      <c r="AG34" s="1064"/>
      <c r="AH34" s="1064"/>
      <c r="AI34" s="1064"/>
      <c r="AJ34" s="1064"/>
      <c r="AK34" s="1064"/>
    </row>
    <row r="35" spans="1:37" ht="12.75" customHeight="1" x14ac:dyDescent="0.2">
      <c r="A35" s="410"/>
      <c r="B35" s="410"/>
      <c r="C35" s="1165" t="s">
        <v>809</v>
      </c>
      <c r="D35" s="613"/>
      <c r="E35" s="614"/>
      <c r="F35" s="614"/>
      <c r="G35" s="614"/>
      <c r="H35" s="614"/>
      <c r="I35" s="614"/>
      <c r="J35" s="614"/>
      <c r="K35" s="614"/>
      <c r="L35" s="614"/>
      <c r="M35" s="614"/>
      <c r="N35" s="1622">
        <v>120.6</v>
      </c>
      <c r="O35" s="1622">
        <v>282.7</v>
      </c>
      <c r="P35" s="1622">
        <v>273.3</v>
      </c>
      <c r="Q35" s="21"/>
      <c r="R35" s="21"/>
      <c r="S35" s="1002"/>
      <c r="T35" s="410"/>
      <c r="U35" s="410"/>
      <c r="V35" s="410"/>
      <c r="W35" s="410"/>
      <c r="X35" s="410"/>
      <c r="Y35" s="1002"/>
      <c r="Z35" s="1175"/>
      <c r="AA35" s="1252"/>
      <c r="AB35" s="1255"/>
      <c r="AC35" s="1064"/>
      <c r="AD35" s="1064"/>
      <c r="AE35" s="1064"/>
      <c r="AF35" s="1064"/>
      <c r="AG35" s="1064"/>
      <c r="AH35" s="1064"/>
      <c r="AI35" s="1064"/>
      <c r="AJ35" s="1064"/>
      <c r="AK35" s="1064"/>
    </row>
    <row r="36" spans="1:37" ht="12.75" customHeight="1" x14ac:dyDescent="0.2">
      <c r="A36" s="410"/>
      <c r="B36" s="410"/>
      <c r="C36" s="1165" t="s">
        <v>810</v>
      </c>
      <c r="D36" s="613"/>
      <c r="E36" s="614"/>
      <c r="F36" s="614"/>
      <c r="G36" s="614"/>
      <c r="H36" s="614"/>
      <c r="I36" s="614"/>
      <c r="J36" s="614"/>
      <c r="K36" s="614"/>
      <c r="L36" s="614"/>
      <c r="M36" s="614"/>
      <c r="N36" s="1622">
        <f>N35*8</f>
        <v>964.8</v>
      </c>
      <c r="O36" s="1622">
        <f>O35*8</f>
        <v>2261.6</v>
      </c>
      <c r="P36" s="1622">
        <f>P35*8</f>
        <v>2186.4</v>
      </c>
      <c r="Q36" s="21"/>
      <c r="R36" s="21"/>
      <c r="S36" s="1002"/>
      <c r="T36" s="410"/>
      <c r="U36" s="410"/>
      <c r="V36" s="410"/>
      <c r="W36" s="410"/>
      <c r="X36" s="410"/>
      <c r="Y36" s="1002"/>
      <c r="Z36" s="1175"/>
      <c r="AA36" s="1252"/>
      <c r="AB36" s="1255"/>
      <c r="AC36" s="1064"/>
      <c r="AD36" s="1064"/>
      <c r="AE36" s="1064"/>
      <c r="AF36" s="1064"/>
      <c r="AG36" s="1064"/>
      <c r="AH36" s="1064"/>
      <c r="AI36" s="1064"/>
      <c r="AJ36" s="1064"/>
      <c r="AK36" s="1064"/>
    </row>
    <row r="37" spans="1:37" x14ac:dyDescent="0.2">
      <c r="A37" s="410"/>
      <c r="B37" s="410"/>
      <c r="C37" s="1003" t="s">
        <v>82</v>
      </c>
      <c r="D37" s="615"/>
      <c r="E37" s="616"/>
      <c r="F37" s="617"/>
      <c r="G37" s="616"/>
      <c r="H37" s="616"/>
      <c r="I37" s="616"/>
      <c r="J37" s="616"/>
      <c r="K37" s="616"/>
      <c r="L37" s="616"/>
      <c r="M37" s="616"/>
      <c r="N37" s="616">
        <f>D34/N16</f>
        <v>57.056977329974806</v>
      </c>
      <c r="O37" s="616">
        <f>D34/O16</f>
        <v>25.56135414707542</v>
      </c>
      <c r="P37" s="616">
        <f t="shared" ref="P37:Y37" si="13">$D$34/P16</f>
        <v>21.989729152509472</v>
      </c>
      <c r="Q37" s="616">
        <f t="shared" si="13"/>
        <v>19.510439276485783</v>
      </c>
      <c r="R37" s="616">
        <f t="shared" si="13"/>
        <v>18.123469199871295</v>
      </c>
      <c r="S37" s="1004">
        <f t="shared" si="13"/>
        <v>16.376604762433818</v>
      </c>
      <c r="T37" s="616">
        <f t="shared" si="13"/>
        <v>14.852802981865841</v>
      </c>
      <c r="U37" s="616">
        <f t="shared" si="13"/>
        <v>13.772470882200793</v>
      </c>
      <c r="V37" s="616">
        <f t="shared" si="13"/>
        <v>12.289370398812128</v>
      </c>
      <c r="W37" s="616">
        <f t="shared" si="13"/>
        <v>11.207974135211497</v>
      </c>
      <c r="X37" s="616">
        <f t="shared" si="13"/>
        <v>10.931094090752598</v>
      </c>
      <c r="Y37" s="1004">
        <f t="shared" si="13"/>
        <v>10.014585578663862</v>
      </c>
      <c r="Z37" s="1175"/>
      <c r="AA37" s="1252">
        <v>38.100006999999998</v>
      </c>
      <c r="AB37" s="1255">
        <f t="shared" ref="AB37:AB46" si="14">$D$30*AA37+$D$32+$D$33</f>
        <v>29305.6633502</v>
      </c>
      <c r="AC37" s="1064"/>
      <c r="AD37" s="1064"/>
      <c r="AE37" s="1064"/>
      <c r="AF37" s="1064"/>
      <c r="AG37" s="1064"/>
      <c r="AH37" s="1064"/>
      <c r="AI37" s="1064"/>
      <c r="AJ37" s="1064"/>
      <c r="AK37" s="1064"/>
    </row>
    <row r="38" spans="1:37" x14ac:dyDescent="0.2">
      <c r="A38" s="410" t="s">
        <v>576</v>
      </c>
      <c r="B38" s="410"/>
      <c r="C38" s="1003" t="s">
        <v>87</v>
      </c>
      <c r="D38" s="618"/>
      <c r="E38" s="616"/>
      <c r="F38" s="617"/>
      <c r="G38" s="616"/>
      <c r="H38" s="616"/>
      <c r="I38" s="616"/>
      <c r="J38" s="616"/>
      <c r="K38" s="616"/>
      <c r="L38" s="616"/>
      <c r="M38" s="616"/>
      <c r="N38" s="616">
        <f>D29/N18</f>
        <v>68.030603354717357</v>
      </c>
      <c r="O38" s="616">
        <f>D29/O18</f>
        <v>56.808769230769201</v>
      </c>
      <c r="P38" s="616">
        <f t="shared" ref="P38:Y38" si="15">$D$29/P18</f>
        <v>39.19300236501924</v>
      </c>
      <c r="Q38" s="616">
        <f t="shared" si="15"/>
        <v>29.58137557419612</v>
      </c>
      <c r="R38" s="616">
        <f t="shared" si="15"/>
        <v>23.196463707538328</v>
      </c>
      <c r="S38" s="1004">
        <f t="shared" si="15"/>
        <v>21.164777232473504</v>
      </c>
      <c r="T38" s="616">
        <f t="shared" si="15"/>
        <v>18.47713899925073</v>
      </c>
      <c r="U38" s="616">
        <f t="shared" si="15"/>
        <v>17.085002646727684</v>
      </c>
      <c r="V38" s="616">
        <f t="shared" si="15"/>
        <v>14.767990198848583</v>
      </c>
      <c r="W38" s="616">
        <f t="shared" si="15"/>
        <v>13.088130635500281</v>
      </c>
      <c r="X38" s="616">
        <f t="shared" si="15"/>
        <v>12.508514238077375</v>
      </c>
      <c r="Y38" s="1004">
        <f t="shared" si="15"/>
        <v>11.077137761013409</v>
      </c>
      <c r="Z38" s="1175"/>
      <c r="AA38" s="1252">
        <v>39.020004999999998</v>
      </c>
      <c r="AB38" s="1255">
        <f t="shared" si="14"/>
        <v>29745.974393</v>
      </c>
      <c r="AC38" s="1064"/>
      <c r="AD38" s="1064"/>
      <c r="AE38" s="1064"/>
      <c r="AF38" s="1064"/>
      <c r="AG38" s="1064"/>
      <c r="AH38" s="1064"/>
      <c r="AI38" s="1064"/>
      <c r="AJ38" s="1064"/>
      <c r="AK38" s="1064"/>
    </row>
    <row r="39" spans="1:37" x14ac:dyDescent="0.2">
      <c r="A39" s="21"/>
      <c r="B39" s="21"/>
      <c r="C39" s="1007" t="s">
        <v>407</v>
      </c>
      <c r="D39" s="650"/>
      <c r="E39" s="651"/>
      <c r="F39" s="652"/>
      <c r="G39" s="651"/>
      <c r="H39" s="651"/>
      <c r="I39" s="651"/>
      <c r="J39" s="651"/>
      <c r="K39" s="651"/>
      <c r="L39" s="651"/>
      <c r="M39" s="651"/>
      <c r="N39" s="932">
        <f>'CF '!BU91</f>
        <v>228.40000000000006</v>
      </c>
      <c r="O39" s="932">
        <f>'CF '!BZ91</f>
        <v>819.5</v>
      </c>
      <c r="P39" s="932">
        <f>'CF '!CE91</f>
        <v>965.3</v>
      </c>
      <c r="Q39" s="932">
        <f>'CF '!CJ91</f>
        <v>1345.3000000000002</v>
      </c>
      <c r="R39" s="932">
        <f>'CF '!CO91</f>
        <v>1251.4418996547258</v>
      </c>
      <c r="S39" s="933">
        <f>'CF '!CT91</f>
        <v>1475.4051420398059</v>
      </c>
      <c r="T39" s="932">
        <f>'CF '!CY91</f>
        <v>1692.1623280498209</v>
      </c>
      <c r="U39" s="932">
        <f>'CF '!DD91</f>
        <v>1920.6712981334824</v>
      </c>
      <c r="V39" s="932">
        <f>'CF '!DI91</f>
        <v>2214.5732487013834</v>
      </c>
      <c r="W39" s="932">
        <f>'CF '!DN91</f>
        <v>2484.7145998852093</v>
      </c>
      <c r="X39" s="932">
        <f>'CF '!DS91</f>
        <v>2655.5101765418626</v>
      </c>
      <c r="Y39" s="933">
        <f>'CF '!DX91</f>
        <v>2894.0407236031147</v>
      </c>
      <c r="Z39" s="1175"/>
      <c r="AA39" s="1252">
        <v>40.970002000000001</v>
      </c>
      <c r="AB39" s="1255">
        <f t="shared" si="14"/>
        <v>30679.2429572</v>
      </c>
      <c r="AC39" s="1064"/>
      <c r="AD39" s="1064"/>
      <c r="AE39" s="1064"/>
      <c r="AF39" s="1064"/>
      <c r="AG39" s="1064"/>
      <c r="AH39" s="1064"/>
      <c r="AI39" s="1064"/>
      <c r="AJ39" s="1064"/>
      <c r="AK39" s="1064"/>
    </row>
    <row r="40" spans="1:37" x14ac:dyDescent="0.2">
      <c r="A40" s="284"/>
      <c r="B40" s="284"/>
      <c r="C40" s="1003" t="s">
        <v>140</v>
      </c>
      <c r="D40" s="618"/>
      <c r="E40" s="616"/>
      <c r="F40" s="617"/>
      <c r="G40" s="616"/>
      <c r="H40" s="616"/>
      <c r="I40" s="663"/>
      <c r="J40" s="663"/>
      <c r="K40" s="663"/>
      <c r="L40" s="663"/>
      <c r="M40" s="663"/>
      <c r="N40" s="663">
        <f t="shared" ref="N40:Y40" si="16">N39/$D$31</f>
        <v>7.689739611410929E-3</v>
      </c>
      <c r="O40" s="663">
        <f t="shared" si="16"/>
        <v>2.7590812660031761E-2</v>
      </c>
      <c r="P40" s="663">
        <f t="shared" si="16"/>
        <v>3.2499586895336982E-2</v>
      </c>
      <c r="Q40" s="663">
        <f t="shared" si="16"/>
        <v>4.5293374339891071E-2</v>
      </c>
      <c r="R40" s="663">
        <f t="shared" si="16"/>
        <v>4.2133372798398787E-2</v>
      </c>
      <c r="S40" s="1005">
        <f t="shared" si="16"/>
        <v>4.9673736268051057E-2</v>
      </c>
      <c r="T40" s="663">
        <f t="shared" si="16"/>
        <v>5.6971487228292643E-2</v>
      </c>
      <c r="U40" s="663">
        <f t="shared" si="16"/>
        <v>6.4664895629409302E-2</v>
      </c>
      <c r="V40" s="663">
        <f t="shared" si="16"/>
        <v>7.4559945853371321E-2</v>
      </c>
      <c r="W40" s="663">
        <f t="shared" si="16"/>
        <v>8.3655027503451607E-2</v>
      </c>
      <c r="X40" s="663">
        <f t="shared" si="16"/>
        <v>8.9405349356649663E-2</v>
      </c>
      <c r="Y40" s="1005">
        <f t="shared" si="16"/>
        <v>9.7436162825425623E-2</v>
      </c>
      <c r="Z40" s="1175"/>
      <c r="AA40" s="1252">
        <v>42.690002999999997</v>
      </c>
      <c r="AB40" s="1255">
        <f t="shared" si="14"/>
        <v>31502.435435799998</v>
      </c>
      <c r="AC40" s="1064"/>
      <c r="AD40" s="1064"/>
      <c r="AE40" s="1064"/>
      <c r="AF40" s="1064"/>
      <c r="AG40" s="1064"/>
      <c r="AH40" s="1064"/>
      <c r="AI40" s="1064"/>
      <c r="AJ40" s="1064"/>
      <c r="AK40" s="1064"/>
    </row>
    <row r="41" spans="1:37" x14ac:dyDescent="0.2">
      <c r="A41" s="284"/>
      <c r="B41" s="284"/>
      <c r="C41" s="1003" t="s">
        <v>819</v>
      </c>
      <c r="D41" s="618"/>
      <c r="E41" s="616"/>
      <c r="F41" s="617"/>
      <c r="G41" s="616"/>
      <c r="H41" s="616"/>
      <c r="I41" s="663"/>
      <c r="J41" s="663"/>
      <c r="K41" s="663"/>
      <c r="L41" s="663"/>
      <c r="M41" s="663"/>
      <c r="N41" s="663"/>
      <c r="O41" s="284"/>
      <c r="P41" s="284"/>
      <c r="Q41" s="284"/>
      <c r="R41" s="284"/>
      <c r="S41" s="1006"/>
      <c r="T41" s="284"/>
      <c r="U41" s="284"/>
      <c r="V41" s="284"/>
      <c r="W41" s="284"/>
      <c r="X41" s="284"/>
      <c r="Y41" s="1006"/>
      <c r="Z41" s="1175"/>
      <c r="AA41" s="1252">
        <v>42.539994</v>
      </c>
      <c r="AB41" s="1255">
        <f t="shared" si="14"/>
        <v>31430.641128400002</v>
      </c>
      <c r="AC41" s="1064"/>
      <c r="AD41" s="1064"/>
      <c r="AE41" s="1064"/>
      <c r="AF41" s="1064"/>
      <c r="AG41" s="1064"/>
      <c r="AH41" s="1064"/>
      <c r="AI41" s="1064"/>
      <c r="AJ41" s="1064"/>
      <c r="AK41" s="1064"/>
    </row>
    <row r="42" spans="1:37" ht="12.75" customHeight="1" x14ac:dyDescent="0.2">
      <c r="A42" s="284"/>
      <c r="B42" s="284"/>
      <c r="C42" s="1003"/>
      <c r="D42" s="618"/>
      <c r="E42" s="616"/>
      <c r="F42" s="617"/>
      <c r="G42" s="616"/>
      <c r="H42" s="616"/>
      <c r="I42" s="663"/>
      <c r="J42" s="663"/>
      <c r="K42" s="663"/>
      <c r="L42" s="663"/>
      <c r="M42" s="663"/>
      <c r="N42" s="940">
        <f>IS!BU411+IS!BU414</f>
        <v>0.2904090752836026</v>
      </c>
      <c r="O42" s="940">
        <f>IS!CE411+IS!CE414</f>
        <v>0.43091068486344541</v>
      </c>
      <c r="P42" s="940">
        <f>IS!CJ411+IS!CJ414</f>
        <v>0.60856184659822343</v>
      </c>
      <c r="Q42" s="940">
        <f>IS!CO411+IS!CO414</f>
        <v>0.75621940329963866</v>
      </c>
      <c r="R42" s="940">
        <f>IS!CT411+IS!CT414</f>
        <v>1.7620615830662056</v>
      </c>
      <c r="S42" s="1008">
        <f>IS!CY411+IS!CY414</f>
        <v>1.9102111247897491</v>
      </c>
      <c r="T42" s="940">
        <f>IS!DD411+IS!DD414</f>
        <v>2.1249230038093461</v>
      </c>
      <c r="U42" s="940">
        <f>IS!DI411+IS!DI414</f>
        <v>2.3628255269836904</v>
      </c>
      <c r="V42" s="940">
        <f>IS!DN411+IS!DN414</f>
        <v>2.5901360778572191</v>
      </c>
      <c r="W42" s="940">
        <f>IS!DS411+IS!DS414</f>
        <v>2.8836825755085647</v>
      </c>
      <c r="X42" s="940">
        <f>IS!DX411+IS!DX414</f>
        <v>3.1782018605805722</v>
      </c>
      <c r="Y42" s="1008">
        <f>IS!EC411+IS!EC414</f>
        <v>3.4689823297928313</v>
      </c>
      <c r="Z42" s="1175"/>
      <c r="AA42" s="1252">
        <v>39.330002</v>
      </c>
      <c r="AB42" s="1255">
        <f t="shared" si="14"/>
        <v>29894.338957200001</v>
      </c>
      <c r="AC42" s="1064"/>
      <c r="AD42" s="1064"/>
      <c r="AE42" s="1064"/>
      <c r="AF42" s="1064"/>
      <c r="AG42" s="1064"/>
      <c r="AH42" s="1064"/>
      <c r="AI42" s="1064"/>
      <c r="AJ42" s="1064"/>
      <c r="AK42" s="1064"/>
    </row>
    <row r="43" spans="1:37" ht="13.5" thickBot="1" x14ac:dyDescent="0.25">
      <c r="A43" s="284"/>
      <c r="B43" s="284"/>
      <c r="C43" s="1167" t="s">
        <v>574</v>
      </c>
      <c r="D43" s="1168"/>
      <c r="E43" s="1169"/>
      <c r="F43" s="1170"/>
      <c r="G43" s="1169"/>
      <c r="H43" s="1169"/>
      <c r="I43" s="1171"/>
      <c r="J43" s="1171"/>
      <c r="K43" s="1171"/>
      <c r="L43" s="1172"/>
      <c r="M43" s="1172"/>
      <c r="N43" s="1173">
        <f t="shared" ref="N43:Y43" si="17">N42/$D$29</f>
        <v>4.6794888057299809E-3</v>
      </c>
      <c r="O43" s="1173">
        <f t="shared" si="17"/>
        <v>6.9434528659917082E-3</v>
      </c>
      <c r="P43" s="1173">
        <f t="shared" si="17"/>
        <v>9.806023954209207E-3</v>
      </c>
      <c r="Q43" s="1173">
        <f t="shared" si="17"/>
        <v>1.2185294929095047E-2</v>
      </c>
      <c r="R43" s="1173">
        <f t="shared" si="17"/>
        <v>2.8392871141898254E-2</v>
      </c>
      <c r="S43" s="1174">
        <f t="shared" si="17"/>
        <v>3.0780069687234114E-2</v>
      </c>
      <c r="T43" s="1173">
        <f t="shared" si="17"/>
        <v>3.4239816368181533E-2</v>
      </c>
      <c r="U43" s="1173">
        <f t="shared" si="17"/>
        <v>3.8073244069991789E-2</v>
      </c>
      <c r="V43" s="1173">
        <f t="shared" si="17"/>
        <v>4.1735998676397344E-2</v>
      </c>
      <c r="W43" s="1173">
        <f t="shared" si="17"/>
        <v>4.6466042144836683E-2</v>
      </c>
      <c r="X43" s="1173">
        <f t="shared" si="17"/>
        <v>5.1211760563657303E-2</v>
      </c>
      <c r="Y43" s="1174">
        <f t="shared" si="17"/>
        <v>5.5897233802655995E-2</v>
      </c>
      <c r="Z43" s="1175"/>
      <c r="AA43" s="1252">
        <v>39.649994</v>
      </c>
      <c r="AB43" s="1255">
        <f t="shared" si="14"/>
        <v>30047.4871284</v>
      </c>
      <c r="AC43" s="1064"/>
      <c r="AD43" s="1064"/>
      <c r="AE43" s="1064"/>
      <c r="AF43" s="1064"/>
      <c r="AG43" s="1064"/>
      <c r="AH43" s="1064"/>
      <c r="AI43" s="1064"/>
      <c r="AJ43" s="1064"/>
      <c r="AK43" s="1064"/>
    </row>
    <row r="44" spans="1:37" x14ac:dyDescent="0.2">
      <c r="A44" s="1064"/>
      <c r="B44" s="1064"/>
      <c r="C44" s="1064"/>
      <c r="D44" s="1064"/>
      <c r="E44" s="1064"/>
      <c r="F44" s="1064"/>
      <c r="G44" s="1064"/>
      <c r="H44" s="1064"/>
      <c r="I44" s="1064"/>
      <c r="J44" s="1064"/>
      <c r="K44" s="1064"/>
      <c r="L44" s="1064"/>
      <c r="M44" s="1064"/>
      <c r="N44" s="1064"/>
      <c r="O44" s="1064"/>
      <c r="P44" s="1064"/>
      <c r="Q44" s="1064"/>
      <c r="R44" s="1064"/>
      <c r="Z44" s="1064"/>
      <c r="AA44" s="1253">
        <v>38.759995000000004</v>
      </c>
      <c r="AB44" s="1255">
        <f t="shared" si="14"/>
        <v>29621.533607000001</v>
      </c>
      <c r="AC44" s="1064"/>
      <c r="AD44" s="1064"/>
      <c r="AE44" s="1064"/>
      <c r="AF44" s="1064"/>
      <c r="AG44" s="1064"/>
      <c r="AH44" s="1064"/>
      <c r="AI44" s="1064"/>
      <c r="AJ44" s="1064"/>
      <c r="AK44" s="1064"/>
    </row>
    <row r="45" spans="1:37" x14ac:dyDescent="0.2">
      <c r="A45" s="1064"/>
      <c r="B45" s="1064"/>
      <c r="C45" s="1064"/>
      <c r="D45" s="1064"/>
      <c r="E45" s="1064"/>
      <c r="F45" s="1064"/>
      <c r="G45" s="1064"/>
      <c r="H45" s="1064"/>
      <c r="I45" s="1064"/>
      <c r="J45" s="1064"/>
      <c r="K45" s="1064"/>
      <c r="L45" s="1064"/>
      <c r="M45" s="1064"/>
      <c r="N45" s="1064"/>
      <c r="O45" s="1064"/>
      <c r="P45" s="1064"/>
      <c r="Q45" s="1064"/>
      <c r="R45" s="1064"/>
      <c r="Z45" s="1064"/>
      <c r="AA45" s="1253">
        <v>38.380004999999997</v>
      </c>
      <c r="AB45" s="1255">
        <f t="shared" si="14"/>
        <v>29439.670393</v>
      </c>
      <c r="AC45" s="1064"/>
      <c r="AD45" s="1064"/>
      <c r="AE45" s="1064"/>
      <c r="AF45" s="1064"/>
      <c r="AG45" s="1064"/>
      <c r="AH45" s="1064"/>
      <c r="AI45" s="1064"/>
      <c r="AJ45" s="1064"/>
      <c r="AK45" s="1064"/>
    </row>
    <row r="46" spans="1:37" x14ac:dyDescent="0.2">
      <c r="A46" s="1064"/>
      <c r="B46" s="1064"/>
      <c r="C46" s="1064"/>
      <c r="D46" s="1064"/>
      <c r="E46" s="1064"/>
      <c r="F46" s="1064"/>
      <c r="G46" s="1064"/>
      <c r="H46" s="1064"/>
      <c r="I46" s="1064"/>
      <c r="J46" s="1064"/>
      <c r="K46" s="1064"/>
      <c r="L46" s="1064"/>
      <c r="M46" s="1064"/>
      <c r="N46" s="1064"/>
      <c r="O46" s="1064"/>
      <c r="P46" s="1064"/>
      <c r="Q46" s="1064"/>
      <c r="R46" s="1064"/>
      <c r="Z46" s="1064"/>
      <c r="AA46" s="1254">
        <v>38.880004999999997</v>
      </c>
      <c r="AB46" s="1255">
        <f t="shared" si="14"/>
        <v>29678.970393</v>
      </c>
      <c r="AC46" s="1064"/>
      <c r="AD46" s="1064"/>
      <c r="AE46" s="1064"/>
      <c r="AF46" s="1064"/>
      <c r="AG46" s="1064"/>
      <c r="AH46" s="1064"/>
      <c r="AI46" s="1064"/>
      <c r="AJ46" s="1064"/>
      <c r="AK46" s="1064"/>
    </row>
    <row r="47" spans="1:37" x14ac:dyDescent="0.2">
      <c r="A47" s="1064"/>
      <c r="B47" s="1064"/>
      <c r="C47" s="1064"/>
      <c r="D47" s="1064"/>
      <c r="E47" s="1064"/>
      <c r="F47" s="1064"/>
      <c r="G47" s="1064"/>
      <c r="H47" s="1064"/>
      <c r="I47" s="1064"/>
      <c r="J47" s="1064"/>
      <c r="K47" s="1064"/>
      <c r="L47" s="1064"/>
      <c r="M47" s="1064"/>
      <c r="N47" s="1064"/>
      <c r="O47" s="1064"/>
      <c r="P47" s="1064"/>
      <c r="Q47" s="1064"/>
      <c r="R47" s="1064"/>
      <c r="Z47" s="1064"/>
      <c r="AA47" s="1064"/>
      <c r="AB47" s="1064"/>
      <c r="AC47" s="1064"/>
      <c r="AD47" s="1064"/>
      <c r="AE47" s="1064"/>
      <c r="AF47" s="1064"/>
      <c r="AG47" s="1064"/>
      <c r="AH47" s="1064"/>
      <c r="AI47" s="1064"/>
      <c r="AJ47" s="1064"/>
      <c r="AK47" s="1064"/>
    </row>
    <row r="48" spans="1:37" x14ac:dyDescent="0.2">
      <c r="A48" s="1064"/>
      <c r="B48" s="1064"/>
      <c r="C48" s="1064"/>
      <c r="D48" s="1064"/>
      <c r="E48" s="1064"/>
      <c r="F48" s="1064"/>
      <c r="G48" s="1064"/>
      <c r="H48" s="1064"/>
      <c r="I48" s="1064"/>
      <c r="J48" s="1064"/>
      <c r="K48" s="1064"/>
      <c r="L48" s="1064"/>
      <c r="M48" s="1064"/>
      <c r="N48" s="1064"/>
      <c r="O48" s="1064"/>
      <c r="P48" s="1064"/>
      <c r="Q48" s="1064"/>
      <c r="R48" s="1064"/>
      <c r="Z48" s="1064"/>
      <c r="AA48" s="1064"/>
      <c r="AB48" s="1064"/>
      <c r="AC48" s="1064"/>
      <c r="AD48" s="1064"/>
      <c r="AE48" s="1064"/>
      <c r="AF48" s="1064"/>
      <c r="AG48" s="1064"/>
      <c r="AH48" s="1064"/>
      <c r="AI48" s="1064"/>
      <c r="AJ48" s="1064"/>
      <c r="AK48" s="1064"/>
    </row>
    <row r="49" spans="1:37" x14ac:dyDescent="0.2">
      <c r="A49" s="1064"/>
      <c r="B49" s="1064"/>
      <c r="C49" s="1064"/>
      <c r="D49" s="1064"/>
      <c r="E49" s="1064"/>
      <c r="F49" s="1064"/>
      <c r="G49" s="1064"/>
      <c r="H49" s="1064"/>
      <c r="I49" s="1064"/>
      <c r="J49" s="1064"/>
      <c r="K49" s="1064"/>
      <c r="L49" s="1064"/>
      <c r="M49" s="1064"/>
      <c r="N49" s="1064"/>
      <c r="O49" s="1064"/>
      <c r="P49" s="1064"/>
      <c r="Q49" s="1064"/>
      <c r="R49" s="1064"/>
      <c r="Z49" s="1064"/>
      <c r="AA49" s="1064"/>
      <c r="AB49" s="1064"/>
      <c r="AC49" s="1064"/>
      <c r="AD49" s="1064"/>
      <c r="AE49" s="1064"/>
      <c r="AF49" s="1064"/>
      <c r="AG49" s="1064"/>
      <c r="AH49" s="1064"/>
      <c r="AI49" s="1064"/>
      <c r="AJ49" s="1064"/>
      <c r="AK49" s="1064"/>
    </row>
    <row r="50" spans="1:37" x14ac:dyDescent="0.2">
      <c r="A50" s="1064"/>
      <c r="B50" s="1064"/>
      <c r="C50" s="1064"/>
      <c r="D50" s="1064"/>
      <c r="E50" s="1064"/>
      <c r="F50" s="1064"/>
      <c r="G50" s="1064"/>
      <c r="H50" s="1064"/>
      <c r="I50" s="1064"/>
      <c r="J50" s="1064"/>
      <c r="K50" s="1064"/>
      <c r="L50" s="1064"/>
      <c r="M50" s="1064"/>
      <c r="N50" s="1064"/>
      <c r="O50" s="1064"/>
      <c r="P50" s="1064"/>
      <c r="Q50" s="1064"/>
      <c r="R50" s="1064"/>
      <c r="Z50" s="1064"/>
      <c r="AA50" s="1064"/>
      <c r="AB50" s="1064"/>
      <c r="AC50" s="1064"/>
      <c r="AD50" s="1064"/>
      <c r="AE50" s="1064"/>
      <c r="AF50" s="1064"/>
      <c r="AG50" s="1064"/>
      <c r="AH50" s="1064"/>
      <c r="AI50" s="1064"/>
      <c r="AJ50" s="1064"/>
      <c r="AK50" s="1064"/>
    </row>
    <row r="51" spans="1:37" x14ac:dyDescent="0.2">
      <c r="A51" s="1064"/>
      <c r="B51" s="1064"/>
      <c r="C51" s="1064"/>
      <c r="D51" s="1064"/>
      <c r="E51" s="1064"/>
      <c r="F51" s="1064"/>
      <c r="G51" s="1064"/>
      <c r="H51" s="1064"/>
      <c r="I51" s="1064"/>
      <c r="J51" s="1064"/>
      <c r="K51" s="1064"/>
      <c r="L51" s="1064"/>
      <c r="M51" s="1064"/>
      <c r="N51" s="1064"/>
      <c r="O51" s="1064"/>
      <c r="P51" s="1064"/>
      <c r="Q51" s="1064"/>
      <c r="R51" s="1064"/>
      <c r="Z51" s="1064"/>
      <c r="AA51" s="1064"/>
      <c r="AB51" s="1064"/>
      <c r="AC51" s="1064"/>
      <c r="AD51" s="1064"/>
      <c r="AE51" s="1064"/>
      <c r="AF51" s="1064"/>
      <c r="AG51" s="1064"/>
      <c r="AH51" s="1064"/>
      <c r="AI51" s="1064"/>
      <c r="AJ51" s="1064"/>
      <c r="AK51" s="1064"/>
    </row>
    <row r="52" spans="1:37" x14ac:dyDescent="0.2">
      <c r="A52" s="1064"/>
      <c r="B52" s="1064"/>
      <c r="C52" s="1064"/>
      <c r="D52" s="1064"/>
      <c r="E52" s="1064"/>
      <c r="F52" s="1064"/>
      <c r="G52" s="1064"/>
      <c r="H52" s="1064"/>
      <c r="I52" s="1064"/>
      <c r="J52" s="1064"/>
      <c r="K52" s="1064"/>
      <c r="L52" s="1064"/>
      <c r="M52" s="1064"/>
      <c r="N52" s="1064"/>
      <c r="O52" s="1064"/>
      <c r="P52" s="1064"/>
      <c r="Q52" s="1064"/>
      <c r="R52" s="1064"/>
      <c r="Z52" s="1064"/>
      <c r="AA52" s="1064"/>
      <c r="AB52" s="1064"/>
      <c r="AC52" s="1064"/>
      <c r="AD52" s="1064"/>
      <c r="AE52" s="1064"/>
      <c r="AF52" s="1064"/>
      <c r="AG52" s="1064"/>
      <c r="AH52" s="1064"/>
      <c r="AI52" s="1064"/>
      <c r="AJ52" s="1064"/>
      <c r="AK52" s="1064"/>
    </row>
    <row r="53" spans="1:37" x14ac:dyDescent="0.2">
      <c r="A53" s="1064"/>
      <c r="B53" s="1064"/>
      <c r="C53" s="1064"/>
      <c r="D53" s="1064"/>
      <c r="E53" s="1064"/>
      <c r="F53" s="1064"/>
      <c r="G53" s="1064"/>
      <c r="H53" s="1064"/>
      <c r="I53" s="1064"/>
      <c r="J53" s="1064"/>
      <c r="K53" s="1064"/>
      <c r="L53" s="1064"/>
      <c r="M53" s="1064"/>
      <c r="N53" s="1064"/>
      <c r="O53" s="1064"/>
      <c r="P53" s="1064"/>
      <c r="Q53" s="1064"/>
      <c r="R53" s="1064"/>
      <c r="Z53" s="1064"/>
      <c r="AA53" s="1064"/>
      <c r="AB53" s="1064"/>
      <c r="AC53" s="1064"/>
      <c r="AD53" s="1064"/>
      <c r="AE53" s="1064"/>
      <c r="AF53" s="1064"/>
      <c r="AG53" s="1064"/>
      <c r="AH53" s="1064"/>
      <c r="AI53" s="1064"/>
      <c r="AJ53" s="1064"/>
      <c r="AK53" s="1064"/>
    </row>
    <row r="54" spans="1:37" x14ac:dyDescent="0.2">
      <c r="A54" s="1064"/>
      <c r="B54" s="1064"/>
      <c r="C54" s="1064"/>
      <c r="D54" s="1064"/>
      <c r="E54" s="1064"/>
      <c r="F54" s="1064"/>
      <c r="G54" s="1064"/>
      <c r="H54" s="1064"/>
      <c r="I54" s="1064"/>
      <c r="J54" s="1064"/>
      <c r="K54" s="1064"/>
      <c r="L54" s="1064"/>
      <c r="M54" s="1064"/>
      <c r="N54" s="1064"/>
      <c r="O54" s="1064"/>
      <c r="P54" s="1064"/>
      <c r="Q54" s="1064"/>
      <c r="R54" s="1064"/>
      <c r="Z54" s="1064"/>
      <c r="AA54" s="1064"/>
      <c r="AB54" s="1064"/>
      <c r="AC54" s="1064"/>
      <c r="AD54" s="1064"/>
      <c r="AE54" s="1064"/>
      <c r="AF54" s="1064"/>
      <c r="AG54" s="1064"/>
      <c r="AH54" s="1064"/>
      <c r="AI54" s="1064"/>
      <c r="AJ54" s="1064"/>
      <c r="AK54" s="1064"/>
    </row>
    <row r="55" spans="1:37" x14ac:dyDescent="0.2">
      <c r="A55" s="1064"/>
      <c r="B55" s="1064"/>
      <c r="C55" s="1064"/>
      <c r="D55" s="1064"/>
      <c r="E55" s="1064"/>
      <c r="F55" s="1064"/>
      <c r="G55" s="1064"/>
      <c r="H55" s="1064"/>
      <c r="I55" s="1064"/>
      <c r="J55" s="1064"/>
      <c r="K55" s="1064"/>
      <c r="L55" s="1064"/>
      <c r="M55" s="1064"/>
      <c r="N55" s="1064"/>
      <c r="O55" s="1064"/>
      <c r="P55" s="1064"/>
      <c r="Q55" s="1064"/>
      <c r="R55" s="1064"/>
      <c r="Z55" s="1064"/>
      <c r="AA55" s="1064"/>
      <c r="AB55" s="1064"/>
      <c r="AC55" s="1064"/>
      <c r="AD55" s="1064"/>
      <c r="AE55" s="1064"/>
      <c r="AF55" s="1064"/>
      <c r="AG55" s="1064"/>
      <c r="AH55" s="1064"/>
      <c r="AI55" s="1064"/>
      <c r="AJ55" s="1064"/>
      <c r="AK55" s="1064"/>
    </row>
    <row r="56" spans="1:37" x14ac:dyDescent="0.2">
      <c r="A56" s="1064"/>
      <c r="B56" s="1064"/>
      <c r="C56" s="1064"/>
      <c r="D56" s="1064"/>
      <c r="E56" s="1064"/>
      <c r="F56" s="1064"/>
      <c r="G56" s="1064"/>
      <c r="H56" s="1064"/>
      <c r="I56" s="1064"/>
      <c r="J56" s="1064"/>
      <c r="K56" s="1064"/>
      <c r="L56" s="1064"/>
      <c r="M56" s="1064"/>
      <c r="N56" s="1064"/>
      <c r="O56" s="1064"/>
      <c r="P56" s="1064"/>
      <c r="Q56" s="1064"/>
      <c r="R56" s="1064"/>
      <c r="Z56" s="1064"/>
      <c r="AA56" s="1064"/>
      <c r="AB56" s="1064"/>
      <c r="AC56" s="1064"/>
      <c r="AD56" s="1064"/>
      <c r="AE56" s="1064"/>
      <c r="AF56" s="1064"/>
      <c r="AG56" s="1064"/>
      <c r="AH56" s="1064"/>
      <c r="AI56" s="1064"/>
      <c r="AJ56" s="1064"/>
      <c r="AK56" s="1064"/>
    </row>
    <row r="57" spans="1:37" x14ac:dyDescent="0.2">
      <c r="A57" s="1064"/>
      <c r="B57" s="1064"/>
      <c r="C57" s="1064"/>
      <c r="D57" s="1064"/>
      <c r="E57" s="1064"/>
      <c r="F57" s="1064"/>
      <c r="G57" s="1064"/>
      <c r="H57" s="1064"/>
      <c r="I57" s="1064"/>
      <c r="J57" s="1064"/>
      <c r="K57" s="1064"/>
      <c r="L57" s="1064"/>
      <c r="M57" s="1064"/>
      <c r="N57" s="1064"/>
      <c r="O57" s="1064"/>
      <c r="P57" s="1064"/>
      <c r="Q57" s="1064"/>
      <c r="R57" s="1064"/>
      <c r="Z57" s="1064"/>
      <c r="AA57" s="1064"/>
      <c r="AB57" s="1064"/>
      <c r="AC57" s="1064"/>
      <c r="AD57" s="1064"/>
      <c r="AE57" s="1064"/>
      <c r="AF57" s="1064"/>
      <c r="AG57" s="1064"/>
      <c r="AH57" s="1064"/>
      <c r="AI57" s="1064"/>
      <c r="AJ57" s="1064"/>
      <c r="AK57" s="1064"/>
    </row>
    <row r="58" spans="1:37" x14ac:dyDescent="0.2">
      <c r="A58" s="1064"/>
      <c r="B58" s="1064"/>
      <c r="C58" s="1064"/>
      <c r="D58" s="1064"/>
      <c r="E58" s="1064"/>
      <c r="F58" s="1064"/>
      <c r="G58" s="1064"/>
      <c r="H58" s="1064"/>
      <c r="I58" s="1064"/>
      <c r="J58" s="1064"/>
      <c r="K58" s="1064"/>
      <c r="L58" s="1064"/>
      <c r="M58" s="1064"/>
      <c r="N58" s="1064"/>
      <c r="O58" s="1064"/>
      <c r="P58" s="1064"/>
      <c r="Q58" s="1064"/>
      <c r="R58" s="1064"/>
      <c r="Z58" s="1064"/>
      <c r="AA58" s="1064"/>
      <c r="AB58" s="1064"/>
      <c r="AC58" s="1064"/>
      <c r="AD58" s="1064"/>
      <c r="AE58" s="1064"/>
      <c r="AF58" s="1064"/>
      <c r="AG58" s="1064"/>
      <c r="AH58" s="1064"/>
      <c r="AI58" s="1064"/>
      <c r="AJ58" s="1064"/>
      <c r="AK58" s="1064"/>
    </row>
    <row r="59" spans="1:37" x14ac:dyDescent="0.2">
      <c r="A59" s="1064"/>
      <c r="B59" s="1064"/>
      <c r="C59" s="1064"/>
      <c r="D59" s="1064"/>
      <c r="E59" s="1064"/>
      <c r="F59" s="1064"/>
      <c r="G59" s="1064"/>
      <c r="H59" s="1064"/>
      <c r="I59" s="1064"/>
      <c r="J59" s="1064"/>
      <c r="K59" s="1064"/>
      <c r="L59" s="1064"/>
      <c r="M59" s="1064"/>
      <c r="N59" s="1064"/>
      <c r="O59" s="1064"/>
      <c r="P59" s="1064"/>
      <c r="Q59" s="1064"/>
      <c r="R59" s="1064"/>
      <c r="Z59" s="1064"/>
      <c r="AA59" s="1064"/>
      <c r="AB59" s="1064"/>
      <c r="AC59" s="1064"/>
      <c r="AD59" s="1064"/>
      <c r="AE59" s="1064"/>
      <c r="AF59" s="1064"/>
      <c r="AG59" s="1064"/>
      <c r="AH59" s="1064"/>
      <c r="AI59" s="1064"/>
      <c r="AJ59" s="1064"/>
      <c r="AK59" s="1064"/>
    </row>
    <row r="60" spans="1:37" x14ac:dyDescent="0.2">
      <c r="A60" s="1064"/>
      <c r="B60" s="1064"/>
      <c r="C60" s="1064"/>
      <c r="D60" s="1064"/>
      <c r="E60" s="1064"/>
      <c r="F60" s="1064"/>
      <c r="G60" s="1064"/>
      <c r="H60" s="1064"/>
      <c r="I60" s="1064"/>
      <c r="J60" s="1064"/>
      <c r="K60" s="1064"/>
      <c r="L60" s="1064"/>
      <c r="M60" s="1064"/>
      <c r="N60" s="1064"/>
      <c r="O60" s="1064"/>
      <c r="P60" s="1064"/>
      <c r="Q60" s="1064"/>
      <c r="R60" s="1064"/>
      <c r="Z60" s="1064"/>
      <c r="AA60" s="1064"/>
      <c r="AB60" s="1064"/>
      <c r="AC60" s="1064"/>
      <c r="AD60" s="1064"/>
      <c r="AE60" s="1064"/>
      <c r="AF60" s="1064"/>
      <c r="AG60" s="1064"/>
      <c r="AH60" s="1064"/>
      <c r="AI60" s="1064"/>
      <c r="AJ60" s="1064"/>
      <c r="AK60" s="1064"/>
    </row>
    <row r="61" spans="1:37" ht="12" customHeight="1" x14ac:dyDescent="0.2">
      <c r="A61" s="1064"/>
      <c r="B61" s="1064"/>
      <c r="C61" s="1064"/>
      <c r="D61" s="1064"/>
      <c r="E61" s="1064"/>
      <c r="F61" s="1064"/>
      <c r="G61" s="1064"/>
      <c r="H61" s="1064"/>
      <c r="I61" s="1064"/>
      <c r="J61" s="1064"/>
      <c r="K61" s="1064"/>
      <c r="L61" s="1064"/>
      <c r="M61" s="1064"/>
      <c r="N61" s="1064"/>
      <c r="O61" s="1064"/>
      <c r="P61" s="1064"/>
      <c r="Q61" s="1064"/>
      <c r="R61" s="1064"/>
    </row>
  </sheetData>
  <phoneticPr fontId="7" type="noConversion"/>
  <hyperlinks>
    <hyperlink ref="A23" location="IS!A1" display="Income Statement"/>
    <hyperlink ref="A27" location="SSS!A1" display="Same-store Sales"/>
    <hyperlink ref="A28" location="'System Sales &amp; Revenues'!A1" display="System Sales"/>
    <hyperlink ref="A24" location="BS!A1" display="Balance Sheet"/>
    <hyperlink ref="A25" location="CF!A1" display="Statement of Cash Flows"/>
    <hyperlink ref="A26" location="Units!A1" display="Unit Detail"/>
    <hyperlink ref="A29" location="'Op Profits By Region'!A1" display="Segment Detail"/>
    <hyperlink ref="A13" r:id="rId1"/>
    <hyperlink ref="A17" r:id="rId2"/>
  </hyperlinks>
  <pageMargins left="0.75" right="0.75" top="1" bottom="1" header="0.5" footer="0.5"/>
  <pageSetup orientation="portrait" r:id="rId3"/>
  <headerFooter alignWithMargins="0"/>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XEC467"/>
  <sheetViews>
    <sheetView showGridLines="0" zoomScaleNormal="100" workbookViewId="0">
      <pane xSplit="1" ySplit="8" topLeftCell="B9" activePane="bottomRight" state="frozen"/>
      <selection pane="topRight"/>
      <selection pane="bottomLeft"/>
      <selection pane="bottomRight" activeCell="EV36" sqref="EV36"/>
    </sheetView>
  </sheetViews>
  <sheetFormatPr defaultRowHeight="12.75" outlineLevelRow="2" outlineLevelCol="2" x14ac:dyDescent="0.2"/>
  <cols>
    <col min="1" max="1" width="35.42578125" customWidth="1"/>
    <col min="2" max="2" width="8.5703125" hidden="1" customWidth="1" outlineLevel="1"/>
    <col min="3" max="6" width="8.5703125" hidden="1" customWidth="1" outlineLevel="2"/>
    <col min="7" max="7" width="8.5703125" hidden="1" customWidth="1" outlineLevel="1" collapsed="1"/>
    <col min="8" max="11" width="8.5703125" hidden="1" customWidth="1" outlineLevel="2"/>
    <col min="12" max="12" width="8.5703125" hidden="1" customWidth="1" outlineLevel="1" collapsed="1"/>
    <col min="13" max="16" width="8.5703125" hidden="1" customWidth="1" outlineLevel="2"/>
    <col min="17" max="17" width="8.5703125" hidden="1" customWidth="1" outlineLevel="1" collapsed="1"/>
    <col min="18" max="21" width="8.5703125" hidden="1" customWidth="1" outlineLevel="2"/>
    <col min="22" max="22" width="8.5703125" hidden="1" customWidth="1" outlineLevel="1" collapsed="1"/>
    <col min="23" max="26" width="8.5703125" hidden="1" customWidth="1" outlineLevel="2"/>
    <col min="27" max="27" width="8.5703125" hidden="1" customWidth="1" outlineLevel="1" collapsed="1"/>
    <col min="28" max="31" width="8.5703125" hidden="1" customWidth="1" outlineLevel="2"/>
    <col min="32" max="32" width="8.5703125" hidden="1" customWidth="1" outlineLevel="1" collapsed="1"/>
    <col min="33" max="36" width="8.5703125" hidden="1" customWidth="1" outlineLevel="2"/>
    <col min="37" max="37" width="8.5703125" hidden="1" customWidth="1" outlineLevel="1" collapsed="1"/>
    <col min="38" max="41" width="8.5703125" hidden="1" customWidth="1" outlineLevel="2"/>
    <col min="42" max="42" width="8.5703125" hidden="1" customWidth="1" outlineLevel="1" collapsed="1"/>
    <col min="43" max="46" width="8.5703125" hidden="1" customWidth="1" outlineLevel="2"/>
    <col min="47" max="47" width="8.5703125" hidden="1" customWidth="1" outlineLevel="1" collapsed="1"/>
    <col min="48" max="52" width="8.5703125" hidden="1" customWidth="1" outlineLevel="2"/>
    <col min="53" max="53" width="8.5703125" hidden="1" customWidth="1" outlineLevel="1" collapsed="1"/>
    <col min="54" max="57" width="8.5703125" hidden="1" customWidth="1" outlineLevel="2"/>
    <col min="58" max="58" width="8.5703125" hidden="1" customWidth="1" outlineLevel="1" collapsed="1"/>
    <col min="59" max="62" width="8.5703125" hidden="1" customWidth="1" outlineLevel="2"/>
    <col min="63" max="63" width="8.5703125" hidden="1" customWidth="1" outlineLevel="1" collapsed="1"/>
    <col min="64" max="67" width="8.5703125" hidden="1" customWidth="1" outlineLevel="2"/>
    <col min="68" max="68" width="8.5703125" hidden="1" customWidth="1" outlineLevel="1"/>
    <col min="69" max="72" width="8.5703125" hidden="1" customWidth="1" outlineLevel="2"/>
    <col min="73" max="73" width="8.5703125" customWidth="1" collapsed="1"/>
    <col min="74" max="77" width="8.5703125" hidden="1" customWidth="1" outlineLevel="1"/>
    <col min="78" max="78" width="8.5703125" style="1066" customWidth="1" collapsed="1"/>
    <col min="79" max="82" width="8.5703125" hidden="1" customWidth="1" outlineLevel="1"/>
    <col min="83" max="83" width="8.5703125" customWidth="1" collapsed="1"/>
    <col min="84" max="87" width="8.5703125" hidden="1" customWidth="1" outlineLevel="1"/>
    <col min="88" max="88" width="8.5703125" customWidth="1" collapsed="1"/>
    <col min="89" max="89" width="8.5703125" style="1066" customWidth="1" outlineLevel="1"/>
    <col min="90" max="92" width="8.5703125" customWidth="1" outlineLevel="1"/>
    <col min="93" max="93" width="8.5703125" customWidth="1"/>
    <col min="94" max="97" width="8.5703125" customWidth="1" outlineLevel="1"/>
    <col min="98" max="98" width="8.5703125" customWidth="1"/>
    <col min="99" max="102" width="8.5703125" hidden="1" customWidth="1" outlineLevel="2"/>
    <col min="103" max="103" width="8.5703125" customWidth="1" outlineLevel="1" collapsed="1"/>
    <col min="104" max="107" width="8.5703125" hidden="1" customWidth="1" outlineLevel="2"/>
    <col min="108" max="108" width="8.5703125" customWidth="1" outlineLevel="1" collapsed="1"/>
    <col min="109" max="112" width="8.5703125" hidden="1" customWidth="1" outlineLevel="2"/>
    <col min="113" max="113" width="8.5703125" customWidth="1" outlineLevel="1" collapsed="1"/>
    <col min="114" max="117" width="8.5703125" hidden="1" customWidth="1" outlineLevel="2"/>
    <col min="118" max="118" width="8.5703125" customWidth="1" outlineLevel="1" collapsed="1"/>
    <col min="119" max="122" width="8.5703125" hidden="1" customWidth="1" outlineLevel="2"/>
    <col min="123" max="123" width="8.5703125" customWidth="1" outlineLevel="1" collapsed="1"/>
    <col min="124" max="127" width="8.5703125" hidden="1" customWidth="1" outlineLevel="2"/>
    <col min="128" max="128" width="8.5703125" customWidth="1" outlineLevel="1" collapsed="1"/>
    <col min="129" max="132" width="8.5703125" hidden="1" customWidth="1" outlineLevel="2"/>
    <col min="133" max="133" width="8.5703125" customWidth="1" outlineLevel="1" collapsed="1"/>
    <col min="134" max="134" width="8.140625" customWidth="1"/>
    <col min="135" max="141" width="8.140625" hidden="1" customWidth="1" outlineLevel="1"/>
    <col min="142" max="148" width="8.28515625" hidden="1" customWidth="1" outlineLevel="1"/>
    <col min="149" max="151" width="10.5703125" hidden="1" customWidth="1" outlineLevel="1"/>
    <col min="152" max="152" width="9.140625" collapsed="1"/>
    <col min="154" max="154" width="38.85546875" bestFit="1" customWidth="1"/>
    <col min="155" max="155" width="9.28515625" bestFit="1" customWidth="1"/>
    <col min="156" max="156" width="9.5703125" bestFit="1" customWidth="1"/>
    <col min="157" max="157" width="8.42578125" customWidth="1"/>
    <col min="158" max="158" width="9.28515625" bestFit="1" customWidth="1"/>
    <col min="159" max="159" width="9.140625" customWidth="1"/>
    <col min="161" max="161" width="14.140625" customWidth="1"/>
  </cols>
  <sheetData>
    <row r="1" spans="1:166" ht="42" customHeight="1" x14ac:dyDescent="0.2">
      <c r="A1" s="37"/>
      <c r="B1" s="36"/>
      <c r="C1" s="21"/>
      <c r="D1" s="21"/>
      <c r="E1" s="21"/>
      <c r="F1" s="16"/>
      <c r="G1" s="16"/>
      <c r="H1" s="21"/>
      <c r="I1" s="21"/>
      <c r="J1" s="21"/>
      <c r="K1" s="16"/>
      <c r="L1" s="16"/>
      <c r="M1" s="21"/>
      <c r="N1" s="21"/>
      <c r="O1" s="21"/>
      <c r="P1" s="16"/>
      <c r="Q1" s="21"/>
      <c r="R1" s="21"/>
      <c r="S1" s="21"/>
      <c r="T1" s="21"/>
      <c r="U1" s="16"/>
      <c r="V1" s="16"/>
      <c r="W1" s="16"/>
      <c r="X1" s="16"/>
      <c r="Y1" s="204"/>
      <c r="Z1" s="204"/>
      <c r="AA1" s="16"/>
      <c r="AB1" s="204"/>
      <c r="AC1" s="16"/>
      <c r="AD1" s="21"/>
      <c r="AE1" s="16"/>
      <c r="AF1" s="16"/>
      <c r="AG1" s="41"/>
      <c r="AH1" s="41"/>
      <c r="AI1" s="41"/>
      <c r="AJ1" s="41"/>
      <c r="AK1" s="53"/>
      <c r="AL1" s="112"/>
      <c r="AM1" s="375"/>
      <c r="AN1" s="375"/>
      <c r="AO1" s="112"/>
      <c r="AP1" s="112"/>
      <c r="AQ1" s="375"/>
      <c r="AR1" s="375"/>
      <c r="AS1" s="375"/>
      <c r="AT1" s="375"/>
      <c r="AU1" s="375"/>
      <c r="AV1" s="67"/>
      <c r="AW1" s="836">
        <f t="shared" ref="AW1:BA1" si="0">AW61</f>
        <v>0.28862973760932925</v>
      </c>
      <c r="AX1" s="836">
        <f t="shared" si="0"/>
        <v>0.36165577342047905</v>
      </c>
      <c r="AY1" s="836">
        <f t="shared" si="0"/>
        <v>0.38288614938361104</v>
      </c>
      <c r="AZ1" s="836">
        <f t="shared" si="0"/>
        <v>0.14088598402323882</v>
      </c>
      <c r="BA1" s="1560">
        <f t="shared" si="0"/>
        <v>1.1778425655976668</v>
      </c>
      <c r="BB1" s="836">
        <f t="shared" ref="BB1:BE1" si="1">BB61</f>
        <v>7.8093597473442397E-2</v>
      </c>
      <c r="BC1" s="836">
        <f t="shared" si="1"/>
        <v>0.13264427217915575</v>
      </c>
      <c r="BD1" s="836">
        <f t="shared" si="1"/>
        <v>0.15503875968992251</v>
      </c>
      <c r="BE1" s="836">
        <f t="shared" si="1"/>
        <v>0.14359563469270495</v>
      </c>
      <c r="BF1" s="836"/>
      <c r="BG1" s="836"/>
      <c r="BH1" s="836"/>
      <c r="BI1" s="836"/>
      <c r="BJ1" s="836"/>
      <c r="BK1" s="836"/>
      <c r="BL1" s="836"/>
      <c r="BM1" s="836"/>
      <c r="BN1" s="836"/>
      <c r="BO1" s="836"/>
      <c r="BP1" s="836"/>
      <c r="BQ1" s="836"/>
      <c r="BR1" s="836"/>
      <c r="BS1" s="836"/>
      <c r="BT1" s="836"/>
      <c r="BU1" s="836"/>
      <c r="BV1" s="836"/>
      <c r="BW1" s="836"/>
      <c r="BX1" s="836"/>
      <c r="BY1" s="836"/>
      <c r="BZ1" s="282"/>
      <c r="CA1" s="836"/>
      <c r="CB1" s="836"/>
      <c r="CC1" s="836"/>
      <c r="CD1" s="836"/>
      <c r="CE1" s="836"/>
      <c r="CF1" s="836"/>
      <c r="CG1" s="836"/>
      <c r="CH1" s="836"/>
      <c r="CI1" s="836"/>
      <c r="CJ1" s="836"/>
      <c r="CK1" s="112"/>
      <c r="CN1" s="112" t="s">
        <v>835</v>
      </c>
      <c r="CO1" s="112"/>
      <c r="CP1" s="112">
        <v>0.54935284667017659</v>
      </c>
      <c r="CQ1" s="112">
        <v>0.6359990133087835</v>
      </c>
      <c r="CR1" s="112">
        <v>0.69428827747495203</v>
      </c>
      <c r="CS1" s="112">
        <v>0.76467647986976961</v>
      </c>
      <c r="CT1" s="112">
        <v>2.6439371895478017</v>
      </c>
      <c r="CU1" s="112">
        <v>0.61723340243494429</v>
      </c>
      <c r="CV1" s="112">
        <v>0.7181570053575197</v>
      </c>
      <c r="CW1" s="112">
        <v>0.77547557063314398</v>
      </c>
      <c r="CX1" s="112">
        <v>0.85574440876109414</v>
      </c>
      <c r="CY1" s="112">
        <v>2.966496706074258</v>
      </c>
      <c r="CZ1" s="112">
        <v>0.71178636311742016</v>
      </c>
      <c r="DA1" s="112">
        <v>0.81146863983536932</v>
      </c>
      <c r="DB1" s="112">
        <v>0.8756129994259233</v>
      </c>
      <c r="DC1" s="112">
        <v>0.96306580293982558</v>
      </c>
      <c r="DD1" s="112">
        <v>3.361750140495805</v>
      </c>
      <c r="DE1" s="112">
        <v>0.77964316523055155</v>
      </c>
      <c r="DF1" s="112">
        <v>0.90507789869013211</v>
      </c>
      <c r="DG1" s="112">
        <v>0.97775171198560495</v>
      </c>
      <c r="DH1" s="112">
        <v>1.0143929024480858</v>
      </c>
      <c r="DI1" s="112">
        <v>3.6767309502154553</v>
      </c>
      <c r="DJ1" s="112">
        <v>0.86904659421278962</v>
      </c>
      <c r="DK1" s="112">
        <v>0.99928270474355663</v>
      </c>
      <c r="DL1" s="112">
        <v>1.0814893855531384</v>
      </c>
      <c r="DM1" s="112">
        <v>1.1841646500283507</v>
      </c>
      <c r="DN1" s="112">
        <v>4.1337128502222127</v>
      </c>
      <c r="DO1" s="112">
        <v>0.96042121101406763</v>
      </c>
      <c r="DP1" s="112">
        <v>1.1065543706822318</v>
      </c>
      <c r="DQ1" s="112">
        <v>1.1945015173988311</v>
      </c>
      <c r="DR1" s="112">
        <v>1.304564779648079</v>
      </c>
      <c r="DS1" s="112">
        <v>4.5657241618863535</v>
      </c>
      <c r="DT1" s="112">
        <v>0.97015261984894219</v>
      </c>
      <c r="DU1" s="112">
        <v>1.1044900430308708</v>
      </c>
      <c r="DV1" s="112">
        <v>1.220112037901508</v>
      </c>
      <c r="DW1" s="112">
        <v>1.341949092861825</v>
      </c>
      <c r="DX1" s="112">
        <v>4.6362793676488909</v>
      </c>
      <c r="DY1" s="112">
        <v>1.0874005914605747</v>
      </c>
      <c r="DZ1" s="112">
        <v>1.2448454943261797</v>
      </c>
      <c r="EA1" s="112">
        <v>1.3399660762835883</v>
      </c>
      <c r="EB1" s="112">
        <v>1.4707511225290952</v>
      </c>
      <c r="EC1" s="112">
        <v>5.1425244987973358</v>
      </c>
      <c r="ED1" s="21"/>
      <c r="EE1" s="16"/>
      <c r="EF1" s="16"/>
      <c r="EG1" s="21"/>
      <c r="EH1" s="112"/>
      <c r="EI1" s="112"/>
      <c r="EJ1" s="112"/>
      <c r="EK1" s="112"/>
      <c r="EL1" s="112"/>
      <c r="EM1" s="112"/>
      <c r="EN1" s="112"/>
      <c r="EO1" s="112"/>
      <c r="EP1" s="112"/>
      <c r="EQ1" s="112"/>
      <c r="ER1" s="112"/>
      <c r="ES1" s="16"/>
      <c r="ET1" s="16"/>
      <c r="EU1" s="16"/>
      <c r="EX1" s="16"/>
      <c r="EY1" s="228"/>
      <c r="EZ1" s="945"/>
      <c r="FA1" s="477"/>
      <c r="FB1" s="228"/>
      <c r="FC1" s="477"/>
      <c r="FD1" s="16"/>
    </row>
    <row r="2" spans="1:166" x14ac:dyDescent="0.2">
      <c r="A2" s="21" t="s">
        <v>496</v>
      </c>
      <c r="B2" s="69"/>
      <c r="C2" s="70"/>
      <c r="D2" s="69"/>
      <c r="E2" s="55"/>
      <c r="F2" s="16"/>
      <c r="G2" s="16"/>
      <c r="H2" s="60"/>
      <c r="I2" s="71"/>
      <c r="J2" s="55"/>
      <c r="K2" s="16"/>
      <c r="L2" s="16"/>
      <c r="M2" s="72"/>
      <c r="N2" s="53"/>
      <c r="O2" s="55"/>
      <c r="P2" s="38"/>
      <c r="Q2" s="22"/>
      <c r="R2" s="44"/>
      <c r="S2" s="44"/>
      <c r="T2" s="55"/>
      <c r="U2" s="73"/>
      <c r="V2" s="16"/>
      <c r="W2" s="62"/>
      <c r="X2" s="69"/>
      <c r="Y2" s="21"/>
      <c r="Z2" s="16"/>
      <c r="AA2" s="16"/>
      <c r="AB2" s="16"/>
      <c r="AC2" s="34"/>
      <c r="AD2" s="53"/>
      <c r="AE2" s="16"/>
      <c r="AF2" s="16"/>
      <c r="AG2" s="53"/>
      <c r="AH2" s="53"/>
      <c r="AI2" s="53"/>
      <c r="AJ2" s="53"/>
      <c r="AK2" s="112"/>
      <c r="AL2" s="112"/>
      <c r="AM2" s="112"/>
      <c r="AN2" s="112"/>
      <c r="AO2" s="16"/>
      <c r="AP2" s="112"/>
      <c r="AQ2" s="112"/>
      <c r="AR2" s="112"/>
      <c r="AS2" s="112"/>
      <c r="AT2" s="112"/>
      <c r="AU2" s="112"/>
      <c r="AV2" s="17"/>
      <c r="AW2" s="112">
        <v>0.28862973760932925</v>
      </c>
      <c r="AX2" s="112">
        <v>0.36165577342047905</v>
      </c>
      <c r="AY2" s="112">
        <v>0.38288614938361104</v>
      </c>
      <c r="AZ2" s="219">
        <v>0.14088598402323882</v>
      </c>
      <c r="BA2" s="1561">
        <v>1.1778425655976668</v>
      </c>
      <c r="BB2" s="112">
        <v>7.9242032730404643E-2</v>
      </c>
      <c r="BC2" s="112">
        <v>0.13350559862187752</v>
      </c>
      <c r="BD2" s="112">
        <v>0.15561297731840371</v>
      </c>
      <c r="BE2" s="112">
        <v>0.14445720850086119</v>
      </c>
      <c r="BF2" s="112"/>
      <c r="BG2" s="112"/>
      <c r="BH2" s="112"/>
      <c r="BI2" s="112"/>
      <c r="BJ2" s="112"/>
      <c r="BK2" s="112"/>
      <c r="BL2" s="375"/>
      <c r="BM2" s="375"/>
      <c r="BN2" s="375"/>
      <c r="BO2" s="375"/>
      <c r="BP2" s="204"/>
      <c r="BQ2" s="909"/>
      <c r="BR2" s="909"/>
      <c r="BS2" s="1028"/>
      <c r="BT2" s="1028"/>
      <c r="BU2" s="1028"/>
      <c r="BV2" s="909"/>
      <c r="BW2" s="909"/>
      <c r="BX2" s="1028"/>
      <c r="BY2" s="1028"/>
      <c r="BZ2" s="1028"/>
      <c r="CA2" s="1672">
        <v>-9.8000000000000931</v>
      </c>
      <c r="CB2" s="1672">
        <v>10.999999999999854</v>
      </c>
      <c r="CC2" s="1672">
        <v>49.560000000000102</v>
      </c>
      <c r="CD2" s="1672">
        <v>51.660000000000124</v>
      </c>
      <c r="CE2" s="1028"/>
      <c r="CF2" s="1028"/>
      <c r="CG2" s="1028"/>
      <c r="CH2" s="1028"/>
      <c r="CI2" s="1028"/>
      <c r="CJ2" s="1028"/>
      <c r="CK2" s="1671"/>
      <c r="CN2" s="1671" t="s">
        <v>836</v>
      </c>
      <c r="CO2" s="1671"/>
      <c r="CP2" s="1671">
        <v>515.6839709480347</v>
      </c>
      <c r="CQ2" s="1671">
        <v>576.09285585375903</v>
      </c>
      <c r="CR2" s="1671">
        <v>602.33669039641916</v>
      </c>
      <c r="CS2" s="1671">
        <v>644.41064510078263</v>
      </c>
      <c r="CT2" s="1671">
        <v>2338.5241622989952</v>
      </c>
      <c r="CU2" s="1671">
        <v>556.2124219818329</v>
      </c>
      <c r="CV2" s="1671">
        <v>616.7837960035821</v>
      </c>
      <c r="CW2" s="1671">
        <v>650.71280895851169</v>
      </c>
      <c r="CX2" s="1671">
        <v>698.97808532393947</v>
      </c>
      <c r="CY2" s="1671">
        <v>2522.6871122678667</v>
      </c>
      <c r="CZ2" s="1671">
        <v>612.34595108655503</v>
      </c>
      <c r="DA2" s="1671">
        <v>671.58523943428145</v>
      </c>
      <c r="DB2" s="1671">
        <v>709.61940188618678</v>
      </c>
      <c r="DC2" s="1671">
        <v>762.33015765724042</v>
      </c>
      <c r="DD2" s="1671">
        <v>2755.8807500642638</v>
      </c>
      <c r="DE2" s="1671">
        <v>651.21759958339874</v>
      </c>
      <c r="DF2" s="1671">
        <v>727.20685138773786</v>
      </c>
      <c r="DG2" s="1671">
        <v>771.74874399899352</v>
      </c>
      <c r="DH2" s="1671">
        <v>835.16616362254501</v>
      </c>
      <c r="DI2" s="1671">
        <v>2985.3393585926751</v>
      </c>
      <c r="DJ2" s="1671">
        <v>713.28412655150237</v>
      </c>
      <c r="DK2" s="1671">
        <v>796.33613800356989</v>
      </c>
      <c r="DL2" s="1671">
        <v>844.75766452243602</v>
      </c>
      <c r="DM2" s="1671">
        <v>912.45126722260034</v>
      </c>
      <c r="DN2" s="1671">
        <v>3266.8291963001088</v>
      </c>
      <c r="DO2" s="1671">
        <v>768.51597340432716</v>
      </c>
      <c r="DP2" s="1671">
        <v>856.60074425719483</v>
      </c>
      <c r="DQ2" s="1671">
        <v>908.46083689459113</v>
      </c>
      <c r="DR2" s="1671">
        <v>981.1918486248893</v>
      </c>
      <c r="DS2" s="1671">
        <v>3514.7694031810024</v>
      </c>
      <c r="DT2" s="1671">
        <v>771.73165338177591</v>
      </c>
      <c r="DU2" s="1671">
        <v>850.77199346263887</v>
      </c>
      <c r="DV2" s="1671">
        <v>903.25904308271242</v>
      </c>
      <c r="DW2" s="1671">
        <v>983.79596392865415</v>
      </c>
      <c r="DX2" s="1671">
        <v>3509.5586538557814</v>
      </c>
      <c r="DY2" s="1671">
        <v>821.67285749296082</v>
      </c>
      <c r="DZ2" s="1671">
        <v>913.94737392753075</v>
      </c>
      <c r="EA2" s="1671">
        <v>970.12485363378289</v>
      </c>
      <c r="EB2" s="1671">
        <v>1056.7035482684789</v>
      </c>
      <c r="EC2" s="1671">
        <v>3762.4486333227537</v>
      </c>
      <c r="ED2" s="16"/>
      <c r="EE2" s="16"/>
      <c r="EF2" s="16"/>
      <c r="EG2" s="21"/>
      <c r="EH2" s="21"/>
      <c r="EI2" s="21"/>
      <c r="EJ2" s="21"/>
      <c r="EK2" s="21"/>
      <c r="EL2" s="21"/>
      <c r="EM2" s="21"/>
      <c r="EN2" s="21"/>
      <c r="EO2" s="21"/>
      <c r="EP2" s="21"/>
      <c r="EQ2" s="21"/>
      <c r="ER2" s="21"/>
      <c r="ES2" s="16"/>
      <c r="ET2" s="16"/>
      <c r="EU2" s="16"/>
      <c r="EX2" s="16"/>
      <c r="EY2" s="228"/>
      <c r="EZ2" s="945"/>
      <c r="FA2" s="477"/>
      <c r="FB2" s="228"/>
      <c r="FC2" s="477"/>
      <c r="FD2" s="16"/>
    </row>
    <row r="3" spans="1:166" x14ac:dyDescent="0.2">
      <c r="A3" s="21"/>
      <c r="B3" s="69"/>
      <c r="C3" s="74"/>
      <c r="D3" s="74"/>
      <c r="E3" s="22"/>
      <c r="F3" s="34"/>
      <c r="G3" s="34"/>
      <c r="H3" s="75"/>
      <c r="I3" s="74"/>
      <c r="J3" s="22"/>
      <c r="K3" s="34"/>
      <c r="L3" s="34"/>
      <c r="M3" s="53"/>
      <c r="N3" s="53"/>
      <c r="O3" s="38"/>
      <c r="P3" s="76"/>
      <c r="Q3" s="77"/>
      <c r="R3" s="317"/>
      <c r="S3" s="317"/>
      <c r="T3" s="317"/>
      <c r="U3" s="317"/>
      <c r="V3" s="428"/>
      <c r="W3" s="429"/>
      <c r="X3" s="429"/>
      <c r="Y3" s="429"/>
      <c r="Z3" s="429"/>
      <c r="AA3" s="430"/>
      <c r="AB3" s="382"/>
      <c r="AC3" s="34"/>
      <c r="AD3" s="382"/>
      <c r="AE3" s="382"/>
      <c r="AF3" s="34"/>
      <c r="AG3" s="375"/>
      <c r="AH3" s="316"/>
      <c r="AI3" s="316"/>
      <c r="AJ3" s="375"/>
      <c r="AK3" s="112"/>
      <c r="AL3" s="654"/>
      <c r="AM3" s="654"/>
      <c r="AN3" s="375"/>
      <c r="AO3" s="654"/>
      <c r="AP3" s="112"/>
      <c r="AQ3" s="654"/>
      <c r="AR3" s="654"/>
      <c r="AS3" s="654"/>
      <c r="AT3" s="654"/>
      <c r="AU3" s="654"/>
      <c r="AV3" s="17"/>
      <c r="AW3" s="654">
        <f>AW1-AW2</f>
        <v>0</v>
      </c>
      <c r="AX3" s="654">
        <f t="shared" ref="AX3:BE3" si="2">AX1-AX2</f>
        <v>0</v>
      </c>
      <c r="AY3" s="654">
        <f t="shared" si="2"/>
        <v>0</v>
      </c>
      <c r="AZ3" s="654">
        <f t="shared" si="2"/>
        <v>0</v>
      </c>
      <c r="BA3" s="1562">
        <f t="shared" si="2"/>
        <v>0</v>
      </c>
      <c r="BB3" s="1067">
        <f t="shared" si="2"/>
        <v>-1.1484352569622464E-3</v>
      </c>
      <c r="BC3" s="1067">
        <f t="shared" si="2"/>
        <v>-8.613264427217715E-4</v>
      </c>
      <c r="BD3" s="1067">
        <f t="shared" si="2"/>
        <v>-5.742176284811995E-4</v>
      </c>
      <c r="BE3" s="1067">
        <f t="shared" si="2"/>
        <v>-8.6157380815624074E-4</v>
      </c>
      <c r="BF3" s="1067"/>
      <c r="BG3" s="1067"/>
      <c r="BH3" s="1067"/>
      <c r="BI3" s="1067"/>
      <c r="BJ3" s="1067"/>
      <c r="BK3" s="1067"/>
      <c r="BL3" s="654"/>
      <c r="BM3" s="654"/>
      <c r="BN3" s="654"/>
      <c r="BO3" s="654"/>
      <c r="BP3" s="654"/>
      <c r="BQ3" s="654"/>
      <c r="BR3" s="654"/>
      <c r="BS3" s="654"/>
      <c r="BT3" s="654"/>
      <c r="BU3" s="654"/>
      <c r="BV3" s="654"/>
      <c r="BW3" s="654"/>
      <c r="BX3" s="654"/>
      <c r="BY3" s="654"/>
      <c r="BZ3" s="1570"/>
      <c r="CA3" s="1672">
        <f t="shared" ref="CA3:CD3" si="3">CA61-CA2</f>
        <v>9.9603167808220103</v>
      </c>
      <c r="CB3" s="1672">
        <f t="shared" si="3"/>
        <v>-10.704030226700107</v>
      </c>
      <c r="CC3" s="1672">
        <f t="shared" si="3"/>
        <v>-49.241846799580372</v>
      </c>
      <c r="CD3" s="1672">
        <f t="shared" si="3"/>
        <v>-51.338744470191827</v>
      </c>
      <c r="CE3" s="1028"/>
      <c r="CF3" s="1028"/>
      <c r="CG3" s="1028"/>
      <c r="CH3" s="1028"/>
      <c r="CI3" s="1028"/>
      <c r="CJ3" s="1028"/>
      <c r="CK3" s="1028"/>
      <c r="CL3" s="1028"/>
      <c r="CM3" s="1028"/>
      <c r="CN3" s="1798" t="s">
        <v>857</v>
      </c>
      <c r="CO3" s="1798"/>
      <c r="CP3" s="1799"/>
      <c r="CQ3" s="1800">
        <v>571.50686798067056</v>
      </c>
      <c r="CR3" s="1800">
        <v>597.36076875934623</v>
      </c>
      <c r="CS3" s="1800">
        <v>640.49895350561633</v>
      </c>
      <c r="CT3" s="1800">
        <v>2307.1665902456325</v>
      </c>
      <c r="CU3" s="1800">
        <v>747.20368724869923</v>
      </c>
      <c r="CV3" s="1800">
        <v>611.67989769190535</v>
      </c>
      <c r="CW3" s="1800">
        <v>645.22800304310454</v>
      </c>
      <c r="CX3" s="1800">
        <v>692.66821387791788</v>
      </c>
      <c r="CY3" s="1800">
        <v>2696.7798018616268</v>
      </c>
      <c r="CZ3" s="1800">
        <v>901.20741672095232</v>
      </c>
      <c r="DA3" s="1800">
        <v>663.4598111138024</v>
      </c>
      <c r="DB3" s="1800">
        <v>701.04881182175325</v>
      </c>
      <c r="DC3" s="1800">
        <v>752.71334322859991</v>
      </c>
      <c r="DD3" s="1800">
        <v>3018.4293828851078</v>
      </c>
      <c r="DE3" s="1800">
        <v>1067.1762712451084</v>
      </c>
      <c r="DF3" s="1800">
        <v>715.45625981669116</v>
      </c>
      <c r="DG3" s="1800">
        <v>759.44518420878592</v>
      </c>
      <c r="DH3" s="1800">
        <v>821.57223228235137</v>
      </c>
      <c r="DI3" s="1800">
        <v>3363.6499475529367</v>
      </c>
      <c r="DJ3" s="1800">
        <v>1254.3053760141054</v>
      </c>
      <c r="DK3" s="1800">
        <v>780.8976379415999</v>
      </c>
      <c r="DL3" s="1800">
        <v>828.6664329458481</v>
      </c>
      <c r="DM3" s="1800">
        <v>894.88082234042008</v>
      </c>
      <c r="DN3" s="1800">
        <v>3758.7502692419739</v>
      </c>
      <c r="DO3" s="1800">
        <v>1450.2055591928072</v>
      </c>
      <c r="DP3" s="1800">
        <v>836.45263883977498</v>
      </c>
      <c r="DQ3" s="1800">
        <v>887.55073659648133</v>
      </c>
      <c r="DR3" s="1800">
        <v>958.4726267488021</v>
      </c>
      <c r="DS3" s="1800">
        <v>4132.6815613778654</v>
      </c>
      <c r="DT3" s="1800">
        <v>1620.2037462582339</v>
      </c>
      <c r="DU3" s="1800">
        <v>824.32813344695137</v>
      </c>
      <c r="DV3" s="1800">
        <v>876.08299581666802</v>
      </c>
      <c r="DW3" s="1800">
        <v>956.32796873795212</v>
      </c>
      <c r="DX3" s="1800">
        <v>4276.9428442598055</v>
      </c>
      <c r="DY3" s="1800">
        <v>1838.4760775777543</v>
      </c>
      <c r="DZ3" s="1800">
        <v>881.05351368275342</v>
      </c>
      <c r="EA3" s="1800">
        <v>936.35683837751003</v>
      </c>
      <c r="EB3" s="1800">
        <v>1022.2032900989881</v>
      </c>
      <c r="EC3" s="1800">
        <v>4678.0897197370059</v>
      </c>
      <c r="ED3" s="34"/>
      <c r="EE3" s="34"/>
      <c r="EF3" s="34"/>
      <c r="EG3" s="22"/>
      <c r="EH3" s="112"/>
      <c r="EI3" s="112"/>
      <c r="EJ3" s="112"/>
      <c r="EK3" s="112"/>
      <c r="EL3" s="112"/>
      <c r="EM3" s="112"/>
      <c r="EN3" s="112"/>
      <c r="EO3" s="112"/>
      <c r="EP3" s="112"/>
      <c r="EQ3" s="112"/>
      <c r="ER3" s="112"/>
      <c r="ES3" s="34"/>
      <c r="ET3" s="34"/>
      <c r="EU3" s="34"/>
      <c r="EX3" s="16"/>
      <c r="EY3" s="228"/>
      <c r="EZ3" s="945"/>
      <c r="FA3" s="477"/>
      <c r="FB3" s="228"/>
      <c r="FC3" s="477"/>
      <c r="FD3" s="16"/>
    </row>
    <row r="4" spans="1:166" hidden="1" outlineLevel="1" x14ac:dyDescent="0.2">
      <c r="BZ4"/>
      <c r="CK4"/>
    </row>
    <row r="5" spans="1:166" ht="18" collapsed="1" x14ac:dyDescent="0.25">
      <c r="A5" s="1673" t="s">
        <v>588</v>
      </c>
      <c r="B5" s="3"/>
      <c r="C5" s="3"/>
      <c r="D5" s="3"/>
      <c r="E5" s="3"/>
      <c r="F5" s="4"/>
      <c r="G5" s="4"/>
      <c r="H5" s="4"/>
      <c r="I5" s="4"/>
      <c r="J5" s="4"/>
      <c r="K5" s="4"/>
      <c r="L5" s="3"/>
      <c r="M5" s="4"/>
      <c r="N5" s="4"/>
      <c r="O5" s="4"/>
      <c r="P5" s="4"/>
      <c r="Q5" s="3"/>
      <c r="R5" s="4"/>
      <c r="S5" s="4"/>
      <c r="T5" s="3"/>
      <c r="U5" s="3"/>
      <c r="V5" s="3"/>
      <c r="W5" s="3"/>
      <c r="X5" s="3"/>
      <c r="Y5" s="3"/>
      <c r="Z5" s="3"/>
      <c r="AA5" s="3"/>
      <c r="AB5" s="3"/>
      <c r="AC5" s="3"/>
      <c r="AD5" s="3"/>
      <c r="AE5" s="3"/>
      <c r="AF5" s="3"/>
      <c r="AG5" s="3"/>
      <c r="AH5" s="3"/>
      <c r="AI5" s="3"/>
      <c r="AJ5" s="3"/>
      <c r="AK5" s="4"/>
      <c r="AL5" s="3"/>
      <c r="AM5" s="3"/>
      <c r="AN5" s="3"/>
      <c r="AO5" s="3"/>
      <c r="AP5" s="4"/>
      <c r="AQ5" s="3"/>
      <c r="AR5" s="3"/>
      <c r="AS5" s="3"/>
      <c r="AT5" s="3"/>
      <c r="AU5" s="3"/>
      <c r="AV5" s="1674"/>
      <c r="AW5" s="3"/>
      <c r="AX5" s="3"/>
      <c r="AY5" s="3"/>
      <c r="AZ5" s="3"/>
      <c r="BA5" s="4"/>
      <c r="BB5" s="4"/>
      <c r="BC5" s="3"/>
      <c r="BD5" s="3"/>
      <c r="BE5" s="3"/>
      <c r="BF5" s="4"/>
      <c r="BG5" s="3"/>
      <c r="BH5" s="3"/>
      <c r="BI5" s="3"/>
      <c r="BJ5" s="3"/>
      <c r="BK5" s="4"/>
      <c r="BL5" s="3"/>
      <c r="BM5" s="3"/>
      <c r="BN5" s="3"/>
      <c r="BO5" s="3"/>
      <c r="BP5" s="4"/>
      <c r="BQ5" s="3"/>
      <c r="BR5" s="3"/>
      <c r="BS5" s="3"/>
      <c r="BT5" s="3"/>
      <c r="BU5" s="3"/>
      <c r="BV5" s="3"/>
      <c r="BW5" s="3"/>
      <c r="BX5" s="3"/>
      <c r="BY5" s="3"/>
      <c r="BZ5" s="4"/>
      <c r="CA5" s="3"/>
      <c r="CB5" s="3"/>
      <c r="CC5" s="3"/>
      <c r="CD5" s="3"/>
      <c r="CE5" s="3"/>
      <c r="CF5" s="3"/>
      <c r="CG5" s="3"/>
      <c r="CH5" s="3"/>
      <c r="CI5" s="3"/>
      <c r="CJ5" s="3"/>
      <c r="CK5" s="4"/>
      <c r="CL5" s="3"/>
      <c r="CM5" s="3"/>
      <c r="CN5" s="3"/>
      <c r="CO5" s="3"/>
      <c r="CP5" s="3"/>
      <c r="CQ5" s="3"/>
      <c r="CR5" s="3"/>
      <c r="CS5" s="3"/>
      <c r="CT5" s="1797"/>
      <c r="CU5" s="1797"/>
      <c r="CV5" s="1797"/>
      <c r="CW5" s="1797"/>
      <c r="CX5" s="1797"/>
      <c r="CY5" s="1797"/>
      <c r="CZ5" s="3"/>
      <c r="DA5" s="3"/>
      <c r="DB5" s="3"/>
      <c r="DC5" s="3"/>
      <c r="DD5" s="1797"/>
      <c r="DE5" s="3"/>
      <c r="DF5" s="3"/>
      <c r="DG5" s="3"/>
      <c r="DH5" s="3"/>
      <c r="DI5" s="3"/>
      <c r="DJ5" s="3"/>
      <c r="DK5" s="3"/>
      <c r="DL5" s="3"/>
      <c r="DM5" s="3"/>
      <c r="DN5" s="3"/>
      <c r="DO5" s="3"/>
      <c r="DP5" s="3"/>
      <c r="DQ5" s="3"/>
      <c r="DR5" s="3"/>
      <c r="DS5" s="3"/>
      <c r="DT5" s="3"/>
      <c r="DU5" s="3"/>
      <c r="DV5" s="3"/>
      <c r="DW5" s="3"/>
      <c r="DX5" s="3"/>
      <c r="DY5" s="3"/>
      <c r="DZ5" s="3"/>
      <c r="EA5" s="3"/>
      <c r="EB5" s="3"/>
      <c r="EC5" s="1675"/>
      <c r="ED5" s="80"/>
      <c r="EE5" s="80"/>
      <c r="EF5" s="80"/>
      <c r="EG5" s="80"/>
      <c r="EH5" s="80"/>
      <c r="EI5" s="80"/>
      <c r="EJ5" s="80"/>
      <c r="EK5" s="80"/>
      <c r="EL5" s="80"/>
      <c r="EM5" s="80"/>
      <c r="EN5" s="80"/>
      <c r="EO5" s="80"/>
      <c r="EP5" s="80"/>
      <c r="EQ5" s="80"/>
      <c r="ER5" s="80"/>
      <c r="ES5" s="80"/>
      <c r="ET5" s="80"/>
      <c r="EU5" s="80"/>
      <c r="EX5" s="2" t="s">
        <v>579</v>
      </c>
      <c r="EY5" s="946"/>
      <c r="EZ5" s="946"/>
      <c r="FA5" s="947"/>
      <c r="FB5" s="946"/>
      <c r="FC5" s="948"/>
      <c r="FD5" s="80"/>
    </row>
    <row r="6" spans="1:166" ht="4.5" customHeight="1" x14ac:dyDescent="0.2">
      <c r="A6" s="37"/>
      <c r="B6" s="151"/>
      <c r="C6" s="151"/>
      <c r="D6" s="151"/>
      <c r="E6" s="151"/>
      <c r="F6" s="37"/>
      <c r="G6" s="37"/>
      <c r="H6" s="37"/>
      <c r="I6" s="37"/>
      <c r="J6" s="37"/>
      <c r="K6" s="37"/>
      <c r="L6" s="151"/>
      <c r="M6" s="37"/>
      <c r="N6" s="37"/>
      <c r="O6" s="37"/>
      <c r="P6" s="37"/>
      <c r="Q6" s="151"/>
      <c r="R6" s="37"/>
      <c r="S6" s="37"/>
      <c r="T6" s="151"/>
      <c r="U6" s="151"/>
      <c r="V6" s="151"/>
      <c r="W6" s="151"/>
      <c r="X6" s="151"/>
      <c r="Y6" s="151"/>
      <c r="Z6" s="151"/>
      <c r="AA6" s="151"/>
      <c r="AB6" s="151"/>
      <c r="AC6" s="151"/>
      <c r="AD6" s="151"/>
      <c r="AE6" s="151"/>
      <c r="AF6" s="151"/>
      <c r="AG6" s="151"/>
      <c r="AH6" s="151"/>
      <c r="AI6" s="151"/>
      <c r="AJ6" s="151"/>
      <c r="AK6" s="37"/>
      <c r="AL6" s="151"/>
      <c r="AM6" s="151"/>
      <c r="AN6" s="151"/>
      <c r="AO6" s="151"/>
      <c r="AP6" s="37"/>
      <c r="AQ6" s="151"/>
      <c r="AR6" s="151"/>
      <c r="AS6" s="151"/>
      <c r="AT6" s="151"/>
      <c r="AU6" s="151"/>
      <c r="AV6" s="881"/>
      <c r="AW6" s="151"/>
      <c r="AX6" s="151"/>
      <c r="AY6" s="151"/>
      <c r="AZ6" s="151"/>
      <c r="BA6" s="37"/>
      <c r="BB6" s="37"/>
      <c r="BC6" s="151"/>
      <c r="BD6" s="151"/>
      <c r="BE6" s="151"/>
      <c r="BF6" s="37"/>
      <c r="BG6" s="151"/>
      <c r="BH6" s="151"/>
      <c r="BI6" s="151"/>
      <c r="BJ6" s="151"/>
      <c r="BK6" s="37"/>
      <c r="BL6" s="151"/>
      <c r="BM6" s="151"/>
      <c r="BN6" s="151"/>
      <c r="BO6" s="151"/>
      <c r="BP6" s="37"/>
      <c r="BQ6" s="151"/>
      <c r="BR6" s="151"/>
      <c r="BS6" s="151"/>
      <c r="BT6" s="151"/>
      <c r="BU6" s="37"/>
      <c r="BV6" s="151"/>
      <c r="BW6" s="151"/>
      <c r="BX6" s="151"/>
      <c r="BY6" s="151"/>
      <c r="BZ6" s="37"/>
      <c r="CA6" s="151"/>
      <c r="CB6" s="151"/>
      <c r="CC6" s="151"/>
      <c r="CD6" s="151"/>
      <c r="CE6" s="37"/>
      <c r="CF6" s="151"/>
      <c r="CG6" s="151"/>
      <c r="CH6" s="151"/>
      <c r="CI6" s="151"/>
      <c r="CJ6" s="37"/>
      <c r="CK6" s="37"/>
      <c r="CL6" s="151"/>
      <c r="CM6" s="151"/>
      <c r="CN6" s="151"/>
      <c r="CO6" s="37"/>
      <c r="CP6" s="151"/>
      <c r="CQ6" s="151"/>
      <c r="CR6" s="151"/>
      <c r="CS6" s="151"/>
      <c r="CT6" s="37"/>
      <c r="CU6" s="151"/>
      <c r="CV6" s="151"/>
      <c r="CW6" s="151"/>
      <c r="CX6" s="151"/>
      <c r="CY6" s="37"/>
      <c r="CZ6" s="151"/>
      <c r="DA6" s="151"/>
      <c r="DB6" s="151"/>
      <c r="DC6" s="151"/>
      <c r="DD6" s="37"/>
      <c r="DE6" s="151"/>
      <c r="DF6" s="151"/>
      <c r="DG6" s="151"/>
      <c r="DH6" s="151"/>
      <c r="DI6" s="37"/>
      <c r="DJ6" s="151"/>
      <c r="DK6" s="151"/>
      <c r="DL6" s="151"/>
      <c r="DM6" s="151"/>
      <c r="DN6" s="37"/>
      <c r="DO6" s="151"/>
      <c r="DP6" s="151"/>
      <c r="DQ6" s="151"/>
      <c r="DR6" s="151"/>
      <c r="DS6" s="37"/>
      <c r="DT6" s="151"/>
      <c r="DU6" s="151"/>
      <c r="DV6" s="151"/>
      <c r="DW6" s="151"/>
      <c r="DX6" s="37"/>
      <c r="DY6" s="151"/>
      <c r="DZ6" s="151"/>
      <c r="EA6" s="151"/>
      <c r="EB6" s="151"/>
      <c r="EC6" s="37"/>
      <c r="ED6" s="80"/>
      <c r="EE6" s="80"/>
      <c r="EF6" s="80"/>
      <c r="EG6" s="80"/>
      <c r="EH6" s="80"/>
      <c r="EI6" s="80"/>
      <c r="EJ6" s="80"/>
      <c r="EK6" s="80"/>
      <c r="EL6" s="80"/>
      <c r="EM6" s="80"/>
      <c r="EN6" s="80"/>
      <c r="EO6" s="80"/>
      <c r="EP6" s="80"/>
      <c r="EQ6" s="80"/>
      <c r="ER6" s="80"/>
      <c r="ES6" s="80"/>
      <c r="ET6" s="80"/>
      <c r="EU6" s="80"/>
      <c r="EX6" s="32"/>
      <c r="EY6" s="228"/>
      <c r="EZ6" s="949"/>
      <c r="FA6" s="228"/>
      <c r="FB6" s="228"/>
      <c r="FC6" s="950"/>
      <c r="FD6" s="80"/>
    </row>
    <row r="7" spans="1:166" x14ac:dyDescent="0.2">
      <c r="A7" s="1564"/>
      <c r="B7" s="1565"/>
      <c r="C7" s="1565"/>
      <c r="D7" s="1565"/>
      <c r="E7" s="1565"/>
      <c r="F7" s="1565"/>
      <c r="G7" s="1565"/>
      <c r="H7" s="1565"/>
      <c r="I7" s="1565"/>
      <c r="J7" s="1565"/>
      <c r="K7" s="1566">
        <v>37802</v>
      </c>
      <c r="L7" s="1565"/>
      <c r="M7" s="1567">
        <v>37894</v>
      </c>
      <c r="N7" s="1567">
        <v>37986</v>
      </c>
      <c r="O7" s="1567">
        <v>38077</v>
      </c>
      <c r="P7" s="1567">
        <v>38168</v>
      </c>
      <c r="Q7" s="1565"/>
      <c r="R7" s="1567">
        <v>38260</v>
      </c>
      <c r="S7" s="1567">
        <v>38352</v>
      </c>
      <c r="T7" s="1567">
        <v>38442</v>
      </c>
      <c r="U7" s="1567">
        <v>38533</v>
      </c>
      <c r="V7" s="1565"/>
      <c r="W7" s="1567">
        <v>38625</v>
      </c>
      <c r="X7" s="1567">
        <v>38717</v>
      </c>
      <c r="Y7" s="1567">
        <v>38807</v>
      </c>
      <c r="Z7" s="1567">
        <v>38898</v>
      </c>
      <c r="AA7" s="1567"/>
      <c r="AB7" s="1567">
        <v>38990</v>
      </c>
      <c r="AC7" s="1567">
        <v>39082</v>
      </c>
      <c r="AD7" s="1567">
        <v>39172</v>
      </c>
      <c r="AE7" s="1567">
        <v>39263</v>
      </c>
      <c r="AF7" s="1567">
        <f>AE7</f>
        <v>39263</v>
      </c>
      <c r="AG7" s="1567">
        <v>39355</v>
      </c>
      <c r="AH7" s="1567">
        <v>39447</v>
      </c>
      <c r="AI7" s="1567">
        <v>39538</v>
      </c>
      <c r="AJ7" s="1567">
        <v>39629</v>
      </c>
      <c r="AK7" s="1567">
        <v>39629</v>
      </c>
      <c r="AL7" s="1567">
        <v>39721</v>
      </c>
      <c r="AM7" s="1567">
        <v>39813</v>
      </c>
      <c r="AN7" s="1567">
        <v>39903</v>
      </c>
      <c r="AO7" s="1567">
        <v>39994</v>
      </c>
      <c r="AP7" s="1567">
        <f>AO7</f>
        <v>39994</v>
      </c>
      <c r="AQ7" s="1567">
        <v>40086</v>
      </c>
      <c r="AR7" s="1567">
        <v>40178</v>
      </c>
      <c r="AS7" s="1567">
        <f>AW7</f>
        <v>40268</v>
      </c>
      <c r="AT7" s="1567">
        <f>AX7</f>
        <v>40359</v>
      </c>
      <c r="AU7" s="1567">
        <f>AT7</f>
        <v>40359</v>
      </c>
      <c r="AV7" s="882"/>
      <c r="AW7" s="1567">
        <v>40268</v>
      </c>
      <c r="AX7" s="1567">
        <v>40359</v>
      </c>
      <c r="AY7" s="1567">
        <v>40451</v>
      </c>
      <c r="AZ7" s="1567">
        <v>40543</v>
      </c>
      <c r="BA7" s="1567">
        <v>40543</v>
      </c>
      <c r="BB7" s="1567">
        <v>40633</v>
      </c>
      <c r="BC7" s="1567">
        <v>40724</v>
      </c>
      <c r="BD7" s="1567">
        <v>40816</v>
      </c>
      <c r="BE7" s="1567">
        <v>40908</v>
      </c>
      <c r="BF7" s="1567">
        <f>BE7</f>
        <v>40908</v>
      </c>
      <c r="BG7" s="1567">
        <v>40999</v>
      </c>
      <c r="BH7" s="1567">
        <v>41090</v>
      </c>
      <c r="BI7" s="1567">
        <v>41182</v>
      </c>
      <c r="BJ7" s="1567">
        <v>41274</v>
      </c>
      <c r="BK7" s="1567">
        <f>BJ7</f>
        <v>41274</v>
      </c>
      <c r="BL7" s="1567">
        <v>41364</v>
      </c>
      <c r="BM7" s="1567">
        <v>41455</v>
      </c>
      <c r="BN7" s="1567">
        <v>41547</v>
      </c>
      <c r="BO7" s="1567">
        <v>41639</v>
      </c>
      <c r="BP7" s="1567">
        <f>BO7</f>
        <v>41639</v>
      </c>
      <c r="BQ7" s="1567">
        <v>41729</v>
      </c>
      <c r="BR7" s="1567">
        <v>41820</v>
      </c>
      <c r="BS7" s="1567">
        <v>41912</v>
      </c>
      <c r="BT7" s="1567">
        <v>42004</v>
      </c>
      <c r="BU7" s="1567">
        <f>BT7</f>
        <v>42004</v>
      </c>
      <c r="BV7" s="1567">
        <v>41729</v>
      </c>
      <c r="BW7" s="1567">
        <v>41820</v>
      </c>
      <c r="BX7" s="1567">
        <v>41912</v>
      </c>
      <c r="BY7" s="1567">
        <v>42004</v>
      </c>
      <c r="BZ7" s="1567">
        <f>BY7</f>
        <v>42004</v>
      </c>
      <c r="CA7" s="1567">
        <v>42094</v>
      </c>
      <c r="CB7" s="1567">
        <v>42185</v>
      </c>
      <c r="CC7" s="1567">
        <v>42277</v>
      </c>
      <c r="CD7" s="1567">
        <v>42369</v>
      </c>
      <c r="CE7" s="1567">
        <f>CD7</f>
        <v>42369</v>
      </c>
      <c r="CF7" s="1567">
        <v>42460</v>
      </c>
      <c r="CG7" s="1567">
        <v>42551</v>
      </c>
      <c r="CH7" s="1567">
        <v>42643</v>
      </c>
      <c r="CI7" s="1567">
        <v>42735</v>
      </c>
      <c r="CJ7" s="1567">
        <f>CI7</f>
        <v>42735</v>
      </c>
      <c r="CK7" s="1567">
        <v>42825</v>
      </c>
      <c r="CL7" s="1567">
        <v>42916</v>
      </c>
      <c r="CM7" s="1567">
        <v>43008</v>
      </c>
      <c r="CN7" s="1567">
        <v>43100</v>
      </c>
      <c r="CO7" s="1567">
        <f>CN7</f>
        <v>43100</v>
      </c>
      <c r="CP7" s="1567">
        <v>43190</v>
      </c>
      <c r="CQ7" s="1567">
        <v>43281</v>
      </c>
      <c r="CR7" s="1567">
        <v>43373</v>
      </c>
      <c r="CS7" s="1567">
        <v>43465</v>
      </c>
      <c r="CT7" s="1567">
        <f>CS7</f>
        <v>43465</v>
      </c>
      <c r="CU7" s="1567">
        <v>43555</v>
      </c>
      <c r="CV7" s="1567">
        <v>43646</v>
      </c>
      <c r="CW7" s="1567">
        <v>43738</v>
      </c>
      <c r="CX7" s="1567">
        <v>43830</v>
      </c>
      <c r="CY7" s="1567">
        <f>CX7</f>
        <v>43830</v>
      </c>
      <c r="CZ7" s="1567">
        <v>43921</v>
      </c>
      <c r="DA7" s="1567">
        <v>44012</v>
      </c>
      <c r="DB7" s="1567">
        <v>44104</v>
      </c>
      <c r="DC7" s="1567">
        <v>44196</v>
      </c>
      <c r="DD7" s="1567">
        <f>DC7</f>
        <v>44196</v>
      </c>
      <c r="DE7" s="1567">
        <v>44286</v>
      </c>
      <c r="DF7" s="1567">
        <v>44377</v>
      </c>
      <c r="DG7" s="1567">
        <v>44469</v>
      </c>
      <c r="DH7" s="1567">
        <v>44561</v>
      </c>
      <c r="DI7" s="1567">
        <f>DH7</f>
        <v>44561</v>
      </c>
      <c r="DJ7" s="1567">
        <v>44651</v>
      </c>
      <c r="DK7" s="1567">
        <v>44742</v>
      </c>
      <c r="DL7" s="1567">
        <v>44834</v>
      </c>
      <c r="DM7" s="1567">
        <v>44926</v>
      </c>
      <c r="DN7" s="1567">
        <f>DM7</f>
        <v>44926</v>
      </c>
      <c r="DO7" s="1567">
        <v>45016</v>
      </c>
      <c r="DP7" s="1567">
        <v>45107</v>
      </c>
      <c r="DQ7" s="1567">
        <v>45199</v>
      </c>
      <c r="DR7" s="1567">
        <v>45291</v>
      </c>
      <c r="DS7" s="1567">
        <f>DR7</f>
        <v>45291</v>
      </c>
      <c r="DT7" s="1567">
        <v>45382</v>
      </c>
      <c r="DU7" s="1567">
        <v>45473</v>
      </c>
      <c r="DV7" s="1567">
        <v>45565</v>
      </c>
      <c r="DW7" s="1567">
        <v>45657</v>
      </c>
      <c r="DX7" s="1567">
        <f>DW7</f>
        <v>45657</v>
      </c>
      <c r="DY7" s="1567">
        <v>45382</v>
      </c>
      <c r="DZ7" s="1567">
        <v>45473</v>
      </c>
      <c r="EA7" s="1567">
        <v>45565</v>
      </c>
      <c r="EB7" s="1567">
        <v>45657</v>
      </c>
      <c r="EC7" s="1567">
        <f>EB7</f>
        <v>45657</v>
      </c>
      <c r="ED7" s="61"/>
      <c r="EE7" s="61"/>
      <c r="EF7" s="80"/>
      <c r="EG7" s="61"/>
      <c r="EH7" s="61"/>
      <c r="EI7" s="61"/>
      <c r="EJ7" s="61"/>
      <c r="EK7" s="61"/>
      <c r="EL7" s="61"/>
      <c r="EM7" s="61"/>
      <c r="EN7" s="61"/>
      <c r="EO7" s="61"/>
      <c r="EP7" s="61"/>
      <c r="EQ7" s="61"/>
      <c r="ER7" s="61"/>
      <c r="ES7" s="61"/>
      <c r="ET7" s="61"/>
      <c r="EU7" s="61"/>
      <c r="EX7" s="653"/>
      <c r="EY7" s="951">
        <f>CN7</f>
        <v>43100</v>
      </c>
      <c r="EZ7" s="951">
        <v>43100</v>
      </c>
      <c r="FA7" s="951"/>
      <c r="FB7" s="951">
        <f>CI7</f>
        <v>42735</v>
      </c>
      <c r="FC7" s="952"/>
      <c r="FD7" s="61"/>
    </row>
    <row r="8" spans="1:166" ht="11.25" customHeight="1" x14ac:dyDescent="0.2">
      <c r="A8" s="570" t="s">
        <v>295</v>
      </c>
      <c r="B8" s="510" t="s">
        <v>246</v>
      </c>
      <c r="C8" s="511" t="s">
        <v>142</v>
      </c>
      <c r="D8" s="512" t="s">
        <v>143</v>
      </c>
      <c r="E8" s="512" t="s">
        <v>144</v>
      </c>
      <c r="F8" s="513" t="s">
        <v>145</v>
      </c>
      <c r="G8" s="510" t="s">
        <v>245</v>
      </c>
      <c r="H8" s="511" t="s">
        <v>146</v>
      </c>
      <c r="I8" s="512" t="s">
        <v>148</v>
      </c>
      <c r="J8" s="512" t="s">
        <v>149</v>
      </c>
      <c r="K8" s="512" t="s">
        <v>150</v>
      </c>
      <c r="L8" s="510" t="s">
        <v>244</v>
      </c>
      <c r="M8" s="512" t="s">
        <v>240</v>
      </c>
      <c r="N8" s="512" t="s">
        <v>241</v>
      </c>
      <c r="O8" s="512" t="s">
        <v>242</v>
      </c>
      <c r="P8" s="512" t="s">
        <v>243</v>
      </c>
      <c r="Q8" s="510" t="s">
        <v>234</v>
      </c>
      <c r="R8" s="512" t="s">
        <v>236</v>
      </c>
      <c r="S8" s="512" t="s">
        <v>237</v>
      </c>
      <c r="T8" s="512" t="s">
        <v>238</v>
      </c>
      <c r="U8" s="512" t="s">
        <v>239</v>
      </c>
      <c r="V8" s="510" t="s">
        <v>235</v>
      </c>
      <c r="W8" s="512" t="s">
        <v>257</v>
      </c>
      <c r="X8" s="512" t="s">
        <v>258</v>
      </c>
      <c r="Y8" s="512" t="s">
        <v>259</v>
      </c>
      <c r="Z8" s="512" t="s">
        <v>260</v>
      </c>
      <c r="AA8" s="510" t="s">
        <v>256</v>
      </c>
      <c r="AB8" s="512" t="s">
        <v>268</v>
      </c>
      <c r="AC8" s="512" t="s">
        <v>366</v>
      </c>
      <c r="AD8" s="512" t="s">
        <v>440</v>
      </c>
      <c r="AE8" s="512" t="s">
        <v>490</v>
      </c>
      <c r="AF8" s="510" t="s">
        <v>513</v>
      </c>
      <c r="AG8" s="512" t="s">
        <v>493</v>
      </c>
      <c r="AH8" s="512" t="s">
        <v>508</v>
      </c>
      <c r="AI8" s="512" t="s">
        <v>3</v>
      </c>
      <c r="AJ8" s="512" t="s">
        <v>72</v>
      </c>
      <c r="AK8" s="510" t="s">
        <v>73</v>
      </c>
      <c r="AL8" s="512" t="s">
        <v>516</v>
      </c>
      <c r="AM8" s="512" t="s">
        <v>132</v>
      </c>
      <c r="AN8" s="512" t="s">
        <v>93</v>
      </c>
      <c r="AO8" s="512" t="s">
        <v>398</v>
      </c>
      <c r="AP8" s="510" t="s">
        <v>399</v>
      </c>
      <c r="AQ8" s="512" t="s">
        <v>481</v>
      </c>
      <c r="AR8" s="512" t="s">
        <v>397</v>
      </c>
      <c r="AS8" s="512" t="s">
        <v>478</v>
      </c>
      <c r="AT8" s="512" t="s">
        <v>20</v>
      </c>
      <c r="AU8" s="510" t="s">
        <v>517</v>
      </c>
      <c r="AV8" s="1801" t="s">
        <v>1</v>
      </c>
      <c r="AW8" s="512" t="s">
        <v>127</v>
      </c>
      <c r="AX8" s="512" t="s">
        <v>128</v>
      </c>
      <c r="AY8" s="850" t="s">
        <v>129</v>
      </c>
      <c r="AZ8" s="850" t="s">
        <v>130</v>
      </c>
      <c r="BA8" s="571" t="s">
        <v>460</v>
      </c>
      <c r="BB8" s="511" t="s">
        <v>227</v>
      </c>
      <c r="BC8" s="512" t="s">
        <v>228</v>
      </c>
      <c r="BD8" s="512" t="s">
        <v>229</v>
      </c>
      <c r="BE8" s="512" t="s">
        <v>230</v>
      </c>
      <c r="BF8" s="571" t="s">
        <v>461</v>
      </c>
      <c r="BG8" s="512" t="s">
        <v>291</v>
      </c>
      <c r="BH8" s="512" t="s">
        <v>292</v>
      </c>
      <c r="BI8" s="512" t="s">
        <v>293</v>
      </c>
      <c r="BJ8" s="512" t="s">
        <v>294</v>
      </c>
      <c r="BK8" s="571" t="s">
        <v>462</v>
      </c>
      <c r="BL8" s="512" t="s">
        <v>296</v>
      </c>
      <c r="BM8" s="512" t="s">
        <v>297</v>
      </c>
      <c r="BN8" s="512" t="s">
        <v>298</v>
      </c>
      <c r="BO8" s="512" t="s">
        <v>100</v>
      </c>
      <c r="BP8" s="571" t="s">
        <v>101</v>
      </c>
      <c r="BQ8" s="512" t="s">
        <v>279</v>
      </c>
      <c r="BR8" s="512" t="s">
        <v>196</v>
      </c>
      <c r="BS8" s="512" t="s">
        <v>42</v>
      </c>
      <c r="BT8" s="512" t="s">
        <v>605</v>
      </c>
      <c r="BU8" s="571" t="s">
        <v>606</v>
      </c>
      <c r="BV8" s="512" t="s">
        <v>758</v>
      </c>
      <c r="BW8" s="512" t="s">
        <v>759</v>
      </c>
      <c r="BX8" s="512" t="s">
        <v>760</v>
      </c>
      <c r="BY8" s="512" t="s">
        <v>761</v>
      </c>
      <c r="BZ8" s="571" t="s">
        <v>746</v>
      </c>
      <c r="CA8" s="512" t="s">
        <v>747</v>
      </c>
      <c r="CB8" s="1352" t="s">
        <v>763</v>
      </c>
      <c r="CC8" s="512" t="s">
        <v>769</v>
      </c>
      <c r="CD8" s="512" t="s">
        <v>776</v>
      </c>
      <c r="CE8" s="12" t="s">
        <v>781</v>
      </c>
      <c r="CF8" s="512" t="s">
        <v>787</v>
      </c>
      <c r="CG8" s="512" t="s">
        <v>790</v>
      </c>
      <c r="CH8" s="512" t="s">
        <v>793</v>
      </c>
      <c r="CI8" s="512" t="s">
        <v>796</v>
      </c>
      <c r="CJ8" s="571" t="s">
        <v>797</v>
      </c>
      <c r="CK8" s="512" t="s">
        <v>811</v>
      </c>
      <c r="CL8" s="512" t="s">
        <v>827</v>
      </c>
      <c r="CM8" s="512" t="s">
        <v>834</v>
      </c>
      <c r="CN8" s="512" t="s">
        <v>840</v>
      </c>
      <c r="CO8" s="571" t="s">
        <v>841</v>
      </c>
      <c r="CP8" s="512" t="s">
        <v>854</v>
      </c>
      <c r="CQ8" s="514" t="s">
        <v>300</v>
      </c>
      <c r="CR8" s="514" t="s">
        <v>301</v>
      </c>
      <c r="CS8" s="514" t="s">
        <v>302</v>
      </c>
      <c r="CT8" s="536" t="s">
        <v>575</v>
      </c>
      <c r="CU8" s="514" t="s">
        <v>305</v>
      </c>
      <c r="CV8" s="514" t="s">
        <v>306</v>
      </c>
      <c r="CW8" s="514" t="s">
        <v>307</v>
      </c>
      <c r="CX8" s="514" t="s">
        <v>308</v>
      </c>
      <c r="CY8" s="536" t="s">
        <v>303</v>
      </c>
      <c r="CZ8" s="514" t="s">
        <v>304</v>
      </c>
      <c r="DA8" s="514" t="s">
        <v>309</v>
      </c>
      <c r="DB8" s="514" t="s">
        <v>310</v>
      </c>
      <c r="DC8" s="514" t="s">
        <v>311</v>
      </c>
      <c r="DD8" s="536" t="s">
        <v>312</v>
      </c>
      <c r="DE8" s="514" t="s">
        <v>313</v>
      </c>
      <c r="DF8" s="514" t="s">
        <v>314</v>
      </c>
      <c r="DG8" s="514" t="s">
        <v>315</v>
      </c>
      <c r="DH8" s="514" t="s">
        <v>317</v>
      </c>
      <c r="DI8" s="536" t="s">
        <v>316</v>
      </c>
      <c r="DJ8" s="514" t="s">
        <v>318</v>
      </c>
      <c r="DK8" s="514" t="s">
        <v>319</v>
      </c>
      <c r="DL8" s="514" t="s">
        <v>320</v>
      </c>
      <c r="DM8" s="514" t="s">
        <v>321</v>
      </c>
      <c r="DN8" s="536" t="s">
        <v>322</v>
      </c>
      <c r="DO8" s="514" t="s">
        <v>323</v>
      </c>
      <c r="DP8" s="514" t="s">
        <v>324</v>
      </c>
      <c r="DQ8" s="514" t="s">
        <v>325</v>
      </c>
      <c r="DR8" s="514" t="s">
        <v>326</v>
      </c>
      <c r="DS8" s="536" t="s">
        <v>331</v>
      </c>
      <c r="DT8" s="514" t="s">
        <v>327</v>
      </c>
      <c r="DU8" s="514" t="s">
        <v>328</v>
      </c>
      <c r="DV8" s="514" t="s">
        <v>329</v>
      </c>
      <c r="DW8" s="514" t="s">
        <v>330</v>
      </c>
      <c r="DX8" s="536" t="s">
        <v>332</v>
      </c>
      <c r="DY8" s="514" t="s">
        <v>600</v>
      </c>
      <c r="DZ8" s="514" t="s">
        <v>601</v>
      </c>
      <c r="EA8" s="514" t="s">
        <v>602</v>
      </c>
      <c r="EB8" s="514" t="s">
        <v>603</v>
      </c>
      <c r="EC8" s="536" t="s">
        <v>604</v>
      </c>
      <c r="ED8" s="16"/>
      <c r="EE8" s="11" t="s">
        <v>404</v>
      </c>
      <c r="EF8" s="10" t="s">
        <v>400</v>
      </c>
      <c r="EG8" s="10" t="s">
        <v>401</v>
      </c>
      <c r="EH8" s="10" t="s">
        <v>402</v>
      </c>
      <c r="EI8" s="10" t="s">
        <v>403</v>
      </c>
      <c r="EJ8" s="10" t="s">
        <v>561</v>
      </c>
      <c r="EK8" s="10" t="s">
        <v>562</v>
      </c>
      <c r="EL8" s="10" t="s">
        <v>111</v>
      </c>
      <c r="EM8" s="10" t="s">
        <v>112</v>
      </c>
      <c r="EN8" s="10" t="s">
        <v>577</v>
      </c>
      <c r="EO8" s="10" t="s">
        <v>109</v>
      </c>
      <c r="EP8" s="10" t="s">
        <v>110</v>
      </c>
      <c r="EQ8" s="10" t="s">
        <v>766</v>
      </c>
      <c r="ER8" s="59" t="s">
        <v>795</v>
      </c>
      <c r="ES8" s="16"/>
      <c r="ET8" s="16"/>
      <c r="EU8" s="16"/>
      <c r="EX8" s="744" t="s">
        <v>141</v>
      </c>
      <c r="EY8" s="953" t="str">
        <f>CP8</f>
        <v>1Q18A</v>
      </c>
      <c r="EZ8" s="954" t="s">
        <v>299</v>
      </c>
      <c r="FA8" s="953" t="s">
        <v>578</v>
      </c>
      <c r="FB8" s="953" t="str">
        <f>CK8</f>
        <v>1Q17A</v>
      </c>
      <c r="FC8" s="955" t="s">
        <v>151</v>
      </c>
      <c r="FD8" s="16"/>
    </row>
    <row r="9" spans="1:166" s="1064" customFormat="1" x14ac:dyDescent="0.2">
      <c r="A9" s="1450" t="s">
        <v>152</v>
      </c>
      <c r="B9" s="1451"/>
      <c r="C9" s="1452"/>
      <c r="D9" s="1453"/>
      <c r="E9" s="1453"/>
      <c r="F9" s="1454"/>
      <c r="G9" s="1451">
        <f>SUM(C9:F9)</f>
        <v>0</v>
      </c>
      <c r="H9" s="1452"/>
      <c r="I9" s="1453"/>
      <c r="J9" s="1453"/>
      <c r="K9" s="1453"/>
      <c r="L9" s="1451">
        <f>SUM(H9:K9)</f>
        <v>0</v>
      </c>
      <c r="M9" s="1453"/>
      <c r="N9" s="1453"/>
      <c r="O9" s="1453"/>
      <c r="P9" s="1453"/>
      <c r="Q9" s="1455">
        <f>10055+Q15</f>
        <v>11331</v>
      </c>
      <c r="R9" s="1453">
        <v>3120</v>
      </c>
      <c r="S9" s="1453">
        <v>3057</v>
      </c>
      <c r="T9" s="1453">
        <v>2893</v>
      </c>
      <c r="U9" s="1453">
        <v>3154</v>
      </c>
      <c r="V9" s="1455">
        <v>12224</v>
      </c>
      <c r="W9" s="1456">
        <v>3174</v>
      </c>
      <c r="X9" s="1457">
        <v>3088</v>
      </c>
      <c r="Y9" s="1457">
        <v>2967</v>
      </c>
      <c r="Z9" s="1458">
        <v>3190</v>
      </c>
      <c r="AA9" s="1455">
        <v>12419</v>
      </c>
      <c r="AB9" s="1453">
        <v>3319</v>
      </c>
      <c r="AC9" s="1453">
        <v>3293</v>
      </c>
      <c r="AD9" s="1453">
        <v>3154</v>
      </c>
      <c r="AE9" s="1453">
        <v>3466</v>
      </c>
      <c r="AF9" s="1455">
        <f>SUM(AB9:AE9)</f>
        <v>13232</v>
      </c>
      <c r="AG9" s="1453">
        <v>3667</v>
      </c>
      <c r="AH9" s="1453">
        <v>3621</v>
      </c>
      <c r="AI9" s="1453">
        <v>3540</v>
      </c>
      <c r="AJ9" s="1453">
        <v>3860</v>
      </c>
      <c r="AK9" s="1455">
        <f>SUM(AG9:AJ9)</f>
        <v>14688</v>
      </c>
      <c r="AL9" s="1453">
        <v>3959</v>
      </c>
      <c r="AM9" s="1453">
        <v>3623</v>
      </c>
      <c r="AN9" s="1453">
        <v>3434</v>
      </c>
      <c r="AO9" s="1453">
        <v>3653.3</v>
      </c>
      <c r="AP9" s="1455">
        <f>SUM(AL9:AO9)</f>
        <v>14669.3</v>
      </c>
      <c r="AQ9" s="1453">
        <v>3825.7</v>
      </c>
      <c r="AR9" s="1453">
        <v>3810</v>
      </c>
      <c r="AS9" s="1453">
        <v>3524.8</v>
      </c>
      <c r="AT9" s="1453">
        <v>3734.1000000000004</v>
      </c>
      <c r="AU9" s="1455">
        <f>SUM(AQ9:AT9)</f>
        <v>14894.6</v>
      </c>
      <c r="AV9" s="1801"/>
      <c r="AW9" s="1453">
        <v>3524.8</v>
      </c>
      <c r="AX9" s="1453">
        <v>3734.1000000000004</v>
      </c>
      <c r="AY9" s="1453">
        <v>3789.9</v>
      </c>
      <c r="AZ9" s="1453">
        <v>3623</v>
      </c>
      <c r="BA9" s="1455">
        <f>SUM(AW9:AZ9)</f>
        <v>14671.800000000001</v>
      </c>
      <c r="BB9" s="1453">
        <v>3547.6</v>
      </c>
      <c r="BC9" s="1453">
        <v>3868</v>
      </c>
      <c r="BD9" s="1453">
        <v>4056.7999999999997</v>
      </c>
      <c r="BE9" s="1453">
        <v>3819.6</v>
      </c>
      <c r="BF9" s="1455">
        <f>SUM(BB9:BE9)</f>
        <v>15292</v>
      </c>
      <c r="BG9" s="1453">
        <v>3745.1</v>
      </c>
      <c r="BH9" s="1453">
        <v>3982.2000000000007</v>
      </c>
      <c r="BI9" s="1453">
        <v>4074.6000000000004</v>
      </c>
      <c r="BJ9" s="1453">
        <v>4039.9</v>
      </c>
      <c r="BK9" s="1455">
        <f>SUM(BG9:BJ9)</f>
        <v>15841.800000000001</v>
      </c>
      <c r="BL9" s="1453">
        <v>3791.6000000000004</v>
      </c>
      <c r="BM9" s="1453">
        <v>4113.5999999999995</v>
      </c>
      <c r="BN9" s="1453">
        <v>4211.7999999999993</v>
      </c>
      <c r="BO9" s="1453">
        <v>4184</v>
      </c>
      <c r="BP9" s="1455">
        <f>SUM(BL9:BO9)</f>
        <v>16301</v>
      </c>
      <c r="BQ9" s="1453">
        <v>3949</v>
      </c>
      <c r="BR9" s="1453">
        <v>4292.9000000000005</v>
      </c>
      <c r="BS9" s="1453">
        <v>4467.2</v>
      </c>
      <c r="BT9" s="1453">
        <v>4308</v>
      </c>
      <c r="BU9" s="1455">
        <f>SUM(BQ9:BT9)</f>
        <v>17017.100000000002</v>
      </c>
      <c r="BV9" s="1459">
        <v>4023.9</v>
      </c>
      <c r="BW9" s="1459">
        <v>4406.1000000000004</v>
      </c>
      <c r="BX9" s="1459">
        <v>4520.6000000000004</v>
      </c>
      <c r="BY9" s="1459">
        <v>4328.8457444496662</v>
      </c>
      <c r="BZ9" s="1455">
        <f>SUM(BV9:BY9)</f>
        <v>17279.445744449666</v>
      </c>
      <c r="CA9" s="1453">
        <v>5467.1033991167542</v>
      </c>
      <c r="CB9" s="1453">
        <v>6003.4262461726503</v>
      </c>
      <c r="CC9" s="1453">
        <v>6120.6</v>
      </c>
      <c r="CD9" s="1453">
        <v>5892.9449645023278</v>
      </c>
      <c r="CE9" s="1455">
        <f>SUM(CA9:CD9)</f>
        <v>23484.074609791729</v>
      </c>
      <c r="CF9" s="1457">
        <v>5661.5</v>
      </c>
      <c r="CG9" s="1453">
        <v>6212</v>
      </c>
      <c r="CH9" s="1453">
        <v>6467.1</v>
      </c>
      <c r="CI9" s="1458">
        <v>6273.8</v>
      </c>
      <c r="CJ9" s="1624">
        <f>SUM(CF9:CI9)</f>
        <v>24614.399999999998</v>
      </c>
      <c r="CK9" s="1456">
        <v>5991</v>
      </c>
      <c r="CL9" s="1453">
        <f>SUM(CL10:CL12)</f>
        <v>7497.4</v>
      </c>
      <c r="CM9" s="1453">
        <f>SUM(CM10:CM12)</f>
        <v>8044.6</v>
      </c>
      <c r="CN9" s="1453">
        <f>SUM(CN10:CN12)</f>
        <v>7935.1</v>
      </c>
      <c r="CO9" s="1455">
        <f>SUM(CK9:CN9)</f>
        <v>29468.1</v>
      </c>
      <c r="CP9" s="1453">
        <f>SUM(CP10:CP12)</f>
        <v>7660.2999999999993</v>
      </c>
      <c r="CQ9" s="1453">
        <f>SUM(CQ10:CQ12)</f>
        <v>8092.379763857034</v>
      </c>
      <c r="CR9" s="1453">
        <f>SUM(CR10:CR12)</f>
        <v>8535.7702585707484</v>
      </c>
      <c r="CS9" s="1453">
        <f>SUM(CS10:CS12)</f>
        <v>8477.4925614308449</v>
      </c>
      <c r="CT9" s="1455">
        <f>SUM(CP9:CS9)</f>
        <v>32765.942583858625</v>
      </c>
      <c r="CU9" s="1453">
        <f>SUM(CU10:CU12)</f>
        <v>8246.6567847100359</v>
      </c>
      <c r="CV9" s="1453">
        <f>SUM(CV10:CV12)</f>
        <v>8703.5487718774439</v>
      </c>
      <c r="CW9" s="1453">
        <f>SUM(CW10:CW12)</f>
        <v>9188.7182234245156</v>
      </c>
      <c r="CX9" s="1453">
        <f>SUM(CX10:CX12)</f>
        <v>9143.6322689972512</v>
      </c>
      <c r="CY9" s="1455">
        <f>SUM(CU9:CX9)</f>
        <v>35282.556049009247</v>
      </c>
      <c r="CZ9" s="1453">
        <f>SUM(CZ10:CZ12)</f>
        <v>8994.8385452260227</v>
      </c>
      <c r="DA9" s="1453">
        <f>SUM(DA10:DA12)</f>
        <v>9380.497680819275</v>
      </c>
      <c r="DB9" s="1453">
        <f>SUM(DB10:DB12)</f>
        <v>9904.8847994703574</v>
      </c>
      <c r="DC9" s="1453">
        <f>SUM(DC10:DC12)</f>
        <v>9851.4404926950101</v>
      </c>
      <c r="DD9" s="1455">
        <f>SUM(CZ9:DC9)</f>
        <v>38131.661518210669</v>
      </c>
      <c r="DE9" s="1453">
        <f>SUM(DE10:DE12)</f>
        <v>9575.1320155962094</v>
      </c>
      <c r="DF9" s="1453">
        <f>SUM(DF10:DF12)</f>
        <v>10089.192971372486</v>
      </c>
      <c r="DG9" s="1453">
        <f>SUM(DG10:DG12)</f>
        <v>10655.607269530186</v>
      </c>
      <c r="DH9" s="1453">
        <f>SUM(DH10:DH12)</f>
        <v>10595.357377527502</v>
      </c>
      <c r="DI9" s="1455">
        <f>SUM(DE9:DH9)</f>
        <v>40915.289634026383</v>
      </c>
      <c r="DJ9" s="1453">
        <f>SUM(DJ10:DJ12)</f>
        <v>10293.77352923853</v>
      </c>
      <c r="DK9" s="1453">
        <f>SUM(DK10:DK12)</f>
        <v>10849.540698969304</v>
      </c>
      <c r="DL9" s="1453">
        <f>SUM(DL10:DL12)</f>
        <v>11465.43699971617</v>
      </c>
      <c r="DM9" s="1453">
        <f>SUM(DM10:DM12)</f>
        <v>11397.779350174702</v>
      </c>
      <c r="DN9" s="1455">
        <f>SUM(DJ9:DM9)</f>
        <v>44006.530578098704</v>
      </c>
      <c r="DO9" s="1453">
        <f>SUM(DO10:DO12)</f>
        <v>11066.398090579323</v>
      </c>
      <c r="DP9" s="1453">
        <f>SUM(DP10:DP12)</f>
        <v>11660.321941190859</v>
      </c>
      <c r="DQ9" s="1453">
        <f>SUM(DQ10:DQ12)</f>
        <v>12323.958757205031</v>
      </c>
      <c r="DR9" s="1453">
        <f>SUM(DR10:DR12)</f>
        <v>12248.630013902386</v>
      </c>
      <c r="DS9" s="1455">
        <f>SUM(DO9:DR9)</f>
        <v>47299.308802877604</v>
      </c>
      <c r="DT9" s="1453">
        <f>SUM(DT10:DT12)</f>
        <v>12016.385054231112</v>
      </c>
      <c r="DU9" s="1453">
        <f>SUM(DU10:DU12)</f>
        <v>12514.744964464671</v>
      </c>
      <c r="DV9" s="1453">
        <f>SUM(DV10:DV12)</f>
        <v>13227.431536791595</v>
      </c>
      <c r="DW9" s="1453">
        <f>SUM(DW10:DW12)</f>
        <v>13144.25322748659</v>
      </c>
      <c r="DX9" s="1455">
        <f>SUM(DT9:DW9)</f>
        <v>50902.814782973968</v>
      </c>
      <c r="DY9" s="1453">
        <f>SUM(DY10:DY12)</f>
        <v>12744.740027057196</v>
      </c>
      <c r="DZ9" s="1453">
        <f>SUM(DZ10:DZ12)</f>
        <v>13413.096724343224</v>
      </c>
      <c r="EA9" s="1453">
        <f>SUM(EA10:EA12)</f>
        <v>14177.820664064884</v>
      </c>
      <c r="EB9" s="1453">
        <f>SUM(EB10:EB12)</f>
        <v>14086.578400241709</v>
      </c>
      <c r="EC9" s="1455">
        <f>SUM(DY9:EB9)</f>
        <v>54422.235815707012</v>
      </c>
      <c r="ED9" s="1460"/>
      <c r="EE9" s="1461">
        <f>X9+W9+U9+T9</f>
        <v>12309</v>
      </c>
      <c r="EF9" s="1201">
        <f>AC9+AB9+Z9+Y9</f>
        <v>12769</v>
      </c>
      <c r="EG9" s="1201">
        <f>AH9+AG9+AE9+AD9</f>
        <v>13908</v>
      </c>
      <c r="EH9" s="1201">
        <f>AM9+AL9+AJ9+AI9</f>
        <v>14982</v>
      </c>
      <c r="EI9" s="1201">
        <f>AR9+AQ9+AO9+AN9</f>
        <v>14723</v>
      </c>
      <c r="EJ9" s="1201">
        <f>AZ9+AY9+AX9+AW9</f>
        <v>14671.8</v>
      </c>
      <c r="EK9" s="1201">
        <f>BF9</f>
        <v>15292</v>
      </c>
      <c r="EL9" s="1201">
        <f>BK9</f>
        <v>15841.800000000001</v>
      </c>
      <c r="EM9" s="1201">
        <f>BP9</f>
        <v>16301</v>
      </c>
      <c r="EN9" s="1201">
        <f>BU9</f>
        <v>17017.100000000002</v>
      </c>
      <c r="EO9" s="1201">
        <f>CE9</f>
        <v>23484.074609791729</v>
      </c>
      <c r="EP9" s="1201">
        <f>CJ9</f>
        <v>24614.399999999998</v>
      </c>
      <c r="EQ9" s="1201">
        <f>CO9</f>
        <v>29468.1</v>
      </c>
      <c r="ER9" s="1462">
        <f>CT9</f>
        <v>32765.942583858625</v>
      </c>
      <c r="ES9" s="1460"/>
      <c r="ET9" s="1460"/>
      <c r="EU9" s="1460"/>
      <c r="EX9" s="1450" t="s">
        <v>152</v>
      </c>
      <c r="EY9" s="1463">
        <f>CP9</f>
        <v>7660.2999999999993</v>
      </c>
      <c r="EZ9" s="1463">
        <v>7437.9252367440467</v>
      </c>
      <c r="FA9" s="1463">
        <f>EY9-EZ9</f>
        <v>222.37476325595253</v>
      </c>
      <c r="FB9" s="1463">
        <f>CK9</f>
        <v>5991</v>
      </c>
      <c r="FC9" s="1464">
        <f>EY9/FB9-1</f>
        <v>0.27863461859455829</v>
      </c>
      <c r="FD9" s="1460"/>
      <c r="FE9"/>
      <c r="FF9"/>
      <c r="FG9"/>
      <c r="FH9"/>
      <c r="FI9"/>
      <c r="FJ9"/>
    </row>
    <row r="10" spans="1:166" s="1179" customFormat="1" hidden="1" outlineLevel="1" x14ac:dyDescent="0.2">
      <c r="A10" s="1632" t="s">
        <v>814</v>
      </c>
      <c r="B10" s="1512"/>
      <c r="C10" s="1633"/>
      <c r="D10" s="1634"/>
      <c r="E10" s="1634"/>
      <c r="F10" s="1635"/>
      <c r="G10" s="1512"/>
      <c r="H10" s="1633"/>
      <c r="I10" s="1634"/>
      <c r="J10" s="1634"/>
      <c r="K10" s="1634"/>
      <c r="L10" s="1512"/>
      <c r="M10" s="1634"/>
      <c r="N10" s="1634"/>
      <c r="O10" s="1634"/>
      <c r="P10" s="1634"/>
      <c r="Q10" s="1512"/>
      <c r="R10" s="1634"/>
      <c r="S10" s="1634"/>
      <c r="T10" s="1634"/>
      <c r="U10" s="1634"/>
      <c r="V10" s="1512"/>
      <c r="W10" s="1634"/>
      <c r="X10" s="1634"/>
      <c r="Y10" s="1634"/>
      <c r="Z10" s="1635"/>
      <c r="AA10" s="1514"/>
      <c r="AB10" s="1634"/>
      <c r="AC10" s="1634"/>
      <c r="AD10" s="1634"/>
      <c r="AE10" s="1634"/>
      <c r="AF10" s="1512"/>
      <c r="AG10" s="1634"/>
      <c r="AH10" s="1634"/>
      <c r="AI10" s="1634"/>
      <c r="AJ10" s="1634"/>
      <c r="AK10" s="1512"/>
      <c r="AL10" s="1634"/>
      <c r="AM10" s="1634"/>
      <c r="AN10" s="1634"/>
      <c r="AO10" s="1634"/>
      <c r="AP10" s="1512"/>
      <c r="AQ10" s="1634"/>
      <c r="AR10" s="1634"/>
      <c r="AS10" s="1634"/>
      <c r="AT10" s="1634"/>
      <c r="AU10" s="1512"/>
      <c r="AV10" s="1801"/>
      <c r="AW10" s="1634"/>
      <c r="AX10" s="1634"/>
      <c r="AY10" s="1634"/>
      <c r="AZ10" s="1634"/>
      <c r="BA10" s="1512"/>
      <c r="BB10" s="1634"/>
      <c r="BC10" s="1634"/>
      <c r="BD10" s="1634"/>
      <c r="BE10" s="1634"/>
      <c r="BF10" s="1512"/>
      <c r="BG10" s="1634"/>
      <c r="BH10" s="1634"/>
      <c r="BI10" s="1634"/>
      <c r="BJ10" s="1634"/>
      <c r="BK10" s="1512"/>
      <c r="BL10" s="1634"/>
      <c r="BM10" s="1634"/>
      <c r="BN10" s="1634"/>
      <c r="BO10" s="1634"/>
      <c r="BP10" s="1512"/>
      <c r="BQ10" s="1634"/>
      <c r="BR10" s="1634"/>
      <c r="BS10" s="1634"/>
      <c r="BT10" s="1634"/>
      <c r="BU10" s="1512"/>
      <c r="BV10" s="1636"/>
      <c r="BW10" s="1636"/>
      <c r="BX10" s="1636"/>
      <c r="BY10" s="1636"/>
      <c r="BZ10" s="1512"/>
      <c r="CA10" s="1634"/>
      <c r="CB10" s="1634"/>
      <c r="CC10" s="1634"/>
      <c r="CD10" s="1634"/>
      <c r="CE10" s="1512"/>
      <c r="CF10" s="1638">
        <v>4236.8</v>
      </c>
      <c r="CG10" s="1638">
        <v>4544.1000000000004</v>
      </c>
      <c r="CH10" s="1638">
        <v>4776.7</v>
      </c>
      <c r="CI10" s="1639">
        <v>4651.6000000000004</v>
      </c>
      <c r="CJ10" s="1638">
        <v>18209.2</v>
      </c>
      <c r="CK10" s="1637">
        <v>4477</v>
      </c>
      <c r="CL10" s="1638">
        <v>4961.1000000000004</v>
      </c>
      <c r="CM10" s="1638">
        <v>5335</v>
      </c>
      <c r="CN10" s="1639">
        <v>5302</v>
      </c>
      <c r="CO10" s="1640">
        <v>20075.100000000002</v>
      </c>
      <c r="CP10" s="1637">
        <v>5148.8999999999996</v>
      </c>
      <c r="CQ10" s="1638">
        <v>5364.9873316174599</v>
      </c>
      <c r="CR10" s="1638">
        <v>5730.3865841040924</v>
      </c>
      <c r="CS10" s="1639">
        <v>5713.496169253227</v>
      </c>
      <c r="CT10" s="1640">
        <v>21957.770084974774</v>
      </c>
      <c r="CU10" s="1637">
        <v>5593.5016089693827</v>
      </c>
      <c r="CV10" s="1638">
        <v>5825.1942228206408</v>
      </c>
      <c r="CW10" s="1638">
        <v>6222.6027025263456</v>
      </c>
      <c r="CX10" s="1639">
        <v>6208.7509088854003</v>
      </c>
      <c r="CY10" s="1640">
        <v>23850.049443201769</v>
      </c>
      <c r="CZ10" s="1637">
        <v>6147.08949469655</v>
      </c>
      <c r="DA10" s="1638">
        <v>6328.2176958593045</v>
      </c>
      <c r="DB10" s="1638">
        <v>6754.9526383177317</v>
      </c>
      <c r="DC10" s="1639">
        <v>6725.6742339846478</v>
      </c>
      <c r="DD10" s="1640">
        <v>25955.934062858232</v>
      </c>
      <c r="DE10" s="1637">
        <v>6574.7307315789685</v>
      </c>
      <c r="DF10" s="1638">
        <v>6841.4133880631807</v>
      </c>
      <c r="DG10" s="1638">
        <v>7300.2431210805671</v>
      </c>
      <c r="DH10" s="1639">
        <v>7258.6035901478181</v>
      </c>
      <c r="DI10" s="1640">
        <v>27974.990830870538</v>
      </c>
      <c r="DJ10" s="1637">
        <v>7088.7359520507753</v>
      </c>
      <c r="DK10" s="1638">
        <v>7377.9365779689888</v>
      </c>
      <c r="DL10" s="1638">
        <v>7870.4712382729022</v>
      </c>
      <c r="DM10" s="1639">
        <v>7817.648111916259</v>
      </c>
      <c r="DN10" s="1640">
        <v>30154.791880208926</v>
      </c>
      <c r="DO10" s="1637">
        <v>7630.8202704871974</v>
      </c>
      <c r="DP10" s="1638">
        <v>7942.6159382513952</v>
      </c>
      <c r="DQ10" s="1638">
        <v>8471.8694890454353</v>
      </c>
      <c r="DR10" s="1639">
        <v>8410.8244255371646</v>
      </c>
      <c r="DS10" s="1640">
        <v>32456.130123321189</v>
      </c>
      <c r="DT10" s="1637">
        <v>8298.8518376145494</v>
      </c>
      <c r="DU10" s="1638">
        <v>8543.372587122969</v>
      </c>
      <c r="DV10" s="1638">
        <v>9111.5383847215708</v>
      </c>
      <c r="DW10" s="1639">
        <v>9041.548259849631</v>
      </c>
      <c r="DX10" s="1640">
        <v>34995.311069308722</v>
      </c>
      <c r="DY10" s="1637">
        <v>8820.8465223767926</v>
      </c>
      <c r="DZ10" s="1638">
        <v>9181.8697451961016</v>
      </c>
      <c r="EA10" s="1638">
        <v>9791.2393311726319</v>
      </c>
      <c r="EB10" s="1639">
        <v>9711.5442245188515</v>
      </c>
      <c r="EC10" s="1640">
        <v>37505.499823264377</v>
      </c>
      <c r="ED10" s="1641"/>
      <c r="EE10" s="1642"/>
      <c r="EF10" s="1643"/>
      <c r="EG10" s="1643"/>
      <c r="EH10" s="1643"/>
      <c r="EI10" s="1643"/>
      <c r="EJ10" s="1643"/>
      <c r="EK10" s="1643"/>
      <c r="EL10" s="1643"/>
      <c r="EM10" s="1643"/>
      <c r="EN10" s="1643"/>
      <c r="EO10" s="1643"/>
      <c r="EP10" s="1643"/>
      <c r="EQ10" s="1643"/>
      <c r="ER10" s="1644"/>
      <c r="ES10" s="1641"/>
      <c r="ET10" s="1641"/>
      <c r="EU10" s="1641"/>
      <c r="EX10" s="1511"/>
      <c r="EY10" s="1645"/>
      <c r="EZ10" s="1645"/>
      <c r="FA10" s="1645"/>
      <c r="FB10" s="1645"/>
      <c r="FC10" s="1520"/>
      <c r="FD10" s="1641"/>
      <c r="FE10"/>
      <c r="FF10"/>
      <c r="FG10"/>
      <c r="FH10"/>
      <c r="FI10"/>
      <c r="FJ10"/>
    </row>
    <row r="11" spans="1:166" s="1179" customFormat="1" hidden="1" outlineLevel="1" x14ac:dyDescent="0.2">
      <c r="A11" s="1632" t="s">
        <v>812</v>
      </c>
      <c r="B11" s="1512"/>
      <c r="C11" s="1633"/>
      <c r="D11" s="1634"/>
      <c r="E11" s="1634"/>
      <c r="F11" s="1635"/>
      <c r="G11" s="1512"/>
      <c r="H11" s="1633"/>
      <c r="I11" s="1634"/>
      <c r="J11" s="1634"/>
      <c r="K11" s="1634"/>
      <c r="L11" s="1512"/>
      <c r="M11" s="1634"/>
      <c r="N11" s="1634"/>
      <c r="O11" s="1634"/>
      <c r="P11" s="1634"/>
      <c r="Q11" s="1512"/>
      <c r="R11" s="1634"/>
      <c r="S11" s="1634"/>
      <c r="T11" s="1634"/>
      <c r="U11" s="1634"/>
      <c r="V11" s="1512"/>
      <c r="W11" s="1634"/>
      <c r="X11" s="1634"/>
      <c r="Y11" s="1634"/>
      <c r="Z11" s="1635"/>
      <c r="AA11" s="1514"/>
      <c r="AB11" s="1634"/>
      <c r="AC11" s="1634"/>
      <c r="AD11" s="1634"/>
      <c r="AE11" s="1634"/>
      <c r="AF11" s="1512"/>
      <c r="AG11" s="1634"/>
      <c r="AH11" s="1634"/>
      <c r="AI11" s="1634"/>
      <c r="AJ11" s="1634"/>
      <c r="AK11" s="1512"/>
      <c r="AL11" s="1634"/>
      <c r="AM11" s="1634"/>
      <c r="AN11" s="1634"/>
      <c r="AO11" s="1634"/>
      <c r="AP11" s="1512"/>
      <c r="AQ11" s="1634"/>
      <c r="AR11" s="1634"/>
      <c r="AS11" s="1634"/>
      <c r="AT11" s="1634"/>
      <c r="AU11" s="1512"/>
      <c r="AV11" s="1801"/>
      <c r="AW11" s="1634"/>
      <c r="AX11" s="1634"/>
      <c r="AY11" s="1634"/>
      <c r="AZ11" s="1634"/>
      <c r="BA11" s="1512"/>
      <c r="BB11" s="1634"/>
      <c r="BC11" s="1634"/>
      <c r="BD11" s="1634"/>
      <c r="BE11" s="1634"/>
      <c r="BF11" s="1512"/>
      <c r="BG11" s="1634"/>
      <c r="BH11" s="1634"/>
      <c r="BI11" s="1634"/>
      <c r="BJ11" s="1634"/>
      <c r="BK11" s="1512"/>
      <c r="BL11" s="1634"/>
      <c r="BM11" s="1634"/>
      <c r="BN11" s="1634"/>
      <c r="BO11" s="1634"/>
      <c r="BP11" s="1512"/>
      <c r="BQ11" s="1634"/>
      <c r="BR11" s="1634"/>
      <c r="BS11" s="1634"/>
      <c r="BT11" s="1634"/>
      <c r="BU11" s="1512"/>
      <c r="BV11" s="1636"/>
      <c r="BW11" s="1636"/>
      <c r="BX11" s="1636"/>
      <c r="BY11" s="1636"/>
      <c r="BZ11" s="1512"/>
      <c r="CA11" s="1634"/>
      <c r="CB11" s="1634"/>
      <c r="CC11" s="1634"/>
      <c r="CD11" s="1634"/>
      <c r="CE11" s="1512"/>
      <c r="CF11" s="1638">
        <v>1424.7</v>
      </c>
      <c r="CG11" s="1638">
        <v>1667.9</v>
      </c>
      <c r="CH11" s="1638">
        <v>1690.4</v>
      </c>
      <c r="CI11" s="1639">
        <v>1622.2</v>
      </c>
      <c r="CJ11" s="1638">
        <v>6405.2</v>
      </c>
      <c r="CK11" s="1637">
        <v>1514</v>
      </c>
      <c r="CL11" s="1638">
        <v>1645.9</v>
      </c>
      <c r="CM11" s="1638">
        <v>1812.3</v>
      </c>
      <c r="CN11" s="1639">
        <v>1745.1</v>
      </c>
      <c r="CO11" s="1640">
        <v>6717.2999999999993</v>
      </c>
      <c r="CP11" s="1637">
        <v>1607.7</v>
      </c>
      <c r="CQ11" s="1638">
        <v>1781.3191165862841</v>
      </c>
      <c r="CR11" s="1638">
        <v>1846.2525628200749</v>
      </c>
      <c r="CS11" s="1639">
        <v>1808.0493850329622</v>
      </c>
      <c r="CT11" s="1640">
        <v>7043.3210644393212</v>
      </c>
      <c r="CU11" s="1637">
        <v>1683.4633287211589</v>
      </c>
      <c r="CV11" s="1638">
        <v>1866.270211128857</v>
      </c>
      <c r="CW11" s="1638">
        <v>1936.7832774402179</v>
      </c>
      <c r="CX11" s="1639">
        <v>1904.1069862073882</v>
      </c>
      <c r="CY11" s="1640">
        <v>7390.6238034976222</v>
      </c>
      <c r="CZ11" s="1637">
        <v>1792.865266761956</v>
      </c>
      <c r="DA11" s="1638">
        <v>1965.4425008178471</v>
      </c>
      <c r="DB11" s="1638">
        <v>2040.347383247785</v>
      </c>
      <c r="DC11" s="1639">
        <v>2009.371588749849</v>
      </c>
      <c r="DD11" s="1640">
        <v>7808.0267395774372</v>
      </c>
      <c r="DE11" s="1637">
        <v>1873.5266181074012</v>
      </c>
      <c r="DF11" s="1638">
        <v>2076.3815672605956</v>
      </c>
      <c r="DG11" s="1638">
        <v>2156.1007519927266</v>
      </c>
      <c r="DH11" s="1639">
        <v>2125.7216313766339</v>
      </c>
      <c r="DI11" s="1640">
        <v>8231.7305687373573</v>
      </c>
      <c r="DJ11" s="1637">
        <v>1985.2106759137794</v>
      </c>
      <c r="DK11" s="1638">
        <v>2204.9218471925465</v>
      </c>
      <c r="DL11" s="1638">
        <v>2293.2207438109485</v>
      </c>
      <c r="DM11" s="1639">
        <v>2262.0352840578657</v>
      </c>
      <c r="DN11" s="1640">
        <v>8745.3885509751399</v>
      </c>
      <c r="DO11" s="1637">
        <v>2112.7023321305942</v>
      </c>
      <c r="DP11" s="1638">
        <v>2345.9224101733485</v>
      </c>
      <c r="DQ11" s="1638">
        <v>2439.0883333833972</v>
      </c>
      <c r="DR11" s="1639">
        <v>2404.8885109732314</v>
      </c>
      <c r="DS11" s="1640">
        <v>9302.6015866605703</v>
      </c>
      <c r="DT11" s="1637">
        <v>2270.2759013134232</v>
      </c>
      <c r="DU11" s="1638">
        <v>2492.5949251486959</v>
      </c>
      <c r="DV11" s="1638">
        <v>2590.8160394695856</v>
      </c>
      <c r="DW11" s="1639">
        <v>2553.4706271818291</v>
      </c>
      <c r="DX11" s="1640">
        <v>9907.1574931135328</v>
      </c>
      <c r="DY11" s="1637">
        <v>2383.2641320011908</v>
      </c>
      <c r="DZ11" s="1638">
        <v>2645.1348643664519</v>
      </c>
      <c r="EA11" s="1638">
        <v>2748.6057006517203</v>
      </c>
      <c r="EB11" s="1639">
        <v>2707.9787938814984</v>
      </c>
      <c r="EC11" s="1640">
        <v>10484.983490900862</v>
      </c>
      <c r="ED11" s="1641"/>
      <c r="EE11" s="1642"/>
      <c r="EF11" s="1643"/>
      <c r="EG11" s="1643"/>
      <c r="EH11" s="1643"/>
      <c r="EI11" s="1643"/>
      <c r="EJ11" s="1643"/>
      <c r="EK11" s="1643"/>
      <c r="EL11" s="1643"/>
      <c r="EM11" s="1643"/>
      <c r="EN11" s="1643"/>
      <c r="EO11" s="1643"/>
      <c r="EP11" s="1643"/>
      <c r="EQ11" s="1643"/>
      <c r="ER11" s="1644"/>
      <c r="ES11" s="1641"/>
      <c r="ET11" s="1641"/>
      <c r="EU11" s="1641"/>
      <c r="EX11" s="1511"/>
      <c r="EY11" s="1645"/>
      <c r="EZ11" s="1645"/>
      <c r="FA11" s="1645"/>
      <c r="FB11" s="1645"/>
      <c r="FC11" s="1520"/>
      <c r="FD11" s="1641"/>
      <c r="FE11"/>
      <c r="FF11"/>
      <c r="FG11"/>
      <c r="FH11"/>
      <c r="FI11"/>
      <c r="FJ11"/>
    </row>
    <row r="12" spans="1:166" s="1179" customFormat="1" hidden="1" outlineLevel="1" x14ac:dyDescent="0.2">
      <c r="A12" s="1632" t="s">
        <v>813</v>
      </c>
      <c r="B12" s="1512"/>
      <c r="C12" s="1633"/>
      <c r="D12" s="1634"/>
      <c r="E12" s="1634"/>
      <c r="F12" s="1635"/>
      <c r="G12" s="1512"/>
      <c r="H12" s="1633"/>
      <c r="I12" s="1634"/>
      <c r="J12" s="1634"/>
      <c r="K12" s="1634"/>
      <c r="L12" s="1512"/>
      <c r="M12" s="1634"/>
      <c r="N12" s="1634"/>
      <c r="O12" s="1634"/>
      <c r="P12" s="1634"/>
      <c r="Q12" s="1512"/>
      <c r="R12" s="1634"/>
      <c r="S12" s="1634"/>
      <c r="T12" s="1634"/>
      <c r="U12" s="1634"/>
      <c r="V12" s="1512"/>
      <c r="W12" s="1634"/>
      <c r="X12" s="1634"/>
      <c r="Y12" s="1634"/>
      <c r="Z12" s="1635"/>
      <c r="AA12" s="1514"/>
      <c r="AB12" s="1634"/>
      <c r="AC12" s="1634"/>
      <c r="AD12" s="1634"/>
      <c r="AE12" s="1634"/>
      <c r="AF12" s="1512"/>
      <c r="AG12" s="1634"/>
      <c r="AH12" s="1634"/>
      <c r="AI12" s="1634"/>
      <c r="AJ12" s="1634"/>
      <c r="AK12" s="1512"/>
      <c r="AL12" s="1634"/>
      <c r="AM12" s="1634"/>
      <c r="AN12" s="1634"/>
      <c r="AO12" s="1634"/>
      <c r="AP12" s="1512"/>
      <c r="AQ12" s="1634"/>
      <c r="AR12" s="1634"/>
      <c r="AS12" s="1634"/>
      <c r="AT12" s="1634"/>
      <c r="AU12" s="1512"/>
      <c r="AV12" s="1801"/>
      <c r="AW12" s="1634"/>
      <c r="AX12" s="1634"/>
      <c r="AY12" s="1634"/>
      <c r="AZ12" s="1634"/>
      <c r="BA12" s="1512"/>
      <c r="BB12" s="1634"/>
      <c r="BC12" s="1634"/>
      <c r="BD12" s="1634"/>
      <c r="BE12" s="1634"/>
      <c r="BF12" s="1512"/>
      <c r="BG12" s="1634"/>
      <c r="BH12" s="1634"/>
      <c r="BI12" s="1634"/>
      <c r="BJ12" s="1634"/>
      <c r="BK12" s="1512"/>
      <c r="BL12" s="1634"/>
      <c r="BM12" s="1634"/>
      <c r="BN12" s="1634"/>
      <c r="BO12" s="1634"/>
      <c r="BP12" s="1512"/>
      <c r="BQ12" s="1634"/>
      <c r="BR12" s="1634"/>
      <c r="BS12" s="1634"/>
      <c r="BT12" s="1634"/>
      <c r="BU12" s="1512"/>
      <c r="BV12" s="1636"/>
      <c r="BW12" s="1636"/>
      <c r="BX12" s="1636"/>
      <c r="BY12" s="1636"/>
      <c r="BZ12" s="1512"/>
      <c r="CA12" s="1634"/>
      <c r="CB12" s="1634"/>
      <c r="CC12" s="1634"/>
      <c r="CD12" s="1634"/>
      <c r="CE12" s="1512"/>
      <c r="CF12" s="1638">
        <v>980.5</v>
      </c>
      <c r="CG12" s="1638">
        <v>756.9</v>
      </c>
      <c r="CH12" s="1638">
        <v>781.6</v>
      </c>
      <c r="CI12" s="1639">
        <v>767.30000000000018</v>
      </c>
      <c r="CJ12" s="1638">
        <v>3286.3</v>
      </c>
      <c r="CK12" s="1637">
        <v>835.8</v>
      </c>
      <c r="CL12" s="1638">
        <v>890.4</v>
      </c>
      <c r="CM12" s="1638">
        <v>897.3</v>
      </c>
      <c r="CN12" s="1639">
        <v>888</v>
      </c>
      <c r="CO12" s="1640">
        <v>3522.8717403997089</v>
      </c>
      <c r="CP12" s="1637">
        <v>903.7</v>
      </c>
      <c r="CQ12" s="1638">
        <v>946.07331565328934</v>
      </c>
      <c r="CR12" s="1638">
        <v>959.13111164658187</v>
      </c>
      <c r="CS12" s="1639">
        <v>955.94700714465671</v>
      </c>
      <c r="CT12" s="1640">
        <v>3760.325348473265</v>
      </c>
      <c r="CU12" s="1637">
        <v>969.6918470194945</v>
      </c>
      <c r="CV12" s="1638">
        <v>1012.0843379279463</v>
      </c>
      <c r="CW12" s="1638">
        <v>1029.3322434579518</v>
      </c>
      <c r="CX12" s="1639">
        <v>1030.7743739044624</v>
      </c>
      <c r="CY12" s="1640">
        <v>4037.0488838825299</v>
      </c>
      <c r="CZ12" s="1637">
        <v>1054.8837837675167</v>
      </c>
      <c r="DA12" s="1638">
        <v>1086.8374841421221</v>
      </c>
      <c r="DB12" s="1638">
        <v>1109.5847779048402</v>
      </c>
      <c r="DC12" s="1639">
        <v>1116.3946699605126</v>
      </c>
      <c r="DD12" s="1640">
        <v>4362.4989699718981</v>
      </c>
      <c r="DE12" s="1637">
        <v>1126.8746659098406</v>
      </c>
      <c r="DF12" s="1638">
        <v>1171.3980160487097</v>
      </c>
      <c r="DG12" s="1638">
        <v>1199.2633964568929</v>
      </c>
      <c r="DH12" s="1639">
        <v>1211.0321560030497</v>
      </c>
      <c r="DI12" s="1640">
        <v>4702.8978638518993</v>
      </c>
      <c r="DJ12" s="1637">
        <v>1219.826901273974</v>
      </c>
      <c r="DK12" s="1638">
        <v>1266.6822738077676</v>
      </c>
      <c r="DL12" s="1638">
        <v>1301.7450176323198</v>
      </c>
      <c r="DM12" s="1639">
        <v>1318.0959542005767</v>
      </c>
      <c r="DN12" s="1640">
        <v>5100.1022294587574</v>
      </c>
      <c r="DO12" s="1637">
        <v>1322.8754879615324</v>
      </c>
      <c r="DP12" s="1638">
        <v>1371.7835927661163</v>
      </c>
      <c r="DQ12" s="1638">
        <v>1413.0009347761984</v>
      </c>
      <c r="DR12" s="1639">
        <v>1432.9170773919905</v>
      </c>
      <c r="DS12" s="1640">
        <v>5533.6317152238289</v>
      </c>
      <c r="DT12" s="1637">
        <v>1447.2573153031394</v>
      </c>
      <c r="DU12" s="1638">
        <v>1478.7774521930057</v>
      </c>
      <c r="DV12" s="1638">
        <v>1525.0771126004381</v>
      </c>
      <c r="DW12" s="1639">
        <v>1549.2343404551302</v>
      </c>
      <c r="DX12" s="1640">
        <v>5992.6770597827499</v>
      </c>
      <c r="DY12" s="1637">
        <v>1540.6293726792128</v>
      </c>
      <c r="DZ12" s="1638">
        <v>1586.0921147806705</v>
      </c>
      <c r="EA12" s="1638">
        <v>1637.9756322405312</v>
      </c>
      <c r="EB12" s="1639">
        <v>1667.0553818413593</v>
      </c>
      <c r="EC12" s="1640">
        <v>6423.3005702176442</v>
      </c>
      <c r="ED12" s="1641"/>
      <c r="EE12" s="1642"/>
      <c r="EF12" s="1643"/>
      <c r="EG12" s="1643"/>
      <c r="EH12" s="1643"/>
      <c r="EI12" s="1643"/>
      <c r="EJ12" s="1643"/>
      <c r="EK12" s="1643"/>
      <c r="EL12" s="1643"/>
      <c r="EM12" s="1643"/>
      <c r="EN12" s="1643"/>
      <c r="EO12" s="1643"/>
      <c r="EP12" s="1643"/>
      <c r="EQ12" s="1643"/>
      <c r="ER12" s="1644"/>
      <c r="ES12" s="1641"/>
      <c r="ET12" s="1641"/>
      <c r="EU12" s="1641"/>
      <c r="EX12" s="1511"/>
      <c r="EY12" s="1645"/>
      <c r="EZ12" s="1645"/>
      <c r="FA12" s="1645"/>
      <c r="FB12" s="1645"/>
      <c r="FC12" s="1520"/>
      <c r="FD12" s="1641"/>
      <c r="FE12"/>
      <c r="FF12"/>
      <c r="FG12"/>
      <c r="FH12"/>
      <c r="FI12"/>
      <c r="FJ12"/>
    </row>
    <row r="13" spans="1:166" s="1064" customFormat="1" ht="8.25" customHeight="1" collapsed="1" x14ac:dyDescent="0.2">
      <c r="A13" s="1631"/>
      <c r="B13" s="1451"/>
      <c r="C13" s="1452"/>
      <c r="D13" s="1453"/>
      <c r="E13" s="1453"/>
      <c r="F13" s="1454"/>
      <c r="G13" s="1451"/>
      <c r="H13" s="1452"/>
      <c r="I13" s="1453"/>
      <c r="J13" s="1453"/>
      <c r="K13" s="1453"/>
      <c r="L13" s="1451"/>
      <c r="M13" s="1453"/>
      <c r="N13" s="1453"/>
      <c r="O13" s="1453"/>
      <c r="P13" s="1453"/>
      <c r="Q13" s="1451"/>
      <c r="R13" s="1453"/>
      <c r="S13" s="1453"/>
      <c r="T13" s="1453"/>
      <c r="U13" s="1453"/>
      <c r="V13" s="1451"/>
      <c r="W13" s="1453"/>
      <c r="X13" s="1453"/>
      <c r="Y13" s="1453"/>
      <c r="Z13" s="1454"/>
      <c r="AA13" s="1485"/>
      <c r="AB13" s="1453"/>
      <c r="AC13" s="1453"/>
      <c r="AD13" s="1453"/>
      <c r="AE13" s="1453"/>
      <c r="AF13" s="1451"/>
      <c r="AG13" s="1453"/>
      <c r="AH13" s="1453"/>
      <c r="AI13" s="1453"/>
      <c r="AJ13" s="1453"/>
      <c r="AK13" s="1451"/>
      <c r="AL13" s="1453"/>
      <c r="AM13" s="1453"/>
      <c r="AN13" s="1453"/>
      <c r="AO13" s="1453"/>
      <c r="AP13" s="1451"/>
      <c r="AQ13" s="1453"/>
      <c r="AR13" s="1453"/>
      <c r="AS13" s="1453"/>
      <c r="AT13" s="1453"/>
      <c r="AU13" s="1451"/>
      <c r="AV13" s="1801"/>
      <c r="AW13" s="1453"/>
      <c r="AX13" s="1453"/>
      <c r="AY13" s="1453"/>
      <c r="AZ13" s="1453"/>
      <c r="BA13" s="1451"/>
      <c r="BB13" s="1453"/>
      <c r="BC13" s="1453"/>
      <c r="BD13" s="1453"/>
      <c r="BE13" s="1453"/>
      <c r="BF13" s="1451"/>
      <c r="BG13" s="1453"/>
      <c r="BH13" s="1453"/>
      <c r="BI13" s="1453"/>
      <c r="BJ13" s="1453"/>
      <c r="BK13" s="1451"/>
      <c r="BL13" s="1453"/>
      <c r="BM13" s="1453"/>
      <c r="BN13" s="1453"/>
      <c r="BO13" s="1453"/>
      <c r="BP13" s="1451"/>
      <c r="BQ13" s="1453"/>
      <c r="BR13" s="1453"/>
      <c r="BS13" s="1453"/>
      <c r="BT13" s="1453"/>
      <c r="BU13" s="1628"/>
      <c r="BV13" s="1629"/>
      <c r="BW13" s="1629"/>
      <c r="BX13" s="1629"/>
      <c r="BY13" s="1629"/>
      <c r="BZ13" s="1628"/>
      <c r="CA13" s="1627"/>
      <c r="CB13" s="1627"/>
      <c r="CC13" s="1627"/>
      <c r="CD13" s="1627"/>
      <c r="CE13" s="1628"/>
      <c r="CF13" s="1627"/>
      <c r="CG13" s="1627"/>
      <c r="CH13" s="1627"/>
      <c r="CI13" s="1630"/>
      <c r="CJ13" s="1625"/>
      <c r="CK13" s="1626"/>
      <c r="CL13" s="1627"/>
      <c r="CM13" s="1627"/>
      <c r="CN13" s="1627"/>
      <c r="CO13" s="1628"/>
      <c r="CP13" s="1627"/>
      <c r="CQ13" s="1627"/>
      <c r="CR13" s="1627"/>
      <c r="CS13" s="1627"/>
      <c r="CT13" s="1628"/>
      <c r="CU13" s="1627"/>
      <c r="CV13" s="1627"/>
      <c r="CW13" s="1627"/>
      <c r="CX13" s="1627"/>
      <c r="CY13" s="1628"/>
      <c r="CZ13" s="1627"/>
      <c r="DA13" s="1627"/>
      <c r="DB13" s="1627"/>
      <c r="DC13" s="1627"/>
      <c r="DD13" s="1628"/>
      <c r="DE13" s="1627"/>
      <c r="DF13" s="1627"/>
      <c r="DG13" s="1627"/>
      <c r="DH13" s="1627"/>
      <c r="DI13" s="1628"/>
      <c r="DJ13" s="1627"/>
      <c r="DK13" s="1627"/>
      <c r="DL13" s="1627"/>
      <c r="DM13" s="1627"/>
      <c r="DN13" s="1628"/>
      <c r="DO13" s="1627"/>
      <c r="DP13" s="1627"/>
      <c r="DQ13" s="1627"/>
      <c r="DR13" s="1627"/>
      <c r="DS13" s="1628"/>
      <c r="DT13" s="1627"/>
      <c r="DU13" s="1627"/>
      <c r="DV13" s="1627"/>
      <c r="DW13" s="1627"/>
      <c r="DX13" s="1628"/>
      <c r="DY13" s="1627"/>
      <c r="DZ13" s="1627"/>
      <c r="EA13" s="1627"/>
      <c r="EB13" s="1627"/>
      <c r="EC13" s="1628"/>
      <c r="ED13" s="1460"/>
      <c r="EE13" s="1461"/>
      <c r="EF13" s="1201"/>
      <c r="EG13" s="1201"/>
      <c r="EH13" s="1201"/>
      <c r="EI13" s="1201"/>
      <c r="EJ13" s="1201"/>
      <c r="EK13" s="1201"/>
      <c r="EL13" s="1201"/>
      <c r="EM13" s="1201"/>
      <c r="EN13" s="1201"/>
      <c r="EO13" s="1201"/>
      <c r="EP13" s="1201"/>
      <c r="EQ13" s="1201"/>
      <c r="ER13" s="1462"/>
      <c r="ES13" s="1460"/>
      <c r="ET13" s="1460"/>
      <c r="EU13" s="1460"/>
      <c r="EX13" s="1450"/>
      <c r="EY13" s="1463"/>
      <c r="EZ13" s="1463"/>
      <c r="FA13" s="1463"/>
      <c r="FB13" s="1463"/>
      <c r="FC13" s="1464"/>
      <c r="FD13" s="1460"/>
      <c r="FE13"/>
      <c r="FF13"/>
      <c r="FG13"/>
      <c r="FH13"/>
      <c r="FI13"/>
      <c r="FJ13"/>
    </row>
    <row r="14" spans="1:166" s="1064" customFormat="1" x14ac:dyDescent="0.2">
      <c r="A14" s="1450" t="s">
        <v>153</v>
      </c>
      <c r="B14" s="1465"/>
      <c r="C14" s="1461"/>
      <c r="D14" s="1201"/>
      <c r="E14" s="1201"/>
      <c r="F14" s="1462"/>
      <c r="G14" s="1465"/>
      <c r="H14" s="1461"/>
      <c r="I14" s="1201"/>
      <c r="J14" s="1201"/>
      <c r="K14" s="1201"/>
      <c r="L14" s="1465"/>
      <c r="M14" s="1201"/>
      <c r="N14" s="1201"/>
      <c r="O14" s="1201"/>
      <c r="P14" s="1201"/>
      <c r="Q14" s="1465"/>
      <c r="R14" s="1201"/>
      <c r="S14" s="1201"/>
      <c r="T14" s="1201"/>
      <c r="U14" s="1201"/>
      <c r="V14" s="1465"/>
      <c r="W14" s="1201"/>
      <c r="X14" s="1201"/>
      <c r="Y14" s="1201"/>
      <c r="Z14" s="1462"/>
      <c r="AA14" s="1462"/>
      <c r="AB14" s="1201"/>
      <c r="AC14" s="1201"/>
      <c r="AD14" s="1201"/>
      <c r="AE14" s="1201"/>
      <c r="AF14" s="1465"/>
      <c r="AG14" s="1201"/>
      <c r="AH14" s="1201"/>
      <c r="AI14" s="1201"/>
      <c r="AJ14" s="1466"/>
      <c r="AK14" s="1427"/>
      <c r="AL14" s="1201"/>
      <c r="AM14" s="1201"/>
      <c r="AN14" s="1201"/>
      <c r="AO14" s="1201"/>
      <c r="AP14" s="1427"/>
      <c r="AQ14" s="1201"/>
      <c r="AR14" s="1201"/>
      <c r="AS14" s="1201"/>
      <c r="AT14" s="1201"/>
      <c r="AU14" s="1427"/>
      <c r="AV14" s="1801"/>
      <c r="AW14" s="1201"/>
      <c r="AX14" s="1201"/>
      <c r="AY14" s="1201"/>
      <c r="AZ14" s="1201"/>
      <c r="BA14" s="1427"/>
      <c r="BB14" s="1461"/>
      <c r="BC14" s="1201"/>
      <c r="BD14" s="1201"/>
      <c r="BE14" s="1201"/>
      <c r="BF14" s="1427"/>
      <c r="BG14" s="1201"/>
      <c r="BH14" s="1201"/>
      <c r="BI14" s="1201"/>
      <c r="BJ14" s="1201"/>
      <c r="BK14" s="1427"/>
      <c r="BL14" s="1201"/>
      <c r="BM14" s="1201"/>
      <c r="BN14" s="1201"/>
      <c r="BO14" s="1201"/>
      <c r="BP14" s="1427"/>
      <c r="BQ14" s="1201"/>
      <c r="BR14" s="1201"/>
      <c r="BS14" s="1201"/>
      <c r="BT14" s="1201"/>
      <c r="BU14" s="1427"/>
      <c r="BV14" s="1267"/>
      <c r="BW14" s="1267"/>
      <c r="BX14" s="1267"/>
      <c r="BY14" s="1267"/>
      <c r="BZ14" s="1427"/>
      <c r="CA14" s="1201"/>
      <c r="CB14" s="1201"/>
      <c r="CC14" s="1201"/>
      <c r="CD14" s="1201"/>
      <c r="CE14" s="1427"/>
      <c r="CF14" s="1201"/>
      <c r="CG14" s="1201"/>
      <c r="CH14" s="1201"/>
      <c r="CI14" s="1201"/>
      <c r="CJ14" s="1465"/>
      <c r="CK14" s="1201"/>
      <c r="CL14" s="1201"/>
      <c r="CM14" s="1201"/>
      <c r="CN14" s="1201"/>
      <c r="CO14" s="1427"/>
      <c r="CP14" s="1201"/>
      <c r="CQ14" s="1201"/>
      <c r="CR14" s="1201"/>
      <c r="CS14" s="1201"/>
      <c r="CT14" s="1465"/>
      <c r="CU14" s="1201"/>
      <c r="CV14" s="1201"/>
      <c r="CW14" s="1201"/>
      <c r="CX14" s="1201"/>
      <c r="CY14" s="1427"/>
      <c r="CZ14" s="1201"/>
      <c r="DA14" s="1201"/>
      <c r="DB14" s="1201"/>
      <c r="DC14" s="1201"/>
      <c r="DD14" s="1427"/>
      <c r="DE14" s="1201"/>
      <c r="DF14" s="1201"/>
      <c r="DG14" s="1201"/>
      <c r="DH14" s="1201"/>
      <c r="DI14" s="1427"/>
      <c r="DJ14" s="1201"/>
      <c r="DK14" s="1201"/>
      <c r="DL14" s="1201"/>
      <c r="DM14" s="1201"/>
      <c r="DN14" s="1427"/>
      <c r="DO14" s="1201"/>
      <c r="DP14" s="1201"/>
      <c r="DQ14" s="1201"/>
      <c r="DR14" s="1201"/>
      <c r="DS14" s="1427"/>
      <c r="DT14" s="1201"/>
      <c r="DU14" s="1201"/>
      <c r="DV14" s="1201"/>
      <c r="DW14" s="1201"/>
      <c r="DX14" s="1427"/>
      <c r="DY14" s="1201"/>
      <c r="DZ14" s="1201"/>
      <c r="EA14" s="1201"/>
      <c r="EB14" s="1201"/>
      <c r="EC14" s="1465"/>
      <c r="ED14" s="1460"/>
      <c r="EE14" s="1461"/>
      <c r="EF14" s="1201"/>
      <c r="EG14" s="1201"/>
      <c r="EH14" s="1201"/>
      <c r="EI14" s="1201"/>
      <c r="EJ14" s="1201"/>
      <c r="EK14" s="1201"/>
      <c r="EL14" s="1201"/>
      <c r="EM14" s="1201"/>
      <c r="EN14" s="1201"/>
      <c r="EO14" s="1201"/>
      <c r="EP14" s="1201"/>
      <c r="EQ14" s="1201"/>
      <c r="ER14" s="1462"/>
      <c r="ES14" s="1460"/>
      <c r="ET14" s="1460"/>
      <c r="EU14" s="1460"/>
      <c r="EX14" s="1450" t="s">
        <v>153</v>
      </c>
      <c r="EY14" s="1467"/>
      <c r="EZ14" s="1467"/>
      <c r="FA14" s="1467"/>
      <c r="FB14" s="1467"/>
      <c r="FC14" s="1468"/>
      <c r="FD14" s="1460"/>
      <c r="FE14"/>
      <c r="FF14"/>
      <c r="FG14"/>
      <c r="FH14"/>
      <c r="FI14"/>
      <c r="FJ14"/>
    </row>
    <row r="15" spans="1:166" s="1064" customFormat="1" hidden="1" outlineLevel="1" x14ac:dyDescent="0.2">
      <c r="A15" s="1469" t="s">
        <v>607</v>
      </c>
      <c r="B15" s="1465">
        <v>1019</v>
      </c>
      <c r="C15" s="1470"/>
      <c r="D15" s="1202"/>
      <c r="E15" s="1202"/>
      <c r="F15" s="1471"/>
      <c r="G15" s="1465">
        <v>1130</v>
      </c>
      <c r="H15" s="1461"/>
      <c r="I15" s="1201"/>
      <c r="J15" s="1201"/>
      <c r="K15" s="1462"/>
      <c r="L15" s="1465">
        <v>1174</v>
      </c>
      <c r="M15" s="1461"/>
      <c r="N15" s="1201"/>
      <c r="O15" s="1201"/>
      <c r="P15" s="1462"/>
      <c r="Q15" s="1465">
        <v>1276</v>
      </c>
      <c r="R15" s="1201">
        <v>350</v>
      </c>
      <c r="S15" s="1202">
        <v>354</v>
      </c>
      <c r="T15" s="1202">
        <v>339</v>
      </c>
      <c r="U15" s="1202">
        <v>364</v>
      </c>
      <c r="V15" s="1465">
        <v>1407</v>
      </c>
      <c r="W15" s="1201">
        <v>375</v>
      </c>
      <c r="X15" s="1202">
        <v>379</v>
      </c>
      <c r="Y15" s="1202">
        <v>368</v>
      </c>
      <c r="Z15" s="1471">
        <v>394</v>
      </c>
      <c r="AA15" s="1462">
        <v>1516</v>
      </c>
      <c r="AB15" s="1470">
        <v>405</v>
      </c>
      <c r="AC15" s="1202">
        <v>417</v>
      </c>
      <c r="AD15" s="1202">
        <v>403</v>
      </c>
      <c r="AE15" s="1202">
        <v>433</v>
      </c>
      <c r="AF15" s="1465">
        <f>SUM(AB15:AE15)</f>
        <v>1658</v>
      </c>
      <c r="AG15" s="1202">
        <v>441</v>
      </c>
      <c r="AH15" s="1202">
        <v>448</v>
      </c>
      <c r="AI15" s="1202">
        <v>436</v>
      </c>
      <c r="AJ15" s="1472">
        <v>471</v>
      </c>
      <c r="AK15" s="1462">
        <f>SUM(AG15:AJ15)</f>
        <v>1796</v>
      </c>
      <c r="AL15" s="1202">
        <v>497</v>
      </c>
      <c r="AM15" s="1202">
        <v>473</v>
      </c>
      <c r="AN15" s="1202">
        <v>449</v>
      </c>
      <c r="AO15" s="1202">
        <v>461.6</v>
      </c>
      <c r="AP15" s="1465">
        <f>SUM(AL15:AO15)</f>
        <v>1880.6</v>
      </c>
      <c r="AQ15" s="1202">
        <v>469.1</v>
      </c>
      <c r="AR15" s="1202">
        <v>476.9</v>
      </c>
      <c r="AS15" s="1202">
        <f>AW15</f>
        <v>439.2</v>
      </c>
      <c r="AT15" s="1202">
        <f>AX15</f>
        <v>454.1</v>
      </c>
      <c r="AU15" s="1465">
        <f>SUM(AQ15:AT15)</f>
        <v>1839.3000000000002</v>
      </c>
      <c r="AV15" s="1801"/>
      <c r="AW15" s="1202">
        <v>439.2</v>
      </c>
      <c r="AX15" s="1202">
        <v>454.1</v>
      </c>
      <c r="AY15" s="1202">
        <v>429.8</v>
      </c>
      <c r="AZ15" s="1202">
        <v>416.4</v>
      </c>
      <c r="BA15" s="1427">
        <f>SUM(AW15:AZ15)</f>
        <v>1739.5</v>
      </c>
      <c r="BB15" s="1461">
        <v>392.5</v>
      </c>
      <c r="BC15" s="1202">
        <v>419</v>
      </c>
      <c r="BD15" s="1202">
        <v>422.8</v>
      </c>
      <c r="BE15" s="1202">
        <v>404.4</v>
      </c>
      <c r="BF15" s="1427">
        <f>SUM(BB15:BE15)</f>
        <v>1638.6999999999998</v>
      </c>
      <c r="BG15" s="1202">
        <v>396.2</v>
      </c>
      <c r="BH15" s="1202">
        <v>345.9</v>
      </c>
      <c r="BI15" s="1202">
        <v>244.6</v>
      </c>
      <c r="BJ15" s="1202">
        <v>182.3</v>
      </c>
      <c r="BK15" s="1427">
        <f>SUM(BG15:BJ15)</f>
        <v>1169</v>
      </c>
      <c r="BL15" s="1202">
        <v>121.1</v>
      </c>
      <c r="BM15" s="1202">
        <v>52.7</v>
      </c>
      <c r="BN15" s="1202">
        <v>27</v>
      </c>
      <c r="BO15" s="1202">
        <v>21.9</v>
      </c>
      <c r="BP15" s="1427">
        <f>SUM(BL15:BO15)</f>
        <v>222.70000000000002</v>
      </c>
      <c r="BQ15" s="1202">
        <v>18.5</v>
      </c>
      <c r="BR15" s="1202">
        <v>18.3</v>
      </c>
      <c r="BS15" s="1202">
        <v>18.899999999999999</v>
      </c>
      <c r="BT15" s="1202">
        <v>18.899999999999999</v>
      </c>
      <c r="BU15" s="1427">
        <f>SUM(BQ15:BT15)</f>
        <v>74.599999999999994</v>
      </c>
      <c r="BV15" s="1268">
        <v>18.5</v>
      </c>
      <c r="BW15" s="1268">
        <v>18.3</v>
      </c>
      <c r="BX15" s="1268">
        <v>18.899999999999999</v>
      </c>
      <c r="BY15" s="1268">
        <v>22.453199999999995</v>
      </c>
      <c r="BZ15" s="1427">
        <f>SUM(BV15:BY15)</f>
        <v>78.153199999999998</v>
      </c>
      <c r="CA15" s="1202">
        <v>19.399999999999999</v>
      </c>
      <c r="CB15" s="1202">
        <v>28.8</v>
      </c>
      <c r="CC15" s="1202">
        <v>23.8</v>
      </c>
      <c r="CD15" s="1202">
        <v>22.453199999999995</v>
      </c>
      <c r="CE15" s="1427">
        <f>SUM(CA15:CD15)</f>
        <v>94.453199999999995</v>
      </c>
      <c r="CF15" s="1202">
        <v>21.459417777777777</v>
      </c>
      <c r="CG15" s="1202">
        <v>30.009599999999999</v>
      </c>
      <c r="CH15" s="1202">
        <v>24.870999999999999</v>
      </c>
      <c r="CI15" s="1202">
        <v>23.980017599999996</v>
      </c>
      <c r="CJ15" s="1465">
        <f>SUM(CF15:CI15)</f>
        <v>100.32003537777777</v>
      </c>
      <c r="CK15" s="1202">
        <v>21.648071999999999</v>
      </c>
      <c r="CL15" s="1202">
        <v>30.609792000000002</v>
      </c>
      <c r="CM15" s="1202">
        <v>25.36842</v>
      </c>
      <c r="CN15" s="1202">
        <v>24.459617951999995</v>
      </c>
      <c r="CO15" s="1427">
        <f>SUM(CK15:CN15)</f>
        <v>102.085901952</v>
      </c>
      <c r="CP15" s="1202">
        <v>22.081033439999999</v>
      </c>
      <c r="CQ15" s="1202">
        <v>31.221987840000004</v>
      </c>
      <c r="CR15" s="1202">
        <v>25.875788400000001</v>
      </c>
      <c r="CS15" s="1202">
        <v>24.948810311039992</v>
      </c>
      <c r="CT15" s="1465">
        <f>SUM(CP15:CS15)</f>
        <v>104.12761999103999</v>
      </c>
      <c r="CU15" s="1202">
        <v>22.522654108799998</v>
      </c>
      <c r="CV15" s="1202">
        <v>31.846427596800009</v>
      </c>
      <c r="CW15" s="1202">
        <v>26.393304168000004</v>
      </c>
      <c r="CX15" s="1202">
        <v>25.447786517260795</v>
      </c>
      <c r="CY15" s="1427">
        <f>SUM(CU15:CX15)</f>
        <v>106.21017239086081</v>
      </c>
      <c r="CZ15" s="1202">
        <v>23.228363937542397</v>
      </c>
      <c r="DA15" s="1202">
        <v>32.483356148736007</v>
      </c>
      <c r="DB15" s="1202">
        <v>26.921170251360007</v>
      </c>
      <c r="DC15" s="1202">
        <v>25.956742247606012</v>
      </c>
      <c r="DD15" s="1427">
        <f>SUM(CZ15:DC15)</f>
        <v>108.58963258524443</v>
      </c>
      <c r="DE15" s="1202">
        <v>23.432569334795517</v>
      </c>
      <c r="DF15" s="1202">
        <v>33.133023271710726</v>
      </c>
      <c r="DG15" s="1202">
        <v>27.459593656387202</v>
      </c>
      <c r="DH15" s="1202">
        <v>26.475877092558132</v>
      </c>
      <c r="DI15" s="1427">
        <f>SUM(DE15:DH15)</f>
        <v>110.50106335545158</v>
      </c>
      <c r="DJ15" s="1202">
        <v>23.901220721491427</v>
      </c>
      <c r="DK15" s="1202">
        <v>33.795683737144941</v>
      </c>
      <c r="DL15" s="1202">
        <v>28.008785529514949</v>
      </c>
      <c r="DM15" s="1202">
        <v>27.005394634409296</v>
      </c>
      <c r="DN15" s="1427">
        <f>SUM(DJ15:DM15)</f>
        <v>112.71108462256062</v>
      </c>
      <c r="DO15" s="1202">
        <v>24.379245135921256</v>
      </c>
      <c r="DP15" s="1202">
        <v>34.471597411887835</v>
      </c>
      <c r="DQ15" s="1202">
        <v>28.568961240105246</v>
      </c>
      <c r="DR15" s="1202">
        <v>27.545502527097479</v>
      </c>
      <c r="DS15" s="1427">
        <f>SUM(DO15:DR15)</f>
        <v>114.96530631501182</v>
      </c>
      <c r="DT15" s="1202">
        <v>25.143128150180122</v>
      </c>
      <c r="DU15" s="1202">
        <v>35.161029360125596</v>
      </c>
      <c r="DV15" s="1202">
        <v>29.140340464907354</v>
      </c>
      <c r="DW15" s="1202">
        <v>28.09641257763943</v>
      </c>
      <c r="DX15" s="1427">
        <f>SUM(DT15:DW15)</f>
        <v>117.54091055285249</v>
      </c>
      <c r="DY15" s="1202">
        <v>25.364166639412478</v>
      </c>
      <c r="DZ15" s="1202">
        <v>35.864249947328112</v>
      </c>
      <c r="EA15" s="1202">
        <v>29.723147274205502</v>
      </c>
      <c r="EB15" s="1202">
        <v>28.658340829192223</v>
      </c>
      <c r="EC15" s="1465">
        <f>SUM(DY15:EB15)</f>
        <v>119.60990469013832</v>
      </c>
      <c r="ED15" s="1460"/>
      <c r="EE15" s="1470">
        <f>X15+W15+U15+T15</f>
        <v>1457</v>
      </c>
      <c r="EF15" s="1202">
        <f>AC15+AB15+Z15+Y15</f>
        <v>1584</v>
      </c>
      <c r="EG15" s="1202">
        <f>AH15+AG15+AE15+AD15</f>
        <v>1725</v>
      </c>
      <c r="EH15" s="1202">
        <f>AM15+AL15+AJ15+AI15</f>
        <v>1877</v>
      </c>
      <c r="EI15" s="1202">
        <f>AR15+AQ15+AO15+AN15</f>
        <v>1856.6</v>
      </c>
      <c r="EJ15" s="1201">
        <f>AZ15+AY15+AX15+AW15</f>
        <v>1739.5000000000002</v>
      </c>
      <c r="EK15" s="1202">
        <f>BF15</f>
        <v>1638.6999999999998</v>
      </c>
      <c r="EL15" s="1202">
        <f>BK15</f>
        <v>1169</v>
      </c>
      <c r="EM15" s="1202">
        <f>BP15</f>
        <v>222.70000000000002</v>
      </c>
      <c r="EN15" s="1202">
        <f>BU15</f>
        <v>74.599999999999994</v>
      </c>
      <c r="EO15" s="1202">
        <f t="shared" ref="EO15:EO41" si="4">CE15</f>
        <v>94.453199999999995</v>
      </c>
      <c r="EP15" s="1202">
        <f>CJ15</f>
        <v>100.32003537777777</v>
      </c>
      <c r="EQ15" s="1202">
        <f>CO15</f>
        <v>102.085901952</v>
      </c>
      <c r="ER15" s="1471">
        <f>CT15</f>
        <v>104.12761999103999</v>
      </c>
      <c r="ES15" s="1460"/>
      <c r="ET15" s="1460"/>
      <c r="EU15" s="1460"/>
      <c r="EX15" s="1469" t="s">
        <v>607</v>
      </c>
      <c r="EY15" s="1473">
        <f>BS15</f>
        <v>18.899999999999999</v>
      </c>
      <c r="EZ15" s="1473">
        <v>18.899999999999999</v>
      </c>
      <c r="FA15" s="1473">
        <f>EY15-EZ15</f>
        <v>0</v>
      </c>
      <c r="FB15" s="1473">
        <f>BN15</f>
        <v>27</v>
      </c>
      <c r="FC15" s="1474">
        <f>EY15/FB15-1</f>
        <v>-0.30000000000000004</v>
      </c>
      <c r="FD15" s="1460"/>
      <c r="FE15"/>
      <c r="FF15"/>
      <c r="FG15"/>
      <c r="FH15"/>
      <c r="FI15"/>
      <c r="FJ15"/>
    </row>
    <row r="16" spans="1:166" s="1064" customFormat="1" hidden="1" outlineLevel="1" x14ac:dyDescent="0.2">
      <c r="A16" s="1469" t="s">
        <v>647</v>
      </c>
      <c r="B16" s="1465"/>
      <c r="C16" s="1470"/>
      <c r="D16" s="1202"/>
      <c r="E16" s="1202"/>
      <c r="F16" s="1471"/>
      <c r="G16" s="1465"/>
      <c r="H16" s="1461"/>
      <c r="I16" s="1201"/>
      <c r="J16" s="1201"/>
      <c r="K16" s="1201"/>
      <c r="L16" s="1465"/>
      <c r="M16" s="1201"/>
      <c r="N16" s="1201"/>
      <c r="O16" s="1201"/>
      <c r="P16" s="1201"/>
      <c r="Q16" s="1465"/>
      <c r="R16" s="1201"/>
      <c r="S16" s="1202"/>
      <c r="T16" s="1202"/>
      <c r="U16" s="1202"/>
      <c r="V16" s="1465"/>
      <c r="W16" s="1201"/>
      <c r="X16" s="1202"/>
      <c r="Y16" s="1202"/>
      <c r="Z16" s="1471"/>
      <c r="AA16" s="1462"/>
      <c r="AB16" s="1470"/>
      <c r="AC16" s="1202"/>
      <c r="AD16" s="1202"/>
      <c r="AE16" s="1202"/>
      <c r="AF16" s="1465"/>
      <c r="AG16" s="1202"/>
      <c r="AH16" s="1202"/>
      <c r="AI16" s="1202"/>
      <c r="AJ16" s="1472"/>
      <c r="AK16" s="1462"/>
      <c r="AL16" s="1202"/>
      <c r="AM16" s="1202"/>
      <c r="AN16" s="1202"/>
      <c r="AO16" s="1202"/>
      <c r="AP16" s="1465"/>
      <c r="AQ16" s="1202"/>
      <c r="AR16" s="1202"/>
      <c r="AS16" s="1202"/>
      <c r="AT16" s="1202"/>
      <c r="AU16" s="1465"/>
      <c r="AV16" s="1801"/>
      <c r="AW16" s="1202"/>
      <c r="AX16" s="1202"/>
      <c r="AY16" s="1202"/>
      <c r="AZ16" s="1202"/>
      <c r="BA16" s="1427"/>
      <c r="BB16" s="1461"/>
      <c r="BC16" s="1202"/>
      <c r="BD16" s="1202"/>
      <c r="BE16" s="1202"/>
      <c r="BF16" s="1427"/>
      <c r="BG16" s="1202"/>
      <c r="BH16" s="1202"/>
      <c r="BI16" s="1202"/>
      <c r="BJ16" s="1202"/>
      <c r="BK16" s="1427"/>
      <c r="BL16" s="1202"/>
      <c r="BM16" s="1202"/>
      <c r="BN16" s="1202"/>
      <c r="BO16" s="1202"/>
      <c r="BP16" s="1427"/>
      <c r="BQ16" s="1202">
        <v>0</v>
      </c>
      <c r="BR16" s="1202">
        <v>0</v>
      </c>
      <c r="BS16" s="1202">
        <v>0</v>
      </c>
      <c r="BT16" s="1202">
        <f>BU16</f>
        <v>13.400000000000006</v>
      </c>
      <c r="BU16" s="1427">
        <f>88-BU15</f>
        <v>13.400000000000006</v>
      </c>
      <c r="BV16" s="1268">
        <v>0</v>
      </c>
      <c r="BW16" s="1268">
        <v>0</v>
      </c>
      <c r="BX16" s="1268">
        <v>0</v>
      </c>
      <c r="BY16" s="1268">
        <f>BZ16</f>
        <v>9.8468000000000018</v>
      </c>
      <c r="BZ16" s="1427">
        <f>88-BZ15</f>
        <v>9.8468000000000018</v>
      </c>
      <c r="CA16" s="1202">
        <v>69.973575071676862</v>
      </c>
      <c r="CB16" s="1202">
        <v>80.829767236624306</v>
      </c>
      <c r="CC16" s="1202">
        <v>75.36676160480296</v>
      </c>
      <c r="CD16" s="1202">
        <v>71.080093201683198</v>
      </c>
      <c r="CE16" s="1427">
        <f>SUM(CA16:CD16)</f>
        <v>297.25019711478734</v>
      </c>
      <c r="CF16" s="1202">
        <v>64.919180675269018</v>
      </c>
      <c r="CG16" s="1202">
        <v>80.449426894304224</v>
      </c>
      <c r="CH16" s="1202">
        <v>78.136318315780642</v>
      </c>
      <c r="CI16" s="1202">
        <v>74.31190787082059</v>
      </c>
      <c r="CJ16" s="1465">
        <f t="shared" ref="CJ16:CJ18" si="5">SUM(CF16:CI16)</f>
        <v>297.81683375617445</v>
      </c>
      <c r="CK16" s="1202">
        <v>68.976551973971596</v>
      </c>
      <c r="CL16" s="1202">
        <v>79.851040098703152</v>
      </c>
      <c r="CM16" s="1202">
        <v>79.544244208590186</v>
      </c>
      <c r="CN16" s="1202">
        <v>73.611101426943037</v>
      </c>
      <c r="CO16" s="1427">
        <f t="shared" ref="CO16:CO17" si="6">SUM(CK16:CN16)</f>
        <v>301.98293770820794</v>
      </c>
      <c r="CP16" s="1202">
        <v>67.988364175343392</v>
      </c>
      <c r="CQ16" s="1202">
        <v>78.892564875605032</v>
      </c>
      <c r="CR16" s="1202">
        <v>78.960872159994324</v>
      </c>
      <c r="CS16" s="1202">
        <v>73.43747684815969</v>
      </c>
      <c r="CT16" s="1465">
        <f t="shared" ref="CT16:CT17" si="7">SUM(CP16:CS16)</f>
        <v>299.27927805910247</v>
      </c>
      <c r="CU16" s="1202">
        <v>69.016129239687643</v>
      </c>
      <c r="CV16" s="1202">
        <v>80.090895231084858</v>
      </c>
      <c r="CW16" s="1202">
        <v>80.153420111115125</v>
      </c>
      <c r="CX16" s="1202">
        <v>74.736939503272438</v>
      </c>
      <c r="CY16" s="1427">
        <f t="shared" ref="CY16:CY17" si="8">SUM(CU16:CX16)</f>
        <v>303.99738408516004</v>
      </c>
      <c r="CZ16" s="1202">
        <v>71.527549498131805</v>
      </c>
      <c r="DA16" s="1202">
        <v>82.093167611861972</v>
      </c>
      <c r="DB16" s="1202">
        <v>82.157255613893</v>
      </c>
      <c r="DC16" s="1202">
        <v>76.605362990854232</v>
      </c>
      <c r="DD16" s="1427">
        <f t="shared" ref="DD16:DD17" si="9">SUM(CZ16:DC16)</f>
        <v>312.38333571474101</v>
      </c>
      <c r="DE16" s="1202">
        <v>72.510070782446803</v>
      </c>
      <c r="DF16" s="1202">
        <v>84.145496802158533</v>
      </c>
      <c r="DG16" s="1202">
        <v>84.21118700424033</v>
      </c>
      <c r="DH16" s="1202">
        <v>78.520497065625577</v>
      </c>
      <c r="DI16" s="1427">
        <f t="shared" ref="DI16:DI17" si="10">SUM(DE16:DH16)</f>
        <v>319.38725165447124</v>
      </c>
      <c r="DJ16" s="1202">
        <v>74.322822552007963</v>
      </c>
      <c r="DK16" s="1202">
        <v>86.249134222212476</v>
      </c>
      <c r="DL16" s="1202">
        <v>86.316466679346334</v>
      </c>
      <c r="DM16" s="1202">
        <v>80.483509492266208</v>
      </c>
      <c r="DN16" s="1427">
        <f t="shared" ref="DN16:DN17" si="11">SUM(DJ16:DM16)</f>
        <v>327.37193294583295</v>
      </c>
      <c r="DO16" s="1202">
        <v>76.180893115808175</v>
      </c>
      <c r="DP16" s="1202">
        <v>88.405362577767789</v>
      </c>
      <c r="DQ16" s="1202">
        <v>88.474378346329971</v>
      </c>
      <c r="DR16" s="1202">
        <v>82.495597229572866</v>
      </c>
      <c r="DS16" s="1427">
        <f t="shared" ref="DS16:DS17" si="12">SUM(DO16:DR16)</f>
        <v>335.55623126947881</v>
      </c>
      <c r="DT16" s="1202">
        <v>78.953031170855596</v>
      </c>
      <c r="DU16" s="1202">
        <v>90.61549664221198</v>
      </c>
      <c r="DV16" s="1202">
        <v>90.686237804988224</v>
      </c>
      <c r="DW16" s="1202">
        <v>84.55798716031218</v>
      </c>
      <c r="DX16" s="1427">
        <f t="shared" ref="DX16:DX17" si="13">SUM(DT16:DW16)</f>
        <v>344.81275277836795</v>
      </c>
      <c r="DY16" s="1202">
        <v>80.037550829795919</v>
      </c>
      <c r="DZ16" s="1202">
        <v>92.88088405826727</v>
      </c>
      <c r="EA16" s="1202">
        <v>92.953393750112923</v>
      </c>
      <c r="EB16" s="1202">
        <v>86.671936839319983</v>
      </c>
      <c r="EC16" s="1465">
        <f t="shared" ref="EC16:EC18" si="14">SUM(DY16:EB16)</f>
        <v>352.54376547749609</v>
      </c>
      <c r="ED16" s="1460"/>
      <c r="EE16" s="1470"/>
      <c r="EF16" s="1202"/>
      <c r="EG16" s="1202"/>
      <c r="EH16" s="1202"/>
      <c r="EI16" s="1202"/>
      <c r="EJ16" s="1201"/>
      <c r="EK16" s="1202"/>
      <c r="EL16" s="1202"/>
      <c r="EM16" s="1202"/>
      <c r="EN16" s="1202"/>
      <c r="EO16" s="1202"/>
      <c r="EP16" s="1202"/>
      <c r="EQ16" s="1202"/>
      <c r="ER16" s="1471"/>
      <c r="ES16" s="1460"/>
      <c r="ET16" s="1460"/>
      <c r="EU16" s="1460"/>
      <c r="EX16" s="1469" t="s">
        <v>647</v>
      </c>
      <c r="EY16" s="1473"/>
      <c r="EZ16" s="1473"/>
      <c r="FA16" s="1473"/>
      <c r="FB16" s="1473"/>
      <c r="FC16" s="1474"/>
      <c r="FD16" s="1460"/>
      <c r="FE16"/>
      <c r="FF16"/>
      <c r="FG16"/>
      <c r="FH16"/>
      <c r="FI16"/>
      <c r="FJ16"/>
    </row>
    <row r="17" spans="1:166" s="1064" customFormat="1" hidden="1" outlineLevel="1" x14ac:dyDescent="0.2">
      <c r="A17" s="1469" t="s">
        <v>648</v>
      </c>
      <c r="B17" s="1465"/>
      <c r="C17" s="1470"/>
      <c r="D17" s="1202"/>
      <c r="E17" s="1202"/>
      <c r="F17" s="1471"/>
      <c r="G17" s="1465"/>
      <c r="H17" s="1461"/>
      <c r="I17" s="1201"/>
      <c r="J17" s="1201"/>
      <c r="K17" s="1201"/>
      <c r="L17" s="1465"/>
      <c r="M17" s="1201"/>
      <c r="N17" s="1201"/>
      <c r="O17" s="1201"/>
      <c r="P17" s="1201"/>
      <c r="Q17" s="1465"/>
      <c r="R17" s="1201"/>
      <c r="S17" s="1202"/>
      <c r="T17" s="1202"/>
      <c r="U17" s="1202"/>
      <c r="V17" s="1465"/>
      <c r="W17" s="1201"/>
      <c r="X17" s="1202"/>
      <c r="Y17" s="1202"/>
      <c r="Z17" s="1471"/>
      <c r="AA17" s="1462"/>
      <c r="AB17" s="1470"/>
      <c r="AC17" s="1202"/>
      <c r="AD17" s="1202"/>
      <c r="AE17" s="1202"/>
      <c r="AF17" s="1465"/>
      <c r="AG17" s="1202"/>
      <c r="AH17" s="1202"/>
      <c r="AI17" s="1202"/>
      <c r="AJ17" s="1472"/>
      <c r="AK17" s="1462"/>
      <c r="AL17" s="1202"/>
      <c r="AM17" s="1202"/>
      <c r="AN17" s="1202"/>
      <c r="AO17" s="1202"/>
      <c r="AP17" s="1465"/>
      <c r="AQ17" s="1202"/>
      <c r="AR17" s="1202"/>
      <c r="AS17" s="1202"/>
      <c r="AT17" s="1202"/>
      <c r="AU17" s="1465"/>
      <c r="AV17" s="1801"/>
      <c r="AW17" s="1202"/>
      <c r="AX17" s="1202"/>
      <c r="AY17" s="1202"/>
      <c r="AZ17" s="1202"/>
      <c r="BA17" s="1427"/>
      <c r="BB17" s="1461"/>
      <c r="BC17" s="1202"/>
      <c r="BD17" s="1202"/>
      <c r="BE17" s="1202"/>
      <c r="BF17" s="1427"/>
      <c r="BG17" s="1202"/>
      <c r="BH17" s="1202"/>
      <c r="BI17" s="1202"/>
      <c r="BJ17" s="1202"/>
      <c r="BK17" s="1427"/>
      <c r="BL17" s="1202"/>
      <c r="BM17" s="1202"/>
      <c r="BN17" s="1202"/>
      <c r="BO17" s="1202"/>
      <c r="BP17" s="1427"/>
      <c r="BQ17" s="1202">
        <v>0</v>
      </c>
      <c r="BR17" s="1202">
        <v>0</v>
      </c>
      <c r="BS17" s="1202">
        <v>0</v>
      </c>
      <c r="BT17" s="1202">
        <f>BU17</f>
        <v>79.400000000000006</v>
      </c>
      <c r="BU17" s="1427">
        <v>79.400000000000006</v>
      </c>
      <c r="BV17" s="1268">
        <v>0</v>
      </c>
      <c r="BW17" s="1268">
        <v>0</v>
      </c>
      <c r="BX17" s="1268">
        <v>0</v>
      </c>
      <c r="BY17" s="1268">
        <f>BZ17</f>
        <v>79.400000000000006</v>
      </c>
      <c r="BZ17" s="1427">
        <v>79.400000000000006</v>
      </c>
      <c r="CA17" s="1202">
        <v>380.38919069537314</v>
      </c>
      <c r="CB17" s="1202">
        <v>426.72656523211811</v>
      </c>
      <c r="CC17" s="1202">
        <v>422.94544293542003</v>
      </c>
      <c r="CD17" s="1202">
        <v>422.14287550126278</v>
      </c>
      <c r="CE17" s="1427">
        <f>SUM(CA17:CD17)</f>
        <v>1652.2040743641739</v>
      </c>
      <c r="CF17" s="1202">
        <v>378.29885331645812</v>
      </c>
      <c r="CG17" s="1202">
        <v>429.23756836779768</v>
      </c>
      <c r="CH17" s="1202">
        <v>444.85787576929641</v>
      </c>
      <c r="CI17" s="1202">
        <v>448.02400000710321</v>
      </c>
      <c r="CJ17" s="1465">
        <f t="shared" si="5"/>
        <v>1700.4182974606556</v>
      </c>
      <c r="CK17" s="1202">
        <v>404.04377239919387</v>
      </c>
      <c r="CL17" s="1202">
        <v>433.34671060355726</v>
      </c>
      <c r="CM17" s="1202">
        <v>459.85711195120115</v>
      </c>
      <c r="CN17" s="1202">
        <v>463.86199524921221</v>
      </c>
      <c r="CO17" s="1427">
        <f t="shared" si="6"/>
        <v>1761.1095902031645</v>
      </c>
      <c r="CP17" s="1202">
        <v>415.49121804665452</v>
      </c>
      <c r="CQ17" s="1202">
        <v>446.32893272038007</v>
      </c>
      <c r="CR17" s="1202">
        <v>471.5026728847505</v>
      </c>
      <c r="CS17" s="1202">
        <v>469.95807578513376</v>
      </c>
      <c r="CT17" s="1465">
        <f t="shared" si="7"/>
        <v>1803.2808994369191</v>
      </c>
      <c r="CU17" s="1202">
        <v>423.90072232661635</v>
      </c>
      <c r="CV17" s="1202">
        <v>455.46748370225754</v>
      </c>
      <c r="CW17" s="1202">
        <v>481.38861555472658</v>
      </c>
      <c r="CX17" s="1202">
        <v>482.29432711620984</v>
      </c>
      <c r="CY17" s="1427">
        <f t="shared" si="8"/>
        <v>1843.0511486998103</v>
      </c>
      <c r="CZ17" s="1202">
        <v>440.28349880889681</v>
      </c>
      <c r="DA17" s="1202">
        <v>467.85997100976488</v>
      </c>
      <c r="DB17" s="1202">
        <v>494.78043714702028</v>
      </c>
      <c r="DC17" s="1202">
        <v>496.31066730818821</v>
      </c>
      <c r="DD17" s="1427">
        <f t="shared" si="9"/>
        <v>1899.2345742738701</v>
      </c>
      <c r="DE17" s="1202">
        <v>448.80357167200236</v>
      </c>
      <c r="DF17" s="1202">
        <v>482.19799024555482</v>
      </c>
      <c r="DG17" s="1202">
        <v>509.92408854527247</v>
      </c>
      <c r="DH17" s="1202">
        <v>511.7896815564502</v>
      </c>
      <c r="DI17" s="1427">
        <f t="shared" si="10"/>
        <v>1952.7153320192799</v>
      </c>
      <c r="DJ17" s="1202">
        <v>463.79984894906966</v>
      </c>
      <c r="DK17" s="1202">
        <v>499.19739227713188</v>
      </c>
      <c r="DL17" s="1202">
        <v>528.82901732280152</v>
      </c>
      <c r="DM17" s="1202">
        <v>531.04195016204017</v>
      </c>
      <c r="DN17" s="1427">
        <f t="shared" si="11"/>
        <v>2022.8682087110433</v>
      </c>
      <c r="DO17" s="1202">
        <v>481.68244106318838</v>
      </c>
      <c r="DP17" s="1202">
        <v>518.40563976257806</v>
      </c>
      <c r="DQ17" s="1202">
        <v>549.13045820416016</v>
      </c>
      <c r="DR17" s="1202">
        <v>551.38161911441875</v>
      </c>
      <c r="DS17" s="1427">
        <f t="shared" si="12"/>
        <v>2100.6001581443452</v>
      </c>
      <c r="DT17" s="1202">
        <v>506.14716269136267</v>
      </c>
      <c r="DU17" s="1202">
        <v>538.71016812993355</v>
      </c>
      <c r="DV17" s="1202">
        <v>570.59128043258283</v>
      </c>
      <c r="DW17" s="1202">
        <v>572.88355849389109</v>
      </c>
      <c r="DX17" s="1427">
        <f t="shared" si="13"/>
        <v>2188.3321697477704</v>
      </c>
      <c r="DY17" s="1202">
        <v>520.57863326247809</v>
      </c>
      <c r="DZ17" s="1202">
        <v>560.18699797964518</v>
      </c>
      <c r="EA17" s="1202">
        <v>593.29181102557004</v>
      </c>
      <c r="EB17" s="1202">
        <v>595.62822651714407</v>
      </c>
      <c r="EC17" s="1427">
        <f t="shared" si="14"/>
        <v>2269.6856687848372</v>
      </c>
      <c r="ED17" s="1460"/>
      <c r="EE17" s="1470"/>
      <c r="EF17" s="1202"/>
      <c r="EG17" s="1202"/>
      <c r="EH17" s="1202"/>
      <c r="EI17" s="1202"/>
      <c r="EJ17" s="1201"/>
      <c r="EK17" s="1202"/>
      <c r="EL17" s="1202"/>
      <c r="EM17" s="1202"/>
      <c r="EN17" s="1202"/>
      <c r="EO17" s="1202"/>
      <c r="EP17" s="1202"/>
      <c r="EQ17" s="1202"/>
      <c r="ER17" s="1471"/>
      <c r="ES17" s="1460"/>
      <c r="ET17" s="1460"/>
      <c r="EU17" s="1460"/>
      <c r="EX17" s="1469" t="s">
        <v>648</v>
      </c>
      <c r="EY17" s="1473"/>
      <c r="EZ17" s="1473"/>
      <c r="FA17" s="1473"/>
      <c r="FB17" s="1473"/>
      <c r="FC17" s="1474"/>
      <c r="FD17" s="1460"/>
      <c r="FE17"/>
      <c r="FF17"/>
      <c r="FG17"/>
      <c r="FH17"/>
      <c r="FI17"/>
      <c r="FJ17"/>
    </row>
    <row r="18" spans="1:166" s="1064" customFormat="1" collapsed="1" x14ac:dyDescent="0.2">
      <c r="A18" s="1469" t="s">
        <v>762</v>
      </c>
      <c r="B18" s="1465"/>
      <c r="C18" s="1470"/>
      <c r="D18" s="1202"/>
      <c r="E18" s="1202"/>
      <c r="F18" s="1471"/>
      <c r="G18" s="1465"/>
      <c r="H18" s="1461"/>
      <c r="I18" s="1201"/>
      <c r="J18" s="1201"/>
      <c r="K18" s="1201"/>
      <c r="L18" s="1465"/>
      <c r="M18" s="1201"/>
      <c r="N18" s="1201"/>
      <c r="O18" s="1201"/>
      <c r="P18" s="1201"/>
      <c r="Q18" s="1465"/>
      <c r="R18" s="1201"/>
      <c r="S18" s="1202"/>
      <c r="T18" s="1202"/>
      <c r="U18" s="1202"/>
      <c r="V18" s="1465"/>
      <c r="W18" s="1201"/>
      <c r="X18" s="1202"/>
      <c r="Y18" s="1202"/>
      <c r="Z18" s="1471"/>
      <c r="AA18" s="1462"/>
      <c r="AB18" s="1470"/>
      <c r="AC18" s="1202"/>
      <c r="AD18" s="1202"/>
      <c r="AE18" s="1202"/>
      <c r="AF18" s="1465"/>
      <c r="AG18" s="1202"/>
      <c r="AH18" s="1202"/>
      <c r="AI18" s="1202"/>
      <c r="AJ18" s="1472"/>
      <c r="AK18" s="1462"/>
      <c r="AL18" s="1202"/>
      <c r="AM18" s="1202"/>
      <c r="AN18" s="1202"/>
      <c r="AO18" s="1202"/>
      <c r="AP18" s="1465"/>
      <c r="AQ18" s="1202"/>
      <c r="AR18" s="1202"/>
      <c r="AS18" s="1202"/>
      <c r="AT18" s="1202"/>
      <c r="AU18" s="1465"/>
      <c r="AV18" s="1801"/>
      <c r="AW18" s="1202"/>
      <c r="AX18" s="1202"/>
      <c r="AY18" s="1202"/>
      <c r="AZ18" s="1202"/>
      <c r="BA18" s="1427"/>
      <c r="BB18" s="1461"/>
      <c r="BC18" s="1202"/>
      <c r="BD18" s="1202"/>
      <c r="BE18" s="1202"/>
      <c r="BF18" s="1427"/>
      <c r="BG18" s="1202"/>
      <c r="BH18" s="1202"/>
      <c r="BI18" s="1202"/>
      <c r="BJ18" s="1202"/>
      <c r="BK18" s="1427"/>
      <c r="BL18" s="1202"/>
      <c r="BM18" s="1202"/>
      <c r="BN18" s="1202"/>
      <c r="BO18" s="1202"/>
      <c r="BP18" s="1427"/>
      <c r="BQ18" s="1202">
        <f t="shared" ref="BQ18:BS18" si="15">SUM(BQ15:BQ17)</f>
        <v>18.5</v>
      </c>
      <c r="BR18" s="1202">
        <f t="shared" si="15"/>
        <v>18.3</v>
      </c>
      <c r="BS18" s="1202">
        <f t="shared" si="15"/>
        <v>18.899999999999999</v>
      </c>
      <c r="BT18" s="1202">
        <f>SUM(BT15:BT17)</f>
        <v>111.70000000000002</v>
      </c>
      <c r="BU18" s="1427">
        <f>SUM(BU15:BU17)</f>
        <v>167.4</v>
      </c>
      <c r="BV18" s="1202">
        <v>508.9</v>
      </c>
      <c r="BW18" s="1202">
        <v>581.4</v>
      </c>
      <c r="BX18" s="1202">
        <v>602</v>
      </c>
      <c r="BY18" s="1202">
        <v>570.9</v>
      </c>
      <c r="BZ18" s="1427">
        <f>SUM(BV18:BY18)</f>
        <v>2263.1999999999998</v>
      </c>
      <c r="CA18" s="1202">
        <v>499.5</v>
      </c>
      <c r="CB18" s="1202">
        <v>567.79999999999995</v>
      </c>
      <c r="CC18" s="1202">
        <v>545.9</v>
      </c>
      <c r="CD18" s="1202">
        <v>555.79999999999995</v>
      </c>
      <c r="CE18" s="1427">
        <f>SUM(CA18:CD18)</f>
        <v>2169</v>
      </c>
      <c r="CF18" s="1202">
        <v>490.5</v>
      </c>
      <c r="CG18" s="1202">
        <v>558.6</v>
      </c>
      <c r="CH18" s="1202">
        <v>586.4</v>
      </c>
      <c r="CI18" s="1202">
        <v>569.18000000000006</v>
      </c>
      <c r="CJ18" s="1465">
        <f t="shared" si="5"/>
        <v>2204.6800000000003</v>
      </c>
      <c r="CK18" s="1202">
        <v>550.4</v>
      </c>
      <c r="CL18" s="1202">
        <v>602.1</v>
      </c>
      <c r="CM18" s="1202">
        <v>631.6</v>
      </c>
      <c r="CN18" s="1202">
        <v>606.20000000000005</v>
      </c>
      <c r="CO18" s="1465">
        <f t="shared" ref="CO18" si="16">SUM(CK18:CN18)</f>
        <v>2390.3000000000002</v>
      </c>
      <c r="CP18" s="1202">
        <v>547.79999999999995</v>
      </c>
      <c r="CQ18" s="1202">
        <v>622.80285362557424</v>
      </c>
      <c r="CR18" s="1202">
        <v>640.06629118184992</v>
      </c>
      <c r="CS18" s="1202">
        <v>624.25852183109942</v>
      </c>
      <c r="CT18" s="1465">
        <f t="shared" ref="CT18" si="17">SUM(CP18:CS18)</f>
        <v>2434.9276666385235</v>
      </c>
      <c r="CU18" s="1202">
        <v>573.16984828491798</v>
      </c>
      <c r="CV18" s="1202">
        <v>652.69351605849045</v>
      </c>
      <c r="CW18" s="1202">
        <v>669.87325919220086</v>
      </c>
      <c r="CX18" s="1202">
        <v>655.87804973184473</v>
      </c>
      <c r="CY18" s="1465">
        <f t="shared" ref="CY18" si="18">SUM(CU18:CX18)</f>
        <v>2551.6146732674542</v>
      </c>
      <c r="CZ18" s="1202">
        <v>610.92158846375673</v>
      </c>
      <c r="DA18" s="1202">
        <v>689.73919626800773</v>
      </c>
      <c r="DB18" s="1202">
        <v>709.63761185609064</v>
      </c>
      <c r="DC18" s="1202">
        <v>697.28662248710805</v>
      </c>
      <c r="DD18" s="1465">
        <f t="shared" ref="DD18" si="19">SUM(CZ18:DC18)</f>
        <v>2707.5850190749634</v>
      </c>
      <c r="DE18" s="1202">
        <v>673.07084820472596</v>
      </c>
      <c r="DF18" s="1202">
        <v>725.92625652292872</v>
      </c>
      <c r="DG18" s="1202">
        <v>775.16220783380857</v>
      </c>
      <c r="DH18" s="1202">
        <v>762.56855484694267</v>
      </c>
      <c r="DI18" s="1465">
        <f t="shared" ref="DI18" si="20">SUM(DE18:DH18)</f>
        <v>2936.7278674084059</v>
      </c>
      <c r="DJ18" s="1202">
        <v>710.66117735687203</v>
      </c>
      <c r="DK18" s="1202">
        <v>767.72594145239839</v>
      </c>
      <c r="DL18" s="1202">
        <v>821.2957271565889</v>
      </c>
      <c r="DM18" s="1202">
        <v>808.39670496799556</v>
      </c>
      <c r="DN18" s="1465">
        <f t="shared" ref="DN18" si="21">SUM(DJ18:DM18)</f>
        <v>3108.0795509338545</v>
      </c>
      <c r="DO18" s="1202">
        <v>753.48022021233339</v>
      </c>
      <c r="DP18" s="1202">
        <v>813.50372731553603</v>
      </c>
      <c r="DQ18" s="1202">
        <v>870.33090708389454</v>
      </c>
      <c r="DR18" s="1202">
        <v>856.39716890685031</v>
      </c>
      <c r="DS18" s="1465">
        <f t="shared" ref="DS18" si="22">SUM(DO18:DR18)</f>
        <v>3293.7120235186144</v>
      </c>
      <c r="DT18" s="1202">
        <v>806.87259314516109</v>
      </c>
      <c r="DU18" s="1202">
        <v>861.10122283582837</v>
      </c>
      <c r="DV18" s="1202">
        <v>921.31516164023651</v>
      </c>
      <c r="DW18" s="1202">
        <v>906.30269004949525</v>
      </c>
      <c r="DX18" s="1465">
        <f t="shared" ref="DX18" si="23">SUM(DT18:DW18)</f>
        <v>3495.5916676707211</v>
      </c>
      <c r="DY18" s="1202">
        <v>844.29674779591392</v>
      </c>
      <c r="DZ18" s="1202">
        <v>910.58089216798453</v>
      </c>
      <c r="EA18" s="1202">
        <v>974.31538607579489</v>
      </c>
      <c r="EB18" s="1202">
        <v>958.17860642425444</v>
      </c>
      <c r="EC18" s="1465">
        <f t="shared" si="14"/>
        <v>3687.3716324639481</v>
      </c>
      <c r="ED18" s="1460"/>
      <c r="EE18" s="1470"/>
      <c r="EF18" s="1202"/>
      <c r="EG18" s="1202"/>
      <c r="EH18" s="1202"/>
      <c r="EI18" s="1202"/>
      <c r="EJ18" s="1201"/>
      <c r="EK18" s="1202"/>
      <c r="EL18" s="1202"/>
      <c r="EM18" s="1202"/>
      <c r="EN18" s="1202"/>
      <c r="EO18" s="1202"/>
      <c r="EP18" s="1202"/>
      <c r="EQ18" s="1202"/>
      <c r="ER18" s="1471"/>
      <c r="ES18" s="1460"/>
      <c r="ET18" s="1460"/>
      <c r="EU18" s="1460"/>
      <c r="EX18" s="1469" t="s">
        <v>591</v>
      </c>
      <c r="EY18" s="1473">
        <f>CP18</f>
        <v>547.79999999999995</v>
      </c>
      <c r="EZ18" s="1473">
        <v>602.12299459488042</v>
      </c>
      <c r="FA18" s="1473"/>
      <c r="FB18" s="1473">
        <f t="shared" ref="FB18:FB26" si="24">CK18</f>
        <v>550.4</v>
      </c>
      <c r="FC18" s="1474"/>
      <c r="FD18" s="1460"/>
      <c r="FE18"/>
      <c r="FF18"/>
      <c r="FG18"/>
      <c r="FH18"/>
      <c r="FI18"/>
      <c r="FJ18"/>
    </row>
    <row r="19" spans="1:166" s="1064" customFormat="1" ht="15" x14ac:dyDescent="0.35">
      <c r="A19" s="1469" t="s">
        <v>60</v>
      </c>
      <c r="B19" s="1475"/>
      <c r="C19" s="1476"/>
      <c r="D19" s="1203"/>
      <c r="E19" s="1203"/>
      <c r="F19" s="1477"/>
      <c r="G19" s="1475"/>
      <c r="H19" s="1476"/>
      <c r="I19" s="1203"/>
      <c r="J19" s="1203"/>
      <c r="K19" s="1203"/>
      <c r="L19" s="1475"/>
      <c r="M19" s="1203"/>
      <c r="N19" s="1203"/>
      <c r="O19" s="1203"/>
      <c r="P19" s="1203"/>
      <c r="Q19" s="1475"/>
      <c r="R19" s="1203"/>
      <c r="S19" s="1203"/>
      <c r="T19" s="1203"/>
      <c r="U19" s="1203"/>
      <c r="V19" s="1475"/>
      <c r="W19" s="1203"/>
      <c r="X19" s="1203"/>
      <c r="Y19" s="1203"/>
      <c r="Z19" s="1477"/>
      <c r="AA19" s="1478"/>
      <c r="AB19" s="1476"/>
      <c r="AC19" s="1203"/>
      <c r="AD19" s="1203"/>
      <c r="AE19" s="1203"/>
      <c r="AF19" s="1475"/>
      <c r="AG19" s="1203"/>
      <c r="AH19" s="1203"/>
      <c r="AI19" s="1203"/>
      <c r="AJ19" s="1479"/>
      <c r="AK19" s="1478"/>
      <c r="AL19" s="1203"/>
      <c r="AM19" s="1203"/>
      <c r="AN19" s="1203"/>
      <c r="AO19" s="1203"/>
      <c r="AP19" s="1475"/>
      <c r="AQ19" s="1203"/>
      <c r="AR19" s="1203"/>
      <c r="AS19" s="1203"/>
      <c r="AT19" s="1203"/>
      <c r="AU19" s="1475"/>
      <c r="AV19" s="1801"/>
      <c r="AW19" s="1203">
        <v>157.69999999999999</v>
      </c>
      <c r="AX19" s="1203">
        <v>168.9</v>
      </c>
      <c r="AY19" s="1203">
        <v>170.2</v>
      </c>
      <c r="AZ19" s="1203">
        <v>168</v>
      </c>
      <c r="BA19" s="1480">
        <f>SUM(AW19:AZ19)</f>
        <v>664.8</v>
      </c>
      <c r="BB19" s="1481">
        <v>159.5</v>
      </c>
      <c r="BC19" s="1203">
        <v>176.4</v>
      </c>
      <c r="BD19" s="1203">
        <v>184.9</v>
      </c>
      <c r="BE19" s="1203">
        <v>176.2</v>
      </c>
      <c r="BF19" s="1480">
        <f>SUM(BB19:BE19)</f>
        <v>697</v>
      </c>
      <c r="BG19" s="1203">
        <v>173.7</v>
      </c>
      <c r="BH19" s="1203">
        <v>194.9</v>
      </c>
      <c r="BI19" s="1203">
        <v>211.1</v>
      </c>
      <c r="BJ19" s="1203">
        <v>222.2</v>
      </c>
      <c r="BK19" s="1480">
        <v>801.9</v>
      </c>
      <c r="BL19" s="1203">
        <v>206.6</v>
      </c>
      <c r="BM19" s="1203">
        <v>225.6</v>
      </c>
      <c r="BN19" s="1203">
        <v>248.1</v>
      </c>
      <c r="BO19" s="1203">
        <v>243.3</v>
      </c>
      <c r="BP19" s="1480">
        <f>SUM(BL19:BO19)</f>
        <v>923.59999999999991</v>
      </c>
      <c r="BQ19" s="1203">
        <v>222.4</v>
      </c>
      <c r="BR19" s="1203">
        <v>242.9</v>
      </c>
      <c r="BS19" s="1203">
        <v>260</v>
      </c>
      <c r="BT19" s="1203">
        <v>304.60000000000002</v>
      </c>
      <c r="BU19" s="1480">
        <f>SUM(BQ19:BT19)</f>
        <v>1029.9000000000001</v>
      </c>
      <c r="BV19" s="1203">
        <v>422.7</v>
      </c>
      <c r="BW19" s="1203">
        <v>477.3</v>
      </c>
      <c r="BX19" s="1203">
        <v>508.8</v>
      </c>
      <c r="BY19" s="1203">
        <v>519.70000000000005</v>
      </c>
      <c r="BZ19" s="1480">
        <f>SUM(BV19:BY19)</f>
        <v>1928.5</v>
      </c>
      <c r="CA19" s="1203">
        <v>433.79999999999995</v>
      </c>
      <c r="CB19" s="1203">
        <v>474.4</v>
      </c>
      <c r="CC19" s="1203">
        <v>473.8</v>
      </c>
      <c r="CD19" s="1203">
        <v>501.2</v>
      </c>
      <c r="CE19" s="1480">
        <f>SUM(CA19:CD19)</f>
        <v>1883.2</v>
      </c>
      <c r="CF19" s="1203">
        <v>428</v>
      </c>
      <c r="CG19" s="1203">
        <v>481.6</v>
      </c>
      <c r="CH19" s="1203">
        <v>489.29999999999995</v>
      </c>
      <c r="CI19" s="1203">
        <v>542.20000000000005</v>
      </c>
      <c r="CJ19" s="1475">
        <f>SUM(CF19:CI19)</f>
        <v>1941.1000000000001</v>
      </c>
      <c r="CK19" s="1203">
        <v>450.2</v>
      </c>
      <c r="CL19" s="1203">
        <v>530.6</v>
      </c>
      <c r="CM19" s="1203">
        <v>577</v>
      </c>
      <c r="CN19" s="1203">
        <v>628.00000000000011</v>
      </c>
      <c r="CO19" s="1475">
        <f>SUM(CK19:CN19)</f>
        <v>2185.8000000000002</v>
      </c>
      <c r="CP19" s="1203">
        <v>706</v>
      </c>
      <c r="CQ19" s="1203">
        <v>746.94539445829446</v>
      </c>
      <c r="CR19" s="1203">
        <v>789.92488489585196</v>
      </c>
      <c r="CS19" s="1203">
        <v>835.94708985902878</v>
      </c>
      <c r="CT19" s="1475">
        <f>SUM(CP19:CS19)</f>
        <v>3078.8173692131754</v>
      </c>
      <c r="CU19" s="1203">
        <v>756.28712122635909</v>
      </c>
      <c r="CV19" s="1203">
        <v>804.23529721288787</v>
      </c>
      <c r="CW19" s="1203">
        <v>851.41608434332272</v>
      </c>
      <c r="CX19" s="1203">
        <v>902.66294484555294</v>
      </c>
      <c r="CY19" s="1475">
        <f>SUM(CU19:CX19)</f>
        <v>3314.6014476281225</v>
      </c>
      <c r="CZ19" s="1203">
        <v>822.54288153273239</v>
      </c>
      <c r="DA19" s="1203">
        <v>863.86422798314709</v>
      </c>
      <c r="DB19" s="1203">
        <v>914.93714056220517</v>
      </c>
      <c r="DC19" s="1203">
        <v>969.79453364930714</v>
      </c>
      <c r="DD19" s="1475">
        <f>SUM(CZ19:DC19)</f>
        <v>3571.1387837273919</v>
      </c>
      <c r="DE19" s="1203">
        <v>872.40007801540969</v>
      </c>
      <c r="DF19" s="1203">
        <v>925.23475315957558</v>
      </c>
      <c r="DG19" s="1203">
        <v>980.39170839815267</v>
      </c>
      <c r="DH19" s="1203">
        <v>1039.1237489909022</v>
      </c>
      <c r="DI19" s="1475">
        <f>SUM(DE19:DH19)</f>
        <v>3817.1502885640402</v>
      </c>
      <c r="DJ19" s="1203">
        <v>935.34889140846303</v>
      </c>
      <c r="DK19" s="1203">
        <v>992.08905135793157</v>
      </c>
      <c r="DL19" s="1203">
        <v>1052.2682745327143</v>
      </c>
      <c r="DM19" s="1203">
        <v>1115.1185470372147</v>
      </c>
      <c r="DN19" s="1475">
        <f>SUM(DJ19:DM19)</f>
        <v>4094.8247643363238</v>
      </c>
      <c r="DO19" s="1203">
        <v>1003.7482033017544</v>
      </c>
      <c r="DP19" s="1203">
        <v>1063.8279342245607</v>
      </c>
      <c r="DQ19" s="1203">
        <v>1128.6075961960146</v>
      </c>
      <c r="DR19" s="1203">
        <v>1195.6069241980699</v>
      </c>
      <c r="DS19" s="1475">
        <f>SUM(DO19:DR19)</f>
        <v>4391.7906579203991</v>
      </c>
      <c r="DT19" s="1203">
        <v>1087.9910022070319</v>
      </c>
      <c r="DU19" s="1203">
        <v>1139.262797768673</v>
      </c>
      <c r="DV19" s="1203">
        <v>1208.7897298788853</v>
      </c>
      <c r="DW19" s="1203">
        <v>1280.1844777146819</v>
      </c>
      <c r="DX19" s="1475">
        <f>SUM(DT19:DW19)</f>
        <v>4716.2280075692724</v>
      </c>
      <c r="DY19" s="1203">
        <v>1151.9730573186323</v>
      </c>
      <c r="DZ19" s="1203">
        <v>1218.4292086515509</v>
      </c>
      <c r="EA19" s="1203">
        <v>1292.9998360124464</v>
      </c>
      <c r="EB19" s="1203">
        <v>1369.0438887848068</v>
      </c>
      <c r="EC19" s="1475">
        <f>SUM(DY19:EB19)</f>
        <v>5032.4459907674363</v>
      </c>
      <c r="ED19" s="1460"/>
      <c r="EE19" s="1476">
        <f>X19+W19+U19+T19</f>
        <v>0</v>
      </c>
      <c r="EF19" s="1203">
        <f>AC19+AB19+Z19+Y19</f>
        <v>0</v>
      </c>
      <c r="EG19" s="1203">
        <f>AH19+AG19+AE19+AD19</f>
        <v>0</v>
      </c>
      <c r="EH19" s="1203">
        <f>AM19+AL19+AJ19+AI19</f>
        <v>0</v>
      </c>
      <c r="EI19" s="1203">
        <f>AR19+AQ19+AO19+AN19</f>
        <v>0</v>
      </c>
      <c r="EJ19" s="1203">
        <f>AZ19+AY19+AX19+AW19</f>
        <v>664.8</v>
      </c>
      <c r="EK19" s="1203">
        <f>BF19</f>
        <v>697</v>
      </c>
      <c r="EL19" s="1203">
        <f>BK19</f>
        <v>801.9</v>
      </c>
      <c r="EM19" s="1203">
        <f>BP19</f>
        <v>923.59999999999991</v>
      </c>
      <c r="EN19" s="1203">
        <f>BU19</f>
        <v>1029.9000000000001</v>
      </c>
      <c r="EO19" s="1203">
        <f t="shared" si="4"/>
        <v>1883.2</v>
      </c>
      <c r="EP19" s="1203">
        <f t="shared" ref="EP19:EP24" si="25">CJ19</f>
        <v>1941.1000000000001</v>
      </c>
      <c r="EQ19" s="1203">
        <f t="shared" ref="EQ19:EQ24" si="26">CO19</f>
        <v>2185.8000000000002</v>
      </c>
      <c r="ER19" s="1477">
        <f t="shared" ref="ER19:ER24" si="27">CT19</f>
        <v>3078.8173692131754</v>
      </c>
      <c r="ES19" s="1460"/>
      <c r="ET19" s="1460"/>
      <c r="EU19" s="1460"/>
      <c r="EX19" s="1469" t="s">
        <v>131</v>
      </c>
      <c r="EY19" s="1482">
        <f>CP19</f>
        <v>706</v>
      </c>
      <c r="EZ19" s="1482">
        <v>534.36647085349171</v>
      </c>
      <c r="FA19" s="1482">
        <f>EY19-EZ19</f>
        <v>171.63352914650829</v>
      </c>
      <c r="FB19" s="1482">
        <f t="shared" si="24"/>
        <v>450.2</v>
      </c>
      <c r="FC19" s="1474">
        <f>EY19/FB19-1</f>
        <v>0.56819191470457575</v>
      </c>
      <c r="FD19" s="1460"/>
      <c r="FE19"/>
      <c r="FF19"/>
      <c r="FG19"/>
      <c r="FH19"/>
      <c r="FI19"/>
      <c r="FJ19"/>
    </row>
    <row r="20" spans="1:166" s="1064" customFormat="1" ht="11.25" customHeight="1" x14ac:dyDescent="0.2">
      <c r="A20" s="1451" t="s">
        <v>154</v>
      </c>
      <c r="B20" s="1451"/>
      <c r="C20" s="1483"/>
      <c r="D20" s="1484"/>
      <c r="E20" s="1484"/>
      <c r="F20" s="1485"/>
      <c r="G20" s="1451"/>
      <c r="H20" s="1483"/>
      <c r="I20" s="1484"/>
      <c r="J20" s="1484"/>
      <c r="K20" s="1484"/>
      <c r="L20" s="1451"/>
      <c r="M20" s="1484"/>
      <c r="N20" s="1484"/>
      <c r="O20" s="1484"/>
      <c r="P20" s="1484"/>
      <c r="Q20" s="1451"/>
      <c r="R20" s="1484"/>
      <c r="S20" s="1484"/>
      <c r="T20" s="1484"/>
      <c r="U20" s="1484"/>
      <c r="V20" s="1451"/>
      <c r="W20" s="1484"/>
      <c r="X20" s="1484"/>
      <c r="Y20" s="1484"/>
      <c r="Z20" s="1485"/>
      <c r="AA20" s="1485"/>
      <c r="AB20" s="1483"/>
      <c r="AC20" s="1484"/>
      <c r="AD20" s="1484"/>
      <c r="AE20" s="1484"/>
      <c r="AF20" s="1451"/>
      <c r="AG20" s="1484"/>
      <c r="AH20" s="1484"/>
      <c r="AI20" s="1453"/>
      <c r="AJ20" s="1486"/>
      <c r="AK20" s="1485"/>
      <c r="AL20" s="1484"/>
      <c r="AM20" s="1484"/>
      <c r="AN20" s="1484"/>
      <c r="AO20" s="1484"/>
      <c r="AP20" s="1451"/>
      <c r="AQ20" s="1484"/>
      <c r="AR20" s="1484"/>
      <c r="AS20" s="1484"/>
      <c r="AT20" s="1484"/>
      <c r="AU20" s="1451"/>
      <c r="AV20" s="1801"/>
      <c r="AW20" s="1484">
        <f t="shared" ref="AW20:BP20" si="28">SUM(AW15,AW19)</f>
        <v>596.9</v>
      </c>
      <c r="AX20" s="1484">
        <f t="shared" si="28"/>
        <v>623</v>
      </c>
      <c r="AY20" s="1484">
        <f t="shared" si="28"/>
        <v>600</v>
      </c>
      <c r="AZ20" s="1484">
        <f t="shared" si="28"/>
        <v>584.4</v>
      </c>
      <c r="BA20" s="1451">
        <f t="shared" si="28"/>
        <v>2404.3000000000002</v>
      </c>
      <c r="BB20" s="1483">
        <f t="shared" si="28"/>
        <v>552</v>
      </c>
      <c r="BC20" s="1484">
        <f t="shared" si="28"/>
        <v>595.4</v>
      </c>
      <c r="BD20" s="1484">
        <f t="shared" si="28"/>
        <v>607.70000000000005</v>
      </c>
      <c r="BE20" s="1484">
        <f t="shared" si="28"/>
        <v>580.59999999999991</v>
      </c>
      <c r="BF20" s="1487">
        <f t="shared" si="28"/>
        <v>2335.6999999999998</v>
      </c>
      <c r="BG20" s="1484">
        <f t="shared" si="28"/>
        <v>569.9</v>
      </c>
      <c r="BH20" s="1484">
        <f t="shared" si="28"/>
        <v>540.79999999999995</v>
      </c>
      <c r="BI20" s="1484">
        <f t="shared" si="28"/>
        <v>455.7</v>
      </c>
      <c r="BJ20" s="1484">
        <f t="shared" si="28"/>
        <v>404.5</v>
      </c>
      <c r="BK20" s="1487">
        <f t="shared" si="28"/>
        <v>1970.9</v>
      </c>
      <c r="BL20" s="1484">
        <f t="shared" si="28"/>
        <v>327.7</v>
      </c>
      <c r="BM20" s="1484">
        <f t="shared" si="28"/>
        <v>278.3</v>
      </c>
      <c r="BN20" s="1484">
        <f t="shared" si="28"/>
        <v>275.10000000000002</v>
      </c>
      <c r="BO20" s="1484">
        <f t="shared" si="28"/>
        <v>265.2</v>
      </c>
      <c r="BP20" s="1487">
        <f t="shared" si="28"/>
        <v>1146.3</v>
      </c>
      <c r="BQ20" s="1484">
        <f t="shared" ref="BQ20:CN20" si="29">BQ18+BQ19</f>
        <v>240.9</v>
      </c>
      <c r="BR20" s="1484">
        <f t="shared" si="29"/>
        <v>261.2</v>
      </c>
      <c r="BS20" s="1484">
        <f t="shared" si="29"/>
        <v>278.89999999999998</v>
      </c>
      <c r="BT20" s="1484">
        <f t="shared" si="29"/>
        <v>416.30000000000007</v>
      </c>
      <c r="BU20" s="1487">
        <f t="shared" si="29"/>
        <v>1197.3000000000002</v>
      </c>
      <c r="BV20" s="1484">
        <f t="shared" si="29"/>
        <v>931.59999999999991</v>
      </c>
      <c r="BW20" s="1484">
        <f t="shared" si="29"/>
        <v>1058.7</v>
      </c>
      <c r="BX20" s="1484">
        <f t="shared" si="29"/>
        <v>1110.8</v>
      </c>
      <c r="BY20" s="1484">
        <f t="shared" si="29"/>
        <v>1090.5999999999999</v>
      </c>
      <c r="BZ20" s="1487">
        <f t="shared" si="29"/>
        <v>4191.7</v>
      </c>
      <c r="CA20" s="1484">
        <f t="shared" si="29"/>
        <v>933.3</v>
      </c>
      <c r="CB20" s="1484">
        <f t="shared" si="29"/>
        <v>1042.1999999999998</v>
      </c>
      <c r="CC20" s="1484">
        <f t="shared" si="29"/>
        <v>1019.7</v>
      </c>
      <c r="CD20" s="1484">
        <f t="shared" si="29"/>
        <v>1057</v>
      </c>
      <c r="CE20" s="1487">
        <f t="shared" si="29"/>
        <v>4052.2</v>
      </c>
      <c r="CF20" s="1484">
        <f t="shared" ref="CF20:CI20" si="30">CF18+CF19</f>
        <v>918.5</v>
      </c>
      <c r="CG20" s="1484">
        <f t="shared" si="30"/>
        <v>1040.2</v>
      </c>
      <c r="CH20" s="1484">
        <f t="shared" si="30"/>
        <v>1075.6999999999998</v>
      </c>
      <c r="CI20" s="1484">
        <f t="shared" si="30"/>
        <v>1111.3800000000001</v>
      </c>
      <c r="CJ20" s="1451">
        <f t="shared" si="29"/>
        <v>4145.7800000000007</v>
      </c>
      <c r="CK20" s="1484">
        <f t="shared" si="29"/>
        <v>1000.5999999999999</v>
      </c>
      <c r="CL20" s="1484">
        <f t="shared" si="29"/>
        <v>1132.7</v>
      </c>
      <c r="CM20" s="1484">
        <f t="shared" si="29"/>
        <v>1208.5999999999999</v>
      </c>
      <c r="CN20" s="1484">
        <f t="shared" si="29"/>
        <v>1234.2000000000003</v>
      </c>
      <c r="CO20" s="1451">
        <f t="shared" ref="CO20:DX20" si="31">CO18+CO19</f>
        <v>4576.1000000000004</v>
      </c>
      <c r="CP20" s="1484">
        <f>CP18+CP19</f>
        <v>1253.8</v>
      </c>
      <c r="CQ20" s="1484">
        <f t="shared" si="31"/>
        <v>1369.7482480838687</v>
      </c>
      <c r="CR20" s="1484">
        <f t="shared" si="31"/>
        <v>1429.9911760777018</v>
      </c>
      <c r="CS20" s="1484">
        <f t="shared" si="31"/>
        <v>1460.2056116901281</v>
      </c>
      <c r="CT20" s="1451">
        <f t="shared" si="31"/>
        <v>5513.745035851699</v>
      </c>
      <c r="CU20" s="1484">
        <f t="shared" ref="CU20:CX20" si="32">CU18+CU19</f>
        <v>1329.4569695112771</v>
      </c>
      <c r="CV20" s="1484">
        <f t="shared" si="32"/>
        <v>1456.9288132713782</v>
      </c>
      <c r="CW20" s="1484">
        <f t="shared" si="32"/>
        <v>1521.2893435355236</v>
      </c>
      <c r="CX20" s="1484">
        <f t="shared" si="32"/>
        <v>1558.5409945773977</v>
      </c>
      <c r="CY20" s="1451">
        <f t="shared" si="31"/>
        <v>5866.2161208955768</v>
      </c>
      <c r="CZ20" s="1484">
        <f t="shared" ref="CZ20:DC20" si="33">CZ18+CZ19</f>
        <v>1433.4644699964892</v>
      </c>
      <c r="DA20" s="1484">
        <f t="shared" si="33"/>
        <v>1553.6034242511548</v>
      </c>
      <c r="DB20" s="1484">
        <f t="shared" si="33"/>
        <v>1624.5747524182957</v>
      </c>
      <c r="DC20" s="1484">
        <f t="shared" si="33"/>
        <v>1667.0811561364153</v>
      </c>
      <c r="DD20" s="1451">
        <f t="shared" si="31"/>
        <v>6278.7238028023548</v>
      </c>
      <c r="DE20" s="1484">
        <f t="shared" ref="DE20:DH20" si="34">DE18+DE19</f>
        <v>1545.4709262201357</v>
      </c>
      <c r="DF20" s="1484">
        <f t="shared" si="34"/>
        <v>1651.1610096825043</v>
      </c>
      <c r="DG20" s="1484">
        <f t="shared" si="34"/>
        <v>1755.5539162319612</v>
      </c>
      <c r="DH20" s="1484">
        <f t="shared" si="34"/>
        <v>1801.692303837845</v>
      </c>
      <c r="DI20" s="1451">
        <f t="shared" si="31"/>
        <v>6753.8781559724466</v>
      </c>
      <c r="DJ20" s="1484">
        <f t="shared" ref="DJ20:DM20" si="35">DJ18+DJ19</f>
        <v>1646.0100687653351</v>
      </c>
      <c r="DK20" s="1484">
        <f t="shared" si="35"/>
        <v>1759.8149928103298</v>
      </c>
      <c r="DL20" s="1484">
        <f t="shared" si="35"/>
        <v>1873.564001689303</v>
      </c>
      <c r="DM20" s="1484">
        <f t="shared" si="35"/>
        <v>1923.5152520052102</v>
      </c>
      <c r="DN20" s="1451">
        <f t="shared" si="31"/>
        <v>7202.9043152701779</v>
      </c>
      <c r="DO20" s="1484">
        <f t="shared" ref="DO20:DR20" si="36">DO18+DO19</f>
        <v>1757.2284235140878</v>
      </c>
      <c r="DP20" s="1484">
        <f t="shared" si="36"/>
        <v>1877.3316615400968</v>
      </c>
      <c r="DQ20" s="1484">
        <f t="shared" si="36"/>
        <v>1998.9385032799091</v>
      </c>
      <c r="DR20" s="1484">
        <f t="shared" si="36"/>
        <v>2052.0040931049202</v>
      </c>
      <c r="DS20" s="1451">
        <f t="shared" si="31"/>
        <v>7685.502681439013</v>
      </c>
      <c r="DT20" s="1484">
        <f t="shared" ref="DT20:DW20" si="37">DT18+DT19</f>
        <v>1894.863595352193</v>
      </c>
      <c r="DU20" s="1484">
        <f t="shared" si="37"/>
        <v>2000.3640206045013</v>
      </c>
      <c r="DV20" s="1484">
        <f t="shared" si="37"/>
        <v>2130.1048915191218</v>
      </c>
      <c r="DW20" s="1484">
        <f t="shared" si="37"/>
        <v>2186.4871677641772</v>
      </c>
      <c r="DX20" s="1451">
        <f t="shared" si="31"/>
        <v>8211.8196752399926</v>
      </c>
      <c r="DY20" s="1484">
        <f t="shared" ref="DY20:EB20" si="38">DY18+DY19</f>
        <v>1996.2698051145462</v>
      </c>
      <c r="DZ20" s="1484">
        <f t="shared" si="38"/>
        <v>2129.0101008195352</v>
      </c>
      <c r="EA20" s="1484">
        <f t="shared" si="38"/>
        <v>2267.3152220882412</v>
      </c>
      <c r="EB20" s="1484">
        <f t="shared" si="38"/>
        <v>2327.222495209061</v>
      </c>
      <c r="EC20" s="1451">
        <f t="shared" ref="EC20" si="39">EC18+EC19</f>
        <v>8719.8176232313854</v>
      </c>
      <c r="ED20" s="1460"/>
      <c r="EE20" s="1483">
        <f t="shared" ref="EE20:EJ20" si="40">SUM(EE15,EE19)</f>
        <v>1457</v>
      </c>
      <c r="EF20" s="1484">
        <f t="shared" si="40"/>
        <v>1584</v>
      </c>
      <c r="EG20" s="1484">
        <f t="shared" si="40"/>
        <v>1725</v>
      </c>
      <c r="EH20" s="1484">
        <f t="shared" si="40"/>
        <v>1877</v>
      </c>
      <c r="EI20" s="1484">
        <f t="shared" si="40"/>
        <v>1856.6</v>
      </c>
      <c r="EJ20" s="1484">
        <f t="shared" si="40"/>
        <v>2404.3000000000002</v>
      </c>
      <c r="EK20" s="1484">
        <f>BF20</f>
        <v>2335.6999999999998</v>
      </c>
      <c r="EL20" s="1484">
        <f>BK20</f>
        <v>1970.9</v>
      </c>
      <c r="EM20" s="1484">
        <f>BP20</f>
        <v>1146.3</v>
      </c>
      <c r="EN20" s="1484">
        <f>BU20</f>
        <v>1197.3000000000002</v>
      </c>
      <c r="EO20" s="1484">
        <f t="shared" si="4"/>
        <v>4052.2</v>
      </c>
      <c r="EP20" s="1484">
        <f t="shared" si="25"/>
        <v>4145.7800000000007</v>
      </c>
      <c r="EQ20" s="1484">
        <f t="shared" si="26"/>
        <v>4576.1000000000004</v>
      </c>
      <c r="ER20" s="1485">
        <f t="shared" si="27"/>
        <v>5513.745035851699</v>
      </c>
      <c r="ES20" s="1460"/>
      <c r="ET20" s="1460"/>
      <c r="EU20" s="1460"/>
      <c r="EX20" s="1450" t="s">
        <v>154</v>
      </c>
      <c r="EY20" s="1488">
        <f>CP20</f>
        <v>1253.8</v>
      </c>
      <c r="EZ20" s="1488">
        <v>1136.4894654483721</v>
      </c>
      <c r="FA20" s="1488">
        <f>EY20-EZ20</f>
        <v>117.31053455162782</v>
      </c>
      <c r="FB20" s="1488">
        <f t="shared" si="24"/>
        <v>1000.5999999999999</v>
      </c>
      <c r="FC20" s="1464">
        <f>EY20/FB20-1</f>
        <v>0.25304817109734157</v>
      </c>
      <c r="FD20" s="1460"/>
      <c r="FE20"/>
      <c r="FF20"/>
      <c r="FG20"/>
      <c r="FH20"/>
      <c r="FI20"/>
      <c r="FJ20"/>
    </row>
    <row r="21" spans="1:166" s="1064" customFormat="1" ht="2.1" customHeight="1" x14ac:dyDescent="0.2">
      <c r="A21" s="1451"/>
      <c r="B21" s="1465"/>
      <c r="C21" s="1461"/>
      <c r="D21" s="1201"/>
      <c r="E21" s="1201"/>
      <c r="F21" s="1462"/>
      <c r="G21" s="1465"/>
      <c r="H21" s="1461"/>
      <c r="I21" s="1201"/>
      <c r="J21" s="1201"/>
      <c r="K21" s="1201"/>
      <c r="L21" s="1465"/>
      <c r="M21" s="1201"/>
      <c r="N21" s="1201"/>
      <c r="O21" s="1201"/>
      <c r="P21" s="1201"/>
      <c r="Q21" s="1465"/>
      <c r="R21" s="1201"/>
      <c r="S21" s="1201"/>
      <c r="T21" s="1201"/>
      <c r="U21" s="1201"/>
      <c r="V21" s="1465"/>
      <c r="W21" s="1201"/>
      <c r="X21" s="1201"/>
      <c r="Y21" s="1201"/>
      <c r="Z21" s="1462"/>
      <c r="AA21" s="1462"/>
      <c r="AB21" s="1461"/>
      <c r="AC21" s="1201"/>
      <c r="AD21" s="1201"/>
      <c r="AE21" s="1201"/>
      <c r="AF21" s="1465"/>
      <c r="AG21" s="1201"/>
      <c r="AH21" s="1201"/>
      <c r="AI21" s="1201"/>
      <c r="AJ21" s="1466"/>
      <c r="AK21" s="1462"/>
      <c r="AL21" s="1201"/>
      <c r="AM21" s="1201"/>
      <c r="AN21" s="1201"/>
      <c r="AO21" s="1201"/>
      <c r="AP21" s="1465"/>
      <c r="AQ21" s="1201"/>
      <c r="AR21" s="1201"/>
      <c r="AS21" s="1201"/>
      <c r="AT21" s="1201"/>
      <c r="AU21" s="1465"/>
      <c r="AV21" s="1801"/>
      <c r="AW21" s="1201"/>
      <c r="AX21" s="1201"/>
      <c r="AY21" s="1201"/>
      <c r="AZ21" s="1201"/>
      <c r="BA21" s="1427"/>
      <c r="BB21" s="1461"/>
      <c r="BC21" s="1201"/>
      <c r="BD21" s="1201"/>
      <c r="BE21" s="1201"/>
      <c r="BF21" s="1427"/>
      <c r="BG21" s="1201"/>
      <c r="BH21" s="1201"/>
      <c r="BI21" s="1201"/>
      <c r="BJ21" s="1201"/>
      <c r="BK21" s="1427"/>
      <c r="BL21" s="1201"/>
      <c r="BM21" s="1201"/>
      <c r="BN21" s="1201"/>
      <c r="BO21" s="1201"/>
      <c r="BP21" s="1427"/>
      <c r="BQ21" s="1201"/>
      <c r="BR21" s="1201"/>
      <c r="BS21" s="1201"/>
      <c r="BT21" s="1201"/>
      <c r="BU21" s="1427"/>
      <c r="BV21" s="1267"/>
      <c r="BW21" s="1267"/>
      <c r="BX21" s="1267"/>
      <c r="BY21" s="1267"/>
      <c r="BZ21" s="1427"/>
      <c r="CA21" s="1201"/>
      <c r="CB21" s="1201"/>
      <c r="CC21" s="1201"/>
      <c r="CD21" s="1201"/>
      <c r="CE21" s="1427"/>
      <c r="CF21" s="1201"/>
      <c r="CG21" s="1201"/>
      <c r="CH21" s="1201"/>
      <c r="CI21" s="1201"/>
      <c r="CJ21" s="1465"/>
      <c r="CK21" s="1201"/>
      <c r="CL21" s="1201"/>
      <c r="CM21" s="1201"/>
      <c r="CN21" s="1201"/>
      <c r="CO21" s="1427"/>
      <c r="CP21" s="1201"/>
      <c r="CQ21" s="1201"/>
      <c r="CR21" s="1201"/>
      <c r="CS21" s="1201"/>
      <c r="CT21" s="1465"/>
      <c r="CU21" s="1201"/>
      <c r="CV21" s="1201"/>
      <c r="CW21" s="1201"/>
      <c r="CX21" s="1201"/>
      <c r="CY21" s="1427"/>
      <c r="CZ21" s="1201"/>
      <c r="DA21" s="1201"/>
      <c r="DB21" s="1201"/>
      <c r="DC21" s="1201"/>
      <c r="DD21" s="1427"/>
      <c r="DE21" s="1201"/>
      <c r="DF21" s="1201"/>
      <c r="DG21" s="1201"/>
      <c r="DH21" s="1201"/>
      <c r="DI21" s="1427"/>
      <c r="DJ21" s="1201"/>
      <c r="DK21" s="1201"/>
      <c r="DL21" s="1201"/>
      <c r="DM21" s="1201"/>
      <c r="DN21" s="1427"/>
      <c r="DO21" s="1201"/>
      <c r="DP21" s="1201"/>
      <c r="DQ21" s="1201"/>
      <c r="DR21" s="1201"/>
      <c r="DS21" s="1427"/>
      <c r="DT21" s="1201"/>
      <c r="DU21" s="1201"/>
      <c r="DV21" s="1201"/>
      <c r="DW21" s="1201"/>
      <c r="DX21" s="1427"/>
      <c r="DY21" s="1201"/>
      <c r="DZ21" s="1201"/>
      <c r="EA21" s="1201"/>
      <c r="EB21" s="1201"/>
      <c r="EC21" s="1427"/>
      <c r="ED21" s="1460"/>
      <c r="EE21" s="1461"/>
      <c r="EF21" s="1201"/>
      <c r="EG21" s="1201"/>
      <c r="EH21" s="1201"/>
      <c r="EI21" s="1201"/>
      <c r="EJ21" s="1201"/>
      <c r="EK21" s="1201"/>
      <c r="EL21" s="1201"/>
      <c r="EM21" s="1201"/>
      <c r="EN21" s="1201"/>
      <c r="EO21" s="1201">
        <f t="shared" si="4"/>
        <v>0</v>
      </c>
      <c r="EP21" s="1201">
        <f t="shared" si="25"/>
        <v>0</v>
      </c>
      <c r="EQ21" s="1201">
        <f t="shared" si="26"/>
        <v>0</v>
      </c>
      <c r="ER21" s="1462">
        <f t="shared" si="27"/>
        <v>0</v>
      </c>
      <c r="ES21" s="1460"/>
      <c r="ET21" s="1460"/>
      <c r="EU21" s="1460"/>
      <c r="EX21" s="1450"/>
      <c r="EY21" s="1467">
        <f>BR21</f>
        <v>0</v>
      </c>
      <c r="EZ21" s="1467">
        <v>0</v>
      </c>
      <c r="FA21" s="1467">
        <f>EZ21-EY21</f>
        <v>0</v>
      </c>
      <c r="FB21" s="1467">
        <f t="shared" si="24"/>
        <v>0</v>
      </c>
      <c r="FC21" s="1468"/>
      <c r="FD21" s="1460"/>
      <c r="FE21"/>
      <c r="FF21"/>
      <c r="FG21"/>
      <c r="FH21"/>
      <c r="FI21"/>
      <c r="FJ21"/>
    </row>
    <row r="22" spans="1:166" s="1064" customFormat="1" ht="12.75" hidden="1" customHeight="1" outlineLevel="2" x14ac:dyDescent="0.2">
      <c r="A22" s="1593" t="s">
        <v>57</v>
      </c>
      <c r="B22" s="1465">
        <v>330</v>
      </c>
      <c r="C22" s="1490"/>
      <c r="D22" s="1204"/>
      <c r="E22" s="1204"/>
      <c r="F22" s="1471"/>
      <c r="G22" s="1465">
        <v>354</v>
      </c>
      <c r="H22" s="1470"/>
      <c r="I22" s="1202"/>
      <c r="J22" s="1202"/>
      <c r="K22" s="1202"/>
      <c r="L22" s="1465">
        <v>359</v>
      </c>
      <c r="M22" s="1202"/>
      <c r="N22" s="1202"/>
      <c r="O22" s="1202"/>
      <c r="P22" s="1202"/>
      <c r="Q22" s="1465">
        <v>391</v>
      </c>
      <c r="R22" s="1202">
        <v>108</v>
      </c>
      <c r="S22" s="1202">
        <v>110</v>
      </c>
      <c r="T22" s="1202">
        <v>104</v>
      </c>
      <c r="U22" s="1202">
        <v>115</v>
      </c>
      <c r="V22" s="1465">
        <v>437</v>
      </c>
      <c r="W22" s="1202">
        <v>118</v>
      </c>
      <c r="X22" s="1202">
        <v>119</v>
      </c>
      <c r="Y22" s="1202">
        <v>114</v>
      </c>
      <c r="Z22" s="1471">
        <v>119</v>
      </c>
      <c r="AA22" s="1462">
        <v>470</v>
      </c>
      <c r="AB22" s="1470">
        <v>122</v>
      </c>
      <c r="AC22" s="1202">
        <v>125</v>
      </c>
      <c r="AD22" s="1202">
        <v>120</v>
      </c>
      <c r="AE22" s="1202">
        <v>132</v>
      </c>
      <c r="AF22" s="1465">
        <f>SUM(AB22:AE22)</f>
        <v>499</v>
      </c>
      <c r="AG22" s="1202">
        <v>137</v>
      </c>
      <c r="AH22" s="1202">
        <v>140</v>
      </c>
      <c r="AI22" s="1202">
        <v>135</v>
      </c>
      <c r="AJ22" s="1472">
        <f>564-SUM(AG22:AI22)</f>
        <v>152</v>
      </c>
      <c r="AK22" s="1462">
        <f>SUM(AG22:AJ22)</f>
        <v>564</v>
      </c>
      <c r="AL22" s="1202">
        <v>162</v>
      </c>
      <c r="AM22" s="1202">
        <v>152</v>
      </c>
      <c r="AN22" s="1202">
        <v>143</v>
      </c>
      <c r="AO22" s="1202">
        <f>603.7-SUM(AL22:AN22)</f>
        <v>146.70000000000005</v>
      </c>
      <c r="AP22" s="1465">
        <f t="shared" ref="AP22:AP38" si="41">SUM(AL22:AO22)</f>
        <v>603.70000000000005</v>
      </c>
      <c r="AQ22" s="1202">
        <v>148.80000000000001</v>
      </c>
      <c r="AR22" s="1202">
        <v>151</v>
      </c>
      <c r="AS22" s="1202">
        <f t="shared" ref="AS22:AT24" si="42">AW22</f>
        <v>138</v>
      </c>
      <c r="AT22" s="1202">
        <f t="shared" si="42"/>
        <v>147.19999999999999</v>
      </c>
      <c r="AU22" s="1465">
        <f t="shared" ref="AU22:AU38" si="43">SUM(AQ22:AT22)</f>
        <v>585</v>
      </c>
      <c r="AV22" s="1801"/>
      <c r="AW22" s="1202">
        <v>138</v>
      </c>
      <c r="AX22" s="1202">
        <v>147.19999999999999</v>
      </c>
      <c r="AY22" s="1202">
        <v>135.80000000000001</v>
      </c>
      <c r="AZ22" s="1202">
        <f>102.8+26.8</f>
        <v>129.6</v>
      </c>
      <c r="BA22" s="1427">
        <f t="shared" ref="BA22:BA33" si="44">SUM(AW22:AZ22)</f>
        <v>550.6</v>
      </c>
      <c r="BB22" s="1461">
        <v>127</v>
      </c>
      <c r="BC22" s="1202">
        <v>135.4</v>
      </c>
      <c r="BD22" s="1202">
        <v>134.9</v>
      </c>
      <c r="BE22" s="1202">
        <v>127.4</v>
      </c>
      <c r="BF22" s="1427">
        <f>SUM(BB22:BE22)</f>
        <v>524.69999999999993</v>
      </c>
      <c r="BG22" s="1202">
        <v>130</v>
      </c>
      <c r="BH22" s="1202">
        <v>115</v>
      </c>
      <c r="BI22" s="1202">
        <v>79.7</v>
      </c>
      <c r="BJ22" s="1202">
        <v>57.5</v>
      </c>
      <c r="BK22" s="1427">
        <f>SUM(BG22:BJ22)</f>
        <v>382.2</v>
      </c>
      <c r="BL22" s="1202">
        <v>38.5</v>
      </c>
      <c r="BM22" s="1202">
        <v>16.8</v>
      </c>
      <c r="BN22" s="1202">
        <v>8.5</v>
      </c>
      <c r="BO22" s="1202">
        <v>6.8</v>
      </c>
      <c r="BP22" s="1427">
        <f>SUM(BL22:BO22)</f>
        <v>70.599999999999994</v>
      </c>
      <c r="BQ22" s="1202">
        <v>0</v>
      </c>
      <c r="BR22" s="1202">
        <v>0</v>
      </c>
      <c r="BS22" s="1202">
        <v>0</v>
      </c>
      <c r="BT22" s="1202">
        <v>0</v>
      </c>
      <c r="BU22" s="1427">
        <v>27.2</v>
      </c>
      <c r="BV22" s="1268">
        <v>0</v>
      </c>
      <c r="BW22" s="1268">
        <v>0</v>
      </c>
      <c r="BX22" s="1268">
        <v>0</v>
      </c>
      <c r="BY22" s="1268">
        <v>0</v>
      </c>
      <c r="BZ22" s="1427">
        <v>27.2</v>
      </c>
      <c r="CA22" s="1202">
        <v>0</v>
      </c>
      <c r="CB22" s="1202">
        <v>0</v>
      </c>
      <c r="CC22" s="1202">
        <v>0</v>
      </c>
      <c r="CD22" s="1202">
        <v>0</v>
      </c>
      <c r="CE22" s="1427">
        <f t="shared" ref="CE22:CE38" si="45">SUM(CA22:CD22)</f>
        <v>0</v>
      </c>
      <c r="CF22" s="1202">
        <v>0</v>
      </c>
      <c r="CG22" s="1202">
        <v>0</v>
      </c>
      <c r="CH22" s="1202">
        <v>0</v>
      </c>
      <c r="CI22" s="1202">
        <v>0</v>
      </c>
      <c r="CJ22" s="1465">
        <f>SUM(CF22:CI22)</f>
        <v>0</v>
      </c>
      <c r="CK22" s="1202">
        <v>0</v>
      </c>
      <c r="CL22" s="1202">
        <v>0</v>
      </c>
      <c r="CM22" s="1202">
        <v>0</v>
      </c>
      <c r="CN22" s="1202">
        <v>0</v>
      </c>
      <c r="CO22" s="1427">
        <f>SUM(CK22:CN22)</f>
        <v>0</v>
      </c>
      <c r="CP22" s="1202">
        <v>0</v>
      </c>
      <c r="CQ22" s="1202">
        <v>0</v>
      </c>
      <c r="CR22" s="1202">
        <v>0</v>
      </c>
      <c r="CS22" s="1202">
        <v>0</v>
      </c>
      <c r="CT22" s="1465">
        <f>SUM(CP22:CS22)</f>
        <v>0</v>
      </c>
      <c r="CU22" s="1202">
        <v>0</v>
      </c>
      <c r="CV22" s="1202">
        <v>0</v>
      </c>
      <c r="CW22" s="1202">
        <v>0</v>
      </c>
      <c r="CX22" s="1202">
        <v>0</v>
      </c>
      <c r="CY22" s="1427">
        <f>SUM(CU22:CX22)</f>
        <v>0</v>
      </c>
      <c r="CZ22" s="1202">
        <v>0</v>
      </c>
      <c r="DA22" s="1202">
        <v>0</v>
      </c>
      <c r="DB22" s="1202">
        <v>0</v>
      </c>
      <c r="DC22" s="1202">
        <v>0</v>
      </c>
      <c r="DD22" s="1427">
        <f>SUM(CZ22:DC22)</f>
        <v>0</v>
      </c>
      <c r="DE22" s="1202">
        <v>0</v>
      </c>
      <c r="DF22" s="1202">
        <v>0</v>
      </c>
      <c r="DG22" s="1202">
        <v>0</v>
      </c>
      <c r="DH22" s="1202">
        <v>0</v>
      </c>
      <c r="DI22" s="1427">
        <f>SUM(DE22:DH22)</f>
        <v>0</v>
      </c>
      <c r="DJ22" s="1202">
        <v>0</v>
      </c>
      <c r="DK22" s="1202">
        <v>0</v>
      </c>
      <c r="DL22" s="1202">
        <v>0</v>
      </c>
      <c r="DM22" s="1202">
        <v>0</v>
      </c>
      <c r="DN22" s="1427">
        <f>SUM(DJ22:DM22)</f>
        <v>0</v>
      </c>
      <c r="DO22" s="1202">
        <v>0</v>
      </c>
      <c r="DP22" s="1202">
        <v>0</v>
      </c>
      <c r="DQ22" s="1202">
        <v>0</v>
      </c>
      <c r="DR22" s="1202">
        <v>0</v>
      </c>
      <c r="DS22" s="1427">
        <f>SUM(DO22:DR22)</f>
        <v>0</v>
      </c>
      <c r="DT22" s="1202">
        <v>0</v>
      </c>
      <c r="DU22" s="1202">
        <v>0</v>
      </c>
      <c r="DV22" s="1202">
        <v>0</v>
      </c>
      <c r="DW22" s="1202">
        <v>0</v>
      </c>
      <c r="DX22" s="1427">
        <f>SUM(DT22:DW22)</f>
        <v>0</v>
      </c>
      <c r="DY22" s="1202">
        <v>0</v>
      </c>
      <c r="DZ22" s="1202">
        <v>0</v>
      </c>
      <c r="EA22" s="1202">
        <v>0</v>
      </c>
      <c r="EB22" s="1202">
        <v>0</v>
      </c>
      <c r="EC22" s="1427">
        <f>SUM(DY22:EB22)</f>
        <v>0</v>
      </c>
      <c r="ED22" s="1460"/>
      <c r="EE22" s="1470">
        <f>X22+W22+U22+T22</f>
        <v>456</v>
      </c>
      <c r="EF22" s="1202">
        <f>AC22+AB22+Z22+Y22</f>
        <v>480</v>
      </c>
      <c r="EG22" s="1202">
        <f>AH22+AG22+AE22+AD22</f>
        <v>529</v>
      </c>
      <c r="EH22" s="1202">
        <f>AM22+AL22+AJ22+AI22</f>
        <v>601</v>
      </c>
      <c r="EI22" s="1202">
        <f>AR22+AQ22+AO22+AN22</f>
        <v>589.5</v>
      </c>
      <c r="EJ22" s="1201">
        <f>AZ22+AY22+AX22+AW22</f>
        <v>550.59999999999991</v>
      </c>
      <c r="EK22" s="1202">
        <f>BF22</f>
        <v>524.69999999999993</v>
      </c>
      <c r="EL22" s="1202">
        <f>BK22</f>
        <v>382.2</v>
      </c>
      <c r="EM22" s="1202">
        <f>BP22</f>
        <v>70.599999999999994</v>
      </c>
      <c r="EN22" s="1202">
        <f>BU22</f>
        <v>27.2</v>
      </c>
      <c r="EO22" s="1202">
        <f t="shared" si="4"/>
        <v>0</v>
      </c>
      <c r="EP22" s="1202">
        <f t="shared" si="25"/>
        <v>0</v>
      </c>
      <c r="EQ22" s="1202">
        <f t="shared" si="26"/>
        <v>0</v>
      </c>
      <c r="ER22" s="1471">
        <f t="shared" si="27"/>
        <v>0</v>
      </c>
      <c r="ES22" s="1460"/>
      <c r="ET22" s="1460"/>
      <c r="EU22" s="1460"/>
      <c r="EX22" s="1489" t="s">
        <v>57</v>
      </c>
      <c r="EY22" s="1473">
        <f>BS22</f>
        <v>0</v>
      </c>
      <c r="EZ22" s="1491">
        <v>0</v>
      </c>
      <c r="FA22" s="1473">
        <f t="shared" ref="FA22:FA41" si="46">EY22-EZ22</f>
        <v>0</v>
      </c>
      <c r="FB22" s="1473">
        <f t="shared" si="24"/>
        <v>0</v>
      </c>
      <c r="FC22" s="1474"/>
      <c r="FD22" s="1460"/>
      <c r="FE22"/>
      <c r="FF22"/>
      <c r="FG22"/>
      <c r="FH22"/>
      <c r="FI22"/>
      <c r="FJ22"/>
    </row>
    <row r="23" spans="1:166" s="1064" customFormat="1" ht="12.75" hidden="1" customHeight="1" outlineLevel="2" x14ac:dyDescent="0.2">
      <c r="A23" s="1465" t="s">
        <v>155</v>
      </c>
      <c r="B23" s="1465">
        <v>298</v>
      </c>
      <c r="C23" s="1490"/>
      <c r="D23" s="1204"/>
      <c r="E23" s="1204"/>
      <c r="F23" s="1471"/>
      <c r="G23" s="1465">
        <v>335</v>
      </c>
      <c r="H23" s="1470"/>
      <c r="I23" s="1202"/>
      <c r="J23" s="1202"/>
      <c r="K23" s="1202"/>
      <c r="L23" s="1465">
        <v>349</v>
      </c>
      <c r="M23" s="1202"/>
      <c r="N23" s="1202"/>
      <c r="O23" s="1202"/>
      <c r="P23" s="1202"/>
      <c r="Q23" s="1465">
        <v>382</v>
      </c>
      <c r="R23" s="1202">
        <v>103</v>
      </c>
      <c r="S23" s="1202">
        <v>101</v>
      </c>
      <c r="T23" s="1202">
        <v>104</v>
      </c>
      <c r="U23" s="1202">
        <v>104</v>
      </c>
      <c r="V23" s="1465">
        <v>415</v>
      </c>
      <c r="W23" s="1202">
        <v>110</v>
      </c>
      <c r="X23" s="1202">
        <v>109</v>
      </c>
      <c r="Y23" s="1202">
        <v>111</v>
      </c>
      <c r="Z23" s="1471">
        <v>116</v>
      </c>
      <c r="AA23" s="1462">
        <v>446</v>
      </c>
      <c r="AB23" s="1470">
        <v>119</v>
      </c>
      <c r="AC23" s="1202">
        <v>123</v>
      </c>
      <c r="AD23" s="1202">
        <v>121</v>
      </c>
      <c r="AE23" s="1202">
        <v>129</v>
      </c>
      <c r="AF23" s="1465">
        <f>SUM(AB23:AE23)</f>
        <v>492</v>
      </c>
      <c r="AG23" s="1202">
        <v>131</v>
      </c>
      <c r="AH23" s="1202">
        <v>132</v>
      </c>
      <c r="AI23" s="1202">
        <v>133</v>
      </c>
      <c r="AJ23" s="1472">
        <f>535-SUM(AG23:AI23)</f>
        <v>139</v>
      </c>
      <c r="AK23" s="1462">
        <f>SUM(AG23:AJ23)</f>
        <v>535</v>
      </c>
      <c r="AL23" s="1202">
        <v>151</v>
      </c>
      <c r="AM23" s="1202">
        <v>144</v>
      </c>
      <c r="AN23" s="1202">
        <v>144</v>
      </c>
      <c r="AO23" s="1202">
        <f>582.2-SUM(AL23:AN23)</f>
        <v>143.20000000000005</v>
      </c>
      <c r="AP23" s="1465">
        <f t="shared" si="41"/>
        <v>582.20000000000005</v>
      </c>
      <c r="AQ23" s="1202">
        <v>144.80000000000001</v>
      </c>
      <c r="AR23" s="1202">
        <v>146.4</v>
      </c>
      <c r="AS23" s="1202">
        <f t="shared" si="42"/>
        <v>138.19999999999999</v>
      </c>
      <c r="AT23" s="1202">
        <f t="shared" si="42"/>
        <v>139.30000000000001</v>
      </c>
      <c r="AU23" s="1465">
        <f t="shared" si="43"/>
        <v>568.70000000000005</v>
      </c>
      <c r="AV23" s="1801"/>
      <c r="AW23" s="1202">
        <v>138.19999999999999</v>
      </c>
      <c r="AX23" s="1202">
        <v>139.30000000000001</v>
      </c>
      <c r="AY23" s="1202">
        <v>128.9</v>
      </c>
      <c r="AZ23" s="1202">
        <f>98.3+25.3</f>
        <v>123.6</v>
      </c>
      <c r="BA23" s="1427">
        <f t="shared" si="44"/>
        <v>530</v>
      </c>
      <c r="BB23" s="1461">
        <v>120</v>
      </c>
      <c r="BC23" s="1202">
        <v>122.2</v>
      </c>
      <c r="BD23" s="1202">
        <v>122.3</v>
      </c>
      <c r="BE23" s="1202">
        <v>116.7</v>
      </c>
      <c r="BF23" s="1427">
        <f>SUM(BB23:BE23)</f>
        <v>481.2</v>
      </c>
      <c r="BG23" s="1202">
        <v>119.5</v>
      </c>
      <c r="BH23" s="1202">
        <v>100.2</v>
      </c>
      <c r="BI23" s="1202">
        <v>71.900000000000006</v>
      </c>
      <c r="BJ23" s="1202">
        <v>53.5</v>
      </c>
      <c r="BK23" s="1427">
        <f>SUM(BG23:BJ23)</f>
        <v>345.1</v>
      </c>
      <c r="BL23" s="1202">
        <v>37.5</v>
      </c>
      <c r="BM23" s="1202">
        <v>16.7</v>
      </c>
      <c r="BN23" s="1202">
        <v>7.4</v>
      </c>
      <c r="BO23" s="1202">
        <v>6.5</v>
      </c>
      <c r="BP23" s="1427">
        <f>SUM(BL23:BO23)</f>
        <v>68.099999999999994</v>
      </c>
      <c r="BQ23" s="1202">
        <v>0</v>
      </c>
      <c r="BR23" s="1202">
        <v>0</v>
      </c>
      <c r="BS23" s="1202">
        <v>0</v>
      </c>
      <c r="BT23" s="1202">
        <v>0</v>
      </c>
      <c r="BU23" s="1427">
        <v>26.2</v>
      </c>
      <c r="BV23" s="1268">
        <v>0</v>
      </c>
      <c r="BW23" s="1268">
        <v>0</v>
      </c>
      <c r="BX23" s="1268">
        <v>0</v>
      </c>
      <c r="BY23" s="1268">
        <v>0</v>
      </c>
      <c r="BZ23" s="1427">
        <v>26.2</v>
      </c>
      <c r="CA23" s="1202">
        <v>0</v>
      </c>
      <c r="CB23" s="1202">
        <v>0</v>
      </c>
      <c r="CC23" s="1202">
        <v>0</v>
      </c>
      <c r="CD23" s="1202">
        <v>0</v>
      </c>
      <c r="CE23" s="1427">
        <f t="shared" si="45"/>
        <v>0</v>
      </c>
      <c r="CF23" s="1202">
        <v>0</v>
      </c>
      <c r="CG23" s="1202">
        <v>0</v>
      </c>
      <c r="CH23" s="1202">
        <v>0</v>
      </c>
      <c r="CI23" s="1202">
        <v>0</v>
      </c>
      <c r="CJ23" s="1465">
        <f>SUM(CF23:CI23)</f>
        <v>0</v>
      </c>
      <c r="CK23" s="1202">
        <v>0</v>
      </c>
      <c r="CL23" s="1202">
        <v>0</v>
      </c>
      <c r="CM23" s="1202">
        <v>0</v>
      </c>
      <c r="CN23" s="1202">
        <v>0</v>
      </c>
      <c r="CO23" s="1427">
        <f>SUM(CK23:CN23)</f>
        <v>0</v>
      </c>
      <c r="CP23" s="1202">
        <v>0</v>
      </c>
      <c r="CQ23" s="1202">
        <v>0</v>
      </c>
      <c r="CR23" s="1202">
        <v>0</v>
      </c>
      <c r="CS23" s="1202">
        <v>0</v>
      </c>
      <c r="CT23" s="1465">
        <f>SUM(CP23:CS23)</f>
        <v>0</v>
      </c>
      <c r="CU23" s="1202">
        <v>0</v>
      </c>
      <c r="CV23" s="1202">
        <v>0</v>
      </c>
      <c r="CW23" s="1202">
        <v>0</v>
      </c>
      <c r="CX23" s="1202">
        <v>0</v>
      </c>
      <c r="CY23" s="1427">
        <f>SUM(CU23:CX23)</f>
        <v>0</v>
      </c>
      <c r="CZ23" s="1202">
        <v>0</v>
      </c>
      <c r="DA23" s="1202">
        <v>0</v>
      </c>
      <c r="DB23" s="1202">
        <v>0</v>
      </c>
      <c r="DC23" s="1202">
        <v>0</v>
      </c>
      <c r="DD23" s="1427">
        <f>SUM(CZ23:DC23)</f>
        <v>0</v>
      </c>
      <c r="DE23" s="1202">
        <v>0</v>
      </c>
      <c r="DF23" s="1202">
        <v>0</v>
      </c>
      <c r="DG23" s="1202">
        <v>0</v>
      </c>
      <c r="DH23" s="1202">
        <v>0</v>
      </c>
      <c r="DI23" s="1427">
        <f>SUM(DE23:DH23)</f>
        <v>0</v>
      </c>
      <c r="DJ23" s="1202">
        <v>0</v>
      </c>
      <c r="DK23" s="1202">
        <v>0</v>
      </c>
      <c r="DL23" s="1202">
        <v>0</v>
      </c>
      <c r="DM23" s="1202">
        <v>0</v>
      </c>
      <c r="DN23" s="1427">
        <f>SUM(DJ23:DM23)</f>
        <v>0</v>
      </c>
      <c r="DO23" s="1202">
        <v>0</v>
      </c>
      <c r="DP23" s="1202">
        <v>0</v>
      </c>
      <c r="DQ23" s="1202">
        <v>0</v>
      </c>
      <c r="DR23" s="1202">
        <v>0</v>
      </c>
      <c r="DS23" s="1427">
        <f>SUM(DO23:DR23)</f>
        <v>0</v>
      </c>
      <c r="DT23" s="1202">
        <v>0</v>
      </c>
      <c r="DU23" s="1202">
        <v>0</v>
      </c>
      <c r="DV23" s="1202">
        <v>0</v>
      </c>
      <c r="DW23" s="1202">
        <v>0</v>
      </c>
      <c r="DX23" s="1427">
        <f>SUM(DT23:DW23)</f>
        <v>0</v>
      </c>
      <c r="DY23" s="1202">
        <v>0</v>
      </c>
      <c r="DZ23" s="1202">
        <v>0</v>
      </c>
      <c r="EA23" s="1202">
        <v>0</v>
      </c>
      <c r="EB23" s="1202">
        <v>0</v>
      </c>
      <c r="EC23" s="1427">
        <f>SUM(DY23:EB23)</f>
        <v>0</v>
      </c>
      <c r="ED23" s="1460"/>
      <c r="EE23" s="1470">
        <f>X23+W23+U23+T23</f>
        <v>427</v>
      </c>
      <c r="EF23" s="1202">
        <f>AC23+AB23+Z23+Y23</f>
        <v>469</v>
      </c>
      <c r="EG23" s="1202">
        <f>AH23+AG23+AE23+AD23</f>
        <v>513</v>
      </c>
      <c r="EH23" s="1202">
        <f>AM23+AL23+AJ23+AI23</f>
        <v>567</v>
      </c>
      <c r="EI23" s="1202">
        <f>AR23+AQ23+AO23+AN23</f>
        <v>578.40000000000009</v>
      </c>
      <c r="EJ23" s="1201">
        <f>AZ23+AY23+AX23+AW23</f>
        <v>530</v>
      </c>
      <c r="EK23" s="1202">
        <f>BF23</f>
        <v>481.2</v>
      </c>
      <c r="EL23" s="1202">
        <f>BK23</f>
        <v>345.1</v>
      </c>
      <c r="EM23" s="1202">
        <f>BP23</f>
        <v>68.099999999999994</v>
      </c>
      <c r="EN23" s="1202">
        <f>BU23</f>
        <v>26.2</v>
      </c>
      <c r="EO23" s="1202">
        <f t="shared" si="4"/>
        <v>0</v>
      </c>
      <c r="EP23" s="1202">
        <f t="shared" si="25"/>
        <v>0</v>
      </c>
      <c r="EQ23" s="1202">
        <f t="shared" si="26"/>
        <v>0</v>
      </c>
      <c r="ER23" s="1471">
        <f t="shared" si="27"/>
        <v>0</v>
      </c>
      <c r="ES23" s="1460"/>
      <c r="ET23" s="1460"/>
      <c r="EU23" s="1460"/>
      <c r="EX23" s="1469" t="s">
        <v>155</v>
      </c>
      <c r="EY23" s="1473">
        <f>BS23</f>
        <v>0</v>
      </c>
      <c r="EZ23" s="1491">
        <v>0</v>
      </c>
      <c r="FA23" s="1473">
        <f t="shared" si="46"/>
        <v>0</v>
      </c>
      <c r="FB23" s="1473">
        <f t="shared" si="24"/>
        <v>0</v>
      </c>
      <c r="FC23" s="1474"/>
      <c r="FD23" s="1460"/>
      <c r="FE23"/>
      <c r="FF23"/>
      <c r="FG23"/>
      <c r="FH23"/>
      <c r="FI23"/>
      <c r="FJ23"/>
    </row>
    <row r="24" spans="1:166" s="1064" customFormat="1" ht="12.75" hidden="1" customHeight="1" outlineLevel="2" x14ac:dyDescent="0.35">
      <c r="A24" s="1465" t="s">
        <v>156</v>
      </c>
      <c r="B24" s="1475">
        <v>266</v>
      </c>
      <c r="C24" s="1492"/>
      <c r="D24" s="1493"/>
      <c r="E24" s="1493"/>
      <c r="F24" s="1477"/>
      <c r="G24" s="1475">
        <v>298</v>
      </c>
      <c r="H24" s="1476"/>
      <c r="I24" s="1203"/>
      <c r="J24" s="1203"/>
      <c r="K24" s="1203"/>
      <c r="L24" s="1475">
        <v>314</v>
      </c>
      <c r="M24" s="1203"/>
      <c r="N24" s="1203"/>
      <c r="O24" s="1203"/>
      <c r="P24" s="1203"/>
      <c r="Q24" s="1475">
        <v>314</v>
      </c>
      <c r="R24" s="1203">
        <v>87</v>
      </c>
      <c r="S24" s="1203">
        <v>81</v>
      </c>
      <c r="T24" s="1203">
        <v>88</v>
      </c>
      <c r="U24" s="1203">
        <v>87</v>
      </c>
      <c r="V24" s="1475">
        <v>343</v>
      </c>
      <c r="W24" s="1203">
        <v>91</v>
      </c>
      <c r="X24" s="1203">
        <v>93</v>
      </c>
      <c r="Y24" s="1203">
        <v>96</v>
      </c>
      <c r="Z24" s="1477">
        <v>100</v>
      </c>
      <c r="AA24" s="1478">
        <v>380</v>
      </c>
      <c r="AB24" s="1476">
        <v>102</v>
      </c>
      <c r="AC24" s="1203">
        <v>103</v>
      </c>
      <c r="AD24" s="1203">
        <v>105</v>
      </c>
      <c r="AE24" s="1203">
        <v>108</v>
      </c>
      <c r="AF24" s="1475">
        <f>SUM(AB24:AE24)</f>
        <v>418</v>
      </c>
      <c r="AG24" s="1203">
        <v>105</v>
      </c>
      <c r="AH24" s="1203">
        <v>106</v>
      </c>
      <c r="AI24" s="1203">
        <v>110</v>
      </c>
      <c r="AJ24" s="1479">
        <f>439-SUM(AG24:AI24)</f>
        <v>118</v>
      </c>
      <c r="AK24" s="1478">
        <f>SUM(AG24:AJ24)</f>
        <v>439</v>
      </c>
      <c r="AL24" s="1203">
        <v>122</v>
      </c>
      <c r="AM24" s="1203">
        <v>112</v>
      </c>
      <c r="AN24" s="1203">
        <v>110</v>
      </c>
      <c r="AO24" s="1203">
        <f>457.8-SUM(AL24:AN24)</f>
        <v>113.80000000000001</v>
      </c>
      <c r="AP24" s="1475">
        <f t="shared" si="41"/>
        <v>457.8</v>
      </c>
      <c r="AQ24" s="1203">
        <v>114.7</v>
      </c>
      <c r="AR24" s="1203">
        <v>113.9</v>
      </c>
      <c r="AS24" s="1203">
        <f t="shared" si="42"/>
        <v>113.3</v>
      </c>
      <c r="AT24" s="1203">
        <f t="shared" si="42"/>
        <v>119.2</v>
      </c>
      <c r="AU24" s="1475">
        <f t="shared" si="43"/>
        <v>461.1</v>
      </c>
      <c r="AV24" s="1801"/>
      <c r="AW24" s="1203">
        <v>113.3</v>
      </c>
      <c r="AX24" s="1203">
        <v>119.2</v>
      </c>
      <c r="AY24" s="1203">
        <v>106.6</v>
      </c>
      <c r="AZ24" s="1203">
        <f>91.7+21.1</f>
        <v>112.80000000000001</v>
      </c>
      <c r="BA24" s="1480">
        <f t="shared" si="44"/>
        <v>451.90000000000003</v>
      </c>
      <c r="BB24" s="1481">
        <v>109.7</v>
      </c>
      <c r="BC24" s="1203">
        <v>111.6</v>
      </c>
      <c r="BD24" s="1203">
        <v>113</v>
      </c>
      <c r="BE24" s="1203">
        <v>107.2</v>
      </c>
      <c r="BF24" s="1480">
        <f>SUM(BB24:BE24)</f>
        <v>441.5</v>
      </c>
      <c r="BG24" s="1203">
        <v>104.5</v>
      </c>
      <c r="BH24" s="1203">
        <v>90.5</v>
      </c>
      <c r="BI24" s="1203">
        <v>64.7</v>
      </c>
      <c r="BJ24" s="1203">
        <v>50.2</v>
      </c>
      <c r="BK24" s="1480">
        <f>SUM(BG24:BJ24)</f>
        <v>309.89999999999998</v>
      </c>
      <c r="BL24" s="1203">
        <v>32.1</v>
      </c>
      <c r="BM24" s="1203">
        <v>13.1</v>
      </c>
      <c r="BN24" s="1203">
        <v>7</v>
      </c>
      <c r="BO24" s="1203">
        <v>4.4000000000000004</v>
      </c>
      <c r="BP24" s="1480">
        <f>SUM(BL24:BO24)</f>
        <v>56.6</v>
      </c>
      <c r="BQ24" s="1203">
        <v>0</v>
      </c>
      <c r="BR24" s="1203">
        <v>0</v>
      </c>
      <c r="BS24" s="1203">
        <v>0</v>
      </c>
      <c r="BT24" s="1203">
        <v>0</v>
      </c>
      <c r="BU24" s="1480">
        <v>22.5</v>
      </c>
      <c r="BV24" s="1269">
        <v>0</v>
      </c>
      <c r="BW24" s="1269">
        <v>0</v>
      </c>
      <c r="BX24" s="1269">
        <v>0</v>
      </c>
      <c r="BY24" s="1269">
        <v>0</v>
      </c>
      <c r="BZ24" s="1480">
        <v>22.5</v>
      </c>
      <c r="CA24" s="1203">
        <v>0</v>
      </c>
      <c r="CB24" s="1203">
        <v>0</v>
      </c>
      <c r="CC24" s="1203">
        <v>0</v>
      </c>
      <c r="CD24" s="1203">
        <v>0</v>
      </c>
      <c r="CE24" s="1480">
        <f t="shared" si="45"/>
        <v>0</v>
      </c>
      <c r="CF24" s="1203">
        <v>0</v>
      </c>
      <c r="CG24" s="1203">
        <v>0</v>
      </c>
      <c r="CH24" s="1203">
        <v>0</v>
      </c>
      <c r="CI24" s="1203">
        <v>0</v>
      </c>
      <c r="CJ24" s="1475">
        <f>SUM(CF24:CI24)</f>
        <v>0</v>
      </c>
      <c r="CK24" s="1203">
        <v>0</v>
      </c>
      <c r="CL24" s="1203">
        <v>0</v>
      </c>
      <c r="CM24" s="1203">
        <v>0</v>
      </c>
      <c r="CN24" s="1203">
        <v>0</v>
      </c>
      <c r="CO24" s="1480">
        <f>SUM(CK24:CN24)</f>
        <v>0</v>
      </c>
      <c r="CP24" s="1203">
        <v>0</v>
      </c>
      <c r="CQ24" s="1203">
        <v>0</v>
      </c>
      <c r="CR24" s="1203">
        <v>0</v>
      </c>
      <c r="CS24" s="1203">
        <v>0</v>
      </c>
      <c r="CT24" s="1475">
        <f>SUM(CP24:CS24)</f>
        <v>0</v>
      </c>
      <c r="CU24" s="1203">
        <v>0</v>
      </c>
      <c r="CV24" s="1203">
        <v>0</v>
      </c>
      <c r="CW24" s="1203">
        <v>0</v>
      </c>
      <c r="CX24" s="1203">
        <v>0</v>
      </c>
      <c r="CY24" s="1480">
        <f>SUM(CU24:CX24)</f>
        <v>0</v>
      </c>
      <c r="CZ24" s="1203">
        <v>0</v>
      </c>
      <c r="DA24" s="1203">
        <v>0</v>
      </c>
      <c r="DB24" s="1203">
        <v>0</v>
      </c>
      <c r="DC24" s="1203">
        <v>0</v>
      </c>
      <c r="DD24" s="1480">
        <f>SUM(CZ24:DC24)</f>
        <v>0</v>
      </c>
      <c r="DE24" s="1203">
        <v>0</v>
      </c>
      <c r="DF24" s="1203">
        <v>0</v>
      </c>
      <c r="DG24" s="1203">
        <v>0</v>
      </c>
      <c r="DH24" s="1203">
        <v>0</v>
      </c>
      <c r="DI24" s="1480">
        <f>SUM(DE24:DH24)</f>
        <v>0</v>
      </c>
      <c r="DJ24" s="1203">
        <v>0</v>
      </c>
      <c r="DK24" s="1203">
        <v>0</v>
      </c>
      <c r="DL24" s="1203">
        <v>0</v>
      </c>
      <c r="DM24" s="1203">
        <v>0</v>
      </c>
      <c r="DN24" s="1480">
        <f>SUM(DJ24:DM24)</f>
        <v>0</v>
      </c>
      <c r="DO24" s="1203">
        <v>0</v>
      </c>
      <c r="DP24" s="1203">
        <v>0</v>
      </c>
      <c r="DQ24" s="1203">
        <v>0</v>
      </c>
      <c r="DR24" s="1203">
        <v>0</v>
      </c>
      <c r="DS24" s="1480">
        <f>SUM(DO24:DR24)</f>
        <v>0</v>
      </c>
      <c r="DT24" s="1203">
        <v>0</v>
      </c>
      <c r="DU24" s="1203">
        <v>0</v>
      </c>
      <c r="DV24" s="1203">
        <v>0</v>
      </c>
      <c r="DW24" s="1203">
        <v>0</v>
      </c>
      <c r="DX24" s="1480">
        <f>SUM(DT24:DW24)</f>
        <v>0</v>
      </c>
      <c r="DY24" s="1203">
        <v>0</v>
      </c>
      <c r="DZ24" s="1203">
        <v>0</v>
      </c>
      <c r="EA24" s="1203">
        <v>0</v>
      </c>
      <c r="EB24" s="1203">
        <v>0</v>
      </c>
      <c r="EC24" s="1480">
        <f>SUM(DY24:EB24)</f>
        <v>0</v>
      </c>
      <c r="ED24" s="1460"/>
      <c r="EE24" s="1494">
        <f>X24+W24+U24+T24</f>
        <v>359</v>
      </c>
      <c r="EF24" s="1495">
        <f>AC24+AB24+Z24+Y24</f>
        <v>401</v>
      </c>
      <c r="EG24" s="1495">
        <f>AH24+AG24+AE24+AD24</f>
        <v>424</v>
      </c>
      <c r="EH24" s="1495">
        <f>AM24+AL24+AJ24+AI24</f>
        <v>462</v>
      </c>
      <c r="EI24" s="1495">
        <f>AR24+AQ24+AO24+AN24</f>
        <v>452.40000000000003</v>
      </c>
      <c r="EJ24" s="1496">
        <f>AZ24+AY24+AX24+AW24</f>
        <v>451.90000000000003</v>
      </c>
      <c r="EK24" s="1495">
        <f>BF24</f>
        <v>441.5</v>
      </c>
      <c r="EL24" s="1495">
        <f>BK24</f>
        <v>309.89999999999998</v>
      </c>
      <c r="EM24" s="1495">
        <f>BP24</f>
        <v>56.6</v>
      </c>
      <c r="EN24" s="1495">
        <f>BU24</f>
        <v>22.5</v>
      </c>
      <c r="EO24" s="1495">
        <f t="shared" si="4"/>
        <v>0</v>
      </c>
      <c r="EP24" s="1495">
        <f t="shared" si="25"/>
        <v>0</v>
      </c>
      <c r="EQ24" s="1495">
        <f t="shared" si="26"/>
        <v>0</v>
      </c>
      <c r="ER24" s="1497">
        <f t="shared" si="27"/>
        <v>0</v>
      </c>
      <c r="ES24" s="1460"/>
      <c r="ET24" s="1460"/>
      <c r="EU24" s="1460"/>
      <c r="EX24" s="1469" t="s">
        <v>156</v>
      </c>
      <c r="EY24" s="1482">
        <f>BS24</f>
        <v>0</v>
      </c>
      <c r="EZ24" s="1498">
        <v>0</v>
      </c>
      <c r="FA24" s="1499">
        <f t="shared" si="46"/>
        <v>0</v>
      </c>
      <c r="FB24" s="1482">
        <f t="shared" si="24"/>
        <v>0</v>
      </c>
      <c r="FC24" s="1474"/>
      <c r="FD24" s="1460"/>
      <c r="FE24"/>
      <c r="FF24"/>
      <c r="FG24"/>
      <c r="FH24"/>
      <c r="FI24"/>
      <c r="FJ24"/>
    </row>
    <row r="25" spans="1:166" s="1064" customFormat="1" ht="12.75" hidden="1" customHeight="1" outlineLevel="1" collapsed="1" x14ac:dyDescent="0.35">
      <c r="A25" s="1465" t="s">
        <v>649</v>
      </c>
      <c r="B25" s="1475"/>
      <c r="C25" s="1492"/>
      <c r="D25" s="1493"/>
      <c r="E25" s="1493"/>
      <c r="F25" s="1477"/>
      <c r="G25" s="1475"/>
      <c r="H25" s="1476"/>
      <c r="I25" s="1203"/>
      <c r="J25" s="1203"/>
      <c r="K25" s="1203"/>
      <c r="L25" s="1475"/>
      <c r="M25" s="1203"/>
      <c r="N25" s="1203"/>
      <c r="O25" s="1203"/>
      <c r="P25" s="1203"/>
      <c r="Q25" s="1475"/>
      <c r="R25" s="1203"/>
      <c r="S25" s="1203"/>
      <c r="T25" s="1203"/>
      <c r="U25" s="1203"/>
      <c r="V25" s="1475"/>
      <c r="W25" s="1203"/>
      <c r="X25" s="1203"/>
      <c r="Y25" s="1203"/>
      <c r="Z25" s="1477"/>
      <c r="AA25" s="1478"/>
      <c r="AB25" s="1476"/>
      <c r="AC25" s="1203"/>
      <c r="AD25" s="1203"/>
      <c r="AE25" s="1203"/>
      <c r="AF25" s="1475"/>
      <c r="AG25" s="1203"/>
      <c r="AH25" s="1203"/>
      <c r="AI25" s="1203"/>
      <c r="AJ25" s="1203"/>
      <c r="AK25" s="1478"/>
      <c r="AL25" s="1203"/>
      <c r="AM25" s="1203"/>
      <c r="AN25" s="1203"/>
      <c r="AO25" s="1203"/>
      <c r="AP25" s="1475"/>
      <c r="AQ25" s="1203"/>
      <c r="AR25" s="1203"/>
      <c r="AS25" s="1203"/>
      <c r="AT25" s="1203"/>
      <c r="AU25" s="1475"/>
      <c r="AV25" s="1801"/>
      <c r="AW25" s="1203"/>
      <c r="AX25" s="1203"/>
      <c r="AY25" s="1203"/>
      <c r="AZ25" s="1203"/>
      <c r="BA25" s="1480"/>
      <c r="BB25" s="1481"/>
      <c r="BC25" s="1203"/>
      <c r="BD25" s="1203"/>
      <c r="BE25" s="1203"/>
      <c r="BF25" s="1480"/>
      <c r="BG25" s="1203"/>
      <c r="BH25" s="1203"/>
      <c r="BI25" s="1203"/>
      <c r="BJ25" s="1203"/>
      <c r="BK25" s="1480"/>
      <c r="BL25" s="1203"/>
      <c r="BM25" s="1203"/>
      <c r="BN25" s="1203"/>
      <c r="BO25" s="1203"/>
      <c r="BP25" s="1480"/>
      <c r="BQ25" s="1202">
        <v>15.5</v>
      </c>
      <c r="BR25" s="1202">
        <v>15.700000000000001</v>
      </c>
      <c r="BS25" s="1202">
        <v>16.5</v>
      </c>
      <c r="BT25" s="1202">
        <v>16.599999999999998</v>
      </c>
      <c r="BU25" s="1465">
        <f>SUM(BQ25:BT25)</f>
        <v>64.3</v>
      </c>
      <c r="BV25" s="1268"/>
      <c r="BW25" s="1268"/>
      <c r="BX25" s="1268"/>
      <c r="BY25" s="1268"/>
      <c r="BZ25" s="1465"/>
      <c r="CA25" s="1202">
        <v>16.899999999999999</v>
      </c>
      <c r="CB25" s="1202">
        <v>25</v>
      </c>
      <c r="CC25" s="1202">
        <v>19.899999999999999</v>
      </c>
      <c r="CD25" s="1202">
        <v>19.600000000000001</v>
      </c>
      <c r="CE25" s="1465">
        <f t="shared" si="45"/>
        <v>81.400000000000006</v>
      </c>
      <c r="CF25" s="1202">
        <v>18.600000000000001</v>
      </c>
      <c r="CG25" s="1202">
        <v>20.3</v>
      </c>
      <c r="CH25" s="1202">
        <v>20.399999999999999</v>
      </c>
      <c r="CI25" s="1202">
        <v>20.6</v>
      </c>
      <c r="CJ25" s="1465">
        <f t="shared" ref="CJ25:CJ28" si="47">SUM(CF25:CI25)</f>
        <v>79.900000000000006</v>
      </c>
      <c r="CK25" s="1202">
        <v>20.9</v>
      </c>
      <c r="CL25" s="1202">
        <v>23.9</v>
      </c>
      <c r="CM25" s="1202">
        <v>21.3</v>
      </c>
      <c r="CN25" s="1202">
        <v>19.7</v>
      </c>
      <c r="CO25" s="1465">
        <f t="shared" ref="CO25:CO28" si="48">SUM(CK25:CN25)</f>
        <v>85.8</v>
      </c>
      <c r="CP25" s="1202">
        <v>16.399999999999999</v>
      </c>
      <c r="CQ25" s="1202">
        <v>24.352295999999999</v>
      </c>
      <c r="CR25" s="1202">
        <v>21.702132000000002</v>
      </c>
      <c r="CS25" s="1202">
        <v>20.071458</v>
      </c>
      <c r="CT25" s="1465">
        <f t="shared" ref="CT25:CT28" si="49">SUM(CP25:CS25)</f>
        <v>82.525886000000014</v>
      </c>
      <c r="CU25" s="1202">
        <v>17.295068789966308</v>
      </c>
      <c r="CV25" s="1202">
        <v>23.772858191299147</v>
      </c>
      <c r="CW25" s="1202">
        <v>22.074796891920631</v>
      </c>
      <c r="CX25" s="1202">
        <v>20.848419286813936</v>
      </c>
      <c r="CY25" s="1465">
        <f t="shared" ref="CY25:CY28" si="50">SUM(CU25:CX25)</f>
        <v>83.991143160000021</v>
      </c>
      <c r="CZ25" s="1202">
        <v>17.797637641385254</v>
      </c>
      <c r="DA25" s="1202">
        <v>24.19483047192513</v>
      </c>
      <c r="DB25" s="1202">
        <v>22.466628295359044</v>
      </c>
      <c r="DC25" s="1202">
        <v>21.218482278950212</v>
      </c>
      <c r="DD25" s="1465">
        <f t="shared" ref="DD25:DD28" si="51">SUM(CZ25:DC25)</f>
        <v>85.677578687619643</v>
      </c>
      <c r="DE25" s="1202">
        <v>18.058576536</v>
      </c>
      <c r="DF25" s="1202">
        <v>24.822334293119997</v>
      </c>
      <c r="DG25" s="1202">
        <v>23.049310415039997</v>
      </c>
      <c r="DH25" s="1202">
        <v>21.768793169760002</v>
      </c>
      <c r="DI25" s="1465">
        <f t="shared" ref="DI25:DI28" si="52">SUM(DE25:DH25)</f>
        <v>87.699014413919997</v>
      </c>
      <c r="DJ25" s="1202">
        <v>18.419748066719997</v>
      </c>
      <c r="DK25" s="1202">
        <v>25.318780978982396</v>
      </c>
      <c r="DL25" s="1202">
        <v>23.5102966233408</v>
      </c>
      <c r="DM25" s="1202">
        <v>22.2041690331552</v>
      </c>
      <c r="DN25" s="1465">
        <f t="shared" ref="DN25:DN28" si="53">SUM(DJ25:DM25)</f>
        <v>89.452994702198382</v>
      </c>
      <c r="DO25" s="1202">
        <v>18.788143028054396</v>
      </c>
      <c r="DP25" s="1202">
        <v>25.825156598562042</v>
      </c>
      <c r="DQ25" s="1202">
        <v>23.980502555807615</v>
      </c>
      <c r="DR25" s="1202">
        <v>22.648252413818302</v>
      </c>
      <c r="DS25" s="1465">
        <f t="shared" ref="DS25:DS28" si="54">SUM(DO25:DR25)</f>
        <v>91.242054596242355</v>
      </c>
      <c r="DT25" s="1202">
        <v>19.376838176266766</v>
      </c>
      <c r="DU25" s="1202">
        <v>26.34165973053328</v>
      </c>
      <c r="DV25" s="1202">
        <v>24.460112606923769</v>
      </c>
      <c r="DW25" s="1202">
        <v>23.101217462094667</v>
      </c>
      <c r="DX25" s="1465">
        <f t="shared" ref="DX25:DX28" si="55">SUM(DT25:DW25)</f>
        <v>93.279827975818478</v>
      </c>
      <c r="DY25" s="1202">
        <v>19.547184006387791</v>
      </c>
      <c r="DZ25" s="1202">
        <v>26.868492925143947</v>
      </c>
      <c r="EA25" s="1202">
        <v>24.949314859062245</v>
      </c>
      <c r="EB25" s="1202">
        <v>23.563241811336557</v>
      </c>
      <c r="EC25" s="1465">
        <f t="shared" ref="EC25:EC28" si="56">SUM(DY25:EB25)</f>
        <v>94.928233601930529</v>
      </c>
      <c r="ED25" s="1460"/>
      <c r="EE25" s="1494"/>
      <c r="EF25" s="1495"/>
      <c r="EG25" s="1495"/>
      <c r="EH25" s="1495"/>
      <c r="EI25" s="1495"/>
      <c r="EJ25" s="1496"/>
      <c r="EK25" s="1495"/>
      <c r="EL25" s="1495"/>
      <c r="EM25" s="1495"/>
      <c r="EN25" s="1495"/>
      <c r="EO25" s="1495"/>
      <c r="EP25" s="1495"/>
      <c r="EQ25" s="1495"/>
      <c r="ER25" s="1497"/>
      <c r="ES25" s="1460"/>
      <c r="ET25" s="1460"/>
      <c r="EU25" s="1460"/>
      <c r="EX25" s="1469" t="s">
        <v>649</v>
      </c>
      <c r="EY25" s="1482"/>
      <c r="EZ25" s="1498"/>
      <c r="FA25" s="1499"/>
      <c r="FB25" s="1482">
        <f t="shared" si="24"/>
        <v>20.9</v>
      </c>
      <c r="FC25" s="1474"/>
      <c r="FD25" s="1460"/>
      <c r="FE25"/>
      <c r="FF25"/>
      <c r="FG25"/>
      <c r="FH25"/>
      <c r="FI25"/>
      <c r="FJ25"/>
    </row>
    <row r="26" spans="1:166" s="1064" customFormat="1" ht="12.75" hidden="1" customHeight="1" outlineLevel="1" x14ac:dyDescent="0.35">
      <c r="A26" s="1465" t="s">
        <v>650</v>
      </c>
      <c r="B26" s="1475"/>
      <c r="C26" s="1492"/>
      <c r="D26" s="1493"/>
      <c r="E26" s="1493"/>
      <c r="F26" s="1477"/>
      <c r="G26" s="1475"/>
      <c r="H26" s="1476"/>
      <c r="I26" s="1203"/>
      <c r="J26" s="1203"/>
      <c r="K26" s="1203"/>
      <c r="L26" s="1475"/>
      <c r="M26" s="1203"/>
      <c r="N26" s="1203"/>
      <c r="O26" s="1203"/>
      <c r="P26" s="1203"/>
      <c r="Q26" s="1475"/>
      <c r="R26" s="1203"/>
      <c r="S26" s="1203"/>
      <c r="T26" s="1203"/>
      <c r="U26" s="1203"/>
      <c r="V26" s="1475"/>
      <c r="W26" s="1203"/>
      <c r="X26" s="1203"/>
      <c r="Y26" s="1203"/>
      <c r="Z26" s="1477"/>
      <c r="AA26" s="1478"/>
      <c r="AB26" s="1476"/>
      <c r="AC26" s="1203"/>
      <c r="AD26" s="1203"/>
      <c r="AE26" s="1203"/>
      <c r="AF26" s="1475"/>
      <c r="AG26" s="1203"/>
      <c r="AH26" s="1203"/>
      <c r="AI26" s="1203"/>
      <c r="AJ26" s="1203"/>
      <c r="AK26" s="1478"/>
      <c r="AL26" s="1203"/>
      <c r="AM26" s="1203"/>
      <c r="AN26" s="1203"/>
      <c r="AO26" s="1203"/>
      <c r="AP26" s="1475"/>
      <c r="AQ26" s="1203"/>
      <c r="AR26" s="1203"/>
      <c r="AS26" s="1203"/>
      <c r="AT26" s="1203"/>
      <c r="AU26" s="1475"/>
      <c r="AV26" s="1801"/>
      <c r="AW26" s="1203"/>
      <c r="AX26" s="1203"/>
      <c r="AY26" s="1203"/>
      <c r="AZ26" s="1203"/>
      <c r="BA26" s="1480"/>
      <c r="BB26" s="1481"/>
      <c r="BC26" s="1203"/>
      <c r="BD26" s="1203"/>
      <c r="BE26" s="1203"/>
      <c r="BF26" s="1480"/>
      <c r="BG26" s="1203"/>
      <c r="BH26" s="1203"/>
      <c r="BI26" s="1203"/>
      <c r="BJ26" s="1203"/>
      <c r="BK26" s="1480"/>
      <c r="BL26" s="1203"/>
      <c r="BM26" s="1203"/>
      <c r="BN26" s="1203"/>
      <c r="BO26" s="1203"/>
      <c r="BP26" s="1480"/>
      <c r="BQ26" s="1202">
        <f t="shared" ref="BQ26:BS26" si="57">BQ28-BQ25</f>
        <v>0</v>
      </c>
      <c r="BR26" s="1202">
        <f t="shared" si="57"/>
        <v>0</v>
      </c>
      <c r="BS26" s="1202">
        <f t="shared" si="57"/>
        <v>0</v>
      </c>
      <c r="BT26" s="1202">
        <f>BT28-BT25</f>
        <v>11.600000000000005</v>
      </c>
      <c r="BU26" s="1465">
        <f t="shared" ref="BU26" si="58">SUM(BQ26:BT26)</f>
        <v>11.600000000000005</v>
      </c>
      <c r="BV26" s="1268"/>
      <c r="BW26" s="1268"/>
      <c r="BX26" s="1268"/>
      <c r="BY26" s="1268"/>
      <c r="BZ26" s="1465"/>
      <c r="CA26" s="1202">
        <v>416.3</v>
      </c>
      <c r="CB26" s="1202">
        <v>449.8</v>
      </c>
      <c r="CC26" s="1202">
        <v>426.7</v>
      </c>
      <c r="CD26" s="1202">
        <v>435.3</v>
      </c>
      <c r="CE26" s="1465">
        <f t="shared" si="45"/>
        <v>1728.1</v>
      </c>
      <c r="CF26" s="1202">
        <v>369.6</v>
      </c>
      <c r="CG26" s="1202">
        <v>415.5</v>
      </c>
      <c r="CH26" s="1202">
        <v>434.6</v>
      </c>
      <c r="CI26" s="1202">
        <v>421</v>
      </c>
      <c r="CJ26" s="1465">
        <f t="shared" si="47"/>
        <v>1640.7</v>
      </c>
      <c r="CK26" s="1202">
        <v>402.5</v>
      </c>
      <c r="CL26" s="1202">
        <v>417.1</v>
      </c>
      <c r="CM26" s="1202">
        <v>454.2</v>
      </c>
      <c r="CN26" s="1202">
        <v>433.8</v>
      </c>
      <c r="CO26" s="1465">
        <f t="shared" si="48"/>
        <v>1707.6</v>
      </c>
      <c r="CP26" s="1202">
        <v>395.9</v>
      </c>
      <c r="CQ26" s="1202">
        <v>444.20648155982008</v>
      </c>
      <c r="CR26" s="1202">
        <v>459.25043866593364</v>
      </c>
      <c r="CS26" s="1202">
        <v>447.43382897543989</v>
      </c>
      <c r="CT26" s="1465">
        <f t="shared" si="49"/>
        <v>1746.7907492011934</v>
      </c>
      <c r="CU26" s="1202">
        <v>410.3174831793869</v>
      </c>
      <c r="CV26" s="1202">
        <v>463.59209208503768</v>
      </c>
      <c r="CW26" s="1202">
        <v>478.50762774599463</v>
      </c>
      <c r="CX26" s="1202">
        <v>470.5638252409841</v>
      </c>
      <c r="CY26" s="1465">
        <f t="shared" si="50"/>
        <v>1822.9810282514031</v>
      </c>
      <c r="CZ26" s="1202">
        <v>438.4142597170927</v>
      </c>
      <c r="DA26" s="1202">
        <v>491.33762754076599</v>
      </c>
      <c r="DB26" s="1202">
        <v>508.38028366054982</v>
      </c>
      <c r="DC26" s="1202">
        <v>501.81576282500737</v>
      </c>
      <c r="DD26" s="1465">
        <f t="shared" si="51"/>
        <v>1939.9479337434159</v>
      </c>
      <c r="DE26" s="1202">
        <v>486.15787487091899</v>
      </c>
      <c r="DF26" s="1202">
        <v>518.60196557558982</v>
      </c>
      <c r="DG26" s="1202">
        <v>558.26639129761122</v>
      </c>
      <c r="DH26" s="1202">
        <v>551.67114149571444</v>
      </c>
      <c r="DI26" s="1465">
        <f t="shared" si="52"/>
        <v>2114.6973732398346</v>
      </c>
      <c r="DJ26" s="1202">
        <v>501.26486051740443</v>
      </c>
      <c r="DK26" s="1202">
        <v>535.88761058098771</v>
      </c>
      <c r="DL26" s="1202">
        <v>577.80380309555267</v>
      </c>
      <c r="DM26" s="1202">
        <v>571.30491288526719</v>
      </c>
      <c r="DN26" s="1465">
        <f t="shared" si="53"/>
        <v>2186.261187079212</v>
      </c>
      <c r="DO26" s="1202">
        <v>532.20278019744137</v>
      </c>
      <c r="DP26" s="1202">
        <v>568.85752883752502</v>
      </c>
      <c r="DQ26" s="1202">
        <v>613.18982221190367</v>
      </c>
      <c r="DR26" s="1202">
        <v>606.04834190060797</v>
      </c>
      <c r="DS26" s="1465">
        <f t="shared" si="54"/>
        <v>2320.298473147478</v>
      </c>
      <c r="DT26" s="1202">
        <v>638.36049634458027</v>
      </c>
      <c r="DU26" s="1202">
        <v>672.88796913039823</v>
      </c>
      <c r="DV26" s="1202">
        <v>724.48142677525345</v>
      </c>
      <c r="DW26" s="1202">
        <v>713.46818631858218</v>
      </c>
      <c r="DX26" s="1465">
        <f t="shared" si="55"/>
        <v>2749.1980785688138</v>
      </c>
      <c r="DY26" s="1202">
        <v>669.12503391403266</v>
      </c>
      <c r="DZ26" s="1202">
        <v>713.06364113486177</v>
      </c>
      <c r="EA26" s="1202">
        <v>767.56776685897967</v>
      </c>
      <c r="EB26" s="1202">
        <v>755.63677550557634</v>
      </c>
      <c r="EC26" s="1465">
        <f t="shared" si="56"/>
        <v>2905.3932174134502</v>
      </c>
      <c r="ED26" s="1460"/>
      <c r="EE26" s="1494"/>
      <c r="EF26" s="1495"/>
      <c r="EG26" s="1495"/>
      <c r="EH26" s="1495"/>
      <c r="EI26" s="1495"/>
      <c r="EJ26" s="1496"/>
      <c r="EK26" s="1495"/>
      <c r="EL26" s="1495"/>
      <c r="EM26" s="1495"/>
      <c r="EN26" s="1495"/>
      <c r="EO26" s="1495"/>
      <c r="EP26" s="1495"/>
      <c r="EQ26" s="1495"/>
      <c r="ER26" s="1497"/>
      <c r="ES26" s="1460"/>
      <c r="ET26" s="1460"/>
      <c r="EU26" s="1460"/>
      <c r="EX26" s="1469" t="s">
        <v>650</v>
      </c>
      <c r="EY26" s="1482"/>
      <c r="EZ26" s="1498"/>
      <c r="FA26" s="1499"/>
      <c r="FB26" s="1482">
        <f t="shared" si="24"/>
        <v>402.5</v>
      </c>
      <c r="FC26" s="1474"/>
      <c r="FD26" s="1460"/>
      <c r="FE26"/>
      <c r="FF26"/>
      <c r="FG26"/>
      <c r="FH26"/>
      <c r="FI26"/>
      <c r="FJ26"/>
    </row>
    <row r="27" spans="1:166" s="1064" customFormat="1" ht="12.75" hidden="1" customHeight="1" outlineLevel="1" x14ac:dyDescent="0.35">
      <c r="A27" s="1465" t="s">
        <v>800</v>
      </c>
      <c r="B27" s="1475"/>
      <c r="C27" s="1492"/>
      <c r="D27" s="1493"/>
      <c r="E27" s="1493"/>
      <c r="F27" s="1477"/>
      <c r="G27" s="1475"/>
      <c r="H27" s="1476"/>
      <c r="I27" s="1203"/>
      <c r="J27" s="1203"/>
      <c r="K27" s="1203"/>
      <c r="L27" s="1475"/>
      <c r="M27" s="1203"/>
      <c r="N27" s="1203"/>
      <c r="O27" s="1203"/>
      <c r="P27" s="1203"/>
      <c r="Q27" s="1475"/>
      <c r="R27" s="1203"/>
      <c r="S27" s="1203"/>
      <c r="T27" s="1203"/>
      <c r="U27" s="1203"/>
      <c r="V27" s="1475"/>
      <c r="W27" s="1203"/>
      <c r="X27" s="1203"/>
      <c r="Y27" s="1203"/>
      <c r="Z27" s="1477"/>
      <c r="AA27" s="1478"/>
      <c r="AB27" s="1476"/>
      <c r="AC27" s="1203"/>
      <c r="AD27" s="1203"/>
      <c r="AE27" s="1203"/>
      <c r="AF27" s="1475"/>
      <c r="AG27" s="1203"/>
      <c r="AH27" s="1203"/>
      <c r="AI27" s="1203"/>
      <c r="AJ27" s="1203"/>
      <c r="AK27" s="1478"/>
      <c r="AL27" s="1203"/>
      <c r="AM27" s="1203"/>
      <c r="AN27" s="1203"/>
      <c r="AO27" s="1203"/>
      <c r="AP27" s="1475"/>
      <c r="AQ27" s="1203"/>
      <c r="AR27" s="1203"/>
      <c r="AS27" s="1203"/>
      <c r="AT27" s="1203"/>
      <c r="AU27" s="1475"/>
      <c r="AV27" s="1801"/>
      <c r="AW27" s="1203"/>
      <c r="AX27" s="1203"/>
      <c r="AY27" s="1203"/>
      <c r="AZ27" s="1203"/>
      <c r="BA27" s="1480"/>
      <c r="BB27" s="1481"/>
      <c r="BC27" s="1203"/>
      <c r="BD27" s="1203"/>
      <c r="BE27" s="1203"/>
      <c r="BF27" s="1480"/>
      <c r="BG27" s="1203"/>
      <c r="BH27" s="1203"/>
      <c r="BI27" s="1203"/>
      <c r="BJ27" s="1203"/>
      <c r="BK27" s="1480"/>
      <c r="BL27" s="1203"/>
      <c r="BM27" s="1203"/>
      <c r="BN27" s="1203"/>
      <c r="BO27" s="1203"/>
      <c r="BP27" s="1480"/>
      <c r="BQ27" s="1202"/>
      <c r="BR27" s="1202"/>
      <c r="BS27" s="1202"/>
      <c r="BT27" s="1202"/>
      <c r="BU27" s="1465"/>
      <c r="BV27" s="1268"/>
      <c r="BW27" s="1268"/>
      <c r="BX27" s="1268"/>
      <c r="BY27" s="1268"/>
      <c r="BZ27" s="1465"/>
      <c r="CA27" s="1202"/>
      <c r="CB27" s="1202"/>
      <c r="CC27" s="1202"/>
      <c r="CD27" s="1202"/>
      <c r="CE27" s="1465"/>
      <c r="CF27" s="1202"/>
      <c r="CG27" s="1202"/>
      <c r="CH27" s="1202"/>
      <c r="CI27" s="1202"/>
      <c r="CJ27" s="1465"/>
      <c r="CK27" s="1202"/>
      <c r="CL27" s="1202">
        <v>19.2</v>
      </c>
      <c r="CM27" s="1202">
        <v>17.8</v>
      </c>
      <c r="CN27" s="1202">
        <v>19.899999999999999</v>
      </c>
      <c r="CO27" s="1465">
        <f t="shared" si="48"/>
        <v>56.9</v>
      </c>
      <c r="CP27" s="1202">
        <v>16.8</v>
      </c>
      <c r="CQ27" s="1202">
        <v>19.951750799999999</v>
      </c>
      <c r="CR27" s="1202">
        <v>18.495502920000003</v>
      </c>
      <c r="CS27" s="1202">
        <v>20.681071200000002</v>
      </c>
      <c r="CT27" s="1465">
        <f t="shared" si="49"/>
        <v>75.928324920000009</v>
      </c>
      <c r="CU27" s="1202">
        <v>17.614102542444858</v>
      </c>
      <c r="CV27" s="1202">
        <v>20.26400877685921</v>
      </c>
      <c r="CW27" s="1202">
        <v>19.999695618900176</v>
      </c>
      <c r="CX27" s="1202">
        <v>19.382964916995768</v>
      </c>
      <c r="CY27" s="1465">
        <f t="shared" si="50"/>
        <v>77.260771855200005</v>
      </c>
      <c r="CZ27" s="1202">
        <v>18.122249552774797</v>
      </c>
      <c r="DA27" s="1202">
        <v>20.619497073036388</v>
      </c>
      <c r="DB27" s="1202">
        <v>20.35054711121418</v>
      </c>
      <c r="DC27" s="1202">
        <v>19.722997200295683</v>
      </c>
      <c r="DD27" s="1465">
        <f t="shared" si="51"/>
        <v>78.815290937321052</v>
      </c>
      <c r="DE27" s="1202">
        <v>18.098750372036037</v>
      </c>
      <c r="DF27" s="1202">
        <v>20.821568144352149</v>
      </c>
      <c r="DG27" s="1202">
        <v>20.549982472904077</v>
      </c>
      <c r="DH27" s="1202">
        <v>19.916282572858581</v>
      </c>
      <c r="DI27" s="1465">
        <f t="shared" si="52"/>
        <v>79.386583562150847</v>
      </c>
      <c r="DJ27" s="1202">
        <v>18.276118125681993</v>
      </c>
      <c r="DK27" s="1202">
        <v>21.025619512166799</v>
      </c>
      <c r="DL27" s="1202">
        <v>20.751372301138538</v>
      </c>
      <c r="DM27" s="1202">
        <v>20.111462142072593</v>
      </c>
      <c r="DN27" s="1465">
        <f t="shared" si="53"/>
        <v>80.164572081059916</v>
      </c>
      <c r="DO27" s="1202">
        <v>18.455224083313674</v>
      </c>
      <c r="DP27" s="1202">
        <v>21.231670583386038</v>
      </c>
      <c r="DQ27" s="1202">
        <v>20.954735749689696</v>
      </c>
      <c r="DR27" s="1202">
        <v>20.308554471064902</v>
      </c>
      <c r="DS27" s="1465">
        <f t="shared" si="54"/>
        <v>80.950184887454313</v>
      </c>
      <c r="DT27" s="1202">
        <v>18.843152893544932</v>
      </c>
      <c r="DU27" s="1202">
        <v>21.439740955103225</v>
      </c>
      <c r="DV27" s="1202">
        <v>21.160092160036655</v>
      </c>
      <c r="DW27" s="1202">
        <v>20.507578304881342</v>
      </c>
      <c r="DX27" s="1465">
        <f t="shared" si="55"/>
        <v>81.950564313566161</v>
      </c>
      <c r="DY27" s="1202">
        <v>18.818718915067596</v>
      </c>
      <c r="DZ27" s="1202">
        <v>21.649850416463245</v>
      </c>
      <c r="EA27" s="1202">
        <v>21.367461063205017</v>
      </c>
      <c r="EB27" s="1202">
        <v>20.708552572269188</v>
      </c>
      <c r="EC27" s="1465">
        <f t="shared" si="56"/>
        <v>82.544582967005041</v>
      </c>
      <c r="ED27" s="1460"/>
      <c r="EE27" s="1494"/>
      <c r="EF27" s="1495"/>
      <c r="EG27" s="1495"/>
      <c r="EH27" s="1495"/>
      <c r="EI27" s="1495"/>
      <c r="EJ27" s="1496"/>
      <c r="EK27" s="1495"/>
      <c r="EL27" s="1495"/>
      <c r="EM27" s="1495"/>
      <c r="EN27" s="1495"/>
      <c r="EO27" s="1495"/>
      <c r="EP27" s="1495"/>
      <c r="EQ27" s="1495"/>
      <c r="ER27" s="1497"/>
      <c r="ES27" s="1460"/>
      <c r="ET27" s="1460"/>
      <c r="EU27" s="1460"/>
      <c r="EX27" s="1469"/>
      <c r="EY27" s="1482"/>
      <c r="EZ27" s="1498"/>
      <c r="FA27" s="1499"/>
      <c r="FB27" s="1482"/>
      <c r="FC27" s="1474"/>
      <c r="FD27" s="1460"/>
      <c r="FE27"/>
      <c r="FF27"/>
      <c r="FG27"/>
      <c r="FH27"/>
      <c r="FI27"/>
      <c r="FJ27"/>
    </row>
    <row r="28" spans="1:166" s="1064" customFormat="1" ht="12.75" hidden="1" customHeight="1" outlineLevel="1" collapsed="1" x14ac:dyDescent="0.2">
      <c r="A28" s="1465" t="s">
        <v>645</v>
      </c>
      <c r="B28" s="1465">
        <f>SUM(B22:B24)</f>
        <v>894</v>
      </c>
      <c r="C28" s="1470"/>
      <c r="D28" s="1202"/>
      <c r="E28" s="1202"/>
      <c r="F28" s="1471"/>
      <c r="G28" s="1465">
        <f t="shared" ref="G28:V28" si="59">SUM(G22:G24)</f>
        <v>987</v>
      </c>
      <c r="H28" s="1470">
        <f t="shared" si="59"/>
        <v>0</v>
      </c>
      <c r="I28" s="1202">
        <f t="shared" si="59"/>
        <v>0</v>
      </c>
      <c r="J28" s="1202">
        <f t="shared" si="59"/>
        <v>0</v>
      </c>
      <c r="K28" s="1202">
        <f t="shared" si="59"/>
        <v>0</v>
      </c>
      <c r="L28" s="1465">
        <f t="shared" si="59"/>
        <v>1022</v>
      </c>
      <c r="M28" s="1202">
        <f t="shared" si="59"/>
        <v>0</v>
      </c>
      <c r="N28" s="1202">
        <f t="shared" si="59"/>
        <v>0</v>
      </c>
      <c r="O28" s="1202">
        <f t="shared" si="59"/>
        <v>0</v>
      </c>
      <c r="P28" s="1202">
        <f t="shared" si="59"/>
        <v>0</v>
      </c>
      <c r="Q28" s="1465">
        <f t="shared" si="59"/>
        <v>1087</v>
      </c>
      <c r="R28" s="1202">
        <f t="shared" si="59"/>
        <v>298</v>
      </c>
      <c r="S28" s="1202">
        <f t="shared" si="59"/>
        <v>292</v>
      </c>
      <c r="T28" s="1202">
        <f t="shared" si="59"/>
        <v>296</v>
      </c>
      <c r="U28" s="1202">
        <f t="shared" si="59"/>
        <v>306</v>
      </c>
      <c r="V28" s="1465">
        <f t="shared" si="59"/>
        <v>1195</v>
      </c>
      <c r="W28" s="1202">
        <f t="shared" ref="W28:AE28" si="60">SUM(W22:W24)</f>
        <v>319</v>
      </c>
      <c r="X28" s="1202">
        <f t="shared" si="60"/>
        <v>321</v>
      </c>
      <c r="Y28" s="1202">
        <f t="shared" si="60"/>
        <v>321</v>
      </c>
      <c r="Z28" s="1471">
        <f t="shared" si="60"/>
        <v>335</v>
      </c>
      <c r="AA28" s="1462">
        <f t="shared" si="60"/>
        <v>1296</v>
      </c>
      <c r="AB28" s="1470">
        <f t="shared" si="60"/>
        <v>343</v>
      </c>
      <c r="AC28" s="1202">
        <f t="shared" si="60"/>
        <v>351</v>
      </c>
      <c r="AD28" s="1202">
        <f t="shared" si="60"/>
        <v>346</v>
      </c>
      <c r="AE28" s="1202">
        <f t="shared" si="60"/>
        <v>369</v>
      </c>
      <c r="AF28" s="1465">
        <f t="shared" ref="AF28:AF38" si="61">SUM(AB28:AE28)</f>
        <v>1409</v>
      </c>
      <c r="AG28" s="1470">
        <f>SUM(AG22:AG24)</f>
        <v>373</v>
      </c>
      <c r="AH28" s="1202">
        <f>SUM(AH22:AH24)</f>
        <v>378</v>
      </c>
      <c r="AI28" s="1202">
        <f>SUM(AI22:AI24)</f>
        <v>378</v>
      </c>
      <c r="AJ28" s="1202">
        <f>SUM(AJ22:AJ24)</f>
        <v>409</v>
      </c>
      <c r="AK28" s="1465">
        <f>SUM(AG28:AJ28)</f>
        <v>1538</v>
      </c>
      <c r="AL28" s="1202">
        <f>SUM(AL22:AL24)</f>
        <v>435</v>
      </c>
      <c r="AM28" s="1202">
        <f>SUM(AM22:AM24)</f>
        <v>408</v>
      </c>
      <c r="AN28" s="1202">
        <f>SUM(AN22:AN24)</f>
        <v>397</v>
      </c>
      <c r="AO28" s="1202">
        <f>SUM(AO22:AO24)</f>
        <v>403.7000000000001</v>
      </c>
      <c r="AP28" s="1465">
        <f t="shared" si="41"/>
        <v>1643.7</v>
      </c>
      <c r="AQ28" s="1202">
        <f t="shared" ref="AQ28:BA28" si="62">SUM(AQ22:AQ24)</f>
        <v>408.3</v>
      </c>
      <c r="AR28" s="1202">
        <f t="shared" si="62"/>
        <v>411.29999999999995</v>
      </c>
      <c r="AS28" s="1202">
        <f>SUM(AS22:AS24)</f>
        <v>389.5</v>
      </c>
      <c r="AT28" s="1202">
        <f>SUM(AT22:AT24)</f>
        <v>405.7</v>
      </c>
      <c r="AU28" s="1465">
        <f t="shared" si="43"/>
        <v>1614.8</v>
      </c>
      <c r="AV28" s="1801"/>
      <c r="AW28" s="1202">
        <f t="shared" si="62"/>
        <v>389.5</v>
      </c>
      <c r="AX28" s="1202">
        <f t="shared" si="62"/>
        <v>405.7</v>
      </c>
      <c r="AY28" s="1202">
        <f t="shared" si="62"/>
        <v>371.30000000000007</v>
      </c>
      <c r="AZ28" s="1202">
        <f t="shared" si="62"/>
        <v>366</v>
      </c>
      <c r="BA28" s="1427">
        <f t="shared" si="62"/>
        <v>1532.5</v>
      </c>
      <c r="BB28" s="1461">
        <f>SUM(BB22:BB24)</f>
        <v>356.7</v>
      </c>
      <c r="BC28" s="1202">
        <f>SUM(BC22:BC24)</f>
        <v>369.20000000000005</v>
      </c>
      <c r="BD28" s="1202">
        <f>SUM(BD22:BD24)</f>
        <v>370.2</v>
      </c>
      <c r="BE28" s="1202">
        <f>SUM(BE22:BE24)</f>
        <v>351.3</v>
      </c>
      <c r="BF28" s="1427">
        <f t="shared" ref="BF28:BF38" si="63">SUM(BB28:BE28)</f>
        <v>1447.4</v>
      </c>
      <c r="BG28" s="1202">
        <f>SUM(BG22:BG24)</f>
        <v>354</v>
      </c>
      <c r="BH28" s="1202">
        <f>SUM(BH22:BH24)</f>
        <v>305.7</v>
      </c>
      <c r="BI28" s="1202">
        <f>SUM(BI22:BI24)</f>
        <v>216.3</v>
      </c>
      <c r="BJ28" s="1202">
        <f>SUM(BJ22:BJ24)</f>
        <v>161.19999999999999</v>
      </c>
      <c r="BK28" s="1427">
        <f t="shared" ref="BK28:BK38" si="64">SUM(BG28:BJ28)</f>
        <v>1037.2</v>
      </c>
      <c r="BL28" s="1202">
        <f>SUM(BL22:BL24)</f>
        <v>108.1</v>
      </c>
      <c r="BM28" s="1202">
        <f>SUM(BM22:BM24)</f>
        <v>46.6</v>
      </c>
      <c r="BN28" s="1202">
        <f>SUM(BN22:BN24)</f>
        <v>22.9</v>
      </c>
      <c r="BO28" s="1202">
        <f>SUM(BO22:BO24)</f>
        <v>17.700000000000003</v>
      </c>
      <c r="BP28" s="1427">
        <f t="shared" ref="BP28:BP38" si="65">SUM(BL28:BO28)</f>
        <v>195.3</v>
      </c>
      <c r="BQ28" s="1202">
        <v>15.5</v>
      </c>
      <c r="BR28" s="1202">
        <v>15.7</v>
      </c>
      <c r="BS28" s="1202">
        <v>16.5</v>
      </c>
      <c r="BT28" s="1202">
        <f>BU28-SUM(BQ28:BS28)</f>
        <v>28.200000000000003</v>
      </c>
      <c r="BU28" s="1427">
        <f>SUM(BU22:BU24)</f>
        <v>75.900000000000006</v>
      </c>
      <c r="BV28" s="1268"/>
      <c r="BW28" s="1268"/>
      <c r="BX28" s="1268"/>
      <c r="BY28" s="1268"/>
      <c r="BZ28" s="1427"/>
      <c r="CA28" s="1202">
        <f t="shared" ref="CA28" si="66">CA25+CA26</f>
        <v>433.2</v>
      </c>
      <c r="CB28" s="1202">
        <f t="shared" ref="CB28:CD28" si="67">CB25+CB26</f>
        <v>474.8</v>
      </c>
      <c r="CC28" s="1202">
        <f t="shared" si="67"/>
        <v>446.59999999999997</v>
      </c>
      <c r="CD28" s="1202">
        <f t="shared" si="67"/>
        <v>454.90000000000003</v>
      </c>
      <c r="CE28" s="1427">
        <f t="shared" si="45"/>
        <v>1809.5</v>
      </c>
      <c r="CF28" s="1202">
        <f t="shared" ref="CF28:CI28" si="68">CF25+CF26</f>
        <v>388.20000000000005</v>
      </c>
      <c r="CG28" s="1202">
        <f t="shared" si="68"/>
        <v>435.8</v>
      </c>
      <c r="CH28" s="1202">
        <f t="shared" si="68"/>
        <v>455</v>
      </c>
      <c r="CI28" s="1202">
        <f t="shared" si="68"/>
        <v>441.6</v>
      </c>
      <c r="CJ28" s="1427">
        <f t="shared" si="47"/>
        <v>1720.6</v>
      </c>
      <c r="CK28" s="1202">
        <f t="shared" ref="CK28" si="69">CK25+CK26</f>
        <v>423.4</v>
      </c>
      <c r="CL28" s="1202">
        <f>CL25+CL26+CL27</f>
        <v>460.2</v>
      </c>
      <c r="CM28" s="1202">
        <f t="shared" ref="CM28:CN28" si="70">CM25+CM26+CM27</f>
        <v>493.3</v>
      </c>
      <c r="CN28" s="1202">
        <f t="shared" si="70"/>
        <v>473.4</v>
      </c>
      <c r="CO28" s="1427">
        <f t="shared" si="48"/>
        <v>1850.2999999999997</v>
      </c>
      <c r="CP28" s="1202">
        <f>CP25+CP26+CP27</f>
        <v>429.09999999999997</v>
      </c>
      <c r="CQ28" s="1202">
        <f t="shared" ref="CQ28" si="71">CQ25+CQ26+CQ27</f>
        <v>488.51052835982011</v>
      </c>
      <c r="CR28" s="1202">
        <f t="shared" ref="CR28" si="72">CR25+CR26+CR27</f>
        <v>499.44807358593363</v>
      </c>
      <c r="CS28" s="1202">
        <f t="shared" ref="CS28" si="73">CS25+CS26+CS27</f>
        <v>488.18635817543992</v>
      </c>
      <c r="CT28" s="1427">
        <f t="shared" si="49"/>
        <v>1905.2449601211936</v>
      </c>
      <c r="CU28" s="1202">
        <f t="shared" ref="CU28" si="74">CU25+CU26+CU27</f>
        <v>445.22665451179807</v>
      </c>
      <c r="CV28" s="1202">
        <f t="shared" ref="CV28" si="75">CV25+CV26+CV27</f>
        <v>507.62895905319601</v>
      </c>
      <c r="CW28" s="1202">
        <f t="shared" ref="CW28" si="76">CW25+CW26+CW27</f>
        <v>520.58212025681541</v>
      </c>
      <c r="CX28" s="1202">
        <f t="shared" ref="CX28" si="77">CX25+CX26+CX27</f>
        <v>510.79520944479384</v>
      </c>
      <c r="CY28" s="1427">
        <f t="shared" si="50"/>
        <v>1984.2329432666033</v>
      </c>
      <c r="CZ28" s="1202">
        <f t="shared" ref="CZ28" si="78">CZ25+CZ26+CZ27</f>
        <v>474.33414691125279</v>
      </c>
      <c r="DA28" s="1202">
        <f t="shared" ref="DA28" si="79">DA25+DA26+DA27</f>
        <v>536.15195508572754</v>
      </c>
      <c r="DB28" s="1202">
        <f t="shared" ref="DB28" si="80">DB25+DB26+DB27</f>
        <v>551.19745906712296</v>
      </c>
      <c r="DC28" s="1202">
        <f t="shared" ref="DC28" si="81">DC25+DC26+DC27</f>
        <v>542.75724230425328</v>
      </c>
      <c r="DD28" s="1427">
        <f t="shared" si="51"/>
        <v>2104.4408033683567</v>
      </c>
      <c r="DE28" s="1202">
        <f t="shared" ref="DE28" si="82">DE25+DE26+DE27</f>
        <v>522.31520177895504</v>
      </c>
      <c r="DF28" s="1202">
        <f t="shared" ref="DF28" si="83">DF25+DF26+DF27</f>
        <v>564.24586801306191</v>
      </c>
      <c r="DG28" s="1202">
        <f t="shared" ref="DG28" si="84">DG25+DG26+DG27</f>
        <v>601.86568418555521</v>
      </c>
      <c r="DH28" s="1202">
        <f t="shared" ref="DH28" si="85">DH25+DH26+DH27</f>
        <v>593.35621723833299</v>
      </c>
      <c r="DI28" s="1427">
        <f t="shared" si="52"/>
        <v>2281.782971215905</v>
      </c>
      <c r="DJ28" s="1202">
        <f t="shared" ref="DJ28" si="86">DJ25+DJ26+DJ27</f>
        <v>537.96072670980652</v>
      </c>
      <c r="DK28" s="1202">
        <f t="shared" ref="DK28" si="87">DK25+DK26+DK27</f>
        <v>582.23201107213697</v>
      </c>
      <c r="DL28" s="1202">
        <f t="shared" ref="DL28" si="88">DL25+DL26+DL27</f>
        <v>622.06547202003196</v>
      </c>
      <c r="DM28" s="1202">
        <f t="shared" ref="DM28" si="89">DM25+DM26+DM27</f>
        <v>613.62054406049492</v>
      </c>
      <c r="DN28" s="1427">
        <f t="shared" si="53"/>
        <v>2355.8787538624701</v>
      </c>
      <c r="DO28" s="1202">
        <f t="shared" ref="DO28" si="90">DO25+DO26+DO27</f>
        <v>569.44614730880937</v>
      </c>
      <c r="DP28" s="1202">
        <f t="shared" ref="DP28" si="91">DP25+DP26+DP27</f>
        <v>615.91435601947308</v>
      </c>
      <c r="DQ28" s="1202">
        <f t="shared" ref="DQ28" si="92">DQ25+DQ26+DQ27</f>
        <v>658.12506051740093</v>
      </c>
      <c r="DR28" s="1202">
        <f t="shared" ref="DR28" si="93">DR25+DR26+DR27</f>
        <v>649.0051487854912</v>
      </c>
      <c r="DS28" s="1427">
        <f t="shared" si="54"/>
        <v>2492.4907126311746</v>
      </c>
      <c r="DT28" s="1202">
        <f t="shared" ref="DT28" si="94">DT25+DT26+DT27</f>
        <v>676.580487414392</v>
      </c>
      <c r="DU28" s="1202">
        <f t="shared" ref="DU28" si="95">DU25+DU26+DU27</f>
        <v>720.66936981603476</v>
      </c>
      <c r="DV28" s="1202">
        <f t="shared" ref="DV28" si="96">DV25+DV26+DV27</f>
        <v>770.10163154221391</v>
      </c>
      <c r="DW28" s="1202">
        <f t="shared" ref="DW28" si="97">DW25+DW26+DW27</f>
        <v>757.07698208555814</v>
      </c>
      <c r="DX28" s="1427">
        <f t="shared" si="55"/>
        <v>2924.4284708581986</v>
      </c>
      <c r="DY28" s="1202">
        <f t="shared" ref="DY28" si="98">DY25+DY26+DY27</f>
        <v>707.49093683548801</v>
      </c>
      <c r="DZ28" s="1202">
        <f t="shared" ref="DZ28" si="99">DZ25+DZ26+DZ27</f>
        <v>761.58198447646896</v>
      </c>
      <c r="EA28" s="1202">
        <f t="shared" ref="EA28" si="100">EA25+EA26+EA27</f>
        <v>813.88454278124698</v>
      </c>
      <c r="EB28" s="1202">
        <f t="shared" ref="EB28" si="101">EB25+EB26+EB27</f>
        <v>799.9085698891821</v>
      </c>
      <c r="EC28" s="1427">
        <f t="shared" si="56"/>
        <v>3082.8660339823864</v>
      </c>
      <c r="ED28" s="1460"/>
      <c r="EE28" s="1470">
        <f>X28+W28+U28+T28</f>
        <v>1242</v>
      </c>
      <c r="EF28" s="1202">
        <f>AC28+AB28+Z28+Y28</f>
        <v>1350</v>
      </c>
      <c r="EG28" s="1202">
        <f>AH28+AG28+AE28+AD28</f>
        <v>1466</v>
      </c>
      <c r="EH28" s="1202">
        <f>AM28+AL28+AJ28+AI28</f>
        <v>1630</v>
      </c>
      <c r="EI28" s="1202">
        <f>AR28+AQ28+AO28+AN28</f>
        <v>1620.3</v>
      </c>
      <c r="EJ28" s="1202">
        <f>AZ28+AY28+AX28+AW28</f>
        <v>1532.5</v>
      </c>
      <c r="EK28" s="1202">
        <f>BF28</f>
        <v>1447.4</v>
      </c>
      <c r="EL28" s="1202">
        <f>BK28</f>
        <v>1037.2</v>
      </c>
      <c r="EM28" s="1202">
        <f>BP28</f>
        <v>195.3</v>
      </c>
      <c r="EN28" s="1202">
        <f t="shared" ref="EN28:EN36" si="102">BU28</f>
        <v>75.900000000000006</v>
      </c>
      <c r="EO28" s="1202">
        <f t="shared" si="4"/>
        <v>1809.5</v>
      </c>
      <c r="EP28" s="1202">
        <f>CJ28</f>
        <v>1720.6</v>
      </c>
      <c r="EQ28" s="1202">
        <f>CO28</f>
        <v>1850.2999999999997</v>
      </c>
      <c r="ER28" s="1471">
        <f>CT28</f>
        <v>1905.2449601211936</v>
      </c>
      <c r="ES28" s="1460"/>
      <c r="ET28" s="1460"/>
      <c r="EU28" s="1460"/>
      <c r="EX28" s="1469" t="s">
        <v>645</v>
      </c>
      <c r="EY28" s="1473">
        <f t="shared" ref="EY28:EY49" si="103">CP28</f>
        <v>429.09999999999997</v>
      </c>
      <c r="EZ28" s="1491">
        <v>468.80429980855013</v>
      </c>
      <c r="FA28" s="1473">
        <f t="shared" si="46"/>
        <v>-39.704299808550161</v>
      </c>
      <c r="FB28" s="1473">
        <f>CK28</f>
        <v>423.4</v>
      </c>
      <c r="FC28" s="1474"/>
      <c r="FD28" s="1460"/>
      <c r="FE28"/>
      <c r="FF28"/>
      <c r="FG28"/>
      <c r="FH28"/>
      <c r="FI28"/>
      <c r="FJ28"/>
    </row>
    <row r="29" spans="1:166" s="1064" customFormat="1" ht="12.75" hidden="1" customHeight="1" outlineLevel="1" x14ac:dyDescent="0.2">
      <c r="A29" s="1465" t="s">
        <v>644</v>
      </c>
      <c r="B29" s="1465"/>
      <c r="C29" s="1470"/>
      <c r="D29" s="1202"/>
      <c r="E29" s="1202"/>
      <c r="F29" s="1471"/>
      <c r="G29" s="1465"/>
      <c r="H29" s="1470"/>
      <c r="I29" s="1202"/>
      <c r="J29" s="1202"/>
      <c r="K29" s="1202"/>
      <c r="L29" s="1465"/>
      <c r="M29" s="1202"/>
      <c r="N29" s="1202"/>
      <c r="O29" s="1202"/>
      <c r="P29" s="1202"/>
      <c r="Q29" s="1465"/>
      <c r="R29" s="1202"/>
      <c r="S29" s="1202"/>
      <c r="T29" s="1202"/>
      <c r="U29" s="1202"/>
      <c r="V29" s="1465"/>
      <c r="W29" s="1202"/>
      <c r="X29" s="1202"/>
      <c r="Y29" s="1202"/>
      <c r="Z29" s="1471"/>
      <c r="AA29" s="1462"/>
      <c r="AB29" s="1470"/>
      <c r="AC29" s="1202"/>
      <c r="AD29" s="1202"/>
      <c r="AE29" s="1202"/>
      <c r="AF29" s="1465"/>
      <c r="AG29" s="1202"/>
      <c r="AH29" s="1202"/>
      <c r="AI29" s="1202"/>
      <c r="AJ29" s="1202"/>
      <c r="AK29" s="1462"/>
      <c r="AL29" s="1202"/>
      <c r="AM29" s="1202"/>
      <c r="AN29" s="1202"/>
      <c r="AO29" s="1202"/>
      <c r="AP29" s="1465"/>
      <c r="AQ29" s="1202"/>
      <c r="AR29" s="1202"/>
      <c r="AS29" s="1202"/>
      <c r="AT29" s="1202"/>
      <c r="AU29" s="1465"/>
      <c r="AV29" s="1801"/>
      <c r="AW29" s="1202"/>
      <c r="AX29" s="1202"/>
      <c r="AY29" s="1202"/>
      <c r="AZ29" s="1202"/>
      <c r="BA29" s="1427"/>
      <c r="BB29" s="1461"/>
      <c r="BC29" s="1202"/>
      <c r="BD29" s="1202"/>
      <c r="BE29" s="1202"/>
      <c r="BF29" s="1427"/>
      <c r="BG29" s="1202"/>
      <c r="BH29" s="1202"/>
      <c r="BI29" s="1202"/>
      <c r="BJ29" s="1202"/>
      <c r="BK29" s="1427"/>
      <c r="BL29" s="1202"/>
      <c r="BM29" s="1202"/>
      <c r="BN29" s="1202"/>
      <c r="BO29" s="1202"/>
      <c r="BP29" s="1427"/>
      <c r="BQ29" s="1202"/>
      <c r="BR29" s="1202"/>
      <c r="BS29" s="1202"/>
      <c r="BT29" s="1202">
        <v>76.599999999999994</v>
      </c>
      <c r="BU29" s="1427">
        <f>BT29</f>
        <v>76.599999999999994</v>
      </c>
      <c r="BV29" s="1268"/>
      <c r="BW29" s="1268"/>
      <c r="BX29" s="1268"/>
      <c r="BY29" s="1268"/>
      <c r="BZ29" s="1427"/>
      <c r="CA29" s="1202"/>
      <c r="CB29" s="1202">
        <v>0</v>
      </c>
      <c r="CC29" s="1202">
        <v>0</v>
      </c>
      <c r="CD29" s="1202">
        <v>0</v>
      </c>
      <c r="CE29" s="1465">
        <f t="shared" si="45"/>
        <v>0</v>
      </c>
      <c r="CF29" s="1202">
        <v>0</v>
      </c>
      <c r="CG29" s="1202">
        <v>0</v>
      </c>
      <c r="CH29" s="1202">
        <v>0</v>
      </c>
      <c r="CI29" s="1202">
        <v>0</v>
      </c>
      <c r="CJ29" s="1465">
        <f t="shared" ref="CJ29" si="104">SUM(CF29:CI29)</f>
        <v>0</v>
      </c>
      <c r="CK29" s="1202">
        <v>0</v>
      </c>
      <c r="CL29" s="1202">
        <v>0</v>
      </c>
      <c r="CM29" s="1202">
        <v>0</v>
      </c>
      <c r="CN29" s="1202">
        <v>0</v>
      </c>
      <c r="CO29" s="1465">
        <f t="shared" ref="CO29:CO30" si="105">SUM(CK29:CN29)</f>
        <v>0</v>
      </c>
      <c r="CP29" s="1202">
        <v>0</v>
      </c>
      <c r="CQ29" s="1202">
        <v>0</v>
      </c>
      <c r="CR29" s="1202">
        <v>0</v>
      </c>
      <c r="CS29" s="1202">
        <v>0</v>
      </c>
      <c r="CT29" s="1465">
        <f t="shared" ref="CT29:CT30" si="106">SUM(CP29:CS29)</f>
        <v>0</v>
      </c>
      <c r="CU29" s="1202">
        <v>0</v>
      </c>
      <c r="CV29" s="1202">
        <v>0</v>
      </c>
      <c r="CW29" s="1202">
        <v>0</v>
      </c>
      <c r="CX29" s="1202">
        <v>0</v>
      </c>
      <c r="CY29" s="1465">
        <f t="shared" ref="CY29:CY30" si="107">SUM(CU29:CX29)</f>
        <v>0</v>
      </c>
      <c r="CZ29" s="1202">
        <v>0</v>
      </c>
      <c r="DA29" s="1202">
        <v>0</v>
      </c>
      <c r="DB29" s="1202">
        <v>0</v>
      </c>
      <c r="DC29" s="1202">
        <v>0</v>
      </c>
      <c r="DD29" s="1465">
        <f t="shared" ref="DD29:DD30" si="108">SUM(CZ29:DC29)</f>
        <v>0</v>
      </c>
      <c r="DE29" s="1202">
        <v>0</v>
      </c>
      <c r="DF29" s="1202">
        <v>0</v>
      </c>
      <c r="DG29" s="1202">
        <v>0</v>
      </c>
      <c r="DH29" s="1202">
        <v>0</v>
      </c>
      <c r="DI29" s="1465">
        <f t="shared" ref="DI29:DI30" si="109">SUM(DE29:DH29)</f>
        <v>0</v>
      </c>
      <c r="DJ29" s="1202">
        <v>0</v>
      </c>
      <c r="DK29" s="1202">
        <v>0</v>
      </c>
      <c r="DL29" s="1202">
        <v>0</v>
      </c>
      <c r="DM29" s="1202">
        <v>0</v>
      </c>
      <c r="DN29" s="1465">
        <f t="shared" ref="DN29:DN30" si="110">SUM(DJ29:DM29)</f>
        <v>0</v>
      </c>
      <c r="DO29" s="1202">
        <v>0</v>
      </c>
      <c r="DP29" s="1202">
        <v>0</v>
      </c>
      <c r="DQ29" s="1202">
        <v>0</v>
      </c>
      <c r="DR29" s="1202">
        <v>0</v>
      </c>
      <c r="DS29" s="1465">
        <f t="shared" ref="DS29:DS30" si="111">SUM(DO29:DR29)</f>
        <v>0</v>
      </c>
      <c r="DT29" s="1202">
        <v>0</v>
      </c>
      <c r="DU29" s="1202">
        <v>0</v>
      </c>
      <c r="DV29" s="1202">
        <v>0</v>
      </c>
      <c r="DW29" s="1202">
        <v>0</v>
      </c>
      <c r="DX29" s="1465">
        <f t="shared" ref="DX29:DX30" si="112">SUM(DT29:DW29)</f>
        <v>0</v>
      </c>
      <c r="DY29" s="1202">
        <v>0</v>
      </c>
      <c r="DZ29" s="1202">
        <v>0</v>
      </c>
      <c r="EA29" s="1202">
        <v>0</v>
      </c>
      <c r="EB29" s="1202">
        <v>0</v>
      </c>
      <c r="EC29" s="1465">
        <f t="shared" ref="EC29:EC30" si="113">SUM(DY29:EB29)</f>
        <v>0</v>
      </c>
      <c r="ED29" s="1460"/>
      <c r="EE29" s="1470"/>
      <c r="EF29" s="1202"/>
      <c r="EG29" s="1202"/>
      <c r="EH29" s="1202"/>
      <c r="EI29" s="1202"/>
      <c r="EJ29" s="1202"/>
      <c r="EK29" s="1202"/>
      <c r="EL29" s="1202"/>
      <c r="EM29" s="1202"/>
      <c r="EN29" s="1202">
        <f t="shared" si="102"/>
        <v>76.599999999999994</v>
      </c>
      <c r="EO29" s="1202"/>
      <c r="EP29" s="1202"/>
      <c r="EQ29" s="1202"/>
      <c r="ER29" s="1471"/>
      <c r="ES29" s="1460"/>
      <c r="ET29" s="1460"/>
      <c r="EU29" s="1460"/>
      <c r="EX29" s="1469" t="s">
        <v>644</v>
      </c>
      <c r="EY29" s="1473">
        <f t="shared" si="103"/>
        <v>0</v>
      </c>
      <c r="EZ29" s="1491">
        <v>0</v>
      </c>
      <c r="FA29" s="1473"/>
      <c r="FB29" s="1473">
        <f>CK29</f>
        <v>0</v>
      </c>
      <c r="FC29" s="1474"/>
      <c r="FD29" s="1460"/>
      <c r="FE29"/>
      <c r="FF29"/>
      <c r="FG29"/>
      <c r="FH29"/>
      <c r="FI29"/>
      <c r="FJ29"/>
    </row>
    <row r="30" spans="1:166" s="1064" customFormat="1" ht="12.75" customHeight="1" collapsed="1" x14ac:dyDescent="0.2">
      <c r="A30" s="1465" t="s">
        <v>748</v>
      </c>
      <c r="B30" s="1465"/>
      <c r="C30" s="1470"/>
      <c r="D30" s="1202"/>
      <c r="E30" s="1202"/>
      <c r="F30" s="1471"/>
      <c r="G30" s="1465"/>
      <c r="H30" s="1470"/>
      <c r="I30" s="1202"/>
      <c r="J30" s="1202"/>
      <c r="K30" s="1202"/>
      <c r="L30" s="1465"/>
      <c r="M30" s="1202"/>
      <c r="N30" s="1202"/>
      <c r="O30" s="1202"/>
      <c r="P30" s="1202"/>
      <c r="Q30" s="1465"/>
      <c r="R30" s="1202">
        <f>SUM(R28:R29)</f>
        <v>298</v>
      </c>
      <c r="S30" s="1202">
        <f t="shared" ref="S30" si="114">SUM(S28:S29)</f>
        <v>292</v>
      </c>
      <c r="T30" s="1202">
        <f t="shared" ref="T30" si="115">SUM(T28:T29)</f>
        <v>296</v>
      </c>
      <c r="U30" s="1202">
        <f>SUM(U28:U29)</f>
        <v>306</v>
      </c>
      <c r="V30" s="1427">
        <f>SUM(V22:V24)</f>
        <v>1195</v>
      </c>
      <c r="W30" s="1202">
        <f>SUM(W28:W29)</f>
        <v>319</v>
      </c>
      <c r="X30" s="1202">
        <f t="shared" ref="X30" si="116">SUM(X28:X29)</f>
        <v>321</v>
      </c>
      <c r="Y30" s="1202">
        <f t="shared" ref="Y30" si="117">SUM(Y28:Y29)</f>
        <v>321</v>
      </c>
      <c r="Z30" s="1202">
        <f>SUM(Z28:Z29)</f>
        <v>335</v>
      </c>
      <c r="AA30" s="1427">
        <f>SUM(AA22:AA24)</f>
        <v>1296</v>
      </c>
      <c r="AB30" s="1202">
        <f>SUM(AB28:AB29)</f>
        <v>343</v>
      </c>
      <c r="AC30" s="1202">
        <f t="shared" ref="AC30" si="118">SUM(AC28:AC29)</f>
        <v>351</v>
      </c>
      <c r="AD30" s="1202">
        <f t="shared" ref="AD30" si="119">SUM(AD28:AD29)</f>
        <v>346</v>
      </c>
      <c r="AE30" s="1202">
        <f>SUM(AE28:AE29)</f>
        <v>369</v>
      </c>
      <c r="AF30" s="1427">
        <f>SUM(AF22:AF24)</f>
        <v>1409</v>
      </c>
      <c r="AG30" s="1202">
        <f>SUM(AG28:AG29)</f>
        <v>373</v>
      </c>
      <c r="AH30" s="1202">
        <f t="shared" ref="AH30" si="120">SUM(AH28:AH29)</f>
        <v>378</v>
      </c>
      <c r="AI30" s="1202">
        <f t="shared" ref="AI30" si="121">SUM(AI28:AI29)</f>
        <v>378</v>
      </c>
      <c r="AJ30" s="1202">
        <f>SUM(AJ28:AJ29)</f>
        <v>409</v>
      </c>
      <c r="AK30" s="1427">
        <f>SUM(AK22:AK24)</f>
        <v>1538</v>
      </c>
      <c r="AL30" s="1202">
        <f>SUM(AL28:AL29)</f>
        <v>435</v>
      </c>
      <c r="AM30" s="1202">
        <f t="shared" ref="AM30" si="122">SUM(AM28:AM29)</f>
        <v>408</v>
      </c>
      <c r="AN30" s="1202">
        <f t="shared" ref="AN30" si="123">SUM(AN28:AN29)</f>
        <v>397</v>
      </c>
      <c r="AO30" s="1202">
        <f>SUM(AO28:AO29)</f>
        <v>403.7000000000001</v>
      </c>
      <c r="AP30" s="1427">
        <f>SUM(AP22:AP24)</f>
        <v>1643.7</v>
      </c>
      <c r="AQ30" s="1202">
        <f>SUM(AQ28:AQ29)</f>
        <v>408.3</v>
      </c>
      <c r="AR30" s="1202">
        <f t="shared" ref="AR30" si="124">SUM(AR28:AR29)</f>
        <v>411.29999999999995</v>
      </c>
      <c r="AS30" s="1202">
        <f t="shared" ref="AS30" si="125">SUM(AS28:AS29)</f>
        <v>389.5</v>
      </c>
      <c r="AT30" s="1202">
        <f>SUM(AT28:AT29)</f>
        <v>405.7</v>
      </c>
      <c r="AU30" s="1427">
        <f>SUM(AU22:AU24)</f>
        <v>1614.8000000000002</v>
      </c>
      <c r="AV30" s="1801"/>
      <c r="AW30" s="1202">
        <f>SUM(AW28:AW29)</f>
        <v>389.5</v>
      </c>
      <c r="AX30" s="1202">
        <f t="shared" ref="AX30" si="126">SUM(AX28:AX29)</f>
        <v>405.7</v>
      </c>
      <c r="AY30" s="1202">
        <f t="shared" ref="AY30" si="127">SUM(AY28:AY29)</f>
        <v>371.30000000000007</v>
      </c>
      <c r="AZ30" s="1202">
        <f>SUM(AZ28:AZ29)</f>
        <v>366</v>
      </c>
      <c r="BA30" s="1427">
        <f>SUM(BA22:BA24)</f>
        <v>1532.5</v>
      </c>
      <c r="BB30" s="1202">
        <f>SUM(BB28:BB29)</f>
        <v>356.7</v>
      </c>
      <c r="BC30" s="1202">
        <f t="shared" ref="BC30" si="128">SUM(BC28:BC29)</f>
        <v>369.20000000000005</v>
      </c>
      <c r="BD30" s="1202">
        <f t="shared" ref="BD30" si="129">SUM(BD28:BD29)</f>
        <v>370.2</v>
      </c>
      <c r="BE30" s="1202">
        <f>SUM(BE28:BE29)</f>
        <v>351.3</v>
      </c>
      <c r="BF30" s="1427">
        <f>SUM(BF22:BF24)</f>
        <v>1447.3999999999999</v>
      </c>
      <c r="BG30" s="1202">
        <f>SUM(BG28:BG29)</f>
        <v>354</v>
      </c>
      <c r="BH30" s="1202">
        <f t="shared" ref="BH30" si="130">SUM(BH28:BH29)</f>
        <v>305.7</v>
      </c>
      <c r="BI30" s="1202">
        <f t="shared" ref="BI30" si="131">SUM(BI28:BI29)</f>
        <v>216.3</v>
      </c>
      <c r="BJ30" s="1202">
        <f>SUM(BJ28:BJ29)</f>
        <v>161.19999999999999</v>
      </c>
      <c r="BK30" s="1427">
        <f>SUM(BK22:BK24)</f>
        <v>1037.1999999999998</v>
      </c>
      <c r="BL30" s="1202">
        <f>SUM(BL28:BL29)</f>
        <v>108.1</v>
      </c>
      <c r="BM30" s="1202">
        <f t="shared" ref="BM30" si="132">SUM(BM28:BM29)</f>
        <v>46.6</v>
      </c>
      <c r="BN30" s="1202">
        <f t="shared" ref="BN30" si="133">SUM(BN28:BN29)</f>
        <v>22.9</v>
      </c>
      <c r="BO30" s="1202">
        <f>SUM(BO28:BO29)</f>
        <v>17.700000000000003</v>
      </c>
      <c r="BP30" s="1427">
        <f>SUM(BP22:BP24)</f>
        <v>195.29999999999998</v>
      </c>
      <c r="BQ30" s="1202">
        <f>SUM(BQ28:BQ29)</f>
        <v>15.5</v>
      </c>
      <c r="BR30" s="1202">
        <f t="shared" ref="BR30" si="134">SUM(BR28:BR29)</f>
        <v>15.7</v>
      </c>
      <c r="BS30" s="1202">
        <f t="shared" ref="BS30" si="135">SUM(BS28:BS29)</f>
        <v>16.5</v>
      </c>
      <c r="BT30" s="1202">
        <f>SUM(BT28:BT29)</f>
        <v>104.8</v>
      </c>
      <c r="BU30" s="1427">
        <f>SUM(BQ30:BT30)</f>
        <v>152.5</v>
      </c>
      <c r="BV30" s="1202">
        <v>441.8</v>
      </c>
      <c r="BW30" s="1202">
        <v>495.7</v>
      </c>
      <c r="BX30" s="1202">
        <v>513.79999999999995</v>
      </c>
      <c r="BY30" s="1202">
        <v>486</v>
      </c>
      <c r="BZ30" s="1427">
        <f>SUM(BV30:BY30)</f>
        <v>1937.3</v>
      </c>
      <c r="CA30" s="1202">
        <f>SUM(CA28:CA29)</f>
        <v>433.2</v>
      </c>
      <c r="CB30" s="1202">
        <f>SUM(CB28:CB29)</f>
        <v>474.8</v>
      </c>
      <c r="CC30" s="1202">
        <v>446.6</v>
      </c>
      <c r="CD30" s="1202">
        <v>454.9</v>
      </c>
      <c r="CE30" s="1427">
        <f>SUM(CA30:CD30)</f>
        <v>1809.5</v>
      </c>
      <c r="CF30" s="1202">
        <f>SUM(CF28:CF29)</f>
        <v>388.20000000000005</v>
      </c>
      <c r="CG30" s="1202">
        <f>SUM(CG28:CG29)</f>
        <v>435.8</v>
      </c>
      <c r="CH30" s="1202">
        <f>SUM(CH28:CH29)</f>
        <v>455</v>
      </c>
      <c r="CI30" s="1202">
        <f>SUM(CI28:CI29)</f>
        <v>441.6</v>
      </c>
      <c r="CJ30" s="1500">
        <f>SUM(CF30:CI30)</f>
        <v>1720.6</v>
      </c>
      <c r="CK30" s="1202">
        <f>SUM(CK28:CK29)</f>
        <v>423.4</v>
      </c>
      <c r="CL30" s="1202">
        <f>SUM(CL28:CL29)</f>
        <v>460.2</v>
      </c>
      <c r="CM30" s="1202">
        <f>SUM(CM28:CM29)</f>
        <v>493.3</v>
      </c>
      <c r="CN30" s="1202">
        <f>SUM(CN28:CN29)</f>
        <v>473.4</v>
      </c>
      <c r="CO30" s="1500">
        <f t="shared" si="105"/>
        <v>1850.2999999999997</v>
      </c>
      <c r="CP30" s="1202">
        <f>SUM(CP28:CP29)</f>
        <v>429.09999999999997</v>
      </c>
      <c r="CQ30" s="1202">
        <f>SUM(CQ28:CQ29)</f>
        <v>488.51052835982011</v>
      </c>
      <c r="CR30" s="1202">
        <f>SUM(CR28:CR29)</f>
        <v>499.44807358593363</v>
      </c>
      <c r="CS30" s="1202">
        <f>SUM(CS28:CS29)</f>
        <v>488.18635817543992</v>
      </c>
      <c r="CT30" s="1524">
        <f t="shared" si="106"/>
        <v>1905.2449601211936</v>
      </c>
      <c r="CU30" s="1202">
        <f>SUM(CU28:CU29)</f>
        <v>445.22665451179807</v>
      </c>
      <c r="CV30" s="1202">
        <f>SUM(CV28:CV29)</f>
        <v>507.62895905319601</v>
      </c>
      <c r="CW30" s="1202">
        <f>SUM(CW28:CW29)</f>
        <v>520.58212025681541</v>
      </c>
      <c r="CX30" s="1202">
        <f>SUM(CX28:CX29)</f>
        <v>510.79520944479384</v>
      </c>
      <c r="CY30" s="1500">
        <f t="shared" si="107"/>
        <v>1984.2329432666033</v>
      </c>
      <c r="CZ30" s="1202">
        <f>SUM(CZ28:CZ29)</f>
        <v>474.33414691125279</v>
      </c>
      <c r="DA30" s="1202">
        <f>SUM(DA28:DA29)</f>
        <v>536.15195508572754</v>
      </c>
      <c r="DB30" s="1202">
        <f>SUM(DB28:DB29)</f>
        <v>551.19745906712296</v>
      </c>
      <c r="DC30" s="1202">
        <f>SUM(DC28:DC29)</f>
        <v>542.75724230425328</v>
      </c>
      <c r="DD30" s="1500">
        <f t="shared" si="108"/>
        <v>2104.4408033683567</v>
      </c>
      <c r="DE30" s="1202">
        <f>SUM(DE28:DE29)</f>
        <v>522.31520177895504</v>
      </c>
      <c r="DF30" s="1202">
        <f>SUM(DF28:DF29)</f>
        <v>564.24586801306191</v>
      </c>
      <c r="DG30" s="1202">
        <f>SUM(DG28:DG29)</f>
        <v>601.86568418555521</v>
      </c>
      <c r="DH30" s="1202">
        <f>SUM(DH28:DH29)</f>
        <v>593.35621723833299</v>
      </c>
      <c r="DI30" s="1500">
        <f t="shared" si="109"/>
        <v>2281.782971215905</v>
      </c>
      <c r="DJ30" s="1202">
        <f>SUM(DJ28:DJ29)</f>
        <v>537.96072670980652</v>
      </c>
      <c r="DK30" s="1202">
        <f>SUM(DK28:DK29)</f>
        <v>582.23201107213697</v>
      </c>
      <c r="DL30" s="1202">
        <f>SUM(DL28:DL29)</f>
        <v>622.06547202003196</v>
      </c>
      <c r="DM30" s="1202">
        <f>SUM(DM28:DM29)</f>
        <v>613.62054406049492</v>
      </c>
      <c r="DN30" s="1500">
        <f t="shared" si="110"/>
        <v>2355.8787538624701</v>
      </c>
      <c r="DO30" s="1202">
        <f>SUM(DO28:DO29)</f>
        <v>569.44614730880937</v>
      </c>
      <c r="DP30" s="1202">
        <f>SUM(DP28:DP29)</f>
        <v>615.91435601947308</v>
      </c>
      <c r="DQ30" s="1202">
        <f>SUM(DQ28:DQ29)</f>
        <v>658.12506051740093</v>
      </c>
      <c r="DR30" s="1202">
        <f>SUM(DR28:DR29)</f>
        <v>649.0051487854912</v>
      </c>
      <c r="DS30" s="1500">
        <f t="shared" si="111"/>
        <v>2492.4907126311746</v>
      </c>
      <c r="DT30" s="1202">
        <f>SUM(DT28:DT29)</f>
        <v>676.580487414392</v>
      </c>
      <c r="DU30" s="1202">
        <f>SUM(DU28:DU29)</f>
        <v>720.66936981603476</v>
      </c>
      <c r="DV30" s="1202">
        <f>SUM(DV28:DV29)</f>
        <v>770.10163154221391</v>
      </c>
      <c r="DW30" s="1202">
        <f>SUM(DW28:DW29)</f>
        <v>757.07698208555814</v>
      </c>
      <c r="DX30" s="1500">
        <f t="shared" si="112"/>
        <v>2924.4284708581986</v>
      </c>
      <c r="DY30" s="1202">
        <f>SUM(DY28:DY29)</f>
        <v>707.49093683548801</v>
      </c>
      <c r="DZ30" s="1202">
        <f>SUM(DZ28:DZ29)</f>
        <v>761.58198447646896</v>
      </c>
      <c r="EA30" s="1202">
        <f>SUM(EA28:EA29)</f>
        <v>813.88454278124698</v>
      </c>
      <c r="EB30" s="1202">
        <f>SUM(EB28:EB29)</f>
        <v>799.9085698891821</v>
      </c>
      <c r="EC30" s="1500">
        <f t="shared" si="113"/>
        <v>3082.8660339823864</v>
      </c>
      <c r="ED30" s="1460"/>
      <c r="EE30" s="1470"/>
      <c r="EF30" s="1202"/>
      <c r="EG30" s="1202"/>
      <c r="EH30" s="1202"/>
      <c r="EI30" s="1202"/>
      <c r="EJ30" s="1202"/>
      <c r="EK30" s="1202"/>
      <c r="EL30" s="1202"/>
      <c r="EM30" s="1202"/>
      <c r="EN30" s="1202"/>
      <c r="EO30" s="1202"/>
      <c r="EP30" s="1202"/>
      <c r="EQ30" s="1202"/>
      <c r="ER30" s="1471"/>
      <c r="ES30" s="1460"/>
      <c r="ET30" s="1460"/>
      <c r="EU30" s="1460"/>
      <c r="EX30" s="1469"/>
      <c r="EY30" s="1473">
        <f t="shared" si="103"/>
        <v>429.09999999999997</v>
      </c>
      <c r="EZ30" s="1491">
        <v>468.80429980855013</v>
      </c>
      <c r="FA30" s="1473"/>
      <c r="FB30" s="1473"/>
      <c r="FC30" s="1474"/>
      <c r="FD30" s="1460"/>
      <c r="FE30"/>
      <c r="FF30"/>
      <c r="FG30"/>
      <c r="FH30"/>
      <c r="FI30"/>
      <c r="FJ30"/>
    </row>
    <row r="31" spans="1:166" s="1064" customFormat="1" ht="12.75" customHeight="1" x14ac:dyDescent="0.2">
      <c r="A31" s="1465" t="s">
        <v>58</v>
      </c>
      <c r="B31" s="1465">
        <v>59</v>
      </c>
      <c r="C31" s="1470"/>
      <c r="D31" s="1202"/>
      <c r="E31" s="1202"/>
      <c r="F31" s="1471"/>
      <c r="G31" s="1465">
        <v>58</v>
      </c>
      <c r="H31" s="1470"/>
      <c r="I31" s="1202"/>
      <c r="J31" s="1202"/>
      <c r="K31" s="1202"/>
      <c r="L31" s="1465">
        <v>55</v>
      </c>
      <c r="M31" s="1202"/>
      <c r="N31" s="1202"/>
      <c r="O31" s="1202"/>
      <c r="P31" s="1202"/>
      <c r="Q31" s="1465">
        <v>58</v>
      </c>
      <c r="R31" s="1202">
        <v>14</v>
      </c>
      <c r="S31" s="1202">
        <v>15</v>
      </c>
      <c r="T31" s="1202">
        <v>14</v>
      </c>
      <c r="U31" s="1202">
        <v>21</v>
      </c>
      <c r="V31" s="1465">
        <v>64</v>
      </c>
      <c r="W31" s="1202">
        <v>14</v>
      </c>
      <c r="X31" s="1202">
        <v>14</v>
      </c>
      <c r="Y31" s="1202">
        <v>14</v>
      </c>
      <c r="Z31" s="1471">
        <v>15</v>
      </c>
      <c r="AA31" s="1462">
        <v>57</v>
      </c>
      <c r="AB31" s="1470">
        <v>16</v>
      </c>
      <c r="AC31" s="1202">
        <v>15</v>
      </c>
      <c r="AD31" s="1202">
        <v>14</v>
      </c>
      <c r="AE31" s="1202">
        <v>16</v>
      </c>
      <c r="AF31" s="1465">
        <f>SUM(AB31:AE31)</f>
        <v>61</v>
      </c>
      <c r="AG31" s="1202">
        <v>14</v>
      </c>
      <c r="AH31" s="1202">
        <v>16</v>
      </c>
      <c r="AI31" s="1202">
        <v>15</v>
      </c>
      <c r="AJ31" s="1472">
        <v>17</v>
      </c>
      <c r="AK31" s="1462">
        <f>SUM(AG31:AJ31)</f>
        <v>62</v>
      </c>
      <c r="AL31" s="1202">
        <v>15</v>
      </c>
      <c r="AM31" s="1202">
        <v>14</v>
      </c>
      <c r="AN31" s="1202">
        <v>13</v>
      </c>
      <c r="AO31" s="1202">
        <v>16</v>
      </c>
      <c r="AP31" s="1465">
        <f>SUM(AL31:AO31)</f>
        <v>58</v>
      </c>
      <c r="AQ31" s="1202">
        <v>14.7</v>
      </c>
      <c r="AR31" s="1202">
        <v>14.8</v>
      </c>
      <c r="AS31" s="1202">
        <v>15.2</v>
      </c>
      <c r="AT31" s="1202">
        <v>14.7</v>
      </c>
      <c r="AU31" s="1465">
        <f>SUM(AQ31:AT31)</f>
        <v>59.400000000000006</v>
      </c>
      <c r="AV31" s="1801"/>
      <c r="AW31" s="1202">
        <v>16.5</v>
      </c>
      <c r="AX31" s="1202">
        <v>16.5</v>
      </c>
      <c r="AY31" s="1202">
        <v>18.3</v>
      </c>
      <c r="AZ31" s="1202">
        <v>25.2</v>
      </c>
      <c r="BA31" s="1427">
        <f t="shared" si="44"/>
        <v>76.5</v>
      </c>
      <c r="BB31" s="1461">
        <v>23.1</v>
      </c>
      <c r="BC31" s="1202">
        <v>23.2</v>
      </c>
      <c r="BD31" s="1202">
        <v>25.3</v>
      </c>
      <c r="BE31" s="1202">
        <v>25.5</v>
      </c>
      <c r="BF31" s="1427">
        <f>SUM(BB31:BE31)</f>
        <v>97.1</v>
      </c>
      <c r="BG31" s="1202">
        <v>23.8</v>
      </c>
      <c r="BH31" s="1202">
        <v>28.5</v>
      </c>
      <c r="BI31" s="1202">
        <v>37.700000000000003</v>
      </c>
      <c r="BJ31" s="1202">
        <v>25.1</v>
      </c>
      <c r="BK31" s="1427">
        <v>115.1</v>
      </c>
      <c r="BL31" s="1202">
        <v>36.299999999999997</v>
      </c>
      <c r="BM31" s="1202">
        <v>36.700000000000003</v>
      </c>
      <c r="BN31" s="1202">
        <v>40.5</v>
      </c>
      <c r="BO31" s="1202">
        <v>38.9</v>
      </c>
      <c r="BP31" s="1427">
        <f>SUM(BL31:BO31)</f>
        <v>152.4</v>
      </c>
      <c r="BQ31" s="1202">
        <v>37.4</v>
      </c>
      <c r="BR31" s="1202">
        <v>35.700000000000003</v>
      </c>
      <c r="BS31" s="1202">
        <v>41.4</v>
      </c>
      <c r="BT31" s="1202">
        <v>66.400000000000006</v>
      </c>
      <c r="BU31" s="1427">
        <f>SUM(BQ31:BT31)</f>
        <v>180.9</v>
      </c>
      <c r="BV31" s="1202">
        <v>129.6</v>
      </c>
      <c r="BW31" s="1202">
        <v>138.69999999999999</v>
      </c>
      <c r="BX31" s="1202">
        <v>156.1</v>
      </c>
      <c r="BY31" s="1202">
        <v>174.6</v>
      </c>
      <c r="BZ31" s="1427">
        <f>SUM(BV31:BY31)</f>
        <v>599</v>
      </c>
      <c r="CA31" s="1202">
        <v>129.10000000000002</v>
      </c>
      <c r="CB31" s="1202">
        <v>121.69999999999999</v>
      </c>
      <c r="CC31" s="1202">
        <v>114.4</v>
      </c>
      <c r="CD31" s="1202">
        <v>138</v>
      </c>
      <c r="CE31" s="1427">
        <f t="shared" si="45"/>
        <v>503.20000000000005</v>
      </c>
      <c r="CF31" s="1202">
        <v>104.19999999999999</v>
      </c>
      <c r="CG31" s="1202">
        <v>114.1</v>
      </c>
      <c r="CH31" s="1202">
        <v>111.9</v>
      </c>
      <c r="CI31" s="1202">
        <v>130.6</v>
      </c>
      <c r="CJ31" s="1465">
        <f>SUM(CF31:CI31)</f>
        <v>460.79999999999995</v>
      </c>
      <c r="CK31" s="1202">
        <v>111</v>
      </c>
      <c r="CL31" s="1202">
        <v>113.7</v>
      </c>
      <c r="CM31" s="1202">
        <v>118.50000000000001</v>
      </c>
      <c r="CN31" s="1202">
        <v>134.40000000000003</v>
      </c>
      <c r="CO31" s="1465">
        <f>SUM(CK31:CN31)</f>
        <v>477.6</v>
      </c>
      <c r="CP31" s="1202">
        <v>104.4</v>
      </c>
      <c r="CQ31" s="1202">
        <v>104.63224266027207</v>
      </c>
      <c r="CR31" s="1202">
        <v>103.80466987548915</v>
      </c>
      <c r="CS31" s="1202">
        <v>116.40615457086342</v>
      </c>
      <c r="CT31" s="1465">
        <f>SUM(CP31:CS31)</f>
        <v>429.24306710662461</v>
      </c>
      <c r="CU31" s="1202">
        <v>111.40200429446024</v>
      </c>
      <c r="CV31" s="1202">
        <v>109.70186314616807</v>
      </c>
      <c r="CW31" s="1202">
        <v>108.89531739604577</v>
      </c>
      <c r="CX31" s="1202">
        <v>122.53590533801025</v>
      </c>
      <c r="CY31" s="1465">
        <f>SUM(CU31:CX31)</f>
        <v>452.53509017468434</v>
      </c>
      <c r="CZ31" s="1202">
        <v>139.16003159994389</v>
      </c>
      <c r="DA31" s="1202">
        <v>113.53804700007154</v>
      </c>
      <c r="DB31" s="1202">
        <v>112.60858543428017</v>
      </c>
      <c r="DC31" s="1202">
        <v>126.96345951200425</v>
      </c>
      <c r="DD31" s="1465">
        <f>SUM(CZ31:DC31)</f>
        <v>492.27012354629989</v>
      </c>
      <c r="DE31" s="1202">
        <v>144.97559745971265</v>
      </c>
      <c r="DF31" s="1202">
        <v>142.38892261190068</v>
      </c>
      <c r="DG31" s="1202">
        <v>142.58467113856597</v>
      </c>
      <c r="DH31" s="1202">
        <v>159.33246218082354</v>
      </c>
      <c r="DI31" s="1465">
        <f>SUM(DE31:DH31)</f>
        <v>589.28165339100292</v>
      </c>
      <c r="DJ31" s="1202">
        <v>152.83404826332742</v>
      </c>
      <c r="DK31" s="1202">
        <v>149.58227967129253</v>
      </c>
      <c r="DL31" s="1202">
        <v>149.9110768722467</v>
      </c>
      <c r="DM31" s="1202">
        <v>167.59365812538135</v>
      </c>
      <c r="DN31" s="1465">
        <f>SUM(DJ31:DM31)</f>
        <v>619.92106293224799</v>
      </c>
      <c r="DO31" s="1202">
        <v>162.40087940011637</v>
      </c>
      <c r="DP31" s="1202">
        <v>158.34493899805048</v>
      </c>
      <c r="DQ31" s="1202">
        <v>158.69409500392956</v>
      </c>
      <c r="DR31" s="1202">
        <v>177.38429649201714</v>
      </c>
      <c r="DS31" s="1465">
        <f>SUM(DO31:DR31)</f>
        <v>656.82420989411355</v>
      </c>
      <c r="DT31" s="1202">
        <v>168.09512023584307</v>
      </c>
      <c r="DU31" s="1202">
        <v>162.40392057632289</v>
      </c>
      <c r="DV31" s="1202">
        <v>163.14639907151897</v>
      </c>
      <c r="DW31" s="1202">
        <v>181.08507793031853</v>
      </c>
      <c r="DX31" s="1465">
        <f>SUM(DT31:DW31)</f>
        <v>674.73051781400352</v>
      </c>
      <c r="DY31" s="1202">
        <v>176.22543092512865</v>
      </c>
      <c r="DZ31" s="1202">
        <v>171.74833672387317</v>
      </c>
      <c r="EA31" s="1202">
        <v>172.54959288219348</v>
      </c>
      <c r="EB31" s="1202">
        <v>191.41601409646375</v>
      </c>
      <c r="EC31" s="1465">
        <f>SUM(DY31:EB31)</f>
        <v>711.93937462765905</v>
      </c>
      <c r="ED31" s="1460"/>
      <c r="EE31" s="1470">
        <f>X31+W31+U31+T31</f>
        <v>63</v>
      </c>
      <c r="EF31" s="1202">
        <f t="shared" ref="EF31:EF36" si="136">AC31+AB31+Z31+Y31</f>
        <v>60</v>
      </c>
      <c r="EG31" s="1202">
        <f t="shared" ref="EG31:EG36" si="137">AH31+AG31+AE31+AD31</f>
        <v>60</v>
      </c>
      <c r="EH31" s="1202">
        <f t="shared" ref="EH31:EH36" si="138">AM31+AL31+AJ31+AI31</f>
        <v>61</v>
      </c>
      <c r="EI31" s="1202">
        <f t="shared" ref="EI31:EI36" si="139">AR31+AQ31+AO31+AN31</f>
        <v>58.5</v>
      </c>
      <c r="EJ31" s="1202">
        <f t="shared" ref="EJ31:EJ36" si="140">AZ31+AY31+AX31+AW31</f>
        <v>76.5</v>
      </c>
      <c r="EK31" s="1202">
        <f t="shared" ref="EK31:EK36" si="141">BF31</f>
        <v>97.1</v>
      </c>
      <c r="EL31" s="1202">
        <f t="shared" ref="EL31:EL36" si="142">BK31</f>
        <v>115.1</v>
      </c>
      <c r="EM31" s="1202">
        <f t="shared" ref="EM31:EM36" si="143">BP31</f>
        <v>152.4</v>
      </c>
      <c r="EN31" s="1202">
        <f t="shared" si="102"/>
        <v>180.9</v>
      </c>
      <c r="EO31" s="1202">
        <f t="shared" si="4"/>
        <v>503.20000000000005</v>
      </c>
      <c r="EP31" s="1202">
        <f t="shared" ref="EP31:EP36" si="144">CJ31</f>
        <v>460.79999999999995</v>
      </c>
      <c r="EQ31" s="1202">
        <f t="shared" ref="EQ31:EQ36" si="145">CO31</f>
        <v>477.6</v>
      </c>
      <c r="ER31" s="1471">
        <f t="shared" ref="ER31:ER36" si="146">CT31</f>
        <v>429.24306710662461</v>
      </c>
      <c r="ES31" s="1460"/>
      <c r="ET31" s="1460"/>
      <c r="EU31" s="1460"/>
      <c r="EX31" s="1469" t="s">
        <v>58</v>
      </c>
      <c r="EY31" s="1473">
        <f t="shared" si="103"/>
        <v>104.4</v>
      </c>
      <c r="EZ31" s="1491">
        <v>119.80718436720133</v>
      </c>
      <c r="FA31" s="1473">
        <f t="shared" si="46"/>
        <v>-15.407184367201324</v>
      </c>
      <c r="FB31" s="1473">
        <f t="shared" ref="FB31:FB49" si="147">CK31</f>
        <v>111</v>
      </c>
      <c r="FC31" s="1474">
        <f t="shared" ref="FC31:FC67" si="148">EY31/FB31-1</f>
        <v>-5.9459459459459407E-2</v>
      </c>
      <c r="FD31" s="1460"/>
      <c r="FE31"/>
      <c r="FF31"/>
      <c r="FG31"/>
      <c r="FH31"/>
      <c r="FI31"/>
      <c r="FJ31"/>
    </row>
    <row r="32" spans="1:166" s="1064" customFormat="1" ht="12.75" hidden="1" customHeight="1" outlineLevel="1" x14ac:dyDescent="0.2">
      <c r="A32" s="1465" t="s">
        <v>391</v>
      </c>
      <c r="B32" s="1465"/>
      <c r="C32" s="1470"/>
      <c r="D32" s="1202"/>
      <c r="E32" s="1202"/>
      <c r="F32" s="1471"/>
      <c r="G32" s="1465"/>
      <c r="H32" s="1470"/>
      <c r="I32" s="1202"/>
      <c r="J32" s="1202"/>
      <c r="K32" s="1202"/>
      <c r="L32" s="1465"/>
      <c r="M32" s="1202"/>
      <c r="N32" s="1202"/>
      <c r="O32" s="1202"/>
      <c r="P32" s="1202"/>
      <c r="Q32" s="1465"/>
      <c r="R32" s="1202"/>
      <c r="S32" s="1202"/>
      <c r="T32" s="1202"/>
      <c r="U32" s="1202">
        <v>20</v>
      </c>
      <c r="V32" s="1465">
        <v>88</v>
      </c>
      <c r="W32" s="1202">
        <v>17</v>
      </c>
      <c r="X32" s="1202">
        <v>18</v>
      </c>
      <c r="Y32" s="1202">
        <v>18</v>
      </c>
      <c r="Z32" s="1471">
        <v>19</v>
      </c>
      <c r="AA32" s="1462">
        <f>72</f>
        <v>72</v>
      </c>
      <c r="AB32" s="1470">
        <v>19</v>
      </c>
      <c r="AC32" s="1202">
        <v>25</v>
      </c>
      <c r="AD32" s="1202">
        <v>19</v>
      </c>
      <c r="AE32" s="1202">
        <v>20</v>
      </c>
      <c r="AF32" s="1465">
        <f t="shared" si="61"/>
        <v>83</v>
      </c>
      <c r="AG32" s="1202">
        <v>23</v>
      </c>
      <c r="AH32" s="1202">
        <v>24</v>
      </c>
      <c r="AI32" s="1202">
        <v>22</v>
      </c>
      <c r="AJ32" s="1472">
        <v>24</v>
      </c>
      <c r="AK32" s="1462">
        <f t="shared" ref="AK32:AK38" si="149">SUM(AG32:AJ32)</f>
        <v>93</v>
      </c>
      <c r="AL32" s="1202">
        <v>24</v>
      </c>
      <c r="AM32" s="1202">
        <v>24</v>
      </c>
      <c r="AN32" s="1202">
        <v>22</v>
      </c>
      <c r="AO32" s="1202">
        <v>23.1</v>
      </c>
      <c r="AP32" s="1465">
        <f t="shared" si="41"/>
        <v>93.1</v>
      </c>
      <c r="AQ32" s="1202">
        <v>23.5</v>
      </c>
      <c r="AR32" s="1202">
        <v>23.6</v>
      </c>
      <c r="AS32" s="1202">
        <v>21.6</v>
      </c>
      <c r="AT32" s="1202">
        <v>22.6</v>
      </c>
      <c r="AU32" s="1465">
        <f t="shared" si="43"/>
        <v>91.300000000000011</v>
      </c>
      <c r="AV32" s="1801"/>
      <c r="AW32" s="1202">
        <v>21.6</v>
      </c>
      <c r="AX32" s="1202">
        <v>22.7</v>
      </c>
      <c r="AY32" s="1202">
        <v>20.8</v>
      </c>
      <c r="AZ32" s="1202">
        <v>21.2</v>
      </c>
      <c r="BA32" s="1427">
        <f t="shared" si="44"/>
        <v>86.3</v>
      </c>
      <c r="BB32" s="1461">
        <v>19</v>
      </c>
      <c r="BC32" s="1202">
        <v>20.399999999999999</v>
      </c>
      <c r="BD32" s="1202">
        <v>18.7</v>
      </c>
      <c r="BE32" s="1202">
        <v>20.100000000000001</v>
      </c>
      <c r="BF32" s="1427">
        <f t="shared" si="63"/>
        <v>78.199999999999989</v>
      </c>
      <c r="BG32" s="1202">
        <v>16.7</v>
      </c>
      <c r="BH32" s="1202">
        <v>13.4</v>
      </c>
      <c r="BI32" s="1202">
        <v>10.4</v>
      </c>
      <c r="BJ32" s="1202">
        <v>7.8</v>
      </c>
      <c r="BK32" s="1427">
        <f t="shared" si="64"/>
        <v>48.3</v>
      </c>
      <c r="BL32" s="1202">
        <v>3.7</v>
      </c>
      <c r="BM32" s="1202">
        <f>BM329</f>
        <v>1</v>
      </c>
      <c r="BN32" s="1202">
        <f>BN329</f>
        <v>1.3</v>
      </c>
      <c r="BO32" s="1202">
        <f>BO329</f>
        <v>0.2</v>
      </c>
      <c r="BP32" s="1427">
        <f t="shared" si="65"/>
        <v>6.2</v>
      </c>
      <c r="BQ32" s="1202">
        <f>BQ329</f>
        <v>0.2</v>
      </c>
      <c r="BR32" s="1202">
        <f>BR329</f>
        <v>0.1</v>
      </c>
      <c r="BS32" s="1202">
        <f>BS329</f>
        <v>0.6</v>
      </c>
      <c r="BT32" s="1202">
        <f>BT329</f>
        <v>1.5</v>
      </c>
      <c r="BU32" s="1427">
        <f t="shared" ref="BU32:BU38" si="150">SUM(BQ32:BT32)</f>
        <v>2.4</v>
      </c>
      <c r="BV32" s="1268">
        <f>BV329</f>
        <v>0.2</v>
      </c>
      <c r="BW32" s="1268">
        <f>BW329</f>
        <v>0.1</v>
      </c>
      <c r="BX32" s="1268">
        <f>BX329</f>
        <v>0.6</v>
      </c>
      <c r="BY32" s="1268">
        <f>BY329</f>
        <v>1.5</v>
      </c>
      <c r="BZ32" s="1427">
        <f t="shared" ref="BZ32:BZ38" si="151">SUM(BV32:BY32)</f>
        <v>2.4</v>
      </c>
      <c r="CA32" s="1202">
        <v>1.4</v>
      </c>
      <c r="CB32" s="1202">
        <v>1.4</v>
      </c>
      <c r="CC32" s="1202">
        <v>3</v>
      </c>
      <c r="CD32" s="1202">
        <v>2.4</v>
      </c>
      <c r="CE32" s="1427">
        <f t="shared" si="45"/>
        <v>8.1999999999999993</v>
      </c>
      <c r="CF32" s="1202">
        <v>1.4</v>
      </c>
      <c r="CG32" s="1202">
        <v>1.4</v>
      </c>
      <c r="CH32" s="1202">
        <v>1.5</v>
      </c>
      <c r="CI32" s="1202">
        <f>CI329</f>
        <v>0</v>
      </c>
      <c r="CJ32" s="1465">
        <f t="shared" ref="CJ32:CJ38" si="152">SUM(CF32:CI32)</f>
        <v>4.3</v>
      </c>
      <c r="CK32" s="1202">
        <v>0</v>
      </c>
      <c r="CL32" s="1202">
        <v>0</v>
      </c>
      <c r="CM32" s="1202">
        <f>CM329</f>
        <v>0</v>
      </c>
      <c r="CN32" s="1202">
        <f>CN329</f>
        <v>0</v>
      </c>
      <c r="CO32" s="1427">
        <f t="shared" ref="CO32:CO38" si="153">SUM(CK32:CN32)</f>
        <v>0</v>
      </c>
      <c r="CP32" s="1202">
        <f>CP329</f>
        <v>0</v>
      </c>
      <c r="CQ32" s="1202">
        <f>CQ329</f>
        <v>0</v>
      </c>
      <c r="CR32" s="1202">
        <f>CR329</f>
        <v>0</v>
      </c>
      <c r="CS32" s="1202">
        <f>CS329</f>
        <v>0</v>
      </c>
      <c r="CT32" s="1465">
        <f t="shared" ref="CT32:CT38" si="154">SUM(CP32:CS32)</f>
        <v>0</v>
      </c>
      <c r="CU32" s="1202">
        <f>CU329</f>
        <v>0</v>
      </c>
      <c r="CV32" s="1202">
        <f>CV329</f>
        <v>0</v>
      </c>
      <c r="CW32" s="1202">
        <f>CW329</f>
        <v>0</v>
      </c>
      <c r="CX32" s="1202">
        <f>CX329</f>
        <v>0</v>
      </c>
      <c r="CY32" s="1427">
        <f t="shared" ref="CY32:CY38" si="155">SUM(CU32:CX32)</f>
        <v>0</v>
      </c>
      <c r="CZ32" s="1202">
        <f>CZ329</f>
        <v>0</v>
      </c>
      <c r="DA32" s="1202">
        <f>DA329</f>
        <v>0</v>
      </c>
      <c r="DB32" s="1202">
        <f>DB329</f>
        <v>0</v>
      </c>
      <c r="DC32" s="1202">
        <f>DC329</f>
        <v>0</v>
      </c>
      <c r="DD32" s="1427">
        <f t="shared" ref="DD32:DD38" si="156">SUM(CZ32:DC32)</f>
        <v>0</v>
      </c>
      <c r="DE32" s="1202">
        <f>DE329</f>
        <v>0</v>
      </c>
      <c r="DF32" s="1202">
        <f>DF329</f>
        <v>0</v>
      </c>
      <c r="DG32" s="1202">
        <f>DG329</f>
        <v>0</v>
      </c>
      <c r="DH32" s="1202">
        <f>DH329</f>
        <v>0</v>
      </c>
      <c r="DI32" s="1427">
        <f t="shared" ref="DI32:DI38" si="157">SUM(DE32:DH32)</f>
        <v>0</v>
      </c>
      <c r="DJ32" s="1202">
        <f>DJ329</f>
        <v>0</v>
      </c>
      <c r="DK32" s="1202">
        <f>DK329</f>
        <v>0</v>
      </c>
      <c r="DL32" s="1202">
        <f>DL329</f>
        <v>0</v>
      </c>
      <c r="DM32" s="1202">
        <f>DM329</f>
        <v>0</v>
      </c>
      <c r="DN32" s="1427">
        <f t="shared" ref="DN32:DN38" si="158">SUM(DJ32:DM32)</f>
        <v>0</v>
      </c>
      <c r="DO32" s="1202">
        <f>DO329</f>
        <v>0</v>
      </c>
      <c r="DP32" s="1202">
        <f>DP329</f>
        <v>0</v>
      </c>
      <c r="DQ32" s="1202">
        <f>DQ329</f>
        <v>0</v>
      </c>
      <c r="DR32" s="1202">
        <f>DR329</f>
        <v>0</v>
      </c>
      <c r="DS32" s="1427">
        <f t="shared" ref="DS32:DS38" si="159">SUM(DO32:DR32)</f>
        <v>0</v>
      </c>
      <c r="DT32" s="1202">
        <f>DT329</f>
        <v>0</v>
      </c>
      <c r="DU32" s="1202">
        <f>DU329</f>
        <v>0</v>
      </c>
      <c r="DV32" s="1202">
        <f>DV329</f>
        <v>0</v>
      </c>
      <c r="DW32" s="1202">
        <f>DW329</f>
        <v>0</v>
      </c>
      <c r="DX32" s="1427">
        <f t="shared" ref="DX32:DX38" si="160">SUM(DT32:DW32)</f>
        <v>0</v>
      </c>
      <c r="DY32" s="1202">
        <f>DY329</f>
        <v>0</v>
      </c>
      <c r="DZ32" s="1202">
        <f>DZ329</f>
        <v>0</v>
      </c>
      <c r="EA32" s="1202">
        <f>EA329</f>
        <v>0</v>
      </c>
      <c r="EB32" s="1202">
        <f>EB329</f>
        <v>0</v>
      </c>
      <c r="EC32" s="1427">
        <f t="shared" ref="EC32:EC38" si="161">SUM(DY32:EB32)</f>
        <v>0</v>
      </c>
      <c r="ED32" s="1460"/>
      <c r="EE32" s="1470"/>
      <c r="EF32" s="1202">
        <f t="shared" si="136"/>
        <v>81</v>
      </c>
      <c r="EG32" s="1202">
        <f t="shared" si="137"/>
        <v>86</v>
      </c>
      <c r="EH32" s="1202">
        <f t="shared" si="138"/>
        <v>94</v>
      </c>
      <c r="EI32" s="1202">
        <f t="shared" si="139"/>
        <v>92.2</v>
      </c>
      <c r="EJ32" s="1202">
        <f t="shared" si="140"/>
        <v>86.300000000000011</v>
      </c>
      <c r="EK32" s="1202">
        <f t="shared" si="141"/>
        <v>78.199999999999989</v>
      </c>
      <c r="EL32" s="1202">
        <f t="shared" si="142"/>
        <v>48.3</v>
      </c>
      <c r="EM32" s="1202">
        <f t="shared" si="143"/>
        <v>6.2</v>
      </c>
      <c r="EN32" s="1202">
        <f t="shared" si="102"/>
        <v>2.4</v>
      </c>
      <c r="EO32" s="1202">
        <f t="shared" si="4"/>
        <v>8.1999999999999993</v>
      </c>
      <c r="EP32" s="1202">
        <f t="shared" si="144"/>
        <v>4.3</v>
      </c>
      <c r="EQ32" s="1202">
        <f t="shared" si="145"/>
        <v>0</v>
      </c>
      <c r="ER32" s="1471">
        <f t="shared" si="146"/>
        <v>0</v>
      </c>
      <c r="ES32" s="1460"/>
      <c r="ET32" s="1460"/>
      <c r="EU32" s="1460"/>
      <c r="EX32" s="1469" t="s">
        <v>391</v>
      </c>
      <c r="EY32" s="1473">
        <f t="shared" si="103"/>
        <v>0</v>
      </c>
      <c r="EZ32" s="1491">
        <v>0</v>
      </c>
      <c r="FA32" s="1473">
        <f t="shared" si="46"/>
        <v>0</v>
      </c>
      <c r="FB32" s="1473">
        <f t="shared" si="147"/>
        <v>0</v>
      </c>
      <c r="FC32" s="1474" t="e">
        <f t="shared" si="148"/>
        <v>#DIV/0!</v>
      </c>
      <c r="FD32" s="1460"/>
      <c r="FE32"/>
      <c r="FF32"/>
      <c r="FG32"/>
      <c r="FH32"/>
      <c r="FI32"/>
      <c r="FJ32"/>
    </row>
    <row r="33" spans="1:166" s="1064" customFormat="1" ht="12.75" hidden="1" customHeight="1" outlineLevel="1" x14ac:dyDescent="0.2">
      <c r="A33" s="1465" t="s">
        <v>392</v>
      </c>
      <c r="B33" s="1465"/>
      <c r="C33" s="1470"/>
      <c r="D33" s="1202"/>
      <c r="E33" s="1202"/>
      <c r="F33" s="1471"/>
      <c r="G33" s="1465"/>
      <c r="H33" s="1470"/>
      <c r="I33" s="1202"/>
      <c r="J33" s="1202"/>
      <c r="K33" s="1202"/>
      <c r="L33" s="1465"/>
      <c r="M33" s="1202"/>
      <c r="N33" s="1202"/>
      <c r="O33" s="1202"/>
      <c r="P33" s="1202"/>
      <c r="Q33" s="1465"/>
      <c r="R33" s="1202"/>
      <c r="S33" s="1202"/>
      <c r="T33" s="1202"/>
      <c r="U33" s="1202">
        <f>113-U35</f>
        <v>111</v>
      </c>
      <c r="V33" s="1465">
        <f>V34-V32</f>
        <v>399</v>
      </c>
      <c r="W33" s="1202">
        <v>84</v>
      </c>
      <c r="X33" s="1202">
        <v>88</v>
      </c>
      <c r="Y33" s="1202">
        <v>128</v>
      </c>
      <c r="Z33" s="1471">
        <v>116</v>
      </c>
      <c r="AA33" s="1462">
        <f>455-AA35</f>
        <v>416</v>
      </c>
      <c r="AB33" s="1470">
        <v>93</v>
      </c>
      <c r="AC33" s="1202">
        <v>94</v>
      </c>
      <c r="AD33" s="1202">
        <v>96</v>
      </c>
      <c r="AE33" s="1202">
        <v>108</v>
      </c>
      <c r="AF33" s="1465">
        <f t="shared" si="61"/>
        <v>391</v>
      </c>
      <c r="AG33" s="1202">
        <v>96</v>
      </c>
      <c r="AH33" s="1202">
        <v>101</v>
      </c>
      <c r="AI33" s="1202">
        <v>104</v>
      </c>
      <c r="AJ33" s="1472">
        <v>106</v>
      </c>
      <c r="AK33" s="1462">
        <f t="shared" si="149"/>
        <v>407</v>
      </c>
      <c r="AL33" s="1202">
        <v>101</v>
      </c>
      <c r="AM33" s="1202">
        <v>96</v>
      </c>
      <c r="AN33" s="1202">
        <v>93</v>
      </c>
      <c r="AO33" s="1202">
        <v>107.6</v>
      </c>
      <c r="AP33" s="1465">
        <f t="shared" si="41"/>
        <v>397.6</v>
      </c>
      <c r="AQ33" s="1202">
        <v>109</v>
      </c>
      <c r="AR33" s="1202">
        <v>103.4</v>
      </c>
      <c r="AS33" s="1202">
        <v>96.2</v>
      </c>
      <c r="AT33" s="1202">
        <v>98.5</v>
      </c>
      <c r="AU33" s="1465">
        <f t="shared" si="43"/>
        <v>407.1</v>
      </c>
      <c r="AV33" s="1801"/>
      <c r="AW33" s="1202">
        <v>94.9</v>
      </c>
      <c r="AX33" s="1202">
        <v>96.6</v>
      </c>
      <c r="AY33" s="1202">
        <v>104.2</v>
      </c>
      <c r="AZ33" s="1202">
        <v>254.1</v>
      </c>
      <c r="BA33" s="1427">
        <f t="shared" si="44"/>
        <v>549.79999999999995</v>
      </c>
      <c r="BB33" s="1461">
        <v>81.400000000000006</v>
      </c>
      <c r="BC33" s="1202">
        <v>78.900000000000006</v>
      </c>
      <c r="BD33" s="1202">
        <v>84.6</v>
      </c>
      <c r="BE33" s="1202">
        <v>94.3</v>
      </c>
      <c r="BF33" s="1427">
        <f t="shared" si="63"/>
        <v>339.2</v>
      </c>
      <c r="BG33" s="1202">
        <v>78.3</v>
      </c>
      <c r="BH33" s="1202">
        <v>82.4</v>
      </c>
      <c r="BI33" s="1202">
        <v>67.2</v>
      </c>
      <c r="BJ33" s="1202">
        <v>71.400000000000006</v>
      </c>
      <c r="BK33" s="1427">
        <f t="shared" si="64"/>
        <v>299.29999999999995</v>
      </c>
      <c r="BL33" s="1202">
        <f>66.7-3.7</f>
        <v>63</v>
      </c>
      <c r="BM33" s="1202">
        <f>BM351</f>
        <v>60.5</v>
      </c>
      <c r="BN33" s="1202">
        <f>BN351</f>
        <v>58.3</v>
      </c>
      <c r="BO33" s="1202">
        <f>BO351</f>
        <v>54.4</v>
      </c>
      <c r="BP33" s="1427">
        <f t="shared" si="65"/>
        <v>236.20000000000002</v>
      </c>
      <c r="BQ33" s="1202">
        <f>BQ351</f>
        <v>48</v>
      </c>
      <c r="BR33" s="1202">
        <f>BR351</f>
        <v>46.9</v>
      </c>
      <c r="BS33" s="1202">
        <f>BS351</f>
        <v>77.7</v>
      </c>
      <c r="BT33" s="1202">
        <f>BT351</f>
        <v>170.4</v>
      </c>
      <c r="BU33" s="1427">
        <f t="shared" si="150"/>
        <v>343</v>
      </c>
      <c r="BV33" s="1268">
        <f>BV351</f>
        <v>48</v>
      </c>
      <c r="BW33" s="1268">
        <f>BW351</f>
        <v>46.9</v>
      </c>
      <c r="BX33" s="1268">
        <f>BX351</f>
        <v>77.7</v>
      </c>
      <c r="BY33" s="1268">
        <f>BY351</f>
        <v>170.4</v>
      </c>
      <c r="BZ33" s="1427">
        <f t="shared" si="151"/>
        <v>343</v>
      </c>
      <c r="CA33" s="1202">
        <f>CA351</f>
        <v>106.20000000000002</v>
      </c>
      <c r="CB33" s="1202">
        <f>CB351</f>
        <v>98.5</v>
      </c>
      <c r="CC33" s="1202">
        <f>CC351</f>
        <v>101.3</v>
      </c>
      <c r="CD33" s="1202">
        <f>CD351</f>
        <v>118.00000000000001</v>
      </c>
      <c r="CE33" s="1427">
        <f>SUM(CA33:CD33)</f>
        <v>424</v>
      </c>
      <c r="CF33" s="1202">
        <f>CF351</f>
        <v>71.800000000000011</v>
      </c>
      <c r="CG33" s="1202">
        <f>CG351</f>
        <v>71.7</v>
      </c>
      <c r="CH33" s="1202">
        <f>CH351</f>
        <v>80.7</v>
      </c>
      <c r="CI33" s="1202">
        <f>CI351</f>
        <v>90.100000000000009</v>
      </c>
      <c r="CJ33" s="1465">
        <f t="shared" si="152"/>
        <v>314.3</v>
      </c>
      <c r="CK33" s="1202">
        <f>CK351</f>
        <v>121.9</v>
      </c>
      <c r="CL33" s="1202">
        <f>CL351</f>
        <v>96.7</v>
      </c>
      <c r="CM33" s="1202">
        <f>CM351</f>
        <v>100.10000000000001</v>
      </c>
      <c r="CN33" s="1202">
        <f>CN351</f>
        <v>96.800000000000011</v>
      </c>
      <c r="CO33" s="1427">
        <f t="shared" si="153"/>
        <v>415.50000000000006</v>
      </c>
      <c r="CP33" s="1202">
        <f>CP351</f>
        <v>301.30000000000007</v>
      </c>
      <c r="CQ33" s="1202">
        <f>CQ351</f>
        <v>289.47364448316995</v>
      </c>
      <c r="CR33" s="1202">
        <f>CR351</f>
        <v>292.79276168348321</v>
      </c>
      <c r="CS33" s="1202">
        <f>CS351</f>
        <v>293.49252463166334</v>
      </c>
      <c r="CT33" s="1465">
        <f t="shared" si="154"/>
        <v>1177.0589307983166</v>
      </c>
      <c r="CU33" s="1202">
        <f>CU351</f>
        <v>294.2492645171564</v>
      </c>
      <c r="CV33" s="1202">
        <f>CV351</f>
        <v>293.70267604096864</v>
      </c>
      <c r="CW33" s="1202">
        <f>CW351</f>
        <v>296.58323836817056</v>
      </c>
      <c r="CX33" s="1202">
        <f>CX351</f>
        <v>297.50558029110903</v>
      </c>
      <c r="CY33" s="1427">
        <f t="shared" si="155"/>
        <v>1182.0407592174047</v>
      </c>
      <c r="CZ33" s="1202">
        <f>CZ351</f>
        <v>300.32270793443308</v>
      </c>
      <c r="DA33" s="1202">
        <f>DA351</f>
        <v>295.51779820811998</v>
      </c>
      <c r="DB33" s="1202">
        <f>DB351</f>
        <v>297.78933355717282</v>
      </c>
      <c r="DC33" s="1202">
        <f>DC351</f>
        <v>298.21499186438774</v>
      </c>
      <c r="DD33" s="1427">
        <f t="shared" si="156"/>
        <v>1191.8448315641135</v>
      </c>
      <c r="DE33" s="1202">
        <f>DE351</f>
        <v>304.30365033942252</v>
      </c>
      <c r="DF33" s="1202">
        <f>DF351</f>
        <v>297.69571109668829</v>
      </c>
      <c r="DG33" s="1202">
        <f>DG351</f>
        <v>301.58186158341152</v>
      </c>
      <c r="DH33" s="1202">
        <f>DH351</f>
        <v>301.42002125751827</v>
      </c>
      <c r="DI33" s="1427">
        <f t="shared" si="157"/>
        <v>1205.0012442770405</v>
      </c>
      <c r="DJ33" s="1202">
        <f>DJ351</f>
        <v>306.79886475986348</v>
      </c>
      <c r="DK33" s="1202">
        <f>DK351</f>
        <v>299.02504971424452</v>
      </c>
      <c r="DL33" s="1202">
        <f>DL351</f>
        <v>302.23960773551448</v>
      </c>
      <c r="DM33" s="1202">
        <f>DM351</f>
        <v>301.39641212391194</v>
      </c>
      <c r="DN33" s="1427">
        <f t="shared" si="158"/>
        <v>1209.4599343335344</v>
      </c>
      <c r="DO33" s="1202">
        <f>DO351</f>
        <v>309.44813363946912</v>
      </c>
      <c r="DP33" s="1202">
        <f>DP351</f>
        <v>300.2005649359287</v>
      </c>
      <c r="DQ33" s="1202">
        <f>DQ351</f>
        <v>302.45815177755929</v>
      </c>
      <c r="DR33" s="1202">
        <f>DR351</f>
        <v>300.78770461750196</v>
      </c>
      <c r="DS33" s="1427">
        <f t="shared" si="159"/>
        <v>1212.894554970459</v>
      </c>
      <c r="DT33" s="1202">
        <f>DT351</f>
        <v>313.86068509114926</v>
      </c>
      <c r="DU33" s="1202">
        <f>DU351</f>
        <v>299.62648327939644</v>
      </c>
      <c r="DV33" s="1202">
        <f>DV351</f>
        <v>300.69682418427948</v>
      </c>
      <c r="DW33" s="1202">
        <f>DW351</f>
        <v>298.0909855813685</v>
      </c>
      <c r="DX33" s="1427">
        <f t="shared" si="160"/>
        <v>1212.2749781361936</v>
      </c>
      <c r="DY33" s="1202">
        <f>DY351</f>
        <v>309.86216102703736</v>
      </c>
      <c r="DZ33" s="1202">
        <f>DZ351</f>
        <v>297.07272330901321</v>
      </c>
      <c r="EA33" s="1202">
        <f>EA351</f>
        <v>296.75663707881063</v>
      </c>
      <c r="EB33" s="1202">
        <f>EB351</f>
        <v>293.09500889322953</v>
      </c>
      <c r="EC33" s="1427">
        <f t="shared" si="161"/>
        <v>1196.7865303080907</v>
      </c>
      <c r="ED33" s="1460"/>
      <c r="EE33" s="1470"/>
      <c r="EF33" s="1202">
        <f t="shared" si="136"/>
        <v>431</v>
      </c>
      <c r="EG33" s="1202">
        <f t="shared" si="137"/>
        <v>401</v>
      </c>
      <c r="EH33" s="1202">
        <f t="shared" si="138"/>
        <v>407</v>
      </c>
      <c r="EI33" s="1202">
        <f t="shared" si="139"/>
        <v>413</v>
      </c>
      <c r="EJ33" s="1202">
        <f t="shared" si="140"/>
        <v>549.79999999999995</v>
      </c>
      <c r="EK33" s="1202">
        <f t="shared" si="141"/>
        <v>339.2</v>
      </c>
      <c r="EL33" s="1202">
        <f t="shared" si="142"/>
        <v>299.29999999999995</v>
      </c>
      <c r="EM33" s="1202">
        <f t="shared" si="143"/>
        <v>236.20000000000002</v>
      </c>
      <c r="EN33" s="1202">
        <f t="shared" si="102"/>
        <v>343</v>
      </c>
      <c r="EO33" s="1202">
        <f t="shared" si="4"/>
        <v>424</v>
      </c>
      <c r="EP33" s="1202">
        <f t="shared" si="144"/>
        <v>314.3</v>
      </c>
      <c r="EQ33" s="1202">
        <f t="shared" si="145"/>
        <v>415.50000000000006</v>
      </c>
      <c r="ER33" s="1471">
        <f t="shared" si="146"/>
        <v>1177.0589307983166</v>
      </c>
      <c r="ES33" s="1460"/>
      <c r="ET33" s="1460"/>
      <c r="EU33" s="1460"/>
      <c r="EX33" s="1469" t="s">
        <v>392</v>
      </c>
      <c r="EY33" s="1473">
        <f t="shared" si="103"/>
        <v>301.30000000000007</v>
      </c>
      <c r="EZ33" s="1491">
        <v>95.540519898406728</v>
      </c>
      <c r="FA33" s="1473">
        <f t="shared" si="46"/>
        <v>205.75948010159334</v>
      </c>
      <c r="FB33" s="1473">
        <f t="shared" si="147"/>
        <v>121.9</v>
      </c>
      <c r="FC33" s="1474">
        <f t="shared" si="148"/>
        <v>1.4716981132075477</v>
      </c>
      <c r="FD33" s="1460"/>
      <c r="FE33"/>
      <c r="FF33"/>
      <c r="FG33"/>
      <c r="FH33"/>
      <c r="FI33"/>
      <c r="FJ33"/>
    </row>
    <row r="34" spans="1:166" s="1064" customFormat="1" ht="12.75" customHeight="1" collapsed="1" x14ac:dyDescent="0.2">
      <c r="A34" s="1465" t="s">
        <v>158</v>
      </c>
      <c r="B34" s="1465">
        <v>400</v>
      </c>
      <c r="C34" s="1470"/>
      <c r="D34" s="1202"/>
      <c r="E34" s="1202"/>
      <c r="F34" s="1471"/>
      <c r="G34" s="1465">
        <v>429</v>
      </c>
      <c r="H34" s="1470"/>
      <c r="I34" s="1202"/>
      <c r="J34" s="1202"/>
      <c r="K34" s="1202"/>
      <c r="L34" s="1465">
        <v>478</v>
      </c>
      <c r="M34" s="1202"/>
      <c r="N34" s="1202"/>
      <c r="O34" s="1202"/>
      <c r="P34" s="1202"/>
      <c r="Q34" s="1465">
        <v>474</v>
      </c>
      <c r="R34" s="1202">
        <v>109</v>
      </c>
      <c r="S34" s="1202">
        <v>123</v>
      </c>
      <c r="T34" s="1202">
        <v>124</v>
      </c>
      <c r="U34" s="1202">
        <v>131</v>
      </c>
      <c r="V34" s="1465">
        <v>487</v>
      </c>
      <c r="W34" s="1202">
        <f>SUM(W32:W33)</f>
        <v>101</v>
      </c>
      <c r="X34" s="1202">
        <f>SUM(X32:X33)</f>
        <v>106</v>
      </c>
      <c r="Y34" s="1202">
        <v>146</v>
      </c>
      <c r="Z34" s="1471">
        <v>135</v>
      </c>
      <c r="AA34" s="1462">
        <v>488</v>
      </c>
      <c r="AB34" s="1470">
        <f>AB33+AB32</f>
        <v>112</v>
      </c>
      <c r="AC34" s="1202">
        <f>AC33+AC32</f>
        <v>119</v>
      </c>
      <c r="AD34" s="1202">
        <v>115</v>
      </c>
      <c r="AE34" s="1202">
        <v>128</v>
      </c>
      <c r="AF34" s="1465">
        <f t="shared" si="61"/>
        <v>474</v>
      </c>
      <c r="AG34" s="1202">
        <v>119</v>
      </c>
      <c r="AH34" s="1202">
        <v>125</v>
      </c>
      <c r="AI34" s="1202">
        <f>SUM(AI32:AI33)</f>
        <v>126</v>
      </c>
      <c r="AJ34" s="1472">
        <v>130</v>
      </c>
      <c r="AK34" s="1462">
        <f t="shared" si="149"/>
        <v>500</v>
      </c>
      <c r="AL34" s="1202">
        <f>SUM(AL32:AL33)</f>
        <v>125</v>
      </c>
      <c r="AM34" s="1202">
        <v>120</v>
      </c>
      <c r="AN34" s="1202">
        <v>115</v>
      </c>
      <c r="AO34" s="1202">
        <f>SUM(AO32:AO33)</f>
        <v>130.69999999999999</v>
      </c>
      <c r="AP34" s="1465">
        <f t="shared" si="41"/>
        <v>490.7</v>
      </c>
      <c r="AQ34" s="1202">
        <f>SUM(AQ32:AQ33)</f>
        <v>132.5</v>
      </c>
      <c r="AR34" s="1202">
        <f>SUM(AR32:AR33)</f>
        <v>127</v>
      </c>
      <c r="AS34" s="1202">
        <v>117.8</v>
      </c>
      <c r="AT34" s="1202">
        <v>121.1</v>
      </c>
      <c r="AU34" s="1465">
        <f t="shared" si="43"/>
        <v>498.4</v>
      </c>
      <c r="AV34" s="1801"/>
      <c r="AW34" s="1202">
        <v>116.5</v>
      </c>
      <c r="AX34" s="1202">
        <v>119.3</v>
      </c>
      <c r="AY34" s="1202">
        <v>125</v>
      </c>
      <c r="AZ34" s="1202">
        <v>275.3</v>
      </c>
      <c r="BA34" s="1427">
        <f>SUM(BA32:BA33)</f>
        <v>636.09999999999991</v>
      </c>
      <c r="BB34" s="1461">
        <f>SUM(BB32:BB33)</f>
        <v>100.4</v>
      </c>
      <c r="BC34" s="1202">
        <f>SUM(BC32:BC33)</f>
        <v>99.300000000000011</v>
      </c>
      <c r="BD34" s="1202">
        <f>SUM(BD32:BD33)</f>
        <v>103.3</v>
      </c>
      <c r="BE34" s="1202">
        <f>SUM(BE32:BE33)</f>
        <v>114.4</v>
      </c>
      <c r="BF34" s="1427">
        <f t="shared" si="63"/>
        <v>417.4</v>
      </c>
      <c r="BG34" s="1202">
        <v>95</v>
      </c>
      <c r="BH34" s="1202">
        <f>SUM(BH32:BH33)</f>
        <v>95.800000000000011</v>
      </c>
      <c r="BI34" s="1202">
        <f>SUM(BI32:BI33)</f>
        <v>77.600000000000009</v>
      </c>
      <c r="BJ34" s="1202">
        <f>SUM(BJ32:BJ33)</f>
        <v>79.2</v>
      </c>
      <c r="BK34" s="1427">
        <v>347.6</v>
      </c>
      <c r="BL34" s="1202">
        <f>SUM(BL32:BL33)</f>
        <v>66.7</v>
      </c>
      <c r="BM34" s="1202">
        <v>61.5</v>
      </c>
      <c r="BN34" s="1202">
        <v>59.6</v>
      </c>
      <c r="BO34" s="1202">
        <v>54.6</v>
      </c>
      <c r="BP34" s="1427">
        <f t="shared" si="65"/>
        <v>242.39999999999998</v>
      </c>
      <c r="BQ34" s="1202">
        <v>48.2</v>
      </c>
      <c r="BR34" s="1202">
        <v>47</v>
      </c>
      <c r="BS34" s="1202">
        <v>78.3</v>
      </c>
      <c r="BT34" s="1202">
        <v>171.9</v>
      </c>
      <c r="BU34" s="1427">
        <f t="shared" si="150"/>
        <v>345.4</v>
      </c>
      <c r="BV34" s="1202">
        <v>92.3</v>
      </c>
      <c r="BW34" s="1202">
        <v>92</v>
      </c>
      <c r="BX34" s="1202">
        <v>94.4</v>
      </c>
      <c r="BY34" s="1202">
        <v>114.5</v>
      </c>
      <c r="BZ34" s="1427">
        <f t="shared" si="151"/>
        <v>393.20000000000005</v>
      </c>
      <c r="CA34" s="1202">
        <f>CA364</f>
        <v>111.00000000000001</v>
      </c>
      <c r="CB34" s="1202">
        <f>CB364</f>
        <v>102</v>
      </c>
      <c r="CC34" s="1202">
        <f>CC364</f>
        <v>104.3</v>
      </c>
      <c r="CD34" s="1202">
        <f>CD364</f>
        <v>120.40000000000002</v>
      </c>
      <c r="CE34" s="1427">
        <f t="shared" si="45"/>
        <v>437.70000000000005</v>
      </c>
      <c r="CF34" s="1202">
        <f>CF364</f>
        <v>73.200000000000017</v>
      </c>
      <c r="CG34" s="1202">
        <f>CG364</f>
        <v>73.100000000000009</v>
      </c>
      <c r="CH34" s="1202">
        <f>CH364</f>
        <v>82.2</v>
      </c>
      <c r="CI34" s="1202">
        <f>CI364</f>
        <v>90.100000000000009</v>
      </c>
      <c r="CJ34" s="1465">
        <f t="shared" si="152"/>
        <v>318.60000000000002</v>
      </c>
      <c r="CK34" s="1202">
        <f>CK364</f>
        <v>121.9</v>
      </c>
      <c r="CL34" s="1202">
        <f>CL364</f>
        <v>96.7</v>
      </c>
      <c r="CM34" s="1202">
        <f>CM364</f>
        <v>100.10000000000001</v>
      </c>
      <c r="CN34" s="1202">
        <f>CN364</f>
        <v>96.800000000000011</v>
      </c>
      <c r="CO34" s="1427">
        <f t="shared" si="153"/>
        <v>415.50000000000006</v>
      </c>
      <c r="CP34" s="1202">
        <f>CP364</f>
        <v>301.30000000000007</v>
      </c>
      <c r="CQ34" s="1202">
        <f>CQ364</f>
        <v>289.47364448316995</v>
      </c>
      <c r="CR34" s="1202">
        <f>CR364</f>
        <v>292.79276168348321</v>
      </c>
      <c r="CS34" s="1202">
        <f>CS364</f>
        <v>293.49252463166334</v>
      </c>
      <c r="CT34" s="1465">
        <f t="shared" si="154"/>
        <v>1177.0589307983166</v>
      </c>
      <c r="CU34" s="1202">
        <f>CU364</f>
        <v>294.2492645171564</v>
      </c>
      <c r="CV34" s="1202">
        <f>CV364</f>
        <v>293.70267604096864</v>
      </c>
      <c r="CW34" s="1202">
        <f>CW364</f>
        <v>296.58323836817056</v>
      </c>
      <c r="CX34" s="1202">
        <f>CX364</f>
        <v>297.50558029110903</v>
      </c>
      <c r="CY34" s="1427">
        <f t="shared" si="155"/>
        <v>1182.0407592174047</v>
      </c>
      <c r="CZ34" s="1202">
        <f>CZ364</f>
        <v>300.32270793443308</v>
      </c>
      <c r="DA34" s="1202">
        <f>DA364</f>
        <v>295.51779820811998</v>
      </c>
      <c r="DB34" s="1202">
        <f>DB364</f>
        <v>297.78933355717282</v>
      </c>
      <c r="DC34" s="1202">
        <f>DC364</f>
        <v>298.21499186438774</v>
      </c>
      <c r="DD34" s="1427">
        <f t="shared" si="156"/>
        <v>1191.8448315641135</v>
      </c>
      <c r="DE34" s="1202">
        <f>DE364</f>
        <v>304.30365033942252</v>
      </c>
      <c r="DF34" s="1202">
        <f>DF364</f>
        <v>297.69571109668829</v>
      </c>
      <c r="DG34" s="1202">
        <f>DG364</f>
        <v>301.58186158341152</v>
      </c>
      <c r="DH34" s="1202">
        <f>DH364</f>
        <v>301.42002125751827</v>
      </c>
      <c r="DI34" s="1427">
        <f t="shared" si="157"/>
        <v>1205.0012442770405</v>
      </c>
      <c r="DJ34" s="1202">
        <f>DJ364</f>
        <v>306.79886475986348</v>
      </c>
      <c r="DK34" s="1202">
        <f>DK364</f>
        <v>299.02504971424452</v>
      </c>
      <c r="DL34" s="1202">
        <f>DL364</f>
        <v>302.23960773551448</v>
      </c>
      <c r="DM34" s="1202">
        <f>DM364</f>
        <v>301.39641212391194</v>
      </c>
      <c r="DN34" s="1427">
        <f t="shared" si="158"/>
        <v>1209.4599343335344</v>
      </c>
      <c r="DO34" s="1202">
        <f>DO364</f>
        <v>309.44813363946912</v>
      </c>
      <c r="DP34" s="1202">
        <f>DP364</f>
        <v>300.2005649359287</v>
      </c>
      <c r="DQ34" s="1202">
        <f>DQ364</f>
        <v>302.45815177755929</v>
      </c>
      <c r="DR34" s="1202">
        <f>DR364</f>
        <v>300.78770461750196</v>
      </c>
      <c r="DS34" s="1427">
        <f t="shared" si="159"/>
        <v>1212.894554970459</v>
      </c>
      <c r="DT34" s="1202">
        <f>DT364</f>
        <v>313.86068509114926</v>
      </c>
      <c r="DU34" s="1202">
        <f>DU364</f>
        <v>299.62648327939644</v>
      </c>
      <c r="DV34" s="1202">
        <f>DV364</f>
        <v>300.69682418427948</v>
      </c>
      <c r="DW34" s="1202">
        <f>DW364</f>
        <v>298.0909855813685</v>
      </c>
      <c r="DX34" s="1427">
        <f t="shared" si="160"/>
        <v>1212.2749781361936</v>
      </c>
      <c r="DY34" s="1202">
        <f>DY364</f>
        <v>309.86216102703736</v>
      </c>
      <c r="DZ34" s="1202">
        <f>DZ364</f>
        <v>297.07272330901321</v>
      </c>
      <c r="EA34" s="1202">
        <f>EA364</f>
        <v>296.75663707881063</v>
      </c>
      <c r="EB34" s="1202">
        <f>EB364</f>
        <v>293.09500889322953</v>
      </c>
      <c r="EC34" s="1427">
        <f t="shared" si="161"/>
        <v>1196.7865303080907</v>
      </c>
      <c r="ED34" s="1460"/>
      <c r="EE34" s="1470">
        <f>X34+W34+U34+T34</f>
        <v>462</v>
      </c>
      <c r="EF34" s="1202">
        <f t="shared" si="136"/>
        <v>512</v>
      </c>
      <c r="EG34" s="1202">
        <f t="shared" si="137"/>
        <v>487</v>
      </c>
      <c r="EH34" s="1202">
        <f t="shared" si="138"/>
        <v>501</v>
      </c>
      <c r="EI34" s="1202">
        <f t="shared" si="139"/>
        <v>505.2</v>
      </c>
      <c r="EJ34" s="1202">
        <f t="shared" si="140"/>
        <v>636.1</v>
      </c>
      <c r="EK34" s="1202">
        <f t="shared" si="141"/>
        <v>417.4</v>
      </c>
      <c r="EL34" s="1202">
        <f t="shared" si="142"/>
        <v>347.6</v>
      </c>
      <c r="EM34" s="1202">
        <f t="shared" si="143"/>
        <v>242.39999999999998</v>
      </c>
      <c r="EN34" s="1202">
        <f t="shared" si="102"/>
        <v>345.4</v>
      </c>
      <c r="EO34" s="1202">
        <f t="shared" si="4"/>
        <v>437.70000000000005</v>
      </c>
      <c r="EP34" s="1202">
        <f t="shared" si="144"/>
        <v>318.60000000000002</v>
      </c>
      <c r="EQ34" s="1202">
        <f t="shared" si="145"/>
        <v>415.50000000000006</v>
      </c>
      <c r="ER34" s="1471">
        <f t="shared" si="146"/>
        <v>1177.0589307983166</v>
      </c>
      <c r="ES34" s="1460"/>
      <c r="ET34" s="1460"/>
      <c r="EU34" s="1460"/>
      <c r="EX34" s="1469" t="s">
        <v>158</v>
      </c>
      <c r="EY34" s="1473">
        <f t="shared" si="103"/>
        <v>301.30000000000007</v>
      </c>
      <c r="EZ34" s="1491">
        <v>95.540519898406728</v>
      </c>
      <c r="FA34" s="1473">
        <f t="shared" si="46"/>
        <v>205.75948010159334</v>
      </c>
      <c r="FB34" s="1473">
        <f t="shared" si="147"/>
        <v>121.9</v>
      </c>
      <c r="FC34" s="1474">
        <f t="shared" si="148"/>
        <v>1.4716981132075477</v>
      </c>
      <c r="FD34" s="1460"/>
      <c r="FE34"/>
      <c r="FF34"/>
      <c r="FG34"/>
      <c r="FH34"/>
      <c r="FI34"/>
      <c r="FJ34"/>
    </row>
    <row r="35" spans="1:166" s="1064" customFormat="1" ht="12.75" customHeight="1" x14ac:dyDescent="0.2">
      <c r="A35" s="1465" t="s">
        <v>267</v>
      </c>
      <c r="B35" s="1465"/>
      <c r="C35" s="1470"/>
      <c r="D35" s="1202"/>
      <c r="E35" s="1202"/>
      <c r="F35" s="1471"/>
      <c r="G35" s="1465"/>
      <c r="H35" s="1470"/>
      <c r="I35" s="1202"/>
      <c r="J35" s="1202"/>
      <c r="K35" s="1202"/>
      <c r="L35" s="1465"/>
      <c r="M35" s="1202"/>
      <c r="N35" s="1202"/>
      <c r="O35" s="1202"/>
      <c r="P35" s="1202"/>
      <c r="Q35" s="1465">
        <v>8</v>
      </c>
      <c r="R35" s="1202">
        <v>3</v>
      </c>
      <c r="S35" s="1202">
        <v>2</v>
      </c>
      <c r="T35" s="1202">
        <v>2</v>
      </c>
      <c r="U35" s="1202">
        <v>2</v>
      </c>
      <c r="V35" s="1465">
        <v>9</v>
      </c>
      <c r="W35" s="1202">
        <v>3</v>
      </c>
      <c r="X35" s="1202">
        <v>3</v>
      </c>
      <c r="Y35" s="1202">
        <v>2</v>
      </c>
      <c r="Z35" s="1471">
        <v>31</v>
      </c>
      <c r="AA35" s="1462">
        <v>39</v>
      </c>
      <c r="AB35" s="1470">
        <v>0</v>
      </c>
      <c r="AC35" s="1202">
        <v>0</v>
      </c>
      <c r="AD35" s="1202">
        <v>0</v>
      </c>
      <c r="AE35" s="1202"/>
      <c r="AF35" s="1465">
        <f t="shared" si="61"/>
        <v>0</v>
      </c>
      <c r="AG35" s="1202">
        <v>0</v>
      </c>
      <c r="AH35" s="1202"/>
      <c r="AI35" s="1202"/>
      <c r="AJ35" s="1472"/>
      <c r="AK35" s="1462">
        <f t="shared" si="149"/>
        <v>0</v>
      </c>
      <c r="AL35" s="1202"/>
      <c r="AM35" s="1202"/>
      <c r="AN35" s="1202"/>
      <c r="AO35" s="1202"/>
      <c r="AP35" s="1465">
        <f t="shared" si="41"/>
        <v>0</v>
      </c>
      <c r="AQ35" s="1202"/>
      <c r="AR35" s="1202"/>
      <c r="AS35" s="1202"/>
      <c r="AT35" s="1202"/>
      <c r="AU35" s="1465">
        <f t="shared" si="43"/>
        <v>0</v>
      </c>
      <c r="AV35" s="1801"/>
      <c r="AW35" s="1202"/>
      <c r="AX35" s="1202"/>
      <c r="AY35" s="1202"/>
      <c r="AZ35" s="1202"/>
      <c r="BA35" s="1427"/>
      <c r="BB35" s="1461"/>
      <c r="BC35" s="1202"/>
      <c r="BD35" s="1202"/>
      <c r="BE35" s="1204"/>
      <c r="BF35" s="1427">
        <f t="shared" si="63"/>
        <v>0</v>
      </c>
      <c r="BG35" s="1202"/>
      <c r="BH35" s="1202"/>
      <c r="BI35" s="1202"/>
      <c r="BJ35" s="1202"/>
      <c r="BK35" s="1427">
        <f t="shared" si="64"/>
        <v>0</v>
      </c>
      <c r="BL35" s="1204"/>
      <c r="BM35" s="1204"/>
      <c r="BN35" s="1204"/>
      <c r="BO35" s="1204"/>
      <c r="BP35" s="1427">
        <f t="shared" si="65"/>
        <v>0</v>
      </c>
      <c r="BQ35" s="1204"/>
      <c r="BR35" s="1202"/>
      <c r="BS35" s="1204"/>
      <c r="BT35" s="1204"/>
      <c r="BU35" s="1427">
        <f t="shared" si="150"/>
        <v>0</v>
      </c>
      <c r="BV35" s="1268"/>
      <c r="BW35" s="1268"/>
      <c r="BX35" s="1268"/>
      <c r="BY35" s="1268"/>
      <c r="BZ35" s="1427">
        <f t="shared" si="151"/>
        <v>0</v>
      </c>
      <c r="CA35" s="1204"/>
      <c r="CB35" s="1204"/>
      <c r="CC35" s="1202"/>
      <c r="CD35" s="1204"/>
      <c r="CE35" s="1427">
        <f t="shared" si="45"/>
        <v>0</v>
      </c>
      <c r="CF35" s="1204"/>
      <c r="CG35" s="1204"/>
      <c r="CH35" s="1204"/>
      <c r="CI35" s="1204"/>
      <c r="CJ35" s="1465">
        <f t="shared" si="152"/>
        <v>0</v>
      </c>
      <c r="CK35" s="1202"/>
      <c r="CL35" s="1202"/>
      <c r="CM35" s="1204"/>
      <c r="CN35" s="1202"/>
      <c r="CO35" s="1427">
        <f t="shared" si="153"/>
        <v>0</v>
      </c>
      <c r="CP35" s="1204"/>
      <c r="CQ35" s="1204"/>
      <c r="CR35" s="1204"/>
      <c r="CS35" s="1204"/>
      <c r="CT35" s="1465">
        <f t="shared" si="154"/>
        <v>0</v>
      </c>
      <c r="CU35" s="1204"/>
      <c r="CV35" s="1204"/>
      <c r="CW35" s="1204"/>
      <c r="CX35" s="1204"/>
      <c r="CY35" s="1427">
        <f t="shared" si="155"/>
        <v>0</v>
      </c>
      <c r="CZ35" s="1204"/>
      <c r="DA35" s="1204"/>
      <c r="DB35" s="1204"/>
      <c r="DC35" s="1204"/>
      <c r="DD35" s="1427">
        <f t="shared" si="156"/>
        <v>0</v>
      </c>
      <c r="DE35" s="1204"/>
      <c r="DF35" s="1204"/>
      <c r="DG35" s="1204"/>
      <c r="DH35" s="1204"/>
      <c r="DI35" s="1427">
        <f t="shared" si="157"/>
        <v>0</v>
      </c>
      <c r="DJ35" s="1204"/>
      <c r="DK35" s="1204"/>
      <c r="DL35" s="1204"/>
      <c r="DM35" s="1204"/>
      <c r="DN35" s="1427">
        <f t="shared" si="158"/>
        <v>0</v>
      </c>
      <c r="DO35" s="1204"/>
      <c r="DP35" s="1204"/>
      <c r="DQ35" s="1204"/>
      <c r="DR35" s="1204"/>
      <c r="DS35" s="1427">
        <f t="shared" si="159"/>
        <v>0</v>
      </c>
      <c r="DT35" s="1204"/>
      <c r="DU35" s="1204"/>
      <c r="DV35" s="1204"/>
      <c r="DW35" s="1204"/>
      <c r="DX35" s="1427">
        <f t="shared" si="160"/>
        <v>0</v>
      </c>
      <c r="DY35" s="1204"/>
      <c r="DZ35" s="1204"/>
      <c r="EA35" s="1204"/>
      <c r="EB35" s="1204"/>
      <c r="EC35" s="1427">
        <f t="shared" si="161"/>
        <v>0</v>
      </c>
      <c r="ED35" s="1460"/>
      <c r="EE35" s="1470">
        <f>X35+W35+U35+T35</f>
        <v>10</v>
      </c>
      <c r="EF35" s="1202">
        <f t="shared" si="136"/>
        <v>33</v>
      </c>
      <c r="EG35" s="1202">
        <f t="shared" si="137"/>
        <v>0</v>
      </c>
      <c r="EH35" s="1202">
        <f t="shared" si="138"/>
        <v>0</v>
      </c>
      <c r="EI35" s="1202">
        <f t="shared" si="139"/>
        <v>0</v>
      </c>
      <c r="EJ35" s="1202">
        <f t="shared" si="140"/>
        <v>0</v>
      </c>
      <c r="EK35" s="1202">
        <f t="shared" si="141"/>
        <v>0</v>
      </c>
      <c r="EL35" s="1202">
        <f t="shared" si="142"/>
        <v>0</v>
      </c>
      <c r="EM35" s="1202">
        <f t="shared" si="143"/>
        <v>0</v>
      </c>
      <c r="EN35" s="1202">
        <f t="shared" si="102"/>
        <v>0</v>
      </c>
      <c r="EO35" s="1202">
        <f t="shared" si="4"/>
        <v>0</v>
      </c>
      <c r="EP35" s="1202">
        <f t="shared" si="144"/>
        <v>0</v>
      </c>
      <c r="EQ35" s="1202">
        <f t="shared" si="145"/>
        <v>0</v>
      </c>
      <c r="ER35" s="1471">
        <f t="shared" si="146"/>
        <v>0</v>
      </c>
      <c r="ES35" s="1460"/>
      <c r="ET35" s="1460"/>
      <c r="EU35" s="1460"/>
      <c r="EX35" s="1469" t="s">
        <v>267</v>
      </c>
      <c r="EY35" s="1473">
        <f t="shared" si="103"/>
        <v>0</v>
      </c>
      <c r="EZ35" s="1491">
        <v>0</v>
      </c>
      <c r="FA35" s="1473">
        <f t="shared" si="46"/>
        <v>0</v>
      </c>
      <c r="FB35" s="1473">
        <f t="shared" si="147"/>
        <v>0</v>
      </c>
      <c r="FC35" s="1474"/>
      <c r="FD35" s="1460"/>
      <c r="FE35"/>
      <c r="FF35"/>
      <c r="FG35"/>
      <c r="FH35"/>
      <c r="FI35"/>
      <c r="FJ35"/>
    </row>
    <row r="36" spans="1:166" s="1064" customFormat="1" ht="12.75" customHeight="1" x14ac:dyDescent="0.2">
      <c r="A36" s="1465" t="s">
        <v>224</v>
      </c>
      <c r="B36" s="1465">
        <v>43</v>
      </c>
      <c r="C36" s="1470"/>
      <c r="D36" s="1202"/>
      <c r="E36" s="1202"/>
      <c r="F36" s="1471"/>
      <c r="G36" s="1465">
        <v>5</v>
      </c>
      <c r="H36" s="1470"/>
      <c r="I36" s="1202"/>
      <c r="J36" s="1202"/>
      <c r="K36" s="1202"/>
      <c r="L36" s="1465">
        <v>875</v>
      </c>
      <c r="M36" s="1202"/>
      <c r="N36" s="1202"/>
      <c r="O36" s="1202"/>
      <c r="P36" s="1202"/>
      <c r="Q36" s="1465">
        <v>0</v>
      </c>
      <c r="R36" s="1201"/>
      <c r="S36" s="1202"/>
      <c r="T36" s="1202"/>
      <c r="U36" s="1202">
        <v>0</v>
      </c>
      <c r="V36" s="1465">
        <v>0</v>
      </c>
      <c r="W36" s="1201">
        <v>0</v>
      </c>
      <c r="X36" s="1202"/>
      <c r="Y36" s="1202"/>
      <c r="Z36" s="1471"/>
      <c r="AA36" s="1462">
        <v>0</v>
      </c>
      <c r="AB36" s="1470">
        <v>0</v>
      </c>
      <c r="AC36" s="1202"/>
      <c r="AD36" s="1202"/>
      <c r="AE36" s="1202"/>
      <c r="AF36" s="1465">
        <f t="shared" si="61"/>
        <v>0</v>
      </c>
      <c r="AG36" s="1202"/>
      <c r="AH36" s="1202"/>
      <c r="AI36" s="1202"/>
      <c r="AJ36" s="1472"/>
      <c r="AK36" s="1462">
        <f t="shared" si="149"/>
        <v>0</v>
      </c>
      <c r="AL36" s="1202"/>
      <c r="AM36" s="1202"/>
      <c r="AN36" s="1202"/>
      <c r="AO36" s="1202"/>
      <c r="AP36" s="1465">
        <f t="shared" si="41"/>
        <v>0</v>
      </c>
      <c r="AQ36" s="1202"/>
      <c r="AR36" s="1202"/>
      <c r="AS36" s="1202"/>
      <c r="AT36" s="1202"/>
      <c r="AU36" s="1465">
        <f t="shared" si="43"/>
        <v>0</v>
      </c>
      <c r="AV36" s="1801"/>
      <c r="AW36" s="1202"/>
      <c r="AX36" s="1202"/>
      <c r="AY36" s="1202"/>
      <c r="AZ36" s="1202"/>
      <c r="BA36" s="1427"/>
      <c r="BB36" s="1461"/>
      <c r="BC36" s="1202"/>
      <c r="BD36" s="1202"/>
      <c r="BE36" s="1202"/>
      <c r="BF36" s="1427">
        <f t="shared" si="63"/>
        <v>0</v>
      </c>
      <c r="BG36" s="1202"/>
      <c r="BH36" s="1202"/>
      <c r="BI36" s="1202"/>
      <c r="BJ36" s="1202"/>
      <c r="BK36" s="1427">
        <f t="shared" si="64"/>
        <v>0</v>
      </c>
      <c r="BL36" s="1202"/>
      <c r="BM36" s="1202"/>
      <c r="BN36" s="1202"/>
      <c r="BO36" s="1202"/>
      <c r="BP36" s="1427">
        <f t="shared" si="65"/>
        <v>0</v>
      </c>
      <c r="BQ36" s="1202"/>
      <c r="BR36" s="1202"/>
      <c r="BS36" s="1202"/>
      <c r="BT36" s="1202"/>
      <c r="BU36" s="1427">
        <f t="shared" si="150"/>
        <v>0</v>
      </c>
      <c r="BV36" s="1268"/>
      <c r="BW36" s="1268"/>
      <c r="BX36" s="1268"/>
      <c r="BY36" s="1268"/>
      <c r="BZ36" s="1427">
        <f t="shared" si="151"/>
        <v>0</v>
      </c>
      <c r="CA36" s="1202"/>
      <c r="CB36" s="1202"/>
      <c r="CC36" s="1202"/>
      <c r="CD36" s="1202"/>
      <c r="CE36" s="1427">
        <f t="shared" si="45"/>
        <v>0</v>
      </c>
      <c r="CF36" s="1202"/>
      <c r="CG36" s="1202"/>
      <c r="CH36" s="1202"/>
      <c r="CI36" s="1202"/>
      <c r="CJ36" s="1465">
        <f t="shared" si="152"/>
        <v>0</v>
      </c>
      <c r="CK36" s="1202"/>
      <c r="CL36" s="1202"/>
      <c r="CM36" s="1202"/>
      <c r="CN36" s="1202"/>
      <c r="CO36" s="1427">
        <f t="shared" si="153"/>
        <v>0</v>
      </c>
      <c r="CP36" s="1202"/>
      <c r="CQ36" s="1202"/>
      <c r="CR36" s="1202"/>
      <c r="CS36" s="1202"/>
      <c r="CT36" s="1465">
        <f t="shared" si="154"/>
        <v>0</v>
      </c>
      <c r="CU36" s="1202"/>
      <c r="CV36" s="1202"/>
      <c r="CW36" s="1202"/>
      <c r="CX36" s="1202"/>
      <c r="CY36" s="1427">
        <f t="shared" si="155"/>
        <v>0</v>
      </c>
      <c r="CZ36" s="1202"/>
      <c r="DA36" s="1202"/>
      <c r="DB36" s="1202"/>
      <c r="DC36" s="1202"/>
      <c r="DD36" s="1427">
        <f t="shared" si="156"/>
        <v>0</v>
      </c>
      <c r="DE36" s="1202"/>
      <c r="DF36" s="1202"/>
      <c r="DG36" s="1202"/>
      <c r="DH36" s="1202"/>
      <c r="DI36" s="1427">
        <f t="shared" si="157"/>
        <v>0</v>
      </c>
      <c r="DJ36" s="1202"/>
      <c r="DK36" s="1202"/>
      <c r="DL36" s="1202"/>
      <c r="DM36" s="1202"/>
      <c r="DN36" s="1427">
        <f t="shared" si="158"/>
        <v>0</v>
      </c>
      <c r="DO36" s="1202"/>
      <c r="DP36" s="1202"/>
      <c r="DQ36" s="1202"/>
      <c r="DR36" s="1202"/>
      <c r="DS36" s="1427">
        <f t="shared" si="159"/>
        <v>0</v>
      </c>
      <c r="DT36" s="1202"/>
      <c r="DU36" s="1202"/>
      <c r="DV36" s="1202"/>
      <c r="DW36" s="1202"/>
      <c r="DX36" s="1427">
        <f t="shared" si="160"/>
        <v>0</v>
      </c>
      <c r="DY36" s="1202"/>
      <c r="DZ36" s="1202"/>
      <c r="EA36" s="1202"/>
      <c r="EB36" s="1202"/>
      <c r="EC36" s="1427">
        <f t="shared" si="161"/>
        <v>0</v>
      </c>
      <c r="ED36" s="1460"/>
      <c r="EE36" s="1470">
        <f>X36+W36+U36+T36</f>
        <v>0</v>
      </c>
      <c r="EF36" s="1202">
        <f t="shared" si="136"/>
        <v>0</v>
      </c>
      <c r="EG36" s="1202">
        <f t="shared" si="137"/>
        <v>0</v>
      </c>
      <c r="EH36" s="1202">
        <f t="shared" si="138"/>
        <v>0</v>
      </c>
      <c r="EI36" s="1202">
        <f t="shared" si="139"/>
        <v>0</v>
      </c>
      <c r="EJ36" s="1202">
        <f t="shared" si="140"/>
        <v>0</v>
      </c>
      <c r="EK36" s="1202">
        <f t="shared" si="141"/>
        <v>0</v>
      </c>
      <c r="EL36" s="1202">
        <f t="shared" si="142"/>
        <v>0</v>
      </c>
      <c r="EM36" s="1202">
        <f t="shared" si="143"/>
        <v>0</v>
      </c>
      <c r="EN36" s="1202">
        <f t="shared" si="102"/>
        <v>0</v>
      </c>
      <c r="EO36" s="1202">
        <f t="shared" si="4"/>
        <v>0</v>
      </c>
      <c r="EP36" s="1202">
        <f t="shared" si="144"/>
        <v>0</v>
      </c>
      <c r="EQ36" s="1202">
        <f t="shared" si="145"/>
        <v>0</v>
      </c>
      <c r="ER36" s="1471">
        <f t="shared" si="146"/>
        <v>0</v>
      </c>
      <c r="ES36" s="1460"/>
      <c r="ET36" s="1460"/>
      <c r="EU36" s="1460"/>
      <c r="EX36" s="1469" t="s">
        <v>224</v>
      </c>
      <c r="EY36" s="1473">
        <f t="shared" si="103"/>
        <v>0</v>
      </c>
      <c r="EZ36" s="1473">
        <v>0</v>
      </c>
      <c r="FA36" s="1473">
        <f t="shared" si="46"/>
        <v>0</v>
      </c>
      <c r="FB36" s="1473">
        <f t="shared" si="147"/>
        <v>0</v>
      </c>
      <c r="FC36" s="1474"/>
      <c r="FD36" s="1460"/>
      <c r="FE36"/>
      <c r="FF36"/>
      <c r="FG36"/>
      <c r="FH36"/>
      <c r="FI36"/>
      <c r="FJ36"/>
    </row>
    <row r="37" spans="1:166" s="1064" customFormat="1" ht="12.75" customHeight="1" x14ac:dyDescent="0.2">
      <c r="A37" s="1465" t="s">
        <v>610</v>
      </c>
      <c r="B37" s="1465"/>
      <c r="C37" s="1470"/>
      <c r="D37" s="1202"/>
      <c r="E37" s="1202"/>
      <c r="F37" s="1471"/>
      <c r="G37" s="1465"/>
      <c r="H37" s="1470"/>
      <c r="I37" s="1202"/>
      <c r="J37" s="1202"/>
      <c r="K37" s="1202"/>
      <c r="L37" s="1465"/>
      <c r="M37" s="1202"/>
      <c r="N37" s="1202"/>
      <c r="O37" s="1202"/>
      <c r="P37" s="1202"/>
      <c r="Q37" s="1465"/>
      <c r="R37" s="1201"/>
      <c r="S37" s="1202"/>
      <c r="T37" s="1202"/>
      <c r="U37" s="1202"/>
      <c r="V37" s="1465"/>
      <c r="W37" s="1201"/>
      <c r="X37" s="1202"/>
      <c r="Y37" s="1202"/>
      <c r="Z37" s="1471"/>
      <c r="AA37" s="1462"/>
      <c r="AB37" s="1470"/>
      <c r="AC37" s="1202"/>
      <c r="AD37" s="1202"/>
      <c r="AE37" s="1202"/>
      <c r="AF37" s="1465"/>
      <c r="AG37" s="1202"/>
      <c r="AH37" s="1202"/>
      <c r="AI37" s="1202"/>
      <c r="AJ37" s="1472"/>
      <c r="AK37" s="1462"/>
      <c r="AL37" s="1202"/>
      <c r="AM37" s="1202"/>
      <c r="AN37" s="1202"/>
      <c r="AO37" s="1202"/>
      <c r="AP37" s="1465"/>
      <c r="AQ37" s="1202"/>
      <c r="AR37" s="1202"/>
      <c r="AS37" s="1202"/>
      <c r="AT37" s="1202"/>
      <c r="AU37" s="1465"/>
      <c r="AV37" s="1438"/>
      <c r="AW37" s="1202"/>
      <c r="AX37" s="1202"/>
      <c r="AY37" s="1202"/>
      <c r="AZ37" s="1202"/>
      <c r="BA37" s="1427"/>
      <c r="BB37" s="1461">
        <f>BB318</f>
        <v>0.4</v>
      </c>
      <c r="BC37" s="1202">
        <f t="shared" ref="BC37:BE37" si="162">BC318</f>
        <v>0.3</v>
      </c>
      <c r="BD37" s="1202">
        <f t="shared" si="162"/>
        <v>0.2</v>
      </c>
      <c r="BE37" s="1202">
        <f t="shared" si="162"/>
        <v>0.3</v>
      </c>
      <c r="BF37" s="1427">
        <f t="shared" si="63"/>
        <v>1.2</v>
      </c>
      <c r="BG37" s="1461">
        <f>BG318</f>
        <v>1.2</v>
      </c>
      <c r="BH37" s="1202">
        <f t="shared" ref="BH37:BJ37" si="163">BH318</f>
        <v>0.6</v>
      </c>
      <c r="BI37" s="1202">
        <f t="shared" si="163"/>
        <v>-0.4</v>
      </c>
      <c r="BJ37" s="1202">
        <f t="shared" si="163"/>
        <v>2.7</v>
      </c>
      <c r="BK37" s="1427">
        <f t="shared" si="64"/>
        <v>4.0999999999999996</v>
      </c>
      <c r="BL37" s="1461">
        <f>BL318</f>
        <v>5.2</v>
      </c>
      <c r="BM37" s="1202">
        <f t="shared" ref="BM37:BO37" si="164">BM318</f>
        <v>1.6</v>
      </c>
      <c r="BN37" s="1202">
        <f t="shared" si="164"/>
        <v>2.9</v>
      </c>
      <c r="BO37" s="1202">
        <f t="shared" si="164"/>
        <v>3</v>
      </c>
      <c r="BP37" s="1427">
        <f t="shared" si="65"/>
        <v>12.700000000000001</v>
      </c>
      <c r="BQ37" s="1461">
        <f>BQ318</f>
        <v>4</v>
      </c>
      <c r="BR37" s="1202">
        <f t="shared" ref="BR37:BT37" si="165">BR318</f>
        <v>5.9</v>
      </c>
      <c r="BS37" s="1202">
        <f t="shared" si="165"/>
        <v>-4.0999999999999996</v>
      </c>
      <c r="BT37" s="1202">
        <f t="shared" si="165"/>
        <v>3.3999999999999986</v>
      </c>
      <c r="BU37" s="1427">
        <f t="shared" si="150"/>
        <v>9.1999999999999993</v>
      </c>
      <c r="BV37" s="1461">
        <v>1</v>
      </c>
      <c r="BW37" s="1202">
        <v>2.2999999999999998</v>
      </c>
      <c r="BX37" s="1202">
        <v>-7.8</v>
      </c>
      <c r="BY37" s="1202">
        <v>0.6</v>
      </c>
      <c r="BZ37" s="1427">
        <f t="shared" si="151"/>
        <v>-3.9</v>
      </c>
      <c r="CA37" s="1461">
        <v>-1.7</v>
      </c>
      <c r="CB37" s="1202">
        <v>6.4</v>
      </c>
      <c r="CC37" s="1202">
        <v>1</v>
      </c>
      <c r="CD37" s="1202">
        <v>-1.6</v>
      </c>
      <c r="CE37" s="1427">
        <f t="shared" si="45"/>
        <v>4.0999999999999996</v>
      </c>
      <c r="CF37" s="1461">
        <v>-18.5</v>
      </c>
      <c r="CG37" s="1202">
        <v>4.5</v>
      </c>
      <c r="CH37" s="1202">
        <v>-2.6</v>
      </c>
      <c r="CI37" s="1202">
        <v>-3.6</v>
      </c>
      <c r="CJ37" s="1465">
        <f t="shared" si="152"/>
        <v>-20.200000000000003</v>
      </c>
      <c r="CK37" s="1201">
        <v>-5.7</v>
      </c>
      <c r="CL37" s="1202">
        <v>0.9</v>
      </c>
      <c r="CM37" s="1202">
        <v>-4.0999999999999996</v>
      </c>
      <c r="CN37" s="1202">
        <v>-3.5</v>
      </c>
      <c r="CO37" s="1427">
        <f t="shared" si="153"/>
        <v>-12.399999999999999</v>
      </c>
      <c r="CP37" s="1461">
        <v>-14.3</v>
      </c>
      <c r="CQ37" s="1202">
        <f t="shared" ref="CQ37:CS37" si="166">CQ318</f>
        <v>-3</v>
      </c>
      <c r="CR37" s="1202">
        <f t="shared" si="166"/>
        <v>-5</v>
      </c>
      <c r="CS37" s="1202">
        <f t="shared" si="166"/>
        <v>-4</v>
      </c>
      <c r="CT37" s="1465">
        <f t="shared" si="154"/>
        <v>-26.3</v>
      </c>
      <c r="CU37" s="1201">
        <f>CU318</f>
        <v>-7</v>
      </c>
      <c r="CV37" s="1202">
        <f t="shared" ref="CV37:CX37" si="167">CV318</f>
        <v>-6</v>
      </c>
      <c r="CW37" s="1202">
        <f t="shared" si="167"/>
        <v>-6</v>
      </c>
      <c r="CX37" s="1202">
        <f t="shared" si="167"/>
        <v>-5</v>
      </c>
      <c r="CY37" s="1427">
        <f t="shared" si="155"/>
        <v>-24</v>
      </c>
      <c r="CZ37" s="1461">
        <f>CZ318</f>
        <v>-8</v>
      </c>
      <c r="DA37" s="1202">
        <f t="shared" ref="DA37:DC37" si="168">DA318</f>
        <v>-7</v>
      </c>
      <c r="DB37" s="1202">
        <f t="shared" si="168"/>
        <v>-7</v>
      </c>
      <c r="DC37" s="1202">
        <f t="shared" si="168"/>
        <v>-6</v>
      </c>
      <c r="DD37" s="1427">
        <f t="shared" si="156"/>
        <v>-28</v>
      </c>
      <c r="DE37" s="1461">
        <f>DE318</f>
        <v>-7</v>
      </c>
      <c r="DF37" s="1202">
        <f t="shared" ref="DF37:DH37" si="169">DF318</f>
        <v>-7</v>
      </c>
      <c r="DG37" s="1202">
        <f t="shared" si="169"/>
        <v>-7</v>
      </c>
      <c r="DH37" s="1202">
        <f t="shared" si="169"/>
        <v>-7</v>
      </c>
      <c r="DI37" s="1427">
        <f t="shared" si="157"/>
        <v>-28</v>
      </c>
      <c r="DJ37" s="1461">
        <f>DJ318</f>
        <v>-8.5</v>
      </c>
      <c r="DK37" s="1202">
        <f t="shared" ref="DK37:DM37" si="170">DK318</f>
        <v>-8.5</v>
      </c>
      <c r="DL37" s="1202">
        <f t="shared" si="170"/>
        <v>-8.5</v>
      </c>
      <c r="DM37" s="1202">
        <f t="shared" si="170"/>
        <v>-8.5</v>
      </c>
      <c r="DN37" s="1427">
        <f t="shared" si="158"/>
        <v>-34</v>
      </c>
      <c r="DO37" s="1461">
        <f>DO318</f>
        <v>-10</v>
      </c>
      <c r="DP37" s="1202">
        <f t="shared" ref="DP37:DR37" si="171">DP318</f>
        <v>-10</v>
      </c>
      <c r="DQ37" s="1202">
        <f t="shared" si="171"/>
        <v>-10</v>
      </c>
      <c r="DR37" s="1202">
        <f t="shared" si="171"/>
        <v>-10</v>
      </c>
      <c r="DS37" s="1427">
        <f t="shared" si="159"/>
        <v>-40</v>
      </c>
      <c r="DT37" s="1461">
        <f>DT318</f>
        <v>-11.5</v>
      </c>
      <c r="DU37" s="1202">
        <f t="shared" ref="DU37:DW37" si="172">DU318</f>
        <v>-11.5</v>
      </c>
      <c r="DV37" s="1202">
        <f t="shared" si="172"/>
        <v>-11.5</v>
      </c>
      <c r="DW37" s="1202">
        <f t="shared" si="172"/>
        <v>-11.5</v>
      </c>
      <c r="DX37" s="1427">
        <f t="shared" si="160"/>
        <v>-46</v>
      </c>
      <c r="DY37" s="1461">
        <f>DY318</f>
        <v>-13</v>
      </c>
      <c r="DZ37" s="1202">
        <f t="shared" ref="DZ37:EB37" si="173">DZ318</f>
        <v>-13</v>
      </c>
      <c r="EA37" s="1202">
        <f t="shared" si="173"/>
        <v>-13</v>
      </c>
      <c r="EB37" s="1202">
        <f t="shared" si="173"/>
        <v>-13</v>
      </c>
      <c r="EC37" s="1427">
        <f t="shared" si="161"/>
        <v>-52</v>
      </c>
      <c r="ED37" s="1460"/>
      <c r="EE37" s="1470"/>
      <c r="EF37" s="1202"/>
      <c r="EG37" s="1202"/>
      <c r="EH37" s="1202"/>
      <c r="EI37" s="1202"/>
      <c r="EJ37" s="1202"/>
      <c r="EK37" s="1202"/>
      <c r="EL37" s="1202"/>
      <c r="EM37" s="1202"/>
      <c r="EN37" s="1202"/>
      <c r="EO37" s="1202"/>
      <c r="EP37" s="1202"/>
      <c r="EQ37" s="1202"/>
      <c r="ER37" s="1471"/>
      <c r="ES37" s="1460"/>
      <c r="ET37" s="1460"/>
      <c r="EU37" s="1460"/>
      <c r="EX37" s="1469" t="s">
        <v>610</v>
      </c>
      <c r="EY37" s="1473">
        <f t="shared" si="103"/>
        <v>-14.3</v>
      </c>
      <c r="EZ37" s="1473">
        <v>-6</v>
      </c>
      <c r="FA37" s="1473"/>
      <c r="FB37" s="1473">
        <f t="shared" si="147"/>
        <v>-5.7</v>
      </c>
      <c r="FC37" s="1474"/>
      <c r="FD37" s="1460"/>
      <c r="FE37"/>
      <c r="FF37"/>
      <c r="FG37"/>
      <c r="FH37"/>
      <c r="FI37"/>
      <c r="FJ37"/>
    </row>
    <row r="38" spans="1:166" s="1064" customFormat="1" ht="12.75" customHeight="1" x14ac:dyDescent="0.35">
      <c r="A38" s="1594" t="s">
        <v>225</v>
      </c>
      <c r="B38" s="1475">
        <v>114</v>
      </c>
      <c r="C38" s="1476"/>
      <c r="D38" s="1203"/>
      <c r="E38" s="1203"/>
      <c r="F38" s="1477"/>
      <c r="G38" s="1475">
        <v>45</v>
      </c>
      <c r="H38" s="1476"/>
      <c r="I38" s="1203"/>
      <c r="J38" s="1203"/>
      <c r="K38" s="1203"/>
      <c r="L38" s="1475">
        <v>32</v>
      </c>
      <c r="M38" s="1203"/>
      <c r="N38" s="1203"/>
      <c r="O38" s="1203"/>
      <c r="P38" s="1203"/>
      <c r="Q38" s="1475">
        <v>54</v>
      </c>
      <c r="R38" s="1203">
        <v>1</v>
      </c>
      <c r="S38" s="1203">
        <v>2</v>
      </c>
      <c r="T38" s="1203">
        <v>15</v>
      </c>
      <c r="U38" s="1203">
        <v>16</v>
      </c>
      <c r="V38" s="1475">
        <v>34</v>
      </c>
      <c r="W38" s="1203">
        <v>-1</v>
      </c>
      <c r="X38" s="1203">
        <v>-2</v>
      </c>
      <c r="Y38" s="1203">
        <v>-2</v>
      </c>
      <c r="Z38" s="1477">
        <v>3</v>
      </c>
      <c r="AA38" s="1502">
        <v>-2</v>
      </c>
      <c r="AB38" s="1503">
        <v>-7</v>
      </c>
      <c r="AC38" s="1504">
        <v>-1</v>
      </c>
      <c r="AD38" s="1504">
        <v>2</v>
      </c>
      <c r="AE38" s="1504">
        <v>5</v>
      </c>
      <c r="AF38" s="1505">
        <f t="shared" si="61"/>
        <v>-1</v>
      </c>
      <c r="AG38" s="1504">
        <v>0</v>
      </c>
      <c r="AH38" s="1504">
        <v>-1</v>
      </c>
      <c r="AI38" s="1504">
        <v>-6</v>
      </c>
      <c r="AJ38" s="1506">
        <v>8</v>
      </c>
      <c r="AK38" s="1502">
        <f t="shared" si="149"/>
        <v>1</v>
      </c>
      <c r="AL38" s="1504">
        <v>9</v>
      </c>
      <c r="AM38" s="1504">
        <v>6</v>
      </c>
      <c r="AN38" s="1504">
        <v>-1</v>
      </c>
      <c r="AO38" s="1504">
        <v>-8.6</v>
      </c>
      <c r="AP38" s="1505">
        <f t="shared" si="41"/>
        <v>5.4</v>
      </c>
      <c r="AQ38" s="1504">
        <v>-1.6</v>
      </c>
      <c r="AR38" s="1504">
        <v>4.0999999999999996</v>
      </c>
      <c r="AS38" s="1203">
        <v>-4.5</v>
      </c>
      <c r="AT38" s="1203">
        <v>-1.3</v>
      </c>
      <c r="AU38" s="1505">
        <f t="shared" si="43"/>
        <v>-3.3000000000000007</v>
      </c>
      <c r="AV38" s="1077"/>
      <c r="AW38" s="1504">
        <v>-4.5</v>
      </c>
      <c r="AX38" s="1504">
        <v>-1.3</v>
      </c>
      <c r="AY38" s="1504">
        <v>-5.4</v>
      </c>
      <c r="AZ38" s="1504">
        <v>-7</v>
      </c>
      <c r="BA38" s="1428">
        <f>SUM(AW38:AZ38)</f>
        <v>-18.2</v>
      </c>
      <c r="BB38" s="1205">
        <f>BB308</f>
        <v>7.4</v>
      </c>
      <c r="BC38" s="1504">
        <f t="shared" ref="BC38:BE38" si="174">BC308</f>
        <v>4.4000000000000004</v>
      </c>
      <c r="BD38" s="1504">
        <f t="shared" si="174"/>
        <v>-2.9000000000000004</v>
      </c>
      <c r="BE38" s="1504">
        <f t="shared" si="174"/>
        <v>1.1999999999999993</v>
      </c>
      <c r="BF38" s="1428">
        <f t="shared" si="63"/>
        <v>10.1</v>
      </c>
      <c r="BG38" s="1205">
        <f>BG308</f>
        <v>11.8</v>
      </c>
      <c r="BH38" s="1504">
        <f t="shared" ref="BH38:BJ38" si="175">BH308</f>
        <v>-17.7</v>
      </c>
      <c r="BI38" s="1504">
        <f t="shared" si="175"/>
        <v>30.699999999999996</v>
      </c>
      <c r="BJ38" s="1504">
        <f t="shared" si="175"/>
        <v>24.400000000000002</v>
      </c>
      <c r="BK38" s="1428">
        <f t="shared" si="64"/>
        <v>49.2</v>
      </c>
      <c r="BL38" s="1205">
        <f>BL308</f>
        <v>9</v>
      </c>
      <c r="BM38" s="1504">
        <f t="shared" ref="BM38:BO38" si="176">BM308</f>
        <v>-1.3</v>
      </c>
      <c r="BN38" s="1504">
        <f t="shared" si="176"/>
        <v>3.6999999999999997</v>
      </c>
      <c r="BO38" s="1504">
        <f t="shared" si="176"/>
        <v>9.9</v>
      </c>
      <c r="BP38" s="1428">
        <f t="shared" si="65"/>
        <v>21.3</v>
      </c>
      <c r="BQ38" s="1205">
        <f>BQ308</f>
        <v>4.5</v>
      </c>
      <c r="BR38" s="1504">
        <f t="shared" ref="BR38:CD38" si="177">BR308</f>
        <v>5.3999999999999986</v>
      </c>
      <c r="BS38" s="1504">
        <f t="shared" si="177"/>
        <v>145.9</v>
      </c>
      <c r="BT38" s="1504">
        <f t="shared" si="177"/>
        <v>171.1</v>
      </c>
      <c r="BU38" s="1428">
        <f t="shared" si="150"/>
        <v>326.89999999999998</v>
      </c>
      <c r="BV38" s="1205">
        <v>8.4</v>
      </c>
      <c r="BW38" s="1504">
        <v>5.4</v>
      </c>
      <c r="BX38" s="1504">
        <v>-0.8</v>
      </c>
      <c r="BY38" s="1504">
        <v>26.1</v>
      </c>
      <c r="BZ38" s="1428">
        <f t="shared" si="151"/>
        <v>39.1</v>
      </c>
      <c r="CA38" s="1504">
        <f t="shared" si="177"/>
        <v>37.6</v>
      </c>
      <c r="CB38" s="1504">
        <v>35.200000000000003</v>
      </c>
      <c r="CC38" s="1504">
        <f t="shared" si="177"/>
        <v>9.4</v>
      </c>
      <c r="CD38" s="1504">
        <f t="shared" si="177"/>
        <v>23.300000000000004</v>
      </c>
      <c r="CE38" s="1428">
        <f t="shared" si="45"/>
        <v>105.50000000000003</v>
      </c>
      <c r="CF38" s="1205">
        <f>CF308</f>
        <v>40.800000000000004</v>
      </c>
      <c r="CG38" s="1504">
        <f t="shared" ref="CG38:CK38" si="178">CG308</f>
        <v>-11.299999999999999</v>
      </c>
      <c r="CH38" s="1504">
        <f t="shared" si="178"/>
        <v>8.6999999999999993</v>
      </c>
      <c r="CI38" s="1504">
        <v>-38.9</v>
      </c>
      <c r="CJ38" s="1505">
        <f t="shared" si="152"/>
        <v>-0.69999999999999574</v>
      </c>
      <c r="CK38" s="1504">
        <f t="shared" si="178"/>
        <v>13.8</v>
      </c>
      <c r="CL38" s="1504">
        <f t="shared" ref="CL38:CN38" si="179">CL308</f>
        <v>46.8</v>
      </c>
      <c r="CM38" s="1504">
        <f t="shared" si="179"/>
        <v>21.5</v>
      </c>
      <c r="CN38" s="1504">
        <f t="shared" si="179"/>
        <v>27.1</v>
      </c>
      <c r="CO38" s="1428">
        <f t="shared" si="153"/>
        <v>109.19999999999999</v>
      </c>
      <c r="CP38" s="1205">
        <f>CP308</f>
        <v>12.7</v>
      </c>
      <c r="CQ38" s="1504">
        <f t="shared" ref="CQ38:CS38" si="180">CQ308</f>
        <v>30.255000000000003</v>
      </c>
      <c r="CR38" s="1504">
        <f t="shared" si="180"/>
        <v>23.484999999999999</v>
      </c>
      <c r="CS38" s="1504">
        <f t="shared" si="180"/>
        <v>25.374999999999996</v>
      </c>
      <c r="CT38" s="1505">
        <f t="shared" si="154"/>
        <v>91.814999999999998</v>
      </c>
      <c r="CU38" s="1507">
        <f>CU308</f>
        <v>14.708749999999998</v>
      </c>
      <c r="CV38" s="1504">
        <f t="shared" ref="CV38:CX38" si="181">CV308</f>
        <v>30.070249999999998</v>
      </c>
      <c r="CW38" s="1504">
        <f t="shared" si="181"/>
        <v>22.961749999999999</v>
      </c>
      <c r="CX38" s="1504">
        <f t="shared" si="181"/>
        <v>24.946249999999999</v>
      </c>
      <c r="CY38" s="1428">
        <f t="shared" si="155"/>
        <v>92.686999999999983</v>
      </c>
      <c r="CZ38" s="1205">
        <f>CZ308</f>
        <v>14.5145</v>
      </c>
      <c r="DA38" s="1504">
        <f t="shared" ref="DA38:DC38" si="182">DA308</f>
        <v>30.644075000000001</v>
      </c>
      <c r="DB38" s="1504">
        <f t="shared" si="182"/>
        <v>23.180150000000001</v>
      </c>
      <c r="DC38" s="1504">
        <f t="shared" si="182"/>
        <v>25.263874999999999</v>
      </c>
      <c r="DD38" s="1428">
        <f t="shared" si="156"/>
        <v>93.602599999999995</v>
      </c>
      <c r="DE38" s="1205">
        <f>DE308</f>
        <v>-4.2832125000000003</v>
      </c>
      <c r="DF38" s="1504">
        <f t="shared" ref="DF38:DH38" si="183">DF308</f>
        <v>12.652841250000003</v>
      </c>
      <c r="DG38" s="1504">
        <f t="shared" si="183"/>
        <v>4.8157200000000007</v>
      </c>
      <c r="DH38" s="1504">
        <f t="shared" si="183"/>
        <v>7.0036312500000015</v>
      </c>
      <c r="DI38" s="1428">
        <f t="shared" si="157"/>
        <v>20.188980000000008</v>
      </c>
      <c r="DJ38" s="1205">
        <f>DJ308</f>
        <v>-4.497373125000002</v>
      </c>
      <c r="DK38" s="1504">
        <f t="shared" ref="DK38:DM38" si="184">DK308</f>
        <v>13.285483312500004</v>
      </c>
      <c r="DL38" s="1504">
        <f t="shared" si="184"/>
        <v>5.0565060000000006</v>
      </c>
      <c r="DM38" s="1504">
        <f t="shared" si="184"/>
        <v>7.3538128125000011</v>
      </c>
      <c r="DN38" s="1428">
        <f t="shared" si="158"/>
        <v>21.198429000000004</v>
      </c>
      <c r="DO38" s="1205">
        <f>DO308</f>
        <v>-4.7222417812500019</v>
      </c>
      <c r="DP38" s="1504">
        <f t="shared" ref="DP38:DR38" si="185">DP308</f>
        <v>13.949757478125004</v>
      </c>
      <c r="DQ38" s="1504">
        <f t="shared" si="185"/>
        <v>5.309331300000002</v>
      </c>
      <c r="DR38" s="1504">
        <f t="shared" si="185"/>
        <v>7.7215034531250017</v>
      </c>
      <c r="DS38" s="1428">
        <f t="shared" si="159"/>
        <v>22.258350450000005</v>
      </c>
      <c r="DT38" s="1205">
        <f>DT308</f>
        <v>-4.9583538703125019</v>
      </c>
      <c r="DU38" s="1504">
        <f t="shared" ref="DU38:DW38" si="186">DU308</f>
        <v>14.647245352031256</v>
      </c>
      <c r="DV38" s="1504">
        <f t="shared" si="186"/>
        <v>5.5747978650000025</v>
      </c>
      <c r="DW38" s="1504">
        <f t="shared" si="186"/>
        <v>8.1075786257812528</v>
      </c>
      <c r="DX38" s="1428">
        <f t="shared" si="160"/>
        <v>23.371267972500007</v>
      </c>
      <c r="DY38" s="1205">
        <f>DY308</f>
        <v>-5.2062715638281265</v>
      </c>
      <c r="DZ38" s="1504">
        <f t="shared" ref="DZ38:EB38" si="187">DZ308</f>
        <v>15.37960761963282</v>
      </c>
      <c r="EA38" s="1504">
        <f t="shared" si="187"/>
        <v>5.8535377582500034</v>
      </c>
      <c r="EB38" s="1504">
        <f t="shared" si="187"/>
        <v>8.5129575570703153</v>
      </c>
      <c r="EC38" s="1428">
        <f t="shared" si="161"/>
        <v>24.539831371125011</v>
      </c>
      <c r="ED38" s="1460"/>
      <c r="EE38" s="1476">
        <f>X38+W38+U38+T38</f>
        <v>28</v>
      </c>
      <c r="EF38" s="1203">
        <f>AC38+AB38+Z38+Y38</f>
        <v>-7</v>
      </c>
      <c r="EG38" s="1203">
        <f>AH38+AG38+AE38+AD38</f>
        <v>6</v>
      </c>
      <c r="EH38" s="1203">
        <f>AM38+AL38+AJ38+AI38</f>
        <v>17</v>
      </c>
      <c r="EI38" s="1203">
        <f>AR38+AQ38+AO38+AN38</f>
        <v>-7.1</v>
      </c>
      <c r="EJ38" s="1203">
        <f>AZ38+AY38+AX38+AW38</f>
        <v>-18.200000000000003</v>
      </c>
      <c r="EK38" s="1203">
        <f>BF38</f>
        <v>10.1</v>
      </c>
      <c r="EL38" s="1203">
        <f>BK38</f>
        <v>49.2</v>
      </c>
      <c r="EM38" s="1203">
        <f>BP38</f>
        <v>21.3</v>
      </c>
      <c r="EN38" s="1203">
        <f>BU38</f>
        <v>326.89999999999998</v>
      </c>
      <c r="EO38" s="1203">
        <f t="shared" si="4"/>
        <v>105.50000000000003</v>
      </c>
      <c r="EP38" s="1203">
        <f t="shared" ref="EP38:EP43" si="188">CJ38</f>
        <v>-0.69999999999999574</v>
      </c>
      <c r="EQ38" s="1203">
        <f t="shared" ref="EQ38:EQ43" si="189">CO38</f>
        <v>109.19999999999999</v>
      </c>
      <c r="ER38" s="1477">
        <f t="shared" ref="ER38:ER43" si="190">CT38</f>
        <v>91.814999999999998</v>
      </c>
      <c r="ES38" s="1460"/>
      <c r="ET38" s="1460"/>
      <c r="EU38" s="1460"/>
      <c r="EX38" s="1501" t="s">
        <v>225</v>
      </c>
      <c r="EY38" s="1482">
        <f t="shared" si="103"/>
        <v>12.7</v>
      </c>
      <c r="EZ38" s="1482">
        <v>23.04</v>
      </c>
      <c r="FA38" s="1482">
        <f t="shared" si="46"/>
        <v>-10.34</v>
      </c>
      <c r="FB38" s="1482">
        <f t="shared" si="147"/>
        <v>13.8</v>
      </c>
      <c r="FC38" s="1474">
        <f t="shared" si="148"/>
        <v>-7.9710144927536364E-2</v>
      </c>
      <c r="FD38" s="1611">
        <f>EY38*(1-EY82)/EY67</f>
        <v>2.6636485129838156E-2</v>
      </c>
      <c r="FE38"/>
      <c r="FF38"/>
      <c r="FG38"/>
      <c r="FH38"/>
      <c r="FI38"/>
      <c r="FJ38"/>
    </row>
    <row r="39" spans="1:166" s="1064" customFormat="1" ht="12.75" customHeight="1" x14ac:dyDescent="0.2">
      <c r="A39" s="1451" t="s">
        <v>159</v>
      </c>
      <c r="B39" s="1451"/>
      <c r="C39" s="1483"/>
      <c r="D39" s="1484"/>
      <c r="E39" s="1484"/>
      <c r="F39" s="1485"/>
      <c r="G39" s="1451"/>
      <c r="H39" s="1483"/>
      <c r="I39" s="1484"/>
      <c r="J39" s="1484"/>
      <c r="K39" s="1484"/>
      <c r="L39" s="1451"/>
      <c r="M39" s="1484"/>
      <c r="N39" s="1484"/>
      <c r="O39" s="1484"/>
      <c r="P39" s="1484"/>
      <c r="Q39" s="1451"/>
      <c r="R39" s="1484"/>
      <c r="S39" s="1484"/>
      <c r="T39" s="1484"/>
      <c r="U39" s="1484"/>
      <c r="V39" s="1451"/>
      <c r="W39" s="1484"/>
      <c r="X39" s="1484"/>
      <c r="Y39" s="1484"/>
      <c r="Z39" s="1485"/>
      <c r="AA39" s="1485"/>
      <c r="AB39" s="1483"/>
      <c r="AC39" s="1484"/>
      <c r="AD39" s="1484"/>
      <c r="AE39" s="1484"/>
      <c r="AF39" s="1451"/>
      <c r="AG39" s="1484"/>
      <c r="AH39" s="1484"/>
      <c r="AI39" s="1484"/>
      <c r="AJ39" s="1486"/>
      <c r="AK39" s="1485"/>
      <c r="AL39" s="1484"/>
      <c r="AM39" s="1484"/>
      <c r="AN39" s="1484"/>
      <c r="AO39" s="1484"/>
      <c r="AP39" s="1451"/>
      <c r="AQ39" s="1484"/>
      <c r="AR39" s="1484"/>
      <c r="AS39" s="1484"/>
      <c r="AT39" s="1484"/>
      <c r="AU39" s="1451"/>
      <c r="AV39" s="1077"/>
      <c r="AW39" s="1484">
        <f t="shared" ref="AW39:BA39" si="191">AW20-SUM(AW28,AW34,AW31,AW35,AW36,AW38)</f>
        <v>78.899999999999977</v>
      </c>
      <c r="AX39" s="1484">
        <f t="shared" si="191"/>
        <v>82.799999999999955</v>
      </c>
      <c r="AY39" s="1484">
        <f t="shared" si="191"/>
        <v>90.799999999999955</v>
      </c>
      <c r="AZ39" s="1484">
        <f t="shared" si="191"/>
        <v>-75.100000000000023</v>
      </c>
      <c r="BA39" s="1508">
        <f t="shared" si="191"/>
        <v>177.40000000000009</v>
      </c>
      <c r="BB39" s="1206">
        <f>BB20-SUM(BB28,BB34,BB31,BB35,BB36,BB37,BB38)</f>
        <v>64</v>
      </c>
      <c r="BC39" s="1207">
        <f t="shared" ref="BC39:BE39" si="192">BC20-SUM(BC28,BC34,BC31,BC35,BC36,BC37,BC38)</f>
        <v>98.999999999999943</v>
      </c>
      <c r="BD39" s="1207">
        <f t="shared" si="192"/>
        <v>111.60000000000002</v>
      </c>
      <c r="BE39" s="1207">
        <f t="shared" si="192"/>
        <v>87.899999999999864</v>
      </c>
      <c r="BF39" s="1508">
        <f t="shared" ref="BF39" si="193">BF20-SUM(BF28,BF34,BF31,BF35,BF36,BF37,BF38)</f>
        <v>362.49999999999977</v>
      </c>
      <c r="BG39" s="1206">
        <f>BG20-SUM(BG28,BG34,BG31,BG35,BG36,BG37,BG38)</f>
        <v>84.099999999999966</v>
      </c>
      <c r="BH39" s="1207">
        <f t="shared" ref="BH39" si="194">BH20-SUM(BH28,BH34,BH31,BH35,BH36,BH37,BH38)</f>
        <v>127.89999999999992</v>
      </c>
      <c r="BI39" s="1207">
        <f t="shared" ref="BI39" si="195">BI20-SUM(BI28,BI34,BI31,BI35,BI36,BI37,BI38)</f>
        <v>93.799999999999955</v>
      </c>
      <c r="BJ39" s="1207">
        <f t="shared" ref="BJ39" si="196">BJ20-SUM(BJ28,BJ34,BJ31,BJ35,BJ36,BJ37,BJ38)</f>
        <v>111.90000000000003</v>
      </c>
      <c r="BK39" s="1508">
        <f t="shared" ref="BK39" si="197">BK20-SUM(BK28,BK34,BK31,BK35,BK36,BK37,BK38)</f>
        <v>417.70000000000005</v>
      </c>
      <c r="BL39" s="1206">
        <f>BL20-SUM(BL28,BL34,BL31,BL35,BL36,BL37,BL38)</f>
        <v>102.39999999999998</v>
      </c>
      <c r="BM39" s="1207">
        <f t="shared" ref="BM39" si="198">BM20-SUM(BM28,BM34,BM31,BM35,BM36,BM37,BM38)</f>
        <v>133.20000000000002</v>
      </c>
      <c r="BN39" s="1207">
        <f t="shared" ref="BN39" si="199">BN20-SUM(BN28,BN34,BN31,BN35,BN36,BN37,BN38)</f>
        <v>145.50000000000003</v>
      </c>
      <c r="BO39" s="1207">
        <f t="shared" ref="BO39" si="200">BO20-SUM(BO28,BO34,BO31,BO35,BO36,BO37,BO38)</f>
        <v>141.09999999999997</v>
      </c>
      <c r="BP39" s="1508">
        <f t="shared" ref="BP39" si="201">BP20-SUM(BP28,BP34,BP31,BP35,BP36,BP37,BP38)</f>
        <v>522.19999999999993</v>
      </c>
      <c r="BQ39" s="1206">
        <f t="shared" ref="BQ39:BS39" si="202">BQ20-SUM(BQ28,BQ29,BQ34,BQ31,BQ35,BQ36,BQ37,BQ38)</f>
        <v>131.30000000000001</v>
      </c>
      <c r="BR39" s="1207">
        <f t="shared" si="202"/>
        <v>151.49999999999997</v>
      </c>
      <c r="BS39" s="1207">
        <f t="shared" si="202"/>
        <v>0.89999999999997726</v>
      </c>
      <c r="BT39" s="1207">
        <f>BT20-SUM(BT28,BT29,BT34,BT31,BT35,BT36,BT37,BT38)</f>
        <v>-101.29999999999995</v>
      </c>
      <c r="BU39" s="1206">
        <f>BU20-SUM(BU28,BU29,BU34,BU31,BU35,BU36,BU37,BU38)</f>
        <v>182.4000000000002</v>
      </c>
      <c r="BV39" s="1206">
        <f>BV20-SUM(BV34,BV30,BV37,BV38)-BV31</f>
        <v>258.49999999999989</v>
      </c>
      <c r="BW39" s="1207">
        <f t="shared" ref="BW39:BY39" si="203">BW20-SUM(BW34,BW30,BW37,BW38)-BW31</f>
        <v>324.60000000000008</v>
      </c>
      <c r="BX39" s="1207">
        <f t="shared" si="203"/>
        <v>355.09999999999991</v>
      </c>
      <c r="BY39" s="1346">
        <f t="shared" si="203"/>
        <v>288.79999999999984</v>
      </c>
      <c r="BZ39" s="1206">
        <f>BZ20-SUM(BZ34,BZ30,BZ37,BZ38)-BZ31</f>
        <v>1227</v>
      </c>
      <c r="CA39" s="1206">
        <f>CA20-SUM(CA34,CA30,CA37,CA38)-CA31</f>
        <v>224.09999999999991</v>
      </c>
      <c r="CB39" s="1207">
        <f t="shared" ref="CB39:CD39" si="204">CB20-SUM(CB34,CB30,CB37,CB38)-CB31</f>
        <v>302.09999999999985</v>
      </c>
      <c r="CC39" s="1207">
        <f>CC20-SUM(CC34,CC30,CC37,CC38)-CC31</f>
        <v>344.00000000000011</v>
      </c>
      <c r="CD39" s="1346">
        <f t="shared" si="204"/>
        <v>322.00000000000011</v>
      </c>
      <c r="CE39" s="1206">
        <f>CE20-SUM(CE34,CE30,CE37,CE38)-CE31</f>
        <v>1192.2</v>
      </c>
      <c r="CF39" s="1206">
        <f>CF20-SUM(CF34,CF30,CF37,CF38)-CF31</f>
        <v>330.59999999999991</v>
      </c>
      <c r="CG39" s="1207">
        <f t="shared" ref="CG39:CI39" si="205">CG20-SUM(CG34,CG30,CG37,CG38)-CG31</f>
        <v>423.99999999999989</v>
      </c>
      <c r="CH39" s="1207">
        <f>CH20-SUM(CH34,CH30,CH37,CH38)-CH31</f>
        <v>420.49999999999977</v>
      </c>
      <c r="CI39" s="1346">
        <f t="shared" si="205"/>
        <v>491.58000000000004</v>
      </c>
      <c r="CJ39" s="1206">
        <f>CJ20-SUM(CJ34,CJ30,CJ37,CJ38)-CJ31</f>
        <v>1666.680000000001</v>
      </c>
      <c r="CK39" s="1206">
        <f>CK20-SUM(CK34,CK30,CK37,CK38)-CK31</f>
        <v>336.20000000000005</v>
      </c>
      <c r="CL39" s="1207">
        <f t="shared" ref="CL39:CN39" si="206">CL20-SUM(CL34,CL30,CL37,CL38)-CL31</f>
        <v>414.40000000000015</v>
      </c>
      <c r="CM39" s="1207">
        <f t="shared" si="206"/>
        <v>479.29999999999995</v>
      </c>
      <c r="CN39" s="1346">
        <f t="shared" si="206"/>
        <v>506.00000000000017</v>
      </c>
      <c r="CO39" s="1563">
        <f>CO20-SUM(CO34,CO30,CO37,CO38)-CO31</f>
        <v>1735.900000000001</v>
      </c>
      <c r="CP39" s="1206">
        <f>CP20-SUM(CP34,CP30,CP37,CP38)-CP31</f>
        <v>420.5999999999998</v>
      </c>
      <c r="CQ39" s="1207">
        <f t="shared" ref="CQ39:CS39" si="207">CQ20-SUM(CQ34,CQ30,CQ37,CQ38)-CQ31</f>
        <v>459.8768325806065</v>
      </c>
      <c r="CR39" s="1207">
        <f t="shared" si="207"/>
        <v>515.46067093279578</v>
      </c>
      <c r="CS39" s="1346">
        <f t="shared" si="207"/>
        <v>540.74557431216135</v>
      </c>
      <c r="CT39" s="1563">
        <f>CT20-SUM(CT34,CT30,CT37,CT38)-CT31</f>
        <v>1936.6830778255644</v>
      </c>
      <c r="CU39" s="1207">
        <f>CU20-SUM(CU34,CU30,CU37,CU38)-CU31</f>
        <v>470.87029618786238</v>
      </c>
      <c r="CV39" s="1207">
        <f t="shared" ref="CV39:CX39" si="208">CV20-SUM(CV34,CV30,CV37,CV38)-CV31</f>
        <v>521.82506503104548</v>
      </c>
      <c r="CW39" s="1207">
        <f t="shared" si="208"/>
        <v>578.26691751449175</v>
      </c>
      <c r="CX39" s="1346">
        <f t="shared" si="208"/>
        <v>607.75804950348459</v>
      </c>
      <c r="CY39" s="1206">
        <f>CY20-SUM(CY34,CY30,CY37,CY38)-CY31</f>
        <v>2178.7203282368846</v>
      </c>
      <c r="CZ39" s="1206">
        <f>CZ20-SUM(CZ34,CZ30,CZ37,CZ38)-CZ31</f>
        <v>513.13308355085951</v>
      </c>
      <c r="DA39" s="1207">
        <f t="shared" ref="DA39:DC39" si="209">DA20-SUM(DA34,DA30,DA37,DA38)-DA31</f>
        <v>584.75154895723574</v>
      </c>
      <c r="DB39" s="1207">
        <f t="shared" si="209"/>
        <v>646.7992243597198</v>
      </c>
      <c r="DC39" s="1346">
        <f t="shared" si="209"/>
        <v>679.88158745576993</v>
      </c>
      <c r="DD39" s="1206">
        <f>DD20-SUM(DD34,DD30,DD37,DD38)-DD31</f>
        <v>2424.5654443235844</v>
      </c>
      <c r="DE39" s="1206">
        <f>DE20-SUM(DE34,DE30,DE37,DE38)-DE31</f>
        <v>585.15968914204541</v>
      </c>
      <c r="DF39" s="1207">
        <f t="shared" ref="DF39:DH39" si="210">DF20-SUM(DF34,DF30,DF37,DF38)-DF31</f>
        <v>641.17766671085337</v>
      </c>
      <c r="DG39" s="1207">
        <f t="shared" si="210"/>
        <v>711.70597932442843</v>
      </c>
      <c r="DH39" s="1346">
        <f t="shared" si="210"/>
        <v>747.57997191117022</v>
      </c>
      <c r="DI39" s="1206">
        <f>DI20-SUM(DI34,DI30,DI37,DI38)-DI31</f>
        <v>2685.6233070884982</v>
      </c>
      <c r="DJ39" s="1206">
        <f>DJ20-SUM(DJ34,DJ30,DJ37,DJ38)-DJ31</f>
        <v>661.41380215733761</v>
      </c>
      <c r="DK39" s="1207">
        <f t="shared" ref="DK39:DM39" si="211">DK20-SUM(DK34,DK30,DK37,DK38)-DK31</f>
        <v>724.19016904015575</v>
      </c>
      <c r="DL39" s="1207">
        <f t="shared" si="211"/>
        <v>802.79133906150992</v>
      </c>
      <c r="DM39" s="1346">
        <f t="shared" si="211"/>
        <v>842.05082488292203</v>
      </c>
      <c r="DN39" s="1206">
        <f>DN20-SUM(DN34,DN30,DN37,DN38)-DN31</f>
        <v>3030.4461351419254</v>
      </c>
      <c r="DO39" s="1206">
        <f>DO20-SUM(DO34,DO30,DO37,DO38)-DO31</f>
        <v>730.65550494694298</v>
      </c>
      <c r="DP39" s="1207">
        <f t="shared" ref="DP39:DR39" si="212">DP20-SUM(DP34,DP30,DP37,DP38)-DP31</f>
        <v>798.92204410851957</v>
      </c>
      <c r="DQ39" s="1207">
        <f t="shared" si="212"/>
        <v>884.35186468101915</v>
      </c>
      <c r="DR39" s="1346">
        <f t="shared" si="212"/>
        <v>927.1054397567849</v>
      </c>
      <c r="DS39" s="1206">
        <f>DS20-SUM(DS34,DS30,DS37,DS38)-DS31</f>
        <v>3341.0348534932659</v>
      </c>
      <c r="DT39" s="1206">
        <f>DT20-SUM(DT34,DT30,DT37,DT38)-DT31</f>
        <v>752.78565648112112</v>
      </c>
      <c r="DU39" s="1207">
        <f t="shared" ref="DU39:DW39" si="213">DU20-SUM(DU34,DU30,DU37,DU38)-DU31</f>
        <v>814.51700158071594</v>
      </c>
      <c r="DV39" s="1207">
        <f t="shared" si="213"/>
        <v>902.08523885610953</v>
      </c>
      <c r="DW39" s="1346">
        <f t="shared" si="213"/>
        <v>953.62654354115068</v>
      </c>
      <c r="DX39" s="1206">
        <f>DX20-SUM(DX34,DX30,DX37,DX38)-DX31</f>
        <v>3423.014440459096</v>
      </c>
      <c r="DY39" s="1206">
        <f>DY20-SUM(DY34,DY30,DY37,DY38)-DY31</f>
        <v>820.89754789072038</v>
      </c>
      <c r="DZ39" s="1207">
        <f t="shared" ref="DZ39:EB39" si="214">DZ20-SUM(DZ34,DZ30,DZ37,DZ38)-DZ31</f>
        <v>896.22744869054702</v>
      </c>
      <c r="EA39" s="1207">
        <f t="shared" si="214"/>
        <v>991.27091158774022</v>
      </c>
      <c r="EB39" s="1346">
        <f t="shared" si="214"/>
        <v>1047.2899447731152</v>
      </c>
      <c r="EC39" s="1563">
        <f>EC20-SUM(EC34,EC30,EC37,EC38)-EC31</f>
        <v>3755.6858529421243</v>
      </c>
      <c r="ED39" s="1509"/>
      <c r="EE39" s="1483">
        <f t="shared" ref="EE39:EJ39" si="215">EE20-SUM(EE28,EE34,EE31,EE35,EE36,EE38)</f>
        <v>-348</v>
      </c>
      <c r="EF39" s="1484">
        <f t="shared" si="215"/>
        <v>-364</v>
      </c>
      <c r="EG39" s="1484">
        <f t="shared" si="215"/>
        <v>-294</v>
      </c>
      <c r="EH39" s="1484">
        <f t="shared" si="215"/>
        <v>-332</v>
      </c>
      <c r="EI39" s="1484">
        <f t="shared" si="215"/>
        <v>-320.30000000000018</v>
      </c>
      <c r="EJ39" s="1484">
        <f t="shared" si="215"/>
        <v>177.40000000000009</v>
      </c>
      <c r="EK39" s="1484">
        <f>BF39</f>
        <v>362.49999999999977</v>
      </c>
      <c r="EL39" s="1484">
        <f>BK39</f>
        <v>417.70000000000005</v>
      </c>
      <c r="EM39" s="1484">
        <f>BP39</f>
        <v>522.19999999999993</v>
      </c>
      <c r="EN39" s="1484">
        <f>BU39</f>
        <v>182.4000000000002</v>
      </c>
      <c r="EO39" s="1484">
        <f t="shared" si="4"/>
        <v>1192.2</v>
      </c>
      <c r="EP39" s="1484">
        <f t="shared" si="188"/>
        <v>1666.680000000001</v>
      </c>
      <c r="EQ39" s="1484">
        <f t="shared" si="189"/>
        <v>1735.900000000001</v>
      </c>
      <c r="ER39" s="1485">
        <f t="shared" si="190"/>
        <v>1936.6830778255644</v>
      </c>
      <c r="ES39" s="1509"/>
      <c r="ET39" s="1509"/>
      <c r="EU39" s="1509"/>
      <c r="EX39" s="1450" t="s">
        <v>159</v>
      </c>
      <c r="EY39" s="1488">
        <f t="shared" si="103"/>
        <v>420.5999999999998</v>
      </c>
      <c r="EZ39" s="1488">
        <v>435.29746137421398</v>
      </c>
      <c r="FA39" s="1488">
        <f t="shared" si="46"/>
        <v>-14.697461374214186</v>
      </c>
      <c r="FB39" s="1488">
        <f t="shared" si="147"/>
        <v>336.20000000000005</v>
      </c>
      <c r="FC39" s="1464">
        <f t="shared" si="148"/>
        <v>0.25104104699583507</v>
      </c>
      <c r="FD39" s="1510"/>
      <c r="FE39"/>
      <c r="FF39"/>
      <c r="FG39"/>
      <c r="FH39"/>
      <c r="FI39"/>
      <c r="FJ39"/>
    </row>
    <row r="40" spans="1:166" s="1064" customFormat="1" ht="2.1" customHeight="1" x14ac:dyDescent="0.2">
      <c r="A40" s="1451"/>
      <c r="B40" s="1451"/>
      <c r="C40" s="1483"/>
      <c r="D40" s="1484"/>
      <c r="E40" s="1484"/>
      <c r="F40" s="1485"/>
      <c r="G40" s="1451"/>
      <c r="H40" s="1483"/>
      <c r="I40" s="1484"/>
      <c r="J40" s="1484"/>
      <c r="K40" s="1484"/>
      <c r="L40" s="1451"/>
      <c r="M40" s="1484"/>
      <c r="N40" s="1484"/>
      <c r="O40" s="1484"/>
      <c r="P40" s="1484"/>
      <c r="Q40" s="1451"/>
      <c r="R40" s="1484"/>
      <c r="S40" s="1484"/>
      <c r="T40" s="1484"/>
      <c r="U40" s="1484"/>
      <c r="V40" s="1451"/>
      <c r="W40" s="1484"/>
      <c r="X40" s="1484"/>
      <c r="Y40" s="1484"/>
      <c r="Z40" s="1485"/>
      <c r="AA40" s="1485"/>
      <c r="AB40" s="1483"/>
      <c r="AC40" s="1484"/>
      <c r="AD40" s="1484"/>
      <c r="AE40" s="1484"/>
      <c r="AF40" s="1451"/>
      <c r="AG40" s="1484"/>
      <c r="AH40" s="1484"/>
      <c r="AI40" s="1484"/>
      <c r="AJ40" s="1486"/>
      <c r="AK40" s="1485"/>
      <c r="AL40" s="1484"/>
      <c r="AM40" s="1484"/>
      <c r="AN40" s="1484"/>
      <c r="AO40" s="1484"/>
      <c r="AP40" s="1451"/>
      <c r="AQ40" s="1484"/>
      <c r="AR40" s="1484"/>
      <c r="AS40" s="1484"/>
      <c r="AT40" s="1484"/>
      <c r="AU40" s="1451"/>
      <c r="AV40" s="1444"/>
      <c r="AW40" s="1484"/>
      <c r="AX40" s="1484"/>
      <c r="AY40" s="1484"/>
      <c r="AZ40" s="1484"/>
      <c r="BA40" s="1508"/>
      <c r="BB40" s="1206"/>
      <c r="BC40" s="1207"/>
      <c r="BD40" s="1207"/>
      <c r="BE40" s="1207"/>
      <c r="BF40" s="1508"/>
      <c r="BG40" s="1207"/>
      <c r="BH40" s="1207"/>
      <c r="BI40" s="1207"/>
      <c r="BJ40" s="1207"/>
      <c r="BK40" s="1508"/>
      <c r="BL40" s="1207"/>
      <c r="BM40" s="1207"/>
      <c r="BN40" s="1207"/>
      <c r="BO40" s="1207"/>
      <c r="BP40" s="1508"/>
      <c r="BQ40" s="1207"/>
      <c r="BR40" s="1207"/>
      <c r="BS40" s="1207"/>
      <c r="BT40" s="1207"/>
      <c r="BU40" s="1508"/>
      <c r="BV40" s="1270"/>
      <c r="BW40" s="1270"/>
      <c r="BX40" s="1270"/>
      <c r="BY40" s="1270"/>
      <c r="BZ40" s="1508"/>
      <c r="CA40" s="1207"/>
      <c r="CB40" s="1207"/>
      <c r="CC40" s="1207"/>
      <c r="CD40" s="1207"/>
      <c r="CE40" s="1508"/>
      <c r="CF40" s="1207"/>
      <c r="CG40" s="1207"/>
      <c r="CH40" s="1207"/>
      <c r="CI40" s="1207"/>
      <c r="CJ40" s="1508"/>
      <c r="CK40" s="1207"/>
      <c r="CL40" s="1207"/>
      <c r="CM40" s="1207"/>
      <c r="CN40" s="1207"/>
      <c r="CO40" s="1508"/>
      <c r="CP40" s="1207"/>
      <c r="CQ40" s="1207"/>
      <c r="CR40" s="1207"/>
      <c r="CS40" s="1207"/>
      <c r="CT40" s="1563"/>
      <c r="CU40" s="1207"/>
      <c r="CV40" s="1207"/>
      <c r="CW40" s="1207"/>
      <c r="CX40" s="1207"/>
      <c r="CY40" s="1508"/>
      <c r="CZ40" s="1207"/>
      <c r="DA40" s="1207"/>
      <c r="DB40" s="1207"/>
      <c r="DC40" s="1207"/>
      <c r="DD40" s="1508"/>
      <c r="DE40" s="1207"/>
      <c r="DF40" s="1207"/>
      <c r="DG40" s="1207"/>
      <c r="DH40" s="1207"/>
      <c r="DI40" s="1508"/>
      <c r="DJ40" s="1207"/>
      <c r="DK40" s="1207"/>
      <c r="DL40" s="1207"/>
      <c r="DM40" s="1207"/>
      <c r="DN40" s="1508"/>
      <c r="DO40" s="1207"/>
      <c r="DP40" s="1207"/>
      <c r="DQ40" s="1207"/>
      <c r="DR40" s="1207"/>
      <c r="DS40" s="1508"/>
      <c r="DT40" s="1207"/>
      <c r="DU40" s="1207"/>
      <c r="DV40" s="1207"/>
      <c r="DW40" s="1207"/>
      <c r="DX40" s="1508"/>
      <c r="DY40" s="1207"/>
      <c r="DZ40" s="1207"/>
      <c r="EA40" s="1207"/>
      <c r="EB40" s="1207"/>
      <c r="EC40" s="1508"/>
      <c r="ED40" s="1509"/>
      <c r="EE40" s="1483"/>
      <c r="EF40" s="1484"/>
      <c r="EG40" s="1484"/>
      <c r="EH40" s="1484"/>
      <c r="EI40" s="1484"/>
      <c r="EJ40" s="1484"/>
      <c r="EK40" s="1484"/>
      <c r="EL40" s="1484"/>
      <c r="EM40" s="1484"/>
      <c r="EN40" s="1484"/>
      <c r="EO40" s="1484">
        <f t="shared" si="4"/>
        <v>0</v>
      </c>
      <c r="EP40" s="1484">
        <f t="shared" si="188"/>
        <v>0</v>
      </c>
      <c r="EQ40" s="1484">
        <f t="shared" si="189"/>
        <v>0</v>
      </c>
      <c r="ER40" s="1485">
        <f t="shared" si="190"/>
        <v>0</v>
      </c>
      <c r="ES40" s="1509"/>
      <c r="ET40" s="1509"/>
      <c r="EU40" s="1509"/>
      <c r="EX40" s="1450"/>
      <c r="EY40" s="1488">
        <f t="shared" si="103"/>
        <v>0</v>
      </c>
      <c r="EZ40" s="1488">
        <v>0</v>
      </c>
      <c r="FA40" s="1488">
        <f t="shared" si="46"/>
        <v>0</v>
      </c>
      <c r="FB40" s="1488">
        <f t="shared" si="147"/>
        <v>0</v>
      </c>
      <c r="FC40" s="1474"/>
      <c r="FD40" s="1510"/>
      <c r="FE40"/>
      <c r="FF40"/>
      <c r="FG40"/>
      <c r="FH40"/>
      <c r="FI40"/>
      <c r="FJ40"/>
    </row>
    <row r="41" spans="1:166" s="1064" customFormat="1" ht="12.75" customHeight="1" x14ac:dyDescent="0.2">
      <c r="A41" s="1451" t="s">
        <v>233</v>
      </c>
      <c r="B41" s="1451"/>
      <c r="C41" s="1483"/>
      <c r="D41" s="1484"/>
      <c r="E41" s="1484"/>
      <c r="F41" s="1485"/>
      <c r="G41" s="1451"/>
      <c r="H41" s="1483"/>
      <c r="I41" s="1484"/>
      <c r="J41" s="1484"/>
      <c r="K41" s="1484"/>
      <c r="L41" s="1451"/>
      <c r="M41" s="1484"/>
      <c r="N41" s="1484"/>
      <c r="O41" s="1484"/>
      <c r="P41" s="1484"/>
      <c r="Q41" s="1451"/>
      <c r="R41" s="1484"/>
      <c r="S41" s="1484"/>
      <c r="T41" s="1484"/>
      <c r="U41" s="1484"/>
      <c r="V41" s="1451"/>
      <c r="W41" s="1484"/>
      <c r="X41" s="1484"/>
      <c r="Y41" s="1484"/>
      <c r="Z41" s="1485"/>
      <c r="AA41" s="1485"/>
      <c r="AB41" s="1483"/>
      <c r="AC41" s="1484"/>
      <c r="AD41" s="1484"/>
      <c r="AE41" s="1484"/>
      <c r="AF41" s="1451"/>
      <c r="AG41" s="1484"/>
      <c r="AH41" s="1484"/>
      <c r="AI41" s="1484"/>
      <c r="AJ41" s="1486"/>
      <c r="AK41" s="1485"/>
      <c r="AL41" s="1484"/>
      <c r="AM41" s="1484"/>
      <c r="AN41" s="1484"/>
      <c r="AO41" s="1484"/>
      <c r="AP41" s="1451"/>
      <c r="AQ41" s="1484"/>
      <c r="AR41" s="1484"/>
      <c r="AS41" s="1484"/>
      <c r="AT41" s="1484"/>
      <c r="AU41" s="1451"/>
      <c r="AV41" s="1078"/>
      <c r="AW41" s="1484">
        <f>AW39+'CF '!AW11</f>
        <v>106.39999999999998</v>
      </c>
      <c r="AX41" s="1484">
        <f>AX39+'CF '!AX11</f>
        <v>114.59999999999994</v>
      </c>
      <c r="AY41" s="1484">
        <f>AY39+'CF '!AY11</f>
        <v>116.39999999999995</v>
      </c>
      <c r="AZ41" s="1484">
        <f>AZ39+'CF '!AZ11</f>
        <v>-41.90000000000002</v>
      </c>
      <c r="BA41" s="1508">
        <f>BA39+'CF '!BA11</f>
        <v>295.50000000000011</v>
      </c>
      <c r="BB41" s="1206">
        <f>BB39+'CF '!BB11</f>
        <v>99</v>
      </c>
      <c r="BC41" s="1207">
        <f>BC39+'CF '!BC11</f>
        <v>132.79999999999995</v>
      </c>
      <c r="BD41" s="1207">
        <f>BD39+'CF '!BD11</f>
        <v>145.90000000000003</v>
      </c>
      <c r="BE41" s="1207">
        <f>BE39+'CF '!BE11</f>
        <v>121.19999999999987</v>
      </c>
      <c r="BF41" s="1508">
        <f>BF39+'CF '!BF11</f>
        <v>498.89999999999975</v>
      </c>
      <c r="BG41" s="1207">
        <f>BG39+'CF '!BG11</f>
        <v>118.09999999999997</v>
      </c>
      <c r="BH41" s="1207">
        <f>BH39+'CF '!BH11</f>
        <v>161.29999999999993</v>
      </c>
      <c r="BI41" s="1207">
        <f>BI39+'CF '!BI11</f>
        <v>122.39999999999995</v>
      </c>
      <c r="BJ41" s="1207">
        <f>BJ39+'CF '!BJ11</f>
        <v>130.10000000000002</v>
      </c>
      <c r="BK41" s="1508">
        <f>BK39+'CF '!BK11</f>
        <v>531.90000000000009</v>
      </c>
      <c r="BL41" s="1207">
        <f>BL39+'CF '!BL11</f>
        <v>118.99999999999997</v>
      </c>
      <c r="BM41" s="1207">
        <f>BM39+'CF '!BM11</f>
        <v>149.20000000000002</v>
      </c>
      <c r="BN41" s="1207">
        <f>BN39+'CF '!BN11</f>
        <v>161.30000000000001</v>
      </c>
      <c r="BO41" s="1207">
        <f>BO39+'CF '!BO11</f>
        <v>158.49999999999997</v>
      </c>
      <c r="BP41" s="1508">
        <f>BP39+'CF '!BP11</f>
        <v>587.99999999999989</v>
      </c>
      <c r="BQ41" s="1207">
        <f>BQ39+'CF '!BQ11</f>
        <v>147.70000000000002</v>
      </c>
      <c r="BR41" s="1207">
        <f>BR39+'CF '!BR11</f>
        <v>167.29999999999998</v>
      </c>
      <c r="BS41" s="1207">
        <f>BS39+'CF '!BS11</f>
        <v>17.399999999999977</v>
      </c>
      <c r="BT41" s="1207">
        <f>BT39+'CF '!BT11</f>
        <v>-77.099999999999952</v>
      </c>
      <c r="BU41" s="1508">
        <f>BU39+'CF '!BU11</f>
        <v>255.30000000000021</v>
      </c>
      <c r="BV41" s="1270">
        <f>BV39+'CF '!BV11</f>
        <v>309.39999999999986</v>
      </c>
      <c r="BW41" s="1270">
        <f>BW39+'CF '!BW11</f>
        <v>375.80000000000007</v>
      </c>
      <c r="BX41" s="1270">
        <f>BX39+'CF '!BX11</f>
        <v>390.79999999999995</v>
      </c>
      <c r="BY41" s="1270">
        <f>BY39+'CF '!BY11</f>
        <v>332.99999999999983</v>
      </c>
      <c r="BZ41" s="1508">
        <f>BZ39+'CF '!BZ11</f>
        <v>1409</v>
      </c>
      <c r="CA41" s="1207">
        <f>CA39+'CF '!BV11</f>
        <v>274.99999999999989</v>
      </c>
      <c r="CB41" s="1207">
        <f>CB39+'CF '!BW11</f>
        <v>353.29999999999984</v>
      </c>
      <c r="CC41" s="1207">
        <f>CC39+'CF '!BX11</f>
        <v>379.70000000000016</v>
      </c>
      <c r="CD41" s="1207">
        <f>CD39+'CF '!BY11</f>
        <v>366.2000000000001</v>
      </c>
      <c r="CE41" s="1508">
        <f>CE39+'CF '!BZ11</f>
        <v>1374.2</v>
      </c>
      <c r="CF41" s="1207">
        <f>CF39+'CF '!CA11</f>
        <v>372.69999999999993</v>
      </c>
      <c r="CG41" s="1207">
        <f>CG39+'CF '!CB11</f>
        <v>467.59999999999991</v>
      </c>
      <c r="CH41" s="1207">
        <f>CH39+'CF '!CC11</f>
        <v>463.79999999999978</v>
      </c>
      <c r="CI41" s="1207">
        <f>CI39+'CF '!CD11</f>
        <v>534.68000000000006</v>
      </c>
      <c r="CJ41" s="1508">
        <f>CJ39+'CF '!CE11</f>
        <v>1838.7800000000009</v>
      </c>
      <c r="CK41" s="1207">
        <f>CK39+'CF '!CF11</f>
        <v>379.6</v>
      </c>
      <c r="CL41" s="1207">
        <f>CL39+'CF '!CG11</f>
        <v>459.70000000000016</v>
      </c>
      <c r="CM41" s="1207">
        <f>CM39+'CF '!CH11</f>
        <v>525.5</v>
      </c>
      <c r="CN41" s="1207">
        <f>CN39+'CF '!CI11</f>
        <v>552.20000000000016</v>
      </c>
      <c r="CO41" s="1508">
        <f>CO39+'CF '!CJ11</f>
        <v>1917.0000000000009</v>
      </c>
      <c r="CP41" s="1207">
        <f>CP39+'CF '!CK11</f>
        <v>467.5999999999998</v>
      </c>
      <c r="CQ41" s="1207">
        <f>CQ39+'CF '!CL11</f>
        <v>514.27934289101756</v>
      </c>
      <c r="CR41" s="1207">
        <f>CR39+'CF '!CM11</f>
        <v>569.20267297924477</v>
      </c>
      <c r="CS41" s="1207">
        <f>CS39+'CF '!CN11</f>
        <v>594.63318480729652</v>
      </c>
      <c r="CT41" s="1563">
        <f>CT39+'CF '!CO11</f>
        <v>2145.7152006775596</v>
      </c>
      <c r="CU41" s="1207">
        <f>CU39+'CF '!CP11</f>
        <v>521.26859719810636</v>
      </c>
      <c r="CV41" s="1207">
        <f>CV39+'CF '!CQ11</f>
        <v>578.13112703043771</v>
      </c>
      <c r="CW41" s="1207">
        <f>CW39+'CF '!CR11</f>
        <v>633.85263227151881</v>
      </c>
      <c r="CX41" s="1207">
        <f>CX39+'CF '!CS11</f>
        <v>663.76571921433163</v>
      </c>
      <c r="CY41" s="1508">
        <f>CY39+'CF '!CT11</f>
        <v>2397.0180757143949</v>
      </c>
      <c r="CZ41" s="1207">
        <f>CZ39+'CF '!CU11</f>
        <v>565.82709008906068</v>
      </c>
      <c r="DA41" s="1207">
        <f>DA39+'CF '!CV11</f>
        <v>643.26258953463628</v>
      </c>
      <c r="DB41" s="1207">
        <f>DB39+'CF '!CW11</f>
        <v>704.55523340675541</v>
      </c>
      <c r="DC41" s="1207">
        <f>DC39+'CF '!CX11</f>
        <v>737.88524405120211</v>
      </c>
      <c r="DD41" s="1508">
        <f>DD39+'CF '!CY11</f>
        <v>2651.5301570816541</v>
      </c>
      <c r="DE41" s="1207">
        <f>DE39+'CF '!CZ11</f>
        <v>645.70106657382712</v>
      </c>
      <c r="DF41" s="1207">
        <f>DF39+'CF '!DA11</f>
        <v>701.7711977427482</v>
      </c>
      <c r="DG41" s="1207">
        <f>DG39+'CF '!DB11</f>
        <v>773.87485057159483</v>
      </c>
      <c r="DH41" s="1207">
        <f>DH39+'CF '!DC11</f>
        <v>818.92875914858291</v>
      </c>
      <c r="DI41" s="1508">
        <f>DI39+'CF '!DD11</f>
        <v>2940.275874036754</v>
      </c>
      <c r="DJ41" s="1207">
        <f>DJ39+'CF '!DE11</f>
        <v>724.50412253752074</v>
      </c>
      <c r="DK41" s="1207">
        <f>DK39+'CF '!DF11</f>
        <v>787.40587946226526</v>
      </c>
      <c r="DL41" s="1207">
        <f>DL39+'CF '!DG11</f>
        <v>867.75987471853443</v>
      </c>
      <c r="DM41" s="1207">
        <f>DM39+'CF '!DH11</f>
        <v>916.87008744957097</v>
      </c>
      <c r="DN41" s="1508">
        <f>DN39+'CF '!DI11</f>
        <v>3296.5399641678914</v>
      </c>
      <c r="DO41" s="1207">
        <f>DO39+'CF '!DJ11</f>
        <v>796.62669309967043</v>
      </c>
      <c r="DP41" s="1207">
        <f>DP39+'CF '!DK11</f>
        <v>863.79601189881896</v>
      </c>
      <c r="DQ41" s="1207">
        <f>DQ39+'CF '!DL11</f>
        <v>950.95559339748343</v>
      </c>
      <c r="DR41" s="1207">
        <f>DR39+'CF '!DM11</f>
        <v>1004.2122173381392</v>
      </c>
      <c r="DS41" s="1508">
        <f>DS39+'CF '!DN11</f>
        <v>3615.5905157341112</v>
      </c>
      <c r="DT41" s="1207">
        <f>DT39+'CF '!DO11</f>
        <v>822.42158856887443</v>
      </c>
      <c r="DU41" s="1207">
        <f>DU39+'CF '!DP11</f>
        <v>880.98599924738301</v>
      </c>
      <c r="DV41" s="1207">
        <f>DV39+'CF '!DQ11</f>
        <v>970.25323723568749</v>
      </c>
      <c r="DW41" s="1207">
        <f>DW39+'CF '!DR11</f>
        <v>1032.9619644315928</v>
      </c>
      <c r="DX41" s="1508">
        <f>DX39+'CF '!DS11</f>
        <v>3706.6227894835365</v>
      </c>
      <c r="DY41" s="1207">
        <f>DY39+'CF '!DT11</f>
        <v>892.87511864466273</v>
      </c>
      <c r="DZ41" s="1207">
        <f>DZ39+'CF '!DU11</f>
        <v>964.22000083969931</v>
      </c>
      <c r="EA41" s="1207">
        <f>EA39+'CF '!DV11</f>
        <v>1060.9276930152016</v>
      </c>
      <c r="EB41" s="1207">
        <f>EB39+'CF '!DW11</f>
        <v>1128.7906517531417</v>
      </c>
      <c r="EC41" s="1508">
        <f>EC39+'CF '!DX11</f>
        <v>4046.8134642527066</v>
      </c>
      <c r="ED41" s="1510"/>
      <c r="EE41" s="1483">
        <f>X41+W41+U41+T41</f>
        <v>0</v>
      </c>
      <c r="EF41" s="1484">
        <f>AC41+AB41+Z41+Y41</f>
        <v>0</v>
      </c>
      <c r="EG41" s="1484">
        <f>AH41+AG41+AE41+AD41</f>
        <v>0</v>
      </c>
      <c r="EH41" s="1484">
        <f>AM41+AL41+AJ41+AI41</f>
        <v>0</v>
      </c>
      <c r="EI41" s="1484">
        <f>AR41+AQ41+AO41+AN41</f>
        <v>0</v>
      </c>
      <c r="EJ41" s="1484">
        <f>AZ41+AY41+AX41+AW41</f>
        <v>295.49999999999983</v>
      </c>
      <c r="EK41" s="1484">
        <f>BF41</f>
        <v>498.89999999999975</v>
      </c>
      <c r="EL41" s="1484">
        <f>BK41</f>
        <v>531.90000000000009</v>
      </c>
      <c r="EM41" s="1484">
        <f>BP41</f>
        <v>587.99999999999989</v>
      </c>
      <c r="EN41" s="1484">
        <f>BU41</f>
        <v>255.30000000000021</v>
      </c>
      <c r="EO41" s="1484">
        <f t="shared" si="4"/>
        <v>1374.2</v>
      </c>
      <c r="EP41" s="1484">
        <f t="shared" si="188"/>
        <v>1838.7800000000009</v>
      </c>
      <c r="EQ41" s="1484">
        <f t="shared" si="189"/>
        <v>1917.0000000000009</v>
      </c>
      <c r="ER41" s="1485">
        <f t="shared" si="190"/>
        <v>2145.7152006775596</v>
      </c>
      <c r="ES41" s="1510"/>
      <c r="ET41" s="1510"/>
      <c r="EU41" s="1510"/>
      <c r="EX41" s="1450" t="s">
        <v>233</v>
      </c>
      <c r="EY41" s="1488">
        <f t="shared" si="103"/>
        <v>467.5999999999998</v>
      </c>
      <c r="EZ41" s="1488">
        <v>483.84397094803478</v>
      </c>
      <c r="FA41" s="1488">
        <f t="shared" si="46"/>
        <v>-16.243970948034985</v>
      </c>
      <c r="FB41" s="1488">
        <f t="shared" si="147"/>
        <v>379.6</v>
      </c>
      <c r="FC41" s="1464">
        <f t="shared" si="148"/>
        <v>0.23182297154899834</v>
      </c>
      <c r="FD41" s="1510"/>
      <c r="FE41"/>
      <c r="FF41"/>
      <c r="FG41"/>
      <c r="FH41"/>
      <c r="FI41"/>
      <c r="FJ41"/>
    </row>
    <row r="42" spans="1:166" s="1064" customFormat="1" ht="12.75" customHeight="1" x14ac:dyDescent="0.2">
      <c r="A42" s="1512" t="s">
        <v>783</v>
      </c>
      <c r="B42" s="1512"/>
      <c r="C42" s="1513"/>
      <c r="D42" s="1208"/>
      <c r="E42" s="1208"/>
      <c r="F42" s="1514"/>
      <c r="G42" s="1512"/>
      <c r="H42" s="1513"/>
      <c r="I42" s="1208"/>
      <c r="J42" s="1208"/>
      <c r="K42" s="1208"/>
      <c r="L42" s="1512"/>
      <c r="M42" s="1208"/>
      <c r="N42" s="1208"/>
      <c r="O42" s="1208"/>
      <c r="P42" s="1208"/>
      <c r="Q42" s="1512"/>
      <c r="R42" s="1208"/>
      <c r="S42" s="1208"/>
      <c r="T42" s="1208"/>
      <c r="U42" s="1208"/>
      <c r="V42" s="1512"/>
      <c r="W42" s="1208"/>
      <c r="X42" s="1208"/>
      <c r="Y42" s="1208"/>
      <c r="Z42" s="1514"/>
      <c r="AA42" s="1514"/>
      <c r="AB42" s="1513"/>
      <c r="AC42" s="1208"/>
      <c r="AD42" s="1208"/>
      <c r="AE42" s="1208"/>
      <c r="AF42" s="1512"/>
      <c r="AG42" s="1208"/>
      <c r="AH42" s="1208"/>
      <c r="AI42" s="1208"/>
      <c r="AJ42" s="1515"/>
      <c r="AK42" s="1514"/>
      <c r="AL42" s="1208"/>
      <c r="AM42" s="1208"/>
      <c r="AN42" s="1208"/>
      <c r="AO42" s="1208"/>
      <c r="AP42" s="1512"/>
      <c r="AQ42" s="1208"/>
      <c r="AR42" s="1208"/>
      <c r="AS42" s="1208"/>
      <c r="AT42" s="1208"/>
      <c r="AU42" s="1512"/>
      <c r="AV42" s="1078"/>
      <c r="AW42" s="1208">
        <f t="shared" ref="AW42:CE42" si="216">AW189</f>
        <v>106.19999999999997</v>
      </c>
      <c r="AX42" s="1208">
        <f t="shared" si="216"/>
        <v>117.29999999999994</v>
      </c>
      <c r="AY42" s="1208">
        <f t="shared" si="216"/>
        <v>115.99999999999994</v>
      </c>
      <c r="AZ42" s="1208">
        <f t="shared" si="216"/>
        <v>113.89999999999999</v>
      </c>
      <c r="BA42" s="1516">
        <f t="shared" si="216"/>
        <v>453.39999999999986</v>
      </c>
      <c r="BB42" s="1513">
        <f t="shared" si="216"/>
        <v>120</v>
      </c>
      <c r="BC42" s="1208">
        <f t="shared" si="216"/>
        <v>149.89999999999995</v>
      </c>
      <c r="BD42" s="1208">
        <f t="shared" si="216"/>
        <v>161.00000000000003</v>
      </c>
      <c r="BE42" s="1208">
        <f t="shared" si="216"/>
        <v>154.09999999999988</v>
      </c>
      <c r="BF42" s="1516">
        <f t="shared" si="216"/>
        <v>584.99999999999989</v>
      </c>
      <c r="BG42" s="1208">
        <f t="shared" si="216"/>
        <v>144.09999999999997</v>
      </c>
      <c r="BH42" s="1208">
        <f t="shared" si="216"/>
        <v>172.89999999999992</v>
      </c>
      <c r="BI42" s="1208">
        <f t="shared" si="216"/>
        <v>162.89999999999995</v>
      </c>
      <c r="BJ42" s="1208">
        <f t="shared" si="216"/>
        <v>172.20000000000002</v>
      </c>
      <c r="BK42" s="1516">
        <f t="shared" si="216"/>
        <v>652.09999999999991</v>
      </c>
      <c r="BL42" s="1208">
        <f t="shared" si="216"/>
        <v>144.99999999999997</v>
      </c>
      <c r="BM42" s="1208">
        <f t="shared" si="216"/>
        <v>162.50000000000003</v>
      </c>
      <c r="BN42" s="1208">
        <f t="shared" si="216"/>
        <v>176.00000000000003</v>
      </c>
      <c r="BO42" s="1208">
        <f t="shared" si="216"/>
        <v>182.09999999999997</v>
      </c>
      <c r="BP42" s="1516">
        <f t="shared" si="216"/>
        <v>665.59999999999991</v>
      </c>
      <c r="BQ42" s="1208">
        <f t="shared" si="216"/>
        <v>159.70000000000002</v>
      </c>
      <c r="BR42" s="1208">
        <f t="shared" si="216"/>
        <v>182.8</v>
      </c>
      <c r="BS42" s="1208">
        <f t="shared" si="216"/>
        <v>194.39999999999998</v>
      </c>
      <c r="BT42" s="1208">
        <f t="shared" si="216"/>
        <v>224.20000000000005</v>
      </c>
      <c r="BU42" s="1516">
        <f t="shared" si="216"/>
        <v>761.1</v>
      </c>
      <c r="BV42" s="1271">
        <f t="shared" ref="BV42:BZ42" si="217">BV189</f>
        <v>332.19999999999987</v>
      </c>
      <c r="BW42" s="1271">
        <f t="shared" si="217"/>
        <v>398.00000000000006</v>
      </c>
      <c r="BX42" s="1271">
        <f t="shared" si="217"/>
        <v>414.2999999999999</v>
      </c>
      <c r="BY42" s="1271">
        <f t="shared" si="217"/>
        <v>397.89999999999986</v>
      </c>
      <c r="BZ42" s="1516">
        <f t="shared" si="217"/>
        <v>1542.3999999999999</v>
      </c>
      <c r="CA42" s="1208">
        <f t="shared" si="216"/>
        <v>355.09999999999991</v>
      </c>
      <c r="CB42" s="1208">
        <f t="shared" si="216"/>
        <v>427.79999999999984</v>
      </c>
      <c r="CC42" s="1208">
        <f>CC189</f>
        <v>440.70000000000016</v>
      </c>
      <c r="CD42" s="1208">
        <f t="shared" si="216"/>
        <v>442.60000000000014</v>
      </c>
      <c r="CE42" s="1516">
        <f t="shared" si="216"/>
        <v>1666.2</v>
      </c>
      <c r="CF42" s="1208">
        <f t="shared" ref="CF42:DX42" si="218">CF189</f>
        <v>407.79999999999984</v>
      </c>
      <c r="CG42" s="1208">
        <f>CG189</f>
        <v>479.09999999999991</v>
      </c>
      <c r="CH42" s="1208">
        <f t="shared" si="218"/>
        <v>488.89999999999975</v>
      </c>
      <c r="CI42" s="1208">
        <f t="shared" si="218"/>
        <v>512.38000000000011</v>
      </c>
      <c r="CJ42" s="1516">
        <f t="shared" si="218"/>
        <v>1888.1799999999996</v>
      </c>
      <c r="CK42" s="1208">
        <f t="shared" si="218"/>
        <v>443.4</v>
      </c>
      <c r="CL42" s="1208">
        <f t="shared" si="218"/>
        <v>531.00000000000011</v>
      </c>
      <c r="CM42" s="1208">
        <f t="shared" si="218"/>
        <v>565.1</v>
      </c>
      <c r="CN42" s="1208">
        <f t="shared" si="218"/>
        <v>606.30000000000018</v>
      </c>
      <c r="CO42" s="1516">
        <f t="shared" si="218"/>
        <v>2145.8000000000002</v>
      </c>
      <c r="CP42" s="1208">
        <f t="shared" si="218"/>
        <v>497.79999999999973</v>
      </c>
      <c r="CQ42" s="1208">
        <f t="shared" si="218"/>
        <v>561.62434289101759</v>
      </c>
      <c r="CR42" s="1208">
        <f t="shared" si="218"/>
        <v>601.43767297924478</v>
      </c>
      <c r="CS42" s="1208">
        <f t="shared" si="218"/>
        <v>629.20818480729656</v>
      </c>
      <c r="CT42" s="1512">
        <f t="shared" si="218"/>
        <v>2290.0702006775587</v>
      </c>
      <c r="CU42" s="1208">
        <f t="shared" si="218"/>
        <v>544.27734719810644</v>
      </c>
      <c r="CV42" s="1208">
        <f t="shared" si="218"/>
        <v>615.29137703043773</v>
      </c>
      <c r="CW42" s="1208">
        <f t="shared" si="218"/>
        <v>664.56438227151887</v>
      </c>
      <c r="CX42" s="1208">
        <f t="shared" si="218"/>
        <v>696.91196921433163</v>
      </c>
      <c r="CY42" s="1516">
        <f t="shared" si="218"/>
        <v>2521.0450757143944</v>
      </c>
      <c r="CZ42" s="1208">
        <f t="shared" si="218"/>
        <v>587.64159008906063</v>
      </c>
      <c r="DA42" s="1208">
        <f t="shared" si="218"/>
        <v>679.99666453463624</v>
      </c>
      <c r="DB42" s="1208">
        <f t="shared" si="218"/>
        <v>734.48538340675555</v>
      </c>
      <c r="DC42" s="1208">
        <f t="shared" si="218"/>
        <v>770.34911905120225</v>
      </c>
      <c r="DD42" s="1516">
        <f t="shared" si="218"/>
        <v>2772.4727570816549</v>
      </c>
      <c r="DE42" s="1208">
        <f t="shared" si="218"/>
        <v>649.71785407382708</v>
      </c>
      <c r="DF42" s="1208">
        <f t="shared" si="218"/>
        <v>720.51403899274806</v>
      </c>
      <c r="DG42" s="1208">
        <f t="shared" si="218"/>
        <v>785.440570571595</v>
      </c>
      <c r="DH42" s="1208">
        <f t="shared" si="218"/>
        <v>832.13239039858297</v>
      </c>
      <c r="DI42" s="1516">
        <f t="shared" si="218"/>
        <v>2987.8048540367531</v>
      </c>
      <c r="DJ42" s="1208">
        <f t="shared" si="218"/>
        <v>726.80674941252073</v>
      </c>
      <c r="DK42" s="1208">
        <f t="shared" si="218"/>
        <v>805.28136277476528</v>
      </c>
      <c r="DL42" s="1208">
        <f t="shared" si="218"/>
        <v>878.06638071853445</v>
      </c>
      <c r="DM42" s="1208">
        <f t="shared" si="218"/>
        <v>928.92390026207102</v>
      </c>
      <c r="DN42" s="1516">
        <f t="shared" si="218"/>
        <v>3339.078393167892</v>
      </c>
      <c r="DO42" s="1208">
        <f t="shared" si="218"/>
        <v>797.20445131842052</v>
      </c>
      <c r="DP42" s="1208">
        <f t="shared" si="218"/>
        <v>880.83576937694397</v>
      </c>
      <c r="DQ42" s="1208">
        <f t="shared" si="218"/>
        <v>960.01492469748348</v>
      </c>
      <c r="DR42" s="1208">
        <f t="shared" si="218"/>
        <v>1015.1337207912643</v>
      </c>
      <c r="DS42" s="1516">
        <f t="shared" si="218"/>
        <v>3653.1888661841117</v>
      </c>
      <c r="DT42" s="1208">
        <f t="shared" si="218"/>
        <v>821.26323469856197</v>
      </c>
      <c r="DU42" s="1208">
        <f t="shared" si="218"/>
        <v>897.22324459941422</v>
      </c>
      <c r="DV42" s="1208">
        <f t="shared" si="218"/>
        <v>978.07803510068754</v>
      </c>
      <c r="DW42" s="1208">
        <f t="shared" si="218"/>
        <v>1042.7695430573738</v>
      </c>
      <c r="DX42" s="1516">
        <f t="shared" si="218"/>
        <v>3739.3340574560375</v>
      </c>
      <c r="DY42" s="1208">
        <f t="shared" ref="DY42:EC42" si="219">DY189</f>
        <v>889.96884708083451</v>
      </c>
      <c r="DZ42" s="1208">
        <f t="shared" si="219"/>
        <v>979.68960845933213</v>
      </c>
      <c r="EA42" s="1208">
        <f t="shared" si="219"/>
        <v>1067.5312307734516</v>
      </c>
      <c r="EB42" s="1208">
        <f t="shared" si="219"/>
        <v>1137.5036093102119</v>
      </c>
      <c r="EC42" s="1516">
        <f t="shared" si="219"/>
        <v>4074.6932956238306</v>
      </c>
      <c r="ED42" s="1517"/>
      <c r="EE42" s="1513">
        <f>X42+W42+U42+T42</f>
        <v>0</v>
      </c>
      <c r="EF42" s="1208">
        <f>AC42+AB42+Z42+Y42</f>
        <v>0</v>
      </c>
      <c r="EG42" s="1208">
        <f>AH42+AG42+AE42+AD42</f>
        <v>0</v>
      </c>
      <c r="EH42" s="1208">
        <f>AM42+AL42+AJ42+AI42</f>
        <v>0</v>
      </c>
      <c r="EI42" s="1208">
        <f>AR42+AQ42+AO42+AN42</f>
        <v>0</v>
      </c>
      <c r="EJ42" s="1208">
        <f>AZ42+AY42+AX42+AW42</f>
        <v>453.39999999999986</v>
      </c>
      <c r="EK42" s="1208">
        <f>BF42</f>
        <v>584.99999999999989</v>
      </c>
      <c r="EL42" s="1208">
        <f>BK42</f>
        <v>652.09999999999991</v>
      </c>
      <c r="EM42" s="1208">
        <f>BP42</f>
        <v>665.59999999999991</v>
      </c>
      <c r="EN42" s="1484">
        <f>BU42</f>
        <v>761.1</v>
      </c>
      <c r="EO42" s="1484">
        <f>CE42</f>
        <v>1666.2</v>
      </c>
      <c r="EP42" s="1484">
        <f t="shared" si="188"/>
        <v>1888.1799999999996</v>
      </c>
      <c r="EQ42" s="1484">
        <f t="shared" si="189"/>
        <v>2145.8000000000002</v>
      </c>
      <c r="ER42" s="1485">
        <f t="shared" si="190"/>
        <v>2290.0702006775587</v>
      </c>
      <c r="ES42" s="1518"/>
      <c r="ET42" s="1518"/>
      <c r="EU42" s="1518"/>
      <c r="EX42" s="1511" t="s">
        <v>290</v>
      </c>
      <c r="EY42" s="1519">
        <f t="shared" si="103"/>
        <v>497.79999999999973</v>
      </c>
      <c r="EZ42" s="1519">
        <v>515.6839709480347</v>
      </c>
      <c r="FA42" s="1519">
        <f>EY42-EZ42</f>
        <v>-17.883970948034971</v>
      </c>
      <c r="FB42" s="1519">
        <f t="shared" si="147"/>
        <v>443.4</v>
      </c>
      <c r="FC42" s="1520">
        <f t="shared" si="148"/>
        <v>0.12268831754623299</v>
      </c>
      <c r="FD42" s="1521">
        <f>EY42/EZ42</f>
        <v>0.96531990142110291</v>
      </c>
      <c r="FE42"/>
      <c r="FF42"/>
      <c r="FG42"/>
      <c r="FH42"/>
      <c r="FI42"/>
      <c r="FJ42"/>
    </row>
    <row r="43" spans="1:166" s="1064" customFormat="1" ht="13.5" customHeight="1" x14ac:dyDescent="0.2">
      <c r="A43" s="1512" t="s">
        <v>31</v>
      </c>
      <c r="B43" s="1512"/>
      <c r="C43" s="1513"/>
      <c r="D43" s="1208"/>
      <c r="E43" s="1208"/>
      <c r="F43" s="1514"/>
      <c r="G43" s="1512"/>
      <c r="H43" s="1513"/>
      <c r="I43" s="1208"/>
      <c r="J43" s="1208"/>
      <c r="K43" s="1208"/>
      <c r="L43" s="1512"/>
      <c r="M43" s="1208"/>
      <c r="N43" s="1208"/>
      <c r="O43" s="1208"/>
      <c r="P43" s="1208"/>
      <c r="Q43" s="1512"/>
      <c r="R43" s="1208"/>
      <c r="S43" s="1208"/>
      <c r="T43" s="1208"/>
      <c r="U43" s="1208"/>
      <c r="V43" s="1512"/>
      <c r="W43" s="1208"/>
      <c r="X43" s="1208"/>
      <c r="Y43" s="1208"/>
      <c r="Z43" s="1514"/>
      <c r="AA43" s="1514"/>
      <c r="AB43" s="1513"/>
      <c r="AC43" s="1208"/>
      <c r="AD43" s="1208"/>
      <c r="AE43" s="1208"/>
      <c r="AF43" s="1512"/>
      <c r="AG43" s="1208"/>
      <c r="AH43" s="1208"/>
      <c r="AI43" s="1208"/>
      <c r="AJ43" s="1515"/>
      <c r="AK43" s="1514"/>
      <c r="AL43" s="1208"/>
      <c r="AM43" s="1208"/>
      <c r="AN43" s="1208"/>
      <c r="AO43" s="1208"/>
      <c r="AP43" s="1512"/>
      <c r="AQ43" s="1208"/>
      <c r="AR43" s="1208"/>
      <c r="AS43" s="1208"/>
      <c r="AT43" s="1208"/>
      <c r="AU43" s="1512"/>
      <c r="AV43" s="1078"/>
      <c r="AW43" s="1208">
        <f t="shared" ref="AW43:CE43" si="220">AW192</f>
        <v>101.89999999999998</v>
      </c>
      <c r="AX43" s="1208">
        <f t="shared" si="220"/>
        <v>113.29999999999994</v>
      </c>
      <c r="AY43" s="1208">
        <f t="shared" si="220"/>
        <v>110.99999999999994</v>
      </c>
      <c r="AZ43" s="1208">
        <f t="shared" si="220"/>
        <v>113.19999999999999</v>
      </c>
      <c r="BA43" s="1516">
        <f t="shared" si="220"/>
        <v>439.39999999999986</v>
      </c>
      <c r="BB43" s="1513">
        <f t="shared" si="220"/>
        <v>119.39999999999999</v>
      </c>
      <c r="BC43" s="1208">
        <f t="shared" si="220"/>
        <v>149.19999999999993</v>
      </c>
      <c r="BD43" s="1208">
        <f t="shared" si="220"/>
        <v>160.50000000000003</v>
      </c>
      <c r="BE43" s="1208">
        <f t="shared" si="220"/>
        <v>148.29999999999987</v>
      </c>
      <c r="BF43" s="1516">
        <f t="shared" si="220"/>
        <v>577.39999999999975</v>
      </c>
      <c r="BG43" s="1208">
        <f t="shared" si="220"/>
        <v>140.59999999999997</v>
      </c>
      <c r="BH43" s="1208">
        <f t="shared" si="220"/>
        <v>171.09999999999994</v>
      </c>
      <c r="BI43" s="1208">
        <f t="shared" si="220"/>
        <v>160.69999999999996</v>
      </c>
      <c r="BJ43" s="1208">
        <f t="shared" si="220"/>
        <v>165.40000000000003</v>
      </c>
      <c r="BK43" s="1516">
        <f t="shared" si="220"/>
        <v>637.79999999999995</v>
      </c>
      <c r="BL43" s="1208">
        <f t="shared" si="220"/>
        <v>137.1</v>
      </c>
      <c r="BM43" s="1208">
        <f t="shared" si="220"/>
        <v>157.70000000000005</v>
      </c>
      <c r="BN43" s="1208">
        <f t="shared" si="220"/>
        <v>169.60000000000002</v>
      </c>
      <c r="BO43" s="1208">
        <f t="shared" si="220"/>
        <v>170.89999999999998</v>
      </c>
      <c r="BP43" s="1516">
        <f t="shared" si="220"/>
        <v>635.30000000000007</v>
      </c>
      <c r="BQ43" s="1208">
        <f t="shared" si="220"/>
        <v>152.20000000000002</v>
      </c>
      <c r="BR43" s="1208">
        <f t="shared" si="220"/>
        <v>172.70000000000002</v>
      </c>
      <c r="BS43" s="1208">
        <f t="shared" si="220"/>
        <v>193.99999999999997</v>
      </c>
      <c r="BT43" s="1208">
        <f t="shared" si="220"/>
        <v>195.70000000000005</v>
      </c>
      <c r="BU43" s="1516">
        <f t="shared" si="220"/>
        <v>714.6</v>
      </c>
      <c r="BV43" s="1271">
        <f t="shared" ref="BV43:BZ43" si="221">BV192</f>
        <v>321.89999999999986</v>
      </c>
      <c r="BW43" s="1271">
        <f t="shared" si="221"/>
        <v>385.50000000000006</v>
      </c>
      <c r="BX43" s="1271">
        <f t="shared" si="221"/>
        <v>411.69999999999987</v>
      </c>
      <c r="BY43" s="1271">
        <f t="shared" si="221"/>
        <v>373.99999999999983</v>
      </c>
      <c r="BZ43" s="1516">
        <f t="shared" si="221"/>
        <v>1493.0999999999995</v>
      </c>
      <c r="CA43" s="1208">
        <f t="shared" si="220"/>
        <v>340.29999999999995</v>
      </c>
      <c r="CB43" s="1208">
        <f t="shared" si="220"/>
        <v>409.5999999999998</v>
      </c>
      <c r="CC43" s="1208">
        <f t="shared" si="220"/>
        <v>420.50000000000017</v>
      </c>
      <c r="CD43" s="1208">
        <f>CD192</f>
        <v>424.7000000000001</v>
      </c>
      <c r="CE43" s="1516">
        <f t="shared" si="220"/>
        <v>1595.1</v>
      </c>
      <c r="CF43" s="1208">
        <f t="shared" ref="CF43:DX43" si="222">CF192</f>
        <v>415.59999999999985</v>
      </c>
      <c r="CG43" s="1208">
        <f t="shared" si="222"/>
        <v>459.99999999999989</v>
      </c>
      <c r="CH43" s="1208">
        <f t="shared" si="222"/>
        <v>476.79999999999973</v>
      </c>
      <c r="CI43" s="1208">
        <f t="shared" si="222"/>
        <v>501.78000000000009</v>
      </c>
      <c r="CJ43" s="1516">
        <f t="shared" si="222"/>
        <v>1854.1799999999994</v>
      </c>
      <c r="CK43" s="1208">
        <f t="shared" si="222"/>
        <v>427.79999999999995</v>
      </c>
      <c r="CL43" s="1208">
        <f t="shared" si="222"/>
        <v>515.00000000000011</v>
      </c>
      <c r="CM43" s="1208">
        <f t="shared" si="222"/>
        <v>553.9</v>
      </c>
      <c r="CN43" s="1208">
        <f t="shared" si="222"/>
        <v>593.10000000000014</v>
      </c>
      <c r="CO43" s="1516">
        <f t="shared" si="222"/>
        <v>2089.8000000000002</v>
      </c>
      <c r="CP43" s="1208">
        <f t="shared" si="222"/>
        <v>492.49999999999972</v>
      </c>
      <c r="CQ43" s="1208">
        <f t="shared" si="222"/>
        <v>544.53434289101756</v>
      </c>
      <c r="CR43" s="1208">
        <f t="shared" si="222"/>
        <v>592.68767297924478</v>
      </c>
      <c r="CS43" s="1208">
        <f t="shared" si="222"/>
        <v>620.00818480729652</v>
      </c>
      <c r="CT43" s="1512">
        <f t="shared" si="222"/>
        <v>2249.7302006775585</v>
      </c>
      <c r="CU43" s="1208">
        <f t="shared" si="222"/>
        <v>535.97734719810649</v>
      </c>
      <c r="CV43" s="1208">
        <f t="shared" si="222"/>
        <v>608.2013770304377</v>
      </c>
      <c r="CW43" s="1208">
        <f t="shared" si="222"/>
        <v>656.81438227151887</v>
      </c>
      <c r="CX43" s="1208">
        <f t="shared" si="222"/>
        <v>688.71196921433159</v>
      </c>
      <c r="CY43" s="1516">
        <f t="shared" si="222"/>
        <v>2489.7050757143943</v>
      </c>
      <c r="CZ43" s="1208">
        <f t="shared" si="222"/>
        <v>580.34159008906067</v>
      </c>
      <c r="DA43" s="1208">
        <f t="shared" si="222"/>
        <v>673.90666453463621</v>
      </c>
      <c r="DB43" s="1208">
        <f t="shared" si="222"/>
        <v>727.73538340675555</v>
      </c>
      <c r="DC43" s="1208">
        <f t="shared" si="222"/>
        <v>763.14911905120221</v>
      </c>
      <c r="DD43" s="1516">
        <f t="shared" si="222"/>
        <v>2745.1327570816547</v>
      </c>
      <c r="DE43" s="1208">
        <f t="shared" si="222"/>
        <v>641.41785407382713</v>
      </c>
      <c r="DF43" s="1208">
        <f t="shared" si="222"/>
        <v>714.42403899274802</v>
      </c>
      <c r="DG43" s="1208">
        <f t="shared" si="222"/>
        <v>778.690570571595</v>
      </c>
      <c r="DH43" s="1208">
        <f t="shared" si="222"/>
        <v>825.93239039858292</v>
      </c>
      <c r="DI43" s="1516">
        <f t="shared" si="222"/>
        <v>2960.464854036753</v>
      </c>
      <c r="DJ43" s="1208">
        <f t="shared" si="222"/>
        <v>720.00674941252078</v>
      </c>
      <c r="DK43" s="1208">
        <f t="shared" si="222"/>
        <v>800.69136277476525</v>
      </c>
      <c r="DL43" s="1208">
        <f t="shared" si="222"/>
        <v>872.81638071853445</v>
      </c>
      <c r="DM43" s="1208">
        <f t="shared" si="222"/>
        <v>924.22390026207097</v>
      </c>
      <c r="DN43" s="1516">
        <f t="shared" si="222"/>
        <v>3317.7383931678914</v>
      </c>
      <c r="DO43" s="1208">
        <f t="shared" si="222"/>
        <v>791.90445131842057</v>
      </c>
      <c r="DP43" s="1208">
        <f t="shared" si="222"/>
        <v>877.74576937694394</v>
      </c>
      <c r="DQ43" s="1208">
        <f t="shared" si="222"/>
        <v>956.26492469748348</v>
      </c>
      <c r="DR43" s="1208">
        <f t="shared" si="222"/>
        <v>1011.9337207912642</v>
      </c>
      <c r="DS43" s="1516">
        <f t="shared" si="222"/>
        <v>3637.848866184112</v>
      </c>
      <c r="DT43" s="1208">
        <f t="shared" si="222"/>
        <v>817.46323469856202</v>
      </c>
      <c r="DU43" s="1208">
        <f t="shared" si="222"/>
        <v>895.63324459941418</v>
      </c>
      <c r="DV43" s="1208">
        <f t="shared" si="222"/>
        <v>975.82803510068754</v>
      </c>
      <c r="DW43" s="1208">
        <f t="shared" si="222"/>
        <v>1041.0695430573737</v>
      </c>
      <c r="DX43" s="1516">
        <f t="shared" si="222"/>
        <v>3729.9940574560374</v>
      </c>
      <c r="DY43" s="1208">
        <f t="shared" ref="DY43:EC43" si="223">DY192</f>
        <v>887.66884708083455</v>
      </c>
      <c r="DZ43" s="1208">
        <f t="shared" si="223"/>
        <v>979.5996084593321</v>
      </c>
      <c r="EA43" s="1208">
        <f t="shared" si="223"/>
        <v>1066.7812307734516</v>
      </c>
      <c r="EB43" s="1208">
        <f t="shared" si="223"/>
        <v>1137.3036093102119</v>
      </c>
      <c r="EC43" s="1516">
        <f t="shared" si="223"/>
        <v>4071.35329562383</v>
      </c>
      <c r="ED43" s="1518"/>
      <c r="EE43" s="1513"/>
      <c r="EF43" s="1208"/>
      <c r="EG43" s="1208"/>
      <c r="EH43" s="1208"/>
      <c r="EI43" s="1208"/>
      <c r="EJ43" s="1208"/>
      <c r="EK43" s="1208">
        <f>BF43</f>
        <v>577.39999999999975</v>
      </c>
      <c r="EL43" s="1208">
        <f>BK43</f>
        <v>637.79999999999995</v>
      </c>
      <c r="EM43" s="1208">
        <f>BP43</f>
        <v>635.30000000000007</v>
      </c>
      <c r="EN43" s="1208">
        <f>BU43</f>
        <v>714.6</v>
      </c>
      <c r="EO43" s="1208">
        <f>CE43</f>
        <v>1595.1</v>
      </c>
      <c r="EP43" s="1208">
        <f t="shared" si="188"/>
        <v>1854.1799999999994</v>
      </c>
      <c r="EQ43" s="1208">
        <f t="shared" si="189"/>
        <v>2089.8000000000002</v>
      </c>
      <c r="ER43" s="1514">
        <f t="shared" si="190"/>
        <v>2249.7302006775585</v>
      </c>
      <c r="ES43" s="1518"/>
      <c r="ET43" s="1518"/>
      <c r="EU43" s="1518"/>
      <c r="EX43" s="1511" t="s">
        <v>31</v>
      </c>
      <c r="EY43" s="1519">
        <f t="shared" si="103"/>
        <v>492.49999999999972</v>
      </c>
      <c r="EZ43" s="1519">
        <v>506.88397094803469</v>
      </c>
      <c r="FA43" s="1519">
        <f>EY43-EZ43</f>
        <v>-14.383970948034971</v>
      </c>
      <c r="FB43" s="1519">
        <f t="shared" si="147"/>
        <v>427.79999999999995</v>
      </c>
      <c r="FC43" s="1520">
        <f>EY43/FB43-1</f>
        <v>0.15123889668069146</v>
      </c>
      <c r="FD43" s="1177">
        <f>EY43/EZ43-1</f>
        <v>-2.8377245627105419E-2</v>
      </c>
      <c r="FE43"/>
      <c r="FF43"/>
      <c r="FG43"/>
      <c r="FH43"/>
      <c r="FI43"/>
      <c r="FJ43"/>
    </row>
    <row r="44" spans="1:166" s="1064" customFormat="1" ht="12.75" hidden="1" customHeight="1" outlineLevel="1" x14ac:dyDescent="0.2">
      <c r="A44" s="1465" t="s">
        <v>497</v>
      </c>
      <c r="B44" s="1465"/>
      <c r="C44" s="1461"/>
      <c r="D44" s="1201"/>
      <c r="E44" s="1201"/>
      <c r="F44" s="1462"/>
      <c r="G44" s="1465"/>
      <c r="H44" s="1461"/>
      <c r="I44" s="1201"/>
      <c r="J44" s="1201"/>
      <c r="K44" s="1201"/>
      <c r="L44" s="1465"/>
      <c r="M44" s="1201"/>
      <c r="N44" s="1201"/>
      <c r="O44" s="1201"/>
      <c r="P44" s="1201"/>
      <c r="Q44" s="1465"/>
      <c r="R44" s="1201"/>
      <c r="S44" s="1201"/>
      <c r="T44" s="1201"/>
      <c r="U44" s="1201"/>
      <c r="V44" s="1465"/>
      <c r="W44" s="1201"/>
      <c r="X44" s="1201"/>
      <c r="Y44" s="1201"/>
      <c r="Z44" s="1462"/>
      <c r="AA44" s="1462"/>
      <c r="AB44" s="1461"/>
      <c r="AC44" s="1201"/>
      <c r="AD44" s="1201"/>
      <c r="AE44" s="1201">
        <v>17</v>
      </c>
      <c r="AF44" s="1465"/>
      <c r="AG44" s="1201">
        <v>18</v>
      </c>
      <c r="AH44" s="1201">
        <v>18</v>
      </c>
      <c r="AI44" s="1201">
        <v>17</v>
      </c>
      <c r="AJ44" s="1466">
        <v>14</v>
      </c>
      <c r="AK44" s="1462">
        <f>SUM(AG44:AJ44)</f>
        <v>67</v>
      </c>
      <c r="AL44" s="1201">
        <v>15</v>
      </c>
      <c r="AM44" s="1201">
        <v>16</v>
      </c>
      <c r="AN44" s="1201">
        <v>14</v>
      </c>
      <c r="AO44" s="1201">
        <v>13.1</v>
      </c>
      <c r="AP44" s="1465">
        <f t="shared" ref="AP44:AP51" si="224">SUM(AL44:AO44)</f>
        <v>58.1</v>
      </c>
      <c r="AQ44" s="1201">
        <v>12.8</v>
      </c>
      <c r="AR44" s="1201">
        <v>12.4</v>
      </c>
      <c r="AS44" s="1201">
        <v>12.2</v>
      </c>
      <c r="AT44" s="1201">
        <v>12.2</v>
      </c>
      <c r="AU44" s="1465">
        <f t="shared" ref="AU44:AU51" si="225">SUM(AQ44:AT44)</f>
        <v>49.600000000000009</v>
      </c>
      <c r="AV44" s="1078"/>
      <c r="AW44" s="1201">
        <v>12.2</v>
      </c>
      <c r="AX44" s="1201">
        <v>12.2</v>
      </c>
      <c r="AY44" s="1201">
        <v>12.5</v>
      </c>
      <c r="AZ44" s="1201">
        <v>0</v>
      </c>
      <c r="BA44" s="1427"/>
      <c r="BB44" s="1461">
        <v>51.7</v>
      </c>
      <c r="BC44" s="1201">
        <v>56.4</v>
      </c>
      <c r="BD44" s="1201">
        <v>59.3</v>
      </c>
      <c r="BE44" s="1201"/>
      <c r="BF44" s="1427">
        <f t="shared" ref="BF44:BF49" si="226">SUM(BB44:BE44)</f>
        <v>167.39999999999998</v>
      </c>
      <c r="BG44" s="1201"/>
      <c r="BH44" s="1201">
        <v>57.6</v>
      </c>
      <c r="BI44" s="1201">
        <v>57.5</v>
      </c>
      <c r="BJ44" s="1201">
        <f>BS!BJ184</f>
        <v>50.599999999999987</v>
      </c>
      <c r="BK44" s="1427">
        <f>SUM(BG44:BJ44)</f>
        <v>165.7</v>
      </c>
      <c r="BL44" s="1522">
        <f>BS!BL184</f>
        <v>49.6</v>
      </c>
      <c r="BM44" s="1522">
        <f>BS!BM184</f>
        <v>50.6</v>
      </c>
      <c r="BN44" s="1522">
        <f>BS!BN184</f>
        <v>50.9</v>
      </c>
      <c r="BO44" s="1522">
        <f>BS!BO184</f>
        <v>51.5</v>
      </c>
      <c r="BP44" s="1427">
        <f t="shared" ref="BP44:BP49" si="227">SUM(BL44:BO44)</f>
        <v>202.6</v>
      </c>
      <c r="BQ44" s="1201">
        <f>BS!BQ184</f>
        <v>50.900000000000006</v>
      </c>
      <c r="BR44" s="1201">
        <f>BS!BR184</f>
        <v>51.7</v>
      </c>
      <c r="BS44" s="1201">
        <f>BS!BS184</f>
        <v>52.1</v>
      </c>
      <c r="BT44" s="1201">
        <f>BS!BT184</f>
        <v>129.1</v>
      </c>
      <c r="BU44" s="1427">
        <f>BS!BU184</f>
        <v>283.8</v>
      </c>
      <c r="BV44" s="1267"/>
      <c r="BW44" s="1267"/>
      <c r="BX44" s="1267"/>
      <c r="BY44" s="1267"/>
      <c r="BZ44" s="1427"/>
      <c r="CA44" s="1201">
        <f>BS!BV184</f>
        <v>119.48325625</v>
      </c>
      <c r="CB44" s="1201">
        <f>BS!BW184</f>
        <v>109.122438</v>
      </c>
      <c r="CC44" s="1201">
        <v>116</v>
      </c>
      <c r="CD44" s="1201">
        <f>BS!BY184</f>
        <v>116.9225689484127</v>
      </c>
      <c r="CE44" s="1427">
        <f t="shared" ref="CE44:CE49" si="228">SUM(CA44:CD44)</f>
        <v>461.52826319841267</v>
      </c>
      <c r="CF44" s="1201">
        <f>BS!CA184</f>
        <v>115.7</v>
      </c>
      <c r="CG44" s="1201">
        <f>BS!CB184</f>
        <v>118.1</v>
      </c>
      <c r="CH44" s="1201">
        <f>BS!CC184</f>
        <v>118.6</v>
      </c>
      <c r="CI44" s="1201">
        <f>BS!CD184</f>
        <v>117.68633814097822</v>
      </c>
      <c r="CJ44" s="1427">
        <f t="shared" ref="CJ44:CJ46" si="229">SUM(CF44:CI44)</f>
        <v>470.08633814097823</v>
      </c>
      <c r="CK44" s="1201">
        <f>100+5+8.5</f>
        <v>113.5</v>
      </c>
      <c r="CL44" s="1201">
        <f>BS!CG184</f>
        <v>134.35713481931282</v>
      </c>
      <c r="CM44" s="1201">
        <f>BS!CH184</f>
        <v>154.45499940264614</v>
      </c>
      <c r="CN44" s="1201">
        <f>BS!CI184</f>
        <v>142.8236973193128</v>
      </c>
      <c r="CO44" s="1427">
        <f t="shared" ref="CO44:CO46" si="230">SUM(CK44:CN44)</f>
        <v>545.13583154127173</v>
      </c>
      <c r="CP44" s="1201">
        <f>BS!CK184</f>
        <v>144.23425937500002</v>
      </c>
      <c r="CQ44" s="1201">
        <f>BS!CL184</f>
        <v>144.06129062500003</v>
      </c>
      <c r="CR44" s="1201">
        <f>BS!CM184</f>
        <v>143.888321875</v>
      </c>
      <c r="CS44" s="1201">
        <f>BS!CN184</f>
        <v>143.71535312500001</v>
      </c>
      <c r="CT44" s="1465">
        <f t="shared" ref="CT44:CT46" si="231">SUM(CP44:CS44)</f>
        <v>575.899225</v>
      </c>
      <c r="CU44" s="1201">
        <f>BS!CP184</f>
        <v>143.54238437500001</v>
      </c>
      <c r="CV44" s="1201">
        <f>BS!CQ184</f>
        <v>143.36941562499999</v>
      </c>
      <c r="CW44" s="1201">
        <f>BS!CR184</f>
        <v>143.19644687499999</v>
      </c>
      <c r="CX44" s="1201">
        <f>BS!CS184</f>
        <v>143.023478125</v>
      </c>
      <c r="CY44" s="1427">
        <f t="shared" ref="CY44:CY46" si="232">SUM(CU44:CX44)</f>
        <v>573.13172499999996</v>
      </c>
      <c r="CZ44" s="1201">
        <f>BS!CU184</f>
        <v>142.850509375</v>
      </c>
      <c r="DA44" s="1201">
        <f>BS!CV184</f>
        <v>142.67754062500001</v>
      </c>
      <c r="DB44" s="1201">
        <f>BS!CW184</f>
        <v>142.50457187500001</v>
      </c>
      <c r="DC44" s="1201">
        <f>BS!CX184</f>
        <v>142.33160312500002</v>
      </c>
      <c r="DD44" s="1427">
        <f t="shared" ref="DD44:DD46" si="233">SUM(CZ44:DC44)</f>
        <v>570.36422500000003</v>
      </c>
      <c r="DE44" s="1201">
        <f>BS!CZ184</f>
        <v>142.15863437500002</v>
      </c>
      <c r="DF44" s="1201">
        <f>BS!DA184</f>
        <v>141.985665625</v>
      </c>
      <c r="DG44" s="1201">
        <f>BS!DB184</f>
        <v>141.812696875</v>
      </c>
      <c r="DH44" s="1201">
        <f>BS!DC184</f>
        <v>173.88654374999999</v>
      </c>
      <c r="DI44" s="1427">
        <f t="shared" ref="DI44:DI46" si="234">SUM(DE44:DH44)</f>
        <v>599.84354062500006</v>
      </c>
      <c r="DJ44" s="1201">
        <f>BS!DE184</f>
        <v>142.29414062500001</v>
      </c>
      <c r="DK44" s="1201">
        <f>BS!DF184</f>
        <v>142.13515624999999</v>
      </c>
      <c r="DL44" s="1201">
        <f>BS!DG184</f>
        <v>141.97617187500001</v>
      </c>
      <c r="DM44" s="1201">
        <f>BS!DH184</f>
        <v>141.81718749999999</v>
      </c>
      <c r="DN44" s="1427">
        <f t="shared" ref="DN44:DN46" si="235">SUM(DJ44:DM44)</f>
        <v>568.22265625</v>
      </c>
      <c r="DO44" s="1201">
        <f>BS!DJ184</f>
        <v>141.033203125</v>
      </c>
      <c r="DP44" s="1201">
        <f>BS!DK184</f>
        <v>140.87421875000001</v>
      </c>
      <c r="DQ44" s="1201">
        <f>BS!DL184</f>
        <v>140.71523437499999</v>
      </c>
      <c r="DR44" s="1201">
        <f>BS!DM184</f>
        <v>140.55625000000001</v>
      </c>
      <c r="DS44" s="1427">
        <f t="shared" ref="DS44:DS46" si="236">SUM(DO44:DR44)</f>
        <v>563.17890624999995</v>
      </c>
      <c r="DT44" s="1201">
        <f>BS!DO184</f>
        <v>140.39726562499999</v>
      </c>
      <c r="DU44" s="1201">
        <f>BS!DP184</f>
        <v>140.23828125</v>
      </c>
      <c r="DV44" s="1201">
        <f>BS!DQ184</f>
        <v>123.954296875</v>
      </c>
      <c r="DW44" s="1201">
        <f>BS!DR184</f>
        <v>123.79531249999999</v>
      </c>
      <c r="DX44" s="1427">
        <f t="shared" ref="DX44:DX46" si="237">SUM(DT44:DW44)</f>
        <v>528.38515625000002</v>
      </c>
      <c r="DY44" s="1201">
        <f>BS!DT184</f>
        <v>123.63632812500001</v>
      </c>
      <c r="DZ44" s="1201">
        <f>BS!DU184</f>
        <v>123.47734375</v>
      </c>
      <c r="EA44" s="1201">
        <f>BS!DV184</f>
        <v>123.318359375</v>
      </c>
      <c r="EB44" s="1201">
        <f>BS!DW184</f>
        <v>123.159375</v>
      </c>
      <c r="EC44" s="1427">
        <f t="shared" ref="EC44:EC49" si="238">SUM(DY44:EB44)</f>
        <v>493.59140625000003</v>
      </c>
      <c r="ED44" s="1460"/>
      <c r="EE44" s="1461"/>
      <c r="EF44" s="1201"/>
      <c r="EG44" s="1201"/>
      <c r="EH44" s="1201"/>
      <c r="EI44" s="1201"/>
      <c r="EJ44" s="1201"/>
      <c r="EK44" s="1201"/>
      <c r="EL44" s="1201"/>
      <c r="EM44" s="1201"/>
      <c r="EN44" s="1201"/>
      <c r="EO44" s="1201"/>
      <c r="EP44" s="1201"/>
      <c r="EQ44" s="1201"/>
      <c r="ER44" s="1462"/>
      <c r="ES44" s="1460"/>
      <c r="ET44" s="1460"/>
      <c r="EU44" s="1460"/>
      <c r="EX44" s="1469" t="s">
        <v>497</v>
      </c>
      <c r="EY44" s="1467">
        <f t="shared" si="103"/>
        <v>144.23425937500002</v>
      </c>
      <c r="EZ44" s="1467">
        <v>144.23425937500002</v>
      </c>
      <c r="FA44" s="1467">
        <f t="shared" ref="FA44:FA67" si="239">EY44-EZ44</f>
        <v>0</v>
      </c>
      <c r="FB44" s="1467">
        <f t="shared" si="147"/>
        <v>113.5</v>
      </c>
      <c r="FC44" s="1474"/>
      <c r="FD44" s="1460">
        <f>6*0.85</f>
        <v>5.0999999999999996</v>
      </c>
      <c r="FE44"/>
      <c r="FF44"/>
      <c r="FG44"/>
      <c r="FH44"/>
      <c r="FI44"/>
      <c r="FJ44"/>
    </row>
    <row r="45" spans="1:166" s="1064" customFormat="1" ht="12.75" hidden="1" customHeight="1" outlineLevel="1" x14ac:dyDescent="0.2">
      <c r="A45" s="1465" t="s">
        <v>507</v>
      </c>
      <c r="B45" s="1465"/>
      <c r="C45" s="1461"/>
      <c r="D45" s="1201"/>
      <c r="E45" s="1201"/>
      <c r="F45" s="1462"/>
      <c r="G45" s="1465"/>
      <c r="H45" s="1461"/>
      <c r="I45" s="1201"/>
      <c r="J45" s="1201"/>
      <c r="K45" s="1201"/>
      <c r="L45" s="1465"/>
      <c r="M45" s="1201"/>
      <c r="N45" s="1201"/>
      <c r="O45" s="1201"/>
      <c r="P45" s="1201"/>
      <c r="Q45" s="1465"/>
      <c r="R45" s="1201"/>
      <c r="S45" s="1201"/>
      <c r="T45" s="1201"/>
      <c r="U45" s="1201"/>
      <c r="V45" s="1465"/>
      <c r="W45" s="1201"/>
      <c r="X45" s="1201"/>
      <c r="Y45" s="1201"/>
      <c r="Z45" s="1462"/>
      <c r="AA45" s="1462"/>
      <c r="AB45" s="1461"/>
      <c r="AC45" s="1201"/>
      <c r="AD45" s="1201"/>
      <c r="AE45" s="1201">
        <v>1</v>
      </c>
      <c r="AF45" s="1465"/>
      <c r="AG45" s="1201">
        <v>2</v>
      </c>
      <c r="AH45" s="1201">
        <v>2</v>
      </c>
      <c r="AI45" s="1201">
        <v>1</v>
      </c>
      <c r="AJ45" s="1466">
        <v>1</v>
      </c>
      <c r="AK45" s="1462">
        <f>SUM(AG45:AJ45)</f>
        <v>6</v>
      </c>
      <c r="AL45" s="1201">
        <v>1</v>
      </c>
      <c r="AM45" s="1201">
        <v>1</v>
      </c>
      <c r="AN45" s="1201">
        <v>1</v>
      </c>
      <c r="AO45" s="1201">
        <v>0.5</v>
      </c>
      <c r="AP45" s="1465">
        <f t="shared" si="224"/>
        <v>3.5</v>
      </c>
      <c r="AQ45" s="1201">
        <v>0.3</v>
      </c>
      <c r="AR45" s="1201">
        <v>0.2</v>
      </c>
      <c r="AS45" s="1201">
        <v>0.3</v>
      </c>
      <c r="AT45" s="1201">
        <v>0.2</v>
      </c>
      <c r="AU45" s="1465">
        <f t="shared" si="225"/>
        <v>1</v>
      </c>
      <c r="AV45" s="1078"/>
      <c r="AW45" s="1201">
        <v>0.3</v>
      </c>
      <c r="AX45" s="1201">
        <v>0.2</v>
      </c>
      <c r="AY45" s="1201">
        <v>0.2</v>
      </c>
      <c r="AZ45" s="1201">
        <v>0</v>
      </c>
      <c r="BA45" s="1427"/>
      <c r="BB45" s="1461">
        <v>1.3</v>
      </c>
      <c r="BC45" s="1201">
        <v>0.3</v>
      </c>
      <c r="BD45" s="1201">
        <v>-0.1</v>
      </c>
      <c r="BE45" s="1201"/>
      <c r="BF45" s="1427">
        <f t="shared" si="226"/>
        <v>1.5</v>
      </c>
      <c r="BG45" s="1201"/>
      <c r="BH45" s="1201">
        <v>0.4</v>
      </c>
      <c r="BI45" s="1201">
        <v>0.2</v>
      </c>
      <c r="BJ45" s="1522">
        <v>0.2</v>
      </c>
      <c r="BK45" s="1427">
        <f>SUM(BG45:BJ45)</f>
        <v>0.8</v>
      </c>
      <c r="BL45" s="1522">
        <f>-BS!BL185</f>
        <v>0.5</v>
      </c>
      <c r="BM45" s="1522">
        <f>-BS!BM185</f>
        <v>0.6</v>
      </c>
      <c r="BN45" s="1522">
        <f>-BS!BN185</f>
        <v>0.7</v>
      </c>
      <c r="BO45" s="1522">
        <f>-BS!BO185</f>
        <v>0.8</v>
      </c>
      <c r="BP45" s="1427">
        <f t="shared" si="227"/>
        <v>2.6</v>
      </c>
      <c r="BQ45" s="1201">
        <f>-BS!BQ185</f>
        <v>0.9</v>
      </c>
      <c r="BR45" s="1201">
        <f>-BS!BR185</f>
        <v>1.1000000000000001</v>
      </c>
      <c r="BS45" s="1201">
        <f>-BS!BS185</f>
        <v>0.8</v>
      </c>
      <c r="BT45" s="1201">
        <f>-BS!BT185</f>
        <v>0.90000000000000036</v>
      </c>
      <c r="BU45" s="1427">
        <f>-BS!BU185</f>
        <v>3.7</v>
      </c>
      <c r="BV45" s="1267"/>
      <c r="BW45" s="1267"/>
      <c r="BX45" s="1267"/>
      <c r="BY45" s="1267"/>
      <c r="BZ45" s="1427"/>
      <c r="CA45" s="1201">
        <f>-BS!BV186</f>
        <v>1.7080363717358444</v>
      </c>
      <c r="CB45" s="1201">
        <f>-BS!BW186</f>
        <v>1.1370520302390434</v>
      </c>
      <c r="CC45" s="1201">
        <v>-0.4</v>
      </c>
      <c r="CD45" s="1201">
        <f>-BS!BY186</f>
        <v>0.77476332810928494</v>
      </c>
      <c r="CE45" s="1427">
        <f t="shared" si="228"/>
        <v>3.2198517300841729</v>
      </c>
      <c r="CF45" s="1201">
        <f>-BS!CA186</f>
        <v>0.6</v>
      </c>
      <c r="CG45" s="1201">
        <f>-BS!CB186</f>
        <v>0.9</v>
      </c>
      <c r="CH45" s="1201">
        <f>-BS!CC186</f>
        <v>1.3</v>
      </c>
      <c r="CI45" s="1201">
        <f>-BS!CD186</f>
        <v>1.2798938233146833</v>
      </c>
      <c r="CJ45" s="1427">
        <f t="shared" si="229"/>
        <v>4.0798938233146833</v>
      </c>
      <c r="CK45" s="1201">
        <f>-BS!CF186</f>
        <v>2.144681329783622</v>
      </c>
      <c r="CL45" s="1201">
        <f>-BS!CG186</f>
        <v>2.3955731776644065</v>
      </c>
      <c r="CM45" s="1201">
        <f>-BS!CH186</f>
        <v>2.0893346779354287</v>
      </c>
      <c r="CN45" s="1201">
        <f>-BS!CI186</f>
        <v>1.1046257722430992</v>
      </c>
      <c r="CO45" s="1427">
        <f t="shared" si="230"/>
        <v>7.7342149576265564</v>
      </c>
      <c r="CP45" s="1201">
        <f>-BS!CK186</f>
        <v>2.1</v>
      </c>
      <c r="CQ45" s="1201">
        <f>-BS!CL186</f>
        <v>2</v>
      </c>
      <c r="CR45" s="1201">
        <f>-BS!CM186</f>
        <v>1.5</v>
      </c>
      <c r="CS45" s="1201">
        <f>-BS!CN186</f>
        <v>1.8</v>
      </c>
      <c r="CT45" s="1465">
        <f t="shared" si="231"/>
        <v>7.3999999999999995</v>
      </c>
      <c r="CU45" s="1201">
        <f>-BS!CP186</f>
        <v>1.7729945405827143</v>
      </c>
      <c r="CV45" s="1201">
        <f>-BS!CQ186</f>
        <v>2.0893214807005354</v>
      </c>
      <c r="CW45" s="1201">
        <f>-BS!CR186</f>
        <v>2.1718266583740835</v>
      </c>
      <c r="CX45" s="1201">
        <f>-BS!CS186</f>
        <v>2.3896706097079781</v>
      </c>
      <c r="CY45" s="1427">
        <f t="shared" si="232"/>
        <v>8.4238132893653113</v>
      </c>
      <c r="CZ45" s="1201">
        <f>-BS!CU186</f>
        <v>3.5384000520832308</v>
      </c>
      <c r="DA45" s="1201">
        <f>-BS!CV186</f>
        <v>3.9964771718503473</v>
      </c>
      <c r="DB45" s="1201">
        <f>-BS!CW186</f>
        <v>3.9170332390917473</v>
      </c>
      <c r="DC45" s="1201">
        <f>-BS!CX186</f>
        <v>4.1079519380776244</v>
      </c>
      <c r="DD45" s="1427">
        <f t="shared" si="233"/>
        <v>15.559862401102949</v>
      </c>
      <c r="DE45" s="1201">
        <f>-BS!CZ186</f>
        <v>5.7650170961282647</v>
      </c>
      <c r="DF45" s="1201">
        <f>-BS!DA186</f>
        <v>6.3722898802279548</v>
      </c>
      <c r="DG45" s="1201">
        <f>-BS!DB186</f>
        <v>6.1229517052101725</v>
      </c>
      <c r="DH45" s="1201">
        <f>-BS!DC186</f>
        <v>3.6359290535545505</v>
      </c>
      <c r="DI45" s="1427">
        <f t="shared" si="234"/>
        <v>21.896187735120943</v>
      </c>
      <c r="DJ45" s="1201">
        <f>-BS!DE186</f>
        <v>-1.7827294968263556</v>
      </c>
      <c r="DK45" s="1201">
        <f>-BS!DF186</f>
        <v>-5.0374271692281285</v>
      </c>
      <c r="DL45" s="1201">
        <f>-BS!DG186</f>
        <v>-3.5236706602999859</v>
      </c>
      <c r="DM45" s="1201">
        <f>-BS!DH186</f>
        <v>-2.4100355367015798</v>
      </c>
      <c r="DN45" s="1427">
        <f t="shared" si="235"/>
        <v>-12.75386286305605</v>
      </c>
      <c r="DO45" s="1201">
        <f>-BS!DJ186</f>
        <v>-2.5028818361814738</v>
      </c>
      <c r="DP45" s="1201">
        <f>-BS!DK186</f>
        <v>-2.0869148150568546</v>
      </c>
      <c r="DQ45" s="1201">
        <f>-BS!DL186</f>
        <v>-0.8335776043824239</v>
      </c>
      <c r="DR45" s="1201">
        <f>-BS!DM186</f>
        <v>0.22708095326339628</v>
      </c>
      <c r="DS45" s="1427">
        <f t="shared" si="236"/>
        <v>-5.1962933023573568</v>
      </c>
      <c r="DT45" s="1201">
        <f>-BS!DO186</f>
        <v>0.9186843443379431</v>
      </c>
      <c r="DU45" s="1201">
        <f>-BS!DP186</f>
        <v>1.5680673558937681</v>
      </c>
      <c r="DV45" s="1201">
        <f>-BS!DQ186</f>
        <v>2.5411659684199508</v>
      </c>
      <c r="DW45" s="1201">
        <f>-BS!DR186</f>
        <v>3.5461709444306173</v>
      </c>
      <c r="DX45" s="1427">
        <f t="shared" si="237"/>
        <v>8.5740886130822798</v>
      </c>
      <c r="DY45" s="1201">
        <f>-BS!DT186</f>
        <v>5.043523476399681</v>
      </c>
      <c r="DZ45" s="1201">
        <f>-BS!DU186</f>
        <v>5.9149882407332859</v>
      </c>
      <c r="EA45" s="1201">
        <f>-BS!DV186</f>
        <v>6.5950212600050735</v>
      </c>
      <c r="EB45" s="1201">
        <f>-BS!DW186</f>
        <v>7.5359659313370031</v>
      </c>
      <c r="EC45" s="1427">
        <f t="shared" si="238"/>
        <v>25.089498908475043</v>
      </c>
      <c r="ED45" s="1460"/>
      <c r="EE45" s="1461"/>
      <c r="EF45" s="1201"/>
      <c r="EG45" s="1201"/>
      <c r="EH45" s="1201"/>
      <c r="EI45" s="1201"/>
      <c r="EJ45" s="1201"/>
      <c r="EK45" s="1201"/>
      <c r="EL45" s="1201"/>
      <c r="EM45" s="1201"/>
      <c r="EN45" s="1201"/>
      <c r="EO45" s="1201"/>
      <c r="EP45" s="1201"/>
      <c r="EQ45" s="1201"/>
      <c r="ER45" s="1462"/>
      <c r="ES45" s="1460"/>
      <c r="ET45" s="1460"/>
      <c r="EU45" s="1460"/>
      <c r="EX45" s="1469" t="s">
        <v>507</v>
      </c>
      <c r="EY45" s="1467">
        <f t="shared" si="103"/>
        <v>2.1</v>
      </c>
      <c r="EZ45" s="1467">
        <v>2.1</v>
      </c>
      <c r="FA45" s="1467">
        <f t="shared" si="239"/>
        <v>0</v>
      </c>
      <c r="FB45" s="1467">
        <f t="shared" si="147"/>
        <v>2.144681329783622</v>
      </c>
      <c r="FC45" s="1474"/>
      <c r="FD45" s="1460"/>
      <c r="FE45"/>
      <c r="FF45"/>
      <c r="FG45"/>
      <c r="FH45"/>
      <c r="FI45"/>
      <c r="FJ45"/>
    </row>
    <row r="46" spans="1:166" s="1064" customFormat="1" ht="12.75" customHeight="1" collapsed="1" x14ac:dyDescent="0.2">
      <c r="A46" s="1465" t="s">
        <v>498</v>
      </c>
      <c r="B46" s="1465">
        <v>48</v>
      </c>
      <c r="C46" s="1470"/>
      <c r="D46" s="1202"/>
      <c r="E46" s="1202"/>
      <c r="F46" s="1471"/>
      <c r="G46" s="1465">
        <v>105</v>
      </c>
      <c r="H46" s="1470"/>
      <c r="I46" s="1202"/>
      <c r="J46" s="1202"/>
      <c r="K46" s="1202"/>
      <c r="L46" s="1465">
        <v>81</v>
      </c>
      <c r="M46" s="1202"/>
      <c r="N46" s="1202"/>
      <c r="O46" s="1202"/>
      <c r="P46" s="1202"/>
      <c r="Q46" s="1465">
        <v>64</v>
      </c>
      <c r="R46" s="1202">
        <v>16</v>
      </c>
      <c r="S46" s="1202">
        <v>18</v>
      </c>
      <c r="T46" s="1202">
        <v>19</v>
      </c>
      <c r="U46" s="1202">
        <v>20</v>
      </c>
      <c r="V46" s="1465">
        <v>73</v>
      </c>
      <c r="W46" s="1202">
        <v>17</v>
      </c>
      <c r="X46" s="1202">
        <f>18-1</f>
        <v>17</v>
      </c>
      <c r="Y46" s="1202">
        <f>22-3</f>
        <v>19</v>
      </c>
      <c r="Z46" s="1471">
        <v>19</v>
      </c>
      <c r="AA46" s="1462">
        <v>72</v>
      </c>
      <c r="AB46" s="1470">
        <v>17</v>
      </c>
      <c r="AC46" s="1202">
        <f>19-2</f>
        <v>17</v>
      </c>
      <c r="AD46" s="1202">
        <f>18-1</f>
        <v>17</v>
      </c>
      <c r="AE46" s="1202">
        <f>17-1</f>
        <v>16</v>
      </c>
      <c r="AF46" s="1465">
        <f>SUM(AB46:AE46)</f>
        <v>67</v>
      </c>
      <c r="AG46" s="1202">
        <v>16.2</v>
      </c>
      <c r="AH46" s="1202">
        <f>AH44-AH45</f>
        <v>16</v>
      </c>
      <c r="AI46" s="1202">
        <f>AI44-AI45</f>
        <v>16</v>
      </c>
      <c r="AJ46" s="1472">
        <f>AJ44-AJ45</f>
        <v>13</v>
      </c>
      <c r="AK46" s="1462">
        <f>SUM(AG46:AJ46)</f>
        <v>61.2</v>
      </c>
      <c r="AL46" s="1202">
        <f>AL44-AL45</f>
        <v>14</v>
      </c>
      <c r="AM46" s="1202">
        <f>AM44-AM45</f>
        <v>15</v>
      </c>
      <c r="AN46" s="1202">
        <v>13</v>
      </c>
      <c r="AO46" s="1202">
        <f>AO44-AO45</f>
        <v>12.6</v>
      </c>
      <c r="AP46" s="1465">
        <f t="shared" si="224"/>
        <v>54.6</v>
      </c>
      <c r="AQ46" s="1202">
        <f>AQ44-AQ45</f>
        <v>12.5</v>
      </c>
      <c r="AR46" s="1202">
        <f>AR44-AR45</f>
        <v>12.200000000000001</v>
      </c>
      <c r="AS46" s="1202">
        <v>11.9</v>
      </c>
      <c r="AT46" s="1202">
        <v>12</v>
      </c>
      <c r="AU46" s="1465">
        <f t="shared" si="225"/>
        <v>48.6</v>
      </c>
      <c r="AV46" s="1078"/>
      <c r="AW46" s="1202">
        <f>AW44-AW45</f>
        <v>11.899999999999999</v>
      </c>
      <c r="AX46" s="1202">
        <f>AX44-AX45</f>
        <v>12</v>
      </c>
      <c r="AY46" s="1202">
        <f>AY44-AY45</f>
        <v>12.3</v>
      </c>
      <c r="AZ46" s="1202">
        <v>60.4</v>
      </c>
      <c r="BA46" s="1427">
        <f>SUM(AW46:AZ46)</f>
        <v>96.6</v>
      </c>
      <c r="BB46" s="1461">
        <v>50.2</v>
      </c>
      <c r="BC46" s="1202">
        <f>BC44-BC45</f>
        <v>56.1</v>
      </c>
      <c r="BD46" s="1202">
        <f>BD44-BD45</f>
        <v>59.4</v>
      </c>
      <c r="BE46" s="1202">
        <v>61</v>
      </c>
      <c r="BF46" s="1427">
        <f t="shared" si="226"/>
        <v>226.70000000000002</v>
      </c>
      <c r="BG46" s="1202">
        <v>59.1</v>
      </c>
      <c r="BH46" s="1202">
        <f>BH44-BH45</f>
        <v>57.2</v>
      </c>
      <c r="BI46" s="1202">
        <v>57.3</v>
      </c>
      <c r="BJ46" s="1202">
        <v>50.2</v>
      </c>
      <c r="BK46" s="1427">
        <v>223.8</v>
      </c>
      <c r="BL46" s="1202">
        <v>49.1</v>
      </c>
      <c r="BM46" s="1202">
        <v>50</v>
      </c>
      <c r="BN46" s="1202">
        <v>50.2</v>
      </c>
      <c r="BO46" s="1202">
        <v>50.7</v>
      </c>
      <c r="BP46" s="1427">
        <f t="shared" si="227"/>
        <v>200</v>
      </c>
      <c r="BQ46" s="1202">
        <v>50</v>
      </c>
      <c r="BR46" s="1202">
        <v>50.6</v>
      </c>
      <c r="BS46" s="1202">
        <v>51.3</v>
      </c>
      <c r="BT46" s="1202">
        <v>128.19999999999999</v>
      </c>
      <c r="BU46" s="1427">
        <f t="shared" ref="BU46:BU49" si="240">SUM(BQ46:BT46)</f>
        <v>280.09999999999997</v>
      </c>
      <c r="BV46" s="1202">
        <v>125.8</v>
      </c>
      <c r="BW46" s="1202">
        <v>125.9</v>
      </c>
      <c r="BX46" s="1202">
        <v>126.6</v>
      </c>
      <c r="BY46" s="1202">
        <v>123.8</v>
      </c>
      <c r="BZ46" s="1427">
        <f t="shared" ref="BZ46:BZ49" si="241">SUM(BV46:BY46)</f>
        <v>502.09999999999997</v>
      </c>
      <c r="CA46" s="1202">
        <v>123.1</v>
      </c>
      <c r="CB46" s="1202">
        <v>123.2</v>
      </c>
      <c r="CC46" s="1202">
        <v>116</v>
      </c>
      <c r="CD46" s="1202">
        <v>116</v>
      </c>
      <c r="CE46" s="1427">
        <f t="shared" si="228"/>
        <v>478.3</v>
      </c>
      <c r="CF46" s="1202">
        <v>115.1</v>
      </c>
      <c r="CG46" s="1202">
        <v>117.2</v>
      </c>
      <c r="CH46" s="1202">
        <v>117.3</v>
      </c>
      <c r="CI46" s="1202">
        <v>117.3</v>
      </c>
      <c r="CJ46" s="1427">
        <f t="shared" si="229"/>
        <v>466.90000000000003</v>
      </c>
      <c r="CK46" s="1202">
        <v>111.4</v>
      </c>
      <c r="CL46" s="1202">
        <v>128</v>
      </c>
      <c r="CM46" s="1202">
        <v>136</v>
      </c>
      <c r="CN46" s="1202">
        <v>136.80000000000001</v>
      </c>
      <c r="CO46" s="1427">
        <f t="shared" si="230"/>
        <v>512.20000000000005</v>
      </c>
      <c r="CP46" s="1202">
        <v>140.1</v>
      </c>
      <c r="CQ46" s="1202">
        <f t="shared" ref="CQ46" si="242">CQ44-CQ45</f>
        <v>142.06129062500003</v>
      </c>
      <c r="CR46" s="1202">
        <f t="shared" ref="CR46" si="243">CR44-CR45</f>
        <v>142.388321875</v>
      </c>
      <c r="CS46" s="1202">
        <f t="shared" ref="CS46" si="244">CS44-CS45</f>
        <v>141.915353125</v>
      </c>
      <c r="CT46" s="1465">
        <f t="shared" si="231"/>
        <v>566.46496562499999</v>
      </c>
      <c r="CU46" s="1202">
        <f>CU44-CU45</f>
        <v>141.7693898344173</v>
      </c>
      <c r="CV46" s="1202">
        <f t="shared" ref="CV46" si="245">CV44-CV45</f>
        <v>141.28009414429945</v>
      </c>
      <c r="CW46" s="1202">
        <f t="shared" ref="CW46" si="246">CW44-CW45</f>
        <v>141.02462021662592</v>
      </c>
      <c r="CX46" s="1202">
        <f t="shared" ref="CX46" si="247">CX44-CX45</f>
        <v>140.63380751529201</v>
      </c>
      <c r="CY46" s="1427">
        <f t="shared" si="232"/>
        <v>564.70791171063468</v>
      </c>
      <c r="CZ46" s="1202">
        <f>CZ44-CZ45</f>
        <v>139.31210932291677</v>
      </c>
      <c r="DA46" s="1202">
        <f t="shared" ref="DA46" si="248">DA44-DA45</f>
        <v>138.68106345314965</v>
      </c>
      <c r="DB46" s="1202">
        <f t="shared" ref="DB46" si="249">DB44-DB45</f>
        <v>138.58753863590826</v>
      </c>
      <c r="DC46" s="1202">
        <f t="shared" ref="DC46" si="250">DC44-DC45</f>
        <v>138.22365118692238</v>
      </c>
      <c r="DD46" s="1427">
        <f t="shared" si="233"/>
        <v>554.80436259889711</v>
      </c>
      <c r="DE46" s="1202">
        <f>DE44-DE45</f>
        <v>136.39361727887174</v>
      </c>
      <c r="DF46" s="1202">
        <f t="shared" ref="DF46" si="251">DF44-DF45</f>
        <v>135.61337574477204</v>
      </c>
      <c r="DG46" s="1202">
        <f t="shared" ref="DG46" si="252">DG44-DG45</f>
        <v>135.68974516978983</v>
      </c>
      <c r="DH46" s="1202">
        <f t="shared" ref="DH46" si="253">DH44-DH45</f>
        <v>170.25061469644544</v>
      </c>
      <c r="DI46" s="1427">
        <f t="shared" si="234"/>
        <v>577.94735288987908</v>
      </c>
      <c r="DJ46" s="1202">
        <f>DJ44-DJ45</f>
        <v>144.07687012182637</v>
      </c>
      <c r="DK46" s="1202">
        <f t="shared" ref="DK46" si="254">DK44-DK45</f>
        <v>147.17258341922812</v>
      </c>
      <c r="DL46" s="1202">
        <f t="shared" ref="DL46" si="255">DL44-DL45</f>
        <v>145.49984253529999</v>
      </c>
      <c r="DM46" s="1202">
        <f t="shared" ref="DM46" si="256">DM44-DM45</f>
        <v>144.22722303670156</v>
      </c>
      <c r="DN46" s="1427">
        <f t="shared" si="235"/>
        <v>580.97651911305604</v>
      </c>
      <c r="DO46" s="1202">
        <f>DO44-DO45</f>
        <v>143.53608496118147</v>
      </c>
      <c r="DP46" s="1202">
        <f t="shared" ref="DP46" si="257">DP44-DP45</f>
        <v>142.96113356505685</v>
      </c>
      <c r="DQ46" s="1202">
        <f t="shared" ref="DQ46" si="258">DQ44-DQ45</f>
        <v>141.54881197938241</v>
      </c>
      <c r="DR46" s="1202">
        <f t="shared" ref="DR46" si="259">DR44-DR45</f>
        <v>140.32916904673661</v>
      </c>
      <c r="DS46" s="1427">
        <f t="shared" si="236"/>
        <v>568.37519955235734</v>
      </c>
      <c r="DT46" s="1202">
        <f>DT44-DT45</f>
        <v>139.47858128066204</v>
      </c>
      <c r="DU46" s="1202">
        <f t="shared" ref="DU46" si="260">DU44-DU45</f>
        <v>138.67021389410624</v>
      </c>
      <c r="DV46" s="1202">
        <f t="shared" ref="DV46" si="261">DV44-DV45</f>
        <v>121.41313090658005</v>
      </c>
      <c r="DW46" s="1202">
        <f t="shared" ref="DW46" si="262">DW44-DW45</f>
        <v>120.24914155556938</v>
      </c>
      <c r="DX46" s="1427">
        <f t="shared" si="237"/>
        <v>519.81106763691776</v>
      </c>
      <c r="DY46" s="1202">
        <f>DY44-DY45</f>
        <v>118.59280464860032</v>
      </c>
      <c r="DZ46" s="1202">
        <f t="shared" ref="DZ46:EB46" si="263">DZ44-DZ45</f>
        <v>117.56235550926672</v>
      </c>
      <c r="EA46" s="1202">
        <f t="shared" si="263"/>
        <v>116.72333811499493</v>
      </c>
      <c r="EB46" s="1202">
        <f t="shared" si="263"/>
        <v>115.62340906866299</v>
      </c>
      <c r="EC46" s="1427">
        <f t="shared" si="238"/>
        <v>468.501907341525</v>
      </c>
      <c r="ED46" s="1460"/>
      <c r="EE46" s="1470">
        <f>X46+W46+U46+T46</f>
        <v>73</v>
      </c>
      <c r="EF46" s="1202">
        <f>AC46+AB46+Z46+Y46</f>
        <v>72</v>
      </c>
      <c r="EG46" s="1202">
        <f>AH46+AG46+AE46+AD46</f>
        <v>65.2</v>
      </c>
      <c r="EH46" s="1202">
        <f>AM46+AL46+AJ46+AI46</f>
        <v>58</v>
      </c>
      <c r="EI46" s="1202">
        <f>AR46+AQ46+AO46+AN46</f>
        <v>50.300000000000004</v>
      </c>
      <c r="EJ46" s="1202">
        <f>AZ46+AY46+AX46+AW46</f>
        <v>96.6</v>
      </c>
      <c r="EK46" s="1202">
        <f>BF46</f>
        <v>226.70000000000002</v>
      </c>
      <c r="EL46" s="1202">
        <f>BK46</f>
        <v>223.8</v>
      </c>
      <c r="EM46" s="1202">
        <f>BP46</f>
        <v>200</v>
      </c>
      <c r="EN46" s="1202">
        <f>BU46</f>
        <v>280.09999999999997</v>
      </c>
      <c r="EO46" s="1202">
        <f t="shared" ref="EO46:EO108" si="264">CE46</f>
        <v>478.3</v>
      </c>
      <c r="EP46" s="1202">
        <f>CJ46</f>
        <v>466.90000000000003</v>
      </c>
      <c r="EQ46" s="1202">
        <f>CO46</f>
        <v>512.20000000000005</v>
      </c>
      <c r="ER46" s="1471">
        <f>CT46</f>
        <v>566.46496562499999</v>
      </c>
      <c r="ES46" s="1460"/>
      <c r="ET46" s="1460"/>
      <c r="EU46" s="1460"/>
      <c r="EX46" s="1469" t="s">
        <v>498</v>
      </c>
      <c r="EY46" s="1473">
        <f t="shared" si="103"/>
        <v>140.1</v>
      </c>
      <c r="EZ46" s="1491">
        <v>142.13425937500003</v>
      </c>
      <c r="FA46" s="1473">
        <f t="shared" si="239"/>
        <v>-2.0342593750000333</v>
      </c>
      <c r="FB46" s="1473">
        <f t="shared" si="147"/>
        <v>111.4</v>
      </c>
      <c r="FC46" s="1474">
        <f t="shared" si="148"/>
        <v>0.25763016157989216</v>
      </c>
      <c r="FD46" s="1669">
        <f>FA46/EY67</f>
        <v>-4.2925920552859959E-3</v>
      </c>
      <c r="FE46"/>
      <c r="FF46"/>
      <c r="FG46"/>
      <c r="FH46"/>
      <c r="FI46"/>
      <c r="FJ46"/>
    </row>
    <row r="47" spans="1:166" ht="12.75" customHeight="1" x14ac:dyDescent="0.2">
      <c r="A47" s="215" t="s">
        <v>226</v>
      </c>
      <c r="B47" s="215">
        <v>0</v>
      </c>
      <c r="C47" s="691"/>
      <c r="D47" s="692"/>
      <c r="E47" s="692"/>
      <c r="F47" s="693"/>
      <c r="G47" s="215">
        <v>0</v>
      </c>
      <c r="H47" s="691"/>
      <c r="I47" s="692"/>
      <c r="J47" s="692"/>
      <c r="K47" s="692"/>
      <c r="L47" s="215">
        <v>0</v>
      </c>
      <c r="M47" s="692"/>
      <c r="N47" s="692"/>
      <c r="O47" s="692"/>
      <c r="P47" s="692"/>
      <c r="Q47" s="215">
        <v>0</v>
      </c>
      <c r="R47" s="692"/>
      <c r="S47" s="692"/>
      <c r="T47" s="692"/>
      <c r="U47" s="692"/>
      <c r="V47" s="215">
        <v>0</v>
      </c>
      <c r="W47" s="692">
        <v>13</v>
      </c>
      <c r="X47" s="692">
        <v>0</v>
      </c>
      <c r="Y47" s="692">
        <v>1</v>
      </c>
      <c r="Z47" s="693">
        <v>4</v>
      </c>
      <c r="AA47" s="257">
        <v>18</v>
      </c>
      <c r="AB47" s="691">
        <v>1</v>
      </c>
      <c r="AC47" s="695">
        <v>0</v>
      </c>
      <c r="AD47" s="692">
        <v>0</v>
      </c>
      <c r="AE47" s="692">
        <v>0</v>
      </c>
      <c r="AF47" s="215">
        <f>SUM(AB47:AE47)</f>
        <v>1</v>
      </c>
      <c r="AG47" s="692">
        <v>0</v>
      </c>
      <c r="AH47" s="692">
        <v>0</v>
      </c>
      <c r="AI47" s="692">
        <v>0</v>
      </c>
      <c r="AJ47" s="694">
        <v>0</v>
      </c>
      <c r="AK47" s="257">
        <v>0</v>
      </c>
      <c r="AL47" s="692">
        <v>0</v>
      </c>
      <c r="AM47" s="692">
        <v>0</v>
      </c>
      <c r="AN47" s="692">
        <v>0</v>
      </c>
      <c r="AO47" s="692">
        <v>0</v>
      </c>
      <c r="AP47" s="215">
        <f t="shared" si="224"/>
        <v>0</v>
      </c>
      <c r="AQ47" s="692"/>
      <c r="AR47" s="692"/>
      <c r="AS47" s="692"/>
      <c r="AT47" s="692"/>
      <c r="AU47" s="215">
        <f t="shared" si="225"/>
        <v>0</v>
      </c>
      <c r="AV47" s="279"/>
      <c r="AW47" s="692"/>
      <c r="AX47" s="692"/>
      <c r="AY47" s="692"/>
      <c r="AZ47" s="692"/>
      <c r="BA47" s="641">
        <v>0</v>
      </c>
      <c r="BB47" s="248">
        <v>19.600000000000001</v>
      </c>
      <c r="BC47" s="692">
        <v>0</v>
      </c>
      <c r="BD47" s="692">
        <v>0</v>
      </c>
      <c r="BE47" s="692">
        <v>1.5</v>
      </c>
      <c r="BF47" s="641">
        <f t="shared" si="226"/>
        <v>21.1</v>
      </c>
      <c r="BG47" s="692">
        <v>3.5</v>
      </c>
      <c r="BH47" s="692">
        <v>7.7</v>
      </c>
      <c r="BI47" s="692">
        <v>23</v>
      </c>
      <c r="BJ47" s="692">
        <v>0</v>
      </c>
      <c r="BK47" s="641">
        <v>34.200000000000003</v>
      </c>
      <c r="BL47" s="695">
        <v>0</v>
      </c>
      <c r="BM47" s="695">
        <v>0</v>
      </c>
      <c r="BN47" s="695">
        <v>0</v>
      </c>
      <c r="BO47" s="797">
        <v>0</v>
      </c>
      <c r="BP47" s="641">
        <f t="shared" si="227"/>
        <v>0</v>
      </c>
      <c r="BQ47" s="1204">
        <v>0</v>
      </c>
      <c r="BR47" s="692">
        <v>0</v>
      </c>
      <c r="BS47" s="695">
        <v>0</v>
      </c>
      <c r="BT47" s="692">
        <v>155.4</v>
      </c>
      <c r="BU47" s="641">
        <f t="shared" si="240"/>
        <v>155.4</v>
      </c>
      <c r="BV47" s="1268"/>
      <c r="BW47" s="1266"/>
      <c r="BX47" s="1266"/>
      <c r="BY47" s="1266"/>
      <c r="BZ47" s="641"/>
      <c r="CA47" s="695">
        <v>-0.3</v>
      </c>
      <c r="CB47" s="695">
        <v>39.9</v>
      </c>
      <c r="CC47" s="692">
        <v>0.4</v>
      </c>
      <c r="CD47" s="695">
        <v>0</v>
      </c>
      <c r="CE47" s="641">
        <f t="shared" si="228"/>
        <v>40</v>
      </c>
      <c r="CF47" s="695">
        <v>0</v>
      </c>
      <c r="CG47" s="695">
        <v>0</v>
      </c>
      <c r="CH47" s="695">
        <v>0</v>
      </c>
      <c r="CI47" s="695">
        <v>0</v>
      </c>
      <c r="CJ47" s="641">
        <f t="shared" ref="CJ47:CJ49" si="265">SUM(CF47:CI47)</f>
        <v>0</v>
      </c>
      <c r="CK47" s="692">
        <v>20.399999999999999</v>
      </c>
      <c r="CL47" s="692">
        <v>0</v>
      </c>
      <c r="CM47" s="692">
        <v>58.2</v>
      </c>
      <c r="CN47" s="1744">
        <v>43.4</v>
      </c>
      <c r="CO47" s="641">
        <f t="shared" ref="CO47:CO49" si="266">SUM(CK47:CN47)</f>
        <v>122</v>
      </c>
      <c r="CP47" s="695">
        <v>0</v>
      </c>
      <c r="CQ47" s="695">
        <v>0</v>
      </c>
      <c r="CR47" s="695">
        <v>0</v>
      </c>
      <c r="CS47" s="695">
        <v>0</v>
      </c>
      <c r="CT47" s="215">
        <f t="shared" ref="CT47:CT49" si="267">SUM(CP47:CS47)</f>
        <v>0</v>
      </c>
      <c r="CU47" s="695">
        <v>0</v>
      </c>
      <c r="CV47" s="695">
        <v>0</v>
      </c>
      <c r="CW47" s="695">
        <v>0</v>
      </c>
      <c r="CX47" s="695">
        <v>0</v>
      </c>
      <c r="CY47" s="641">
        <f t="shared" ref="CY47:CY49" si="268">SUM(CU47:CX47)</f>
        <v>0</v>
      </c>
      <c r="CZ47" s="695">
        <v>0</v>
      </c>
      <c r="DA47" s="695">
        <v>0</v>
      </c>
      <c r="DB47" s="695">
        <v>0</v>
      </c>
      <c r="DC47" s="695">
        <v>0</v>
      </c>
      <c r="DD47" s="641">
        <f t="shared" ref="DD47:DD49" si="269">SUM(CZ47:DC47)</f>
        <v>0</v>
      </c>
      <c r="DE47" s="695">
        <v>0</v>
      </c>
      <c r="DF47" s="695">
        <v>0</v>
      </c>
      <c r="DG47" s="695">
        <v>0</v>
      </c>
      <c r="DH47" s="695">
        <v>0</v>
      </c>
      <c r="DI47" s="641">
        <f t="shared" ref="DI47:DI49" si="270">SUM(DE47:DH47)</f>
        <v>0</v>
      </c>
      <c r="DJ47" s="695">
        <v>0</v>
      </c>
      <c r="DK47" s="695">
        <v>0</v>
      </c>
      <c r="DL47" s="695">
        <v>0</v>
      </c>
      <c r="DM47" s="695">
        <v>0</v>
      </c>
      <c r="DN47" s="641">
        <f t="shared" ref="DN47:DN49" si="271">SUM(DJ47:DM47)</f>
        <v>0</v>
      </c>
      <c r="DO47" s="695">
        <v>0</v>
      </c>
      <c r="DP47" s="695">
        <v>0</v>
      </c>
      <c r="DQ47" s="695">
        <v>0</v>
      </c>
      <c r="DR47" s="695">
        <v>0</v>
      </c>
      <c r="DS47" s="641">
        <f t="shared" ref="DS47:DS49" si="272">SUM(DO47:DR47)</f>
        <v>0</v>
      </c>
      <c r="DT47" s="695">
        <v>0</v>
      </c>
      <c r="DU47" s="695">
        <v>0</v>
      </c>
      <c r="DV47" s="695">
        <v>0</v>
      </c>
      <c r="DW47" s="695">
        <v>0</v>
      </c>
      <c r="DX47" s="641">
        <f t="shared" ref="DX47:DX49" si="273">SUM(DT47:DW47)</f>
        <v>0</v>
      </c>
      <c r="DY47" s="695">
        <v>0</v>
      </c>
      <c r="DZ47" s="695">
        <v>0</v>
      </c>
      <c r="EA47" s="695">
        <v>0</v>
      </c>
      <c r="EB47" s="695">
        <v>0</v>
      </c>
      <c r="EC47" s="641">
        <f t="shared" si="238"/>
        <v>0</v>
      </c>
      <c r="ED47" s="204"/>
      <c r="EE47" s="691">
        <f>X47+W47+U47+T47</f>
        <v>13</v>
      </c>
      <c r="EF47" s="692">
        <f>AC47+AB47+Z47+Y47</f>
        <v>6</v>
      </c>
      <c r="EG47" s="692">
        <f>AH47+AG47+AE47+AD47</f>
        <v>0</v>
      </c>
      <c r="EH47" s="692">
        <f>AM47+AL47+AJ47+AI47</f>
        <v>0</v>
      </c>
      <c r="EI47" s="692">
        <f>AR47+AQ47+AO47+AN47</f>
        <v>0</v>
      </c>
      <c r="EJ47" s="692">
        <f>AZ47+AY47+AX47+AW47</f>
        <v>0</v>
      </c>
      <c r="EK47" s="692">
        <f>BF47</f>
        <v>21.1</v>
      </c>
      <c r="EL47" s="692">
        <f>BK47</f>
        <v>34.200000000000003</v>
      </c>
      <c r="EM47" s="692">
        <f>BP47</f>
        <v>0</v>
      </c>
      <c r="EN47" s="692">
        <f>BU47</f>
        <v>155.4</v>
      </c>
      <c r="EO47" s="692">
        <f t="shared" si="264"/>
        <v>40</v>
      </c>
      <c r="EP47" s="692">
        <f>CJ47</f>
        <v>0</v>
      </c>
      <c r="EQ47" s="692">
        <f>CO47</f>
        <v>122</v>
      </c>
      <c r="ER47" s="693">
        <f>CT47</f>
        <v>0</v>
      </c>
      <c r="ES47" s="204"/>
      <c r="ET47" s="204"/>
      <c r="EU47" s="204"/>
      <c r="EX47" s="690" t="s">
        <v>226</v>
      </c>
      <c r="EY47" s="959">
        <f t="shared" si="103"/>
        <v>0</v>
      </c>
      <c r="EZ47" s="960">
        <v>0</v>
      </c>
      <c r="FA47" s="959">
        <f t="shared" si="239"/>
        <v>0</v>
      </c>
      <c r="FB47" s="959">
        <f t="shared" si="147"/>
        <v>20.399999999999999</v>
      </c>
      <c r="FC47" s="549"/>
      <c r="FD47" s="204"/>
    </row>
    <row r="48" spans="1:166" ht="12.75" customHeight="1" x14ac:dyDescent="0.2">
      <c r="A48" s="1595" t="s">
        <v>161</v>
      </c>
      <c r="B48" s="698">
        <f>B39-B46-B47</f>
        <v>-48</v>
      </c>
      <c r="C48" s="701"/>
      <c r="D48" s="702"/>
      <c r="E48" s="702"/>
      <c r="F48" s="703"/>
      <c r="G48" s="698">
        <f t="shared" ref="G48:AE48" si="274">G39-G46-G47</f>
        <v>-105</v>
      </c>
      <c r="H48" s="701">
        <f t="shared" si="274"/>
        <v>0</v>
      </c>
      <c r="I48" s="702">
        <f t="shared" si="274"/>
        <v>0</v>
      </c>
      <c r="J48" s="702">
        <f t="shared" si="274"/>
        <v>0</v>
      </c>
      <c r="K48" s="702">
        <f t="shared" si="274"/>
        <v>0</v>
      </c>
      <c r="L48" s="698">
        <f t="shared" si="274"/>
        <v>-81</v>
      </c>
      <c r="M48" s="702">
        <f t="shared" si="274"/>
        <v>0</v>
      </c>
      <c r="N48" s="702">
        <f t="shared" si="274"/>
        <v>0</v>
      </c>
      <c r="O48" s="702">
        <f t="shared" si="274"/>
        <v>0</v>
      </c>
      <c r="P48" s="702">
        <f t="shared" si="274"/>
        <v>0</v>
      </c>
      <c r="Q48" s="698">
        <f t="shared" si="274"/>
        <v>-64</v>
      </c>
      <c r="R48" s="702">
        <f t="shared" si="274"/>
        <v>-16</v>
      </c>
      <c r="S48" s="702">
        <f t="shared" si="274"/>
        <v>-18</v>
      </c>
      <c r="T48" s="702">
        <f t="shared" si="274"/>
        <v>-19</v>
      </c>
      <c r="U48" s="702">
        <f t="shared" si="274"/>
        <v>-20</v>
      </c>
      <c r="V48" s="698">
        <f t="shared" si="274"/>
        <v>-73</v>
      </c>
      <c r="W48" s="702">
        <f t="shared" si="274"/>
        <v>-30</v>
      </c>
      <c r="X48" s="702">
        <f t="shared" si="274"/>
        <v>-17</v>
      </c>
      <c r="Y48" s="702">
        <f t="shared" si="274"/>
        <v>-20</v>
      </c>
      <c r="Z48" s="703">
        <f t="shared" si="274"/>
        <v>-23</v>
      </c>
      <c r="AA48" s="697">
        <f t="shared" si="274"/>
        <v>-90</v>
      </c>
      <c r="AB48" s="701">
        <f t="shared" si="274"/>
        <v>-18</v>
      </c>
      <c r="AC48" s="702">
        <f t="shared" si="274"/>
        <v>-17</v>
      </c>
      <c r="AD48" s="702">
        <f t="shared" si="274"/>
        <v>-17</v>
      </c>
      <c r="AE48" s="702">
        <f t="shared" si="274"/>
        <v>-16</v>
      </c>
      <c r="AF48" s="698">
        <f>SUM(AB48:AE48)</f>
        <v>-68</v>
      </c>
      <c r="AG48" s="702">
        <f>AG39-AG46-AG47</f>
        <v>-16.2</v>
      </c>
      <c r="AH48" s="702">
        <f>AH39-AH46-AH47</f>
        <v>-16</v>
      </c>
      <c r="AI48" s="702">
        <f>AI39-AI46-AI47</f>
        <v>-16</v>
      </c>
      <c r="AJ48" s="704">
        <f>AJ39-AJ46-AJ47</f>
        <v>-13</v>
      </c>
      <c r="AK48" s="697">
        <f>SUM(AG48:AJ48)</f>
        <v>-61.2</v>
      </c>
      <c r="AL48" s="702">
        <f>AL39-AL46-AL47</f>
        <v>-14</v>
      </c>
      <c r="AM48" s="702">
        <f>AM39-AM46-AM47</f>
        <v>-15</v>
      </c>
      <c r="AN48" s="702">
        <f>AN39-AN46-AN47</f>
        <v>-13</v>
      </c>
      <c r="AO48" s="702">
        <f>AO39-AO46-AO47</f>
        <v>-12.6</v>
      </c>
      <c r="AP48" s="698">
        <f t="shared" si="224"/>
        <v>-54.6</v>
      </c>
      <c r="AQ48" s="702">
        <f t="shared" ref="AQ48:BA48" si="275">AQ39-AQ46-AQ47</f>
        <v>-12.5</v>
      </c>
      <c r="AR48" s="702">
        <f t="shared" si="275"/>
        <v>-12.200000000000001</v>
      </c>
      <c r="AS48" s="702">
        <f>AW48</f>
        <v>66.999999999999972</v>
      </c>
      <c r="AT48" s="702">
        <f>AX48</f>
        <v>70.799999999999955</v>
      </c>
      <c r="AU48" s="698">
        <f t="shared" si="225"/>
        <v>113.09999999999992</v>
      </c>
      <c r="AV48" s="883"/>
      <c r="AW48" s="702">
        <f t="shared" si="275"/>
        <v>66.999999999999972</v>
      </c>
      <c r="AX48" s="702">
        <f t="shared" si="275"/>
        <v>70.799999999999955</v>
      </c>
      <c r="AY48" s="702">
        <f t="shared" si="275"/>
        <v>78.499999999999957</v>
      </c>
      <c r="AZ48" s="702">
        <f t="shared" si="275"/>
        <v>-135.50000000000003</v>
      </c>
      <c r="BA48" s="699">
        <f t="shared" si="275"/>
        <v>80.800000000000097</v>
      </c>
      <c r="BB48" s="700">
        <f>BB39-BB46-BB47</f>
        <v>-5.8000000000000043</v>
      </c>
      <c r="BC48" s="702">
        <f>BC39-BC46-BC47</f>
        <v>42.899999999999942</v>
      </c>
      <c r="BD48" s="702">
        <f>BD39-BD46-BD47</f>
        <v>52.200000000000024</v>
      </c>
      <c r="BE48" s="702">
        <f>BE39-BE46-BE47</f>
        <v>25.399999999999864</v>
      </c>
      <c r="BF48" s="699">
        <f t="shared" si="226"/>
        <v>114.69999999999982</v>
      </c>
      <c r="BG48" s="702">
        <f t="shared" ref="BG48:BO48" si="276">BG39-BG46-BG47</f>
        <v>21.499999999999964</v>
      </c>
      <c r="BH48" s="702">
        <f t="shared" si="276"/>
        <v>62.999999999999915</v>
      </c>
      <c r="BI48" s="702">
        <f>BI39-BI46-BI47</f>
        <v>13.499999999999957</v>
      </c>
      <c r="BJ48" s="702">
        <f t="shared" si="276"/>
        <v>61.700000000000031</v>
      </c>
      <c r="BK48" s="699">
        <f t="shared" si="276"/>
        <v>159.70000000000005</v>
      </c>
      <c r="BL48" s="702">
        <f t="shared" si="276"/>
        <v>53.299999999999976</v>
      </c>
      <c r="BM48" s="702">
        <f t="shared" si="276"/>
        <v>83.200000000000017</v>
      </c>
      <c r="BN48" s="702">
        <f t="shared" si="276"/>
        <v>95.300000000000026</v>
      </c>
      <c r="BO48" s="702">
        <f t="shared" si="276"/>
        <v>90.399999999999963</v>
      </c>
      <c r="BP48" s="699">
        <f t="shared" si="227"/>
        <v>322.2</v>
      </c>
      <c r="BQ48" s="1209">
        <f>BQ39-BQ46-BQ47</f>
        <v>81.300000000000011</v>
      </c>
      <c r="BR48" s="702">
        <f>BR39-BR46-BR47</f>
        <v>100.89999999999998</v>
      </c>
      <c r="BS48" s="702">
        <f>BS39-BS46-BS47</f>
        <v>-50.40000000000002</v>
      </c>
      <c r="BT48" s="702">
        <f>BT39-BT46-BT47</f>
        <v>-384.9</v>
      </c>
      <c r="BU48" s="699">
        <f t="shared" si="240"/>
        <v>-253.10000000000002</v>
      </c>
      <c r="BV48" s="1209">
        <f>BV39-BV46-BV47</f>
        <v>132.69999999999987</v>
      </c>
      <c r="BW48" s="702">
        <f>BW39-BW46-BW47</f>
        <v>198.70000000000007</v>
      </c>
      <c r="BX48" s="702">
        <f>BX39-BX46-BX47</f>
        <v>228.49999999999991</v>
      </c>
      <c r="BY48" s="702">
        <f>BY39-BY46-BY47</f>
        <v>164.99999999999983</v>
      </c>
      <c r="BZ48" s="699">
        <f t="shared" si="241"/>
        <v>724.89999999999964</v>
      </c>
      <c r="CA48" s="702">
        <f>CA39-CA46-CA47</f>
        <v>101.29999999999991</v>
      </c>
      <c r="CB48" s="702">
        <f>CB39-CB46-CB47</f>
        <v>138.99999999999986</v>
      </c>
      <c r="CC48" s="702">
        <f>CC39-CC46-CC47</f>
        <v>227.60000000000011</v>
      </c>
      <c r="CD48" s="702">
        <f>CD39-CD46-CD47</f>
        <v>206.00000000000011</v>
      </c>
      <c r="CE48" s="699">
        <f>SUM(CA48:CD48)</f>
        <v>673.9</v>
      </c>
      <c r="CF48" s="702">
        <f>CF39-CF46-CF47</f>
        <v>215.49999999999991</v>
      </c>
      <c r="CG48" s="702">
        <f>CG39-CG46-CG47</f>
        <v>306.7999999999999</v>
      </c>
      <c r="CH48" s="702">
        <f>CH39-CH46-CH47</f>
        <v>303.19999999999976</v>
      </c>
      <c r="CI48" s="702">
        <f>CI39-CI46-CI47</f>
        <v>374.28000000000003</v>
      </c>
      <c r="CJ48" s="699">
        <f t="shared" si="265"/>
        <v>1199.7799999999995</v>
      </c>
      <c r="CK48" s="702">
        <f>CK39-CK46-CK47</f>
        <v>204.40000000000003</v>
      </c>
      <c r="CL48" s="702">
        <f>CL39-CL46-CL47</f>
        <v>286.40000000000015</v>
      </c>
      <c r="CM48" s="702">
        <f>CM39-CM46-CM47</f>
        <v>285.09999999999997</v>
      </c>
      <c r="CN48" s="702">
        <f>CN39-CN46-CN47</f>
        <v>325.80000000000018</v>
      </c>
      <c r="CO48" s="699">
        <f t="shared" si="266"/>
        <v>1101.7000000000003</v>
      </c>
      <c r="CP48" s="702">
        <f>CP39-CP46-CP47</f>
        <v>280.49999999999977</v>
      </c>
      <c r="CQ48" s="702">
        <f>CQ39-CQ46-CQ47</f>
        <v>317.81554195560648</v>
      </c>
      <c r="CR48" s="702">
        <f>CR39-CR46-CR47</f>
        <v>373.0723490577958</v>
      </c>
      <c r="CS48" s="702">
        <f>CS39-CS46-CS47</f>
        <v>398.83022118716133</v>
      </c>
      <c r="CT48" s="698">
        <f t="shared" si="267"/>
        <v>1370.2181122005634</v>
      </c>
      <c r="CU48" s="702">
        <f>CU39-CU46-CU47</f>
        <v>329.10090635344511</v>
      </c>
      <c r="CV48" s="702">
        <f>CV39-CV46-CV47</f>
        <v>380.544970886746</v>
      </c>
      <c r="CW48" s="702">
        <f>CW39-CW46-CW47</f>
        <v>437.24229729786583</v>
      </c>
      <c r="CX48" s="702">
        <f>CX39-CX46-CX47</f>
        <v>467.12424198819258</v>
      </c>
      <c r="CY48" s="699">
        <f t="shared" si="268"/>
        <v>1614.0124165262496</v>
      </c>
      <c r="CZ48" s="702">
        <f>CZ39-CZ46-CZ47</f>
        <v>373.82097422794277</v>
      </c>
      <c r="DA48" s="702">
        <f>DA39-DA46-DA47</f>
        <v>446.07048550408609</v>
      </c>
      <c r="DB48" s="702">
        <f>DB39-DB46-DB47</f>
        <v>508.21168572381157</v>
      </c>
      <c r="DC48" s="702">
        <f>DC39-DC46-DC47</f>
        <v>541.65793626884761</v>
      </c>
      <c r="DD48" s="699">
        <f t="shared" si="269"/>
        <v>1869.761081724688</v>
      </c>
      <c r="DE48" s="702">
        <f>DE39-DE46-DE47</f>
        <v>448.76607186317369</v>
      </c>
      <c r="DF48" s="702">
        <f>DF39-DF46-DF47</f>
        <v>505.56429096608133</v>
      </c>
      <c r="DG48" s="702">
        <f>DG39-DG46-DG47</f>
        <v>576.0162341546386</v>
      </c>
      <c r="DH48" s="702">
        <f>DH39-DH46-DH47</f>
        <v>577.32935721472472</v>
      </c>
      <c r="DI48" s="699">
        <f t="shared" si="270"/>
        <v>2107.6759541986185</v>
      </c>
      <c r="DJ48" s="702">
        <f>DJ39-DJ46-DJ47</f>
        <v>517.33693203551127</v>
      </c>
      <c r="DK48" s="702">
        <f>DK39-DK46-DK47</f>
        <v>577.01758562092766</v>
      </c>
      <c r="DL48" s="702">
        <f>DL39-DL46-DL47</f>
        <v>657.29149652620993</v>
      </c>
      <c r="DM48" s="702">
        <f>DM39-DM46-DM47</f>
        <v>697.82360184622053</v>
      </c>
      <c r="DN48" s="699">
        <f t="shared" si="271"/>
        <v>2449.4696160288695</v>
      </c>
      <c r="DO48" s="702">
        <f>DO39-DO46-DO47</f>
        <v>587.11941998576151</v>
      </c>
      <c r="DP48" s="702">
        <f>DP39-DP46-DP47</f>
        <v>655.96091054346266</v>
      </c>
      <c r="DQ48" s="702">
        <f>DQ39-DQ46-DQ47</f>
        <v>742.80305270163672</v>
      </c>
      <c r="DR48" s="702">
        <f>DR39-DR46-DR47</f>
        <v>786.77627071004827</v>
      </c>
      <c r="DS48" s="699">
        <f t="shared" si="272"/>
        <v>2772.6596539409093</v>
      </c>
      <c r="DT48" s="702">
        <f>DT39-DT46-DT47</f>
        <v>613.30707520045905</v>
      </c>
      <c r="DU48" s="702">
        <f>DU39-DU46-DU47</f>
        <v>675.84678768660967</v>
      </c>
      <c r="DV48" s="702">
        <f>DV39-DV46-DV47</f>
        <v>780.6721079495295</v>
      </c>
      <c r="DW48" s="702">
        <f>DW39-DW46-DW47</f>
        <v>833.37740198558129</v>
      </c>
      <c r="DX48" s="699">
        <f t="shared" si="273"/>
        <v>2903.2033728221795</v>
      </c>
      <c r="DY48" s="702">
        <f>DY39-DY46-DY47</f>
        <v>702.30474324212003</v>
      </c>
      <c r="DZ48" s="702">
        <f>DZ39-DZ46-DZ47</f>
        <v>778.66509318128033</v>
      </c>
      <c r="EA48" s="702">
        <f>EA39-EA46-EA47</f>
        <v>874.54757347274528</v>
      </c>
      <c r="EB48" s="702">
        <f>EB39-EB46-EB47</f>
        <v>931.66653570445214</v>
      </c>
      <c r="EC48" s="699">
        <f t="shared" si="238"/>
        <v>3287.1839456005978</v>
      </c>
      <c r="ED48" s="705"/>
      <c r="EE48" s="701">
        <f>X48+W48+U48+T48</f>
        <v>-86</v>
      </c>
      <c r="EF48" s="702">
        <f>AC48+AB48+Z48+Y48</f>
        <v>-78</v>
      </c>
      <c r="EG48" s="702">
        <f>AH48+AG48+AE48+AD48</f>
        <v>-65.2</v>
      </c>
      <c r="EH48" s="702">
        <f>AM48+AL48+AJ48+AI48</f>
        <v>-58</v>
      </c>
      <c r="EI48" s="702">
        <f>AR48+AQ48+AO48+AN48</f>
        <v>-50.300000000000004</v>
      </c>
      <c r="EJ48" s="702">
        <f>AZ48+AY48+AX48+AW48</f>
        <v>80.799999999999855</v>
      </c>
      <c r="EK48" s="702">
        <f>BF48</f>
        <v>114.69999999999982</v>
      </c>
      <c r="EL48" s="702">
        <f>BK48</f>
        <v>159.70000000000005</v>
      </c>
      <c r="EM48" s="702">
        <f>BP48</f>
        <v>322.2</v>
      </c>
      <c r="EN48" s="702">
        <f>BU48</f>
        <v>-253.10000000000002</v>
      </c>
      <c r="EO48" s="702">
        <f t="shared" si="264"/>
        <v>673.9</v>
      </c>
      <c r="EP48" s="702">
        <f>CJ48</f>
        <v>1199.7799999999995</v>
      </c>
      <c r="EQ48" s="702">
        <f>CO48</f>
        <v>1101.7000000000003</v>
      </c>
      <c r="ER48" s="703">
        <f>CT48</f>
        <v>1370.2181122005634</v>
      </c>
      <c r="ES48" s="705"/>
      <c r="ET48" s="705"/>
      <c r="EU48" s="705"/>
      <c r="EX48" s="696" t="s">
        <v>161</v>
      </c>
      <c r="EY48" s="961">
        <f t="shared" si="103"/>
        <v>280.49999999999977</v>
      </c>
      <c r="EZ48" s="961">
        <v>293.16320199921392</v>
      </c>
      <c r="FA48" s="961">
        <f t="shared" si="239"/>
        <v>-12.663201999214152</v>
      </c>
      <c r="FB48" s="961">
        <f t="shared" si="147"/>
        <v>204.40000000000003</v>
      </c>
      <c r="FC48" s="549">
        <f t="shared" si="148"/>
        <v>0.37230919765166215</v>
      </c>
      <c r="FD48" s="705"/>
    </row>
    <row r="49" spans="1:166" ht="12.75" customHeight="1" x14ac:dyDescent="0.2">
      <c r="A49" s="215" t="s">
        <v>232</v>
      </c>
      <c r="B49" s="215">
        <v>21</v>
      </c>
      <c r="C49" s="248"/>
      <c r="D49" s="65"/>
      <c r="E49" s="65"/>
      <c r="F49" s="257"/>
      <c r="G49" s="215">
        <v>54</v>
      </c>
      <c r="H49" s="248"/>
      <c r="I49" s="65"/>
      <c r="J49" s="65"/>
      <c r="K49" s="65"/>
      <c r="L49" s="215">
        <v>-18</v>
      </c>
      <c r="M49" s="65"/>
      <c r="N49" s="65"/>
      <c r="O49" s="65"/>
      <c r="P49" s="65"/>
      <c r="Q49" s="215">
        <v>4</v>
      </c>
      <c r="R49" s="65">
        <v>19</v>
      </c>
      <c r="S49" s="65">
        <v>13</v>
      </c>
      <c r="T49" s="65">
        <v>-3</v>
      </c>
      <c r="U49" s="65">
        <v>2</v>
      </c>
      <c r="V49" s="215">
        <v>31</v>
      </c>
      <c r="W49" s="65">
        <v>20</v>
      </c>
      <c r="X49" s="65">
        <v>26</v>
      </c>
      <c r="Y49" s="65">
        <v>6</v>
      </c>
      <c r="Z49" s="257">
        <v>0</v>
      </c>
      <c r="AA49" s="257">
        <v>52</v>
      </c>
      <c r="AB49" s="248">
        <v>24</v>
      </c>
      <c r="AC49" s="65">
        <v>20</v>
      </c>
      <c r="AD49" s="65">
        <v>11</v>
      </c>
      <c r="AE49" s="65">
        <v>20</v>
      </c>
      <c r="AF49" s="215">
        <f>SUM(AB49:AE49)</f>
        <v>75</v>
      </c>
      <c r="AG49" s="65">
        <v>31</v>
      </c>
      <c r="AH49" s="65">
        <v>30</v>
      </c>
      <c r="AI49" s="65">
        <v>24</v>
      </c>
      <c r="AJ49" s="689">
        <v>18</v>
      </c>
      <c r="AK49" s="257">
        <f>SUM(AG49:AJ49)</f>
        <v>103</v>
      </c>
      <c r="AL49" s="65">
        <v>26</v>
      </c>
      <c r="AM49" s="65">
        <v>26.6</v>
      </c>
      <c r="AN49" s="65">
        <v>16</v>
      </c>
      <c r="AO49" s="65">
        <v>16.2</v>
      </c>
      <c r="AP49" s="215">
        <f t="shared" si="224"/>
        <v>84.8</v>
      </c>
      <c r="AQ49" s="65">
        <v>23.9</v>
      </c>
      <c r="AR49" s="65">
        <v>25.8</v>
      </c>
      <c r="AS49" s="65">
        <f>AW49</f>
        <v>26</v>
      </c>
      <c r="AT49" s="65">
        <f>AX49</f>
        <v>21.8</v>
      </c>
      <c r="AU49" s="215">
        <f t="shared" si="225"/>
        <v>97.5</v>
      </c>
      <c r="AV49" s="240"/>
      <c r="AW49" s="65">
        <v>26</v>
      </c>
      <c r="AX49" s="65">
        <v>21.8</v>
      </c>
      <c r="AY49" s="65">
        <v>15.1</v>
      </c>
      <c r="AZ49" s="65">
        <v>-27.5</v>
      </c>
      <c r="BA49" s="641">
        <f>SUM(AW49:AZ49)</f>
        <v>35.4</v>
      </c>
      <c r="BB49" s="248">
        <v>0.1</v>
      </c>
      <c r="BC49" s="65">
        <v>12.7</v>
      </c>
      <c r="BD49" s="65">
        <v>13.4</v>
      </c>
      <c r="BE49" s="65">
        <v>0.4</v>
      </c>
      <c r="BF49" s="641">
        <f t="shared" si="226"/>
        <v>26.599999999999998</v>
      </c>
      <c r="BG49" s="65">
        <v>7.2</v>
      </c>
      <c r="BH49" s="65">
        <v>14.8</v>
      </c>
      <c r="BI49" s="65">
        <v>6.9</v>
      </c>
      <c r="BJ49" s="65">
        <v>13.1</v>
      </c>
      <c r="BK49" s="641">
        <v>42</v>
      </c>
      <c r="BL49" s="65">
        <v>17.5</v>
      </c>
      <c r="BM49" s="65">
        <v>20.3</v>
      </c>
      <c r="BN49" s="65">
        <v>27.1</v>
      </c>
      <c r="BO49" s="65">
        <v>23.6</v>
      </c>
      <c r="BP49" s="641">
        <f t="shared" si="227"/>
        <v>88.5</v>
      </c>
      <c r="BQ49" s="1201">
        <v>20.9</v>
      </c>
      <c r="BR49" s="65">
        <v>25.8</v>
      </c>
      <c r="BS49" s="65">
        <v>-26.9</v>
      </c>
      <c r="BT49" s="65">
        <v>4.5</v>
      </c>
      <c r="BU49" s="641">
        <f t="shared" si="240"/>
        <v>24.300000000000004</v>
      </c>
      <c r="BV49" s="1201">
        <v>41.2</v>
      </c>
      <c r="BW49" s="65">
        <v>57.5</v>
      </c>
      <c r="BX49" s="65">
        <v>66.900000000000006</v>
      </c>
      <c r="BY49" s="65">
        <v>126.1</v>
      </c>
      <c r="BZ49" s="641">
        <f t="shared" si="241"/>
        <v>291.70000000000005</v>
      </c>
      <c r="CA49" s="65">
        <v>50.7</v>
      </c>
      <c r="CB49" s="65">
        <v>45.2</v>
      </c>
      <c r="CC49" s="65">
        <v>44.74</v>
      </c>
      <c r="CD49" s="65">
        <v>21.54</v>
      </c>
      <c r="CE49" s="641">
        <f t="shared" si="228"/>
        <v>162.18</v>
      </c>
      <c r="CF49" s="65">
        <v>47.2</v>
      </c>
      <c r="CG49" s="65">
        <v>59.2</v>
      </c>
      <c r="CH49" s="65">
        <v>64.599999999999994</v>
      </c>
      <c r="CI49" s="65">
        <v>72.900000000000006</v>
      </c>
      <c r="CJ49" s="641">
        <f t="shared" si="265"/>
        <v>243.9</v>
      </c>
      <c r="CK49" s="65">
        <v>37.799999999999997</v>
      </c>
      <c r="CL49" s="65">
        <v>42.9</v>
      </c>
      <c r="CM49" s="65">
        <v>38.299999999999997</v>
      </c>
      <c r="CN49" s="65">
        <v>-252.6</v>
      </c>
      <c r="CO49" s="641">
        <f t="shared" si="266"/>
        <v>-133.60000000000002</v>
      </c>
      <c r="CP49" s="65">
        <v>1.7</v>
      </c>
      <c r="CQ49" s="65">
        <f>CQ48*CQ82</f>
        <v>66.741263810677353</v>
      </c>
      <c r="CR49" s="65">
        <f>CR48*CR82</f>
        <v>78.345193302137119</v>
      </c>
      <c r="CS49" s="65">
        <f>CS48*CS82</f>
        <v>83.754346449303881</v>
      </c>
      <c r="CT49" s="215">
        <f t="shared" si="267"/>
        <v>230.54080356211836</v>
      </c>
      <c r="CU49" s="65">
        <f>CU48*CU82</f>
        <v>69.111190334223465</v>
      </c>
      <c r="CV49" s="65">
        <f>CV48*CV82</f>
        <v>79.91444388621666</v>
      </c>
      <c r="CW49" s="65">
        <f>CW48*CW82</f>
        <v>91.820882432551826</v>
      </c>
      <c r="CX49" s="65">
        <f>CX48*CX82</f>
        <v>98.096090817520434</v>
      </c>
      <c r="CY49" s="641">
        <f t="shared" si="268"/>
        <v>338.94260747051237</v>
      </c>
      <c r="CZ49" s="65">
        <f>CZ48*CZ82</f>
        <v>78.502404587867986</v>
      </c>
      <c r="DA49" s="65">
        <f>DA48*DA82</f>
        <v>93.674801955858072</v>
      </c>
      <c r="DB49" s="65">
        <f>DB48*DB82</f>
        <v>106.72445400200043</v>
      </c>
      <c r="DC49" s="65">
        <f>DC48*DC82</f>
        <v>113.74816661645799</v>
      </c>
      <c r="DD49" s="641">
        <f t="shared" si="269"/>
        <v>392.64982716218447</v>
      </c>
      <c r="DE49" s="65">
        <f>DE48*DE82</f>
        <v>94.240875091266474</v>
      </c>
      <c r="DF49" s="65">
        <f>DF48*DF82</f>
        <v>106.16850110287707</v>
      </c>
      <c r="DG49" s="65">
        <f>DG48*DG82</f>
        <v>120.9634091724741</v>
      </c>
      <c r="DH49" s="65">
        <f>DH48*DH82</f>
        <v>121.23916501509218</v>
      </c>
      <c r="DI49" s="641">
        <f t="shared" si="270"/>
        <v>442.61195038170979</v>
      </c>
      <c r="DJ49" s="65">
        <f>DJ48*DJ82</f>
        <v>108.64075572745736</v>
      </c>
      <c r="DK49" s="65">
        <f>DK48*DK82</f>
        <v>121.1736929803948</v>
      </c>
      <c r="DL49" s="65">
        <f>DL48*DL82</f>
        <v>138.03121427050408</v>
      </c>
      <c r="DM49" s="65">
        <f>DM48*DM82</f>
        <v>146.54295638770631</v>
      </c>
      <c r="DN49" s="641">
        <f t="shared" si="271"/>
        <v>514.38861936606258</v>
      </c>
      <c r="DO49" s="65">
        <f>DO48*DO82</f>
        <v>123.29507819700991</v>
      </c>
      <c r="DP49" s="65">
        <f>DP48*DP82</f>
        <v>137.75179121412717</v>
      </c>
      <c r="DQ49" s="65">
        <f>DQ48*DQ82</f>
        <v>155.98864106734371</v>
      </c>
      <c r="DR49" s="65">
        <f>DR48*DR82</f>
        <v>165.22301684911014</v>
      </c>
      <c r="DS49" s="641">
        <f t="shared" si="272"/>
        <v>582.25852732759085</v>
      </c>
      <c r="DT49" s="65">
        <f>DT48*DT82</f>
        <v>128.7944857920964</v>
      </c>
      <c r="DU49" s="65">
        <f>DU48*DU82</f>
        <v>141.92782541418802</v>
      </c>
      <c r="DV49" s="65">
        <f>DV48*DV82</f>
        <v>163.94114266940119</v>
      </c>
      <c r="DW49" s="65">
        <f>DW48*DW82</f>
        <v>175.00925441697206</v>
      </c>
      <c r="DX49" s="641">
        <f t="shared" si="273"/>
        <v>609.67270829265772</v>
      </c>
      <c r="DY49" s="65">
        <f>DY48*DY82</f>
        <v>147.4839960808452</v>
      </c>
      <c r="DZ49" s="65">
        <f>DZ48*DZ82</f>
        <v>163.51966956806885</v>
      </c>
      <c r="EA49" s="65">
        <f>EA48*EA82</f>
        <v>183.65499042927649</v>
      </c>
      <c r="EB49" s="65">
        <f>EB48*EB82</f>
        <v>195.64997249793495</v>
      </c>
      <c r="EC49" s="641">
        <f t="shared" si="238"/>
        <v>690.30862857612556</v>
      </c>
      <c r="ED49" s="204"/>
      <c r="EE49" s="248">
        <f>X49+W49+U49+T49</f>
        <v>45</v>
      </c>
      <c r="EF49" s="65">
        <f>AC49+AB49+Z49+Y49</f>
        <v>50</v>
      </c>
      <c r="EG49" s="65">
        <f>AH49+AG49+AE49+AD49</f>
        <v>92</v>
      </c>
      <c r="EH49" s="65">
        <f>AM49+AL49+AJ49+AI49</f>
        <v>94.6</v>
      </c>
      <c r="EI49" s="65">
        <f>AR49+AQ49+AO49+AN49</f>
        <v>81.900000000000006</v>
      </c>
      <c r="EJ49" s="65">
        <f>AZ49+AY49+AX49+AW49</f>
        <v>35.4</v>
      </c>
      <c r="EK49" s="65">
        <f>BF49</f>
        <v>26.599999999999998</v>
      </c>
      <c r="EL49" s="65">
        <f>BK49</f>
        <v>42</v>
      </c>
      <c r="EM49" s="65">
        <f>BP49</f>
        <v>88.5</v>
      </c>
      <c r="EN49" s="65">
        <f>BU49</f>
        <v>24.300000000000004</v>
      </c>
      <c r="EO49" s="65">
        <f t="shared" si="264"/>
        <v>162.18</v>
      </c>
      <c r="EP49" s="65">
        <f>CJ49</f>
        <v>243.9</v>
      </c>
      <c r="EQ49" s="65">
        <f>CO49</f>
        <v>-133.60000000000002</v>
      </c>
      <c r="ER49" s="257">
        <f>CT49</f>
        <v>230.54080356211836</v>
      </c>
      <c r="ES49" s="204"/>
      <c r="ET49" s="204"/>
      <c r="EU49" s="204"/>
      <c r="EX49" s="690" t="s">
        <v>232</v>
      </c>
      <c r="EY49" s="958">
        <f t="shared" si="103"/>
        <v>1.7</v>
      </c>
      <c r="EZ49" s="958">
        <v>61.564272419834921</v>
      </c>
      <c r="FA49" s="958">
        <f t="shared" si="239"/>
        <v>-59.864272419834919</v>
      </c>
      <c r="FB49" s="958">
        <f t="shared" si="147"/>
        <v>37.799999999999997</v>
      </c>
      <c r="FC49" s="549">
        <f t="shared" si="148"/>
        <v>-0.955026455026455</v>
      </c>
      <c r="FD49" s="1613">
        <f>(EY48*(EZ82)-EY49)/EY67</f>
        <v>0.12071112048955465</v>
      </c>
    </row>
    <row r="50" spans="1:166" ht="5.25" customHeight="1" x14ac:dyDescent="0.2">
      <c r="A50" s="215"/>
      <c r="B50" s="215"/>
      <c r="C50" s="248"/>
      <c r="D50" s="65"/>
      <c r="E50" s="65"/>
      <c r="F50" s="257"/>
      <c r="G50" s="215"/>
      <c r="H50" s="248"/>
      <c r="I50" s="65"/>
      <c r="J50" s="65"/>
      <c r="K50" s="65"/>
      <c r="L50" s="215"/>
      <c r="M50" s="65"/>
      <c r="N50" s="65"/>
      <c r="O50" s="65"/>
      <c r="P50" s="65"/>
      <c r="Q50" s="215"/>
      <c r="R50" s="65"/>
      <c r="S50" s="65"/>
      <c r="T50" s="65"/>
      <c r="U50" s="65"/>
      <c r="V50" s="215"/>
      <c r="W50" s="65"/>
      <c r="X50" s="65"/>
      <c r="Y50" s="65"/>
      <c r="Z50" s="257"/>
      <c r="AA50" s="257"/>
      <c r="AB50" s="248"/>
      <c r="AC50" s="65"/>
      <c r="AD50" s="65"/>
      <c r="AE50" s="65"/>
      <c r="AF50" s="215"/>
      <c r="AG50" s="65"/>
      <c r="AH50" s="65"/>
      <c r="AI50" s="65"/>
      <c r="AJ50" s="689"/>
      <c r="AK50" s="257"/>
      <c r="AL50" s="65"/>
      <c r="AM50" s="65"/>
      <c r="AN50" s="65"/>
      <c r="AO50" s="65"/>
      <c r="AP50" s="215"/>
      <c r="AQ50" s="65"/>
      <c r="AR50" s="65"/>
      <c r="AS50" s="65"/>
      <c r="AT50" s="65"/>
      <c r="AU50" s="215"/>
      <c r="AV50" s="240"/>
      <c r="AW50" s="65"/>
      <c r="AX50" s="65"/>
      <c r="AY50" s="65"/>
      <c r="AZ50" s="65"/>
      <c r="BA50" s="641"/>
      <c r="BB50" s="248"/>
      <c r="BC50" s="65"/>
      <c r="BD50" s="65"/>
      <c r="BE50" s="65"/>
      <c r="BF50" s="641"/>
      <c r="BG50" s="65"/>
      <c r="BH50" s="65"/>
      <c r="BI50" s="65"/>
      <c r="BJ50" s="65"/>
      <c r="BK50" s="641"/>
      <c r="BL50" s="65"/>
      <c r="BM50" s="65"/>
      <c r="BN50" s="65"/>
      <c r="BO50" s="65"/>
      <c r="BP50" s="641"/>
      <c r="BQ50" s="1201"/>
      <c r="BR50" s="65"/>
      <c r="BS50" s="65"/>
      <c r="BT50" s="65"/>
      <c r="BU50" s="641"/>
      <c r="BV50" s="1267"/>
      <c r="BW50" s="1265"/>
      <c r="BX50" s="1265"/>
      <c r="BY50" s="1265"/>
      <c r="BZ50" s="641"/>
      <c r="CA50" s="65"/>
      <c r="CB50" s="65"/>
      <c r="CC50" s="65"/>
      <c r="CD50" s="65"/>
      <c r="CE50" s="641"/>
      <c r="CF50" s="65"/>
      <c r="CG50" s="65"/>
      <c r="CH50" s="65"/>
      <c r="CI50" s="65"/>
      <c r="CJ50" s="641"/>
      <c r="CK50" s="65"/>
      <c r="CL50" s="65"/>
      <c r="CM50" s="65"/>
      <c r="CN50" s="65"/>
      <c r="CO50" s="641"/>
      <c r="CP50" s="65"/>
      <c r="CQ50" s="65"/>
      <c r="CR50" s="65"/>
      <c r="CS50" s="65"/>
      <c r="CT50" s="215"/>
      <c r="CU50" s="65"/>
      <c r="CV50" s="65"/>
      <c r="CW50" s="65"/>
      <c r="CX50" s="65"/>
      <c r="CY50" s="641"/>
      <c r="CZ50" s="65"/>
      <c r="DA50" s="65"/>
      <c r="DB50" s="65"/>
      <c r="DC50" s="65"/>
      <c r="DD50" s="641"/>
      <c r="DE50" s="65"/>
      <c r="DF50" s="65"/>
      <c r="DG50" s="65"/>
      <c r="DH50" s="65"/>
      <c r="DI50" s="641"/>
      <c r="DJ50" s="65"/>
      <c r="DK50" s="65"/>
      <c r="DL50" s="65"/>
      <c r="DM50" s="65"/>
      <c r="DN50" s="641"/>
      <c r="DO50" s="65"/>
      <c r="DP50" s="65"/>
      <c r="DQ50" s="65"/>
      <c r="DR50" s="65"/>
      <c r="DS50" s="641"/>
      <c r="DT50" s="65"/>
      <c r="DU50" s="65"/>
      <c r="DV50" s="65"/>
      <c r="DW50" s="65"/>
      <c r="DX50" s="641"/>
      <c r="DY50" s="65"/>
      <c r="DZ50" s="65"/>
      <c r="EA50" s="65"/>
      <c r="EB50" s="65"/>
      <c r="EC50" s="641"/>
      <c r="EE50" s="248"/>
      <c r="EF50" s="65"/>
      <c r="EG50" s="65"/>
      <c r="EH50" s="65"/>
      <c r="EI50" s="65"/>
      <c r="EJ50" s="65"/>
      <c r="EK50" s="65"/>
      <c r="EL50" s="65"/>
      <c r="EM50" s="65"/>
      <c r="EN50" s="65"/>
      <c r="EO50" s="65"/>
      <c r="EP50" s="65"/>
      <c r="EQ50" s="65"/>
      <c r="ER50" s="257"/>
      <c r="ES50" s="204"/>
      <c r="ET50" s="204"/>
      <c r="EU50" s="204"/>
      <c r="EX50" s="690"/>
      <c r="EY50" s="958"/>
      <c r="EZ50" s="958"/>
      <c r="FA50" s="958"/>
      <c r="FB50" s="958"/>
      <c r="FC50" s="549"/>
      <c r="FD50" s="204"/>
    </row>
    <row r="51" spans="1:166" ht="12.75" customHeight="1" x14ac:dyDescent="0.2">
      <c r="A51" s="218" t="s">
        <v>678</v>
      </c>
      <c r="B51" s="706">
        <f>B48-B49</f>
        <v>-69</v>
      </c>
      <c r="C51" s="685"/>
      <c r="D51" s="686"/>
      <c r="E51" s="686"/>
      <c r="F51" s="687"/>
      <c r="G51" s="706">
        <f>G48-G49</f>
        <v>-159</v>
      </c>
      <c r="H51" s="685"/>
      <c r="I51" s="686"/>
      <c r="J51" s="686"/>
      <c r="K51" s="686"/>
      <c r="L51" s="706">
        <f t="shared" ref="L51:AO51" si="277">L48-L49</f>
        <v>-63</v>
      </c>
      <c r="M51" s="686">
        <f t="shared" si="277"/>
        <v>0</v>
      </c>
      <c r="N51" s="686">
        <f t="shared" si="277"/>
        <v>0</v>
      </c>
      <c r="O51" s="686">
        <f t="shared" si="277"/>
        <v>0</v>
      </c>
      <c r="P51" s="686">
        <f t="shared" si="277"/>
        <v>0</v>
      </c>
      <c r="Q51" s="706">
        <f t="shared" si="277"/>
        <v>-68</v>
      </c>
      <c r="R51" s="219">
        <f t="shared" si="277"/>
        <v>-35</v>
      </c>
      <c r="S51" s="686">
        <f t="shared" si="277"/>
        <v>-31</v>
      </c>
      <c r="T51" s="686">
        <f t="shared" si="277"/>
        <v>-16</v>
      </c>
      <c r="U51" s="686">
        <f t="shared" si="277"/>
        <v>-22</v>
      </c>
      <c r="V51" s="706">
        <f t="shared" si="277"/>
        <v>-104</v>
      </c>
      <c r="W51" s="219">
        <f t="shared" si="277"/>
        <v>-50</v>
      </c>
      <c r="X51" s="686">
        <f t="shared" si="277"/>
        <v>-43</v>
      </c>
      <c r="Y51" s="686">
        <f t="shared" si="277"/>
        <v>-26</v>
      </c>
      <c r="Z51" s="687">
        <f t="shared" si="277"/>
        <v>-23</v>
      </c>
      <c r="AA51" s="687">
        <f t="shared" si="277"/>
        <v>-142</v>
      </c>
      <c r="AB51" s="685">
        <f t="shared" si="277"/>
        <v>-42</v>
      </c>
      <c r="AC51" s="686">
        <f t="shared" si="277"/>
        <v>-37</v>
      </c>
      <c r="AD51" s="686">
        <f t="shared" si="277"/>
        <v>-28</v>
      </c>
      <c r="AE51" s="686">
        <f t="shared" si="277"/>
        <v>-36</v>
      </c>
      <c r="AF51" s="706">
        <f t="shared" si="277"/>
        <v>-143</v>
      </c>
      <c r="AG51" s="686">
        <f t="shared" si="277"/>
        <v>-47.2</v>
      </c>
      <c r="AH51" s="686">
        <f t="shared" si="277"/>
        <v>-46</v>
      </c>
      <c r="AI51" s="686">
        <f t="shared" si="277"/>
        <v>-40</v>
      </c>
      <c r="AJ51" s="707">
        <f t="shared" si="277"/>
        <v>-31</v>
      </c>
      <c r="AK51" s="687">
        <f t="shared" si="277"/>
        <v>-164.2</v>
      </c>
      <c r="AL51" s="686">
        <f t="shared" si="277"/>
        <v>-40</v>
      </c>
      <c r="AM51" s="686">
        <f t="shared" si="277"/>
        <v>-41.6</v>
      </c>
      <c r="AN51" s="686">
        <f t="shared" si="277"/>
        <v>-29</v>
      </c>
      <c r="AO51" s="686">
        <f t="shared" si="277"/>
        <v>-28.799999999999997</v>
      </c>
      <c r="AP51" s="706">
        <f t="shared" si="224"/>
        <v>-139.39999999999998</v>
      </c>
      <c r="AQ51" s="686">
        <f>AQ48-AQ49</f>
        <v>-36.4</v>
      </c>
      <c r="AR51" s="686">
        <f>AR48-AR49</f>
        <v>-38</v>
      </c>
      <c r="AS51" s="686">
        <f>AS48-AS49</f>
        <v>40.999999999999972</v>
      </c>
      <c r="AT51" s="686">
        <f>AT48-AT49</f>
        <v>48.999999999999957</v>
      </c>
      <c r="AU51" s="706">
        <f t="shared" si="225"/>
        <v>15.599999999999923</v>
      </c>
      <c r="AV51" s="123"/>
      <c r="AW51" s="686">
        <f t="shared" ref="AW51:CG51" si="278">AW48-AW49</f>
        <v>40.999999999999972</v>
      </c>
      <c r="AX51" s="686">
        <f t="shared" si="278"/>
        <v>48.999999999999957</v>
      </c>
      <c r="AY51" s="686">
        <f t="shared" si="278"/>
        <v>63.399999999999956</v>
      </c>
      <c r="AZ51" s="686">
        <f t="shared" si="278"/>
        <v>-108.00000000000003</v>
      </c>
      <c r="BA51" s="733">
        <f t="shared" si="278"/>
        <v>45.400000000000098</v>
      </c>
      <c r="BB51" s="734">
        <f t="shared" si="278"/>
        <v>-5.9000000000000039</v>
      </c>
      <c r="BC51" s="732">
        <f t="shared" si="278"/>
        <v>30.199999999999942</v>
      </c>
      <c r="BD51" s="732">
        <f t="shared" si="278"/>
        <v>38.800000000000026</v>
      </c>
      <c r="BE51" s="732">
        <f t="shared" si="278"/>
        <v>24.999999999999865</v>
      </c>
      <c r="BF51" s="733">
        <f t="shared" si="278"/>
        <v>88.099999999999824</v>
      </c>
      <c r="BG51" s="732">
        <f t="shared" si="278"/>
        <v>14.299999999999965</v>
      </c>
      <c r="BH51" s="732">
        <f t="shared" si="278"/>
        <v>48.199999999999918</v>
      </c>
      <c r="BI51" s="732">
        <f t="shared" si="278"/>
        <v>6.599999999999957</v>
      </c>
      <c r="BJ51" s="732">
        <f t="shared" si="278"/>
        <v>48.60000000000003</v>
      </c>
      <c r="BK51" s="733">
        <f t="shared" si="278"/>
        <v>117.70000000000005</v>
      </c>
      <c r="BL51" s="732">
        <f t="shared" si="278"/>
        <v>35.799999999999976</v>
      </c>
      <c r="BM51" s="732">
        <f t="shared" si="278"/>
        <v>62.90000000000002</v>
      </c>
      <c r="BN51" s="732">
        <f t="shared" si="278"/>
        <v>68.200000000000017</v>
      </c>
      <c r="BO51" s="732">
        <f t="shared" si="278"/>
        <v>66.799999999999955</v>
      </c>
      <c r="BP51" s="733">
        <f t="shared" si="278"/>
        <v>233.7</v>
      </c>
      <c r="BQ51" s="1210">
        <f t="shared" si="278"/>
        <v>60.400000000000013</v>
      </c>
      <c r="BR51" s="732">
        <f t="shared" si="278"/>
        <v>75.09999999999998</v>
      </c>
      <c r="BS51" s="732">
        <f t="shared" si="278"/>
        <v>-23.500000000000021</v>
      </c>
      <c r="BT51" s="732">
        <f t="shared" si="278"/>
        <v>-389.4</v>
      </c>
      <c r="BU51" s="733">
        <f t="shared" si="278"/>
        <v>-277.40000000000003</v>
      </c>
      <c r="BV51" s="1210">
        <f t="shared" ref="BV51:BZ51" si="279">BV48-BV49</f>
        <v>91.499999999999872</v>
      </c>
      <c r="BW51" s="732">
        <f t="shared" si="279"/>
        <v>141.20000000000007</v>
      </c>
      <c r="BX51" s="732">
        <f t="shared" si="279"/>
        <v>161.59999999999991</v>
      </c>
      <c r="BY51" s="732">
        <f t="shared" si="279"/>
        <v>38.899999999999835</v>
      </c>
      <c r="BZ51" s="733">
        <f t="shared" si="279"/>
        <v>433.19999999999959</v>
      </c>
      <c r="CA51" s="732">
        <f t="shared" si="278"/>
        <v>50.599999999999909</v>
      </c>
      <c r="CB51" s="732">
        <f t="shared" si="278"/>
        <v>93.799999999999855</v>
      </c>
      <c r="CC51" s="732">
        <f>CC48-CC49</f>
        <v>182.8600000000001</v>
      </c>
      <c r="CD51" s="732">
        <f>CD48-CD49</f>
        <v>184.46000000000012</v>
      </c>
      <c r="CE51" s="733">
        <f>CE48-CE49</f>
        <v>511.71999999999997</v>
      </c>
      <c r="CF51" s="732">
        <f t="shared" si="278"/>
        <v>168.2999999999999</v>
      </c>
      <c r="CG51" s="732">
        <f t="shared" si="278"/>
        <v>247.59999999999991</v>
      </c>
      <c r="CH51" s="732">
        <f t="shared" ref="CH51:DM51" si="280">CH48-CH49</f>
        <v>238.59999999999977</v>
      </c>
      <c r="CI51" s="732">
        <f t="shared" si="280"/>
        <v>301.38</v>
      </c>
      <c r="CJ51" s="733">
        <f t="shared" si="280"/>
        <v>955.87999999999954</v>
      </c>
      <c r="CK51" s="732">
        <f>CK48-CK49</f>
        <v>166.60000000000002</v>
      </c>
      <c r="CL51" s="732">
        <f>CL48-CL49</f>
        <v>243.50000000000014</v>
      </c>
      <c r="CM51" s="732">
        <f t="shared" si="280"/>
        <v>246.79999999999995</v>
      </c>
      <c r="CN51" s="732">
        <f>CN48-CN49</f>
        <v>578.4000000000002</v>
      </c>
      <c r="CO51" s="733">
        <f t="shared" si="280"/>
        <v>1235.3000000000002</v>
      </c>
      <c r="CP51" s="1210">
        <f t="shared" si="280"/>
        <v>278.79999999999978</v>
      </c>
      <c r="CQ51" s="1210">
        <f t="shared" si="280"/>
        <v>251.07427814492911</v>
      </c>
      <c r="CR51" s="1210">
        <f t="shared" si="280"/>
        <v>294.72715575565871</v>
      </c>
      <c r="CS51" s="1210">
        <f t="shared" si="280"/>
        <v>315.07587473785748</v>
      </c>
      <c r="CT51" s="1616">
        <f t="shared" si="280"/>
        <v>1139.6773086384451</v>
      </c>
      <c r="CU51" s="732">
        <f t="shared" si="280"/>
        <v>259.98971601922165</v>
      </c>
      <c r="CV51" s="732">
        <f t="shared" si="280"/>
        <v>300.63052700052936</v>
      </c>
      <c r="CW51" s="732">
        <f t="shared" si="280"/>
        <v>345.42141486531398</v>
      </c>
      <c r="CX51" s="732">
        <f t="shared" si="280"/>
        <v>369.02815117067212</v>
      </c>
      <c r="CY51" s="733">
        <f t="shared" si="280"/>
        <v>1275.0698090557371</v>
      </c>
      <c r="CZ51" s="732">
        <f t="shared" si="280"/>
        <v>295.31856964007477</v>
      </c>
      <c r="DA51" s="732">
        <f t="shared" si="280"/>
        <v>352.39568354822802</v>
      </c>
      <c r="DB51" s="732">
        <f t="shared" si="280"/>
        <v>401.48723172181116</v>
      </c>
      <c r="DC51" s="732">
        <f t="shared" si="280"/>
        <v>427.90976965238963</v>
      </c>
      <c r="DD51" s="733">
        <f t="shared" si="280"/>
        <v>1477.1112545625035</v>
      </c>
      <c r="DE51" s="732">
        <f t="shared" si="280"/>
        <v>354.52519677190719</v>
      </c>
      <c r="DF51" s="732">
        <f t="shared" si="280"/>
        <v>399.39578986320424</v>
      </c>
      <c r="DG51" s="732">
        <f t="shared" si="280"/>
        <v>455.05282498216451</v>
      </c>
      <c r="DH51" s="732">
        <f t="shared" si="280"/>
        <v>456.09019219963255</v>
      </c>
      <c r="DI51" s="733">
        <f t="shared" si="280"/>
        <v>1665.0640038169086</v>
      </c>
      <c r="DJ51" s="732">
        <f t="shared" si="280"/>
        <v>408.69617630805391</v>
      </c>
      <c r="DK51" s="732">
        <f t="shared" si="280"/>
        <v>455.84389264053289</v>
      </c>
      <c r="DL51" s="732">
        <f t="shared" si="280"/>
        <v>519.26028225570587</v>
      </c>
      <c r="DM51" s="732">
        <f t="shared" si="280"/>
        <v>551.28064545851419</v>
      </c>
      <c r="DN51" s="733">
        <f t="shared" ref="DN51:DX51" si="281">DN48-DN49</f>
        <v>1935.0809966628069</v>
      </c>
      <c r="DO51" s="732">
        <f t="shared" si="281"/>
        <v>463.82434178875161</v>
      </c>
      <c r="DP51" s="732">
        <f t="shared" si="281"/>
        <v>518.20911932933552</v>
      </c>
      <c r="DQ51" s="732">
        <f t="shared" si="281"/>
        <v>586.81441163429304</v>
      </c>
      <c r="DR51" s="732">
        <f t="shared" si="281"/>
        <v>621.55325386093818</v>
      </c>
      <c r="DS51" s="733">
        <f t="shared" si="281"/>
        <v>2190.4011266133184</v>
      </c>
      <c r="DT51" s="732">
        <f t="shared" si="281"/>
        <v>484.51258940836266</v>
      </c>
      <c r="DU51" s="732">
        <f t="shared" si="281"/>
        <v>533.9189622724216</v>
      </c>
      <c r="DV51" s="732">
        <f t="shared" si="281"/>
        <v>616.73096528012832</v>
      </c>
      <c r="DW51" s="732">
        <f t="shared" si="281"/>
        <v>658.36814756860917</v>
      </c>
      <c r="DX51" s="733">
        <f t="shared" si="281"/>
        <v>2293.5306645295218</v>
      </c>
      <c r="DY51" s="732">
        <f t="shared" ref="DY51:EC51" si="282">DY48-DY49</f>
        <v>554.82074716127477</v>
      </c>
      <c r="DZ51" s="732">
        <f t="shared" si="282"/>
        <v>615.14542361321151</v>
      </c>
      <c r="EA51" s="732">
        <f t="shared" si="282"/>
        <v>690.89258304346879</v>
      </c>
      <c r="EB51" s="732">
        <f t="shared" si="282"/>
        <v>736.01656320651716</v>
      </c>
      <c r="EC51" s="733">
        <f t="shared" si="282"/>
        <v>2596.8753170244722</v>
      </c>
      <c r="ED51" s="204"/>
      <c r="EE51" s="685">
        <f t="shared" ref="EE51:EJ51" si="283">EE48-EE49</f>
        <v>-131</v>
      </c>
      <c r="EF51" s="686">
        <f t="shared" si="283"/>
        <v>-128</v>
      </c>
      <c r="EG51" s="686">
        <f t="shared" si="283"/>
        <v>-157.19999999999999</v>
      </c>
      <c r="EH51" s="686">
        <f t="shared" si="283"/>
        <v>-152.6</v>
      </c>
      <c r="EI51" s="686">
        <f t="shared" si="283"/>
        <v>-132.20000000000002</v>
      </c>
      <c r="EJ51" s="686">
        <f t="shared" si="283"/>
        <v>45.399999999999856</v>
      </c>
      <c r="EK51" s="686">
        <f>BF51</f>
        <v>88.099999999999824</v>
      </c>
      <c r="EL51" s="686">
        <f>BK51</f>
        <v>117.70000000000005</v>
      </c>
      <c r="EM51" s="686">
        <f>BP51</f>
        <v>233.7</v>
      </c>
      <c r="EN51" s="686">
        <f>BU51</f>
        <v>-277.40000000000003</v>
      </c>
      <c r="EO51" s="686">
        <f t="shared" si="264"/>
        <v>511.71999999999997</v>
      </c>
      <c r="EP51" s="686">
        <f>CJ51</f>
        <v>955.87999999999954</v>
      </c>
      <c r="EQ51" s="686">
        <f>CO51</f>
        <v>1235.3000000000002</v>
      </c>
      <c r="ER51" s="687">
        <f>CT51</f>
        <v>1139.6773086384451</v>
      </c>
      <c r="ES51" s="204"/>
      <c r="ET51" s="204"/>
      <c r="EU51" s="204"/>
      <c r="EX51" s="684" t="s">
        <v>678</v>
      </c>
      <c r="EY51" s="956">
        <f>CP51</f>
        <v>278.79999999999978</v>
      </c>
      <c r="EZ51" s="956">
        <v>231.59892957937899</v>
      </c>
      <c r="FA51" s="956">
        <f t="shared" si="239"/>
        <v>47.201070420620795</v>
      </c>
      <c r="FB51" s="956">
        <f t="shared" ref="FB51:FB61" si="284">CK51</f>
        <v>166.60000000000002</v>
      </c>
      <c r="FC51" s="549">
        <f t="shared" si="148"/>
        <v>0.67346938775510057</v>
      </c>
      <c r="FD51" s="78">
        <f>EY48*EZ82</f>
        <v>58.904999999999951</v>
      </c>
    </row>
    <row r="52" spans="1:166" ht="3.75" customHeight="1" x14ac:dyDescent="0.2">
      <c r="A52" s="218"/>
      <c r="B52" s="706"/>
      <c r="C52" s="685"/>
      <c r="D52" s="686"/>
      <c r="E52" s="686"/>
      <c r="F52" s="687"/>
      <c r="G52" s="706"/>
      <c r="H52" s="685"/>
      <c r="I52" s="686"/>
      <c r="J52" s="686"/>
      <c r="K52" s="686"/>
      <c r="L52" s="706"/>
      <c r="M52" s="686"/>
      <c r="N52" s="686"/>
      <c r="O52" s="686"/>
      <c r="P52" s="686"/>
      <c r="Q52" s="706"/>
      <c r="R52" s="219"/>
      <c r="S52" s="686"/>
      <c r="T52" s="686"/>
      <c r="U52" s="686"/>
      <c r="V52" s="706"/>
      <c r="W52" s="219"/>
      <c r="X52" s="686"/>
      <c r="Y52" s="686"/>
      <c r="Z52" s="687"/>
      <c r="AA52" s="687"/>
      <c r="AB52" s="686"/>
      <c r="AC52" s="686"/>
      <c r="AD52" s="686"/>
      <c r="AE52" s="686"/>
      <c r="AF52" s="706"/>
      <c r="AG52" s="686"/>
      <c r="AH52" s="686"/>
      <c r="AI52" s="686"/>
      <c r="AJ52" s="707"/>
      <c r="AK52" s="687"/>
      <c r="AL52" s="686"/>
      <c r="AM52" s="686"/>
      <c r="AN52" s="686"/>
      <c r="AO52" s="686"/>
      <c r="AP52" s="706"/>
      <c r="AQ52" s="686"/>
      <c r="AR52" s="686"/>
      <c r="AS52" s="686"/>
      <c r="AT52" s="686"/>
      <c r="AU52" s="706"/>
      <c r="AV52" s="123"/>
      <c r="AW52" s="686"/>
      <c r="AX52" s="686"/>
      <c r="AY52" s="686"/>
      <c r="AZ52" s="686"/>
      <c r="BA52" s="733"/>
      <c r="BB52" s="734"/>
      <c r="BC52" s="732"/>
      <c r="BD52" s="732"/>
      <c r="BE52" s="732"/>
      <c r="BF52" s="733"/>
      <c r="BG52" s="732"/>
      <c r="BH52" s="732"/>
      <c r="BI52" s="732"/>
      <c r="BJ52" s="732"/>
      <c r="BK52" s="733"/>
      <c r="BL52" s="732"/>
      <c r="BM52" s="732"/>
      <c r="BN52" s="732"/>
      <c r="BO52" s="732"/>
      <c r="BP52" s="733"/>
      <c r="BQ52" s="1210"/>
      <c r="BR52" s="732"/>
      <c r="BS52" s="732"/>
      <c r="BT52" s="732"/>
      <c r="BU52" s="733"/>
      <c r="BV52" s="1272"/>
      <c r="BW52" s="1273"/>
      <c r="BX52" s="1273"/>
      <c r="BY52" s="1273"/>
      <c r="BZ52" s="733"/>
      <c r="CA52" s="732"/>
      <c r="CB52" s="732"/>
      <c r="CC52" s="732"/>
      <c r="CD52" s="732"/>
      <c r="CE52" s="733"/>
      <c r="CF52" s="732"/>
      <c r="CG52" s="732"/>
      <c r="CH52" s="732"/>
      <c r="CI52" s="732"/>
      <c r="CJ52" s="733"/>
      <c r="CK52" s="732"/>
      <c r="CL52" s="732"/>
      <c r="CM52" s="732"/>
      <c r="CN52" s="732"/>
      <c r="CO52" s="733"/>
      <c r="CP52" s="732"/>
      <c r="CQ52" s="732"/>
      <c r="CR52" s="732"/>
      <c r="CS52" s="732"/>
      <c r="CT52" s="1059"/>
      <c r="CU52" s="732"/>
      <c r="CV52" s="732"/>
      <c r="CW52" s="732"/>
      <c r="CX52" s="732"/>
      <c r="CY52" s="733"/>
      <c r="CZ52" s="732"/>
      <c r="DA52" s="732"/>
      <c r="DB52" s="732"/>
      <c r="DC52" s="732"/>
      <c r="DD52" s="733"/>
      <c r="DE52" s="732"/>
      <c r="DF52" s="732"/>
      <c r="DG52" s="732"/>
      <c r="DH52" s="732"/>
      <c r="DI52" s="733"/>
      <c r="DJ52" s="732"/>
      <c r="DK52" s="732"/>
      <c r="DL52" s="732"/>
      <c r="DM52" s="732"/>
      <c r="DN52" s="733"/>
      <c r="DO52" s="732"/>
      <c r="DP52" s="732"/>
      <c r="DQ52" s="732"/>
      <c r="DR52" s="732"/>
      <c r="DS52" s="733"/>
      <c r="DT52" s="732"/>
      <c r="DU52" s="732"/>
      <c r="DV52" s="732"/>
      <c r="DW52" s="732"/>
      <c r="DX52" s="733"/>
      <c r="DY52" s="732"/>
      <c r="DZ52" s="732"/>
      <c r="EA52" s="732"/>
      <c r="EB52" s="732"/>
      <c r="EC52" s="733"/>
      <c r="ED52" s="204"/>
      <c r="EE52" s="685"/>
      <c r="EF52" s="686"/>
      <c r="EG52" s="686"/>
      <c r="EH52" s="686"/>
      <c r="EI52" s="686"/>
      <c r="EJ52" s="686"/>
      <c r="EK52" s="686"/>
      <c r="EL52" s="686"/>
      <c r="EM52" s="686"/>
      <c r="EN52" s="686"/>
      <c r="EO52" s="686"/>
      <c r="EP52" s="686"/>
      <c r="EQ52" s="686"/>
      <c r="ER52" s="687"/>
      <c r="ES52" s="204"/>
      <c r="ET52" s="204"/>
      <c r="EU52" s="204"/>
      <c r="EX52" s="684"/>
      <c r="EY52" s="956"/>
      <c r="EZ52" s="956"/>
      <c r="FA52" s="956"/>
      <c r="FB52" s="956">
        <f t="shared" si="284"/>
        <v>0</v>
      </c>
      <c r="FC52" s="549"/>
      <c r="FD52" s="204"/>
    </row>
    <row r="53" spans="1:166" s="1442" customFormat="1" ht="12.75" customHeight="1" x14ac:dyDescent="0.2">
      <c r="A53" s="1596" t="s">
        <v>40</v>
      </c>
      <c r="B53" s="1524"/>
      <c r="C53" s="1525"/>
      <c r="D53" s="1447"/>
      <c r="E53" s="1447"/>
      <c r="F53" s="1526"/>
      <c r="G53" s="1524"/>
      <c r="H53" s="1525"/>
      <c r="I53" s="1447"/>
      <c r="J53" s="1447"/>
      <c r="K53" s="1447"/>
      <c r="L53" s="1524"/>
      <c r="M53" s="1447"/>
      <c r="N53" s="1447"/>
      <c r="O53" s="1447"/>
      <c r="P53" s="1447"/>
      <c r="Q53" s="1524"/>
      <c r="R53" s="1201"/>
      <c r="S53" s="1447"/>
      <c r="T53" s="1447"/>
      <c r="U53" s="1447"/>
      <c r="V53" s="1524"/>
      <c r="W53" s="1201"/>
      <c r="X53" s="1447"/>
      <c r="Y53" s="1447"/>
      <c r="Z53" s="1526"/>
      <c r="AA53" s="1526"/>
      <c r="AB53" s="1447"/>
      <c r="AC53" s="1447"/>
      <c r="AD53" s="1447"/>
      <c r="AE53" s="1447"/>
      <c r="AF53" s="1524"/>
      <c r="AG53" s="1447"/>
      <c r="AH53" s="1447"/>
      <c r="AI53" s="1447"/>
      <c r="AJ53" s="1527"/>
      <c r="AK53" s="1526"/>
      <c r="AL53" s="1447"/>
      <c r="AM53" s="1447"/>
      <c r="AN53" s="1447"/>
      <c r="AO53" s="1447"/>
      <c r="AP53" s="1524"/>
      <c r="AQ53" s="1447"/>
      <c r="AR53" s="1447"/>
      <c r="AS53" s="1447"/>
      <c r="AT53" s="1447"/>
      <c r="AU53" s="1524"/>
      <c r="AV53" s="1077"/>
      <c r="AW53" s="1447"/>
      <c r="AX53" s="1447"/>
      <c r="AY53" s="1447"/>
      <c r="AZ53" s="1447"/>
      <c r="BA53" s="1500"/>
      <c r="BB53" s="1525"/>
      <c r="BC53" s="1447"/>
      <c r="BD53" s="1447"/>
      <c r="BE53" s="1447"/>
      <c r="BF53" s="1500"/>
      <c r="BG53" s="1447"/>
      <c r="BH53" s="1447"/>
      <c r="BI53" s="1447"/>
      <c r="BJ53" s="1447"/>
      <c r="BK53" s="1500"/>
      <c r="BL53" s="1447"/>
      <c r="BM53" s="1447"/>
      <c r="BN53" s="1447"/>
      <c r="BO53" s="1447"/>
      <c r="BP53" s="1500"/>
      <c r="BQ53" s="1447"/>
      <c r="BR53" s="1447"/>
      <c r="BS53" s="1447"/>
      <c r="BT53" s="1447">
        <v>13.8</v>
      </c>
      <c r="BU53" s="1500">
        <f>SUM(BQ53:BT53)</f>
        <v>13.8</v>
      </c>
      <c r="BV53" s="1447">
        <v>67.5</v>
      </c>
      <c r="BW53" s="1447">
        <v>67.5</v>
      </c>
      <c r="BX53" s="1447">
        <v>67.5</v>
      </c>
      <c r="BY53" s="1447">
        <v>67.5</v>
      </c>
      <c r="BZ53" s="1500">
        <f>SUM(BV53:BY53)</f>
        <v>270</v>
      </c>
      <c r="CA53" s="1447">
        <v>68.7</v>
      </c>
      <c r="CB53" s="1447">
        <v>67.5</v>
      </c>
      <c r="CC53" s="1447">
        <f>BS!BX199</f>
        <v>67.5</v>
      </c>
      <c r="CD53" s="1447">
        <f>BS!BY199</f>
        <v>67.5</v>
      </c>
      <c r="CE53" s="1500">
        <f>SUM(CA53:CD53)</f>
        <v>271.2</v>
      </c>
      <c r="CF53" s="1447">
        <v>67.5</v>
      </c>
      <c r="CG53" s="1447">
        <f>BS!CB199</f>
        <v>67.5</v>
      </c>
      <c r="CH53" s="1447">
        <f>BS!CC199</f>
        <v>67.5</v>
      </c>
      <c r="CI53" s="1447">
        <f>BS!CD199</f>
        <v>67.5</v>
      </c>
      <c r="CJ53" s="1500">
        <f>SUM(CF53:CI53)</f>
        <v>270</v>
      </c>
      <c r="CK53" s="1447">
        <f>BS!CF199</f>
        <v>67.5</v>
      </c>
      <c r="CL53" s="1447">
        <f>BS!CG199</f>
        <v>67.5</v>
      </c>
      <c r="CM53" s="1447">
        <f>BS!CH199</f>
        <v>67.5</v>
      </c>
      <c r="CN53" s="1447">
        <f>BS!CI199</f>
        <v>54</v>
      </c>
      <c r="CO53" s="1500">
        <f>SUM(CK53:CN53)</f>
        <v>256.5</v>
      </c>
      <c r="CP53" s="1447">
        <f>BS!CK199</f>
        <v>0</v>
      </c>
      <c r="CQ53" s="1447">
        <f>BS!CL199</f>
        <v>0</v>
      </c>
      <c r="CR53" s="1447">
        <f>BS!CM199</f>
        <v>0</v>
      </c>
      <c r="CS53" s="1447">
        <f>BS!CN199</f>
        <v>0</v>
      </c>
      <c r="CT53" s="1524">
        <f>SUM(CP53:CS53)</f>
        <v>0</v>
      </c>
      <c r="CU53" s="1447">
        <f>BS!CP199</f>
        <v>0</v>
      </c>
      <c r="CV53" s="1447">
        <f>BS!CQ199</f>
        <v>0</v>
      </c>
      <c r="CW53" s="1447">
        <f>BS!CR199</f>
        <v>0</v>
      </c>
      <c r="CX53" s="1447">
        <f>BS!CS199</f>
        <v>0</v>
      </c>
      <c r="CY53" s="1500">
        <f>SUM(CU53:CX53)</f>
        <v>0</v>
      </c>
      <c r="CZ53" s="1447">
        <f>BS!CU199</f>
        <v>0</v>
      </c>
      <c r="DA53" s="1447">
        <f>BS!CV199</f>
        <v>0</v>
      </c>
      <c r="DB53" s="1447">
        <f>BS!CW199</f>
        <v>0</v>
      </c>
      <c r="DC53" s="1447">
        <f>BS!CX199</f>
        <v>0</v>
      </c>
      <c r="DD53" s="1500">
        <f>SUM(CZ53:DC53)</f>
        <v>0</v>
      </c>
      <c r="DE53" s="1447">
        <f>BS!CZ199</f>
        <v>0</v>
      </c>
      <c r="DF53" s="1447">
        <f>BS!DA199</f>
        <v>0</v>
      </c>
      <c r="DG53" s="1447">
        <f>BS!DB199</f>
        <v>0</v>
      </c>
      <c r="DH53" s="1447">
        <f>BS!DC199</f>
        <v>0</v>
      </c>
      <c r="DI53" s="1500">
        <f>SUM(DE53:DH53)</f>
        <v>0</v>
      </c>
      <c r="DJ53" s="1447">
        <f>BS!DE199</f>
        <v>0</v>
      </c>
      <c r="DK53" s="1447">
        <f>BS!DF199</f>
        <v>0</v>
      </c>
      <c r="DL53" s="1447">
        <f>BS!DG199</f>
        <v>0</v>
      </c>
      <c r="DM53" s="1447">
        <f>BS!DH199</f>
        <v>0</v>
      </c>
      <c r="DN53" s="1500">
        <f>SUM(DJ53:DM53)</f>
        <v>0</v>
      </c>
      <c r="DO53" s="1447">
        <f>BS!DJ199</f>
        <v>0</v>
      </c>
      <c r="DP53" s="1447">
        <f>BS!DK199</f>
        <v>0</v>
      </c>
      <c r="DQ53" s="1447">
        <f>BS!DL199</f>
        <v>0</v>
      </c>
      <c r="DR53" s="1447">
        <f>BS!DM199</f>
        <v>0</v>
      </c>
      <c r="DS53" s="1500">
        <f>SUM(DO53:DR53)</f>
        <v>0</v>
      </c>
      <c r="DT53" s="1447">
        <f>BS!DO199</f>
        <v>0</v>
      </c>
      <c r="DU53" s="1447">
        <f>BS!DP199</f>
        <v>0</v>
      </c>
      <c r="DV53" s="1447">
        <f>BS!DQ199</f>
        <v>0</v>
      </c>
      <c r="DW53" s="1447">
        <f>BS!DR199</f>
        <v>0</v>
      </c>
      <c r="DX53" s="1500">
        <f>SUM(DT53:DW53)</f>
        <v>0</v>
      </c>
      <c r="DY53" s="1447">
        <f>BS!DT199</f>
        <v>0</v>
      </c>
      <c r="DZ53" s="1447">
        <f>BS!DU199</f>
        <v>0</v>
      </c>
      <c r="EA53" s="1447">
        <f>BS!DV199</f>
        <v>0</v>
      </c>
      <c r="EB53" s="1447">
        <f>BS!DW199</f>
        <v>0</v>
      </c>
      <c r="EC53" s="1500">
        <f>SUM(DY53:EB53)</f>
        <v>0</v>
      </c>
      <c r="ED53" s="1617"/>
      <c r="EE53" s="1525"/>
      <c r="EF53" s="1447"/>
      <c r="EG53" s="1447"/>
      <c r="EH53" s="1447"/>
      <c r="EI53" s="1447"/>
      <c r="EJ53" s="1447"/>
      <c r="EK53" s="1447"/>
      <c r="EL53" s="1447"/>
      <c r="EM53" s="1447"/>
      <c r="EN53" s="1447"/>
      <c r="EO53" s="1447">
        <f t="shared" si="264"/>
        <v>271.2</v>
      </c>
      <c r="EP53" s="1447">
        <f>CJ53</f>
        <v>270</v>
      </c>
      <c r="EQ53" s="1447">
        <f>CO53</f>
        <v>256.5</v>
      </c>
      <c r="ER53" s="1526">
        <f>CT53</f>
        <v>0</v>
      </c>
      <c r="ES53" s="1182"/>
      <c r="ET53" s="1182"/>
      <c r="EU53" s="1182"/>
      <c r="EX53" s="1523" t="s">
        <v>40</v>
      </c>
      <c r="EY53" s="1448">
        <f t="shared" ref="EY53:EY61" si="285">CP53</f>
        <v>0</v>
      </c>
      <c r="EZ53" s="1448">
        <v>0</v>
      </c>
      <c r="FA53" s="1448">
        <f t="shared" si="239"/>
        <v>0</v>
      </c>
      <c r="FB53" s="1448">
        <f t="shared" si="284"/>
        <v>67.5</v>
      </c>
      <c r="FC53" s="1474"/>
      <c r="FD53" s="1182"/>
      <c r="FE53"/>
      <c r="FF53"/>
      <c r="FG53"/>
      <c r="FH53"/>
      <c r="FI53"/>
      <c r="FJ53"/>
    </row>
    <row r="54" spans="1:166" s="1442" customFormat="1" ht="12.75" customHeight="1" x14ac:dyDescent="0.2">
      <c r="A54" s="1596" t="s">
        <v>608</v>
      </c>
      <c r="B54" s="1524"/>
      <c r="C54" s="1525"/>
      <c r="D54" s="1447"/>
      <c r="E54" s="1447"/>
      <c r="F54" s="1526"/>
      <c r="G54" s="1524"/>
      <c r="H54" s="1525"/>
      <c r="I54" s="1447"/>
      <c r="J54" s="1447"/>
      <c r="K54" s="1447"/>
      <c r="L54" s="1524"/>
      <c r="M54" s="1447"/>
      <c r="N54" s="1447"/>
      <c r="O54" s="1447"/>
      <c r="P54" s="1447"/>
      <c r="Q54" s="1524"/>
      <c r="R54" s="1201"/>
      <c r="S54" s="1447"/>
      <c r="T54" s="1447"/>
      <c r="U54" s="1447"/>
      <c r="V54" s="1524"/>
      <c r="W54" s="1201"/>
      <c r="X54" s="1447"/>
      <c r="Y54" s="1447"/>
      <c r="Z54" s="1526"/>
      <c r="AA54" s="1526"/>
      <c r="AB54" s="1447"/>
      <c r="AC54" s="1447"/>
      <c r="AD54" s="1447"/>
      <c r="AE54" s="1447"/>
      <c r="AF54" s="1524"/>
      <c r="AG54" s="1447"/>
      <c r="AH54" s="1447"/>
      <c r="AI54" s="1447"/>
      <c r="AJ54" s="1527"/>
      <c r="AK54" s="1526"/>
      <c r="AL54" s="1447"/>
      <c r="AM54" s="1447"/>
      <c r="AN54" s="1447"/>
      <c r="AO54" s="1447"/>
      <c r="AP54" s="1524"/>
      <c r="AQ54" s="1447"/>
      <c r="AR54" s="1447"/>
      <c r="AS54" s="1447"/>
      <c r="AT54" s="1447"/>
      <c r="AU54" s="1524"/>
      <c r="AV54" s="1077"/>
      <c r="AW54" s="1447"/>
      <c r="AX54" s="1447"/>
      <c r="AY54" s="1447"/>
      <c r="AZ54" s="1447"/>
      <c r="BA54" s="1500"/>
      <c r="BB54" s="1525"/>
      <c r="BC54" s="1447"/>
      <c r="BD54" s="1447"/>
      <c r="BE54" s="1447"/>
      <c r="BF54" s="1500"/>
      <c r="BG54" s="1447"/>
      <c r="BH54" s="1447"/>
      <c r="BI54" s="1447"/>
      <c r="BJ54" s="1447"/>
      <c r="BK54" s="1500"/>
      <c r="BL54" s="1447"/>
      <c r="BM54" s="1447"/>
      <c r="BN54" s="1447"/>
      <c r="BO54" s="1447"/>
      <c r="BP54" s="1500"/>
      <c r="BQ54" s="1447"/>
      <c r="BR54" s="1447"/>
      <c r="BS54" s="1447"/>
      <c r="BT54" s="1447">
        <v>546.4</v>
      </c>
      <c r="BU54" s="1500">
        <f t="shared" ref="BU54:BU55" si="286">SUM(BQ54:BT54)</f>
        <v>546.4</v>
      </c>
      <c r="BV54" s="1447">
        <v>546.4</v>
      </c>
      <c r="BW54" s="1528"/>
      <c r="BX54" s="1528"/>
      <c r="BY54" s="1447">
        <v>0</v>
      </c>
      <c r="BZ54" s="1500">
        <f t="shared" ref="BZ54:BZ55" si="287">SUM(BV54:BY54)</f>
        <v>546.4</v>
      </c>
      <c r="CA54" s="1447"/>
      <c r="CB54" s="1447"/>
      <c r="CC54" s="1447"/>
      <c r="CD54" s="1447"/>
      <c r="CE54" s="1500"/>
      <c r="CF54" s="1447"/>
      <c r="CG54" s="1447"/>
      <c r="CH54" s="1447"/>
      <c r="CI54" s="1447"/>
      <c r="CJ54" s="1500"/>
      <c r="CK54" s="1447"/>
      <c r="CL54" s="1447"/>
      <c r="CM54" s="1447"/>
      <c r="CN54" s="1447">
        <v>-233.8</v>
      </c>
      <c r="CO54" s="1500"/>
      <c r="CP54" s="1447"/>
      <c r="CQ54" s="1447"/>
      <c r="CR54" s="1447"/>
      <c r="CS54" s="1447"/>
      <c r="CT54" s="1524"/>
      <c r="CU54" s="1447"/>
      <c r="CV54" s="1447"/>
      <c r="CW54" s="1447"/>
      <c r="CX54" s="1447"/>
      <c r="CY54" s="1500"/>
      <c r="CZ54" s="1447"/>
      <c r="DA54" s="1447"/>
      <c r="DB54" s="1447"/>
      <c r="DC54" s="1447"/>
      <c r="DD54" s="1500"/>
      <c r="DE54" s="1447"/>
      <c r="DF54" s="1447"/>
      <c r="DG54" s="1447"/>
      <c r="DH54" s="1447"/>
      <c r="DI54" s="1500"/>
      <c r="DJ54" s="1447"/>
      <c r="DK54" s="1447"/>
      <c r="DL54" s="1447"/>
      <c r="DM54" s="1447"/>
      <c r="DN54" s="1500"/>
      <c r="DO54" s="1447"/>
      <c r="DP54" s="1447"/>
      <c r="DQ54" s="1447"/>
      <c r="DR54" s="1447"/>
      <c r="DS54" s="1500"/>
      <c r="DT54" s="1447"/>
      <c r="DU54" s="1447"/>
      <c r="DV54" s="1447"/>
      <c r="DW54" s="1447"/>
      <c r="DX54" s="1500"/>
      <c r="DY54" s="1447"/>
      <c r="DZ54" s="1447"/>
      <c r="EA54" s="1447"/>
      <c r="EB54" s="1447"/>
      <c r="EC54" s="1500"/>
      <c r="ED54" s="1182"/>
      <c r="EE54" s="1525"/>
      <c r="EF54" s="1447"/>
      <c r="EG54" s="1447"/>
      <c r="EH54" s="1447"/>
      <c r="EI54" s="1447"/>
      <c r="EJ54" s="1447"/>
      <c r="EK54" s="1447"/>
      <c r="EL54" s="1447"/>
      <c r="EM54" s="1447"/>
      <c r="EN54" s="1447"/>
      <c r="EO54" s="1447"/>
      <c r="EP54" s="1447"/>
      <c r="EQ54" s="1447"/>
      <c r="ER54" s="1526"/>
      <c r="ES54" s="1182"/>
      <c r="ET54" s="1182"/>
      <c r="EU54" s="1182"/>
      <c r="EX54" s="1523" t="s">
        <v>608</v>
      </c>
      <c r="EY54" s="1448">
        <f t="shared" si="285"/>
        <v>0</v>
      </c>
      <c r="EZ54" s="1448">
        <v>0</v>
      </c>
      <c r="FA54" s="1448">
        <f t="shared" si="239"/>
        <v>0</v>
      </c>
      <c r="FB54" s="1448">
        <f t="shared" si="284"/>
        <v>0</v>
      </c>
      <c r="FC54" s="1474"/>
      <c r="FD54" s="1182"/>
      <c r="FE54"/>
      <c r="FF54"/>
      <c r="FG54"/>
      <c r="FH54"/>
      <c r="FI54"/>
      <c r="FJ54"/>
    </row>
    <row r="55" spans="1:166" s="1442" customFormat="1" ht="12.75" customHeight="1" x14ac:dyDescent="0.2">
      <c r="A55" s="1596" t="s">
        <v>680</v>
      </c>
      <c r="B55" s="1524"/>
      <c r="C55" s="1525"/>
      <c r="D55" s="1447"/>
      <c r="E55" s="1447"/>
      <c r="F55" s="1526"/>
      <c r="G55" s="1524"/>
      <c r="H55" s="1525"/>
      <c r="I55" s="1447"/>
      <c r="J55" s="1447"/>
      <c r="K55" s="1447"/>
      <c r="L55" s="1524"/>
      <c r="M55" s="1447"/>
      <c r="N55" s="1447"/>
      <c r="O55" s="1447"/>
      <c r="P55" s="1447"/>
      <c r="Q55" s="1524"/>
      <c r="R55" s="1201"/>
      <c r="S55" s="1447"/>
      <c r="T55" s="1447"/>
      <c r="U55" s="1447"/>
      <c r="V55" s="1524"/>
      <c r="W55" s="1201"/>
      <c r="X55" s="1447"/>
      <c r="Y55" s="1447"/>
      <c r="Z55" s="1447"/>
      <c r="AA55" s="1526"/>
      <c r="AB55" s="1447"/>
      <c r="AC55" s="1447"/>
      <c r="AD55" s="1447"/>
      <c r="AE55" s="1447"/>
      <c r="AF55" s="1524"/>
      <c r="AG55" s="1447"/>
      <c r="AH55" s="1447"/>
      <c r="AI55" s="1447"/>
      <c r="AJ55" s="1527"/>
      <c r="AK55" s="1526"/>
      <c r="AL55" s="1447"/>
      <c r="AM55" s="1447"/>
      <c r="AN55" s="1447"/>
      <c r="AO55" s="1447"/>
      <c r="AP55" s="1524"/>
      <c r="AQ55" s="1447"/>
      <c r="AR55" s="1447"/>
      <c r="AS55" s="1447"/>
      <c r="AT55" s="1447"/>
      <c r="AU55" s="1524"/>
      <c r="AV55" s="1077"/>
      <c r="AW55" s="1447"/>
      <c r="AX55" s="1447"/>
      <c r="AY55" s="1447"/>
      <c r="AZ55" s="1447"/>
      <c r="BA55" s="1500"/>
      <c r="BB55" s="1447"/>
      <c r="BC55" s="1447"/>
      <c r="BD55" s="1447"/>
      <c r="BE55" s="1447"/>
      <c r="BF55" s="1500"/>
      <c r="BG55" s="1447"/>
      <c r="BH55" s="1447"/>
      <c r="BI55" s="1447"/>
      <c r="BJ55" s="1447"/>
      <c r="BK55" s="1500"/>
      <c r="BL55" s="1447"/>
      <c r="BM55" s="1447"/>
      <c r="BN55" s="1447"/>
      <c r="BO55" s="1447"/>
      <c r="BP55" s="1500"/>
      <c r="BQ55" s="1447"/>
      <c r="BR55" s="1447"/>
      <c r="BS55" s="1447"/>
      <c r="BT55" s="1447">
        <v>-435.4</v>
      </c>
      <c r="BU55" s="1500">
        <f t="shared" si="286"/>
        <v>-435.4</v>
      </c>
      <c r="BV55" s="1447">
        <v>-295.89999999999998</v>
      </c>
      <c r="BW55" s="1447">
        <v>42.4</v>
      </c>
      <c r="BX55" s="1447">
        <v>54.1</v>
      </c>
      <c r="BY55" s="1447">
        <v>-15.6</v>
      </c>
      <c r="BZ55" s="1500">
        <f t="shared" si="287"/>
        <v>-214.99999999999997</v>
      </c>
      <c r="CA55" s="1447">
        <v>-8.3000000000000007</v>
      </c>
      <c r="CB55" s="1447">
        <v>15.3</v>
      </c>
      <c r="CC55" s="1447">
        <v>65.8</v>
      </c>
      <c r="CD55" s="1447">
        <v>65.3</v>
      </c>
      <c r="CE55" s="1500">
        <f t="shared" ref="CE55" si="288">SUM(CA55:CD55)</f>
        <v>138.1</v>
      </c>
      <c r="CF55" s="1447">
        <v>50</v>
      </c>
      <c r="CG55" s="1447">
        <v>89.2</v>
      </c>
      <c r="CH55" s="1447">
        <v>84.8</v>
      </c>
      <c r="CI55" s="1447">
        <v>115.5</v>
      </c>
      <c r="CJ55" s="1500">
        <f t="shared" ref="CJ55" si="289">SUM(CF55:CI55)</f>
        <v>339.5</v>
      </c>
      <c r="CK55" s="1447">
        <v>48.9</v>
      </c>
      <c r="CL55" s="1447">
        <v>86.5</v>
      </c>
      <c r="CM55" s="1447">
        <v>87.9</v>
      </c>
      <c r="CN55" s="1447">
        <v>363.2</v>
      </c>
      <c r="CO55" s="1500">
        <f t="shared" ref="CO55" si="290">SUM(CK55:CN55)</f>
        <v>586.5</v>
      </c>
      <c r="CP55" s="1447">
        <v>131</v>
      </c>
      <c r="CQ55" s="1447">
        <f t="shared" ref="CQ55" si="291">CL55</f>
        <v>86.5</v>
      </c>
      <c r="CR55" s="1447">
        <f t="shared" ref="CR55" si="292">CM55</f>
        <v>87.9</v>
      </c>
      <c r="CS55" s="1447">
        <f t="shared" ref="CS55" si="293">CN55</f>
        <v>363.2</v>
      </c>
      <c r="CT55" s="1524">
        <f t="shared" ref="CT55" si="294">SUM(CP55:CS55)</f>
        <v>668.59999999999991</v>
      </c>
      <c r="CU55" s="1447">
        <f>CP55</f>
        <v>131</v>
      </c>
      <c r="CV55" s="1447">
        <f t="shared" ref="CV55" si="295">CQ55</f>
        <v>86.5</v>
      </c>
      <c r="CW55" s="1447">
        <f t="shared" ref="CW55" si="296">CR55</f>
        <v>87.9</v>
      </c>
      <c r="CX55" s="1447">
        <f t="shared" ref="CX55" si="297">CS55</f>
        <v>363.2</v>
      </c>
      <c r="CY55" s="1500">
        <f t="shared" ref="CY55" si="298">SUM(CU55:CX55)</f>
        <v>668.59999999999991</v>
      </c>
      <c r="CZ55" s="1447">
        <f>CU55</f>
        <v>131</v>
      </c>
      <c r="DA55" s="1447">
        <f t="shared" ref="DA55" si="299">CV55</f>
        <v>86.5</v>
      </c>
      <c r="DB55" s="1447">
        <f t="shared" ref="DB55" si="300">CW55</f>
        <v>87.9</v>
      </c>
      <c r="DC55" s="1447">
        <f t="shared" ref="DC55" si="301">CX55</f>
        <v>363.2</v>
      </c>
      <c r="DD55" s="1500">
        <f t="shared" ref="DD55" si="302">SUM(CZ55:DC55)</f>
        <v>668.59999999999991</v>
      </c>
      <c r="DE55" s="1447"/>
      <c r="DF55" s="1447"/>
      <c r="DG55" s="1447"/>
      <c r="DH55" s="1447"/>
      <c r="DI55" s="1500"/>
      <c r="DJ55" s="1447"/>
      <c r="DK55" s="1447"/>
      <c r="DL55" s="1447"/>
      <c r="DM55" s="1447"/>
      <c r="DN55" s="1500"/>
      <c r="DO55" s="1447"/>
      <c r="DP55" s="1447"/>
      <c r="DQ55" s="1447"/>
      <c r="DR55" s="1447"/>
      <c r="DS55" s="1500"/>
      <c r="DT55" s="1447"/>
      <c r="DU55" s="1447"/>
      <c r="DV55" s="1447"/>
      <c r="DW55" s="1447"/>
      <c r="DX55" s="1500"/>
      <c r="DY55" s="1447"/>
      <c r="DZ55" s="1447"/>
      <c r="EA55" s="1447"/>
      <c r="EB55" s="1447"/>
      <c r="EC55" s="1500"/>
      <c r="ED55" s="1182"/>
      <c r="EE55" s="1525"/>
      <c r="EF55" s="1447"/>
      <c r="EG55" s="1447"/>
      <c r="EH55" s="1447"/>
      <c r="EI55" s="1447"/>
      <c r="EJ55" s="1447"/>
      <c r="EK55" s="1447"/>
      <c r="EL55" s="1447"/>
      <c r="EM55" s="1447"/>
      <c r="EN55" s="1447"/>
      <c r="EO55" s="1447"/>
      <c r="EP55" s="1447"/>
      <c r="EQ55" s="1447"/>
      <c r="ER55" s="1526"/>
      <c r="ES55" s="1182"/>
      <c r="ET55" s="1182"/>
      <c r="EU55" s="1182"/>
      <c r="EX55" s="1523" t="s">
        <v>680</v>
      </c>
      <c r="EY55" s="1448">
        <f t="shared" si="285"/>
        <v>131</v>
      </c>
      <c r="EZ55" s="1448">
        <v>48.9</v>
      </c>
      <c r="FA55" s="1448">
        <f t="shared" si="239"/>
        <v>82.1</v>
      </c>
      <c r="FB55" s="1448">
        <f t="shared" si="284"/>
        <v>48.9</v>
      </c>
      <c r="FC55" s="1474"/>
      <c r="FD55" s="1182">
        <f>FA55/EY67</f>
        <v>0.17324330027431947</v>
      </c>
      <c r="FE55"/>
      <c r="FF55"/>
      <c r="FG55"/>
      <c r="FH55"/>
      <c r="FI55"/>
      <c r="FJ55"/>
    </row>
    <row r="56" spans="1:166" s="1439" customFormat="1" ht="12.75" customHeight="1" x14ac:dyDescent="0.2">
      <c r="A56" s="1449" t="s">
        <v>679</v>
      </c>
      <c r="B56" s="1079"/>
      <c r="C56" s="1530"/>
      <c r="D56" s="1531"/>
      <c r="E56" s="1531"/>
      <c r="F56" s="1532"/>
      <c r="G56" s="1079"/>
      <c r="H56" s="1530"/>
      <c r="I56" s="1531"/>
      <c r="J56" s="1531"/>
      <c r="K56" s="1531"/>
      <c r="L56" s="1079"/>
      <c r="M56" s="1531"/>
      <c r="N56" s="1531"/>
      <c r="O56" s="1531"/>
      <c r="P56" s="1531"/>
      <c r="Q56" s="1079"/>
      <c r="R56" s="1484"/>
      <c r="S56" s="1531"/>
      <c r="T56" s="1531"/>
      <c r="U56" s="1531"/>
      <c r="V56" s="1079"/>
      <c r="W56" s="1484"/>
      <c r="X56" s="1531"/>
      <c r="Y56" s="1531"/>
      <c r="Z56" s="1531"/>
      <c r="AA56" s="1532"/>
      <c r="AB56" s="1531"/>
      <c r="AC56" s="1531"/>
      <c r="AD56" s="1531"/>
      <c r="AE56" s="1531"/>
      <c r="AF56" s="1079"/>
      <c r="AG56" s="1531"/>
      <c r="AH56" s="1531"/>
      <c r="AI56" s="1531"/>
      <c r="AJ56" s="1533"/>
      <c r="AK56" s="1532"/>
      <c r="AL56" s="1531"/>
      <c r="AM56" s="1531"/>
      <c r="AN56" s="1531"/>
      <c r="AO56" s="1531"/>
      <c r="AP56" s="1079"/>
      <c r="AQ56" s="1531"/>
      <c r="AR56" s="1531"/>
      <c r="AS56" s="1531"/>
      <c r="AT56" s="1531"/>
      <c r="AU56" s="1079"/>
      <c r="AV56" s="1444"/>
      <c r="AW56" s="1531"/>
      <c r="AX56" s="1531"/>
      <c r="AY56" s="1531"/>
      <c r="AZ56" s="1531"/>
      <c r="BA56" s="1534"/>
      <c r="BB56" s="1531"/>
      <c r="BC56" s="1531"/>
      <c r="BD56" s="1531"/>
      <c r="BE56" s="1531"/>
      <c r="BF56" s="1534"/>
      <c r="BG56" s="1531"/>
      <c r="BH56" s="1531"/>
      <c r="BI56" s="1531"/>
      <c r="BJ56" s="1531"/>
      <c r="BK56" s="1534"/>
      <c r="BL56" s="1531"/>
      <c r="BM56" s="1531"/>
      <c r="BN56" s="1531"/>
      <c r="BO56" s="1531"/>
      <c r="BP56" s="1534"/>
      <c r="BQ56" s="1531"/>
      <c r="BR56" s="1531"/>
      <c r="BS56" s="1531"/>
      <c r="BT56" s="1531">
        <f>BT51-BT53-BT54-BT55</f>
        <v>-514.19999999999993</v>
      </c>
      <c r="BU56" s="1534">
        <f>BU51-BU53-BU54-BU55</f>
        <v>-402.20000000000005</v>
      </c>
      <c r="BV56" s="1531">
        <f>BV51-BV53-BV54-BV55</f>
        <v>-226.50000000000011</v>
      </c>
      <c r="BW56" s="1531">
        <f t="shared" ref="BW56:BY56" si="303">BW51-BW53-BW54-BW55</f>
        <v>31.300000000000075</v>
      </c>
      <c r="BX56" s="1531">
        <f t="shared" si="303"/>
        <v>39.999999999999908</v>
      </c>
      <c r="BY56" s="1531">
        <f t="shared" si="303"/>
        <v>-13.000000000000165</v>
      </c>
      <c r="BZ56" s="1534">
        <f>BZ51-BZ53-BZ54-BZ55</f>
        <v>-168.20000000000041</v>
      </c>
      <c r="CA56" s="1531">
        <f>CA51-CA53-CA54-CA55</f>
        <v>-9.8000000000000931</v>
      </c>
      <c r="CB56" s="1531">
        <f t="shared" ref="CB56:CE56" si="304">CB51-CB53-CB54-CB55</f>
        <v>10.999999999999854</v>
      </c>
      <c r="CC56" s="1531">
        <f t="shared" si="304"/>
        <v>49.560000000000102</v>
      </c>
      <c r="CD56" s="1531">
        <f>CD51-CD53-CD54-CD55</f>
        <v>51.660000000000124</v>
      </c>
      <c r="CE56" s="1534">
        <f t="shared" si="304"/>
        <v>102.41999999999999</v>
      </c>
      <c r="CF56" s="1531">
        <f>CF51-CF53-CF54-CF55</f>
        <v>50.799999999999898</v>
      </c>
      <c r="CG56" s="1531">
        <f t="shared" ref="CG56" si="305">CG51-CG53-CG54-CG55</f>
        <v>90.899999999999906</v>
      </c>
      <c r="CH56" s="1531">
        <f t="shared" ref="CH56" si="306">CH51-CH53-CH54-CH55</f>
        <v>86.29999999999977</v>
      </c>
      <c r="CI56" s="1531">
        <f t="shared" ref="CI56" si="307">CI51-CI53-CI54-CI55</f>
        <v>118.38</v>
      </c>
      <c r="CJ56" s="1534">
        <f>CJ51-CJ53-CJ54-CJ55</f>
        <v>346.37999999999954</v>
      </c>
      <c r="CK56" s="1531">
        <f>CK51-CK53-CK54-CK55</f>
        <v>50.200000000000024</v>
      </c>
      <c r="CL56" s="1531">
        <f t="shared" ref="CL56" si="308">CL51-CL53-CL54-CL55</f>
        <v>89.500000000000142</v>
      </c>
      <c r="CM56" s="1531">
        <f>CM51-CM53-CM54-CM55</f>
        <v>91.399999999999949</v>
      </c>
      <c r="CN56" s="1531">
        <f>CN51-CN53-CN54-CN55</f>
        <v>395.00000000000028</v>
      </c>
      <c r="CO56" s="1534">
        <f t="shared" ref="CO56" si="309">CO51-CO53-CO54-CO55</f>
        <v>392.30000000000018</v>
      </c>
      <c r="CP56" s="1531">
        <f>CP51-CP53-CP54-CP55</f>
        <v>147.79999999999978</v>
      </c>
      <c r="CQ56" s="1531">
        <f t="shared" ref="CQ56" si="310">CQ51-CQ53-CQ54-CQ55</f>
        <v>164.57427814492911</v>
      </c>
      <c r="CR56" s="1531">
        <f t="shared" ref="CR56" si="311">CR51-CR53-CR54-CR55</f>
        <v>206.82715575565871</v>
      </c>
      <c r="CS56" s="1531">
        <f t="shared" ref="CS56" si="312">CS51-CS53-CS54-CS55</f>
        <v>-48.124125262142513</v>
      </c>
      <c r="CT56" s="1079">
        <f t="shared" ref="CT56" si="313">CT51-CT53-CT54-CT55</f>
        <v>471.07730863844517</v>
      </c>
      <c r="CU56" s="1531">
        <f>CU51-CU53-CU54-CU55</f>
        <v>128.98971601922165</v>
      </c>
      <c r="CV56" s="1531">
        <f t="shared" ref="CV56" si="314">CV51-CV53-CV54-CV55</f>
        <v>214.13052700052936</v>
      </c>
      <c r="CW56" s="1531">
        <f t="shared" ref="CW56" si="315">CW51-CW53-CW54-CW55</f>
        <v>257.521414865314</v>
      </c>
      <c r="CX56" s="1531">
        <f t="shared" ref="CX56" si="316">CX51-CX53-CX54-CX55</f>
        <v>5.828151170672129</v>
      </c>
      <c r="CY56" s="1534">
        <f t="shared" ref="CY56" si="317">CY51-CY53-CY54-CY55</f>
        <v>606.46980905573719</v>
      </c>
      <c r="CZ56" s="1531">
        <f>CZ51-CZ53-CZ54-CZ55</f>
        <v>164.31856964007477</v>
      </c>
      <c r="DA56" s="1531">
        <f t="shared" ref="DA56" si="318">DA51-DA53-DA54-DA55</f>
        <v>265.89568354822802</v>
      </c>
      <c r="DB56" s="1531">
        <f t="shared" ref="DB56" si="319">DB51-DB53-DB54-DB55</f>
        <v>313.58723172181112</v>
      </c>
      <c r="DC56" s="1531">
        <f t="shared" ref="DC56" si="320">DC51-DC53-DC54-DC55</f>
        <v>64.709769652389639</v>
      </c>
      <c r="DD56" s="1534">
        <f t="shared" ref="DD56" si="321">DD51-DD53-DD54-DD55</f>
        <v>808.51125456250361</v>
      </c>
      <c r="DE56" s="1531">
        <f>DE51-DE53-DE54-DE55</f>
        <v>354.52519677190719</v>
      </c>
      <c r="DF56" s="1531">
        <f t="shared" ref="DF56" si="322">DF51-DF53-DF54-DF55</f>
        <v>399.39578986320424</v>
      </c>
      <c r="DG56" s="1531">
        <f t="shared" ref="DG56" si="323">DG51-DG53-DG54-DG55</f>
        <v>455.05282498216451</v>
      </c>
      <c r="DH56" s="1531">
        <f t="shared" ref="DH56" si="324">DH51-DH53-DH54-DH55</f>
        <v>456.09019219963255</v>
      </c>
      <c r="DI56" s="1534">
        <f t="shared" ref="DI56" si="325">DI51-DI53-DI54-DI55</f>
        <v>1665.0640038169086</v>
      </c>
      <c r="DJ56" s="1531">
        <f>DJ51-DJ53-DJ54-DJ55</f>
        <v>408.69617630805391</v>
      </c>
      <c r="DK56" s="1531">
        <f t="shared" ref="DK56" si="326">DK51-DK53-DK54-DK55</f>
        <v>455.84389264053289</v>
      </c>
      <c r="DL56" s="1531">
        <f t="shared" ref="DL56" si="327">DL51-DL53-DL54-DL55</f>
        <v>519.26028225570587</v>
      </c>
      <c r="DM56" s="1531">
        <f t="shared" ref="DM56" si="328">DM51-DM53-DM54-DM55</f>
        <v>551.28064545851419</v>
      </c>
      <c r="DN56" s="1534">
        <f t="shared" ref="DN56" si="329">DN51-DN53-DN54-DN55</f>
        <v>1935.0809966628069</v>
      </c>
      <c r="DO56" s="1531">
        <f>DO51-DO53-DO54-DO55</f>
        <v>463.82434178875161</v>
      </c>
      <c r="DP56" s="1531">
        <f t="shared" ref="DP56" si="330">DP51-DP53-DP54-DP55</f>
        <v>518.20911932933552</v>
      </c>
      <c r="DQ56" s="1531">
        <f t="shared" ref="DQ56" si="331">DQ51-DQ53-DQ54-DQ55</f>
        <v>586.81441163429304</v>
      </c>
      <c r="DR56" s="1531">
        <f t="shared" ref="DR56" si="332">DR51-DR53-DR54-DR55</f>
        <v>621.55325386093818</v>
      </c>
      <c r="DS56" s="1534">
        <f t="shared" ref="DS56" si="333">DS51-DS53-DS54-DS55</f>
        <v>2190.4011266133184</v>
      </c>
      <c r="DT56" s="1531">
        <f>DT51-DT53-DT54-DT55</f>
        <v>484.51258940836266</v>
      </c>
      <c r="DU56" s="1531">
        <f t="shared" ref="DU56" si="334">DU51-DU53-DU54-DU55</f>
        <v>533.9189622724216</v>
      </c>
      <c r="DV56" s="1531">
        <f t="shared" ref="DV56" si="335">DV51-DV53-DV54-DV55</f>
        <v>616.73096528012832</v>
      </c>
      <c r="DW56" s="1531">
        <f t="shared" ref="DW56" si="336">DW51-DW53-DW54-DW55</f>
        <v>658.36814756860917</v>
      </c>
      <c r="DX56" s="1534">
        <f t="shared" ref="DX56" si="337">DX51-DX53-DX54-DX55</f>
        <v>2293.5306645295218</v>
      </c>
      <c r="DY56" s="1531">
        <f>DY51-DY53-DY54-DY55</f>
        <v>554.82074716127477</v>
      </c>
      <c r="DZ56" s="1531">
        <f t="shared" ref="DZ56:EC56" si="338">DZ51-DZ53-DZ54-DZ55</f>
        <v>615.14542361321151</v>
      </c>
      <c r="EA56" s="1531">
        <f t="shared" si="338"/>
        <v>690.89258304346879</v>
      </c>
      <c r="EB56" s="1531">
        <f t="shared" si="338"/>
        <v>736.01656320651716</v>
      </c>
      <c r="EC56" s="1534">
        <f t="shared" si="338"/>
        <v>2596.8753170244722</v>
      </c>
      <c r="ED56" s="1222"/>
      <c r="EE56" s="1530"/>
      <c r="EF56" s="1531"/>
      <c r="EG56" s="1531"/>
      <c r="EH56" s="1531"/>
      <c r="EI56" s="1531"/>
      <c r="EJ56" s="1531"/>
      <c r="EK56" s="1531"/>
      <c r="EL56" s="1531"/>
      <c r="EM56" s="1531"/>
      <c r="EN56" s="1531"/>
      <c r="EO56" s="1531"/>
      <c r="EP56" s="1531"/>
      <c r="EQ56" s="1531"/>
      <c r="ER56" s="1532"/>
      <c r="ES56" s="1222"/>
      <c r="ET56" s="1222"/>
      <c r="EU56" s="1222"/>
      <c r="EX56" s="1529" t="s">
        <v>679</v>
      </c>
      <c r="EY56" s="1535">
        <f t="shared" si="285"/>
        <v>147.79999999999978</v>
      </c>
      <c r="EZ56" s="1535">
        <v>182.69892957937898</v>
      </c>
      <c r="FA56" s="1448">
        <f t="shared" si="239"/>
        <v>-34.8989295793792</v>
      </c>
      <c r="FB56" s="1535">
        <f t="shared" si="284"/>
        <v>50.200000000000024</v>
      </c>
      <c r="FC56" s="1464"/>
      <c r="FD56" s="1222"/>
      <c r="FE56"/>
      <c r="FF56"/>
      <c r="FG56"/>
      <c r="FH56"/>
      <c r="FI56"/>
      <c r="FJ56"/>
    </row>
    <row r="57" spans="1:166" s="1064" customFormat="1" ht="12.75" customHeight="1" x14ac:dyDescent="0.2">
      <c r="A57" s="1451" t="s">
        <v>435</v>
      </c>
      <c r="B57" s="1536"/>
      <c r="C57" s="1537"/>
      <c r="D57" s="1538"/>
      <c r="E57" s="1538"/>
      <c r="F57" s="1539"/>
      <c r="G57" s="1536"/>
      <c r="H57" s="1537"/>
      <c r="I57" s="1538"/>
      <c r="J57" s="1538"/>
      <c r="K57" s="1538"/>
      <c r="L57" s="1536"/>
      <c r="M57" s="1538"/>
      <c r="N57" s="1538"/>
      <c r="O57" s="1538"/>
      <c r="P57" s="1538"/>
      <c r="Q57" s="1536"/>
      <c r="R57" s="1540"/>
      <c r="S57" s="1538"/>
      <c r="T57" s="1540"/>
      <c r="U57" s="1538"/>
      <c r="V57" s="1536"/>
      <c r="W57" s="1540"/>
      <c r="X57" s="1538"/>
      <c r="Y57" s="1540"/>
      <c r="Z57" s="1538"/>
      <c r="AA57" s="1536">
        <f t="shared" ref="AA57:AK57" si="339">(AA51-AA60)</f>
        <v>-74.8</v>
      </c>
      <c r="AB57" s="1538">
        <f t="shared" si="339"/>
        <v>-42</v>
      </c>
      <c r="AC57" s="1538">
        <f t="shared" si="339"/>
        <v>-37</v>
      </c>
      <c r="AD57" s="1538">
        <f t="shared" si="339"/>
        <v>-28</v>
      </c>
      <c r="AE57" s="1538">
        <f t="shared" si="339"/>
        <v>-20.25</v>
      </c>
      <c r="AF57" s="1536">
        <f t="shared" si="339"/>
        <v>-127.25</v>
      </c>
      <c r="AG57" s="1538">
        <f t="shared" si="339"/>
        <v>-47.2</v>
      </c>
      <c r="AH57" s="1538">
        <f t="shared" si="339"/>
        <v>-46</v>
      </c>
      <c r="AI57" s="1538">
        <f t="shared" si="339"/>
        <v>-40</v>
      </c>
      <c r="AJ57" s="1541">
        <f t="shared" si="339"/>
        <v>-31</v>
      </c>
      <c r="AK57" s="1539">
        <f t="shared" si="339"/>
        <v>-164.2</v>
      </c>
      <c r="AL57" s="1538">
        <f>(AL51+AL60)</f>
        <v>-38</v>
      </c>
      <c r="AM57" s="1538">
        <f>(AM51+AM60)</f>
        <v>-41.6</v>
      </c>
      <c r="AN57" s="1538">
        <f>(AN51+AN60)</f>
        <v>-29</v>
      </c>
      <c r="AO57" s="1538">
        <f>(AO51+AO60)</f>
        <v>-28.799999999999997</v>
      </c>
      <c r="AP57" s="1536">
        <f>SUM(AL57:AO57)</f>
        <v>-137.39999999999998</v>
      </c>
      <c r="AQ57" s="1538">
        <f>(AQ51+AQ60)</f>
        <v>-36.4</v>
      </c>
      <c r="AR57" s="1538">
        <f>(AR51+AR60)</f>
        <v>-38</v>
      </c>
      <c r="AS57" s="1538">
        <f>(AS51+AS60)</f>
        <v>39.599999999999973</v>
      </c>
      <c r="AT57" s="1538">
        <f>(AT51+AT60)</f>
        <v>49.799999999999955</v>
      </c>
      <c r="AU57" s="1536">
        <f>SUM(AQ57:AT57)</f>
        <v>14.999999999999922</v>
      </c>
      <c r="AV57" s="1077"/>
      <c r="AW57" s="1538">
        <f t="shared" ref="AW57:CG57" si="340">AW233</f>
        <v>39.599999999999973</v>
      </c>
      <c r="AX57" s="1538">
        <f t="shared" si="340"/>
        <v>49.799999999999962</v>
      </c>
      <c r="AY57" s="1538">
        <f t="shared" si="340"/>
        <v>52.799999999999962</v>
      </c>
      <c r="AZ57" s="1538">
        <f t="shared" si="340"/>
        <v>19.399999999999984</v>
      </c>
      <c r="BA57" s="1542">
        <f t="shared" si="340"/>
        <v>161.59999999999988</v>
      </c>
      <c r="BB57" s="1538">
        <f t="shared" si="340"/>
        <v>27.199999999999989</v>
      </c>
      <c r="BC57" s="1538">
        <f t="shared" si="340"/>
        <v>46.199999999999946</v>
      </c>
      <c r="BD57" s="1538">
        <f t="shared" si="340"/>
        <v>54.000000000000014</v>
      </c>
      <c r="BE57" s="1538">
        <f t="shared" si="340"/>
        <v>49.999999999999865</v>
      </c>
      <c r="BF57" s="1542">
        <f t="shared" si="340"/>
        <v>177.39999999999981</v>
      </c>
      <c r="BG57" s="1538">
        <f t="shared" si="340"/>
        <v>40.899999999999963</v>
      </c>
      <c r="BH57" s="1538">
        <f t="shared" si="340"/>
        <v>61.899999999999913</v>
      </c>
      <c r="BI57" s="1538">
        <f t="shared" si="340"/>
        <v>64.099999999999952</v>
      </c>
      <c r="BJ57" s="1538">
        <f t="shared" si="340"/>
        <v>82.600000000000037</v>
      </c>
      <c r="BK57" s="1542">
        <f t="shared" si="340"/>
        <v>249.49999999999994</v>
      </c>
      <c r="BL57" s="1538">
        <f t="shared" si="340"/>
        <v>57.59999999999998</v>
      </c>
      <c r="BM57" s="1538">
        <f t="shared" si="340"/>
        <v>76.000000000000028</v>
      </c>
      <c r="BN57" s="1538">
        <f t="shared" si="340"/>
        <v>81.7</v>
      </c>
      <c r="BO57" s="1538">
        <f t="shared" si="340"/>
        <v>90.499999999999957</v>
      </c>
      <c r="BP57" s="1542">
        <f t="shared" si="340"/>
        <v>305.7999999999999</v>
      </c>
      <c r="BQ57" s="1538">
        <f t="shared" si="340"/>
        <v>71.600000000000023</v>
      </c>
      <c r="BR57" s="1538">
        <f t="shared" si="340"/>
        <v>87.299999999999983</v>
      </c>
      <c r="BS57" s="1538">
        <f t="shared" si="340"/>
        <v>135.69999999999996</v>
      </c>
      <c r="BT57" s="1538">
        <f t="shared" si="340"/>
        <v>37.112000000000009</v>
      </c>
      <c r="BU57" s="1542">
        <f t="shared" si="340"/>
        <v>331.71199999999993</v>
      </c>
      <c r="BV57" s="1543">
        <f>BV233</f>
        <v>61.699999999999875</v>
      </c>
      <c r="BW57" s="1543">
        <f t="shared" ref="BW57:BZ57" si="341">BW233</f>
        <v>112.10000000000008</v>
      </c>
      <c r="BX57" s="1543">
        <f t="shared" si="341"/>
        <v>122.69999999999993</v>
      </c>
      <c r="BY57" s="1543">
        <f t="shared" si="341"/>
        <v>110.79999999999984</v>
      </c>
      <c r="BZ57" s="1542">
        <f t="shared" si="341"/>
        <v>407.29999999999973</v>
      </c>
      <c r="CA57" s="1538">
        <f t="shared" si="340"/>
        <v>74.899999999999935</v>
      </c>
      <c r="CB57" s="1538">
        <f t="shared" si="340"/>
        <v>140.99999999999986</v>
      </c>
      <c r="CC57" s="1538">
        <f t="shared" si="340"/>
        <v>151.60000000000014</v>
      </c>
      <c r="CD57" s="1538">
        <f t="shared" si="340"/>
        <v>152.50000000000011</v>
      </c>
      <c r="CE57" s="1542">
        <f t="shared" si="340"/>
        <v>520.00000000000023</v>
      </c>
      <c r="CF57" s="1538">
        <f t="shared" si="340"/>
        <v>142.09999999999985</v>
      </c>
      <c r="CG57" s="1538">
        <f t="shared" si="340"/>
        <v>192.39999999999992</v>
      </c>
      <c r="CH57" s="1538">
        <f t="shared" ref="CH57:DM57" si="342">CH233</f>
        <v>201.39999999999975</v>
      </c>
      <c r="CI57" s="1538">
        <f t="shared" si="342"/>
        <v>208.27999999999997</v>
      </c>
      <c r="CJ57" s="1542">
        <f t="shared" si="342"/>
        <v>744.1799999999995</v>
      </c>
      <c r="CK57" s="1538">
        <f t="shared" si="342"/>
        <v>170.60000000000002</v>
      </c>
      <c r="CL57" s="1538">
        <f t="shared" si="342"/>
        <v>241.70000000000016</v>
      </c>
      <c r="CM57" s="1538">
        <f t="shared" si="342"/>
        <v>275.59999999999997</v>
      </c>
      <c r="CN57" s="1538">
        <f t="shared" si="342"/>
        <v>313.50000000000017</v>
      </c>
      <c r="CO57" s="1542">
        <f t="shared" si="342"/>
        <v>1001.4000000000001</v>
      </c>
      <c r="CP57" s="1538">
        <f t="shared" si="342"/>
        <v>313.29999999999978</v>
      </c>
      <c r="CQ57" s="1538">
        <f t="shared" si="342"/>
        <v>286.82572814492914</v>
      </c>
      <c r="CR57" s="1538">
        <f t="shared" si="342"/>
        <v>325.1303057556587</v>
      </c>
      <c r="CS57" s="1538">
        <f t="shared" si="342"/>
        <v>346.97212473785748</v>
      </c>
      <c r="CT57" s="1536">
        <f t="shared" si="342"/>
        <v>1272.2281586384449</v>
      </c>
      <c r="CU57" s="1538">
        <f t="shared" si="342"/>
        <v>283.45962851922167</v>
      </c>
      <c r="CV57" s="1538">
        <f t="shared" si="342"/>
        <v>336.23602450052931</v>
      </c>
      <c r="CW57" s="1538">
        <f t="shared" si="342"/>
        <v>375.41119736531397</v>
      </c>
      <c r="CX57" s="1538">
        <f t="shared" si="342"/>
        <v>400.58568867067214</v>
      </c>
      <c r="CY57" s="1542">
        <f t="shared" si="342"/>
        <v>1395.6925390557371</v>
      </c>
      <c r="CZ57" s="1538">
        <f t="shared" si="342"/>
        <v>318.63502464007479</v>
      </c>
      <c r="DA57" s="1538">
        <f t="shared" si="342"/>
        <v>388.45450279822802</v>
      </c>
      <c r="DB57" s="1538">
        <f t="shared" si="342"/>
        <v>431.64955022181118</v>
      </c>
      <c r="DC57" s="1538">
        <f t="shared" si="342"/>
        <v>459.71823090238962</v>
      </c>
      <c r="DD57" s="1542">
        <f t="shared" si="342"/>
        <v>1598.4573085625038</v>
      </c>
      <c r="DE57" s="1538">
        <f t="shared" si="342"/>
        <v>362.99145889690726</v>
      </c>
      <c r="DF57" s="1538">
        <f t="shared" si="342"/>
        <v>421.24153445070431</v>
      </c>
      <c r="DG57" s="1538">
        <f t="shared" si="342"/>
        <v>470.70724378216454</v>
      </c>
      <c r="DH57" s="1538">
        <f t="shared" si="342"/>
        <v>473.47306088713253</v>
      </c>
      <c r="DI57" s="1542">
        <f t="shared" si="342"/>
        <v>1728.4132980169084</v>
      </c>
      <c r="DJ57" s="1538">
        <f t="shared" si="342"/>
        <v>416.99325153930397</v>
      </c>
      <c r="DK57" s="1538">
        <f t="shared" si="342"/>
        <v>478.18942445740788</v>
      </c>
      <c r="DL57" s="1538">
        <f t="shared" si="342"/>
        <v>535.10492199570581</v>
      </c>
      <c r="DM57" s="1538">
        <f t="shared" si="342"/>
        <v>568.94015758038927</v>
      </c>
      <c r="DN57" s="1542">
        <f t="shared" ref="DN57:DX57" si="343">DN233</f>
        <v>1999.2277555728069</v>
      </c>
      <c r="DO57" s="1538">
        <f t="shared" si="343"/>
        <v>471.94377078156413</v>
      </c>
      <c r="DP57" s="1538">
        <f t="shared" si="343"/>
        <v>541.07942773705417</v>
      </c>
      <c r="DQ57" s="1538">
        <f t="shared" si="343"/>
        <v>602.85878336129304</v>
      </c>
      <c r="DR57" s="1538">
        <f t="shared" si="343"/>
        <v>639.50324158890692</v>
      </c>
      <c r="DS57" s="1542">
        <f t="shared" si="343"/>
        <v>2255.3852234688184</v>
      </c>
      <c r="DT57" s="1538">
        <f t="shared" si="343"/>
        <v>492.44548985081576</v>
      </c>
      <c r="DU57" s="1538">
        <f t="shared" si="343"/>
        <v>557.34028610052633</v>
      </c>
      <c r="DV57" s="1538">
        <f t="shared" si="343"/>
        <v>632.98505559347836</v>
      </c>
      <c r="DW57" s="1538">
        <f t="shared" si="343"/>
        <v>676.62313468297634</v>
      </c>
      <c r="DX57" s="1542">
        <f t="shared" si="343"/>
        <v>2359.3939662277962</v>
      </c>
      <c r="DY57" s="1538">
        <f t="shared" ref="DY57:EC57" si="344">DY233</f>
        <v>562.55779262585042</v>
      </c>
      <c r="DZ57" s="1538">
        <f t="shared" si="344"/>
        <v>639.14531363272135</v>
      </c>
      <c r="EA57" s="1538">
        <f t="shared" si="344"/>
        <v>707.36687787248627</v>
      </c>
      <c r="EB57" s="1538">
        <f t="shared" si="344"/>
        <v>754.5917996766027</v>
      </c>
      <c r="EC57" s="1542">
        <f t="shared" si="344"/>
        <v>2663.6617838076609</v>
      </c>
      <c r="ED57" s="1510"/>
      <c r="EE57" s="1483"/>
      <c r="EF57" s="1484"/>
      <c r="EG57" s="1484">
        <f>AH57+AG57+AE57+AD57</f>
        <v>-141.44999999999999</v>
      </c>
      <c r="EH57" s="1484">
        <f>AM57+AL57+AJ57+AI57</f>
        <v>-150.6</v>
      </c>
      <c r="EI57" s="1484">
        <f>AR57+AQ57+AO57+AN57</f>
        <v>-132.19999999999999</v>
      </c>
      <c r="EJ57" s="1484">
        <f>AZ57+AY57+AX57+AW57</f>
        <v>161.59999999999988</v>
      </c>
      <c r="EK57" s="1484">
        <f t="shared" ref="EK57:EK64" si="345">BF57</f>
        <v>177.39999999999981</v>
      </c>
      <c r="EL57" s="1484">
        <f t="shared" ref="EL57:EL64" si="346">BK57</f>
        <v>249.49999999999994</v>
      </c>
      <c r="EM57" s="1484">
        <f t="shared" ref="EM57:EM64" si="347">BP57</f>
        <v>305.7999999999999</v>
      </c>
      <c r="EN57" s="1484">
        <f t="shared" ref="EN57:EN64" si="348">BU57</f>
        <v>331.71199999999993</v>
      </c>
      <c r="EO57" s="1484">
        <f t="shared" si="264"/>
        <v>520.00000000000023</v>
      </c>
      <c r="EP57" s="1484">
        <f t="shared" ref="EP57:EP64" si="349">CJ57</f>
        <v>744.1799999999995</v>
      </c>
      <c r="EQ57" s="1484">
        <f t="shared" ref="EQ57:EQ64" si="350">CO57</f>
        <v>1001.4000000000001</v>
      </c>
      <c r="ER57" s="1485">
        <f t="shared" ref="ER57:ER64" si="351">CT57</f>
        <v>1272.2281586384449</v>
      </c>
      <c r="ES57" s="1510"/>
      <c r="ET57" s="1510"/>
      <c r="EU57" s="1510"/>
      <c r="EX57" s="1450" t="s">
        <v>435</v>
      </c>
      <c r="EY57" s="1544">
        <f t="shared" si="285"/>
        <v>313.29999999999978</v>
      </c>
      <c r="EZ57" s="1544">
        <v>261.88752957937902</v>
      </c>
      <c r="FA57" s="1544">
        <f t="shared" si="239"/>
        <v>51.412470420620764</v>
      </c>
      <c r="FB57" s="1544">
        <f t="shared" si="284"/>
        <v>170.60000000000002</v>
      </c>
      <c r="FC57" s="1464">
        <f t="shared" si="148"/>
        <v>0.83645955451348031</v>
      </c>
      <c r="FD57" s="1612">
        <f>EY61-EY57/EZ67</f>
        <v>3.9108459805863305E-3</v>
      </c>
      <c r="FE57"/>
      <c r="FF57"/>
      <c r="FG57"/>
      <c r="FH57"/>
      <c r="FI57"/>
      <c r="FJ57"/>
    </row>
    <row r="58" spans="1:166" ht="12.75" hidden="1" customHeight="1" outlineLevel="1" x14ac:dyDescent="0.2">
      <c r="A58" s="811" t="s">
        <v>216</v>
      </c>
      <c r="B58" s="724"/>
      <c r="C58" s="725"/>
      <c r="D58" s="726"/>
      <c r="E58" s="726"/>
      <c r="F58" s="727"/>
      <c r="G58" s="724"/>
      <c r="H58" s="725"/>
      <c r="I58" s="726"/>
      <c r="J58" s="726"/>
      <c r="K58" s="727"/>
      <c r="L58" s="724"/>
      <c r="M58" s="726"/>
      <c r="N58" s="726"/>
      <c r="O58" s="726"/>
      <c r="P58" s="726"/>
      <c r="Q58" s="724"/>
      <c r="R58" s="728"/>
      <c r="S58" s="726"/>
      <c r="T58" s="728"/>
      <c r="U58" s="726"/>
      <c r="V58" s="724"/>
      <c r="W58" s="728"/>
      <c r="X58" s="726"/>
      <c r="Y58" s="728"/>
      <c r="Z58" s="727"/>
      <c r="AA58" s="729"/>
      <c r="AB58" s="726"/>
      <c r="AC58" s="726"/>
      <c r="AD58" s="726"/>
      <c r="AE58" s="727"/>
      <c r="AF58" s="724"/>
      <c r="AG58" s="726"/>
      <c r="AH58" s="726"/>
      <c r="AI58" s="726"/>
      <c r="AJ58" s="730"/>
      <c r="AK58" s="727">
        <v>0</v>
      </c>
      <c r="AL58" s="726">
        <v>0</v>
      </c>
      <c r="AM58" s="726">
        <v>0</v>
      </c>
      <c r="AN58" s="726">
        <v>0</v>
      </c>
      <c r="AO58" s="727">
        <v>0</v>
      </c>
      <c r="AP58" s="724">
        <v>0</v>
      </c>
      <c r="AQ58" s="726">
        <v>0</v>
      </c>
      <c r="AR58" s="726">
        <v>0</v>
      </c>
      <c r="AS58" s="726">
        <f>AW58</f>
        <v>0</v>
      </c>
      <c r="AT58" s="726">
        <f>AX58</f>
        <v>0</v>
      </c>
      <c r="AU58" s="724">
        <v>-9.5644794567809784E-3</v>
      </c>
      <c r="AV58" s="123"/>
      <c r="AW58" s="726">
        <v>0</v>
      </c>
      <c r="AX58" s="726">
        <v>0</v>
      </c>
      <c r="AY58" s="726">
        <v>-9.5644794567809784E-3</v>
      </c>
      <c r="AZ58" s="726">
        <v>2.4082506165213569E-4</v>
      </c>
      <c r="BA58" s="731">
        <v>-9.3236543951288435E-3</v>
      </c>
      <c r="BB58" s="725">
        <v>4.2683732212839727E-3</v>
      </c>
      <c r="BC58" s="726">
        <v>1.1192754302583454E-2</v>
      </c>
      <c r="BD58" s="726">
        <v>8.2937485574916866E-3</v>
      </c>
      <c r="BE58" s="727">
        <v>-4.950596287754727E-3</v>
      </c>
      <c r="BF58" s="731">
        <v>2.0149263694531856E-2</v>
      </c>
      <c r="BG58" s="726">
        <v>-3.9614123180234271E-3</v>
      </c>
      <c r="BH58" s="726">
        <v>-1.2588385446476977E-2</v>
      </c>
      <c r="BI58" s="726">
        <v>-5.9143009319138238E-3</v>
      </c>
      <c r="BJ58" s="727">
        <v>7.7388501805385548E-4</v>
      </c>
      <c r="BK58" s="731">
        <v>-2.4715683316904866E-2</v>
      </c>
      <c r="BL58" s="726">
        <v>-9.3861993823683145E-4</v>
      </c>
      <c r="BM58" s="726">
        <v>-1.3039004507508427E-3</v>
      </c>
      <c r="BN58" s="726">
        <v>-1.3225019163324338E-3</v>
      </c>
      <c r="BO58" s="727">
        <v>-2.3028899231640485E-3</v>
      </c>
      <c r="BP58" s="731">
        <v>-5.8676317805851832E-3</v>
      </c>
      <c r="BQ58" s="726">
        <v>-7.4458205606554835E-3</v>
      </c>
      <c r="BR58" s="726">
        <v>-1.0354775854261526E-3</v>
      </c>
      <c r="BS58" s="726">
        <v>-2.7259651076466532E-3</v>
      </c>
      <c r="BT58" s="726">
        <v>-1.2485621859725748E-2</v>
      </c>
      <c r="BU58" s="731">
        <v>-3.784486133177354E-2</v>
      </c>
      <c r="BV58" s="1274">
        <v>-7.4458205606554835E-3</v>
      </c>
      <c r="BW58" s="1274">
        <v>-1.0354775854261526E-3</v>
      </c>
      <c r="BX58" s="1274">
        <v>-2.7259651076466532E-3</v>
      </c>
      <c r="BY58" s="1275">
        <v>-1.2485621859725748E-2</v>
      </c>
      <c r="BZ58" s="731">
        <v>-3.784486133177354E-2</v>
      </c>
      <c r="CA58" s="726">
        <v>-3.0608430531525333E-2</v>
      </c>
      <c r="CB58" s="726">
        <v>-5.4088835688148054E-2</v>
      </c>
      <c r="CC58" s="726">
        <v>-9.0435209263600602E-2</v>
      </c>
      <c r="CD58" s="727">
        <v>-8.6792507862609489E-2</v>
      </c>
      <c r="CE58" s="731">
        <v>-0.26346869819526664</v>
      </c>
      <c r="CF58" s="726">
        <v>-4.5792265853227057E-2</v>
      </c>
      <c r="CG58" s="726">
        <v>-2.7914337873737441E-2</v>
      </c>
      <c r="CH58" s="726">
        <v>-7.2653209551703721E-4</v>
      </c>
      <c r="CI58" s="727">
        <v>-4.1779730333473949E-3</v>
      </c>
      <c r="CJ58" s="731">
        <v>-7.9795775226044571E-2</v>
      </c>
      <c r="CK58" s="726">
        <v>1.3044709186210502E-2</v>
      </c>
      <c r="CL58" s="726">
        <v>-8.2310021184350629E-2</v>
      </c>
      <c r="CM58" s="726">
        <v>-4.370768400365465E-2</v>
      </c>
      <c r="CN58" s="727">
        <v>-7.1035253582258054E-2</v>
      </c>
      <c r="CO58" s="731">
        <v>-0.19437241132792488</v>
      </c>
      <c r="CP58" s="726">
        <v>2.4092832258303436E-2</v>
      </c>
      <c r="CQ58" s="726">
        <v>3.013534088614362E-2</v>
      </c>
      <c r="CR58" s="726">
        <v>-3.0966578374173673E-3</v>
      </c>
      <c r="CS58" s="727">
        <v>4.0564451985282057E-3</v>
      </c>
      <c r="CT58" s="724">
        <v>5.4208760777977066E-2</v>
      </c>
      <c r="CU58" s="726">
        <v>0</v>
      </c>
      <c r="CV58" s="726">
        <v>0</v>
      </c>
      <c r="CW58" s="726">
        <v>0</v>
      </c>
      <c r="CX58" s="727">
        <v>0</v>
      </c>
      <c r="CY58" s="731">
        <v>7.5475427519765749E-16</v>
      </c>
      <c r="CZ58" s="726">
        <v>0</v>
      </c>
      <c r="DA58" s="726">
        <v>0</v>
      </c>
      <c r="DB58" s="726">
        <v>0</v>
      </c>
      <c r="DC58" s="727">
        <v>0</v>
      </c>
      <c r="DD58" s="731">
        <v>0</v>
      </c>
      <c r="DE58" s="726">
        <v>-1.8876513983447708E-16</v>
      </c>
      <c r="DF58" s="726">
        <v>0</v>
      </c>
      <c r="DG58" s="726">
        <v>0</v>
      </c>
      <c r="DH58" s="727">
        <v>0</v>
      </c>
      <c r="DI58" s="731">
        <v>0</v>
      </c>
      <c r="DJ58" s="726">
        <v>0</v>
      </c>
      <c r="DK58" s="726">
        <v>0</v>
      </c>
      <c r="DL58" s="726">
        <v>0</v>
      </c>
      <c r="DM58" s="727">
        <v>0</v>
      </c>
      <c r="DN58" s="731">
        <v>0</v>
      </c>
      <c r="DO58" s="726">
        <v>0</v>
      </c>
      <c r="DP58" s="726">
        <v>0</v>
      </c>
      <c r="DQ58" s="726">
        <v>0</v>
      </c>
      <c r="DR58" s="727">
        <v>0</v>
      </c>
      <c r="DS58" s="731">
        <v>7.5528470218185679E-16</v>
      </c>
      <c r="DT58" s="726">
        <v>0</v>
      </c>
      <c r="DU58" s="726">
        <v>0</v>
      </c>
      <c r="DV58" s="726">
        <v>0</v>
      </c>
      <c r="DW58" s="727">
        <v>0</v>
      </c>
      <c r="DX58" s="731">
        <v>0</v>
      </c>
      <c r="DY58" s="726">
        <v>0</v>
      </c>
      <c r="DZ58" s="726">
        <v>0</v>
      </c>
      <c r="EA58" s="726">
        <v>0</v>
      </c>
      <c r="EB58" s="727">
        <v>0</v>
      </c>
      <c r="EC58" s="731">
        <v>-7.5561818910324143E-16</v>
      </c>
      <c r="ED58" s="118"/>
      <c r="EE58" s="166"/>
      <c r="EF58" s="61"/>
      <c r="EG58" s="61"/>
      <c r="EH58" s="61"/>
      <c r="EI58" s="61"/>
      <c r="EJ58" s="61"/>
      <c r="EK58" s="742">
        <f t="shared" si="345"/>
        <v>2.0149263694531856E-2</v>
      </c>
      <c r="EL58" s="742">
        <f t="shared" si="346"/>
        <v>-2.4715683316904866E-2</v>
      </c>
      <c r="EM58" s="742">
        <f t="shared" si="347"/>
        <v>-5.8676317805851832E-3</v>
      </c>
      <c r="EN58" s="742">
        <f t="shared" si="348"/>
        <v>-3.784486133177354E-2</v>
      </c>
      <c r="EO58" s="742">
        <f>CE58</f>
        <v>-0.26346869819526664</v>
      </c>
      <c r="EP58" s="742">
        <f t="shared" si="349"/>
        <v>-7.9795775226044571E-2</v>
      </c>
      <c r="EQ58" s="742">
        <f t="shared" si="350"/>
        <v>-0.19437241132792488</v>
      </c>
      <c r="ER58" s="743">
        <f t="shared" si="351"/>
        <v>5.4208760777977066E-2</v>
      </c>
      <c r="ES58" s="118"/>
      <c r="ET58" s="118"/>
      <c r="EU58" s="118"/>
      <c r="EX58" s="723" t="s">
        <v>216</v>
      </c>
      <c r="EY58" s="962">
        <f t="shared" si="285"/>
        <v>2.4092832258303436E-2</v>
      </c>
      <c r="EZ58" s="962">
        <v>2.1026012209969979E-2</v>
      </c>
      <c r="FA58" s="962">
        <f>EY58-EZ58</f>
        <v>3.0668200483334566E-3</v>
      </c>
      <c r="FB58" s="962">
        <f t="shared" si="284"/>
        <v>1.3044709186210502E-2</v>
      </c>
      <c r="FC58" s="549">
        <f t="shared" si="148"/>
        <v>0.84694284206595039</v>
      </c>
      <c r="FD58" s="118"/>
    </row>
    <row r="59" spans="1:166" ht="12.75" customHeight="1" collapsed="1" x14ac:dyDescent="0.2">
      <c r="A59" s="215" t="s">
        <v>383</v>
      </c>
      <c r="B59" s="215"/>
      <c r="C59" s="248"/>
      <c r="D59" s="65"/>
      <c r="E59" s="65"/>
      <c r="F59" s="693"/>
      <c r="G59" s="215"/>
      <c r="H59" s="248"/>
      <c r="I59" s="65"/>
      <c r="J59" s="65"/>
      <c r="K59" s="65"/>
      <c r="L59" s="215"/>
      <c r="M59" s="65"/>
      <c r="N59" s="65"/>
      <c r="O59" s="65"/>
      <c r="P59" s="65"/>
      <c r="Q59" s="215"/>
      <c r="R59" s="65"/>
      <c r="S59" s="65"/>
      <c r="T59" s="65"/>
      <c r="U59" s="65">
        <f>IS!U224</f>
        <v>24</v>
      </c>
      <c r="V59" s="215">
        <f>SUM(R59:U59)</f>
        <v>24</v>
      </c>
      <c r="W59" s="65">
        <f>IS!W224</f>
        <v>17</v>
      </c>
      <c r="X59" s="65">
        <f>IS!X224</f>
        <v>5</v>
      </c>
      <c r="Y59" s="65">
        <f>IS!Y224</f>
        <v>40</v>
      </c>
      <c r="Z59" s="65">
        <f>IS!Z224</f>
        <v>50</v>
      </c>
      <c r="AA59" s="215">
        <f>SUM(W59:Z59)</f>
        <v>112</v>
      </c>
      <c r="AB59" s="691">
        <f>IS!AB224</f>
        <v>0</v>
      </c>
      <c r="AC59" s="692">
        <f>IS!AC224</f>
        <v>0</v>
      </c>
      <c r="AD59" s="692">
        <f>IS!AD224</f>
        <v>0</v>
      </c>
      <c r="AE59" s="65">
        <v>-7</v>
      </c>
      <c r="AF59" s="215">
        <f>SUM(AB59:AE59)</f>
        <v>-7</v>
      </c>
      <c r="AG59" s="65"/>
      <c r="AH59" s="65"/>
      <c r="AI59" s="65"/>
      <c r="AJ59" s="689"/>
      <c r="AK59" s="257"/>
      <c r="AL59" s="65">
        <v>3</v>
      </c>
      <c r="AM59" s="65"/>
      <c r="AN59" s="65"/>
      <c r="AO59" s="65"/>
      <c r="AP59" s="215">
        <f>SUM(AL59:AO59)</f>
        <v>3</v>
      </c>
      <c r="AQ59" s="65"/>
      <c r="AR59" s="65"/>
      <c r="AS59" s="65">
        <f>AS224</f>
        <v>-2.5</v>
      </c>
      <c r="AT59" s="65">
        <f>AT224</f>
        <v>0.90000000000000013</v>
      </c>
      <c r="AU59" s="215">
        <f>SUM(AQ59:AT59)</f>
        <v>-1.5999999999999999</v>
      </c>
      <c r="AV59" s="123"/>
      <c r="AW59" s="65">
        <f t="shared" ref="AW59:BU59" si="352">AW224</f>
        <v>-2.5</v>
      </c>
      <c r="AX59" s="65">
        <f t="shared" si="352"/>
        <v>0.90000000000000013</v>
      </c>
      <c r="AY59" s="65">
        <f t="shared" si="352"/>
        <v>-3.3000000000000003</v>
      </c>
      <c r="AZ59" s="65">
        <f t="shared" si="352"/>
        <v>161.80000000000001</v>
      </c>
      <c r="BA59" s="641">
        <f t="shared" si="352"/>
        <v>156.9</v>
      </c>
      <c r="BB59" s="65">
        <f t="shared" si="352"/>
        <v>48.899999999999991</v>
      </c>
      <c r="BC59" s="65">
        <f t="shared" si="352"/>
        <v>25.5</v>
      </c>
      <c r="BD59" s="65">
        <f t="shared" si="352"/>
        <v>23.5</v>
      </c>
      <c r="BE59" s="65">
        <f t="shared" si="352"/>
        <v>38</v>
      </c>
      <c r="BF59" s="641">
        <f t="shared" si="352"/>
        <v>135.89999999999998</v>
      </c>
      <c r="BG59" s="65">
        <f t="shared" si="352"/>
        <v>37</v>
      </c>
      <c r="BH59" s="65">
        <f t="shared" si="352"/>
        <v>27.3</v>
      </c>
      <c r="BI59" s="65">
        <f t="shared" si="352"/>
        <v>72.599999999999994</v>
      </c>
      <c r="BJ59" s="65">
        <f t="shared" si="352"/>
        <v>47.7</v>
      </c>
      <c r="BK59" s="641">
        <f t="shared" si="352"/>
        <v>184.6</v>
      </c>
      <c r="BL59" s="65">
        <f t="shared" si="352"/>
        <v>28.5</v>
      </c>
      <c r="BM59" s="65">
        <f t="shared" si="352"/>
        <v>19.399999999999999</v>
      </c>
      <c r="BN59" s="65">
        <f t="shared" si="352"/>
        <v>19.599999999999998</v>
      </c>
      <c r="BO59" s="65">
        <f t="shared" si="352"/>
        <v>30.9</v>
      </c>
      <c r="BP59" s="641">
        <f t="shared" si="352"/>
        <v>98.4</v>
      </c>
      <c r="BQ59" s="65">
        <f t="shared" si="352"/>
        <v>15.9</v>
      </c>
      <c r="BR59" s="65">
        <f t="shared" si="352"/>
        <v>17.5</v>
      </c>
      <c r="BS59" s="65">
        <f t="shared" si="352"/>
        <v>219.7</v>
      </c>
      <c r="BT59" s="65">
        <f t="shared" si="352"/>
        <v>453.7</v>
      </c>
      <c r="BU59" s="641">
        <f t="shared" si="352"/>
        <v>706.8</v>
      </c>
      <c r="BV59" s="1265">
        <f t="shared" ref="BV59:BZ59" si="353">BV224</f>
        <v>35.1</v>
      </c>
      <c r="BW59" s="1265">
        <f t="shared" si="353"/>
        <v>34.5</v>
      </c>
      <c r="BX59" s="1265">
        <f t="shared" si="353"/>
        <v>18.5</v>
      </c>
      <c r="BY59" s="1265">
        <f t="shared" si="353"/>
        <v>66.5</v>
      </c>
      <c r="BZ59" s="641">
        <f t="shared" si="353"/>
        <v>154.6</v>
      </c>
      <c r="CA59" s="65">
        <f t="shared" ref="CA59:CG59" si="354">CA224</f>
        <v>86.4</v>
      </c>
      <c r="CB59" s="65">
        <f t="shared" si="354"/>
        <v>131.6</v>
      </c>
      <c r="CC59" s="65">
        <f t="shared" si="354"/>
        <v>58.2</v>
      </c>
      <c r="CD59" s="65">
        <f t="shared" si="354"/>
        <v>82.7</v>
      </c>
      <c r="CE59" s="641">
        <f t="shared" si="354"/>
        <v>358.9</v>
      </c>
      <c r="CF59" s="65">
        <f t="shared" si="354"/>
        <v>46.900000000000006</v>
      </c>
      <c r="CG59" s="65">
        <f t="shared" si="354"/>
        <v>19.8</v>
      </c>
      <c r="CH59" s="65">
        <f t="shared" ref="CH59:DM59" si="355">CH224</f>
        <v>33.300000000000004</v>
      </c>
      <c r="CI59" s="65">
        <f t="shared" si="355"/>
        <v>-13.499999999999993</v>
      </c>
      <c r="CJ59" s="641">
        <f t="shared" si="355"/>
        <v>86.5</v>
      </c>
      <c r="CK59" s="65">
        <f t="shared" si="355"/>
        <v>84.199999999999989</v>
      </c>
      <c r="CL59" s="65">
        <f t="shared" si="355"/>
        <v>78.3</v>
      </c>
      <c r="CM59" s="65">
        <f t="shared" si="355"/>
        <v>104.7</v>
      </c>
      <c r="CN59" s="65">
        <f t="shared" si="355"/>
        <v>103.9</v>
      </c>
      <c r="CO59" s="641">
        <f t="shared" si="355"/>
        <v>371.1</v>
      </c>
      <c r="CP59" s="65">
        <f t="shared" si="355"/>
        <v>33</v>
      </c>
      <c r="CQ59" s="65">
        <f t="shared" si="355"/>
        <v>45.255000000000003</v>
      </c>
      <c r="CR59" s="65">
        <f t="shared" si="355"/>
        <v>38.484999999999999</v>
      </c>
      <c r="CS59" s="65">
        <f t="shared" si="355"/>
        <v>40.375</v>
      </c>
      <c r="CT59" s="215">
        <f t="shared" si="355"/>
        <v>157.11500000000001</v>
      </c>
      <c r="CU59" s="65">
        <f t="shared" si="355"/>
        <v>29.708749999999998</v>
      </c>
      <c r="CV59" s="65">
        <f t="shared" si="355"/>
        <v>45.070250000000001</v>
      </c>
      <c r="CW59" s="65">
        <f t="shared" si="355"/>
        <v>37.961749999999995</v>
      </c>
      <c r="CX59" s="65">
        <f t="shared" si="355"/>
        <v>39.946249999999999</v>
      </c>
      <c r="CY59" s="641">
        <f t="shared" si="355"/>
        <v>152.68699999999998</v>
      </c>
      <c r="CZ59" s="65">
        <f t="shared" si="355"/>
        <v>29.514499999999998</v>
      </c>
      <c r="DA59" s="65">
        <f t="shared" si="355"/>
        <v>45.644075000000001</v>
      </c>
      <c r="DB59" s="65">
        <f t="shared" si="355"/>
        <v>38.180149999999998</v>
      </c>
      <c r="DC59" s="65">
        <f t="shared" si="355"/>
        <v>40.263874999999999</v>
      </c>
      <c r="DD59" s="641">
        <f t="shared" si="355"/>
        <v>153.6026</v>
      </c>
      <c r="DE59" s="65">
        <f t="shared" si="355"/>
        <v>10.716787499999999</v>
      </c>
      <c r="DF59" s="65">
        <f t="shared" si="355"/>
        <v>27.652841250000002</v>
      </c>
      <c r="DG59" s="65">
        <f t="shared" si="355"/>
        <v>19.815719999999999</v>
      </c>
      <c r="DH59" s="65">
        <f t="shared" si="355"/>
        <v>22.003631250000002</v>
      </c>
      <c r="DI59" s="641">
        <f t="shared" si="355"/>
        <v>80.188980000000001</v>
      </c>
      <c r="DJ59" s="65">
        <f t="shared" si="355"/>
        <v>10.502626874999997</v>
      </c>
      <c r="DK59" s="65">
        <f t="shared" si="355"/>
        <v>28.285483312500006</v>
      </c>
      <c r="DL59" s="65">
        <f t="shared" si="355"/>
        <v>20.056505999999999</v>
      </c>
      <c r="DM59" s="65">
        <f t="shared" si="355"/>
        <v>22.353812812500003</v>
      </c>
      <c r="DN59" s="641">
        <f t="shared" ref="DN59:DX59" si="356">DN224</f>
        <v>81.198429000000004</v>
      </c>
      <c r="DO59" s="65">
        <f t="shared" si="356"/>
        <v>10.277758218749998</v>
      </c>
      <c r="DP59" s="65">
        <f t="shared" si="356"/>
        <v>28.949757478125004</v>
      </c>
      <c r="DQ59" s="65">
        <f t="shared" si="356"/>
        <v>20.309331300000004</v>
      </c>
      <c r="DR59" s="65">
        <f t="shared" si="356"/>
        <v>22.721503453125003</v>
      </c>
      <c r="DS59" s="641">
        <f t="shared" si="356"/>
        <v>82.258350450000009</v>
      </c>
      <c r="DT59" s="65">
        <f t="shared" si="356"/>
        <v>10.041646129687498</v>
      </c>
      <c r="DU59" s="65">
        <f t="shared" si="356"/>
        <v>29.647245352031256</v>
      </c>
      <c r="DV59" s="65">
        <f t="shared" si="356"/>
        <v>20.574797865000001</v>
      </c>
      <c r="DW59" s="65">
        <f t="shared" si="356"/>
        <v>23.107578625781251</v>
      </c>
      <c r="DX59" s="641">
        <f t="shared" si="356"/>
        <v>83.371267972500007</v>
      </c>
      <c r="DY59" s="65">
        <f t="shared" ref="DY59:EC59" si="357">DY224</f>
        <v>9.7937284361718735</v>
      </c>
      <c r="DZ59" s="65">
        <f t="shared" si="357"/>
        <v>30.379607619632822</v>
      </c>
      <c r="EA59" s="65">
        <f t="shared" si="357"/>
        <v>20.853537758250003</v>
      </c>
      <c r="EB59" s="65">
        <f t="shared" si="357"/>
        <v>23.512957557070315</v>
      </c>
      <c r="EC59" s="641">
        <f t="shared" si="357"/>
        <v>84.539831371125018</v>
      </c>
      <c r="ED59" s="204"/>
      <c r="EE59" s="248"/>
      <c r="EF59" s="65"/>
      <c r="EG59" s="65">
        <f>AH59+AG59+AE59+AD59</f>
        <v>-7</v>
      </c>
      <c r="EH59" s="65">
        <f>AM59+AL59+AJ59+AI59</f>
        <v>3</v>
      </c>
      <c r="EI59" s="65">
        <f>AR59+AQ59+AO59+AN59</f>
        <v>0</v>
      </c>
      <c r="EJ59" s="65">
        <f>AZ59+AY59+AX59+AW59</f>
        <v>156.9</v>
      </c>
      <c r="EK59" s="65">
        <f t="shared" si="345"/>
        <v>135.89999999999998</v>
      </c>
      <c r="EL59" s="65">
        <f t="shared" si="346"/>
        <v>184.6</v>
      </c>
      <c r="EM59" s="65">
        <f t="shared" si="347"/>
        <v>98.4</v>
      </c>
      <c r="EN59" s="65">
        <f t="shared" si="348"/>
        <v>706.8</v>
      </c>
      <c r="EO59" s="65">
        <f t="shared" si="264"/>
        <v>358.9</v>
      </c>
      <c r="EP59" s="65">
        <f t="shared" si="349"/>
        <v>86.5</v>
      </c>
      <c r="EQ59" s="65">
        <f t="shared" si="350"/>
        <v>371.1</v>
      </c>
      <c r="ER59" s="257">
        <f t="shared" si="351"/>
        <v>157.11500000000001</v>
      </c>
      <c r="ES59" s="204"/>
      <c r="ET59" s="204"/>
      <c r="EU59" s="204"/>
      <c r="EX59" s="690" t="s">
        <v>383</v>
      </c>
      <c r="EY59" s="958">
        <f t="shared" si="285"/>
        <v>33</v>
      </c>
      <c r="EZ59" s="958">
        <v>38.340000000000003</v>
      </c>
      <c r="FA59" s="958">
        <f t="shared" si="239"/>
        <v>-5.3400000000000034</v>
      </c>
      <c r="FB59" s="958">
        <f t="shared" si="284"/>
        <v>84.199999999999989</v>
      </c>
      <c r="FC59" s="549">
        <f t="shared" si="148"/>
        <v>-0.60807600950118768</v>
      </c>
      <c r="FD59" s="204"/>
    </row>
    <row r="60" spans="1:166" ht="12.75" customHeight="1" x14ac:dyDescent="0.2">
      <c r="A60" s="215" t="s">
        <v>384</v>
      </c>
      <c r="B60" s="215"/>
      <c r="C60" s="248"/>
      <c r="D60" s="65"/>
      <c r="E60" s="65"/>
      <c r="F60" s="693"/>
      <c r="G60" s="215"/>
      <c r="H60" s="248"/>
      <c r="I60" s="65"/>
      <c r="J60" s="65"/>
      <c r="K60" s="65"/>
      <c r="L60" s="215"/>
      <c r="M60" s="65"/>
      <c r="N60" s="65"/>
      <c r="O60" s="65"/>
      <c r="P60" s="65"/>
      <c r="Q60" s="215"/>
      <c r="R60" s="65"/>
      <c r="S60" s="65"/>
      <c r="T60" s="65"/>
      <c r="U60" s="65">
        <f>U59*(1-0.4)</f>
        <v>14.399999999999999</v>
      </c>
      <c r="V60" s="215">
        <f>SUM(R60:U60)</f>
        <v>14.399999999999999</v>
      </c>
      <c r="W60" s="65">
        <f>-W59*(1-0.4)</f>
        <v>-10.199999999999999</v>
      </c>
      <c r="X60" s="65">
        <f>-X59*(1-0.4)</f>
        <v>-3</v>
      </c>
      <c r="Y60" s="65">
        <f>-Y59*(1-0.4)</f>
        <v>-24</v>
      </c>
      <c r="Z60" s="257">
        <f>-Z59*(1-0.4)</f>
        <v>-30</v>
      </c>
      <c r="AA60" s="215">
        <f>SUM(W60:Z60)</f>
        <v>-67.2</v>
      </c>
      <c r="AB60" s="65">
        <f>AB59*(1-0.4)</f>
        <v>0</v>
      </c>
      <c r="AC60" s="65">
        <f>AC59*(1-0.4)</f>
        <v>0</v>
      </c>
      <c r="AD60" s="65">
        <f>AD59*(1-0.4)</f>
        <v>0</v>
      </c>
      <c r="AE60" s="65">
        <f>AE59*(1-AE82)</f>
        <v>-15.75</v>
      </c>
      <c r="AF60" s="215">
        <f>SUM(AB60:AE60)</f>
        <v>-15.75</v>
      </c>
      <c r="AG60" s="65"/>
      <c r="AH60" s="65"/>
      <c r="AI60" s="65"/>
      <c r="AJ60" s="689"/>
      <c r="AK60" s="257">
        <f>SUM(AG60:AJ60)</f>
        <v>0</v>
      </c>
      <c r="AL60" s="65">
        <v>2</v>
      </c>
      <c r="AM60" s="65"/>
      <c r="AN60" s="65"/>
      <c r="AO60" s="65"/>
      <c r="AP60" s="627">
        <f>SUM(AL60:AO60)</f>
        <v>2</v>
      </c>
      <c r="AQ60" s="65"/>
      <c r="AR60" s="65"/>
      <c r="AS60" s="65">
        <f>AS59+AS49-AS227</f>
        <v>-1.3999999999999986</v>
      </c>
      <c r="AT60" s="65">
        <f>AT59+AT49-AT227</f>
        <v>0.80000000000000071</v>
      </c>
      <c r="AU60" s="627">
        <f>SUM(AQ60:AT60)</f>
        <v>-0.59999999999999787</v>
      </c>
      <c r="AV60" s="123"/>
      <c r="AW60" s="65">
        <f t="shared" ref="AW60:CB60" si="358">AW59+AW49-AW227</f>
        <v>-1.3999999999999986</v>
      </c>
      <c r="AX60" s="65">
        <f t="shared" si="358"/>
        <v>0.80000000000000071</v>
      </c>
      <c r="AY60" s="65">
        <f t="shared" si="358"/>
        <v>-10.6</v>
      </c>
      <c r="AZ60" s="65">
        <f t="shared" si="358"/>
        <v>127.4</v>
      </c>
      <c r="BA60" s="709">
        <f t="shared" si="358"/>
        <v>116.20000000000002</v>
      </c>
      <c r="BB60" s="65">
        <f t="shared" si="358"/>
        <v>33.099999999999994</v>
      </c>
      <c r="BC60" s="65">
        <f t="shared" si="358"/>
        <v>16.000000000000004</v>
      </c>
      <c r="BD60" s="65">
        <f t="shared" si="358"/>
        <v>15.2</v>
      </c>
      <c r="BE60" s="65">
        <f t="shared" si="358"/>
        <v>25</v>
      </c>
      <c r="BF60" s="709">
        <f t="shared" si="358"/>
        <v>89.299999999999969</v>
      </c>
      <c r="BG60" s="65">
        <f t="shared" si="358"/>
        <v>26.6</v>
      </c>
      <c r="BH60" s="65">
        <f t="shared" si="358"/>
        <v>13.700000000000003</v>
      </c>
      <c r="BI60" s="65">
        <f t="shared" si="358"/>
        <v>57.5</v>
      </c>
      <c r="BJ60" s="65">
        <f t="shared" si="358"/>
        <v>34</v>
      </c>
      <c r="BK60" s="709">
        <f t="shared" si="358"/>
        <v>131.80000000000001</v>
      </c>
      <c r="BL60" s="65">
        <f t="shared" si="358"/>
        <v>21.8</v>
      </c>
      <c r="BM60" s="65">
        <f t="shared" si="358"/>
        <v>13.100000000000001</v>
      </c>
      <c r="BN60" s="65">
        <f t="shared" si="358"/>
        <v>13.5</v>
      </c>
      <c r="BO60" s="65">
        <f t="shared" si="358"/>
        <v>23.7</v>
      </c>
      <c r="BP60" s="709">
        <f t="shared" si="358"/>
        <v>72.100000000000009</v>
      </c>
      <c r="BQ60" s="65">
        <f t="shared" si="358"/>
        <v>11.199999999999996</v>
      </c>
      <c r="BR60" s="65">
        <f t="shared" si="358"/>
        <v>12.199999999999996</v>
      </c>
      <c r="BS60" s="65">
        <f t="shared" si="358"/>
        <v>159.19999999999999</v>
      </c>
      <c r="BT60" s="65">
        <f t="shared" si="358"/>
        <v>440.31200000000001</v>
      </c>
      <c r="BU60" s="709">
        <f t="shared" si="358"/>
        <v>622.91199999999992</v>
      </c>
      <c r="BV60" s="1265">
        <f t="shared" si="358"/>
        <v>37.70000000000001</v>
      </c>
      <c r="BW60" s="1265">
        <f t="shared" si="358"/>
        <v>38.4</v>
      </c>
      <c r="BX60" s="1265">
        <f t="shared" si="358"/>
        <v>28.600000000000009</v>
      </c>
      <c r="BY60" s="1265">
        <f t="shared" si="358"/>
        <v>139.39999999999998</v>
      </c>
      <c r="BZ60" s="709">
        <f t="shared" si="358"/>
        <v>244.10000000000008</v>
      </c>
      <c r="CA60" s="65">
        <f t="shared" si="358"/>
        <v>93.000000000000028</v>
      </c>
      <c r="CB60" s="65">
        <f t="shared" si="358"/>
        <v>114.70000000000002</v>
      </c>
      <c r="CC60" s="65">
        <f t="shared" ref="CC60:DH60" si="359">CC59+CC49-CC227</f>
        <v>36.239999999999995</v>
      </c>
      <c r="CD60" s="65">
        <f t="shared" si="359"/>
        <v>35.540000000000006</v>
      </c>
      <c r="CE60" s="709">
        <f t="shared" si="359"/>
        <v>279.4799999999999</v>
      </c>
      <c r="CF60" s="65">
        <f t="shared" si="359"/>
        <v>41.300000000000011</v>
      </c>
      <c r="CG60" s="65">
        <f t="shared" si="359"/>
        <v>12.299999999999997</v>
      </c>
      <c r="CH60" s="65">
        <f t="shared" si="359"/>
        <v>30.300000000000011</v>
      </c>
      <c r="CI60" s="65">
        <f t="shared" si="359"/>
        <v>-25.599999999999987</v>
      </c>
      <c r="CJ60" s="709">
        <f t="shared" si="359"/>
        <v>58.299999999999955</v>
      </c>
      <c r="CK60" s="65">
        <f t="shared" si="359"/>
        <v>71.499999999999986</v>
      </c>
      <c r="CL60" s="65">
        <f t="shared" si="359"/>
        <v>65.699999999999989</v>
      </c>
      <c r="CM60" s="65">
        <f t="shared" si="359"/>
        <v>96.3</v>
      </c>
      <c r="CN60" s="65">
        <f t="shared" si="359"/>
        <v>-210.89999999999998</v>
      </c>
      <c r="CO60" s="709">
        <f t="shared" si="359"/>
        <v>22.600000000000023</v>
      </c>
      <c r="CP60" s="65">
        <f t="shared" si="359"/>
        <v>34.5</v>
      </c>
      <c r="CQ60" s="65">
        <f t="shared" si="359"/>
        <v>35.751450000000006</v>
      </c>
      <c r="CR60" s="65">
        <f t="shared" si="359"/>
        <v>30.403149999999997</v>
      </c>
      <c r="CS60" s="65">
        <f t="shared" si="359"/>
        <v>31.896250000000009</v>
      </c>
      <c r="CT60" s="627">
        <f t="shared" si="359"/>
        <v>132.55085</v>
      </c>
      <c r="CU60" s="65">
        <f t="shared" si="359"/>
        <v>23.469912499999992</v>
      </c>
      <c r="CV60" s="65">
        <f t="shared" si="359"/>
        <v>35.605497500000013</v>
      </c>
      <c r="CW60" s="65">
        <f t="shared" si="359"/>
        <v>29.989782500000018</v>
      </c>
      <c r="CX60" s="65">
        <f t="shared" si="359"/>
        <v>31.557537499999981</v>
      </c>
      <c r="CY60" s="709">
        <f t="shared" si="359"/>
        <v>120.62272999999999</v>
      </c>
      <c r="CZ60" s="65">
        <f t="shared" si="359"/>
        <v>23.316455000000005</v>
      </c>
      <c r="DA60" s="65">
        <f t="shared" si="359"/>
        <v>36.058819249999985</v>
      </c>
      <c r="DB60" s="65">
        <f t="shared" si="359"/>
        <v>30.162318500000012</v>
      </c>
      <c r="DC60" s="65">
        <f t="shared" si="359"/>
        <v>31.808461250000008</v>
      </c>
      <c r="DD60" s="709">
        <f t="shared" si="359"/>
        <v>121.34605399999998</v>
      </c>
      <c r="DE60" s="65">
        <f t="shared" si="359"/>
        <v>8.4662621250000001</v>
      </c>
      <c r="DF60" s="65">
        <f t="shared" si="359"/>
        <v>21.845744587499993</v>
      </c>
      <c r="DG60" s="65">
        <f t="shared" si="359"/>
        <v>15.654418799999974</v>
      </c>
      <c r="DH60" s="65">
        <f t="shared" si="359"/>
        <v>17.382868687499993</v>
      </c>
      <c r="DI60" s="709">
        <f t="shared" ref="DI60:EC60" si="360">DI59+DI49-DI227</f>
        <v>63.349294199999918</v>
      </c>
      <c r="DJ60" s="65">
        <f t="shared" si="360"/>
        <v>8.2970752312500053</v>
      </c>
      <c r="DK60" s="65">
        <f t="shared" si="360"/>
        <v>22.345531816875024</v>
      </c>
      <c r="DL60" s="65">
        <f t="shared" si="360"/>
        <v>15.844639739999991</v>
      </c>
      <c r="DM60" s="65">
        <f t="shared" si="360"/>
        <v>17.659512121874997</v>
      </c>
      <c r="DN60" s="709">
        <f t="shared" si="360"/>
        <v>64.146758910000017</v>
      </c>
      <c r="DO60" s="65">
        <f t="shared" si="360"/>
        <v>8.1194289928125158</v>
      </c>
      <c r="DP60" s="65">
        <f t="shared" si="360"/>
        <v>22.870308407718767</v>
      </c>
      <c r="DQ60" s="65">
        <f t="shared" si="360"/>
        <v>16.044371726999998</v>
      </c>
      <c r="DR60" s="65">
        <f t="shared" si="360"/>
        <v>17.949987727968733</v>
      </c>
      <c r="DS60" s="709">
        <f t="shared" si="360"/>
        <v>64.984096855499956</v>
      </c>
      <c r="DT60" s="65">
        <f t="shared" si="360"/>
        <v>7.932900442453132</v>
      </c>
      <c r="DU60" s="65">
        <f t="shared" si="360"/>
        <v>23.421323828104704</v>
      </c>
      <c r="DV60" s="65">
        <f t="shared" si="360"/>
        <v>16.254090313349991</v>
      </c>
      <c r="DW60" s="65">
        <f t="shared" si="360"/>
        <v>18.254987114367196</v>
      </c>
      <c r="DX60" s="709">
        <f t="shared" si="360"/>
        <v>65.863301698275109</v>
      </c>
      <c r="DY60" s="65">
        <f t="shared" si="360"/>
        <v>7.7370454645757718</v>
      </c>
      <c r="DZ60" s="65">
        <f t="shared" si="360"/>
        <v>23.999890019509934</v>
      </c>
      <c r="EA60" s="65">
        <f t="shared" si="360"/>
        <v>16.474294829017509</v>
      </c>
      <c r="EB60" s="65">
        <f t="shared" si="360"/>
        <v>18.575236470085542</v>
      </c>
      <c r="EC60" s="709">
        <f t="shared" si="360"/>
        <v>66.786466783188757</v>
      </c>
      <c r="ED60" s="204"/>
      <c r="EE60" s="248"/>
      <c r="EF60" s="65"/>
      <c r="EG60" s="65"/>
      <c r="EH60" s="65"/>
      <c r="EI60" s="65"/>
      <c r="EJ60" s="65"/>
      <c r="EK60" s="65">
        <f t="shared" si="345"/>
        <v>89.299999999999969</v>
      </c>
      <c r="EL60" s="65">
        <f t="shared" si="346"/>
        <v>131.80000000000001</v>
      </c>
      <c r="EM60" s="65">
        <f t="shared" si="347"/>
        <v>72.100000000000009</v>
      </c>
      <c r="EN60" s="65">
        <f t="shared" si="348"/>
        <v>622.91199999999992</v>
      </c>
      <c r="EO60" s="65">
        <f t="shared" si="264"/>
        <v>279.4799999999999</v>
      </c>
      <c r="EP60" s="65">
        <f t="shared" si="349"/>
        <v>58.299999999999955</v>
      </c>
      <c r="EQ60" s="65">
        <f t="shared" si="350"/>
        <v>22.600000000000023</v>
      </c>
      <c r="ER60" s="257">
        <f t="shared" si="351"/>
        <v>132.55085</v>
      </c>
      <c r="ES60" s="204"/>
      <c r="ET60" s="204"/>
      <c r="EU60" s="204"/>
      <c r="EX60" s="690" t="s">
        <v>384</v>
      </c>
      <c r="EY60" s="958">
        <f t="shared" si="285"/>
        <v>34.5</v>
      </c>
      <c r="EZ60" s="958">
        <v>30.288600000000002</v>
      </c>
      <c r="FA60" s="958">
        <f t="shared" si="239"/>
        <v>4.2113999999999976</v>
      </c>
      <c r="FB60" s="958">
        <f t="shared" si="284"/>
        <v>71.499999999999986</v>
      </c>
      <c r="FC60" s="549">
        <f t="shared" si="148"/>
        <v>-0.51748251748251739</v>
      </c>
      <c r="FD60" s="204"/>
    </row>
    <row r="61" spans="1:166" ht="12.75" customHeight="1" x14ac:dyDescent="0.2">
      <c r="A61" s="357" t="s">
        <v>784</v>
      </c>
      <c r="B61" s="357"/>
      <c r="C61" s="355"/>
      <c r="D61" s="356"/>
      <c r="E61" s="356"/>
      <c r="F61" s="358"/>
      <c r="G61" s="357"/>
      <c r="H61" s="355"/>
      <c r="I61" s="356"/>
      <c r="J61" s="356"/>
      <c r="K61" s="358"/>
      <c r="L61" s="357"/>
      <c r="M61" s="355"/>
      <c r="N61" s="356"/>
      <c r="O61" s="356"/>
      <c r="P61" s="356"/>
      <c r="Q61" s="357"/>
      <c r="R61" s="356"/>
      <c r="S61" s="356"/>
      <c r="T61" s="356"/>
      <c r="U61" s="356">
        <f>IF(U59=0,U51/U67,((U48+U59)*(1-0.4))/U67)</f>
        <v>2.2388059701492536E-2</v>
      </c>
      <c r="V61" s="357">
        <f>IS!V233/V67</f>
        <v>0.86997193638914871</v>
      </c>
      <c r="W61" s="355">
        <f>IF(W59=0,W51/W67,((W48+W59)*(1-0.4))/W67)</f>
        <v>-5.7607090103397339E-2</v>
      </c>
      <c r="X61" s="356">
        <f>IF(X59=0,X51/X67,((X48+X59)*(1-0.4))/X67)</f>
        <v>-5.3136531365313648E-2</v>
      </c>
      <c r="Y61" s="356">
        <f>IF(Y59=0,Y51/Y67,((Y48+Y59)*(1-0.4))/Y67)</f>
        <v>8.8560885608856083E-2</v>
      </c>
      <c r="Z61" s="356">
        <f>IF(Z59=0,Z51/Z67,((Z48+Z59)*(1-0.4))/Z67)</f>
        <v>0.13453361679511028</v>
      </c>
      <c r="AA61" s="357">
        <f>IS!AA233/IS!AA67</f>
        <v>1.0172544725641524</v>
      </c>
      <c r="AB61" s="355">
        <f t="shared" ref="AB61:AU61" si="361">AB57/AB67</f>
        <v>-0.30905077262693154</v>
      </c>
      <c r="AC61" s="356">
        <f t="shared" si="361"/>
        <v>-0.27106227106227104</v>
      </c>
      <c r="AD61" s="356">
        <f t="shared" si="361"/>
        <v>-0.20408163265306123</v>
      </c>
      <c r="AE61" s="356">
        <f t="shared" si="361"/>
        <v>-0.14716569767441862</v>
      </c>
      <c r="AF61" s="357">
        <f t="shared" si="361"/>
        <v>-0.93019005847953207</v>
      </c>
      <c r="AG61" s="355">
        <f t="shared" si="361"/>
        <v>-0.34277414669571538</v>
      </c>
      <c r="AH61" s="356">
        <f t="shared" si="361"/>
        <v>-0.33357505438723711</v>
      </c>
      <c r="AI61" s="356">
        <f t="shared" si="361"/>
        <v>-0.29090909090909089</v>
      </c>
      <c r="AJ61" s="595">
        <f t="shared" si="361"/>
        <v>-0.22578295702840492</v>
      </c>
      <c r="AK61" s="358">
        <f t="shared" si="361"/>
        <v>-1.1933139534883719</v>
      </c>
      <c r="AL61" s="355">
        <f t="shared" si="361"/>
        <v>-0.27676620538965768</v>
      </c>
      <c r="AM61" s="356">
        <f t="shared" si="361"/>
        <v>-0.30481245896892745</v>
      </c>
      <c r="AN61" s="356">
        <f t="shared" si="361"/>
        <v>-0.21214337966349672</v>
      </c>
      <c r="AO61" s="356">
        <f t="shared" si="361"/>
        <v>-0.21068032187271396</v>
      </c>
      <c r="AP61" s="357">
        <f t="shared" si="361"/>
        <v>-1.0044275205311353</v>
      </c>
      <c r="AQ61" s="355">
        <f t="shared" si="361"/>
        <v>-0.2660818713450292</v>
      </c>
      <c r="AR61" s="356">
        <f t="shared" si="361"/>
        <v>-0.27777777777777773</v>
      </c>
      <c r="AS61" s="356">
        <f t="shared" si="361"/>
        <v>0.28862973760932925</v>
      </c>
      <c r="AT61" s="356">
        <f t="shared" si="361"/>
        <v>0.361655773420479</v>
      </c>
      <c r="AU61" s="357">
        <f t="shared" si="361"/>
        <v>0.10938924339106597</v>
      </c>
      <c r="AV61" s="300"/>
      <c r="AW61" s="356">
        <f t="shared" ref="AW61:CB61" si="362">AW57/AW67</f>
        <v>0.28862973760932925</v>
      </c>
      <c r="AX61" s="356">
        <f t="shared" si="362"/>
        <v>0.36165577342047905</v>
      </c>
      <c r="AY61" s="356">
        <f t="shared" si="362"/>
        <v>0.38288614938361104</v>
      </c>
      <c r="AZ61" s="356">
        <f t="shared" si="362"/>
        <v>0.14088598402323882</v>
      </c>
      <c r="BA61" s="575">
        <f t="shared" si="362"/>
        <v>1.1778425655976668</v>
      </c>
      <c r="BB61" s="355">
        <f t="shared" si="362"/>
        <v>7.8093597473442397E-2</v>
      </c>
      <c r="BC61" s="356">
        <f t="shared" si="362"/>
        <v>0.13264427217915575</v>
      </c>
      <c r="BD61" s="356">
        <f t="shared" si="362"/>
        <v>0.15503875968992251</v>
      </c>
      <c r="BE61" s="356">
        <f t="shared" si="362"/>
        <v>0.14359563469270495</v>
      </c>
      <c r="BF61" s="575">
        <f t="shared" si="362"/>
        <v>0.50947731188971801</v>
      </c>
      <c r="BG61" s="355">
        <f t="shared" si="362"/>
        <v>0.11622620062517751</v>
      </c>
      <c r="BH61" s="356">
        <f t="shared" si="362"/>
        <v>0.17456288776085704</v>
      </c>
      <c r="BI61" s="356">
        <f t="shared" si="362"/>
        <v>0.18056338028169</v>
      </c>
      <c r="BJ61" s="356">
        <f t="shared" si="362"/>
        <v>0.23176206509539854</v>
      </c>
      <c r="BK61" s="575">
        <f t="shared" si="362"/>
        <v>0.70460321942953952</v>
      </c>
      <c r="BL61" s="356">
        <f t="shared" si="362"/>
        <v>0.16129935592271066</v>
      </c>
      <c r="BM61" s="356">
        <f t="shared" si="362"/>
        <v>0.21246854906346108</v>
      </c>
      <c r="BN61" s="356">
        <f t="shared" si="362"/>
        <v>0.22814856185423066</v>
      </c>
      <c r="BO61" s="356">
        <f t="shared" si="362"/>
        <v>0.25251116071428559</v>
      </c>
      <c r="BP61" s="575">
        <f t="shared" si="362"/>
        <v>0.85460769929434743</v>
      </c>
      <c r="BQ61" s="356">
        <f t="shared" si="362"/>
        <v>0.1993318485523386</v>
      </c>
      <c r="BR61" s="356">
        <f t="shared" si="362"/>
        <v>0.2429048414023372</v>
      </c>
      <c r="BS61" s="356">
        <f t="shared" si="362"/>
        <v>0.37778396436525602</v>
      </c>
      <c r="BT61" s="356">
        <f t="shared" si="362"/>
        <v>9.8518715157950645E-2</v>
      </c>
      <c r="BU61" s="355">
        <f t="shared" si="362"/>
        <v>0.91223650739085582</v>
      </c>
      <c r="BV61" s="355">
        <f t="shared" si="362"/>
        <v>0.12959462297836563</v>
      </c>
      <c r="BW61" s="356">
        <f t="shared" si="362"/>
        <v>0.23545473639991615</v>
      </c>
      <c r="BX61" s="356">
        <f t="shared" si="362"/>
        <v>0.25771896660365456</v>
      </c>
      <c r="BY61" s="356">
        <f t="shared" si="362"/>
        <v>0.2327242176013439</v>
      </c>
      <c r="BZ61" s="357">
        <f t="shared" si="362"/>
        <v>0.8554925435832802</v>
      </c>
      <c r="CA61" s="356">
        <f t="shared" si="362"/>
        <v>0.16031678082191766</v>
      </c>
      <c r="CB61" s="356">
        <f t="shared" si="362"/>
        <v>0.29596977329974783</v>
      </c>
      <c r="CC61" s="356">
        <f t="shared" ref="CC61:DH61" si="363">CC57/CC67</f>
        <v>0.31815320041972744</v>
      </c>
      <c r="CD61" s="356">
        <f t="shared" si="363"/>
        <v>0.32125552980830024</v>
      </c>
      <c r="CE61" s="575">
        <f t="shared" si="363"/>
        <v>1.0924369747899165</v>
      </c>
      <c r="CF61" s="356">
        <f t="shared" si="363"/>
        <v>0.3033731853116991</v>
      </c>
      <c r="CG61" s="356">
        <f t="shared" si="363"/>
        <v>0.40927462242076135</v>
      </c>
      <c r="CH61" s="356">
        <f>CH57/CH67</f>
        <v>0.42796430089247711</v>
      </c>
      <c r="CI61" s="356">
        <f t="shared" si="363"/>
        <v>0.44239592183517412</v>
      </c>
      <c r="CJ61" s="575">
        <f t="shared" si="363"/>
        <v>1.5834459279748914</v>
      </c>
      <c r="CK61" s="356">
        <f t="shared" si="363"/>
        <v>0.3580272822665268</v>
      </c>
      <c r="CL61" s="356">
        <f t="shared" si="363"/>
        <v>0.5056485355648539</v>
      </c>
      <c r="CM61" s="356">
        <f t="shared" si="363"/>
        <v>0.5758462181362306</v>
      </c>
      <c r="CN61" s="356">
        <f t="shared" si="363"/>
        <v>0.65833683326333514</v>
      </c>
      <c r="CO61" s="575">
        <f t="shared" si="363"/>
        <v>2.0979416540093232</v>
      </c>
      <c r="CP61" s="356">
        <f t="shared" si="363"/>
        <v>0.66110993880565483</v>
      </c>
      <c r="CQ61" s="356">
        <f t="shared" si="363"/>
        <v>0.60154011063140078</v>
      </c>
      <c r="CR61" s="356">
        <f t="shared" si="363"/>
        <v>0.6828521088275642</v>
      </c>
      <c r="CS61" s="356">
        <f t="shared" si="363"/>
        <v>0.73007944855277751</v>
      </c>
      <c r="CT61" s="357">
        <f t="shared" si="363"/>
        <v>2.6754078027777957</v>
      </c>
      <c r="CU61" s="356">
        <f t="shared" si="363"/>
        <v>0.59558380380153197</v>
      </c>
      <c r="CV61" s="356">
        <f t="shared" si="363"/>
        <v>0.70519946922694898</v>
      </c>
      <c r="CW61" s="356">
        <f t="shared" si="363"/>
        <v>0.78857002258239217</v>
      </c>
      <c r="CX61" s="356">
        <f t="shared" si="363"/>
        <v>0.84309704726168322</v>
      </c>
      <c r="CY61" s="575">
        <f t="shared" si="363"/>
        <v>2.9322302483193732</v>
      </c>
      <c r="CZ61" s="356">
        <f t="shared" si="363"/>
        <v>0.66959012965211684</v>
      </c>
      <c r="DA61" s="356">
        <f t="shared" si="363"/>
        <v>0.81476214646944489</v>
      </c>
      <c r="DB61" s="356">
        <f t="shared" si="363"/>
        <v>0.90684547504622814</v>
      </c>
      <c r="DC61" s="356">
        <f t="shared" si="363"/>
        <v>0.9678075900666534</v>
      </c>
      <c r="DD61" s="575">
        <f t="shared" si="363"/>
        <v>3.3587450959002152</v>
      </c>
      <c r="DE61" s="356">
        <f t="shared" si="363"/>
        <v>0.76292337738886273</v>
      </c>
      <c r="DF61" s="356">
        <f t="shared" si="363"/>
        <v>0.88358158517652574</v>
      </c>
      <c r="DG61" s="356">
        <f t="shared" si="363"/>
        <v>0.98907076361489321</v>
      </c>
      <c r="DH61" s="356">
        <f t="shared" si="363"/>
        <v>0.9970500884003094</v>
      </c>
      <c r="DI61" s="575">
        <f t="shared" ref="DI61:DX61" si="364">DI57/DI67</f>
        <v>3.6324255420520197</v>
      </c>
      <c r="DJ61" s="356">
        <f t="shared" si="364"/>
        <v>0.87657293935013825</v>
      </c>
      <c r="DK61" s="356">
        <f t="shared" si="364"/>
        <v>1.0030953287260063</v>
      </c>
      <c r="DL61" s="356">
        <f t="shared" si="364"/>
        <v>1.1245943229445399</v>
      </c>
      <c r="DM61" s="356">
        <f t="shared" si="364"/>
        <v>1.1984576411483419</v>
      </c>
      <c r="DN61" s="575">
        <f t="shared" si="364"/>
        <v>4.202332149762575</v>
      </c>
      <c r="DO61" s="356">
        <f t="shared" si="364"/>
        <v>0.9922698217601581</v>
      </c>
      <c r="DP61" s="356">
        <f t="shared" si="364"/>
        <v>1.1350949126854812</v>
      </c>
      <c r="DQ61" s="356">
        <f t="shared" si="364"/>
        <v>1.2672416713607095</v>
      </c>
      <c r="DR61" s="356">
        <f t="shared" si="364"/>
        <v>1.3475473878791278</v>
      </c>
      <c r="DS61" s="575">
        <f t="shared" si="364"/>
        <v>4.7417008378315151</v>
      </c>
      <c r="DT61" s="356">
        <f t="shared" si="364"/>
        <v>1.0355823444288106</v>
      </c>
      <c r="DU61" s="356">
        <f t="shared" si="364"/>
        <v>1.1692915765358676</v>
      </c>
      <c r="DV61" s="356">
        <f t="shared" si="364"/>
        <v>1.3308563888140115</v>
      </c>
      <c r="DW61" s="356">
        <f t="shared" si="364"/>
        <v>1.4262807006167648</v>
      </c>
      <c r="DX61" s="575">
        <f t="shared" si="364"/>
        <v>4.9614205827165412</v>
      </c>
      <c r="DY61" s="356">
        <f t="shared" ref="DY61:EC61" si="365">DY57/DY67</f>
        <v>1.1832800489318742</v>
      </c>
      <c r="DZ61" s="356">
        <f t="shared" si="365"/>
        <v>1.3410214493604273</v>
      </c>
      <c r="EA61" s="356">
        <f t="shared" si="365"/>
        <v>1.4875921405480257</v>
      </c>
      <c r="EB61" s="356">
        <f t="shared" si="365"/>
        <v>1.5912547889813093</v>
      </c>
      <c r="EC61" s="575">
        <f t="shared" si="365"/>
        <v>5.6025303051139765</v>
      </c>
      <c r="ED61" s="16"/>
      <c r="EE61" s="18"/>
      <c r="EF61" s="255"/>
      <c r="EG61" s="356">
        <f>EG57/EG67</f>
        <v>-1.0279796511627906</v>
      </c>
      <c r="EH61" s="356">
        <f>EH57/EH67</f>
        <v>-1.098113124650071</v>
      </c>
      <c r="EI61" s="356">
        <f>EI57/EI67</f>
        <v>-0.96672760511882994</v>
      </c>
      <c r="EJ61" s="356">
        <f>EJ57/EJ67</f>
        <v>1.1778425655976668</v>
      </c>
      <c r="EK61" s="356">
        <f t="shared" si="345"/>
        <v>0.50947731188971801</v>
      </c>
      <c r="EL61" s="356">
        <f t="shared" si="346"/>
        <v>0.70460321942953952</v>
      </c>
      <c r="EM61" s="356">
        <f t="shared" si="347"/>
        <v>0.85460769929434743</v>
      </c>
      <c r="EN61" s="356">
        <f t="shared" si="348"/>
        <v>0.91223650739085582</v>
      </c>
      <c r="EO61" s="356">
        <f t="shared" si="264"/>
        <v>1.0924369747899165</v>
      </c>
      <c r="EP61" s="356">
        <f t="shared" si="349"/>
        <v>1.5834459279748914</v>
      </c>
      <c r="EQ61" s="356">
        <f t="shared" si="350"/>
        <v>2.0979416540093232</v>
      </c>
      <c r="ER61" s="358">
        <f t="shared" si="351"/>
        <v>2.6754078027777957</v>
      </c>
      <c r="ES61" s="16"/>
      <c r="ET61" s="16"/>
      <c r="EU61" s="16"/>
      <c r="EX61" s="559" t="s">
        <v>386</v>
      </c>
      <c r="EY61" s="963">
        <f t="shared" si="285"/>
        <v>0.66110993880565483</v>
      </c>
      <c r="EZ61" s="963">
        <v>0.54935284667017659</v>
      </c>
      <c r="FA61" s="963">
        <f t="shared" si="239"/>
        <v>0.11175709213547824</v>
      </c>
      <c r="FB61" s="963">
        <f t="shared" si="284"/>
        <v>0.3580272822665268</v>
      </c>
      <c r="FC61" s="964">
        <f t="shared" si="148"/>
        <v>0.84653508699234759</v>
      </c>
      <c r="FD61" s="16"/>
    </row>
    <row r="62" spans="1:166" ht="12.75" customHeight="1" x14ac:dyDescent="0.2">
      <c r="A62" s="1597" t="s">
        <v>765</v>
      </c>
      <c r="B62" s="357"/>
      <c r="C62" s="355"/>
      <c r="D62" s="356"/>
      <c r="E62" s="356"/>
      <c r="F62" s="358"/>
      <c r="G62" s="357"/>
      <c r="H62" s="355"/>
      <c r="I62" s="356"/>
      <c r="J62" s="356"/>
      <c r="K62" s="356"/>
      <c r="L62" s="357"/>
      <c r="M62" s="356"/>
      <c r="N62" s="356"/>
      <c r="O62" s="356"/>
      <c r="P62" s="356"/>
      <c r="Q62" s="357"/>
      <c r="R62" s="356"/>
      <c r="S62" s="356"/>
      <c r="T62" s="356"/>
      <c r="U62" s="356"/>
      <c r="V62" s="357"/>
      <c r="W62" s="356"/>
      <c r="X62" s="356"/>
      <c r="Y62" s="356"/>
      <c r="Z62" s="356"/>
      <c r="AA62" s="357"/>
      <c r="AB62" s="356"/>
      <c r="AC62" s="356"/>
      <c r="AD62" s="356"/>
      <c r="AE62" s="356"/>
      <c r="AF62" s="357"/>
      <c r="AG62" s="356"/>
      <c r="AH62" s="356"/>
      <c r="AI62" s="356"/>
      <c r="AJ62" s="595"/>
      <c r="AK62" s="358"/>
      <c r="AL62" s="356"/>
      <c r="AM62" s="356"/>
      <c r="AN62" s="356"/>
      <c r="AO62" s="356"/>
      <c r="AP62" s="357"/>
      <c r="AQ62" s="356"/>
      <c r="AR62" s="356"/>
      <c r="AS62" s="356"/>
      <c r="AT62" s="356"/>
      <c r="AU62" s="357"/>
      <c r="AV62" s="243"/>
      <c r="AW62" s="356"/>
      <c r="AX62" s="356"/>
      <c r="AY62" s="356"/>
      <c r="AZ62" s="356"/>
      <c r="BA62" s="575"/>
      <c r="BB62" s="355"/>
      <c r="BC62" s="356"/>
      <c r="BD62" s="356"/>
      <c r="BE62" s="356"/>
      <c r="BF62" s="575"/>
      <c r="BG62" s="355"/>
      <c r="BH62" s="356"/>
      <c r="BI62" s="356"/>
      <c r="BJ62" s="356"/>
      <c r="BK62" s="575"/>
      <c r="BL62" s="356"/>
      <c r="BM62" s="356"/>
      <c r="BN62" s="356"/>
      <c r="BO62" s="356"/>
      <c r="BP62" s="575"/>
      <c r="BQ62" s="356"/>
      <c r="BR62" s="356"/>
      <c r="BS62" s="356"/>
      <c r="BT62" s="356"/>
      <c r="BU62" s="575"/>
      <c r="BV62" s="1276">
        <f t="shared" ref="BV62:DA62" si="366">BV236</f>
        <v>0.12875446334803586</v>
      </c>
      <c r="BW62" s="1276">
        <f t="shared" si="366"/>
        <v>0.24154589371980692</v>
      </c>
      <c r="BX62" s="1276">
        <f t="shared" si="366"/>
        <v>0.29741650913673584</v>
      </c>
      <c r="BY62" s="1276">
        <f t="shared" si="366"/>
        <v>0.19680739340474657</v>
      </c>
      <c r="BZ62" s="357">
        <f t="shared" si="366"/>
        <v>0.86452425960932522</v>
      </c>
      <c r="CA62" s="356">
        <f t="shared" si="366"/>
        <v>0.11215753424657521</v>
      </c>
      <c r="CB62" s="356">
        <f t="shared" si="366"/>
        <v>0.27581863979848842</v>
      </c>
      <c r="CC62" s="356">
        <f t="shared" si="366"/>
        <v>0.29527806925498451</v>
      </c>
      <c r="CD62" s="356">
        <f t="shared" si="366"/>
        <v>0.31788497998736071</v>
      </c>
      <c r="CE62" s="575">
        <f t="shared" si="366"/>
        <v>0.99873949579831978</v>
      </c>
      <c r="CF62" s="356">
        <f t="shared" si="366"/>
        <v>0.25192143467122091</v>
      </c>
      <c r="CG62" s="356">
        <f t="shared" si="366"/>
        <v>0.43501382684535184</v>
      </c>
      <c r="CH62" s="356">
        <f t="shared" si="366"/>
        <v>0.41925201869953199</v>
      </c>
      <c r="CI62" s="356">
        <f>CI236</f>
        <v>0.5192863211554799</v>
      </c>
      <c r="CJ62" s="575">
        <f t="shared" si="366"/>
        <v>1.6262141603276761</v>
      </c>
      <c r="CK62" s="356">
        <f t="shared" si="366"/>
        <v>0.33620146904512072</v>
      </c>
      <c r="CL62" s="356">
        <f t="shared" si="366"/>
        <v>0.42866108786610907</v>
      </c>
      <c r="CM62" s="356">
        <f t="shared" si="366"/>
        <v>0.53886335144170494</v>
      </c>
      <c r="CN62" s="356">
        <f t="shared" si="366"/>
        <v>0.63229735405291931</v>
      </c>
      <c r="CO62" s="575">
        <f t="shared" si="366"/>
        <v>1.9359974859896301</v>
      </c>
      <c r="CP62" s="356">
        <f t="shared" si="366"/>
        <v>0.62650348174720372</v>
      </c>
      <c r="CQ62" s="356">
        <f t="shared" si="366"/>
        <v>0.56101110121116504</v>
      </c>
      <c r="CR62" s="356">
        <f t="shared" si="366"/>
        <v>0.64226494494438624</v>
      </c>
      <c r="CS62" s="356">
        <f t="shared" si="366"/>
        <v>0.68941685828290555</v>
      </c>
      <c r="CT62" s="357">
        <f t="shared" si="366"/>
        <v>2.519002323162761</v>
      </c>
      <c r="CU62" s="356">
        <f t="shared" si="366"/>
        <v>0.55651603104748781</v>
      </c>
      <c r="CV62" s="356">
        <f t="shared" si="366"/>
        <v>0.66620215283166806</v>
      </c>
      <c r="CW62" s="356">
        <f t="shared" si="366"/>
        <v>0.74951291943710896</v>
      </c>
      <c r="CX62" s="356">
        <f t="shared" si="366"/>
        <v>0.80396350813165784</v>
      </c>
      <c r="CY62" s="575">
        <f t="shared" si="366"/>
        <v>2.7759747560701276</v>
      </c>
      <c r="CZ62" s="356">
        <f t="shared" si="366"/>
        <v>0.63051661133038617</v>
      </c>
      <c r="DA62" s="356">
        <f t="shared" si="366"/>
        <v>0.77576276931771382</v>
      </c>
      <c r="DB62" s="356">
        <f t="shared" ref="DB62:DX62" si="367">DB236</f>
        <v>0.86778217000403335</v>
      </c>
      <c r="DC62" s="356">
        <f t="shared" si="367"/>
        <v>0.92866367284048912</v>
      </c>
      <c r="DD62" s="575">
        <f t="shared" si="367"/>
        <v>3.2024652470925981</v>
      </c>
      <c r="DE62" s="356">
        <f t="shared" si="367"/>
        <v>0.76292337738886273</v>
      </c>
      <c r="DF62" s="356">
        <f t="shared" si="367"/>
        <v>0.88358158517652574</v>
      </c>
      <c r="DG62" s="356">
        <f t="shared" si="367"/>
        <v>0.98907076361489321</v>
      </c>
      <c r="DH62" s="356">
        <f t="shared" si="367"/>
        <v>0.9970500884003094</v>
      </c>
      <c r="DI62" s="575">
        <f t="shared" si="367"/>
        <v>3.6324255420520197</v>
      </c>
      <c r="DJ62" s="356">
        <f t="shared" si="367"/>
        <v>0.87657293935013825</v>
      </c>
      <c r="DK62" s="356">
        <f t="shared" si="367"/>
        <v>1.0030953287260063</v>
      </c>
      <c r="DL62" s="356">
        <f t="shared" si="367"/>
        <v>1.1245943229445399</v>
      </c>
      <c r="DM62" s="356">
        <f t="shared" si="367"/>
        <v>1.1984576411483419</v>
      </c>
      <c r="DN62" s="575">
        <f t="shared" si="367"/>
        <v>4.202332149762575</v>
      </c>
      <c r="DO62" s="356">
        <f t="shared" si="367"/>
        <v>0.9922698217601581</v>
      </c>
      <c r="DP62" s="356">
        <f t="shared" si="367"/>
        <v>1.1350949126854812</v>
      </c>
      <c r="DQ62" s="356">
        <f t="shared" si="367"/>
        <v>1.2672416713607095</v>
      </c>
      <c r="DR62" s="356">
        <f t="shared" si="367"/>
        <v>1.3475473878791278</v>
      </c>
      <c r="DS62" s="575">
        <f t="shared" si="367"/>
        <v>4.7417008378315151</v>
      </c>
      <c r="DT62" s="356">
        <f t="shared" si="367"/>
        <v>1.0355823444288106</v>
      </c>
      <c r="DU62" s="356">
        <f t="shared" si="367"/>
        <v>1.1692915765358676</v>
      </c>
      <c r="DV62" s="356">
        <f t="shared" si="367"/>
        <v>1.3308563888140115</v>
      </c>
      <c r="DW62" s="356">
        <f t="shared" si="367"/>
        <v>1.4262807006167648</v>
      </c>
      <c r="DX62" s="575">
        <f t="shared" si="367"/>
        <v>4.9614205827165412</v>
      </c>
      <c r="DY62" s="356">
        <f t="shared" ref="DY62:EC62" si="368">DY236</f>
        <v>1.1832800489318742</v>
      </c>
      <c r="DZ62" s="356">
        <f t="shared" si="368"/>
        <v>1.3410214493604273</v>
      </c>
      <c r="EA62" s="356">
        <f t="shared" si="368"/>
        <v>1.4875921405480257</v>
      </c>
      <c r="EB62" s="356">
        <f t="shared" si="368"/>
        <v>1.5912547889813093</v>
      </c>
      <c r="EC62" s="575">
        <f t="shared" si="368"/>
        <v>5.6025303051139765</v>
      </c>
      <c r="ED62" s="25"/>
      <c r="EE62" s="111"/>
      <c r="EF62" s="112"/>
      <c r="EG62" s="356"/>
      <c r="EH62" s="356"/>
      <c r="EI62" s="356"/>
      <c r="EJ62" s="356"/>
      <c r="EK62" s="356"/>
      <c r="EL62" s="356"/>
      <c r="EM62" s="356"/>
      <c r="EN62" s="356"/>
      <c r="EO62" s="356">
        <f t="shared" ref="EO62" si="369">CE62</f>
        <v>0.99873949579831978</v>
      </c>
      <c r="EP62" s="356">
        <f t="shared" ref="EP62" si="370">CJ62</f>
        <v>1.6262141603276761</v>
      </c>
      <c r="EQ62" s="356">
        <f t="shared" ref="EQ62" si="371">CO62</f>
        <v>1.9359974859896301</v>
      </c>
      <c r="ER62" s="358">
        <f t="shared" si="351"/>
        <v>2.519002323162761</v>
      </c>
      <c r="ES62" s="25"/>
      <c r="ET62" s="25"/>
      <c r="EU62" s="25"/>
      <c r="EX62" s="496"/>
      <c r="EY62" s="1259"/>
      <c r="EZ62" s="1259"/>
      <c r="FA62" s="1259"/>
      <c r="FB62" s="1259"/>
      <c r="FC62" s="957"/>
      <c r="FD62" s="25"/>
    </row>
    <row r="63" spans="1:166" ht="12.75" customHeight="1" x14ac:dyDescent="0.2">
      <c r="A63" s="374" t="s">
        <v>385</v>
      </c>
      <c r="B63" s="374"/>
      <c r="C63" s="121"/>
      <c r="D63" s="282"/>
      <c r="E63" s="282"/>
      <c r="F63" s="381"/>
      <c r="G63" s="374"/>
      <c r="H63" s="121"/>
      <c r="I63" s="282"/>
      <c r="J63" s="282"/>
      <c r="K63" s="381"/>
      <c r="L63" s="374"/>
      <c r="M63" s="121"/>
      <c r="N63" s="282"/>
      <c r="O63" s="282"/>
      <c r="P63" s="282"/>
      <c r="Q63" s="374"/>
      <c r="R63" s="282"/>
      <c r="S63" s="282"/>
      <c r="T63" s="282"/>
      <c r="U63" s="282">
        <f>U60/U67</f>
        <v>0.1343283582089552</v>
      </c>
      <c r="V63" s="374">
        <f>SUM(R63:U63)</f>
        <v>0.1343283582089552</v>
      </c>
      <c r="W63" s="282">
        <f>W60/W67</f>
        <v>-7.5332348596750365E-2</v>
      </c>
      <c r="X63" s="282">
        <f>X60/X67</f>
        <v>-2.2140221402214021E-2</v>
      </c>
      <c r="Y63" s="282">
        <f>Y60/Y67</f>
        <v>-0.17712177121771217</v>
      </c>
      <c r="Z63" s="282">
        <f>Z60/Z67</f>
        <v>-0.2491363273983524</v>
      </c>
      <c r="AA63" s="374">
        <f>(IS!AA224*(1-0.4))/AA67</f>
        <v>0.59339844232908889</v>
      </c>
      <c r="AB63" s="121">
        <f>(IS!AB224*(1-0.4))/AB67</f>
        <v>0</v>
      </c>
      <c r="AC63" s="282">
        <f>(IS!AC224*(1-0.4))/AC67</f>
        <v>0</v>
      </c>
      <c r="AD63" s="282">
        <f>(IS!AD224*(1-0.4))/AD67</f>
        <v>0</v>
      </c>
      <c r="AE63" s="282">
        <f>AE60/AE67</f>
        <v>-0.11446220930232559</v>
      </c>
      <c r="AF63" s="374">
        <f>-(IS!AF224*(1-0.4))/AF67</f>
        <v>0</v>
      </c>
      <c r="AG63" s="121">
        <f>(IS!AG224*(1-0.4))/AG67</f>
        <v>0</v>
      </c>
      <c r="AH63" s="282">
        <f>(IS!AH224*(1-0.4))/AH67</f>
        <v>0</v>
      </c>
      <c r="AI63" s="282">
        <f>(IS!AI224*(1-0.4))/AI67</f>
        <v>0</v>
      </c>
      <c r="AJ63" s="596">
        <f>(IS!AJ224*(1-0.4))/AJ67</f>
        <v>0</v>
      </c>
      <c r="AK63" s="381">
        <f>(IS!AK224*(1-0.4))/AK67</f>
        <v>0</v>
      </c>
      <c r="AL63" s="121">
        <f t="shared" ref="AL63:AU63" si="372">AL60/AL67</f>
        <v>1.456664238892935E-2</v>
      </c>
      <c r="AM63" s="282">
        <f t="shared" si="372"/>
        <v>0</v>
      </c>
      <c r="AN63" s="282">
        <f t="shared" si="372"/>
        <v>0</v>
      </c>
      <c r="AO63" s="282">
        <f t="shared" si="372"/>
        <v>0</v>
      </c>
      <c r="AP63" s="374">
        <f t="shared" si="372"/>
        <v>1.4620487926217399E-2</v>
      </c>
      <c r="AQ63" s="121">
        <f t="shared" si="372"/>
        <v>0</v>
      </c>
      <c r="AR63" s="282">
        <f t="shared" si="372"/>
        <v>0</v>
      </c>
      <c r="AS63" s="282">
        <f t="shared" si="372"/>
        <v>-1.0204081632653052E-2</v>
      </c>
      <c r="AT63" s="282">
        <f t="shared" si="372"/>
        <v>5.8097312999273844E-3</v>
      </c>
      <c r="AU63" s="374">
        <f t="shared" si="372"/>
        <v>-4.3755697356426459E-3</v>
      </c>
      <c r="AV63" s="243"/>
      <c r="AW63" s="282">
        <f>AW61-AW64</f>
        <v>-1.0204081632653073E-2</v>
      </c>
      <c r="AX63" s="282">
        <f t="shared" ref="AX63:BU63" si="373">AX60/AX67</f>
        <v>5.8097312999273844E-3</v>
      </c>
      <c r="AY63" s="282">
        <f t="shared" si="373"/>
        <v>-7.6867295141406805E-2</v>
      </c>
      <c r="AZ63" s="282">
        <f t="shared" si="373"/>
        <v>0.92519970951343511</v>
      </c>
      <c r="BA63" s="576">
        <f t="shared" si="373"/>
        <v>0.84693877551020424</v>
      </c>
      <c r="BB63" s="121">
        <f t="shared" si="373"/>
        <v>9.5033017513637644E-2</v>
      </c>
      <c r="BC63" s="282">
        <f t="shared" si="373"/>
        <v>4.5937410278495558E-2</v>
      </c>
      <c r="BD63" s="282">
        <f t="shared" si="373"/>
        <v>4.3640539764570767E-2</v>
      </c>
      <c r="BE63" s="282">
        <f t="shared" si="373"/>
        <v>7.1797817346352669E-2</v>
      </c>
      <c r="BF63" s="576">
        <f t="shared" si="373"/>
        <v>0.25646180356117165</v>
      </c>
      <c r="BG63" s="121">
        <f t="shared" si="373"/>
        <v>7.5589656152316012E-2</v>
      </c>
      <c r="BH63" s="282">
        <f t="shared" si="373"/>
        <v>3.8635081782289908E-2</v>
      </c>
      <c r="BI63" s="282">
        <f t="shared" si="373"/>
        <v>0.1619718309859155</v>
      </c>
      <c r="BJ63" s="282">
        <f t="shared" si="373"/>
        <v>9.5398428731762075E-2</v>
      </c>
      <c r="BK63" s="576">
        <f t="shared" si="373"/>
        <v>0.37221123976277887</v>
      </c>
      <c r="BL63" s="282">
        <f t="shared" si="373"/>
        <v>6.1047325679081485E-2</v>
      </c>
      <c r="BM63" s="282">
        <f t="shared" si="373"/>
        <v>3.662286832541236E-2</v>
      </c>
      <c r="BN63" s="282">
        <f t="shared" si="373"/>
        <v>3.7698966769058921E-2</v>
      </c>
      <c r="BO63" s="282">
        <f t="shared" si="373"/>
        <v>6.6127232142857151E-2</v>
      </c>
      <c r="BP63" s="576">
        <f t="shared" si="373"/>
        <v>0.20149514427443582</v>
      </c>
      <c r="BQ63" s="282">
        <f t="shared" si="373"/>
        <v>3.1180400890868588E-2</v>
      </c>
      <c r="BR63" s="282">
        <f t="shared" si="373"/>
        <v>3.3945464663327755E-2</v>
      </c>
      <c r="BS63" s="282">
        <f t="shared" si="373"/>
        <v>0.44320712694877507</v>
      </c>
      <c r="BT63" s="282">
        <f t="shared" si="373"/>
        <v>1.168866471993629</v>
      </c>
      <c r="BU63" s="576">
        <f t="shared" si="373"/>
        <v>1.7130615331729115</v>
      </c>
      <c r="BV63" s="1277">
        <f>BV61-BV64</f>
        <v>1.2503269337156249</v>
      </c>
      <c r="BW63" s="1277">
        <f t="shared" ref="BW63:BZ63" si="374">BW61-BW64</f>
        <v>8.0580911560727247E-2</v>
      </c>
      <c r="BX63" s="1277">
        <f t="shared" si="374"/>
        <v>5.97971457229029E-2</v>
      </c>
      <c r="BY63" s="1277">
        <f t="shared" si="374"/>
        <v>0.29704880938758915</v>
      </c>
      <c r="BZ63" s="374">
        <f t="shared" si="374"/>
        <v>1.6877538003868449</v>
      </c>
      <c r="CA63" s="282">
        <f t="shared" ref="CA63:DF63" si="375">CA60/CA67</f>
        <v>0.19905821917808225</v>
      </c>
      <c r="CB63" s="282">
        <f t="shared" si="375"/>
        <v>0.24076406381192281</v>
      </c>
      <c r="CC63" s="282">
        <f t="shared" si="375"/>
        <v>7.6054564533053509E-2</v>
      </c>
      <c r="CD63" s="282">
        <f t="shared" si="375"/>
        <v>7.4868337897619569E-2</v>
      </c>
      <c r="CE63" s="576">
        <f t="shared" si="375"/>
        <v>0.58714285714285697</v>
      </c>
      <c r="CF63" s="282">
        <f t="shared" si="375"/>
        <v>8.8172502134927444E-2</v>
      </c>
      <c r="CG63" s="282">
        <f t="shared" si="375"/>
        <v>2.6164645820038284E-2</v>
      </c>
      <c r="CH63" s="282">
        <f t="shared" si="375"/>
        <v>6.4385890352741199E-2</v>
      </c>
      <c r="CI63" s="282">
        <f>CI60/CI67</f>
        <v>-5.4375531011045003E-2</v>
      </c>
      <c r="CJ63" s="576">
        <f t="shared" si="375"/>
        <v>0.1240491515506143</v>
      </c>
      <c r="CK63" s="282">
        <f t="shared" si="375"/>
        <v>0.15005246589716681</v>
      </c>
      <c r="CL63" s="282">
        <f t="shared" si="375"/>
        <v>0.13744769874476986</v>
      </c>
      <c r="CM63" s="282">
        <f t="shared" si="375"/>
        <v>0.20121186794818219</v>
      </c>
      <c r="CN63" s="282">
        <f t="shared" si="375"/>
        <v>-0.44288114237715243</v>
      </c>
      <c r="CO63" s="576">
        <f t="shared" si="375"/>
        <v>4.7347195307180692E-2</v>
      </c>
      <c r="CP63" s="282">
        <f t="shared" si="375"/>
        <v>7.2800168811985658E-2</v>
      </c>
      <c r="CQ63" s="282">
        <f t="shared" si="375"/>
        <v>7.4979086873846759E-2</v>
      </c>
      <c r="CR63" s="282">
        <f t="shared" si="375"/>
        <v>6.3853952476835285E-2</v>
      </c>
      <c r="CS63" s="282">
        <f t="shared" si="375"/>
        <v>6.7114315389154244E-2</v>
      </c>
      <c r="CT63" s="374">
        <f t="shared" si="375"/>
        <v>0.27874526746393996</v>
      </c>
      <c r="CU63" s="282">
        <f t="shared" si="375"/>
        <v>4.9313194385602735E-2</v>
      </c>
      <c r="CV63" s="282">
        <f t="shared" si="375"/>
        <v>7.4676644109923265E-2</v>
      </c>
      <c r="CW63" s="282">
        <f t="shared" si="375"/>
        <v>6.2995040183239592E-2</v>
      </c>
      <c r="CX63" s="282">
        <f t="shared" si="375"/>
        <v>6.641791616018787E-2</v>
      </c>
      <c r="CY63" s="576">
        <f t="shared" si="375"/>
        <v>0.25341800406854209</v>
      </c>
      <c r="CZ63" s="282">
        <f t="shared" si="375"/>
        <v>4.8997966071411499E-2</v>
      </c>
      <c r="DA63" s="282">
        <f t="shared" si="375"/>
        <v>7.5631407950351462E-2</v>
      </c>
      <c r="DB63" s="282">
        <f t="shared" si="375"/>
        <v>6.3367521255547524E-2</v>
      </c>
      <c r="DC63" s="282">
        <f t="shared" si="375"/>
        <v>6.6963779456089043E-2</v>
      </c>
      <c r="DD63" s="576">
        <f t="shared" si="375"/>
        <v>0.25497738450448304</v>
      </c>
      <c r="DE63" s="282">
        <f t="shared" si="375"/>
        <v>1.7794108197181722E-2</v>
      </c>
      <c r="DF63" s="282">
        <f t="shared" si="375"/>
        <v>4.5822873703931066E-2</v>
      </c>
      <c r="DG63" s="282">
        <f t="shared" ref="DG63:DX63" si="376">DG60/DG67</f>
        <v>3.2893753306309302E-2</v>
      </c>
      <c r="DH63" s="282">
        <f t="shared" si="376"/>
        <v>3.6605230990437228E-2</v>
      </c>
      <c r="DI63" s="576">
        <f t="shared" si="376"/>
        <v>0.133134589155884</v>
      </c>
      <c r="DJ63" s="282">
        <f t="shared" si="376"/>
        <v>1.7441509176990902E-2</v>
      </c>
      <c r="DK63" s="282">
        <f t="shared" si="376"/>
        <v>4.6874099335925713E-2</v>
      </c>
      <c r="DL63" s="282">
        <f t="shared" si="376"/>
        <v>3.3299622500666204E-2</v>
      </c>
      <c r="DM63" s="282">
        <f t="shared" si="376"/>
        <v>3.7199302878216038E-2</v>
      </c>
      <c r="DN63" s="576">
        <f t="shared" si="376"/>
        <v>0.13483505644574623</v>
      </c>
      <c r="DO63" s="282">
        <f t="shared" si="376"/>
        <v>1.7071237842910963E-2</v>
      </c>
      <c r="DP63" s="282">
        <f t="shared" si="376"/>
        <v>4.7978114477058263E-2</v>
      </c>
      <c r="DQ63" s="282">
        <f t="shared" si="376"/>
        <v>3.3726134551598584E-2</v>
      </c>
      <c r="DR63" s="282">
        <f t="shared" si="376"/>
        <v>3.7823825591858026E-2</v>
      </c>
      <c r="DS63" s="576">
        <f t="shared" si="376"/>
        <v>0.13662195854574755</v>
      </c>
      <c r="DT63" s="282">
        <f t="shared" si="376"/>
        <v>1.6682397966127607E-2</v>
      </c>
      <c r="DU63" s="282">
        <f t="shared" si="376"/>
        <v>4.9137586760742445E-2</v>
      </c>
      <c r="DV63" s="282">
        <f t="shared" si="376"/>
        <v>3.4174361221845959E-2</v>
      </c>
      <c r="DW63" s="282">
        <f t="shared" si="376"/>
        <v>3.848041025589357E-2</v>
      </c>
      <c r="DX63" s="576">
        <f t="shared" si="376"/>
        <v>0.13849977806544145</v>
      </c>
      <c r="DY63" s="282">
        <f t="shared" ref="DY63:EC63" si="377">DY60/DY67</f>
        <v>1.6274046250747222E-2</v>
      </c>
      <c r="DZ63" s="282">
        <f t="shared" si="377"/>
        <v>5.0355320788518683E-2</v>
      </c>
      <c r="EA63" s="282">
        <f t="shared" si="377"/>
        <v>3.4645432625324588E-2</v>
      </c>
      <c r="EB63" s="282">
        <f t="shared" si="377"/>
        <v>3.9170759610893745E-2</v>
      </c>
      <c r="EC63" s="576">
        <f t="shared" si="377"/>
        <v>0.14047324115955462</v>
      </c>
      <c r="ED63" s="16"/>
      <c r="EE63" s="19"/>
      <c r="EF63" s="21"/>
      <c r="EG63" s="282">
        <f>EG60/EG67</f>
        <v>0</v>
      </c>
      <c r="EH63" s="282">
        <f>EH60/EH67</f>
        <v>0</v>
      </c>
      <c r="EI63" s="282">
        <f>EI60/EI67</f>
        <v>0</v>
      </c>
      <c r="EJ63" s="282">
        <f>EJ60/EJ67</f>
        <v>0</v>
      </c>
      <c r="EK63" s="282">
        <f t="shared" si="345"/>
        <v>0.25646180356117165</v>
      </c>
      <c r="EL63" s="282">
        <f t="shared" si="346"/>
        <v>0.37221123976277887</v>
      </c>
      <c r="EM63" s="282">
        <f t="shared" si="347"/>
        <v>0.20149514427443582</v>
      </c>
      <c r="EN63" s="282">
        <f t="shared" si="348"/>
        <v>1.7130615331729115</v>
      </c>
      <c r="EO63" s="282">
        <f t="shared" si="264"/>
        <v>0.58714285714285697</v>
      </c>
      <c r="EP63" s="282">
        <f t="shared" si="349"/>
        <v>0.1240491515506143</v>
      </c>
      <c r="EQ63" s="282">
        <f t="shared" si="350"/>
        <v>4.7347195307180692E-2</v>
      </c>
      <c r="ER63" s="381">
        <f t="shared" si="351"/>
        <v>0.27874526746393996</v>
      </c>
      <c r="ES63" s="16"/>
      <c r="ET63" s="16"/>
      <c r="EU63" s="16"/>
      <c r="EX63" s="560" t="s">
        <v>385</v>
      </c>
      <c r="EY63" s="965">
        <f>CP63</f>
        <v>7.2800168811985658E-2</v>
      </c>
      <c r="EZ63" s="965">
        <v>6.3535398796493406E-2</v>
      </c>
      <c r="FA63" s="965">
        <f t="shared" si="239"/>
        <v>9.2647700154922519E-3</v>
      </c>
      <c r="FB63" s="965">
        <f>CK63</f>
        <v>0.15005246589716681</v>
      </c>
      <c r="FC63" s="549">
        <f t="shared" si="148"/>
        <v>-0.51483523861662694</v>
      </c>
      <c r="FD63" s="16"/>
    </row>
    <row r="64" spans="1:166" ht="12.75" customHeight="1" x14ac:dyDescent="0.2">
      <c r="A64" s="1598" t="s">
        <v>791</v>
      </c>
      <c r="B64" s="357">
        <f t="shared" ref="B64:V64" si="378">B51/B67</f>
        <v>-0.52044813178844918</v>
      </c>
      <c r="C64" s="355">
        <f t="shared" si="378"/>
        <v>0</v>
      </c>
      <c r="D64" s="356">
        <f t="shared" si="378"/>
        <v>0</v>
      </c>
      <c r="E64" s="356">
        <f t="shared" si="378"/>
        <v>0</v>
      </c>
      <c r="F64" s="358">
        <f t="shared" si="378"/>
        <v>0</v>
      </c>
      <c r="G64" s="357">
        <f t="shared" si="378"/>
        <v>-1.1992935210777307</v>
      </c>
      <c r="H64" s="355">
        <f t="shared" si="378"/>
        <v>0</v>
      </c>
      <c r="I64" s="356">
        <f t="shared" si="378"/>
        <v>0</v>
      </c>
      <c r="J64" s="356">
        <f t="shared" si="378"/>
        <v>0</v>
      </c>
      <c r="K64" s="356">
        <f t="shared" si="378"/>
        <v>0</v>
      </c>
      <c r="L64" s="357">
        <f t="shared" si="378"/>
        <v>-0.47519177250249706</v>
      </c>
      <c r="M64" s="356">
        <f t="shared" si="378"/>
        <v>0</v>
      </c>
      <c r="N64" s="356">
        <f t="shared" si="378"/>
        <v>0</v>
      </c>
      <c r="O64" s="356">
        <f t="shared" si="378"/>
        <v>0</v>
      </c>
      <c r="P64" s="356">
        <f t="shared" si="378"/>
        <v>0</v>
      </c>
      <c r="Q64" s="357">
        <f t="shared" si="378"/>
        <v>-0.51290540524079042</v>
      </c>
      <c r="R64" s="356">
        <f t="shared" si="378"/>
        <v>-0.32649253731343281</v>
      </c>
      <c r="S64" s="356">
        <f t="shared" si="378"/>
        <v>-0.28917910447761191</v>
      </c>
      <c r="T64" s="356">
        <f t="shared" si="378"/>
        <v>-0.14925373134328357</v>
      </c>
      <c r="U64" s="356">
        <f t="shared" si="378"/>
        <v>-0.20522388059701491</v>
      </c>
      <c r="V64" s="357">
        <f t="shared" si="378"/>
        <v>-0.97287184284377914</v>
      </c>
      <c r="W64" s="356">
        <f>W51/W66</f>
        <v>-0.44495069946249954</v>
      </c>
      <c r="X64" s="356">
        <f>X51/X66</f>
        <v>-0.38088151927437641</v>
      </c>
      <c r="Y64" s="356">
        <f>Y51/Y66</f>
        <v>-0.24231127679403541</v>
      </c>
      <c r="Z64" s="356">
        <f>Z51/Z67</f>
        <v>-0.19100451767207016</v>
      </c>
      <c r="AA64" s="357">
        <f>AA51/AA66</f>
        <v>-1.2382605055939726</v>
      </c>
      <c r="AB64" s="356">
        <f t="shared" ref="AB64:AU64" si="379">AB51/AB67</f>
        <v>-0.30905077262693154</v>
      </c>
      <c r="AC64" s="356">
        <f t="shared" si="379"/>
        <v>-0.27106227106227104</v>
      </c>
      <c r="AD64" s="356">
        <f t="shared" si="379"/>
        <v>-0.20408163265306123</v>
      </c>
      <c r="AE64" s="356">
        <f t="shared" si="379"/>
        <v>-0.26162790697674421</v>
      </c>
      <c r="AF64" s="357">
        <f t="shared" si="379"/>
        <v>-1.0453216374269005</v>
      </c>
      <c r="AG64" s="356">
        <f t="shared" si="379"/>
        <v>-0.34277414669571538</v>
      </c>
      <c r="AH64" s="356">
        <f t="shared" si="379"/>
        <v>-0.33357505438723711</v>
      </c>
      <c r="AI64" s="356">
        <f t="shared" si="379"/>
        <v>-0.29090909090909089</v>
      </c>
      <c r="AJ64" s="595">
        <f t="shared" si="379"/>
        <v>-0.22578295702840492</v>
      </c>
      <c r="AK64" s="358">
        <f t="shared" si="379"/>
        <v>-1.1933139534883719</v>
      </c>
      <c r="AL64" s="356">
        <f t="shared" si="379"/>
        <v>-0.29133284777858703</v>
      </c>
      <c r="AM64" s="356">
        <f t="shared" si="379"/>
        <v>-0.30481245896892745</v>
      </c>
      <c r="AN64" s="356">
        <f t="shared" si="379"/>
        <v>-0.21214337966349672</v>
      </c>
      <c r="AO64" s="356">
        <f t="shared" si="379"/>
        <v>-0.21068032187271396</v>
      </c>
      <c r="AP64" s="357">
        <f t="shared" si="379"/>
        <v>-1.0190480084573525</v>
      </c>
      <c r="AQ64" s="356">
        <f t="shared" si="379"/>
        <v>-0.2660818713450292</v>
      </c>
      <c r="AR64" s="356">
        <f t="shared" si="379"/>
        <v>-0.27777777777777773</v>
      </c>
      <c r="AS64" s="356">
        <f t="shared" si="379"/>
        <v>0.29883381924198232</v>
      </c>
      <c r="AT64" s="356">
        <f t="shared" si="379"/>
        <v>0.35584604212055165</v>
      </c>
      <c r="AU64" s="357">
        <f t="shared" si="379"/>
        <v>0.11376481312670865</v>
      </c>
      <c r="AV64" s="243"/>
      <c r="AW64" s="356">
        <f t="shared" ref="AW64:BU64" si="380">AW51/AW67</f>
        <v>0.29883381924198232</v>
      </c>
      <c r="AX64" s="356">
        <f t="shared" si="380"/>
        <v>0.35584604212055165</v>
      </c>
      <c r="AY64" s="356">
        <f t="shared" si="380"/>
        <v>0.45975344452501782</v>
      </c>
      <c r="AZ64" s="356">
        <f t="shared" si="380"/>
        <v>-0.7843137254901964</v>
      </c>
      <c r="BA64" s="575">
        <f t="shared" si="380"/>
        <v>0.33090379008746429</v>
      </c>
      <c r="BB64" s="355">
        <f t="shared" si="380"/>
        <v>-1.6939420040195243E-2</v>
      </c>
      <c r="BC64" s="356">
        <f t="shared" si="380"/>
        <v>8.6706861900660182E-2</v>
      </c>
      <c r="BD64" s="356">
        <f t="shared" si="380"/>
        <v>0.11139821992535177</v>
      </c>
      <c r="BE64" s="356">
        <f t="shared" si="380"/>
        <v>7.179781734635228E-2</v>
      </c>
      <c r="BF64" s="575">
        <f t="shared" si="380"/>
        <v>0.2530155083285463</v>
      </c>
      <c r="BG64" s="355">
        <f t="shared" si="380"/>
        <v>4.0636544472861511E-2</v>
      </c>
      <c r="BH64" s="356">
        <f t="shared" si="380"/>
        <v>0.13592780597856716</v>
      </c>
      <c r="BI64" s="356">
        <f t="shared" si="380"/>
        <v>1.8591549295774525E-2</v>
      </c>
      <c r="BJ64" s="356">
        <f t="shared" si="380"/>
        <v>0.13636363636363646</v>
      </c>
      <c r="BK64" s="575">
        <f t="shared" si="380"/>
        <v>0.33239197966676093</v>
      </c>
      <c r="BL64" s="356">
        <f t="shared" si="380"/>
        <v>0.10025203024362916</v>
      </c>
      <c r="BM64" s="356">
        <f t="shared" si="380"/>
        <v>0.17584568073804871</v>
      </c>
      <c r="BN64" s="356">
        <f t="shared" si="380"/>
        <v>0.19044959508517179</v>
      </c>
      <c r="BO64" s="356">
        <f t="shared" si="380"/>
        <v>0.18638392857142846</v>
      </c>
      <c r="BP64" s="575">
        <f t="shared" si="380"/>
        <v>0.65311255501991183</v>
      </c>
      <c r="BQ64" s="356">
        <f t="shared" si="380"/>
        <v>0.16815144766146997</v>
      </c>
      <c r="BR64" s="356">
        <f t="shared" si="380"/>
        <v>0.20895937673900941</v>
      </c>
      <c r="BS64" s="356">
        <f t="shared" si="380"/>
        <v>-6.542316258351899E-2</v>
      </c>
      <c r="BT64" s="356">
        <f t="shared" si="380"/>
        <v>-1.0337138306344571</v>
      </c>
      <c r="BU64" s="575">
        <f t="shared" si="380"/>
        <v>-0.76287383980749413</v>
      </c>
      <c r="BV64" s="1276">
        <f t="shared" ref="BV64:CE64" si="381">BV56/BV65</f>
        <v>-1.1207323107372593</v>
      </c>
      <c r="BW64" s="1276">
        <f t="shared" si="381"/>
        <v>0.15487382483918891</v>
      </c>
      <c r="BX64" s="1276">
        <f t="shared" si="381"/>
        <v>0.19792182088075166</v>
      </c>
      <c r="BY64" s="1276">
        <f t="shared" si="381"/>
        <v>-6.432459178624525E-2</v>
      </c>
      <c r="BZ64" s="357">
        <f t="shared" si="381"/>
        <v>-0.83226125680356466</v>
      </c>
      <c r="CA64" s="356">
        <f t="shared" si="381"/>
        <v>-4.8466864490603827E-2</v>
      </c>
      <c r="CB64" s="356">
        <f t="shared" si="381"/>
        <v>5.4347826086955799E-2</v>
      </c>
      <c r="CC64" s="356">
        <f t="shared" si="381"/>
        <v>0.24486166007905188</v>
      </c>
      <c r="CD64" s="356">
        <f t="shared" si="381"/>
        <v>0.24968583856935778</v>
      </c>
      <c r="CE64" s="357">
        <f t="shared" si="381"/>
        <v>0.50335422042019895</v>
      </c>
      <c r="CF64" s="356">
        <f>CF56/CF65</f>
        <v>0.22086956521739087</v>
      </c>
      <c r="CG64" s="356">
        <f>CG56/CG65</f>
        <v>0.38929336188436792</v>
      </c>
      <c r="CH64" s="356">
        <f>CH51/CH67</f>
        <v>0.50701232469188218</v>
      </c>
      <c r="CI64" s="356">
        <f>CI51/CI67</f>
        <v>0.64014443500424811</v>
      </c>
      <c r="CJ64" s="575">
        <f t="shared" ref="CJ64:DL64" si="382">CJ51/CJ67</f>
        <v>2.0338954199691464</v>
      </c>
      <c r="CK64" s="356">
        <f>CK56/CK65</f>
        <v>0.21389007243289318</v>
      </c>
      <c r="CL64" s="356">
        <f>CL56/CL65</f>
        <v>0.37955894826123893</v>
      </c>
      <c r="CM64" s="356">
        <f t="shared" si="382"/>
        <v>0.5156707062264938</v>
      </c>
      <c r="CN64" s="356">
        <f t="shared" si="382"/>
        <v>1.2146157076858468</v>
      </c>
      <c r="CO64" s="575">
        <f t="shared" si="382"/>
        <v>2.5879641753522238</v>
      </c>
      <c r="CP64" s="356">
        <f t="shared" si="382"/>
        <v>0.58830976999366913</v>
      </c>
      <c r="CQ64" s="356">
        <f t="shared" si="382"/>
        <v>0.52656102375755398</v>
      </c>
      <c r="CR64" s="356">
        <f t="shared" si="382"/>
        <v>0.61899815635072897</v>
      </c>
      <c r="CS64" s="356">
        <f t="shared" si="382"/>
        <v>0.66296513316362327</v>
      </c>
      <c r="CT64" s="357">
        <f t="shared" si="382"/>
        <v>2.396662535313856</v>
      </c>
      <c r="CU64" s="356">
        <f t="shared" si="382"/>
        <v>0.5462706094159292</v>
      </c>
      <c r="CV64" s="356">
        <f t="shared" si="382"/>
        <v>0.63052282511702584</v>
      </c>
      <c r="CW64" s="356">
        <f t="shared" si="382"/>
        <v>0.72557498239915263</v>
      </c>
      <c r="CX64" s="356">
        <f t="shared" si="382"/>
        <v>0.77667913110149522</v>
      </c>
      <c r="CY64" s="575">
        <f t="shared" si="382"/>
        <v>2.6788122442508309</v>
      </c>
      <c r="CZ64" s="356">
        <f t="shared" si="382"/>
        <v>0.62059216358070535</v>
      </c>
      <c r="DA64" s="356">
        <f t="shared" si="382"/>
        <v>0.73913073851909339</v>
      </c>
      <c r="DB64" s="356">
        <f t="shared" si="382"/>
        <v>0.84347795379068069</v>
      </c>
      <c r="DC64" s="356">
        <f t="shared" si="382"/>
        <v>0.9008438106105644</v>
      </c>
      <c r="DD64" s="575">
        <f t="shared" si="382"/>
        <v>3.1037677113957316</v>
      </c>
      <c r="DE64" s="356">
        <f t="shared" si="382"/>
        <v>0.74512926919168077</v>
      </c>
      <c r="DF64" s="356">
        <f t="shared" si="382"/>
        <v>0.83775871147259451</v>
      </c>
      <c r="DG64" s="356">
        <f t="shared" si="382"/>
        <v>0.95617701030858382</v>
      </c>
      <c r="DH64" s="356">
        <f t="shared" si="382"/>
        <v>0.96044485740987218</v>
      </c>
      <c r="DI64" s="575">
        <f t="shared" si="382"/>
        <v>3.499290952896136</v>
      </c>
      <c r="DJ64" s="356">
        <f t="shared" si="382"/>
        <v>0.85913143017314719</v>
      </c>
      <c r="DK64" s="356">
        <f t="shared" si="382"/>
        <v>0.95622122939008058</v>
      </c>
      <c r="DL64" s="356">
        <f t="shared" si="382"/>
        <v>1.0912947004438738</v>
      </c>
      <c r="DM64" s="356">
        <f t="shared" ref="DM64:DX64" si="383">DM51/DM67</f>
        <v>1.1612583382701258</v>
      </c>
      <c r="DN64" s="575">
        <f t="shared" si="383"/>
        <v>4.0674970933168284</v>
      </c>
      <c r="DO64" s="356">
        <f t="shared" si="383"/>
        <v>0.97519858391724712</v>
      </c>
      <c r="DP64" s="356">
        <f t="shared" si="383"/>
        <v>1.0871167982084231</v>
      </c>
      <c r="DQ64" s="356">
        <f t="shared" si="383"/>
        <v>1.2335155368091111</v>
      </c>
      <c r="DR64" s="356">
        <f t="shared" si="383"/>
        <v>1.3097235622872696</v>
      </c>
      <c r="DS64" s="575">
        <f t="shared" si="383"/>
        <v>4.6050788792857675</v>
      </c>
      <c r="DT64" s="356">
        <f t="shared" si="383"/>
        <v>1.0188999464626829</v>
      </c>
      <c r="DU64" s="356">
        <f t="shared" si="383"/>
        <v>1.1201539897751249</v>
      </c>
      <c r="DV64" s="356">
        <f t="shared" si="383"/>
        <v>1.2966820275921653</v>
      </c>
      <c r="DW64" s="356">
        <f t="shared" si="383"/>
        <v>1.3878002903608713</v>
      </c>
      <c r="DX64" s="575">
        <f t="shared" si="383"/>
        <v>4.8229208046511012</v>
      </c>
      <c r="DY64" s="356">
        <f t="shared" ref="DY64:EC64" si="384">DY51/DY67</f>
        <v>1.1670060026811273</v>
      </c>
      <c r="DZ64" s="356">
        <f t="shared" si="384"/>
        <v>1.290666128571909</v>
      </c>
      <c r="EA64" s="356">
        <f t="shared" si="384"/>
        <v>1.4529467079227012</v>
      </c>
      <c r="EB64" s="356">
        <f t="shared" si="384"/>
        <v>1.5520840293704157</v>
      </c>
      <c r="EC64" s="575">
        <f t="shared" si="384"/>
        <v>5.4620570639544219</v>
      </c>
      <c r="ED64" s="25"/>
      <c r="EE64" s="355">
        <f t="shared" ref="EE64:EJ64" si="385">EE51/EE67</f>
        <v>-1.0797444879456006</v>
      </c>
      <c r="EF64" s="356">
        <f t="shared" si="385"/>
        <v>-0.96911696787528667</v>
      </c>
      <c r="EG64" s="356">
        <f t="shared" si="385"/>
        <v>-1.1424418604651163</v>
      </c>
      <c r="EH64" s="356">
        <f t="shared" si="385"/>
        <v>-1.112696300276234</v>
      </c>
      <c r="EI64" s="356">
        <f t="shared" si="385"/>
        <v>-0.96672760511883016</v>
      </c>
      <c r="EJ64" s="356">
        <f t="shared" si="385"/>
        <v>0.33090379008746251</v>
      </c>
      <c r="EK64" s="356">
        <f t="shared" si="345"/>
        <v>0.2530155083285463</v>
      </c>
      <c r="EL64" s="356">
        <f t="shared" si="346"/>
        <v>0.33239197966676093</v>
      </c>
      <c r="EM64" s="356">
        <f t="shared" si="347"/>
        <v>0.65311255501991183</v>
      </c>
      <c r="EN64" s="356">
        <f t="shared" si="348"/>
        <v>-0.76287383980749413</v>
      </c>
      <c r="EO64" s="356">
        <f t="shared" si="264"/>
        <v>0.50335422042019895</v>
      </c>
      <c r="EP64" s="356">
        <f t="shared" si="349"/>
        <v>2.0338954199691464</v>
      </c>
      <c r="EQ64" s="356">
        <f t="shared" si="350"/>
        <v>2.5879641753522238</v>
      </c>
      <c r="ER64" s="358">
        <f t="shared" si="351"/>
        <v>2.396662535313856</v>
      </c>
      <c r="ES64" s="25"/>
      <c r="ET64" s="25"/>
      <c r="EU64" s="25"/>
      <c r="EX64" s="500" t="s">
        <v>221</v>
      </c>
      <c r="EY64" s="963">
        <f>CP64</f>
        <v>0.58830976999366913</v>
      </c>
      <c r="EZ64" s="963">
        <v>0.48581744787368308</v>
      </c>
      <c r="FA64" s="963">
        <f t="shared" si="239"/>
        <v>0.10249232211998605</v>
      </c>
      <c r="FB64" s="963">
        <f>CK64</f>
        <v>0.21389007243289318</v>
      </c>
      <c r="FC64" s="964">
        <f t="shared" si="148"/>
        <v>1.7505239644923121</v>
      </c>
      <c r="FD64" s="25"/>
    </row>
    <row r="65" spans="1:160" ht="12.75" customHeight="1" x14ac:dyDescent="0.2">
      <c r="A65" s="1599" t="s">
        <v>752</v>
      </c>
      <c r="B65" s="114"/>
      <c r="C65" s="111"/>
      <c r="D65" s="112"/>
      <c r="E65" s="112"/>
      <c r="F65" s="115"/>
      <c r="G65" s="114"/>
      <c r="H65" s="111"/>
      <c r="I65" s="112"/>
      <c r="J65" s="112"/>
      <c r="K65" s="112"/>
      <c r="L65" s="114"/>
      <c r="M65" s="112"/>
      <c r="N65" s="112"/>
      <c r="O65" s="112"/>
      <c r="P65" s="112"/>
      <c r="Q65" s="114"/>
      <c r="R65" s="112"/>
      <c r="S65" s="112"/>
      <c r="T65" s="112"/>
      <c r="U65" s="112"/>
      <c r="V65" s="113"/>
      <c r="W65" s="112"/>
      <c r="X65" s="112"/>
      <c r="Y65" s="112"/>
      <c r="Z65" s="112"/>
      <c r="AA65" s="114"/>
      <c r="AB65" s="112"/>
      <c r="AC65" s="112"/>
      <c r="AD65" s="112"/>
      <c r="AE65" s="112"/>
      <c r="AF65" s="114"/>
      <c r="AG65" s="112"/>
      <c r="AH65" s="112"/>
      <c r="AI65" s="112"/>
      <c r="AJ65" s="1257"/>
      <c r="AK65" s="115"/>
      <c r="AL65" s="112"/>
      <c r="AM65" s="112"/>
      <c r="AN65" s="112"/>
      <c r="AO65" s="112"/>
      <c r="AP65" s="114"/>
      <c r="AQ65" s="112"/>
      <c r="AR65" s="112"/>
      <c r="AS65" s="112"/>
      <c r="AT65" s="112"/>
      <c r="AU65" s="114"/>
      <c r="AV65" s="243"/>
      <c r="AW65" s="112"/>
      <c r="AX65" s="112"/>
      <c r="AY65" s="112"/>
      <c r="AZ65" s="112"/>
      <c r="BA65" s="1258"/>
      <c r="BB65" s="111"/>
      <c r="BC65" s="112"/>
      <c r="BD65" s="112"/>
      <c r="BE65" s="112"/>
      <c r="BF65" s="1258"/>
      <c r="BG65" s="112"/>
      <c r="BH65" s="112"/>
      <c r="BI65" s="112"/>
      <c r="BJ65" s="112"/>
      <c r="BK65" s="1258"/>
      <c r="BL65" s="112"/>
      <c r="BM65" s="112"/>
      <c r="BN65" s="112"/>
      <c r="BO65" s="112"/>
      <c r="BP65" s="1258"/>
      <c r="BQ65" s="112"/>
      <c r="BR65" s="112"/>
      <c r="BS65" s="112"/>
      <c r="BT65" s="112"/>
      <c r="BU65" s="1258"/>
      <c r="BV65" s="1568">
        <v>202.1</v>
      </c>
      <c r="BW65" s="1568">
        <v>202.1</v>
      </c>
      <c r="BX65" s="1568">
        <v>202.1</v>
      </c>
      <c r="BY65" s="1568">
        <v>202.1</v>
      </c>
      <c r="BZ65" s="1569">
        <f>BY65</f>
        <v>202.1</v>
      </c>
      <c r="CA65" s="1056">
        <v>202.2</v>
      </c>
      <c r="CB65" s="1056">
        <v>202.4</v>
      </c>
      <c r="CC65" s="1056">
        <v>202.4</v>
      </c>
      <c r="CD65" s="93">
        <v>206.9</v>
      </c>
      <c r="CE65" s="1569">
        <f>AVERAGE(CA65:CD65)</f>
        <v>203.47499999999999</v>
      </c>
      <c r="CF65" s="1056">
        <v>230</v>
      </c>
      <c r="CG65" s="93">
        <v>233.5</v>
      </c>
      <c r="CH65" s="93"/>
      <c r="CI65" s="93">
        <v>234.2</v>
      </c>
      <c r="CJ65" s="1569">
        <v>232.9</v>
      </c>
      <c r="CK65" s="93">
        <v>234.7</v>
      </c>
      <c r="CL65" s="93">
        <v>235.8</v>
      </c>
      <c r="CM65" s="93">
        <v>236.6</v>
      </c>
      <c r="CN65" s="93">
        <v>241.1</v>
      </c>
      <c r="CO65" s="1569">
        <v>237</v>
      </c>
      <c r="CP65" s="93">
        <v>245.9</v>
      </c>
      <c r="CQ65" s="112"/>
      <c r="CR65" s="112"/>
      <c r="CS65" s="112"/>
      <c r="CT65" s="1258"/>
      <c r="CU65" s="112"/>
      <c r="CV65" s="112"/>
      <c r="CW65" s="112"/>
      <c r="CX65" s="112"/>
      <c r="CY65" s="1258"/>
      <c r="CZ65" s="112"/>
      <c r="DA65" s="112"/>
      <c r="DB65" s="112"/>
      <c r="DC65" s="112"/>
      <c r="DD65" s="1258"/>
      <c r="DE65" s="112"/>
      <c r="DF65" s="112"/>
      <c r="DG65" s="112"/>
      <c r="DH65" s="112"/>
      <c r="DI65" s="1258"/>
      <c r="DJ65" s="112"/>
      <c r="DK65" s="112"/>
      <c r="DL65" s="112"/>
      <c r="DM65" s="112"/>
      <c r="DN65" s="1258"/>
      <c r="DO65" s="112"/>
      <c r="DP65" s="112"/>
      <c r="DQ65" s="112"/>
      <c r="DR65" s="112"/>
      <c r="DS65" s="1258"/>
      <c r="DT65" s="112"/>
      <c r="DU65" s="112"/>
      <c r="DV65" s="112"/>
      <c r="DW65" s="112"/>
      <c r="DX65" s="1258"/>
      <c r="DY65" s="112"/>
      <c r="DZ65" s="112"/>
      <c r="EA65" s="112"/>
      <c r="EB65" s="112"/>
      <c r="EC65" s="1258"/>
      <c r="ED65" s="25"/>
      <c r="EE65" s="111"/>
      <c r="EF65" s="112"/>
      <c r="EG65" s="112"/>
      <c r="EH65" s="112"/>
      <c r="EI65" s="112"/>
      <c r="EJ65" s="112"/>
      <c r="EK65" s="112"/>
      <c r="EL65" s="112"/>
      <c r="EM65" s="112"/>
      <c r="EN65" s="112"/>
      <c r="EO65" s="112"/>
      <c r="EP65" s="112"/>
      <c r="EQ65" s="112"/>
      <c r="ER65" s="115"/>
      <c r="ES65" s="25"/>
      <c r="ET65" s="25"/>
      <c r="EU65" s="25"/>
      <c r="EX65" s="496"/>
      <c r="EY65" s="1259"/>
      <c r="EZ65" s="1259"/>
      <c r="FA65" s="1259"/>
      <c r="FB65" s="1259"/>
      <c r="FC65" s="957"/>
      <c r="FD65" s="25"/>
    </row>
    <row r="66" spans="1:160" ht="12.75" hidden="1" customHeight="1" outlineLevel="1" x14ac:dyDescent="0.2">
      <c r="A66" s="215" t="s">
        <v>163</v>
      </c>
      <c r="B66" s="218"/>
      <c r="C66" s="258"/>
      <c r="D66" s="219"/>
      <c r="E66" s="219"/>
      <c r="F66" s="259"/>
      <c r="G66" s="218"/>
      <c r="H66" s="258"/>
      <c r="I66" s="219"/>
      <c r="J66" s="219"/>
      <c r="K66" s="219"/>
      <c r="L66" s="218"/>
      <c r="M66" s="219"/>
      <c r="N66" s="219"/>
      <c r="O66" s="219"/>
      <c r="P66" s="219"/>
      <c r="Q66" s="218"/>
      <c r="R66" s="219"/>
      <c r="S66" s="65"/>
      <c r="T66" s="65"/>
      <c r="U66" s="65"/>
      <c r="V66" s="688"/>
      <c r="W66" s="65">
        <v>112.372</v>
      </c>
      <c r="X66" s="65">
        <v>112.896</v>
      </c>
      <c r="Y66" s="65">
        <v>107.3</v>
      </c>
      <c r="Z66" s="65">
        <f>Z67</f>
        <v>120.416</v>
      </c>
      <c r="AA66" s="215">
        <v>114.67700000000001</v>
      </c>
      <c r="AB66" s="65">
        <v>135.9</v>
      </c>
      <c r="AC66" s="65">
        <v>136.455343</v>
      </c>
      <c r="AD66" s="65">
        <v>137.19999999999999</v>
      </c>
      <c r="AE66" s="65">
        <v>137.6</v>
      </c>
      <c r="AF66" s="215">
        <v>136.80000000000001</v>
      </c>
      <c r="AG66" s="65">
        <f>AG67</f>
        <v>137.69999999999999</v>
      </c>
      <c r="AH66" s="65">
        <f>AH67</f>
        <v>137.9</v>
      </c>
      <c r="AI66" s="65">
        <f>AI67</f>
        <v>137.5</v>
      </c>
      <c r="AJ66" s="689">
        <f>AJ67</f>
        <v>137.30000000000001</v>
      </c>
      <c r="AK66" s="257">
        <f>AVERAGE(AG66:AJ66)</f>
        <v>137.60000000000002</v>
      </c>
      <c r="AL66" s="65">
        <f>AL67</f>
        <v>137.30000000000001</v>
      </c>
      <c r="AM66" s="65">
        <f>AM67</f>
        <v>136.477361</v>
      </c>
      <c r="AN66" s="65">
        <f>AN67</f>
        <v>136.69999999999999</v>
      </c>
      <c r="AO66" s="65">
        <f>AO67</f>
        <v>136.69999999999999</v>
      </c>
      <c r="AP66" s="215">
        <f>AVERAGE(AL66:AO66)</f>
        <v>136.79434025</v>
      </c>
      <c r="AQ66" s="65">
        <f t="shared" ref="AQ66:AZ66" si="386">AQ67</f>
        <v>136.80000000000001</v>
      </c>
      <c r="AR66" s="65">
        <f t="shared" si="386"/>
        <v>136.80000000000001</v>
      </c>
      <c r="AS66" s="65">
        <f>AW66</f>
        <v>137.19999999999999</v>
      </c>
      <c r="AT66" s="65">
        <f>AX66</f>
        <v>137.69999999999999</v>
      </c>
      <c r="AU66" s="215">
        <f>AVERAGE(AQ66:AT66)</f>
        <v>137.125</v>
      </c>
      <c r="AV66" s="243"/>
      <c r="AW66" s="65">
        <f t="shared" si="386"/>
        <v>137.19999999999999</v>
      </c>
      <c r="AX66" s="65">
        <f t="shared" si="386"/>
        <v>137.69999999999999</v>
      </c>
      <c r="AY66" s="65">
        <v>137.9</v>
      </c>
      <c r="AZ66" s="65">
        <f t="shared" si="386"/>
        <v>137.69999999999999</v>
      </c>
      <c r="BA66" s="641"/>
      <c r="BB66" s="347"/>
      <c r="BC66" s="65"/>
      <c r="BD66" s="65"/>
      <c r="BE66" s="65"/>
      <c r="BF66" s="641"/>
      <c r="BG66" s="65"/>
      <c r="BH66" s="65"/>
      <c r="BI66" s="65"/>
      <c r="BJ66" s="65"/>
      <c r="BK66" s="641"/>
      <c r="BL66" s="65"/>
      <c r="BM66" s="65"/>
      <c r="BN66" s="65"/>
      <c r="BO66" s="65"/>
      <c r="BP66" s="641"/>
      <c r="BQ66" s="65"/>
      <c r="BR66" s="65"/>
      <c r="BS66" s="65"/>
      <c r="BT66" s="65"/>
      <c r="BU66" s="641"/>
      <c r="BV66" s="1265"/>
      <c r="BW66" s="1265"/>
      <c r="BX66" s="1265"/>
      <c r="BY66" s="1265"/>
      <c r="BZ66" s="641"/>
      <c r="CA66" s="65"/>
      <c r="CB66" s="65"/>
      <c r="CC66" s="65"/>
      <c r="CD66" s="1545"/>
      <c r="CE66" s="641"/>
      <c r="CF66" s="65"/>
      <c r="CG66" s="65"/>
      <c r="CH66" s="65"/>
      <c r="CI66" s="65"/>
      <c r="CJ66" s="641"/>
      <c r="CK66" s="65"/>
      <c r="CL66" s="65"/>
      <c r="CM66" s="65"/>
      <c r="CN66" s="65"/>
      <c r="CO66" s="641"/>
      <c r="CP66" s="65"/>
      <c r="CQ66" s="65"/>
      <c r="CR66" s="65"/>
      <c r="CS66" s="65"/>
      <c r="CT66" s="641"/>
      <c r="CU66" s="65"/>
      <c r="CV66" s="65"/>
      <c r="CW66" s="65"/>
      <c r="CX66" s="65"/>
      <c r="CY66" s="641"/>
      <c r="CZ66" s="65"/>
      <c r="DA66" s="65"/>
      <c r="DB66" s="65"/>
      <c r="DC66" s="65"/>
      <c r="DD66" s="641"/>
      <c r="DE66" s="65"/>
      <c r="DF66" s="65"/>
      <c r="DG66" s="65"/>
      <c r="DH66" s="65"/>
      <c r="DI66" s="641"/>
      <c r="DJ66" s="65"/>
      <c r="DK66" s="65"/>
      <c r="DL66" s="65"/>
      <c r="DM66" s="65"/>
      <c r="DN66" s="641"/>
      <c r="DO66" s="65"/>
      <c r="DP66" s="65"/>
      <c r="DQ66" s="65"/>
      <c r="DR66" s="65"/>
      <c r="DS66" s="641"/>
      <c r="DT66" s="65"/>
      <c r="DU66" s="65"/>
      <c r="DV66" s="65"/>
      <c r="DW66" s="65"/>
      <c r="DX66" s="641"/>
      <c r="DY66" s="65"/>
      <c r="DZ66" s="65"/>
      <c r="EA66" s="65"/>
      <c r="EB66" s="65"/>
      <c r="EC66" s="641"/>
      <c r="ED66" s="711"/>
      <c r="EE66" s="454"/>
      <c r="EF66" s="452"/>
      <c r="EG66" s="452"/>
      <c r="EH66" s="452"/>
      <c r="EI66" s="452"/>
      <c r="EJ66" s="452"/>
      <c r="EK66" s="452"/>
      <c r="EL66" s="452"/>
      <c r="EM66" s="452"/>
      <c r="EN66" s="452"/>
      <c r="EO66" s="452"/>
      <c r="EP66" s="452"/>
      <c r="EQ66" s="452"/>
      <c r="ER66" s="455"/>
      <c r="ES66" s="711"/>
      <c r="ET66" s="711"/>
      <c r="EU66" s="711"/>
      <c r="EX66" s="690" t="s">
        <v>163</v>
      </c>
      <c r="EY66" s="958">
        <f>CP66</f>
        <v>0</v>
      </c>
      <c r="EZ66" s="958">
        <v>0</v>
      </c>
      <c r="FA66" s="958"/>
      <c r="FB66" s="958">
        <f>CK66</f>
        <v>0</v>
      </c>
      <c r="FC66" s="549"/>
      <c r="FD66" s="711"/>
    </row>
    <row r="67" spans="1:160" ht="12.75" customHeight="1" collapsed="1" x14ac:dyDescent="0.2">
      <c r="A67" s="713" t="s">
        <v>163</v>
      </c>
      <c r="B67" s="713">
        <v>132.57805300000001</v>
      </c>
      <c r="C67" s="714">
        <v>132.57805300000001</v>
      </c>
      <c r="D67" s="715">
        <v>132.57805300000001</v>
      </c>
      <c r="E67" s="715">
        <v>132.57805300000001</v>
      </c>
      <c r="F67" s="716">
        <v>132.57805300000001</v>
      </c>
      <c r="G67" s="713">
        <v>132.57805300000001</v>
      </c>
      <c r="H67" s="714">
        <v>132.57805300000001</v>
      </c>
      <c r="I67" s="715">
        <v>132.57805300000001</v>
      </c>
      <c r="J67" s="715">
        <v>132.57805300000001</v>
      </c>
      <c r="K67" s="715">
        <v>132.57805300000001</v>
      </c>
      <c r="L67" s="713">
        <v>132.57805300000001</v>
      </c>
      <c r="M67" s="715">
        <v>132.6</v>
      </c>
      <c r="N67" s="715">
        <v>132.57805300000001</v>
      </c>
      <c r="O67" s="715">
        <v>132.57805300000001</v>
      </c>
      <c r="P67" s="715">
        <v>132.57805300000001</v>
      </c>
      <c r="Q67" s="713">
        <v>132.57805300000001</v>
      </c>
      <c r="R67" s="715">
        <v>107.2</v>
      </c>
      <c r="S67" s="715">
        <v>107.2</v>
      </c>
      <c r="T67" s="715">
        <v>107.2</v>
      </c>
      <c r="U67" s="715">
        <v>107.2</v>
      </c>
      <c r="V67" s="713">
        <v>106.9</v>
      </c>
      <c r="W67" s="715">
        <v>135.4</v>
      </c>
      <c r="X67" s="715">
        <v>135.5</v>
      </c>
      <c r="Y67" s="715">
        <v>135.5</v>
      </c>
      <c r="Z67" s="715">
        <v>120.416</v>
      </c>
      <c r="AA67" s="713">
        <f>AVERAGE(W66:Z66)</f>
        <v>113.246</v>
      </c>
      <c r="AB67" s="715">
        <f>AB66</f>
        <v>135.9</v>
      </c>
      <c r="AC67" s="715">
        <v>136.5</v>
      </c>
      <c r="AD67" s="715">
        <v>137.19999999999999</v>
      </c>
      <c r="AE67" s="715">
        <v>137.6</v>
      </c>
      <c r="AF67" s="713">
        <v>136.80000000000001</v>
      </c>
      <c r="AG67" s="715">
        <v>137.69999999999999</v>
      </c>
      <c r="AH67" s="715">
        <v>137.9</v>
      </c>
      <c r="AI67" s="715">
        <v>137.5</v>
      </c>
      <c r="AJ67" s="717">
        <v>137.30000000000001</v>
      </c>
      <c r="AK67" s="716">
        <f>AVERAGE(AG67:AJ67)</f>
        <v>137.60000000000002</v>
      </c>
      <c r="AL67" s="715">
        <v>137.30000000000001</v>
      </c>
      <c r="AM67" s="715">
        <v>136.477361</v>
      </c>
      <c r="AN67" s="715">
        <v>136.69999999999999</v>
      </c>
      <c r="AO67" s="715">
        <v>136.69999999999999</v>
      </c>
      <c r="AP67" s="713">
        <f>AVERAGE(AL67:AO67)</f>
        <v>136.79434025</v>
      </c>
      <c r="AQ67" s="65">
        <v>136.80000000000001</v>
      </c>
      <c r="AR67" s="65">
        <v>136.80000000000001</v>
      </c>
      <c r="AS67" s="65">
        <f>AW67</f>
        <v>137.19999999999999</v>
      </c>
      <c r="AT67" s="65">
        <f>AX67</f>
        <v>137.69999999999999</v>
      </c>
      <c r="AU67" s="713">
        <f>AVERAGE(AQ67:AT67)</f>
        <v>137.125</v>
      </c>
      <c r="AV67" s="243"/>
      <c r="AW67" s="65">
        <v>137.19999999999999</v>
      </c>
      <c r="AX67" s="65">
        <v>137.69999999999999</v>
      </c>
      <c r="AY67" s="65">
        <v>137.9</v>
      </c>
      <c r="AZ67" s="65">
        <v>137.69999999999999</v>
      </c>
      <c r="BA67" s="641">
        <v>137.19999999999999</v>
      </c>
      <c r="BB67" s="347">
        <v>348.3</v>
      </c>
      <c r="BC67" s="65">
        <v>348.3</v>
      </c>
      <c r="BD67" s="65">
        <v>348.3</v>
      </c>
      <c r="BE67" s="65">
        <v>348.2</v>
      </c>
      <c r="BF67" s="641">
        <v>348.2</v>
      </c>
      <c r="BG67" s="65">
        <v>351.9</v>
      </c>
      <c r="BH67" s="65">
        <v>354.6</v>
      </c>
      <c r="BI67" s="65">
        <v>355</v>
      </c>
      <c r="BJ67" s="65">
        <v>356.4</v>
      </c>
      <c r="BK67" s="641">
        <v>354.1</v>
      </c>
      <c r="BL67" s="65">
        <v>357.1</v>
      </c>
      <c r="BM67" s="65">
        <v>357.7</v>
      </c>
      <c r="BN67" s="65">
        <v>358.1</v>
      </c>
      <c r="BO67" s="65">
        <v>358.4</v>
      </c>
      <c r="BP67" s="641">
        <f>AVERAGE(BL67:BO67)</f>
        <v>357.82500000000005</v>
      </c>
      <c r="BQ67" s="65">
        <v>359.2</v>
      </c>
      <c r="BR67" s="65">
        <v>359.4</v>
      </c>
      <c r="BS67" s="65">
        <v>359.2</v>
      </c>
      <c r="BT67" s="65">
        <v>376.7</v>
      </c>
      <c r="BU67" s="641">
        <f>AVERAGE(BQ67:BT67)</f>
        <v>363.625</v>
      </c>
      <c r="BV67" s="1265">
        <v>476.1</v>
      </c>
      <c r="BW67" s="1265">
        <v>476.1</v>
      </c>
      <c r="BX67" s="1265">
        <v>476.1</v>
      </c>
      <c r="BY67" s="1265">
        <v>476.1</v>
      </c>
      <c r="BZ67" s="641">
        <f>AVERAGE(BV67:BY67)</f>
        <v>476.1</v>
      </c>
      <c r="CA67" s="65">
        <v>467.2</v>
      </c>
      <c r="CB67" s="65">
        <v>476.4</v>
      </c>
      <c r="CC67" s="65">
        <v>476.5</v>
      </c>
      <c r="CD67" s="1545">
        <v>474.7</v>
      </c>
      <c r="CE67" s="641">
        <v>476</v>
      </c>
      <c r="CF67" s="65">
        <v>468.4</v>
      </c>
      <c r="CG67" s="65">
        <v>470.1</v>
      </c>
      <c r="CH67" s="65">
        <v>470.6</v>
      </c>
      <c r="CI67" s="65">
        <v>470.8</v>
      </c>
      <c r="CJ67" s="641">
        <f>AVERAGE(CF67:CI67)</f>
        <v>469.97499999999997</v>
      </c>
      <c r="CK67" s="65">
        <v>476.5</v>
      </c>
      <c r="CL67" s="65">
        <v>478</v>
      </c>
      <c r="CM67" s="65">
        <v>478.6</v>
      </c>
      <c r="CN67" s="65">
        <v>476.2</v>
      </c>
      <c r="CO67" s="641">
        <f>AVERAGE(CK67:CN67)</f>
        <v>477.32499999999999</v>
      </c>
      <c r="CP67" s="65">
        <v>473.9</v>
      </c>
      <c r="CQ67" s="65">
        <f>CQ393</f>
        <v>476.81895700000001</v>
      </c>
      <c r="CR67" s="65">
        <f>CR393</f>
        <v>476.13575700000007</v>
      </c>
      <c r="CS67" s="65">
        <f>CS393</f>
        <v>475.25255700000002</v>
      </c>
      <c r="CT67" s="641">
        <f>AVERAGE(CP67:CS67)</f>
        <v>475.52681775000002</v>
      </c>
      <c r="CU67" s="65">
        <f>CU393</f>
        <v>475.93575700000008</v>
      </c>
      <c r="CV67" s="65">
        <f>CV393</f>
        <v>476.79562900000002</v>
      </c>
      <c r="CW67" s="65">
        <f>CW393</f>
        <v>476.06577299999998</v>
      </c>
      <c r="CX67" s="65">
        <f>CX393</f>
        <v>475.13591699999995</v>
      </c>
      <c r="CY67" s="641">
        <f>AVERAGE(CU67:CX67)</f>
        <v>475.98326900000006</v>
      </c>
      <c r="CZ67" s="65">
        <f>CZ393</f>
        <v>475.86577299999999</v>
      </c>
      <c r="DA67" s="65">
        <f>DA393</f>
        <v>476.77043476</v>
      </c>
      <c r="DB67" s="65">
        <f>DB393</f>
        <v>475.99019028000004</v>
      </c>
      <c r="DC67" s="65">
        <f>DC393</f>
        <v>475.00994579999997</v>
      </c>
      <c r="DD67" s="641">
        <f>AVERAGE(CZ67:DC67)</f>
        <v>475.90908595999997</v>
      </c>
      <c r="DE67" s="65">
        <f>DE393</f>
        <v>475.79019028000005</v>
      </c>
      <c r="DF67" s="65">
        <f>DF393</f>
        <v>476.74322498079999</v>
      </c>
      <c r="DG67" s="65">
        <f>DG393</f>
        <v>475.90856094240002</v>
      </c>
      <c r="DH67" s="65">
        <f>DH393</f>
        <v>474.87389690399993</v>
      </c>
      <c r="DI67" s="641">
        <f>AVERAGE(DE67:DH67)</f>
        <v>475.82896827679997</v>
      </c>
      <c r="DJ67" s="65">
        <f>DJ393</f>
        <v>475.70856094240003</v>
      </c>
      <c r="DK67" s="65">
        <f>DK393</f>
        <v>476.71383841926405</v>
      </c>
      <c r="DL67" s="65">
        <f>DL393</f>
        <v>475.82040125779196</v>
      </c>
      <c r="DM67" s="65">
        <f>DM393</f>
        <v>474.72696409631999</v>
      </c>
      <c r="DN67" s="641">
        <f>AVERAGE(DJ67:DM67)</f>
        <v>475.74244117894398</v>
      </c>
      <c r="DO67" s="65">
        <f>DO393</f>
        <v>475.62040125779197</v>
      </c>
      <c r="DP67" s="65">
        <f>DP393</f>
        <v>476.68210093280516</v>
      </c>
      <c r="DQ67" s="65">
        <f>DQ393</f>
        <v>475.72518879841539</v>
      </c>
      <c r="DR67" s="65">
        <f>DR393</f>
        <v>474.56827666402563</v>
      </c>
      <c r="DS67" s="641">
        <f>AVERAGE(DO67:DR67)</f>
        <v>475.64899191325958</v>
      </c>
      <c r="DT67" s="65">
        <f>DT393</f>
        <v>475.5251887984154</v>
      </c>
      <c r="DU67" s="65">
        <f>DU393</f>
        <v>476.64782444742957</v>
      </c>
      <c r="DV67" s="65">
        <f>DV393</f>
        <v>475.62235934228863</v>
      </c>
      <c r="DW67" s="65">
        <f>DW393</f>
        <v>474.39689423714771</v>
      </c>
      <c r="DX67" s="641">
        <f>AVERAGE(DT67:DW67)</f>
        <v>475.5480667063203</v>
      </c>
      <c r="DY67" s="65">
        <f>DY393</f>
        <v>475.42235934228864</v>
      </c>
      <c r="DZ67" s="65">
        <f>DZ393</f>
        <v>476.61080584322389</v>
      </c>
      <c r="EA67" s="65">
        <f>EA393</f>
        <v>475.51130352967169</v>
      </c>
      <c r="EB67" s="65">
        <f>EB393</f>
        <v>474.2118012161194</v>
      </c>
      <c r="EC67" s="641">
        <f>AVERAGE(DY67:EB67)</f>
        <v>475.43906748282586</v>
      </c>
      <c r="ED67" s="204"/>
      <c r="EE67" s="710">
        <f>AVERAGE(T67,U67,W67,X67)</f>
        <v>121.325</v>
      </c>
      <c r="EF67" s="628">
        <f>AVERAGE(Y67,Z67,AB67,AC67)</f>
        <v>132.07900000000001</v>
      </c>
      <c r="EG67" s="628">
        <f>AVERAGE(AD67,AE67,AG67,AH67)</f>
        <v>137.6</v>
      </c>
      <c r="EH67" s="628">
        <f>AVERAGE(AI67,AJ67,AL67,AM67)</f>
        <v>137.14434025</v>
      </c>
      <c r="EI67" s="628">
        <f>AVERAGE(AN67,AO67,AQ67,AR67)</f>
        <v>136.75</v>
      </c>
      <c r="EJ67" s="628">
        <f>BA67</f>
        <v>137.19999999999999</v>
      </c>
      <c r="EK67" s="628">
        <f>BF67</f>
        <v>348.2</v>
      </c>
      <c r="EL67" s="628">
        <f>BK67</f>
        <v>354.1</v>
      </c>
      <c r="EM67" s="628">
        <f>BP67</f>
        <v>357.82500000000005</v>
      </c>
      <c r="EN67" s="628">
        <f>BU67</f>
        <v>363.625</v>
      </c>
      <c r="EO67" s="628">
        <f t="shared" si="264"/>
        <v>476</v>
      </c>
      <c r="EP67" s="628">
        <f>CJ67</f>
        <v>469.97499999999997</v>
      </c>
      <c r="EQ67" s="628">
        <f>CO67</f>
        <v>477.32499999999999</v>
      </c>
      <c r="ER67" s="718">
        <f>CT67</f>
        <v>475.52681775000002</v>
      </c>
      <c r="ES67" s="204"/>
      <c r="ET67" s="204"/>
      <c r="EU67" s="204"/>
      <c r="EX67" s="712" t="s">
        <v>163</v>
      </c>
      <c r="EY67" s="958">
        <f>CP67</f>
        <v>473.9</v>
      </c>
      <c r="EZ67" s="958">
        <v>476.72007375000004</v>
      </c>
      <c r="FA67" s="958">
        <f t="shared" si="239"/>
        <v>-2.8200737500000628</v>
      </c>
      <c r="FB67" s="958">
        <f>CK67</f>
        <v>476.5</v>
      </c>
      <c r="FC67" s="549">
        <f t="shared" si="148"/>
        <v>-5.4564533053516051E-3</v>
      </c>
      <c r="FD67" s="204"/>
    </row>
    <row r="68" spans="1:160" ht="11.25" customHeight="1" x14ac:dyDescent="0.2">
      <c r="A68" s="1600" t="s">
        <v>164</v>
      </c>
      <c r="B68" s="237"/>
      <c r="C68" s="237"/>
      <c r="D68" s="237"/>
      <c r="E68" s="237"/>
      <c r="F68" s="237"/>
      <c r="G68" s="237"/>
      <c r="H68" s="237"/>
      <c r="I68" s="237"/>
      <c r="J68" s="237"/>
      <c r="K68" s="237"/>
      <c r="L68" s="237"/>
      <c r="M68" s="237"/>
      <c r="N68" s="237"/>
      <c r="O68" s="237"/>
      <c r="P68" s="237"/>
      <c r="Q68" s="237"/>
      <c r="R68" s="237"/>
      <c r="S68" s="237"/>
      <c r="T68" s="237"/>
      <c r="U68" s="237"/>
      <c r="V68" s="458"/>
      <c r="W68" s="237"/>
      <c r="X68" s="237"/>
      <c r="Y68" s="237"/>
      <c r="Z68" s="237"/>
      <c r="AA68" s="237"/>
      <c r="AB68" s="237"/>
      <c r="AC68" s="237"/>
      <c r="AD68" s="237"/>
      <c r="AE68" s="237"/>
      <c r="AF68" s="385"/>
      <c r="AG68" s="237"/>
      <c r="AH68" s="237"/>
      <c r="AI68" s="237"/>
      <c r="AJ68" s="547"/>
      <c r="AK68" s="385"/>
      <c r="AL68" s="237"/>
      <c r="AM68" s="237"/>
      <c r="AN68" s="237"/>
      <c r="AO68" s="237"/>
      <c r="AP68" s="385"/>
      <c r="AQ68" s="5"/>
      <c r="AR68" s="5"/>
      <c r="AS68" s="5"/>
      <c r="AT68" s="5"/>
      <c r="AU68" s="385"/>
      <c r="AV68" s="243"/>
      <c r="AW68" s="5"/>
      <c r="AX68" s="5"/>
      <c r="AY68" s="5"/>
      <c r="AZ68" s="5"/>
      <c r="BA68" s="552"/>
      <c r="BB68" s="5"/>
      <c r="BC68" s="5"/>
      <c r="BD68" s="5"/>
      <c r="BE68" s="5"/>
      <c r="BF68" s="552"/>
      <c r="BG68" s="5"/>
      <c r="BH68" s="5"/>
      <c r="BI68" s="5"/>
      <c r="BJ68" s="5"/>
      <c r="BK68" s="552"/>
      <c r="BL68" s="5"/>
      <c r="BM68" s="5"/>
      <c r="BN68" s="5"/>
      <c r="BO68" s="5"/>
      <c r="BP68" s="552"/>
      <c r="BQ68" s="5"/>
      <c r="BR68" s="5"/>
      <c r="BS68" s="5"/>
      <c r="BT68" s="5"/>
      <c r="BU68" s="1591"/>
      <c r="BV68" s="1278"/>
      <c r="BW68" s="1278"/>
      <c r="BX68" s="1278"/>
      <c r="BY68" s="1278"/>
      <c r="BZ68" s="552"/>
      <c r="CA68" s="5"/>
      <c r="CB68" s="5"/>
      <c r="CC68" s="5"/>
      <c r="CD68" s="5"/>
      <c r="CE68" s="552"/>
      <c r="CF68" s="5"/>
      <c r="CG68" s="5"/>
      <c r="CH68" s="5"/>
      <c r="CI68" s="5"/>
      <c r="CJ68" s="552"/>
      <c r="CK68" s="5"/>
      <c r="CL68" s="5"/>
      <c r="CM68" s="5"/>
      <c r="CN68" s="5"/>
      <c r="CO68" s="552"/>
      <c r="CP68" s="5"/>
      <c r="CQ68" s="5"/>
      <c r="CR68" s="5"/>
      <c r="CS68" s="5"/>
      <c r="CT68" s="552"/>
      <c r="CU68" s="5"/>
      <c r="CV68" s="5"/>
      <c r="CW68" s="5"/>
      <c r="CX68" s="5"/>
      <c r="CY68" s="552"/>
      <c r="CZ68" s="5"/>
      <c r="DA68" s="5"/>
      <c r="DB68" s="5"/>
      <c r="DC68" s="5"/>
      <c r="DD68" s="552"/>
      <c r="DE68" s="5"/>
      <c r="DF68" s="5"/>
      <c r="DG68" s="5"/>
      <c r="DH68" s="5"/>
      <c r="DI68" s="552"/>
      <c r="DJ68" s="5"/>
      <c r="DK68" s="5"/>
      <c r="DL68" s="5"/>
      <c r="DM68" s="5"/>
      <c r="DN68" s="552"/>
      <c r="DO68" s="5"/>
      <c r="DP68" s="5"/>
      <c r="DQ68" s="5"/>
      <c r="DR68" s="5"/>
      <c r="DS68" s="552"/>
      <c r="DT68" s="5"/>
      <c r="DU68" s="5"/>
      <c r="DV68" s="5"/>
      <c r="DW68" s="5"/>
      <c r="DX68" s="552"/>
      <c r="DY68" s="5"/>
      <c r="DZ68" s="5"/>
      <c r="EA68" s="5"/>
      <c r="EB68" s="5"/>
      <c r="EC68" s="552"/>
      <c r="ED68" s="16"/>
      <c r="EE68" s="418"/>
      <c r="EF68" s="5"/>
      <c r="EG68" s="5"/>
      <c r="EH68" s="5"/>
      <c r="EI68" s="5"/>
      <c r="EJ68" s="5"/>
      <c r="EK68" s="5"/>
      <c r="EL68" s="5"/>
      <c r="EM68" s="5"/>
      <c r="EN68" s="5"/>
      <c r="EO68" s="5"/>
      <c r="EP68" s="5"/>
      <c r="EQ68" s="5"/>
      <c r="ER68" s="6"/>
      <c r="ES68" s="16"/>
      <c r="ET68" s="16"/>
      <c r="EU68" s="16"/>
      <c r="EX68" s="561" t="s">
        <v>164</v>
      </c>
      <c r="EY68" s="947"/>
      <c r="EZ68" s="947"/>
      <c r="FA68" s="947"/>
      <c r="FB68" s="947"/>
      <c r="FC68" s="966"/>
      <c r="FD68" s="16"/>
    </row>
    <row r="69" spans="1:160" ht="11.25" hidden="1" customHeight="1" outlineLevel="1" x14ac:dyDescent="0.2">
      <c r="A69" s="1601" t="s">
        <v>394</v>
      </c>
      <c r="B69" s="123">
        <f>B22/B15</f>
        <v>0.32384690873405297</v>
      </c>
      <c r="C69" s="21"/>
      <c r="D69" s="21"/>
      <c r="E69" s="21"/>
      <c r="F69" s="21"/>
      <c r="G69" s="123">
        <f>G22/G15</f>
        <v>0.31327433628318585</v>
      </c>
      <c r="H69" s="21"/>
      <c r="I69" s="21"/>
      <c r="J69" s="21"/>
      <c r="K69" s="21"/>
      <c r="L69" s="123">
        <f>L22/L15</f>
        <v>0.30579216354344124</v>
      </c>
      <c r="M69" s="21"/>
      <c r="N69" s="21"/>
      <c r="O69" s="21"/>
      <c r="P69" s="21"/>
      <c r="Q69" s="123">
        <f t="shared" ref="Q69:AU69" si="387">Q22/Q15</f>
        <v>0.30642633228840127</v>
      </c>
      <c r="R69" s="22">
        <f t="shared" si="387"/>
        <v>0.30857142857142855</v>
      </c>
      <c r="S69" s="22">
        <f t="shared" si="387"/>
        <v>0.31073446327683618</v>
      </c>
      <c r="T69" s="22">
        <f t="shared" si="387"/>
        <v>0.30678466076696165</v>
      </c>
      <c r="U69" s="22">
        <f t="shared" si="387"/>
        <v>0.31593406593406592</v>
      </c>
      <c r="V69" s="123">
        <f t="shared" si="387"/>
        <v>0.31058990760483296</v>
      </c>
      <c r="W69" s="22">
        <f t="shared" si="387"/>
        <v>0.31466666666666665</v>
      </c>
      <c r="X69" s="22">
        <f t="shared" si="387"/>
        <v>0.31398416886543534</v>
      </c>
      <c r="Y69" s="22">
        <f t="shared" si="387"/>
        <v>0.30978260869565216</v>
      </c>
      <c r="Z69" s="22">
        <f t="shared" si="387"/>
        <v>0.3020304568527919</v>
      </c>
      <c r="AA69" s="123">
        <f t="shared" si="387"/>
        <v>0.31002638522427439</v>
      </c>
      <c r="AB69" s="22">
        <f t="shared" si="387"/>
        <v>0.3012345679012346</v>
      </c>
      <c r="AC69" s="22">
        <f t="shared" si="387"/>
        <v>0.29976019184652281</v>
      </c>
      <c r="AD69" s="22">
        <f t="shared" si="387"/>
        <v>0.29776674937965258</v>
      </c>
      <c r="AE69" s="22">
        <f t="shared" si="387"/>
        <v>0.30484988452655887</v>
      </c>
      <c r="AF69" s="123">
        <f t="shared" si="387"/>
        <v>0.30096501809408926</v>
      </c>
      <c r="AG69" s="22">
        <f t="shared" si="387"/>
        <v>0.31065759637188206</v>
      </c>
      <c r="AH69" s="126">
        <f t="shared" si="387"/>
        <v>0.3125</v>
      </c>
      <c r="AI69" s="126">
        <f t="shared" si="387"/>
        <v>0.30963302752293576</v>
      </c>
      <c r="AJ69" s="669">
        <f t="shared" si="387"/>
        <v>0.32271762208067939</v>
      </c>
      <c r="AK69" s="88">
        <f t="shared" si="387"/>
        <v>0.31403118040089084</v>
      </c>
      <c r="AL69" s="22">
        <f t="shared" si="387"/>
        <v>0.32595573440643866</v>
      </c>
      <c r="AM69" s="22">
        <f t="shared" si="387"/>
        <v>0.32135306553911203</v>
      </c>
      <c r="AN69" s="22">
        <f t="shared" si="387"/>
        <v>0.31848552338530067</v>
      </c>
      <c r="AO69" s="22">
        <f t="shared" si="387"/>
        <v>0.31780762564991344</v>
      </c>
      <c r="AP69" s="387">
        <f t="shared" si="387"/>
        <v>0.32101456981814319</v>
      </c>
      <c r="AQ69" s="22">
        <f t="shared" si="387"/>
        <v>0.3172031549776167</v>
      </c>
      <c r="AR69" s="22">
        <f t="shared" si="387"/>
        <v>0.31662822394632001</v>
      </c>
      <c r="AS69" s="22">
        <f t="shared" si="387"/>
        <v>0.31420765027322406</v>
      </c>
      <c r="AT69" s="22">
        <f t="shared" si="387"/>
        <v>0.32415767452103056</v>
      </c>
      <c r="AU69" s="387">
        <f t="shared" si="387"/>
        <v>0.31805578209101287</v>
      </c>
      <c r="AV69" s="243"/>
      <c r="AW69" s="22">
        <f>AW22/AW15</f>
        <v>0.31420765027322406</v>
      </c>
      <c r="AX69" s="22">
        <f>AX22/AX15</f>
        <v>0.32415767452103056</v>
      </c>
      <c r="AY69" s="22">
        <f>AY22/AY15</f>
        <v>0.31596091205211729</v>
      </c>
      <c r="AZ69" s="22">
        <f>AZ22/AZ15</f>
        <v>0.31123919308357351</v>
      </c>
      <c r="BA69" s="577">
        <f>BA22/BA$15</f>
        <v>0.31652773785570565</v>
      </c>
      <c r="BB69" s="122">
        <f>BB22/BB15</f>
        <v>0.3235668789808917</v>
      </c>
      <c r="BC69" s="22">
        <f>BC22/BC$15</f>
        <v>0.32315035799522673</v>
      </c>
      <c r="BD69" s="22">
        <f>BD22/BD15</f>
        <v>0.31906338694418163</v>
      </c>
      <c r="BE69" s="22">
        <f>BE22/BE15</f>
        <v>0.31503461918892189</v>
      </c>
      <c r="BF69" s="577">
        <f>BF22/BF$15</f>
        <v>0.32019283578446328</v>
      </c>
      <c r="BG69" s="22">
        <f>BG22/BG15</f>
        <v>0.3281171125694094</v>
      </c>
      <c r="BH69" s="22">
        <f>BH22/BH$15</f>
        <v>0.33246603064469504</v>
      </c>
      <c r="BI69" s="22">
        <f>BI22/BI15</f>
        <v>0.32583810302534755</v>
      </c>
      <c r="BJ69" s="22">
        <f>BJ22/BJ15</f>
        <v>0.31541415249588589</v>
      </c>
      <c r="BK69" s="577">
        <f>BK22/BK$15</f>
        <v>0.32694610778443112</v>
      </c>
      <c r="BL69" s="22">
        <f>BL22/BL15</f>
        <v>0.31791907514450868</v>
      </c>
      <c r="BM69" s="22">
        <f t="shared" ref="BM69:CR69" si="388">BM22/BM$15</f>
        <v>0.31878557874762808</v>
      </c>
      <c r="BN69" s="22">
        <f t="shared" si="388"/>
        <v>0.31481481481481483</v>
      </c>
      <c r="BO69" s="22">
        <f t="shared" si="388"/>
        <v>0.31050228310502287</v>
      </c>
      <c r="BP69" s="577">
        <f t="shared" si="388"/>
        <v>0.31701841041760209</v>
      </c>
      <c r="BQ69" s="22">
        <f t="shared" si="388"/>
        <v>0</v>
      </c>
      <c r="BR69" s="22">
        <f t="shared" si="388"/>
        <v>0</v>
      </c>
      <c r="BS69" s="22">
        <f t="shared" si="388"/>
        <v>0</v>
      </c>
      <c r="BT69" s="22">
        <f t="shared" si="388"/>
        <v>0</v>
      </c>
      <c r="BU69" s="577">
        <f t="shared" si="388"/>
        <v>0.36461126005361932</v>
      </c>
      <c r="BV69" s="1196">
        <f t="shared" si="388"/>
        <v>0</v>
      </c>
      <c r="BW69" s="1196">
        <f t="shared" si="388"/>
        <v>0</v>
      </c>
      <c r="BX69" s="1196">
        <f t="shared" si="388"/>
        <v>0</v>
      </c>
      <c r="BY69" s="1196">
        <f t="shared" si="388"/>
        <v>0</v>
      </c>
      <c r="BZ69" s="577">
        <f t="shared" si="388"/>
        <v>0.34803437351253691</v>
      </c>
      <c r="CA69" s="22">
        <f t="shared" si="388"/>
        <v>0</v>
      </c>
      <c r="CB69" s="22">
        <f t="shared" si="388"/>
        <v>0</v>
      </c>
      <c r="CC69" s="22">
        <f t="shared" si="388"/>
        <v>0</v>
      </c>
      <c r="CD69" s="22">
        <f t="shared" si="388"/>
        <v>0</v>
      </c>
      <c r="CE69" s="577">
        <f t="shared" si="388"/>
        <v>0</v>
      </c>
      <c r="CF69" s="22">
        <f t="shared" si="388"/>
        <v>0</v>
      </c>
      <c r="CG69" s="22">
        <f t="shared" si="388"/>
        <v>0</v>
      </c>
      <c r="CH69" s="22">
        <f t="shared" si="388"/>
        <v>0</v>
      </c>
      <c r="CI69" s="22">
        <f t="shared" si="388"/>
        <v>0</v>
      </c>
      <c r="CJ69" s="577">
        <f t="shared" si="388"/>
        <v>0</v>
      </c>
      <c r="CK69" s="22">
        <f t="shared" si="388"/>
        <v>0</v>
      </c>
      <c r="CL69" s="22">
        <f t="shared" si="388"/>
        <v>0</v>
      </c>
      <c r="CM69" s="22">
        <f t="shared" ref="CM69:CN69" si="389">CM22/CM$15</f>
        <v>0</v>
      </c>
      <c r="CN69" s="22">
        <f t="shared" si="389"/>
        <v>0</v>
      </c>
      <c r="CO69" s="577">
        <f t="shared" si="388"/>
        <v>0</v>
      </c>
      <c r="CP69" s="22">
        <f t="shared" ref="CP69" si="390">CP22/CP$15</f>
        <v>0</v>
      </c>
      <c r="CQ69" s="22">
        <f t="shared" si="388"/>
        <v>0</v>
      </c>
      <c r="CR69" s="22">
        <f t="shared" si="388"/>
        <v>0</v>
      </c>
      <c r="CS69" s="22">
        <f t="shared" ref="CS69:DX69" si="391">CS22/CS$15</f>
        <v>0</v>
      </c>
      <c r="CT69" s="577">
        <f t="shared" si="391"/>
        <v>0</v>
      </c>
      <c r="CU69" s="22">
        <f t="shared" si="391"/>
        <v>0</v>
      </c>
      <c r="CV69" s="22">
        <f t="shared" si="391"/>
        <v>0</v>
      </c>
      <c r="CW69" s="22">
        <f t="shared" si="391"/>
        <v>0</v>
      </c>
      <c r="CX69" s="22">
        <f t="shared" si="391"/>
        <v>0</v>
      </c>
      <c r="CY69" s="577">
        <f t="shared" si="391"/>
        <v>0</v>
      </c>
      <c r="CZ69" s="22">
        <f t="shared" si="391"/>
        <v>0</v>
      </c>
      <c r="DA69" s="22">
        <f t="shared" si="391"/>
        <v>0</v>
      </c>
      <c r="DB69" s="22">
        <f t="shared" si="391"/>
        <v>0</v>
      </c>
      <c r="DC69" s="22">
        <f t="shared" si="391"/>
        <v>0</v>
      </c>
      <c r="DD69" s="577">
        <f t="shared" si="391"/>
        <v>0</v>
      </c>
      <c r="DE69" s="22">
        <f t="shared" si="391"/>
        <v>0</v>
      </c>
      <c r="DF69" s="22">
        <f t="shared" si="391"/>
        <v>0</v>
      </c>
      <c r="DG69" s="22">
        <f t="shared" si="391"/>
        <v>0</v>
      </c>
      <c r="DH69" s="22">
        <f t="shared" si="391"/>
        <v>0</v>
      </c>
      <c r="DI69" s="577">
        <f t="shared" si="391"/>
        <v>0</v>
      </c>
      <c r="DJ69" s="22">
        <f t="shared" si="391"/>
        <v>0</v>
      </c>
      <c r="DK69" s="22">
        <f t="shared" si="391"/>
        <v>0</v>
      </c>
      <c r="DL69" s="22">
        <f t="shared" si="391"/>
        <v>0</v>
      </c>
      <c r="DM69" s="22">
        <f t="shared" si="391"/>
        <v>0</v>
      </c>
      <c r="DN69" s="577">
        <f t="shared" si="391"/>
        <v>0</v>
      </c>
      <c r="DO69" s="22">
        <f t="shared" si="391"/>
        <v>0</v>
      </c>
      <c r="DP69" s="22">
        <f t="shared" si="391"/>
        <v>0</v>
      </c>
      <c r="DQ69" s="22">
        <f t="shared" si="391"/>
        <v>0</v>
      </c>
      <c r="DR69" s="22">
        <f t="shared" si="391"/>
        <v>0</v>
      </c>
      <c r="DS69" s="577">
        <f t="shared" si="391"/>
        <v>0</v>
      </c>
      <c r="DT69" s="22">
        <f t="shared" si="391"/>
        <v>0</v>
      </c>
      <c r="DU69" s="22">
        <f t="shared" si="391"/>
        <v>0</v>
      </c>
      <c r="DV69" s="22">
        <f t="shared" si="391"/>
        <v>0</v>
      </c>
      <c r="DW69" s="22">
        <f t="shared" si="391"/>
        <v>0</v>
      </c>
      <c r="DX69" s="577">
        <f t="shared" si="391"/>
        <v>0</v>
      </c>
      <c r="DY69" s="22">
        <f t="shared" ref="DY69:EC69" si="392">DY22/DY$15</f>
        <v>0</v>
      </c>
      <c r="DZ69" s="22">
        <f t="shared" si="392"/>
        <v>0</v>
      </c>
      <c r="EA69" s="22">
        <f t="shared" si="392"/>
        <v>0</v>
      </c>
      <c r="EB69" s="22">
        <f t="shared" si="392"/>
        <v>0</v>
      </c>
      <c r="EC69" s="577">
        <f t="shared" si="392"/>
        <v>0</v>
      </c>
      <c r="ED69" s="16"/>
      <c r="EE69" s="122">
        <f t="shared" ref="EE69:EJ69" si="393">EE22/EE15</f>
        <v>0.31297185998627314</v>
      </c>
      <c r="EF69" s="22">
        <f t="shared" si="393"/>
        <v>0.30303030303030304</v>
      </c>
      <c r="EG69" s="22">
        <f t="shared" si="393"/>
        <v>0.30666666666666664</v>
      </c>
      <c r="EH69" s="22">
        <f t="shared" si="393"/>
        <v>0.32019179541822057</v>
      </c>
      <c r="EI69" s="22">
        <f t="shared" si="393"/>
        <v>0.31751588925993751</v>
      </c>
      <c r="EJ69" s="126">
        <f t="shared" si="393"/>
        <v>0.31652773785570559</v>
      </c>
      <c r="EK69" s="126">
        <f>BF69</f>
        <v>0.32019283578446328</v>
      </c>
      <c r="EL69" s="126">
        <f>BK69</f>
        <v>0.32694610778443112</v>
      </c>
      <c r="EM69" s="126">
        <f>BP69</f>
        <v>0.31701841041760209</v>
      </c>
      <c r="EN69" s="126">
        <f>BU69</f>
        <v>0.36461126005361932</v>
      </c>
      <c r="EO69" s="126">
        <f t="shared" si="264"/>
        <v>0</v>
      </c>
      <c r="EP69" s="126">
        <f>CJ69</f>
        <v>0</v>
      </c>
      <c r="EQ69" s="126">
        <f>CO69</f>
        <v>0</v>
      </c>
      <c r="ER69" s="116">
        <f>CT69</f>
        <v>0</v>
      </c>
      <c r="ES69" s="16"/>
      <c r="ET69" s="16"/>
      <c r="EU69" s="16"/>
      <c r="EX69" s="562" t="s">
        <v>394</v>
      </c>
      <c r="EY69" s="126">
        <f>BS69</f>
        <v>0</v>
      </c>
      <c r="EZ69" s="126">
        <v>0</v>
      </c>
      <c r="FA69" s="126">
        <f>EY69-EZ69</f>
        <v>0</v>
      </c>
      <c r="FB69" s="126">
        <f>BN69</f>
        <v>0.31481481481481483</v>
      </c>
      <c r="FC69" s="967">
        <f>EY69-FB69</f>
        <v>-0.31481481481481483</v>
      </c>
      <c r="FD69" s="16"/>
    </row>
    <row r="70" spans="1:160" ht="11.25" hidden="1" customHeight="1" outlineLevel="1" x14ac:dyDescent="0.2">
      <c r="A70" s="1601" t="s">
        <v>395</v>
      </c>
      <c r="B70" s="123">
        <f>B23/B15</f>
        <v>0.29244357212953875</v>
      </c>
      <c r="C70" s="21"/>
      <c r="D70" s="21"/>
      <c r="E70" s="21"/>
      <c r="F70" s="21"/>
      <c r="G70" s="123">
        <f>G23/G15</f>
        <v>0.29646017699115046</v>
      </c>
      <c r="H70" s="21"/>
      <c r="I70" s="21"/>
      <c r="J70" s="21"/>
      <c r="K70" s="21"/>
      <c r="L70" s="123">
        <f>L23/L15</f>
        <v>0.29727427597955708</v>
      </c>
      <c r="M70" s="21"/>
      <c r="N70" s="21"/>
      <c r="O70" s="21"/>
      <c r="P70" s="21"/>
      <c r="Q70" s="123">
        <f t="shared" ref="Q70:AU70" si="394">Q23/Q15</f>
        <v>0.29937304075235111</v>
      </c>
      <c r="R70" s="22">
        <f t="shared" si="394"/>
        <v>0.29428571428571426</v>
      </c>
      <c r="S70" s="22">
        <f t="shared" si="394"/>
        <v>0.28531073446327682</v>
      </c>
      <c r="T70" s="22">
        <f t="shared" si="394"/>
        <v>0.30678466076696165</v>
      </c>
      <c r="U70" s="22">
        <f t="shared" si="394"/>
        <v>0.2857142857142857</v>
      </c>
      <c r="V70" s="123">
        <f t="shared" si="394"/>
        <v>0.294953802416489</v>
      </c>
      <c r="W70" s="22">
        <f t="shared" si="394"/>
        <v>0.29333333333333333</v>
      </c>
      <c r="X70" s="22">
        <f t="shared" si="394"/>
        <v>0.28759894459102903</v>
      </c>
      <c r="Y70" s="22">
        <f t="shared" si="394"/>
        <v>0.3016304347826087</v>
      </c>
      <c r="Z70" s="22">
        <f t="shared" si="394"/>
        <v>0.29441624365482233</v>
      </c>
      <c r="AA70" s="123">
        <f t="shared" si="394"/>
        <v>0.29419525065963059</v>
      </c>
      <c r="AB70" s="22">
        <f t="shared" si="394"/>
        <v>0.29382716049382718</v>
      </c>
      <c r="AC70" s="22">
        <f t="shared" si="394"/>
        <v>0.29496402877697842</v>
      </c>
      <c r="AD70" s="22">
        <f t="shared" si="394"/>
        <v>0.30024813895781638</v>
      </c>
      <c r="AE70" s="22">
        <f t="shared" si="394"/>
        <v>0.29792147806004621</v>
      </c>
      <c r="AF70" s="123">
        <f t="shared" si="394"/>
        <v>0.29674306393244876</v>
      </c>
      <c r="AG70" s="22">
        <f t="shared" si="394"/>
        <v>0.29705215419501135</v>
      </c>
      <c r="AH70" s="22">
        <f t="shared" si="394"/>
        <v>0.29464285714285715</v>
      </c>
      <c r="AI70" s="22">
        <f t="shared" si="394"/>
        <v>0.30504587155963303</v>
      </c>
      <c r="AJ70" s="88">
        <f t="shared" si="394"/>
        <v>0.29511677282377918</v>
      </c>
      <c r="AK70" s="88">
        <f t="shared" si="394"/>
        <v>0.29788418708240533</v>
      </c>
      <c r="AL70" s="22">
        <f t="shared" si="394"/>
        <v>0.30382293762575452</v>
      </c>
      <c r="AM70" s="22">
        <f t="shared" si="394"/>
        <v>0.30443974630021142</v>
      </c>
      <c r="AN70" s="22">
        <f t="shared" si="394"/>
        <v>0.32071269487750559</v>
      </c>
      <c r="AO70" s="22">
        <f t="shared" si="394"/>
        <v>0.31022530329289438</v>
      </c>
      <c r="AP70" s="123">
        <f t="shared" si="394"/>
        <v>0.30958204828246311</v>
      </c>
      <c r="AQ70" s="22">
        <f t="shared" si="394"/>
        <v>0.30867618844596034</v>
      </c>
      <c r="AR70" s="22">
        <f t="shared" si="394"/>
        <v>0.30698259593206123</v>
      </c>
      <c r="AS70" s="22">
        <f t="shared" si="394"/>
        <v>0.31466302367941712</v>
      </c>
      <c r="AT70" s="22">
        <f t="shared" si="394"/>
        <v>0.30676062541290466</v>
      </c>
      <c r="AU70" s="123">
        <f t="shared" si="394"/>
        <v>0.30919371500027182</v>
      </c>
      <c r="AV70" s="243"/>
      <c r="AW70" s="22">
        <f>AW23/AW15</f>
        <v>0.31466302367941712</v>
      </c>
      <c r="AX70" s="22">
        <f>AX23/AX15</f>
        <v>0.30676062541290466</v>
      </c>
      <c r="AY70" s="22">
        <f>AY23/AY15</f>
        <v>0.29990693345742209</v>
      </c>
      <c r="AZ70" s="22">
        <f>AZ23/AZ15</f>
        <v>0.29682997118155618</v>
      </c>
      <c r="BA70" s="577">
        <f>BA23/BA$15</f>
        <v>0.30468525438344352</v>
      </c>
      <c r="BB70" s="122">
        <f>BB23/BB15</f>
        <v>0.30573248407643311</v>
      </c>
      <c r="BC70" s="22">
        <f>BC23/BC$15</f>
        <v>0.29164677804295941</v>
      </c>
      <c r="BD70" s="22">
        <f>BD23/BD15</f>
        <v>0.28926206244087038</v>
      </c>
      <c r="BE70" s="22">
        <f>BE23/BE15</f>
        <v>0.28857566765578635</v>
      </c>
      <c r="BF70" s="577">
        <f>BF23/BF$15</f>
        <v>0.29364740342954782</v>
      </c>
      <c r="BG70" s="22">
        <f>BG23/BG15</f>
        <v>0.30161534578495708</v>
      </c>
      <c r="BH70" s="22">
        <f>BH23/BH$15</f>
        <v>0.28967909800520386</v>
      </c>
      <c r="BI70" s="22">
        <f>BI23/BI15</f>
        <v>0.29394930498773508</v>
      </c>
      <c r="BJ70" s="22">
        <f>BJ23/BJ15</f>
        <v>0.29347229840921557</v>
      </c>
      <c r="BK70" s="577">
        <f>BK23/BK$15</f>
        <v>0.29520958083832338</v>
      </c>
      <c r="BL70" s="22">
        <f>BL23/BL15</f>
        <v>0.30966143682906688</v>
      </c>
      <c r="BM70" s="22">
        <f t="shared" ref="BM70:CR70" si="395">BM23/BM$15</f>
        <v>0.31688804554079691</v>
      </c>
      <c r="BN70" s="22">
        <f t="shared" si="395"/>
        <v>0.27407407407407408</v>
      </c>
      <c r="BO70" s="22">
        <f t="shared" si="395"/>
        <v>0.29680365296803657</v>
      </c>
      <c r="BP70" s="577">
        <f t="shared" si="395"/>
        <v>0.30579254602604394</v>
      </c>
      <c r="BQ70" s="22">
        <f t="shared" si="395"/>
        <v>0</v>
      </c>
      <c r="BR70" s="22">
        <f t="shared" si="395"/>
        <v>0</v>
      </c>
      <c r="BS70" s="22">
        <f t="shared" si="395"/>
        <v>0</v>
      </c>
      <c r="BT70" s="22">
        <f t="shared" si="395"/>
        <v>0</v>
      </c>
      <c r="BU70" s="577">
        <f t="shared" si="395"/>
        <v>0.3512064343163539</v>
      </c>
      <c r="BV70" s="1196">
        <f t="shared" si="395"/>
        <v>0</v>
      </c>
      <c r="BW70" s="1196">
        <f t="shared" si="395"/>
        <v>0</v>
      </c>
      <c r="BX70" s="1196">
        <f t="shared" si="395"/>
        <v>0</v>
      </c>
      <c r="BY70" s="1196">
        <f t="shared" si="395"/>
        <v>0</v>
      </c>
      <c r="BZ70" s="577">
        <f t="shared" si="395"/>
        <v>0.33523899213339953</v>
      </c>
      <c r="CA70" s="22">
        <f t="shared" si="395"/>
        <v>0</v>
      </c>
      <c r="CB70" s="22">
        <f t="shared" si="395"/>
        <v>0</v>
      </c>
      <c r="CC70" s="22">
        <f t="shared" si="395"/>
        <v>0</v>
      </c>
      <c r="CD70" s="22">
        <f t="shared" si="395"/>
        <v>0</v>
      </c>
      <c r="CE70" s="577">
        <f t="shared" si="395"/>
        <v>0</v>
      </c>
      <c r="CF70" s="22">
        <f t="shared" si="395"/>
        <v>0</v>
      </c>
      <c r="CG70" s="22">
        <f t="shared" si="395"/>
        <v>0</v>
      </c>
      <c r="CH70" s="22">
        <f t="shared" si="395"/>
        <v>0</v>
      </c>
      <c r="CI70" s="22">
        <f t="shared" si="395"/>
        <v>0</v>
      </c>
      <c r="CJ70" s="577">
        <f t="shared" si="395"/>
        <v>0</v>
      </c>
      <c r="CK70" s="22">
        <f t="shared" si="395"/>
        <v>0</v>
      </c>
      <c r="CL70" s="22">
        <f t="shared" si="395"/>
        <v>0</v>
      </c>
      <c r="CM70" s="22">
        <f t="shared" ref="CM70:CN70" si="396">CM23/CM$15</f>
        <v>0</v>
      </c>
      <c r="CN70" s="22">
        <f t="shared" si="396"/>
        <v>0</v>
      </c>
      <c r="CO70" s="577">
        <f t="shared" si="395"/>
        <v>0</v>
      </c>
      <c r="CP70" s="22">
        <f t="shared" ref="CP70" si="397">CP23/CP$15</f>
        <v>0</v>
      </c>
      <c r="CQ70" s="22">
        <f t="shared" si="395"/>
        <v>0</v>
      </c>
      <c r="CR70" s="22">
        <f t="shared" si="395"/>
        <v>0</v>
      </c>
      <c r="CS70" s="22">
        <f t="shared" ref="CS70:DX70" si="398">CS23/CS$15</f>
        <v>0</v>
      </c>
      <c r="CT70" s="577">
        <f t="shared" si="398"/>
        <v>0</v>
      </c>
      <c r="CU70" s="22">
        <f t="shared" si="398"/>
        <v>0</v>
      </c>
      <c r="CV70" s="22">
        <f t="shared" si="398"/>
        <v>0</v>
      </c>
      <c r="CW70" s="22">
        <f t="shared" si="398"/>
        <v>0</v>
      </c>
      <c r="CX70" s="22">
        <f t="shared" si="398"/>
        <v>0</v>
      </c>
      <c r="CY70" s="577">
        <f t="shared" si="398"/>
        <v>0</v>
      </c>
      <c r="CZ70" s="22">
        <f t="shared" si="398"/>
        <v>0</v>
      </c>
      <c r="DA70" s="22">
        <f t="shared" si="398"/>
        <v>0</v>
      </c>
      <c r="DB70" s="22">
        <f t="shared" si="398"/>
        <v>0</v>
      </c>
      <c r="DC70" s="22">
        <f t="shared" si="398"/>
        <v>0</v>
      </c>
      <c r="DD70" s="577">
        <f t="shared" si="398"/>
        <v>0</v>
      </c>
      <c r="DE70" s="22">
        <f t="shared" si="398"/>
        <v>0</v>
      </c>
      <c r="DF70" s="22">
        <f t="shared" si="398"/>
        <v>0</v>
      </c>
      <c r="DG70" s="22">
        <f t="shared" si="398"/>
        <v>0</v>
      </c>
      <c r="DH70" s="22">
        <f t="shared" si="398"/>
        <v>0</v>
      </c>
      <c r="DI70" s="577">
        <f t="shared" si="398"/>
        <v>0</v>
      </c>
      <c r="DJ70" s="22">
        <f t="shared" si="398"/>
        <v>0</v>
      </c>
      <c r="DK70" s="22">
        <f t="shared" si="398"/>
        <v>0</v>
      </c>
      <c r="DL70" s="22">
        <f t="shared" si="398"/>
        <v>0</v>
      </c>
      <c r="DM70" s="22">
        <f t="shared" si="398"/>
        <v>0</v>
      </c>
      <c r="DN70" s="577">
        <f t="shared" si="398"/>
        <v>0</v>
      </c>
      <c r="DO70" s="22">
        <f t="shared" si="398"/>
        <v>0</v>
      </c>
      <c r="DP70" s="22">
        <f t="shared" si="398"/>
        <v>0</v>
      </c>
      <c r="DQ70" s="22">
        <f t="shared" si="398"/>
        <v>0</v>
      </c>
      <c r="DR70" s="22">
        <f t="shared" si="398"/>
        <v>0</v>
      </c>
      <c r="DS70" s="577">
        <f t="shared" si="398"/>
        <v>0</v>
      </c>
      <c r="DT70" s="22">
        <f t="shared" si="398"/>
        <v>0</v>
      </c>
      <c r="DU70" s="22">
        <f t="shared" si="398"/>
        <v>0</v>
      </c>
      <c r="DV70" s="22">
        <f t="shared" si="398"/>
        <v>0</v>
      </c>
      <c r="DW70" s="22">
        <f t="shared" si="398"/>
        <v>0</v>
      </c>
      <c r="DX70" s="577">
        <f t="shared" si="398"/>
        <v>0</v>
      </c>
      <c r="DY70" s="22">
        <f t="shared" ref="DY70:EC70" si="399">DY23/DY$15</f>
        <v>0</v>
      </c>
      <c r="DZ70" s="22">
        <f t="shared" si="399"/>
        <v>0</v>
      </c>
      <c r="EA70" s="22">
        <f t="shared" si="399"/>
        <v>0</v>
      </c>
      <c r="EB70" s="22">
        <f t="shared" si="399"/>
        <v>0</v>
      </c>
      <c r="EC70" s="577">
        <f t="shared" si="399"/>
        <v>0</v>
      </c>
      <c r="ED70" s="16"/>
      <c r="EE70" s="122">
        <f t="shared" ref="EE70:EJ70" si="400">EE23/EE15</f>
        <v>0.29306794783802331</v>
      </c>
      <c r="EF70" s="22">
        <f t="shared" si="400"/>
        <v>0.29608585858585856</v>
      </c>
      <c r="EG70" s="22">
        <f t="shared" si="400"/>
        <v>0.29739130434782607</v>
      </c>
      <c r="EH70" s="22">
        <f t="shared" si="400"/>
        <v>0.30207778369738947</v>
      </c>
      <c r="EI70" s="22">
        <f t="shared" si="400"/>
        <v>0.31153721857158251</v>
      </c>
      <c r="EJ70" s="126">
        <f t="shared" si="400"/>
        <v>0.30468525438344346</v>
      </c>
      <c r="EK70" s="126">
        <f>BF70</f>
        <v>0.29364740342954782</v>
      </c>
      <c r="EL70" s="126">
        <f>BK70</f>
        <v>0.29520958083832338</v>
      </c>
      <c r="EM70" s="126">
        <f>BP70</f>
        <v>0.30579254602604394</v>
      </c>
      <c r="EN70" s="126">
        <f>BU70</f>
        <v>0.3512064343163539</v>
      </c>
      <c r="EO70" s="126">
        <f t="shared" si="264"/>
        <v>0</v>
      </c>
      <c r="EP70" s="126">
        <f>CJ70</f>
        <v>0</v>
      </c>
      <c r="EQ70" s="126">
        <f>CO70</f>
        <v>0</v>
      </c>
      <c r="ER70" s="116">
        <f>CT70</f>
        <v>0</v>
      </c>
      <c r="ES70" s="16"/>
      <c r="ET70" s="16"/>
      <c r="EU70" s="16"/>
      <c r="EX70" s="562" t="s">
        <v>395</v>
      </c>
      <c r="EY70" s="126">
        <f>BS70</f>
        <v>0</v>
      </c>
      <c r="EZ70" s="126">
        <v>0</v>
      </c>
      <c r="FA70" s="126">
        <f>EY70-EZ70</f>
        <v>0</v>
      </c>
      <c r="FB70" s="126">
        <f>BN70</f>
        <v>0.27407407407407408</v>
      </c>
      <c r="FC70" s="967">
        <f>EY70-FB70</f>
        <v>-0.27407407407407408</v>
      </c>
      <c r="FD70" s="16"/>
    </row>
    <row r="71" spans="1:160" ht="11.25" hidden="1" customHeight="1" outlineLevel="1" x14ac:dyDescent="0.2">
      <c r="A71" s="1601" t="s">
        <v>396</v>
      </c>
      <c r="B71" s="123">
        <f>B24/B15</f>
        <v>0.26104023552502453</v>
      </c>
      <c r="C71" s="21"/>
      <c r="D71" s="21"/>
      <c r="E71" s="21"/>
      <c r="F71" s="21"/>
      <c r="G71" s="123">
        <f>G24/G15</f>
        <v>0.26371681415929205</v>
      </c>
      <c r="H71" s="21"/>
      <c r="I71" s="21"/>
      <c r="J71" s="21"/>
      <c r="K71" s="21"/>
      <c r="L71" s="123">
        <f>L24/L15</f>
        <v>0.26746166950596251</v>
      </c>
      <c r="M71" s="21"/>
      <c r="N71" s="21"/>
      <c r="O71" s="21"/>
      <c r="P71" s="21"/>
      <c r="Q71" s="123">
        <f t="shared" ref="Q71:AU71" si="401">Q24/Q15</f>
        <v>0.24608150470219436</v>
      </c>
      <c r="R71" s="22">
        <f t="shared" si="401"/>
        <v>0.24857142857142858</v>
      </c>
      <c r="S71" s="22">
        <f t="shared" si="401"/>
        <v>0.2288135593220339</v>
      </c>
      <c r="T71" s="22">
        <f t="shared" si="401"/>
        <v>0.25958702064896755</v>
      </c>
      <c r="U71" s="22">
        <f t="shared" si="401"/>
        <v>0.23901098901098902</v>
      </c>
      <c r="V71" s="123">
        <f t="shared" si="401"/>
        <v>0.24378109452736318</v>
      </c>
      <c r="W71" s="22">
        <f t="shared" si="401"/>
        <v>0.24266666666666667</v>
      </c>
      <c r="X71" s="22">
        <f t="shared" si="401"/>
        <v>0.24538258575197888</v>
      </c>
      <c r="Y71" s="22">
        <f t="shared" si="401"/>
        <v>0.2608695652173913</v>
      </c>
      <c r="Z71" s="22">
        <f t="shared" si="401"/>
        <v>0.25380710659898476</v>
      </c>
      <c r="AA71" s="123">
        <f t="shared" si="401"/>
        <v>0.25065963060686014</v>
      </c>
      <c r="AB71" s="22">
        <f t="shared" si="401"/>
        <v>0.25185185185185183</v>
      </c>
      <c r="AC71" s="22">
        <f t="shared" si="401"/>
        <v>0.24700239808153476</v>
      </c>
      <c r="AD71" s="22">
        <f t="shared" si="401"/>
        <v>0.26054590570719605</v>
      </c>
      <c r="AE71" s="22">
        <f t="shared" si="401"/>
        <v>0.24942263279445728</v>
      </c>
      <c r="AF71" s="123">
        <f t="shared" si="401"/>
        <v>0.25211097708082025</v>
      </c>
      <c r="AG71" s="22">
        <f t="shared" si="401"/>
        <v>0.23809523809523808</v>
      </c>
      <c r="AH71" s="22">
        <f t="shared" si="401"/>
        <v>0.23660714285714285</v>
      </c>
      <c r="AI71" s="22">
        <f t="shared" si="401"/>
        <v>0.25229357798165136</v>
      </c>
      <c r="AJ71" s="88">
        <f t="shared" si="401"/>
        <v>0.2505307855626327</v>
      </c>
      <c r="AK71" s="88">
        <f t="shared" si="401"/>
        <v>0.24443207126948774</v>
      </c>
      <c r="AL71" s="22">
        <f t="shared" si="401"/>
        <v>0.24547283702213279</v>
      </c>
      <c r="AM71" s="22">
        <f t="shared" si="401"/>
        <v>0.23678646934460887</v>
      </c>
      <c r="AN71" s="22">
        <f t="shared" si="401"/>
        <v>0.24498886414253898</v>
      </c>
      <c r="AO71" s="22">
        <f t="shared" si="401"/>
        <v>0.24653379549393414</v>
      </c>
      <c r="AP71" s="123">
        <f t="shared" si="401"/>
        <v>0.24343294693183029</v>
      </c>
      <c r="AQ71" s="22">
        <f t="shared" si="401"/>
        <v>0.24451076529524621</v>
      </c>
      <c r="AR71" s="22">
        <f t="shared" si="401"/>
        <v>0.23883413713566787</v>
      </c>
      <c r="AS71" s="22">
        <f t="shared" si="401"/>
        <v>0.25796903460837889</v>
      </c>
      <c r="AT71" s="22">
        <f t="shared" si="401"/>
        <v>0.2624972473023563</v>
      </c>
      <c r="AU71" s="123">
        <f t="shared" si="401"/>
        <v>0.25069319849942912</v>
      </c>
      <c r="AV71" s="279"/>
      <c r="AW71" s="22">
        <f>AW24/AW15</f>
        <v>0.25796903460837889</v>
      </c>
      <c r="AX71" s="22">
        <f>AX24/AX15</f>
        <v>0.2624972473023563</v>
      </c>
      <c r="AY71" s="22">
        <f>AY24/AY15</f>
        <v>0.24802233597021869</v>
      </c>
      <c r="AZ71" s="22">
        <f>AZ24/AZ15</f>
        <v>0.27089337175792511</v>
      </c>
      <c r="BA71" s="577">
        <f>BA24/BA$15</f>
        <v>0.25978729519977006</v>
      </c>
      <c r="BB71" s="122">
        <f>BB24/BB15</f>
        <v>0.27949044585987259</v>
      </c>
      <c r="BC71" s="22">
        <f>BC24/BC$15</f>
        <v>0.2663484486873508</v>
      </c>
      <c r="BD71" s="22">
        <f>BD24/BD15</f>
        <v>0.26726584673604542</v>
      </c>
      <c r="BE71" s="22">
        <f>BE24/BE15</f>
        <v>0.26508407517309596</v>
      </c>
      <c r="BF71" s="577">
        <f>BF24/BF$15</f>
        <v>0.26942088240678591</v>
      </c>
      <c r="BG71" s="22">
        <f>BG24/BG15</f>
        <v>0.26375567895002527</v>
      </c>
      <c r="BH71" s="22">
        <f>BH24/BH$15</f>
        <v>0.26163631107256435</v>
      </c>
      <c r="BI71" s="22">
        <f>BI24/BI15</f>
        <v>0.26451349141455438</v>
      </c>
      <c r="BJ71" s="22">
        <f>BJ24/BJ15</f>
        <v>0.27537026878771254</v>
      </c>
      <c r="BK71" s="577">
        <f>BK24/BK$15</f>
        <v>0.26509837467921299</v>
      </c>
      <c r="BL71" s="22">
        <f>BL24/BL15</f>
        <v>0.26507018992568127</v>
      </c>
      <c r="BM71" s="22">
        <f t="shared" ref="BM71:CR71" si="402">BM24/BM$15</f>
        <v>0.24857685009487665</v>
      </c>
      <c r="BN71" s="22">
        <f t="shared" si="402"/>
        <v>0.25925925925925924</v>
      </c>
      <c r="BO71" s="22">
        <f t="shared" si="402"/>
        <v>0.20091324200913244</v>
      </c>
      <c r="BP71" s="577">
        <f t="shared" si="402"/>
        <v>0.25415356982487652</v>
      </c>
      <c r="BQ71" s="22">
        <f t="shared" si="402"/>
        <v>0</v>
      </c>
      <c r="BR71" s="22">
        <f t="shared" si="402"/>
        <v>0</v>
      </c>
      <c r="BS71" s="22">
        <f t="shared" si="402"/>
        <v>0</v>
      </c>
      <c r="BT71" s="22">
        <f t="shared" si="402"/>
        <v>0</v>
      </c>
      <c r="BU71" s="577">
        <f t="shared" si="402"/>
        <v>0.30160857908847188</v>
      </c>
      <c r="BV71" s="1196">
        <f t="shared" si="402"/>
        <v>0</v>
      </c>
      <c r="BW71" s="1196">
        <f t="shared" si="402"/>
        <v>0</v>
      </c>
      <c r="BX71" s="1196">
        <f t="shared" si="402"/>
        <v>0</v>
      </c>
      <c r="BY71" s="1196">
        <f t="shared" si="402"/>
        <v>0</v>
      </c>
      <c r="BZ71" s="577">
        <f t="shared" si="402"/>
        <v>0.28789608103059122</v>
      </c>
      <c r="CA71" s="22">
        <f t="shared" si="402"/>
        <v>0</v>
      </c>
      <c r="CB71" s="22">
        <f t="shared" si="402"/>
        <v>0</v>
      </c>
      <c r="CC71" s="22">
        <f t="shared" si="402"/>
        <v>0</v>
      </c>
      <c r="CD71" s="22">
        <f t="shared" si="402"/>
        <v>0</v>
      </c>
      <c r="CE71" s="577">
        <f t="shared" si="402"/>
        <v>0</v>
      </c>
      <c r="CF71" s="22">
        <f t="shared" si="402"/>
        <v>0</v>
      </c>
      <c r="CG71" s="22">
        <f t="shared" si="402"/>
        <v>0</v>
      </c>
      <c r="CH71" s="22">
        <f t="shared" si="402"/>
        <v>0</v>
      </c>
      <c r="CI71" s="22">
        <f t="shared" si="402"/>
        <v>0</v>
      </c>
      <c r="CJ71" s="577">
        <f t="shared" si="402"/>
        <v>0</v>
      </c>
      <c r="CK71" s="22">
        <f t="shared" si="402"/>
        <v>0</v>
      </c>
      <c r="CL71" s="22">
        <f t="shared" si="402"/>
        <v>0</v>
      </c>
      <c r="CM71" s="22">
        <f t="shared" ref="CM71:CN71" si="403">CM24/CM$15</f>
        <v>0</v>
      </c>
      <c r="CN71" s="22">
        <f t="shared" si="403"/>
        <v>0</v>
      </c>
      <c r="CO71" s="577">
        <f t="shared" si="402"/>
        <v>0</v>
      </c>
      <c r="CP71" s="22">
        <f t="shared" ref="CP71" si="404">CP24/CP$15</f>
        <v>0</v>
      </c>
      <c r="CQ71" s="22">
        <f t="shared" si="402"/>
        <v>0</v>
      </c>
      <c r="CR71" s="22">
        <f t="shared" si="402"/>
        <v>0</v>
      </c>
      <c r="CS71" s="22">
        <f t="shared" ref="CS71:DX71" si="405">CS24/CS$15</f>
        <v>0</v>
      </c>
      <c r="CT71" s="577">
        <f t="shared" si="405"/>
        <v>0</v>
      </c>
      <c r="CU71" s="22">
        <f t="shared" si="405"/>
        <v>0</v>
      </c>
      <c r="CV71" s="22">
        <f t="shared" si="405"/>
        <v>0</v>
      </c>
      <c r="CW71" s="22">
        <f t="shared" si="405"/>
        <v>0</v>
      </c>
      <c r="CX71" s="22">
        <f t="shared" si="405"/>
        <v>0</v>
      </c>
      <c r="CY71" s="577">
        <f t="shared" si="405"/>
        <v>0</v>
      </c>
      <c r="CZ71" s="22">
        <f t="shared" si="405"/>
        <v>0</v>
      </c>
      <c r="DA71" s="22">
        <f t="shared" si="405"/>
        <v>0</v>
      </c>
      <c r="DB71" s="22">
        <f t="shared" si="405"/>
        <v>0</v>
      </c>
      <c r="DC71" s="22">
        <f t="shared" si="405"/>
        <v>0</v>
      </c>
      <c r="DD71" s="577">
        <f t="shared" si="405"/>
        <v>0</v>
      </c>
      <c r="DE71" s="22">
        <f t="shared" si="405"/>
        <v>0</v>
      </c>
      <c r="DF71" s="22">
        <f t="shared" si="405"/>
        <v>0</v>
      </c>
      <c r="DG71" s="22">
        <f t="shared" si="405"/>
        <v>0</v>
      </c>
      <c r="DH71" s="22">
        <f t="shared" si="405"/>
        <v>0</v>
      </c>
      <c r="DI71" s="577">
        <f t="shared" si="405"/>
        <v>0</v>
      </c>
      <c r="DJ71" s="22">
        <f t="shared" si="405"/>
        <v>0</v>
      </c>
      <c r="DK71" s="22">
        <f t="shared" si="405"/>
        <v>0</v>
      </c>
      <c r="DL71" s="22">
        <f t="shared" si="405"/>
        <v>0</v>
      </c>
      <c r="DM71" s="22">
        <f t="shared" si="405"/>
        <v>0</v>
      </c>
      <c r="DN71" s="577">
        <f t="shared" si="405"/>
        <v>0</v>
      </c>
      <c r="DO71" s="22">
        <f t="shared" si="405"/>
        <v>0</v>
      </c>
      <c r="DP71" s="22">
        <f t="shared" si="405"/>
        <v>0</v>
      </c>
      <c r="DQ71" s="22">
        <f t="shared" si="405"/>
        <v>0</v>
      </c>
      <c r="DR71" s="22">
        <f t="shared" si="405"/>
        <v>0</v>
      </c>
      <c r="DS71" s="577">
        <f t="shared" si="405"/>
        <v>0</v>
      </c>
      <c r="DT71" s="22">
        <f t="shared" si="405"/>
        <v>0</v>
      </c>
      <c r="DU71" s="22">
        <f t="shared" si="405"/>
        <v>0</v>
      </c>
      <c r="DV71" s="22">
        <f t="shared" si="405"/>
        <v>0</v>
      </c>
      <c r="DW71" s="22">
        <f t="shared" si="405"/>
        <v>0</v>
      </c>
      <c r="DX71" s="577">
        <f t="shared" si="405"/>
        <v>0</v>
      </c>
      <c r="DY71" s="22">
        <f t="shared" ref="DY71:EC71" si="406">DY24/DY$15</f>
        <v>0</v>
      </c>
      <c r="DZ71" s="22">
        <f t="shared" si="406"/>
        <v>0</v>
      </c>
      <c r="EA71" s="22">
        <f t="shared" si="406"/>
        <v>0</v>
      </c>
      <c r="EB71" s="22">
        <f t="shared" si="406"/>
        <v>0</v>
      </c>
      <c r="EC71" s="577">
        <f t="shared" si="406"/>
        <v>0</v>
      </c>
      <c r="ED71" s="16"/>
      <c r="EE71" s="122">
        <f t="shared" ref="EE71:EJ71" si="407">EE24/EE15</f>
        <v>0.24639670555936857</v>
      </c>
      <c r="EF71" s="22">
        <f t="shared" si="407"/>
        <v>0.25315656565656564</v>
      </c>
      <c r="EG71" s="22">
        <f t="shared" si="407"/>
        <v>0.24579710144927536</v>
      </c>
      <c r="EH71" s="22">
        <f t="shared" si="407"/>
        <v>0.24613745338305806</v>
      </c>
      <c r="EI71" s="22">
        <f t="shared" si="407"/>
        <v>0.24367122697403859</v>
      </c>
      <c r="EJ71" s="22">
        <f t="shared" si="407"/>
        <v>0.25978729519977001</v>
      </c>
      <c r="EK71" s="22">
        <f>BF71</f>
        <v>0.26942088240678591</v>
      </c>
      <c r="EL71" s="22">
        <f>BK71</f>
        <v>0.26509837467921299</v>
      </c>
      <c r="EM71" s="22">
        <f>BP71</f>
        <v>0.25415356982487652</v>
      </c>
      <c r="EN71" s="22">
        <f>BU71</f>
        <v>0.30160857908847188</v>
      </c>
      <c r="EO71" s="22">
        <f t="shared" si="264"/>
        <v>0</v>
      </c>
      <c r="EP71" s="22">
        <f>CJ71</f>
        <v>0</v>
      </c>
      <c r="EQ71" s="22">
        <f>CO71</f>
        <v>0</v>
      </c>
      <c r="ER71" s="88">
        <f>CT71</f>
        <v>0</v>
      </c>
      <c r="ES71" s="16"/>
      <c r="ET71" s="16"/>
      <c r="EU71" s="16"/>
      <c r="EX71" s="562" t="s">
        <v>396</v>
      </c>
      <c r="EY71" s="126">
        <f>BS71</f>
        <v>0</v>
      </c>
      <c r="EZ71" s="126">
        <v>0</v>
      </c>
      <c r="FA71" s="126">
        <f>EY71-EZ71</f>
        <v>0</v>
      </c>
      <c r="FB71" s="126">
        <f>BN71</f>
        <v>0.25925925925925924</v>
      </c>
      <c r="FC71" s="967">
        <f>EY71-FB71</f>
        <v>-0.25925925925925924</v>
      </c>
      <c r="FD71" s="16"/>
    </row>
    <row r="72" spans="1:160" ht="11.25" customHeight="1" collapsed="1" x14ac:dyDescent="0.2">
      <c r="A72" s="624" t="s">
        <v>410</v>
      </c>
      <c r="B72" s="123">
        <f>1-B28/B15</f>
        <v>0.12266928361138374</v>
      </c>
      <c r="C72" s="122"/>
      <c r="D72" s="22"/>
      <c r="E72" s="22"/>
      <c r="F72" s="88"/>
      <c r="G72" s="123">
        <f>1-G28/G15</f>
        <v>0.1265486725663717</v>
      </c>
      <c r="H72" s="122"/>
      <c r="I72" s="22"/>
      <c r="J72" s="22"/>
      <c r="K72" s="22"/>
      <c r="L72" s="123">
        <f>1-L28/L15</f>
        <v>0.12947189097103917</v>
      </c>
      <c r="M72" s="22"/>
      <c r="N72" s="22"/>
      <c r="O72" s="22"/>
      <c r="P72" s="88"/>
      <c r="Q72" s="123">
        <f t="shared" ref="Q72:AU72" si="408">1-Q28/Q15</f>
        <v>0.14811912225705326</v>
      </c>
      <c r="R72" s="22">
        <f t="shared" si="408"/>
        <v>0.14857142857142858</v>
      </c>
      <c r="S72" s="22">
        <f t="shared" si="408"/>
        <v>0.17514124293785316</v>
      </c>
      <c r="T72" s="22">
        <f t="shared" si="408"/>
        <v>0.12684365781710916</v>
      </c>
      <c r="U72" s="22">
        <f t="shared" si="408"/>
        <v>0.15934065934065933</v>
      </c>
      <c r="V72" s="123">
        <f t="shared" si="408"/>
        <v>0.1506751954513148</v>
      </c>
      <c r="W72" s="22">
        <f t="shared" si="408"/>
        <v>0.14933333333333332</v>
      </c>
      <c r="X72" s="22">
        <f t="shared" si="408"/>
        <v>0.15303430079155678</v>
      </c>
      <c r="Y72" s="22">
        <f t="shared" si="408"/>
        <v>0.12771739130434778</v>
      </c>
      <c r="Z72" s="22">
        <f t="shared" si="408"/>
        <v>0.14974619289340096</v>
      </c>
      <c r="AA72" s="123">
        <f t="shared" si="408"/>
        <v>0.14511873350923488</v>
      </c>
      <c r="AB72" s="22">
        <f t="shared" si="408"/>
        <v>0.15308641975308646</v>
      </c>
      <c r="AC72" s="22">
        <f t="shared" si="408"/>
        <v>0.15827338129496404</v>
      </c>
      <c r="AD72" s="22">
        <f t="shared" si="408"/>
        <v>0.14143920595533499</v>
      </c>
      <c r="AE72" s="22">
        <f t="shared" si="408"/>
        <v>0.14780600461893767</v>
      </c>
      <c r="AF72" s="123">
        <f t="shared" si="408"/>
        <v>0.15018094089264178</v>
      </c>
      <c r="AG72" s="22">
        <f t="shared" si="408"/>
        <v>0.1541950113378685</v>
      </c>
      <c r="AH72" s="22">
        <f t="shared" si="408"/>
        <v>0.15625</v>
      </c>
      <c r="AI72" s="22">
        <f t="shared" si="408"/>
        <v>0.1330275229357798</v>
      </c>
      <c r="AJ72" s="548">
        <f t="shared" si="408"/>
        <v>0.13163481953290868</v>
      </c>
      <c r="AK72" s="88">
        <f t="shared" si="408"/>
        <v>0.14365256124721604</v>
      </c>
      <c r="AL72" s="22">
        <f t="shared" si="408"/>
        <v>0.12474849094567408</v>
      </c>
      <c r="AM72" s="22">
        <f t="shared" si="408"/>
        <v>0.13742071881606766</v>
      </c>
      <c r="AN72" s="22">
        <f t="shared" si="408"/>
        <v>0.11581291759465484</v>
      </c>
      <c r="AO72" s="22">
        <f t="shared" si="408"/>
        <v>0.12543327556325801</v>
      </c>
      <c r="AP72" s="123">
        <f t="shared" si="408"/>
        <v>0.12597043496756344</v>
      </c>
      <c r="AQ72" s="22">
        <f t="shared" si="408"/>
        <v>0.12960989128117673</v>
      </c>
      <c r="AR72" s="22">
        <f t="shared" si="408"/>
        <v>0.137555042985951</v>
      </c>
      <c r="AS72" s="22">
        <f t="shared" si="408"/>
        <v>0.11316029143897999</v>
      </c>
      <c r="AT72" s="22">
        <f t="shared" si="408"/>
        <v>0.10658445276370854</v>
      </c>
      <c r="AU72" s="123">
        <f t="shared" si="408"/>
        <v>0.1220573044092863</v>
      </c>
      <c r="AV72" s="157"/>
      <c r="AW72" s="22">
        <f t="shared" ref="AW72:BU72" si="409">1-AW28/AW15</f>
        <v>0.11316029143897999</v>
      </c>
      <c r="AX72" s="22">
        <f t="shared" si="409"/>
        <v>0.10658445276370854</v>
      </c>
      <c r="AY72" s="22">
        <f t="shared" si="409"/>
        <v>0.13610981852024184</v>
      </c>
      <c r="AZ72" s="22">
        <f t="shared" si="409"/>
        <v>0.12103746397694515</v>
      </c>
      <c r="BA72" s="578">
        <f t="shared" si="409"/>
        <v>0.11899971256108077</v>
      </c>
      <c r="BB72" s="122">
        <f t="shared" si="409"/>
        <v>9.1210191082802594E-2</v>
      </c>
      <c r="BC72" s="22">
        <f t="shared" si="409"/>
        <v>0.11885441527446294</v>
      </c>
      <c r="BD72" s="22">
        <f t="shared" si="409"/>
        <v>0.12440870387890257</v>
      </c>
      <c r="BE72" s="22">
        <f t="shared" si="409"/>
        <v>0.13130563798219574</v>
      </c>
      <c r="BF72" s="577">
        <f t="shared" si="409"/>
        <v>0.11673887837920283</v>
      </c>
      <c r="BG72" s="22">
        <f t="shared" si="409"/>
        <v>0.10651186269560831</v>
      </c>
      <c r="BH72" s="22">
        <f t="shared" si="409"/>
        <v>0.11621856027753685</v>
      </c>
      <c r="BI72" s="22">
        <f t="shared" si="409"/>
        <v>0.11569910057236299</v>
      </c>
      <c r="BJ72" s="22">
        <f t="shared" si="409"/>
        <v>0.11574328030718606</v>
      </c>
      <c r="BK72" s="577">
        <f t="shared" si="409"/>
        <v>0.11274593669803246</v>
      </c>
      <c r="BL72" s="22">
        <f t="shared" si="409"/>
        <v>0.10734929810074323</v>
      </c>
      <c r="BM72" s="22">
        <f t="shared" si="409"/>
        <v>0.11574952561669827</v>
      </c>
      <c r="BN72" s="22">
        <f t="shared" si="409"/>
        <v>0.1518518518518519</v>
      </c>
      <c r="BO72" s="22">
        <f t="shared" si="409"/>
        <v>0.19178082191780799</v>
      </c>
      <c r="BP72" s="577">
        <f t="shared" si="409"/>
        <v>0.12303547373147738</v>
      </c>
      <c r="BQ72" s="22">
        <f t="shared" si="409"/>
        <v>0.16216216216216217</v>
      </c>
      <c r="BR72" s="22">
        <f t="shared" si="409"/>
        <v>0.14207650273224048</v>
      </c>
      <c r="BS72" s="22">
        <f t="shared" si="409"/>
        <v>0.12698412698412687</v>
      </c>
      <c r="BT72" s="22">
        <f t="shared" si="409"/>
        <v>-0.49206349206349231</v>
      </c>
      <c r="BU72" s="577">
        <f t="shared" si="409"/>
        <v>-1.7426273458445163E-2</v>
      </c>
      <c r="BV72" s="1196">
        <f t="shared" ref="BV72:DA72" si="410">1-BV30/BV18</f>
        <v>0.13185301630968749</v>
      </c>
      <c r="BW72" s="1196">
        <f t="shared" si="410"/>
        <v>0.14740282077743372</v>
      </c>
      <c r="BX72" s="1196">
        <f t="shared" si="410"/>
        <v>0.1465116279069768</v>
      </c>
      <c r="BY72" s="1196">
        <f t="shared" si="410"/>
        <v>0.1487125591171834</v>
      </c>
      <c r="BZ72" s="577">
        <f t="shared" si="410"/>
        <v>0.14399964651820429</v>
      </c>
      <c r="CA72" s="22">
        <f t="shared" si="410"/>
        <v>0.13273273273273278</v>
      </c>
      <c r="CB72" s="22">
        <f t="shared" si="410"/>
        <v>0.16379006692497344</v>
      </c>
      <c r="CC72" s="22">
        <f t="shared" si="410"/>
        <v>0.18190144715149292</v>
      </c>
      <c r="CD72" s="22">
        <f t="shared" si="410"/>
        <v>0.18154012234616768</v>
      </c>
      <c r="CE72" s="577">
        <f t="shared" si="410"/>
        <v>0.16574458275703086</v>
      </c>
      <c r="CF72" s="22">
        <f t="shared" si="410"/>
        <v>0.20856269113149839</v>
      </c>
      <c r="CG72" s="22">
        <f t="shared" si="410"/>
        <v>0.21983530254206951</v>
      </c>
      <c r="CH72" s="22">
        <f t="shared" si="410"/>
        <v>0.22407912687585263</v>
      </c>
      <c r="CI72" s="22">
        <f t="shared" si="410"/>
        <v>0.22414701851786789</v>
      </c>
      <c r="CJ72" s="577">
        <f t="shared" si="410"/>
        <v>0.21956927989549513</v>
      </c>
      <c r="CK72" s="22">
        <f t="shared" si="410"/>
        <v>0.23074127906976749</v>
      </c>
      <c r="CL72" s="22">
        <f t="shared" ref="CL72:CM72" si="411">1-CL30/CL18</f>
        <v>0.23567513702042853</v>
      </c>
      <c r="CM72" s="22">
        <f t="shared" si="411"/>
        <v>0.21896770107663077</v>
      </c>
      <c r="CN72" s="22">
        <f t="shared" ref="CN72" si="412">1-CN30/CN18</f>
        <v>0.21906961398878266</v>
      </c>
      <c r="CO72" s="577">
        <f t="shared" si="410"/>
        <v>0.22591306530561039</v>
      </c>
      <c r="CP72" s="22">
        <f t="shared" ref="CP72" si="413">1-CP30/CP18</f>
        <v>0.2166849215041986</v>
      </c>
      <c r="CQ72" s="22">
        <f t="shared" si="410"/>
        <v>0.21562573852060407</v>
      </c>
      <c r="CR72" s="22">
        <f t="shared" si="410"/>
        <v>0.219693209177243</v>
      </c>
      <c r="CS72" s="22">
        <f t="shared" si="410"/>
        <v>0.2179740586584662</v>
      </c>
      <c r="CT72" s="577">
        <f t="shared" si="410"/>
        <v>0.21753529428189122</v>
      </c>
      <c r="CU72" s="22">
        <f t="shared" si="410"/>
        <v>0.22322038424728929</v>
      </c>
      <c r="CV72" s="22">
        <f t="shared" si="410"/>
        <v>0.2222552445155509</v>
      </c>
      <c r="CW72" s="22">
        <f t="shared" si="410"/>
        <v>0.2228647537228392</v>
      </c>
      <c r="CX72" s="22">
        <f t="shared" si="410"/>
        <v>0.22120398806815977</v>
      </c>
      <c r="CY72" s="577">
        <f t="shared" si="410"/>
        <v>0.22236183854292302</v>
      </c>
      <c r="CZ72" s="22">
        <f t="shared" si="410"/>
        <v>0.22357605972964745</v>
      </c>
      <c r="DA72" s="22">
        <f t="shared" si="410"/>
        <v>0.22267437027400971</v>
      </c>
      <c r="DB72" s="22">
        <f t="shared" ref="DB72:DX72" si="414">1-DB30/DB18</f>
        <v>0.22326910262628274</v>
      </c>
      <c r="DC72" s="22">
        <f t="shared" si="414"/>
        <v>0.22161529448489004</v>
      </c>
      <c r="DD72" s="577">
        <f t="shared" si="414"/>
        <v>0.22276095171802535</v>
      </c>
      <c r="DE72" s="22">
        <f t="shared" si="414"/>
        <v>0.22398183910041525</v>
      </c>
      <c r="DF72" s="22">
        <f t="shared" si="414"/>
        <v>0.22272288274058327</v>
      </c>
      <c r="DG72" s="22">
        <f t="shared" si="414"/>
        <v>0.22356162606602126</v>
      </c>
      <c r="DH72" s="22">
        <f t="shared" si="414"/>
        <v>0.22189786942181577</v>
      </c>
      <c r="DI72" s="577">
        <f t="shared" si="414"/>
        <v>0.2230185859102003</v>
      </c>
      <c r="DJ72" s="22">
        <f t="shared" si="414"/>
        <v>0.24301376823394516</v>
      </c>
      <c r="DK72" s="22">
        <f t="shared" si="414"/>
        <v>0.24161477470637571</v>
      </c>
      <c r="DL72" s="22">
        <f t="shared" si="414"/>
        <v>0.2425804111100307</v>
      </c>
      <c r="DM72" s="22">
        <f t="shared" si="414"/>
        <v>0.24094130976846551</v>
      </c>
      <c r="DN72" s="577">
        <f t="shared" si="414"/>
        <v>0.24201465398315747</v>
      </c>
      <c r="DO72" s="22">
        <f t="shared" si="414"/>
        <v>0.2442453935309179</v>
      </c>
      <c r="DP72" s="22">
        <f t="shared" si="414"/>
        <v>0.2428868666011943</v>
      </c>
      <c r="DQ72" s="22">
        <f t="shared" si="414"/>
        <v>0.24382202773598416</v>
      </c>
      <c r="DR72" s="22">
        <f t="shared" si="414"/>
        <v>0.24216803563945111</v>
      </c>
      <c r="DS72" s="577">
        <f t="shared" si="414"/>
        <v>0.24325785167809211</v>
      </c>
      <c r="DT72" s="22">
        <f t="shared" si="414"/>
        <v>0.16147791713050386</v>
      </c>
      <c r="DU72" s="22">
        <f t="shared" si="414"/>
        <v>0.1630840246136398</v>
      </c>
      <c r="DV72" s="22">
        <f t="shared" si="414"/>
        <v>0.16412790801012545</v>
      </c>
      <c r="DW72" s="22">
        <f t="shared" si="414"/>
        <v>0.16465327710302569</v>
      </c>
      <c r="DX72" s="577">
        <f t="shared" si="414"/>
        <v>0.1633952850085364</v>
      </c>
      <c r="DY72" s="22">
        <f t="shared" ref="DY72:EC72" si="415">1-DY30/DY18</f>
        <v>0.1620352219969643</v>
      </c>
      <c r="DZ72" s="22">
        <f t="shared" si="415"/>
        <v>0.16363061093536335</v>
      </c>
      <c r="EA72" s="22">
        <f t="shared" si="415"/>
        <v>0.16466007371669233</v>
      </c>
      <c r="EB72" s="22">
        <f t="shared" si="415"/>
        <v>0.16517801114941078</v>
      </c>
      <c r="EC72" s="577">
        <f t="shared" si="415"/>
        <v>0.16393942860530808</v>
      </c>
      <c r="ED72" s="16"/>
      <c r="EE72" s="122">
        <f t="shared" ref="EE72:EJ72" si="416">1-EE28/EE15</f>
        <v>0.14756348661633489</v>
      </c>
      <c r="EF72" s="22">
        <f t="shared" si="416"/>
        <v>0.14772727272727271</v>
      </c>
      <c r="EG72" s="22">
        <f t="shared" si="416"/>
        <v>0.15014492753623188</v>
      </c>
      <c r="EH72" s="22">
        <f t="shared" si="416"/>
        <v>0.13159296750133187</v>
      </c>
      <c r="EI72" s="22">
        <f t="shared" si="416"/>
        <v>0.12727566519444145</v>
      </c>
      <c r="EJ72" s="22">
        <f t="shared" si="416"/>
        <v>0.11899971256108088</v>
      </c>
      <c r="EK72" s="22">
        <f>BF72</f>
        <v>0.11673887837920283</v>
      </c>
      <c r="EL72" s="22">
        <f>BK72</f>
        <v>0.11274593669803246</v>
      </c>
      <c r="EM72" s="22">
        <f>BP72</f>
        <v>0.12303547373147738</v>
      </c>
      <c r="EN72" s="22">
        <f>BU72</f>
        <v>-1.7426273458445163E-2</v>
      </c>
      <c r="EO72" s="22">
        <f t="shared" si="264"/>
        <v>0.16574458275703086</v>
      </c>
      <c r="EP72" s="22">
        <f>CJ72</f>
        <v>0.21956927989549513</v>
      </c>
      <c r="EQ72" s="22">
        <f>CO72</f>
        <v>0.22591306530561039</v>
      </c>
      <c r="ER72" s="88">
        <f>CT72</f>
        <v>0.21753529428189122</v>
      </c>
      <c r="ES72" s="16"/>
      <c r="ET72" s="16"/>
      <c r="EU72" s="16"/>
      <c r="EX72" s="563" t="s">
        <v>410</v>
      </c>
      <c r="EY72" s="126">
        <f t="shared" ref="EY72:EY80" si="417">CP72</f>
        <v>0.2166849215041986</v>
      </c>
      <c r="EZ72" s="126">
        <v>0.22141438872639241</v>
      </c>
      <c r="FA72" s="813">
        <f>(EY72-EZ72)*10000</f>
        <v>-47.294672221938058</v>
      </c>
      <c r="FB72" s="126">
        <f t="shared" ref="FB72:FB80" si="418">CK72</f>
        <v>0.23074127906976749</v>
      </c>
      <c r="FC72" s="1011">
        <f>(EY72-FB72)*10000</f>
        <v>-140.56357565568888</v>
      </c>
      <c r="FD72" s="16"/>
    </row>
    <row r="73" spans="1:160" ht="11.25" hidden="1" customHeight="1" outlineLevel="1" x14ac:dyDescent="0.2">
      <c r="A73" s="1602" t="s">
        <v>248</v>
      </c>
      <c r="B73" s="127" t="e">
        <f>1-B31/#REF!</f>
        <v>#REF!</v>
      </c>
      <c r="C73" s="125"/>
      <c r="D73" s="126"/>
      <c r="E73" s="126"/>
      <c r="F73" s="116"/>
      <c r="G73" s="127" t="e">
        <f>1-G31/#REF!</f>
        <v>#REF!</v>
      </c>
      <c r="H73" s="125"/>
      <c r="I73" s="126"/>
      <c r="J73" s="126"/>
      <c r="K73" s="126"/>
      <c r="L73" s="127" t="e">
        <f>1-L31/#REF!</f>
        <v>#REF!</v>
      </c>
      <c r="M73" s="126"/>
      <c r="N73" s="126"/>
      <c r="O73" s="126"/>
      <c r="P73" s="116"/>
      <c r="Q73" s="127" t="e">
        <f>1-Q31/#REF!</f>
        <v>#REF!</v>
      </c>
      <c r="R73" s="126" t="e">
        <f>1-R31/#REF!</f>
        <v>#REF!</v>
      </c>
      <c r="S73" s="126" t="e">
        <f>1-S31/#REF!</f>
        <v>#REF!</v>
      </c>
      <c r="T73" s="126" t="e">
        <f>1-T31/#REF!</f>
        <v>#REF!</v>
      </c>
      <c r="U73" s="126" t="e">
        <f>1-U31/#REF!</f>
        <v>#REF!</v>
      </c>
      <c r="V73" s="123" t="e">
        <f>1-V31/#REF!</f>
        <v>#REF!</v>
      </c>
      <c r="W73" s="126" t="e">
        <f>1-W31/#REF!</f>
        <v>#REF!</v>
      </c>
      <c r="X73" s="126" t="e">
        <f>1-X31/#REF!</f>
        <v>#REF!</v>
      </c>
      <c r="Y73" s="126" t="e">
        <f>1-Y31/#REF!</f>
        <v>#REF!</v>
      </c>
      <c r="Z73" s="116" t="e">
        <f>1-Z31/#REF!</f>
        <v>#REF!</v>
      </c>
      <c r="AA73" s="127" t="e">
        <f>1-AA31/#REF!</f>
        <v>#REF!</v>
      </c>
      <c r="AB73" s="126" t="e">
        <f>1-AB31/#REF!</f>
        <v>#REF!</v>
      </c>
      <c r="AC73" s="126" t="e">
        <f>1-AC31/#REF!</f>
        <v>#REF!</v>
      </c>
      <c r="AD73" s="126" t="e">
        <f>1-AD31/#REF!</f>
        <v>#REF!</v>
      </c>
      <c r="AE73" s="126" t="e">
        <f>1-AE31/#REF!</f>
        <v>#REF!</v>
      </c>
      <c r="AF73" s="127" t="e">
        <f>1-AF31/#REF!</f>
        <v>#REF!</v>
      </c>
      <c r="AG73" s="126" t="e">
        <f>1-AG31/#REF!</f>
        <v>#REF!</v>
      </c>
      <c r="AH73" s="126" t="e">
        <f>1-AH31/#REF!</f>
        <v>#REF!</v>
      </c>
      <c r="AI73" s="126" t="e">
        <f>1-AI31/#REF!</f>
        <v>#REF!</v>
      </c>
      <c r="AJ73" s="549" t="e">
        <f>1-AJ31/#REF!</f>
        <v>#REF!</v>
      </c>
      <c r="AK73" s="116" t="e">
        <f>1-AK31/#REF!</f>
        <v>#REF!</v>
      </c>
      <c r="AL73" s="126" t="e">
        <f>1-AL31/#REF!</f>
        <v>#REF!</v>
      </c>
      <c r="AM73" s="126" t="e">
        <f>1-AM31/#REF!</f>
        <v>#REF!</v>
      </c>
      <c r="AN73" s="126" t="e">
        <f>1-AN31/#REF!</f>
        <v>#REF!</v>
      </c>
      <c r="AO73" s="126" t="e">
        <f>1-AO31/#REF!</f>
        <v>#REF!</v>
      </c>
      <c r="AP73" s="127" t="e">
        <f>1-AP31/#REF!</f>
        <v>#REF!</v>
      </c>
      <c r="AQ73" s="126" t="e">
        <f>1-AQ31/#REF!</f>
        <v>#REF!</v>
      </c>
      <c r="AR73" s="126" t="e">
        <f>1-AR31/#REF!</f>
        <v>#REF!</v>
      </c>
      <c r="AS73" s="126" t="e">
        <f>1-AS31/#REF!</f>
        <v>#REF!</v>
      </c>
      <c r="AT73" s="126" t="e">
        <f>1-AT31/#REF!</f>
        <v>#REF!</v>
      </c>
      <c r="AU73" s="127" t="e">
        <f>1-AU31/#REF!</f>
        <v>#REF!</v>
      </c>
      <c r="AV73" s="243"/>
      <c r="AW73" s="126" t="e">
        <f>1-AW31/#REF!</f>
        <v>#REF!</v>
      </c>
      <c r="AX73" s="126" t="e">
        <f>1-AX31/#REF!</f>
        <v>#REF!</v>
      </c>
      <c r="AY73" s="126" t="e">
        <f>1-AY31/#REF!</f>
        <v>#REF!</v>
      </c>
      <c r="AZ73" s="126" t="e">
        <f>1-AZ31/#REF!</f>
        <v>#REF!</v>
      </c>
      <c r="BA73" s="578" t="e">
        <f>1-BA31/#REF!</f>
        <v>#REF!</v>
      </c>
      <c r="BB73" s="720"/>
      <c r="BC73" s="126"/>
      <c r="BD73" s="126"/>
      <c r="BE73" s="116"/>
      <c r="BF73" s="578"/>
      <c r="BG73" s="299"/>
      <c r="BH73" s="126"/>
      <c r="BI73" s="126"/>
      <c r="BJ73" s="126"/>
      <c r="BK73" s="578"/>
      <c r="BL73" s="299"/>
      <c r="BM73" s="299"/>
      <c r="BN73" s="299"/>
      <c r="BO73" s="299"/>
      <c r="BP73" s="578"/>
      <c r="BQ73" s="299"/>
      <c r="BR73" s="299"/>
      <c r="BS73" s="299"/>
      <c r="BT73" s="299"/>
      <c r="BU73" s="578"/>
      <c r="BV73" s="1073"/>
      <c r="BW73" s="1073"/>
      <c r="BX73" s="1073"/>
      <c r="BY73" s="1073"/>
      <c r="BZ73" s="578"/>
      <c r="CA73" s="299"/>
      <c r="CB73" s="299"/>
      <c r="CC73" s="126"/>
      <c r="CD73" s="299"/>
      <c r="CE73" s="578"/>
      <c r="CF73" s="126"/>
      <c r="CG73" s="299"/>
      <c r="CH73" s="299"/>
      <c r="CI73" s="299"/>
      <c r="CJ73" s="578"/>
      <c r="CK73" s="126"/>
      <c r="CL73" s="126"/>
      <c r="CM73" s="126"/>
      <c r="CN73" s="126"/>
      <c r="CO73" s="578"/>
      <c r="CP73" s="126"/>
      <c r="CQ73" s="299"/>
      <c r="CR73" s="299"/>
      <c r="CS73" s="299"/>
      <c r="CT73" s="578"/>
      <c r="CU73" s="299"/>
      <c r="CV73" s="299"/>
      <c r="CW73" s="299"/>
      <c r="CX73" s="299"/>
      <c r="CY73" s="578"/>
      <c r="CZ73" s="299"/>
      <c r="DA73" s="299"/>
      <c r="DB73" s="299"/>
      <c r="DC73" s="299"/>
      <c r="DD73" s="578"/>
      <c r="DE73" s="299"/>
      <c r="DF73" s="299"/>
      <c r="DG73" s="299"/>
      <c r="DH73" s="299"/>
      <c r="DI73" s="578"/>
      <c r="DJ73" s="299"/>
      <c r="DK73" s="299"/>
      <c r="DL73" s="299"/>
      <c r="DM73" s="299"/>
      <c r="DN73" s="578"/>
      <c r="DO73" s="299"/>
      <c r="DP73" s="299"/>
      <c r="DQ73" s="299"/>
      <c r="DR73" s="299"/>
      <c r="DS73" s="578"/>
      <c r="DT73" s="299"/>
      <c r="DU73" s="299"/>
      <c r="DV73" s="299"/>
      <c r="DW73" s="299"/>
      <c r="DX73" s="578"/>
      <c r="DY73" s="299"/>
      <c r="DZ73" s="299"/>
      <c r="EA73" s="299"/>
      <c r="EB73" s="299"/>
      <c r="EC73" s="578"/>
      <c r="ED73" s="16"/>
      <c r="EE73" s="125" t="e">
        <f>1-EE31/#REF!</f>
        <v>#REF!</v>
      </c>
      <c r="EF73" s="126" t="e">
        <f>1-EF31/#REF!</f>
        <v>#REF!</v>
      </c>
      <c r="EG73" s="126" t="e">
        <f>1-EG31/#REF!</f>
        <v>#REF!</v>
      </c>
      <c r="EH73" s="126" t="e">
        <f>1-EH31/#REF!</f>
        <v>#REF!</v>
      </c>
      <c r="EI73" s="126" t="e">
        <f>1-EI31/#REF!</f>
        <v>#REF!</v>
      </c>
      <c r="EJ73" s="126" t="e">
        <f>1-EJ31/#REF!</f>
        <v>#REF!</v>
      </c>
      <c r="EK73" s="126"/>
      <c r="EL73" s="126"/>
      <c r="EM73" s="126"/>
      <c r="EN73" s="126"/>
      <c r="EO73" s="126"/>
      <c r="EP73" s="126"/>
      <c r="EQ73" s="126"/>
      <c r="ER73" s="116"/>
      <c r="ES73" s="16"/>
      <c r="ET73" s="16"/>
      <c r="EU73" s="16"/>
      <c r="EX73" s="565" t="s">
        <v>248</v>
      </c>
      <c r="EY73" s="126">
        <f t="shared" si="417"/>
        <v>0</v>
      </c>
      <c r="EZ73" s="126">
        <v>0</v>
      </c>
      <c r="FA73" s="813">
        <f t="shared" ref="FA73:FA82" si="419">(EY73-EZ73)*10000</f>
        <v>0</v>
      </c>
      <c r="FB73" s="126">
        <f t="shared" si="418"/>
        <v>0</v>
      </c>
      <c r="FC73" s="1011">
        <f t="shared" ref="FC73:FC84" si="420">(EY73-FB73)*10000</f>
        <v>0</v>
      </c>
      <c r="FD73" s="16"/>
    </row>
    <row r="74" spans="1:160" ht="11.25" customHeight="1" collapsed="1" x14ac:dyDescent="0.2">
      <c r="A74" s="1602" t="s">
        <v>59</v>
      </c>
      <c r="B74" s="127"/>
      <c r="C74" s="125"/>
      <c r="D74" s="126"/>
      <c r="E74" s="126"/>
      <c r="F74" s="116"/>
      <c r="G74" s="127"/>
      <c r="H74" s="125"/>
      <c r="I74" s="126"/>
      <c r="J74" s="126"/>
      <c r="K74" s="126"/>
      <c r="L74" s="127"/>
      <c r="M74" s="126"/>
      <c r="N74" s="126"/>
      <c r="O74" s="126"/>
      <c r="P74" s="116"/>
      <c r="Q74" s="127"/>
      <c r="R74" s="126"/>
      <c r="S74" s="126"/>
      <c r="T74" s="126"/>
      <c r="U74" s="126"/>
      <c r="V74" s="123"/>
      <c r="W74" s="126"/>
      <c r="X74" s="126"/>
      <c r="Y74" s="126"/>
      <c r="Z74" s="116"/>
      <c r="AA74" s="127"/>
      <c r="AB74" s="126"/>
      <c r="AC74" s="126"/>
      <c r="AD74" s="126"/>
      <c r="AE74" s="126"/>
      <c r="AF74" s="127"/>
      <c r="AG74" s="126"/>
      <c r="AH74" s="126"/>
      <c r="AI74" s="126"/>
      <c r="AJ74" s="549"/>
      <c r="AK74" s="116"/>
      <c r="AL74" s="126"/>
      <c r="AM74" s="126"/>
      <c r="AN74" s="126"/>
      <c r="AO74" s="126"/>
      <c r="AP74" s="127"/>
      <c r="AQ74" s="126"/>
      <c r="AR74" s="126"/>
      <c r="AS74" s="126"/>
      <c r="AT74" s="126"/>
      <c r="AU74" s="127"/>
      <c r="AV74" s="243"/>
      <c r="AW74" s="126">
        <f t="shared" ref="AW74:CB74" si="421">1-AW31/AW19</f>
        <v>0.89537095751426765</v>
      </c>
      <c r="AX74" s="126">
        <f t="shared" si="421"/>
        <v>0.90230905861456479</v>
      </c>
      <c r="AY74" s="126">
        <f t="shared" si="421"/>
        <v>0.89247943595769685</v>
      </c>
      <c r="AZ74" s="126">
        <f t="shared" si="421"/>
        <v>0.85</v>
      </c>
      <c r="BA74" s="578">
        <f t="shared" si="421"/>
        <v>0.88492779783393505</v>
      </c>
      <c r="BB74" s="125">
        <f t="shared" si="421"/>
        <v>0.85517241379310338</v>
      </c>
      <c r="BC74" s="126">
        <f t="shared" si="421"/>
        <v>0.86848072562358281</v>
      </c>
      <c r="BD74" s="126">
        <f t="shared" si="421"/>
        <v>0.86316928069226606</v>
      </c>
      <c r="BE74" s="126">
        <f t="shared" si="421"/>
        <v>0.85527809307604996</v>
      </c>
      <c r="BF74" s="578">
        <f t="shared" si="421"/>
        <v>0.86068866571018654</v>
      </c>
      <c r="BG74" s="126">
        <f t="shared" si="421"/>
        <v>0.86298215313759352</v>
      </c>
      <c r="BH74" s="126">
        <f t="shared" si="421"/>
        <v>0.85377116469984604</v>
      </c>
      <c r="BI74" s="126">
        <f t="shared" si="421"/>
        <v>0.82141165324490761</v>
      </c>
      <c r="BJ74" s="126">
        <f t="shared" si="421"/>
        <v>0.88703870387038708</v>
      </c>
      <c r="BK74" s="578">
        <f t="shared" si="421"/>
        <v>0.85646589350293056</v>
      </c>
      <c r="BL74" s="126">
        <f t="shared" si="421"/>
        <v>0.82429816069699902</v>
      </c>
      <c r="BM74" s="126">
        <f t="shared" si="421"/>
        <v>0.83732269503546097</v>
      </c>
      <c r="BN74" s="126">
        <f t="shared" si="421"/>
        <v>0.83675937122128174</v>
      </c>
      <c r="BO74" s="126">
        <f t="shared" si="421"/>
        <v>0.84011508425811754</v>
      </c>
      <c r="BP74" s="578">
        <f t="shared" si="421"/>
        <v>0.83499350368124725</v>
      </c>
      <c r="BQ74" s="126">
        <f t="shared" si="421"/>
        <v>0.83183453237410077</v>
      </c>
      <c r="BR74" s="126">
        <f t="shared" si="421"/>
        <v>0.85302593659942361</v>
      </c>
      <c r="BS74" s="126">
        <f t="shared" si="421"/>
        <v>0.84076923076923071</v>
      </c>
      <c r="BT74" s="126">
        <f t="shared" si="421"/>
        <v>0.78200919238345368</v>
      </c>
      <c r="BU74" s="578">
        <f t="shared" si="421"/>
        <v>0.82435187882318672</v>
      </c>
      <c r="BV74" s="1073">
        <f t="shared" si="421"/>
        <v>0.69339957416607523</v>
      </c>
      <c r="BW74" s="1073">
        <f t="shared" si="421"/>
        <v>0.70940708150010479</v>
      </c>
      <c r="BX74" s="1073">
        <f t="shared" si="421"/>
        <v>0.69319968553459121</v>
      </c>
      <c r="BY74" s="1073">
        <f t="shared" si="421"/>
        <v>0.66403694439099481</v>
      </c>
      <c r="BZ74" s="578">
        <f t="shared" si="421"/>
        <v>0.68939590355198344</v>
      </c>
      <c r="CA74" s="126">
        <f t="shared" si="421"/>
        <v>0.70239741816505297</v>
      </c>
      <c r="CB74" s="126">
        <f t="shared" si="421"/>
        <v>0.74346543001686349</v>
      </c>
      <c r="CC74" s="126">
        <f t="shared" ref="CC74:DH74" si="422">1-CC31/CC19</f>
        <v>0.75854791051076398</v>
      </c>
      <c r="CD74" s="126">
        <f t="shared" si="422"/>
        <v>0.7246608140462889</v>
      </c>
      <c r="CE74" s="578">
        <f t="shared" si="422"/>
        <v>0.73279524214103653</v>
      </c>
      <c r="CF74" s="126">
        <f t="shared" si="422"/>
        <v>0.75654205607476643</v>
      </c>
      <c r="CG74" s="126">
        <f t="shared" si="422"/>
        <v>0.76308139534883723</v>
      </c>
      <c r="CH74" s="126">
        <f t="shared" si="422"/>
        <v>0.7713059472716125</v>
      </c>
      <c r="CI74" s="126">
        <f t="shared" si="422"/>
        <v>0.75912947251936558</v>
      </c>
      <c r="CJ74" s="578">
        <f t="shared" si="422"/>
        <v>0.76260883004481994</v>
      </c>
      <c r="CK74" s="126">
        <f t="shared" si="422"/>
        <v>0.75344291426032872</v>
      </c>
      <c r="CL74" s="126">
        <f t="shared" ref="CL74:CM74" si="423">1-CL31/CL19</f>
        <v>0.7857142857142857</v>
      </c>
      <c r="CM74" s="126">
        <f t="shared" si="423"/>
        <v>0.79462738301559788</v>
      </c>
      <c r="CN74" s="126">
        <f t="shared" ref="CN74" si="424">1-CN31/CN19</f>
        <v>0.78598726114649686</v>
      </c>
      <c r="CO74" s="578">
        <f t="shared" si="422"/>
        <v>0.78149876475432334</v>
      </c>
      <c r="CP74" s="126">
        <f t="shared" ref="CP74" si="425">1-CP31/CP19</f>
        <v>0.85212464589235126</v>
      </c>
      <c r="CQ74" s="126">
        <f t="shared" si="422"/>
        <v>0.85991982354191465</v>
      </c>
      <c r="CR74" s="126">
        <f t="shared" si="422"/>
        <v>0.86858918884524661</v>
      </c>
      <c r="CS74" s="126">
        <f t="shared" si="422"/>
        <v>0.86074937519012862</v>
      </c>
      <c r="CT74" s="578">
        <f t="shared" si="422"/>
        <v>0.86058183528556542</v>
      </c>
      <c r="CU74" s="126">
        <f t="shared" si="422"/>
        <v>0.8526987949843492</v>
      </c>
      <c r="CV74" s="126">
        <f t="shared" si="422"/>
        <v>0.86359481668319638</v>
      </c>
      <c r="CW74" s="126">
        <f t="shared" si="422"/>
        <v>0.87210093936616884</v>
      </c>
      <c r="CX74" s="126">
        <f t="shared" si="422"/>
        <v>0.864250652984347</v>
      </c>
      <c r="CY74" s="578">
        <f t="shared" si="422"/>
        <v>0.86347224626402319</v>
      </c>
      <c r="CZ74" s="126">
        <f t="shared" si="422"/>
        <v>0.83081729266122628</v>
      </c>
      <c r="DA74" s="126">
        <f t="shared" si="422"/>
        <v>0.8685695699367626</v>
      </c>
      <c r="DB74" s="126">
        <f t="shared" si="422"/>
        <v>0.87692205240997745</v>
      </c>
      <c r="DC74" s="126">
        <f t="shared" si="422"/>
        <v>0.86908210439767619</v>
      </c>
      <c r="DD74" s="578">
        <f t="shared" si="422"/>
        <v>0.86215318043940847</v>
      </c>
      <c r="DE74" s="126">
        <f t="shared" si="422"/>
        <v>0.83381982520048348</v>
      </c>
      <c r="DF74" s="126">
        <f t="shared" si="422"/>
        <v>0.8461050861679611</v>
      </c>
      <c r="DG74" s="126">
        <f t="shared" si="422"/>
        <v>0.85456356891111107</v>
      </c>
      <c r="DH74" s="126">
        <f t="shared" si="422"/>
        <v>0.84666651846274132</v>
      </c>
      <c r="DI74" s="578">
        <f t="shared" ref="DI74:DX74" si="426">1-DI31/DI19</f>
        <v>0.84562262189244775</v>
      </c>
      <c r="DJ74" s="126">
        <f t="shared" si="426"/>
        <v>0.8366020961085574</v>
      </c>
      <c r="DK74" s="126">
        <f t="shared" si="426"/>
        <v>0.8492249466249524</v>
      </c>
      <c r="DL74" s="126">
        <f t="shared" si="426"/>
        <v>0.85753530682199997</v>
      </c>
      <c r="DM74" s="126">
        <f t="shared" si="426"/>
        <v>0.84970776553697813</v>
      </c>
      <c r="DN74" s="578">
        <f t="shared" si="426"/>
        <v>0.8486086466186733</v>
      </c>
      <c r="DO74" s="126">
        <f t="shared" si="426"/>
        <v>0.83820555905762939</v>
      </c>
      <c r="DP74" s="126">
        <f t="shared" si="426"/>
        <v>0.85115549808017554</v>
      </c>
      <c r="DQ74" s="126">
        <f t="shared" si="426"/>
        <v>0.85938948529248793</v>
      </c>
      <c r="DR74" s="126">
        <f t="shared" si="426"/>
        <v>0.85163660990756285</v>
      </c>
      <c r="DS74" s="578">
        <f t="shared" si="426"/>
        <v>0.85044273257661762</v>
      </c>
      <c r="DT74" s="126">
        <f t="shared" si="426"/>
        <v>0.84549953088320073</v>
      </c>
      <c r="DU74" s="126">
        <f t="shared" si="426"/>
        <v>0.85744823679452842</v>
      </c>
      <c r="DV74" s="126">
        <f t="shared" si="426"/>
        <v>0.86503326836846517</v>
      </c>
      <c r="DW74" s="126">
        <f t="shared" si="426"/>
        <v>0.85854766943153216</v>
      </c>
      <c r="DX74" s="578">
        <f t="shared" si="426"/>
        <v>0.85693428800916749</v>
      </c>
      <c r="DY74" s="126">
        <f t="shared" ref="DY74:EC74" si="427">1-DY31/DY19</f>
        <v>0.84702295786733384</v>
      </c>
      <c r="DZ74" s="126">
        <f t="shared" si="427"/>
        <v>0.85904118556551268</v>
      </c>
      <c r="EA74" s="126">
        <f t="shared" si="427"/>
        <v>0.86655095532391657</v>
      </c>
      <c r="EB74" s="126">
        <f t="shared" si="427"/>
        <v>0.86018270439352473</v>
      </c>
      <c r="EC74" s="578">
        <f t="shared" si="427"/>
        <v>0.85853015095764795</v>
      </c>
      <c r="ED74" s="16"/>
      <c r="EE74" s="125"/>
      <c r="EF74" s="126"/>
      <c r="EG74" s="126"/>
      <c r="EH74" s="126"/>
      <c r="EI74" s="126"/>
      <c r="EJ74" s="126">
        <f t="shared" ref="EJ74" si="428">1-EJ31/EJ19</f>
        <v>0.88492779783393505</v>
      </c>
      <c r="EK74" s="126">
        <f t="shared" ref="EK74:EK84" si="429">BF74</f>
        <v>0.86068866571018654</v>
      </c>
      <c r="EL74" s="126">
        <f t="shared" ref="EL74:EL84" si="430">BK74</f>
        <v>0.85646589350293056</v>
      </c>
      <c r="EM74" s="126">
        <f t="shared" ref="EM74:EM84" si="431">BP74</f>
        <v>0.83499350368124725</v>
      </c>
      <c r="EN74" s="126">
        <f t="shared" ref="EN74:EN84" si="432">BU74</f>
        <v>0.82435187882318672</v>
      </c>
      <c r="EO74" s="126">
        <f t="shared" si="264"/>
        <v>0.73279524214103653</v>
      </c>
      <c r="EP74" s="126">
        <f t="shared" ref="EP74:EP84" si="433">CJ74</f>
        <v>0.76260883004481994</v>
      </c>
      <c r="EQ74" s="126">
        <f t="shared" ref="EQ74:EQ84" si="434">CO74</f>
        <v>0.78149876475432334</v>
      </c>
      <c r="ER74" s="116">
        <f t="shared" ref="ER74:ER80" si="435">CT74</f>
        <v>0.86058183528556542</v>
      </c>
      <c r="ES74" s="16"/>
      <c r="ET74" s="16"/>
      <c r="EU74" s="16"/>
      <c r="EX74" s="565" t="s">
        <v>59</v>
      </c>
      <c r="EY74" s="126">
        <f t="shared" si="417"/>
        <v>0.85212464589235126</v>
      </c>
      <c r="EZ74" s="126">
        <v>0.77579584255006695</v>
      </c>
      <c r="FA74" s="813">
        <f t="shared" si="419"/>
        <v>763.28803342284311</v>
      </c>
      <c r="FB74" s="126">
        <f t="shared" si="418"/>
        <v>0.75344291426032872</v>
      </c>
      <c r="FC74" s="1011">
        <f t="shared" si="420"/>
        <v>986.81731632022536</v>
      </c>
      <c r="FD74" s="16"/>
    </row>
    <row r="75" spans="1:160" ht="11.25" hidden="1" customHeight="1" outlineLevel="1" x14ac:dyDescent="0.2">
      <c r="A75" s="98" t="s">
        <v>391</v>
      </c>
      <c r="B75" s="127"/>
      <c r="C75" s="125"/>
      <c r="D75" s="126"/>
      <c r="E75" s="126"/>
      <c r="F75" s="126"/>
      <c r="G75" s="127"/>
      <c r="H75" s="125"/>
      <c r="I75" s="126"/>
      <c r="J75" s="126"/>
      <c r="K75" s="126"/>
      <c r="L75" s="127"/>
      <c r="M75" s="126"/>
      <c r="N75" s="126"/>
      <c r="O75" s="126"/>
      <c r="P75" s="126"/>
      <c r="Q75" s="127"/>
      <c r="R75" s="126"/>
      <c r="S75" s="126"/>
      <c r="T75" s="126"/>
      <c r="U75" s="126"/>
      <c r="V75" s="127"/>
      <c r="W75" s="126"/>
      <c r="X75" s="126"/>
      <c r="Y75" s="126"/>
      <c r="Z75" s="126"/>
      <c r="AA75" s="127"/>
      <c r="AB75" s="126"/>
      <c r="AC75" s="126"/>
      <c r="AD75" s="126"/>
      <c r="AE75" s="126"/>
      <c r="AF75" s="127"/>
      <c r="AG75" s="126"/>
      <c r="AH75" s="126"/>
      <c r="AI75" s="126"/>
      <c r="AJ75" s="549"/>
      <c r="AK75" s="116"/>
      <c r="AL75" s="126"/>
      <c r="AM75" s="126"/>
      <c r="AN75" s="126"/>
      <c r="AO75" s="126"/>
      <c r="AP75" s="127"/>
      <c r="AQ75" s="126"/>
      <c r="AR75" s="126"/>
      <c r="AS75" s="126"/>
      <c r="AT75" s="126"/>
      <c r="AU75" s="127"/>
      <c r="AV75" s="243"/>
      <c r="AW75" s="126">
        <f t="shared" ref="AW75:CC75" si="436">AW32/AW20</f>
        <v>3.6186965990953265E-2</v>
      </c>
      <c r="AX75" s="126">
        <f t="shared" si="436"/>
        <v>3.6436597110754414E-2</v>
      </c>
      <c r="AY75" s="126">
        <f t="shared" si="436"/>
        <v>3.4666666666666665E-2</v>
      </c>
      <c r="AZ75" s="126">
        <f t="shared" si="436"/>
        <v>3.6276522929500343E-2</v>
      </c>
      <c r="BA75" s="578">
        <f t="shared" si="436"/>
        <v>3.5894023208418245E-2</v>
      </c>
      <c r="BB75" s="125">
        <f t="shared" si="436"/>
        <v>3.4420289855072464E-2</v>
      </c>
      <c r="BC75" s="126">
        <f t="shared" si="436"/>
        <v>3.4262680550890157E-2</v>
      </c>
      <c r="BD75" s="126">
        <f t="shared" si="436"/>
        <v>3.0771762382754645E-2</v>
      </c>
      <c r="BE75" s="126">
        <f t="shared" si="436"/>
        <v>3.4619359283499837E-2</v>
      </c>
      <c r="BF75" s="578">
        <f t="shared" si="436"/>
        <v>3.3480327096801814E-2</v>
      </c>
      <c r="BG75" s="126">
        <f t="shared" si="436"/>
        <v>2.9303386559045446E-2</v>
      </c>
      <c r="BH75" s="126">
        <f t="shared" si="436"/>
        <v>2.4778106508875741E-2</v>
      </c>
      <c r="BI75" s="126">
        <f t="shared" si="436"/>
        <v>2.2822032038621903E-2</v>
      </c>
      <c r="BJ75" s="126">
        <f t="shared" si="436"/>
        <v>1.9283065512978988E-2</v>
      </c>
      <c r="BK75" s="578">
        <f t="shared" si="436"/>
        <v>2.4506570602262922E-2</v>
      </c>
      <c r="BL75" s="126">
        <f t="shared" si="436"/>
        <v>1.1290814769606349E-2</v>
      </c>
      <c r="BM75" s="126">
        <f t="shared" si="436"/>
        <v>3.5932446999640674E-3</v>
      </c>
      <c r="BN75" s="126">
        <f t="shared" si="436"/>
        <v>4.7255543438749544E-3</v>
      </c>
      <c r="BO75" s="126">
        <f t="shared" si="436"/>
        <v>7.5414781297134241E-4</v>
      </c>
      <c r="BP75" s="578">
        <f t="shared" si="436"/>
        <v>5.4087062723545323E-3</v>
      </c>
      <c r="BQ75" s="126">
        <f t="shared" si="436"/>
        <v>8.3022000830220008E-4</v>
      </c>
      <c r="BR75" s="126">
        <f t="shared" si="436"/>
        <v>3.8284839203675346E-4</v>
      </c>
      <c r="BS75" s="126">
        <f t="shared" si="436"/>
        <v>2.1513087128002869E-3</v>
      </c>
      <c r="BT75" s="126">
        <f t="shared" si="436"/>
        <v>3.6031707902954594E-3</v>
      </c>
      <c r="BU75" s="578">
        <f t="shared" si="436"/>
        <v>2.004510147832623E-3</v>
      </c>
      <c r="BV75" s="1073">
        <f t="shared" si="436"/>
        <v>2.1468441391155006E-4</v>
      </c>
      <c r="BW75" s="1073">
        <f t="shared" si="436"/>
        <v>9.4455464248606778E-5</v>
      </c>
      <c r="BX75" s="1073">
        <f t="shared" si="436"/>
        <v>5.4015124234785738E-4</v>
      </c>
      <c r="BY75" s="1073">
        <f t="shared" si="436"/>
        <v>1.3753896937465616E-3</v>
      </c>
      <c r="BZ75" s="578">
        <f t="shared" si="436"/>
        <v>5.7256005916453943E-4</v>
      </c>
      <c r="CA75" s="126">
        <f t="shared" si="436"/>
        <v>1.5000535733419051E-3</v>
      </c>
      <c r="CB75" s="126">
        <f t="shared" si="436"/>
        <v>1.3433122241412398E-3</v>
      </c>
      <c r="CC75" s="126">
        <f t="shared" si="436"/>
        <v>2.942041776993233E-3</v>
      </c>
      <c r="CD75" s="126"/>
      <c r="CE75" s="578"/>
      <c r="CF75" s="126">
        <f>CF32/CF20</f>
        <v>1.5242242787152965E-3</v>
      </c>
      <c r="CG75" s="126"/>
      <c r="CH75" s="126"/>
      <c r="CI75" s="126"/>
      <c r="CJ75" s="578"/>
      <c r="CK75" s="126"/>
      <c r="CL75" s="126"/>
      <c r="CM75" s="126"/>
      <c r="CN75" s="126"/>
      <c r="CO75" s="578"/>
      <c r="CP75" s="126"/>
      <c r="CQ75" s="126"/>
      <c r="CR75" s="126"/>
      <c r="CS75" s="126"/>
      <c r="CT75" s="578"/>
      <c r="CU75" s="126"/>
      <c r="CV75" s="126"/>
      <c r="CW75" s="126"/>
      <c r="CX75" s="126"/>
      <c r="CY75" s="578"/>
      <c r="CZ75" s="126"/>
      <c r="DA75" s="126"/>
      <c r="DB75" s="126"/>
      <c r="DC75" s="126"/>
      <c r="DD75" s="578"/>
      <c r="DE75" s="126"/>
      <c r="DF75" s="126"/>
      <c r="DG75" s="126"/>
      <c r="DH75" s="126"/>
      <c r="DI75" s="578"/>
      <c r="DJ75" s="126"/>
      <c r="DK75" s="126"/>
      <c r="DL75" s="126"/>
      <c r="DM75" s="126"/>
      <c r="DN75" s="578"/>
      <c r="DO75" s="126"/>
      <c r="DP75" s="126"/>
      <c r="DQ75" s="126"/>
      <c r="DR75" s="126"/>
      <c r="DS75" s="578"/>
      <c r="DT75" s="126"/>
      <c r="DU75" s="126"/>
      <c r="DV75" s="126"/>
      <c r="DW75" s="126"/>
      <c r="DX75" s="578"/>
      <c r="DY75" s="126"/>
      <c r="DZ75" s="126"/>
      <c r="EA75" s="126"/>
      <c r="EB75" s="126"/>
      <c r="EC75" s="578"/>
      <c r="ED75" s="16"/>
      <c r="EE75" s="125">
        <f t="shared" ref="EE75:EJ75" si="437">EE32/EE20</f>
        <v>0</v>
      </c>
      <c r="EF75" s="126">
        <f t="shared" si="437"/>
        <v>5.113636363636364E-2</v>
      </c>
      <c r="EG75" s="126">
        <f t="shared" si="437"/>
        <v>4.9855072463768114E-2</v>
      </c>
      <c r="EH75" s="126">
        <f t="shared" si="437"/>
        <v>5.0079914757591902E-2</v>
      </c>
      <c r="EI75" s="126">
        <f t="shared" si="437"/>
        <v>4.9660670042012287E-2</v>
      </c>
      <c r="EJ75" s="126">
        <f t="shared" si="437"/>
        <v>3.5894023208418252E-2</v>
      </c>
      <c r="EK75" s="126">
        <f t="shared" si="429"/>
        <v>3.3480327096801814E-2</v>
      </c>
      <c r="EL75" s="126">
        <f t="shared" si="430"/>
        <v>2.4506570602262922E-2</v>
      </c>
      <c r="EM75" s="126">
        <f t="shared" si="431"/>
        <v>5.4087062723545323E-3</v>
      </c>
      <c r="EN75" s="126">
        <f t="shared" si="432"/>
        <v>2.004510147832623E-3</v>
      </c>
      <c r="EO75" s="126">
        <f t="shared" si="264"/>
        <v>0</v>
      </c>
      <c r="EP75" s="126">
        <f t="shared" si="433"/>
        <v>0</v>
      </c>
      <c r="EQ75" s="126">
        <f t="shared" si="434"/>
        <v>0</v>
      </c>
      <c r="ER75" s="116">
        <f t="shared" si="435"/>
        <v>0</v>
      </c>
      <c r="ES75" s="16"/>
      <c r="ET75" s="16"/>
      <c r="EU75" s="16"/>
      <c r="EX75" s="558" t="s">
        <v>391</v>
      </c>
      <c r="EY75" s="126">
        <f t="shared" si="417"/>
        <v>0</v>
      </c>
      <c r="EZ75" s="126">
        <v>0</v>
      </c>
      <c r="FA75" s="813">
        <f t="shared" si="419"/>
        <v>0</v>
      </c>
      <c r="FB75" s="126">
        <f t="shared" si="418"/>
        <v>0</v>
      </c>
      <c r="FC75" s="1011">
        <f t="shared" si="420"/>
        <v>0</v>
      </c>
      <c r="FD75" s="16"/>
    </row>
    <row r="76" spans="1:160" ht="11.25" hidden="1" customHeight="1" outlineLevel="1" x14ac:dyDescent="0.2">
      <c r="A76" s="98" t="s">
        <v>392</v>
      </c>
      <c r="B76" s="127"/>
      <c r="C76" s="125"/>
      <c r="D76" s="126"/>
      <c r="E76" s="126"/>
      <c r="F76" s="126"/>
      <c r="G76" s="127"/>
      <c r="H76" s="125"/>
      <c r="I76" s="126"/>
      <c r="J76" s="126"/>
      <c r="K76" s="126"/>
      <c r="L76" s="127"/>
      <c r="M76" s="126"/>
      <c r="N76" s="126"/>
      <c r="O76" s="126"/>
      <c r="P76" s="126"/>
      <c r="Q76" s="127"/>
      <c r="R76" s="126"/>
      <c r="S76" s="126"/>
      <c r="T76" s="126"/>
      <c r="U76" s="126"/>
      <c r="V76" s="127"/>
      <c r="W76" s="126"/>
      <c r="X76" s="126"/>
      <c r="Y76" s="126"/>
      <c r="Z76" s="126"/>
      <c r="AA76" s="127"/>
      <c r="AB76" s="126"/>
      <c r="AC76" s="126"/>
      <c r="AD76" s="126"/>
      <c r="AE76" s="126"/>
      <c r="AF76" s="127"/>
      <c r="AG76" s="126"/>
      <c r="AH76" s="126"/>
      <c r="AI76" s="126"/>
      <c r="AJ76" s="549"/>
      <c r="AK76" s="116"/>
      <c r="AL76" s="126"/>
      <c r="AM76" s="126"/>
      <c r="AN76" s="126"/>
      <c r="AO76" s="126"/>
      <c r="AP76" s="127"/>
      <c r="AQ76" s="126"/>
      <c r="AR76" s="126"/>
      <c r="AS76" s="126"/>
      <c r="AT76" s="126"/>
      <c r="AU76" s="127"/>
      <c r="AV76" s="243"/>
      <c r="AW76" s="126">
        <f t="shared" ref="AW76:CB76" si="438">AW33/AW20</f>
        <v>0.158988105210253</v>
      </c>
      <c r="AX76" s="126">
        <f t="shared" si="438"/>
        <v>0.15505617977528088</v>
      </c>
      <c r="AY76" s="126">
        <f t="shared" si="438"/>
        <v>0.17366666666666666</v>
      </c>
      <c r="AZ76" s="126">
        <f t="shared" si="438"/>
        <v>0.43480492813141686</v>
      </c>
      <c r="BA76" s="578">
        <f t="shared" si="438"/>
        <v>0.228673626419332</v>
      </c>
      <c r="BB76" s="125">
        <f t="shared" si="438"/>
        <v>0.14746376811594203</v>
      </c>
      <c r="BC76" s="126">
        <f t="shared" si="438"/>
        <v>0.13251595566006047</v>
      </c>
      <c r="BD76" s="126">
        <f t="shared" si="438"/>
        <v>0.13921342767813064</v>
      </c>
      <c r="BE76" s="126">
        <f t="shared" si="438"/>
        <v>0.16241818808129524</v>
      </c>
      <c r="BF76" s="578">
        <f t="shared" si="438"/>
        <v>0.14522412981119151</v>
      </c>
      <c r="BG76" s="126">
        <f t="shared" si="438"/>
        <v>0.13739252500438673</v>
      </c>
      <c r="BH76" s="126">
        <f t="shared" si="438"/>
        <v>0.15236686390532547</v>
      </c>
      <c r="BI76" s="126">
        <f t="shared" si="438"/>
        <v>0.14746543778801843</v>
      </c>
      <c r="BJ76" s="480">
        <f t="shared" si="438"/>
        <v>0.17651421508034612</v>
      </c>
      <c r="BK76" s="578">
        <f t="shared" si="438"/>
        <v>0.15185955654777003</v>
      </c>
      <c r="BL76" s="126">
        <f t="shared" si="438"/>
        <v>0.19224900823924321</v>
      </c>
      <c r="BM76" s="126">
        <f t="shared" si="438"/>
        <v>0.21739130434782608</v>
      </c>
      <c r="BN76" s="126">
        <f t="shared" si="438"/>
        <v>0.21192293711377677</v>
      </c>
      <c r="BO76" s="480">
        <f t="shared" si="438"/>
        <v>0.20512820512820512</v>
      </c>
      <c r="BP76" s="578">
        <f t="shared" si="438"/>
        <v>0.20605426153711945</v>
      </c>
      <c r="BQ76" s="126">
        <f t="shared" si="438"/>
        <v>0.19925280199252801</v>
      </c>
      <c r="BR76" s="126">
        <f t="shared" si="438"/>
        <v>0.17955589586523737</v>
      </c>
      <c r="BS76" s="126">
        <f t="shared" si="438"/>
        <v>0.27859447830763717</v>
      </c>
      <c r="BT76" s="480">
        <f t="shared" si="438"/>
        <v>0.40932020177756423</v>
      </c>
      <c r="BU76" s="578">
        <f t="shared" si="438"/>
        <v>0.28647790862774569</v>
      </c>
      <c r="BV76" s="1073">
        <f t="shared" si="438"/>
        <v>5.1524259338772013E-2</v>
      </c>
      <c r="BW76" s="1073">
        <f t="shared" si="438"/>
        <v>4.4299612732596576E-2</v>
      </c>
      <c r="BX76" s="1073">
        <f t="shared" si="438"/>
        <v>6.9949585884047538E-2</v>
      </c>
      <c r="BY76" s="1279">
        <f t="shared" si="438"/>
        <v>0.1562442692096094</v>
      </c>
      <c r="BZ76" s="578">
        <f t="shared" si="438"/>
        <v>8.1828375122265429E-2</v>
      </c>
      <c r="CA76" s="126">
        <f t="shared" si="438"/>
        <v>0.11378977820636453</v>
      </c>
      <c r="CB76" s="126">
        <f t="shared" si="438"/>
        <v>9.4511610055651521E-2</v>
      </c>
      <c r="CC76" s="126">
        <f t="shared" ref="CC76:DH76" si="439">CC33/CC20</f>
        <v>9.9342944003138173E-2</v>
      </c>
      <c r="CD76" s="480">
        <f t="shared" si="439"/>
        <v>0.11163670766319775</v>
      </c>
      <c r="CE76" s="578">
        <f t="shared" si="439"/>
        <v>0.10463451952026061</v>
      </c>
      <c r="CF76" s="126">
        <f t="shared" si="439"/>
        <v>7.8170930865541652E-2</v>
      </c>
      <c r="CG76" s="126">
        <f t="shared" si="439"/>
        <v>6.8929052105364347E-2</v>
      </c>
      <c r="CH76" s="126">
        <f t="shared" si="439"/>
        <v>7.5020916612438426E-2</v>
      </c>
      <c r="CI76" s="480">
        <f t="shared" si="439"/>
        <v>8.1070380967805791E-2</v>
      </c>
      <c r="CJ76" s="578">
        <f t="shared" si="439"/>
        <v>7.5812030546724613E-2</v>
      </c>
      <c r="CK76" s="126">
        <f>CK33/CK20</f>
        <v>0.12182690385768541</v>
      </c>
      <c r="CL76" s="126">
        <f>CL33/CL20</f>
        <v>8.5371236867661335E-2</v>
      </c>
      <c r="CM76" s="126">
        <f>CM33/CM20</f>
        <v>8.2823101108720848E-2</v>
      </c>
      <c r="CN76" s="480">
        <f>CN33/CN20</f>
        <v>7.8431372549019593E-2</v>
      </c>
      <c r="CO76" s="578">
        <f t="shared" si="439"/>
        <v>9.0797840956272816E-2</v>
      </c>
      <c r="CP76" s="126">
        <f>CP33/CP20</f>
        <v>0.2403094592438986</v>
      </c>
      <c r="CQ76" s="126">
        <f t="shared" si="439"/>
        <v>0.21133346575774972</v>
      </c>
      <c r="CR76" s="126">
        <f t="shared" si="439"/>
        <v>0.20475144642960627</v>
      </c>
      <c r="CS76" s="480">
        <f t="shared" si="439"/>
        <v>0.20099397117913947</v>
      </c>
      <c r="CT76" s="578">
        <f t="shared" si="439"/>
        <v>0.2134772143334151</v>
      </c>
      <c r="CU76" s="126">
        <f t="shared" si="439"/>
        <v>0.22133041630172179</v>
      </c>
      <c r="CV76" s="126">
        <f t="shared" si="439"/>
        <v>0.20159027219833112</v>
      </c>
      <c r="CW76" s="126">
        <f t="shared" si="439"/>
        <v>0.19495518037278953</v>
      </c>
      <c r="CX76" s="480">
        <f t="shared" si="439"/>
        <v>0.19088723448803374</v>
      </c>
      <c r="CY76" s="578">
        <f t="shared" si="439"/>
        <v>0.20149969500901141</v>
      </c>
      <c r="CZ76" s="126">
        <f t="shared" si="439"/>
        <v>0.20950830259167053</v>
      </c>
      <c r="DA76" s="126">
        <f t="shared" si="439"/>
        <v>0.19021443541846025</v>
      </c>
      <c r="DB76" s="126">
        <f t="shared" si="439"/>
        <v>0.18330294319414486</v>
      </c>
      <c r="DC76" s="480">
        <f t="shared" si="439"/>
        <v>0.17888450767179398</v>
      </c>
      <c r="DD76" s="578">
        <f t="shared" si="439"/>
        <v>0.189822783896333</v>
      </c>
      <c r="DE76" s="126">
        <f t="shared" si="439"/>
        <v>0.19690027497552404</v>
      </c>
      <c r="DF76" s="126">
        <f t="shared" si="439"/>
        <v>0.18029478006746968</v>
      </c>
      <c r="DG76" s="126">
        <f t="shared" si="439"/>
        <v>0.17178729675857105</v>
      </c>
      <c r="DH76" s="480">
        <f t="shared" si="439"/>
        <v>0.16729827874351985</v>
      </c>
      <c r="DI76" s="578">
        <f t="shared" ref="DI76:DX76" si="440">DI33/DI20</f>
        <v>0.17841619532497183</v>
      </c>
      <c r="DJ76" s="126">
        <f t="shared" si="440"/>
        <v>0.18638942165766456</v>
      </c>
      <c r="DK76" s="126">
        <f t="shared" si="440"/>
        <v>0.16991845786966367</v>
      </c>
      <c r="DL76" s="126">
        <f t="shared" si="440"/>
        <v>0.16131800539666619</v>
      </c>
      <c r="DM76" s="480">
        <f t="shared" si="440"/>
        <v>0.15669041969369088</v>
      </c>
      <c r="DN76" s="578">
        <f t="shared" si="440"/>
        <v>0.16791281424764673</v>
      </c>
      <c r="DO76" s="126">
        <f t="shared" si="440"/>
        <v>0.17610011851540497</v>
      </c>
      <c r="DP76" s="126">
        <f t="shared" si="440"/>
        <v>0.15990811377977546</v>
      </c>
      <c r="DQ76" s="126">
        <f t="shared" si="440"/>
        <v>0.15130938309571718</v>
      </c>
      <c r="DR76" s="480">
        <f t="shared" si="440"/>
        <v>0.14658240966877178</v>
      </c>
      <c r="DS76" s="578">
        <f t="shared" si="440"/>
        <v>0.15781590420880054</v>
      </c>
      <c r="DT76" s="126">
        <f t="shared" si="440"/>
        <v>0.16563761415914102</v>
      </c>
      <c r="DU76" s="126">
        <f t="shared" si="440"/>
        <v>0.1497859790483787</v>
      </c>
      <c r="DV76" s="126">
        <f t="shared" si="440"/>
        <v>0.14116526626528342</v>
      </c>
      <c r="DW76" s="480">
        <f t="shared" si="440"/>
        <v>0.13633328837972811</v>
      </c>
      <c r="DX76" s="578">
        <f t="shared" si="440"/>
        <v>0.14762562088295789</v>
      </c>
      <c r="DY76" s="126">
        <f t="shared" ref="DY76:EC76" si="441">DY33/DY20</f>
        <v>0.15522058202411043</v>
      </c>
      <c r="DZ76" s="126">
        <f t="shared" si="441"/>
        <v>0.13953561009159085</v>
      </c>
      <c r="EA76" s="126">
        <f t="shared" si="441"/>
        <v>0.13088459610194475</v>
      </c>
      <c r="EB76" s="480">
        <f t="shared" si="441"/>
        <v>0.1259419799768221</v>
      </c>
      <c r="EC76" s="578">
        <f t="shared" si="441"/>
        <v>0.13724903226411589</v>
      </c>
      <c r="ED76" s="16"/>
      <c r="EE76" s="125">
        <f t="shared" ref="EE76:EJ76" si="442">EE33/EE20</f>
        <v>0</v>
      </c>
      <c r="EF76" s="126">
        <f t="shared" si="442"/>
        <v>0.27209595959595961</v>
      </c>
      <c r="EG76" s="126">
        <f t="shared" si="442"/>
        <v>0.23246376811594202</v>
      </c>
      <c r="EH76" s="126">
        <f t="shared" si="442"/>
        <v>0.21683537559936067</v>
      </c>
      <c r="EI76" s="126">
        <f t="shared" si="442"/>
        <v>0.22244963912528279</v>
      </c>
      <c r="EJ76" s="126">
        <f t="shared" si="442"/>
        <v>0.228673626419332</v>
      </c>
      <c r="EK76" s="126">
        <f t="shared" si="429"/>
        <v>0.14522412981119151</v>
      </c>
      <c r="EL76" s="126">
        <f t="shared" si="430"/>
        <v>0.15185955654777003</v>
      </c>
      <c r="EM76" s="126">
        <f t="shared" si="431"/>
        <v>0.20605426153711945</v>
      </c>
      <c r="EN76" s="126">
        <f t="shared" si="432"/>
        <v>0.28647790862774569</v>
      </c>
      <c r="EO76" s="126">
        <f t="shared" si="264"/>
        <v>0.10463451952026061</v>
      </c>
      <c r="EP76" s="126">
        <f t="shared" si="433"/>
        <v>7.5812030546724613E-2</v>
      </c>
      <c r="EQ76" s="126">
        <f t="shared" si="434"/>
        <v>9.0797840956272816E-2</v>
      </c>
      <c r="ER76" s="116">
        <f t="shared" si="435"/>
        <v>0.2134772143334151</v>
      </c>
      <c r="ES76" s="16"/>
      <c r="ET76" s="16"/>
      <c r="EU76" s="16"/>
      <c r="EX76" s="558" t="s">
        <v>392</v>
      </c>
      <c r="EY76" s="126">
        <f t="shared" si="417"/>
        <v>0.2403094592438986</v>
      </c>
      <c r="EZ76" s="126">
        <v>8.4066348877869901E-2</v>
      </c>
      <c r="FA76" s="813">
        <f t="shared" si="419"/>
        <v>1562.4311036602869</v>
      </c>
      <c r="FB76" s="126">
        <f t="shared" si="418"/>
        <v>0.12182690385768541</v>
      </c>
      <c r="FC76" s="1011">
        <f t="shared" si="420"/>
        <v>1184.825553862132</v>
      </c>
      <c r="FD76" s="16"/>
    </row>
    <row r="77" spans="1:160" ht="11.25" customHeight="1" collapsed="1" x14ac:dyDescent="0.2">
      <c r="A77" s="129" t="s">
        <v>212</v>
      </c>
      <c r="B77" s="129"/>
      <c r="C77" s="56"/>
      <c r="D77" s="128"/>
      <c r="E77" s="128"/>
      <c r="F77" s="128"/>
      <c r="G77" s="129"/>
      <c r="H77" s="56"/>
      <c r="I77" s="128"/>
      <c r="J77" s="128"/>
      <c r="K77" s="128"/>
      <c r="L77" s="129"/>
      <c r="M77" s="56"/>
      <c r="N77" s="128"/>
      <c r="O77" s="128"/>
      <c r="P77" s="128"/>
      <c r="Q77" s="129"/>
      <c r="R77" s="56"/>
      <c r="S77" s="128"/>
      <c r="T77" s="128"/>
      <c r="U77" s="128"/>
      <c r="V77" s="129"/>
      <c r="W77" s="56"/>
      <c r="X77" s="128"/>
      <c r="Y77" s="128"/>
      <c r="Z77" s="128"/>
      <c r="AA77" s="129"/>
      <c r="AB77" s="56"/>
      <c r="AC77" s="128"/>
      <c r="AD77" s="126"/>
      <c r="AE77" s="126"/>
      <c r="AF77" s="129"/>
      <c r="AG77" s="56"/>
      <c r="AH77" s="128"/>
      <c r="AI77" s="126"/>
      <c r="AJ77" s="549"/>
      <c r="AK77" s="31"/>
      <c r="AL77" s="56"/>
      <c r="AM77" s="128"/>
      <c r="AN77" s="126"/>
      <c r="AO77" s="126"/>
      <c r="AP77" s="129"/>
      <c r="AQ77" s="56"/>
      <c r="AR77" s="128"/>
      <c r="AS77" s="128"/>
      <c r="AT77" s="128"/>
      <c r="AU77" s="129"/>
      <c r="AV77" s="243"/>
      <c r="AW77" s="126">
        <f t="shared" ref="AW77:CB77" si="443">AW34/AW20</f>
        <v>0.19517507120120625</v>
      </c>
      <c r="AX77" s="126">
        <f t="shared" si="443"/>
        <v>0.1914927768860353</v>
      </c>
      <c r="AY77" s="126">
        <f t="shared" si="443"/>
        <v>0.20833333333333334</v>
      </c>
      <c r="AZ77" s="126">
        <f t="shared" si="443"/>
        <v>0.4710814510609172</v>
      </c>
      <c r="BA77" s="579">
        <f t="shared" si="443"/>
        <v>0.2645676496277502</v>
      </c>
      <c r="BB77" s="56">
        <f t="shared" si="443"/>
        <v>0.18188405797101451</v>
      </c>
      <c r="BC77" s="128">
        <f t="shared" si="443"/>
        <v>0.16677863621095065</v>
      </c>
      <c r="BD77" s="126">
        <f t="shared" si="443"/>
        <v>0.16998519006088528</v>
      </c>
      <c r="BE77" s="126">
        <f t="shared" si="443"/>
        <v>0.19703754736479509</v>
      </c>
      <c r="BF77" s="579">
        <f t="shared" si="443"/>
        <v>0.17870445690799333</v>
      </c>
      <c r="BG77" s="128">
        <f t="shared" si="443"/>
        <v>0.16669591156343219</v>
      </c>
      <c r="BH77" s="128">
        <f t="shared" si="443"/>
        <v>0.17714497041420121</v>
      </c>
      <c r="BI77" s="126">
        <f t="shared" si="443"/>
        <v>0.17028746982664036</v>
      </c>
      <c r="BJ77" s="126">
        <f t="shared" si="443"/>
        <v>0.1957972805933251</v>
      </c>
      <c r="BK77" s="579">
        <f t="shared" si="443"/>
        <v>0.17636612715003297</v>
      </c>
      <c r="BL77" s="128">
        <f t="shared" si="443"/>
        <v>0.20353982300884957</v>
      </c>
      <c r="BM77" s="128">
        <f t="shared" si="443"/>
        <v>0.22098454904779014</v>
      </c>
      <c r="BN77" s="126">
        <f t="shared" si="443"/>
        <v>0.21664849145765175</v>
      </c>
      <c r="BO77" s="126">
        <f t="shared" si="443"/>
        <v>0.20588235294117649</v>
      </c>
      <c r="BP77" s="579">
        <f t="shared" si="443"/>
        <v>0.21146296780947396</v>
      </c>
      <c r="BQ77" s="128">
        <f t="shared" si="443"/>
        <v>0.20008302200083022</v>
      </c>
      <c r="BR77" s="128">
        <f t="shared" si="443"/>
        <v>0.17993874425727413</v>
      </c>
      <c r="BS77" s="126">
        <f t="shared" si="443"/>
        <v>0.28074578702043745</v>
      </c>
      <c r="BT77" s="126">
        <f t="shared" si="443"/>
        <v>0.41292337256785966</v>
      </c>
      <c r="BU77" s="579">
        <f t="shared" si="443"/>
        <v>0.28848241877557834</v>
      </c>
      <c r="BV77" s="1280">
        <f t="shared" si="443"/>
        <v>9.9076857020180348E-2</v>
      </c>
      <c r="BW77" s="1280">
        <f t="shared" si="443"/>
        <v>8.6899027108718233E-2</v>
      </c>
      <c r="BX77" s="1073">
        <f t="shared" si="443"/>
        <v>8.4983795462729578E-2</v>
      </c>
      <c r="BY77" s="1073">
        <f t="shared" si="443"/>
        <v>0.10498807995598754</v>
      </c>
      <c r="BZ77" s="579">
        <f t="shared" si="443"/>
        <v>9.3804423026457057E-2</v>
      </c>
      <c r="CA77" s="128">
        <f t="shared" si="443"/>
        <v>0.11893281902925107</v>
      </c>
      <c r="CB77" s="128">
        <f t="shared" si="443"/>
        <v>9.7869890616004623E-2</v>
      </c>
      <c r="CC77" s="126">
        <f t="shared" ref="CC77:DH77" si="444">CC34/CC20</f>
        <v>0.1022849857801314</v>
      </c>
      <c r="CD77" s="126">
        <f t="shared" si="444"/>
        <v>0.11390728476821194</v>
      </c>
      <c r="CE77" s="579">
        <f t="shared" si="444"/>
        <v>0.10801539904249545</v>
      </c>
      <c r="CF77" s="128">
        <f t="shared" si="444"/>
        <v>7.9695155144256957E-2</v>
      </c>
      <c r="CG77" s="128">
        <f t="shared" si="444"/>
        <v>7.0274947125552781E-2</v>
      </c>
      <c r="CH77" s="126">
        <f t="shared" si="444"/>
        <v>7.6415357441665901E-2</v>
      </c>
      <c r="CI77" s="126">
        <f t="shared" si="444"/>
        <v>8.1070380967805791E-2</v>
      </c>
      <c r="CJ77" s="579">
        <f t="shared" si="444"/>
        <v>7.6849229819237863E-2</v>
      </c>
      <c r="CK77" s="128">
        <f>CK34/CK20</f>
        <v>0.12182690385768541</v>
      </c>
      <c r="CL77" s="128">
        <f>CL34/CL20</f>
        <v>8.5371236867661335E-2</v>
      </c>
      <c r="CM77" s="128">
        <f>CM34/CM20</f>
        <v>8.2823101108720848E-2</v>
      </c>
      <c r="CN77" s="126">
        <f>CN34/CN20</f>
        <v>7.8431372549019593E-2</v>
      </c>
      <c r="CO77" s="579">
        <f t="shared" si="444"/>
        <v>9.0797840956272816E-2</v>
      </c>
      <c r="CP77" s="128">
        <f>CP34/CP20</f>
        <v>0.2403094592438986</v>
      </c>
      <c r="CQ77" s="128">
        <f t="shared" si="444"/>
        <v>0.21133346575774972</v>
      </c>
      <c r="CR77" s="126">
        <f t="shared" si="444"/>
        <v>0.20475144642960627</v>
      </c>
      <c r="CS77" s="126">
        <f t="shared" si="444"/>
        <v>0.20099397117913947</v>
      </c>
      <c r="CT77" s="579">
        <f t="shared" si="444"/>
        <v>0.2134772143334151</v>
      </c>
      <c r="CU77" s="128">
        <f t="shared" si="444"/>
        <v>0.22133041630172179</v>
      </c>
      <c r="CV77" s="128">
        <f t="shared" si="444"/>
        <v>0.20159027219833112</v>
      </c>
      <c r="CW77" s="126">
        <f t="shared" si="444"/>
        <v>0.19495518037278953</v>
      </c>
      <c r="CX77" s="126">
        <f t="shared" si="444"/>
        <v>0.19088723448803374</v>
      </c>
      <c r="CY77" s="579">
        <f t="shared" si="444"/>
        <v>0.20149969500901141</v>
      </c>
      <c r="CZ77" s="128">
        <f t="shared" si="444"/>
        <v>0.20950830259167053</v>
      </c>
      <c r="DA77" s="128">
        <f t="shared" si="444"/>
        <v>0.19021443541846025</v>
      </c>
      <c r="DB77" s="126">
        <f t="shared" si="444"/>
        <v>0.18330294319414486</v>
      </c>
      <c r="DC77" s="126">
        <f t="shared" si="444"/>
        <v>0.17888450767179398</v>
      </c>
      <c r="DD77" s="579">
        <f t="shared" si="444"/>
        <v>0.189822783896333</v>
      </c>
      <c r="DE77" s="128">
        <f t="shared" si="444"/>
        <v>0.19690027497552404</v>
      </c>
      <c r="DF77" s="128">
        <f t="shared" si="444"/>
        <v>0.18029478006746968</v>
      </c>
      <c r="DG77" s="126">
        <f t="shared" si="444"/>
        <v>0.17178729675857105</v>
      </c>
      <c r="DH77" s="126">
        <f t="shared" si="444"/>
        <v>0.16729827874351985</v>
      </c>
      <c r="DI77" s="579">
        <f t="shared" ref="DI77:DX77" si="445">DI34/DI20</f>
        <v>0.17841619532497183</v>
      </c>
      <c r="DJ77" s="128">
        <f t="shared" si="445"/>
        <v>0.18638942165766456</v>
      </c>
      <c r="DK77" s="128">
        <f t="shared" si="445"/>
        <v>0.16991845786966367</v>
      </c>
      <c r="DL77" s="126">
        <f t="shared" si="445"/>
        <v>0.16131800539666619</v>
      </c>
      <c r="DM77" s="126">
        <f t="shared" si="445"/>
        <v>0.15669041969369088</v>
      </c>
      <c r="DN77" s="579">
        <f t="shared" si="445"/>
        <v>0.16791281424764673</v>
      </c>
      <c r="DO77" s="128">
        <f t="shared" si="445"/>
        <v>0.17610011851540497</v>
      </c>
      <c r="DP77" s="128">
        <f t="shared" si="445"/>
        <v>0.15990811377977546</v>
      </c>
      <c r="DQ77" s="126">
        <f t="shared" si="445"/>
        <v>0.15130938309571718</v>
      </c>
      <c r="DR77" s="126">
        <f t="shared" si="445"/>
        <v>0.14658240966877178</v>
      </c>
      <c r="DS77" s="579">
        <f t="shared" si="445"/>
        <v>0.15781590420880054</v>
      </c>
      <c r="DT77" s="128">
        <f t="shared" si="445"/>
        <v>0.16563761415914102</v>
      </c>
      <c r="DU77" s="128">
        <f t="shared" si="445"/>
        <v>0.1497859790483787</v>
      </c>
      <c r="DV77" s="126">
        <f t="shared" si="445"/>
        <v>0.14116526626528342</v>
      </c>
      <c r="DW77" s="126">
        <f t="shared" si="445"/>
        <v>0.13633328837972811</v>
      </c>
      <c r="DX77" s="579">
        <f t="shared" si="445"/>
        <v>0.14762562088295789</v>
      </c>
      <c r="DY77" s="128">
        <f t="shared" ref="DY77:EC77" si="446">DY34/DY20</f>
        <v>0.15522058202411043</v>
      </c>
      <c r="DZ77" s="128">
        <f t="shared" si="446"/>
        <v>0.13953561009159085</v>
      </c>
      <c r="EA77" s="126">
        <f t="shared" si="446"/>
        <v>0.13088459610194475</v>
      </c>
      <c r="EB77" s="126">
        <f t="shared" si="446"/>
        <v>0.1259419799768221</v>
      </c>
      <c r="EC77" s="579">
        <f t="shared" si="446"/>
        <v>0.13724903226411589</v>
      </c>
      <c r="ED77" s="16"/>
      <c r="EE77" s="125">
        <f t="shared" ref="EE77:EJ77" si="447">EE34/EE20</f>
        <v>0.31708991077556625</v>
      </c>
      <c r="EF77" s="126">
        <f t="shared" si="447"/>
        <v>0.32323232323232326</v>
      </c>
      <c r="EG77" s="126">
        <f t="shared" si="447"/>
        <v>0.28231884057971013</v>
      </c>
      <c r="EH77" s="126">
        <f t="shared" si="447"/>
        <v>0.26691529035695261</v>
      </c>
      <c r="EI77" s="126">
        <f t="shared" si="447"/>
        <v>0.27211030916729506</v>
      </c>
      <c r="EJ77" s="126">
        <f t="shared" si="447"/>
        <v>0.26456764962775026</v>
      </c>
      <c r="EK77" s="126">
        <f t="shared" si="429"/>
        <v>0.17870445690799333</v>
      </c>
      <c r="EL77" s="126">
        <f t="shared" si="430"/>
        <v>0.17636612715003297</v>
      </c>
      <c r="EM77" s="126">
        <f t="shared" si="431"/>
        <v>0.21146296780947396</v>
      </c>
      <c r="EN77" s="126">
        <f t="shared" si="432"/>
        <v>0.28848241877557834</v>
      </c>
      <c r="EO77" s="126">
        <f t="shared" si="264"/>
        <v>0.10801539904249545</v>
      </c>
      <c r="EP77" s="126">
        <f t="shared" si="433"/>
        <v>7.6849229819237863E-2</v>
      </c>
      <c r="EQ77" s="126">
        <f t="shared" si="434"/>
        <v>9.0797840956272816E-2</v>
      </c>
      <c r="ER77" s="116">
        <f t="shared" si="435"/>
        <v>0.2134772143334151</v>
      </c>
      <c r="ES77" s="16"/>
      <c r="ET77" s="16"/>
      <c r="EU77" s="16"/>
      <c r="EX77" s="564" t="s">
        <v>212</v>
      </c>
      <c r="EY77" s="968">
        <f t="shared" si="417"/>
        <v>0.2403094592438986</v>
      </c>
      <c r="EZ77" s="968">
        <v>8.4066348877869901E-2</v>
      </c>
      <c r="FA77" s="1009">
        <f t="shared" si="419"/>
        <v>1562.4311036602869</v>
      </c>
      <c r="FB77" s="968">
        <f t="shared" si="418"/>
        <v>0.12182690385768541</v>
      </c>
      <c r="FC77" s="1011">
        <f t="shared" si="420"/>
        <v>1184.825553862132</v>
      </c>
      <c r="FD77" s="16"/>
    </row>
    <row r="78" spans="1:160" ht="11.25" customHeight="1" x14ac:dyDescent="0.2">
      <c r="A78" s="449" t="s">
        <v>250</v>
      </c>
      <c r="B78" s="449"/>
      <c r="C78" s="141"/>
      <c r="D78" s="287"/>
      <c r="E78" s="287"/>
      <c r="F78" s="450"/>
      <c r="G78" s="449"/>
      <c r="H78" s="141"/>
      <c r="I78" s="287"/>
      <c r="J78" s="287"/>
      <c r="K78" s="287"/>
      <c r="L78" s="449"/>
      <c r="M78" s="287"/>
      <c r="N78" s="287"/>
      <c r="O78" s="287"/>
      <c r="P78" s="450"/>
      <c r="Q78" s="449"/>
      <c r="R78" s="287"/>
      <c r="S78" s="287"/>
      <c r="T78" s="287"/>
      <c r="U78" s="287"/>
      <c r="V78" s="449"/>
      <c r="W78" s="287"/>
      <c r="X78" s="287"/>
      <c r="Y78" s="287"/>
      <c r="Z78" s="450"/>
      <c r="AA78" s="449"/>
      <c r="AB78" s="287"/>
      <c r="AC78" s="287"/>
      <c r="AD78" s="287"/>
      <c r="AE78" s="287"/>
      <c r="AF78" s="449"/>
      <c r="AG78" s="287"/>
      <c r="AH78" s="287"/>
      <c r="AI78" s="287"/>
      <c r="AJ78" s="551"/>
      <c r="AK78" s="450"/>
      <c r="AL78" s="287"/>
      <c r="AM78" s="287"/>
      <c r="AN78" s="287"/>
      <c r="AO78" s="287"/>
      <c r="AP78" s="449"/>
      <c r="AQ78" s="287"/>
      <c r="AR78" s="287"/>
      <c r="AS78" s="287"/>
      <c r="AT78" s="287"/>
      <c r="AU78" s="449"/>
      <c r="AV78" s="243"/>
      <c r="AW78" s="287">
        <f t="shared" ref="AW78:CB78" si="448">AW39/AW20</f>
        <v>0.13218294521695423</v>
      </c>
      <c r="AX78" s="287">
        <f t="shared" si="448"/>
        <v>0.1329052969502407</v>
      </c>
      <c r="AY78" s="287">
        <f t="shared" si="448"/>
        <v>0.15133333333333326</v>
      </c>
      <c r="AZ78" s="287">
        <f t="shared" si="448"/>
        <v>-0.12850787132101305</v>
      </c>
      <c r="BA78" s="580">
        <f t="shared" si="448"/>
        <v>7.3784469492159915E-2</v>
      </c>
      <c r="BB78" s="141">
        <f t="shared" si="448"/>
        <v>0.11594202898550725</v>
      </c>
      <c r="BC78" s="287">
        <f t="shared" si="448"/>
        <v>0.16627477326167273</v>
      </c>
      <c r="BD78" s="287">
        <f t="shared" si="448"/>
        <v>0.18364324502221493</v>
      </c>
      <c r="BE78" s="287">
        <f t="shared" si="448"/>
        <v>0.15139510850843935</v>
      </c>
      <c r="BF78" s="580">
        <f t="shared" si="448"/>
        <v>0.15519972599220783</v>
      </c>
      <c r="BG78" s="287">
        <f t="shared" si="448"/>
        <v>0.1475697490787857</v>
      </c>
      <c r="BH78" s="287">
        <f t="shared" si="448"/>
        <v>0.2365014792899407</v>
      </c>
      <c r="BI78" s="287">
        <f t="shared" si="448"/>
        <v>0.20583717357910897</v>
      </c>
      <c r="BJ78" s="287">
        <f t="shared" si="448"/>
        <v>0.27663782447466018</v>
      </c>
      <c r="BK78" s="580">
        <f t="shared" si="448"/>
        <v>0.21193363438023238</v>
      </c>
      <c r="BL78" s="287">
        <f t="shared" si="448"/>
        <v>0.31248092767775398</v>
      </c>
      <c r="BM78" s="287">
        <f t="shared" si="448"/>
        <v>0.47862019403521383</v>
      </c>
      <c r="BN78" s="287">
        <f t="shared" si="448"/>
        <v>0.52889858233369691</v>
      </c>
      <c r="BO78" s="287">
        <f t="shared" si="448"/>
        <v>0.53205128205128194</v>
      </c>
      <c r="BP78" s="580">
        <f t="shared" si="448"/>
        <v>0.45555264764895748</v>
      </c>
      <c r="BQ78" s="287">
        <f t="shared" si="448"/>
        <v>0.54503943545039435</v>
      </c>
      <c r="BR78" s="287">
        <f t="shared" si="448"/>
        <v>0.5800153139356814</v>
      </c>
      <c r="BS78" s="287">
        <f t="shared" si="448"/>
        <v>3.2269630692003488E-3</v>
      </c>
      <c r="BT78" s="287">
        <f t="shared" si="448"/>
        <v>-0.24333413403795326</v>
      </c>
      <c r="BU78" s="580">
        <f t="shared" si="448"/>
        <v>0.15234277123527953</v>
      </c>
      <c r="BV78" s="1281">
        <f t="shared" si="448"/>
        <v>0.27747960498067831</v>
      </c>
      <c r="BW78" s="1281">
        <f t="shared" si="448"/>
        <v>0.30660243695097766</v>
      </c>
      <c r="BX78" s="1281">
        <f t="shared" si="448"/>
        <v>0.31967951026287356</v>
      </c>
      <c r="BY78" s="1281">
        <f t="shared" si="448"/>
        <v>0.26480836236933786</v>
      </c>
      <c r="BZ78" s="580">
        <f t="shared" si="448"/>
        <v>0.29272133024787078</v>
      </c>
      <c r="CA78" s="287">
        <f t="shared" si="448"/>
        <v>0.24011571841851487</v>
      </c>
      <c r="CB78" s="287">
        <f t="shared" si="448"/>
        <v>0.28986758779504884</v>
      </c>
      <c r="CC78" s="287">
        <f t="shared" ref="CC78:DH78" si="449">CC39/CC20</f>
        <v>0.33735412376189083</v>
      </c>
      <c r="CD78" s="287">
        <f t="shared" si="449"/>
        <v>0.30463576158940409</v>
      </c>
      <c r="CE78" s="580">
        <f>CE39/CE20</f>
        <v>0.29421055229258181</v>
      </c>
      <c r="CF78" s="287">
        <f t="shared" si="449"/>
        <v>0.3599346761023407</v>
      </c>
      <c r="CG78" s="287">
        <f t="shared" si="449"/>
        <v>0.40761392039992295</v>
      </c>
      <c r="CH78" s="287">
        <f t="shared" si="449"/>
        <v>0.39090824579343669</v>
      </c>
      <c r="CI78" s="287">
        <f t="shared" si="449"/>
        <v>0.44231495977973329</v>
      </c>
      <c r="CJ78" s="580">
        <f t="shared" si="449"/>
        <v>0.40201843802613757</v>
      </c>
      <c r="CK78" s="287">
        <f t="shared" si="449"/>
        <v>0.3359984009594244</v>
      </c>
      <c r="CL78" s="287">
        <f t="shared" ref="CL78:CM78" si="450">CL39/CL20</f>
        <v>0.36585150525293558</v>
      </c>
      <c r="CM78" s="287">
        <f t="shared" si="450"/>
        <v>0.39657454906503392</v>
      </c>
      <c r="CN78" s="287">
        <f t="shared" ref="CN78" si="451">CN39/CN20</f>
        <v>0.40998217468805709</v>
      </c>
      <c r="CO78" s="580">
        <f t="shared" si="449"/>
        <v>0.3793404864404189</v>
      </c>
      <c r="CP78" s="287">
        <f t="shared" ref="CP78" si="452">CP39/CP20</f>
        <v>0.33546020098899332</v>
      </c>
      <c r="CQ78" s="287">
        <f t="shared" si="449"/>
        <v>0.33573821556181949</v>
      </c>
      <c r="CR78" s="287">
        <f t="shared" si="449"/>
        <v>0.36046423191690175</v>
      </c>
      <c r="CS78" s="287">
        <f t="shared" si="449"/>
        <v>0.37032152868271101</v>
      </c>
      <c r="CT78" s="580">
        <f t="shared" si="449"/>
        <v>0.35124639700109167</v>
      </c>
      <c r="CU78" s="287">
        <f t="shared" si="449"/>
        <v>0.35418242710101361</v>
      </c>
      <c r="CV78" s="287">
        <f t="shared" si="449"/>
        <v>0.35816785300535237</v>
      </c>
      <c r="CW78" s="287">
        <f t="shared" si="449"/>
        <v>0.38011632696419312</v>
      </c>
      <c r="CX78" s="287">
        <f t="shared" si="449"/>
        <v>0.38995320085775459</v>
      </c>
      <c r="CY78" s="580">
        <f t="shared" si="449"/>
        <v>0.3714013059417024</v>
      </c>
      <c r="CZ78" s="287">
        <f t="shared" si="449"/>
        <v>0.35796707507659137</v>
      </c>
      <c r="DA78" s="287">
        <f t="shared" si="449"/>
        <v>0.37638405002813968</v>
      </c>
      <c r="DB78" s="287">
        <f t="shared" si="449"/>
        <v>0.39813448005203389</v>
      </c>
      <c r="DC78" s="287">
        <f t="shared" si="449"/>
        <v>0.40782752834387864</v>
      </c>
      <c r="DD78" s="580">
        <f t="shared" si="449"/>
        <v>0.38615577312724586</v>
      </c>
      <c r="DE78" s="287">
        <f t="shared" si="449"/>
        <v>0.37862872682646359</v>
      </c>
      <c r="DF78" s="287">
        <f t="shared" si="449"/>
        <v>0.38831928742923932</v>
      </c>
      <c r="DG78" s="287">
        <f t="shared" si="449"/>
        <v>0.40540251868310651</v>
      </c>
      <c r="DH78" s="287">
        <f t="shared" si="449"/>
        <v>0.4149321004028963</v>
      </c>
      <c r="DI78" s="580">
        <f t="shared" ref="DI78:DX78" si="453">DI39/DI20</f>
        <v>0.39764165788416017</v>
      </c>
      <c r="DJ78" s="287">
        <f t="shared" si="453"/>
        <v>0.40182852748492676</v>
      </c>
      <c r="DK78" s="287">
        <f t="shared" si="453"/>
        <v>0.41151494446791992</v>
      </c>
      <c r="DL78" s="287">
        <f t="shared" si="453"/>
        <v>0.42848354170856795</v>
      </c>
      <c r="DM78" s="287">
        <f t="shared" si="453"/>
        <v>0.43776664833050211</v>
      </c>
      <c r="DN78" s="580">
        <f t="shared" si="453"/>
        <v>0.42072558547215055</v>
      </c>
      <c r="DO78" s="287">
        <f t="shared" si="453"/>
        <v>0.41579995814419246</v>
      </c>
      <c r="DP78" s="287">
        <f t="shared" si="453"/>
        <v>0.42556254735144244</v>
      </c>
      <c r="DQ78" s="287">
        <f t="shared" si="453"/>
        <v>0.44241074111582329</v>
      </c>
      <c r="DR78" s="287">
        <f t="shared" si="453"/>
        <v>0.45180486865109848</v>
      </c>
      <c r="DS78" s="580">
        <f t="shared" si="453"/>
        <v>0.43471910582531986</v>
      </c>
      <c r="DT78" s="287">
        <f t="shared" si="453"/>
        <v>0.39727696406621976</v>
      </c>
      <c r="DU78" s="287">
        <f t="shared" si="453"/>
        <v>0.40718438903663767</v>
      </c>
      <c r="DV78" s="287">
        <f t="shared" si="453"/>
        <v>0.42349334178223097</v>
      </c>
      <c r="DW78" s="287">
        <f t="shared" si="453"/>
        <v>0.43614550206406871</v>
      </c>
      <c r="DX78" s="580">
        <f t="shared" si="453"/>
        <v>0.41683994240400285</v>
      </c>
      <c r="DY78" s="287">
        <f t="shared" ref="DY78:EC78" si="454">DY39/DY20</f>
        <v>0.41121573135431821</v>
      </c>
      <c r="DZ78" s="287">
        <f t="shared" si="454"/>
        <v>0.42095969781710091</v>
      </c>
      <c r="EA78" s="287">
        <f t="shared" si="454"/>
        <v>0.43720030718744107</v>
      </c>
      <c r="EB78" s="287">
        <f t="shared" si="454"/>
        <v>0.45001711135446643</v>
      </c>
      <c r="EC78" s="580">
        <f t="shared" si="454"/>
        <v>0.43070692705042429</v>
      </c>
      <c r="ED78" s="758"/>
      <c r="EE78" s="141">
        <f t="shared" ref="EE78:EJ78" si="455">EE39/EE20</f>
        <v>-0.23884694577899795</v>
      </c>
      <c r="EF78" s="287">
        <f t="shared" si="455"/>
        <v>-0.22979797979797981</v>
      </c>
      <c r="EG78" s="287">
        <f t="shared" si="455"/>
        <v>-0.17043478260869566</v>
      </c>
      <c r="EH78" s="287">
        <f t="shared" si="455"/>
        <v>-0.17687799680340971</v>
      </c>
      <c r="EI78" s="287">
        <f t="shared" si="455"/>
        <v>-0.17251965959280416</v>
      </c>
      <c r="EJ78" s="287">
        <f t="shared" si="455"/>
        <v>7.3784469492159915E-2</v>
      </c>
      <c r="EK78" s="287">
        <f t="shared" si="429"/>
        <v>0.15519972599220783</v>
      </c>
      <c r="EL78" s="287">
        <f t="shared" si="430"/>
        <v>0.21193363438023238</v>
      </c>
      <c r="EM78" s="287">
        <f t="shared" si="431"/>
        <v>0.45555264764895748</v>
      </c>
      <c r="EN78" s="287">
        <f t="shared" si="432"/>
        <v>0.15234277123527953</v>
      </c>
      <c r="EO78" s="287">
        <f t="shared" si="264"/>
        <v>0.29421055229258181</v>
      </c>
      <c r="EP78" s="287">
        <f t="shared" si="433"/>
        <v>0.40201843802613757</v>
      </c>
      <c r="EQ78" s="287">
        <f t="shared" si="434"/>
        <v>0.3793404864404189</v>
      </c>
      <c r="ER78" s="450">
        <f t="shared" si="435"/>
        <v>0.35124639700109167</v>
      </c>
      <c r="ES78" s="25"/>
      <c r="ET78" s="25"/>
      <c r="EU78" s="25"/>
      <c r="EX78" s="566" t="s">
        <v>250</v>
      </c>
      <c r="EY78" s="969">
        <f t="shared" si="417"/>
        <v>0.33546020098899332</v>
      </c>
      <c r="EZ78" s="969">
        <v>0.38301935443148061</v>
      </c>
      <c r="FA78" s="1010">
        <f t="shared" si="419"/>
        <v>-475.59153442487292</v>
      </c>
      <c r="FB78" s="969">
        <f t="shared" si="418"/>
        <v>0.3359984009594244</v>
      </c>
      <c r="FC78" s="1012">
        <f t="shared" si="420"/>
        <v>-5.3819997043108581</v>
      </c>
      <c r="FD78" s="25"/>
    </row>
    <row r="79" spans="1:160" ht="11.25" customHeight="1" x14ac:dyDescent="0.2">
      <c r="A79" s="129" t="s">
        <v>249</v>
      </c>
      <c r="B79" s="129"/>
      <c r="C79" s="56"/>
      <c r="D79" s="128"/>
      <c r="E79" s="128"/>
      <c r="F79" s="31"/>
      <c r="G79" s="129"/>
      <c r="H79" s="56"/>
      <c r="I79" s="128"/>
      <c r="J79" s="128"/>
      <c r="K79" s="128"/>
      <c r="L79" s="129"/>
      <c r="M79" s="128"/>
      <c r="N79" s="128"/>
      <c r="O79" s="128"/>
      <c r="P79" s="128"/>
      <c r="Q79" s="129"/>
      <c r="R79" s="128"/>
      <c r="S79" s="128"/>
      <c r="T79" s="128"/>
      <c r="U79" s="128"/>
      <c r="V79" s="129"/>
      <c r="W79" s="128"/>
      <c r="X79" s="128"/>
      <c r="Y79" s="128"/>
      <c r="Z79" s="128"/>
      <c r="AA79" s="129"/>
      <c r="AB79" s="128"/>
      <c r="AC79" s="128"/>
      <c r="AD79" s="128"/>
      <c r="AE79" s="128"/>
      <c r="AF79" s="129"/>
      <c r="AG79" s="128"/>
      <c r="AH79" s="128"/>
      <c r="AI79" s="128"/>
      <c r="AJ79" s="550"/>
      <c r="AK79" s="31"/>
      <c r="AL79" s="128"/>
      <c r="AM79" s="128"/>
      <c r="AN79" s="128"/>
      <c r="AO79" s="128"/>
      <c r="AP79" s="129"/>
      <c r="AQ79" s="128"/>
      <c r="AR79" s="128"/>
      <c r="AS79" s="128"/>
      <c r="AT79" s="128"/>
      <c r="AU79" s="56"/>
      <c r="AV79" s="279"/>
      <c r="AW79" s="128">
        <f t="shared" ref="AW79:CB79" si="456">AW41/AW20</f>
        <v>0.17825431395543639</v>
      </c>
      <c r="AX79" s="128">
        <f t="shared" si="456"/>
        <v>0.1839486356340288</v>
      </c>
      <c r="AY79" s="128">
        <f t="shared" si="456"/>
        <v>0.19399999999999992</v>
      </c>
      <c r="AZ79" s="128">
        <f t="shared" si="456"/>
        <v>-7.1697467488021943E-2</v>
      </c>
      <c r="BA79" s="579">
        <f t="shared" si="456"/>
        <v>0.12290479557459555</v>
      </c>
      <c r="BB79" s="56">
        <f t="shared" si="456"/>
        <v>0.17934782608695651</v>
      </c>
      <c r="BC79" s="128">
        <f t="shared" si="456"/>
        <v>0.22304333221363781</v>
      </c>
      <c r="BD79" s="128">
        <f t="shared" si="456"/>
        <v>0.24008556853710716</v>
      </c>
      <c r="BE79" s="128">
        <f t="shared" si="456"/>
        <v>0.20874956941095399</v>
      </c>
      <c r="BF79" s="579">
        <f t="shared" si="456"/>
        <v>0.21359763668279308</v>
      </c>
      <c r="BG79" s="128">
        <f t="shared" si="456"/>
        <v>0.20722933848043512</v>
      </c>
      <c r="BH79" s="128">
        <f t="shared" si="456"/>
        <v>0.29826183431952652</v>
      </c>
      <c r="BI79" s="128">
        <f t="shared" si="456"/>
        <v>0.26859776168531918</v>
      </c>
      <c r="BJ79" s="128">
        <f t="shared" si="456"/>
        <v>0.32163164400494443</v>
      </c>
      <c r="BK79" s="579">
        <f t="shared" si="456"/>
        <v>0.26987670607336756</v>
      </c>
      <c r="BL79" s="128">
        <f t="shared" si="456"/>
        <v>0.36313701556301486</v>
      </c>
      <c r="BM79" s="128">
        <f t="shared" si="456"/>
        <v>0.53611210923463892</v>
      </c>
      <c r="BN79" s="128">
        <f t="shared" si="456"/>
        <v>0.58633224282079244</v>
      </c>
      <c r="BO79" s="128">
        <f t="shared" si="456"/>
        <v>0.59766214177978871</v>
      </c>
      <c r="BP79" s="579">
        <f t="shared" si="456"/>
        <v>0.51295472389426844</v>
      </c>
      <c r="BQ79" s="128">
        <f t="shared" si="456"/>
        <v>0.61311747613117484</v>
      </c>
      <c r="BR79" s="128">
        <f t="shared" si="456"/>
        <v>0.64050535987748847</v>
      </c>
      <c r="BS79" s="128">
        <f t="shared" si="456"/>
        <v>6.2387952671208245E-2</v>
      </c>
      <c r="BT79" s="128">
        <f t="shared" si="456"/>
        <v>-0.18520297862118651</v>
      </c>
      <c r="BU79" s="579">
        <f t="shared" si="456"/>
        <v>0.21322976697569546</v>
      </c>
      <c r="BV79" s="1280">
        <f t="shared" si="456"/>
        <v>0.33211678832116776</v>
      </c>
      <c r="BW79" s="1280">
        <f t="shared" si="456"/>
        <v>0.35496363464626435</v>
      </c>
      <c r="BX79" s="1280">
        <f t="shared" si="456"/>
        <v>0.35181850918257107</v>
      </c>
      <c r="BY79" s="1280">
        <f t="shared" si="456"/>
        <v>0.30533651201173651</v>
      </c>
      <c r="BZ79" s="579">
        <f t="shared" si="456"/>
        <v>0.33614046806784836</v>
      </c>
      <c r="CA79" s="128">
        <f t="shared" si="456"/>
        <v>0.29465338047787409</v>
      </c>
      <c r="CB79" s="128">
        <f t="shared" si="456"/>
        <v>0.33899443484935704</v>
      </c>
      <c r="CC79" s="128">
        <f t="shared" ref="CC79:DH79" si="457">CC41/CC20</f>
        <v>0.37236442090811039</v>
      </c>
      <c r="CD79" s="128">
        <f t="shared" si="457"/>
        <v>0.34645222327341541</v>
      </c>
      <c r="CE79" s="579">
        <f t="shared" si="457"/>
        <v>0.33912442623759936</v>
      </c>
      <c r="CF79" s="128">
        <f t="shared" si="457"/>
        <v>0.40577027762656498</v>
      </c>
      <c r="CG79" s="128">
        <f t="shared" si="457"/>
        <v>0.44952893674293393</v>
      </c>
      <c r="CH79" s="128">
        <f t="shared" si="457"/>
        <v>0.43116110439713662</v>
      </c>
      <c r="CI79" s="128">
        <f t="shared" si="457"/>
        <v>0.48109557487088128</v>
      </c>
      <c r="CJ79" s="579">
        <f t="shared" si="457"/>
        <v>0.44353052983998198</v>
      </c>
      <c r="CK79" s="128">
        <f t="shared" si="457"/>
        <v>0.37937237657405565</v>
      </c>
      <c r="CL79" s="128">
        <f t="shared" ref="CL79:CM79" si="458">CL41/CL20</f>
        <v>0.40584444248256391</v>
      </c>
      <c r="CM79" s="128">
        <f t="shared" si="458"/>
        <v>0.43480059573059743</v>
      </c>
      <c r="CN79" s="128">
        <f t="shared" ref="CN79" si="459">CN41/CN20</f>
        <v>0.44741532976827098</v>
      </c>
      <c r="CO79" s="579">
        <f t="shared" si="457"/>
        <v>0.41891567054915774</v>
      </c>
      <c r="CP79" s="128">
        <f t="shared" ref="CP79" si="460">CP41/CP20</f>
        <v>0.37294624342000304</v>
      </c>
      <c r="CQ79" s="128">
        <f t="shared" si="457"/>
        <v>0.37545537554834574</v>
      </c>
      <c r="CR79" s="128">
        <f t="shared" si="457"/>
        <v>0.39804628343267195</v>
      </c>
      <c r="CS79" s="128">
        <f t="shared" si="457"/>
        <v>0.40722565373449909</v>
      </c>
      <c r="CT79" s="579">
        <f t="shared" si="457"/>
        <v>0.38915749399466282</v>
      </c>
      <c r="CU79" s="128">
        <f t="shared" si="457"/>
        <v>0.39209136448374887</v>
      </c>
      <c r="CV79" s="128">
        <f t="shared" si="457"/>
        <v>0.39681494508458925</v>
      </c>
      <c r="CW79" s="128">
        <f t="shared" si="457"/>
        <v>0.41665488223195307</v>
      </c>
      <c r="CX79" s="128">
        <f t="shared" si="457"/>
        <v>0.42588916270008886</v>
      </c>
      <c r="CY79" s="579">
        <f t="shared" si="457"/>
        <v>0.40861400710692697</v>
      </c>
      <c r="CZ79" s="128">
        <f t="shared" si="457"/>
        <v>0.39472697226353048</v>
      </c>
      <c r="DA79" s="128">
        <f t="shared" si="457"/>
        <v>0.41404555338483007</v>
      </c>
      <c r="DB79" s="128">
        <f t="shared" si="457"/>
        <v>0.43368594295705665</v>
      </c>
      <c r="DC79" s="128">
        <f t="shared" si="457"/>
        <v>0.44262106936731627</v>
      </c>
      <c r="DD79" s="579">
        <f t="shared" si="457"/>
        <v>0.42230399685652814</v>
      </c>
      <c r="DE79" s="128">
        <f t="shared" si="457"/>
        <v>0.41780214407078015</v>
      </c>
      <c r="DF79" s="128">
        <f t="shared" si="457"/>
        <v>0.42501681763772342</v>
      </c>
      <c r="DG79" s="128">
        <f t="shared" si="457"/>
        <v>0.44081519992994783</v>
      </c>
      <c r="DH79" s="128">
        <f t="shared" si="457"/>
        <v>0.4545330839256822</v>
      </c>
      <c r="DI79" s="579">
        <f t="shared" ref="DI79:DX79" si="461">DI41/DI20</f>
        <v>0.43534630121164852</v>
      </c>
      <c r="DJ79" s="128">
        <f t="shared" si="461"/>
        <v>0.44015777077291401</v>
      </c>
      <c r="DK79" s="128">
        <f t="shared" si="461"/>
        <v>0.44743673777027004</v>
      </c>
      <c r="DL79" s="128">
        <f t="shared" si="461"/>
        <v>0.46315998489302573</v>
      </c>
      <c r="DM79" s="128">
        <f t="shared" si="461"/>
        <v>0.47666379899704975</v>
      </c>
      <c r="DN79" s="579">
        <f t="shared" si="461"/>
        <v>0.45766815993643245</v>
      </c>
      <c r="DO79" s="128">
        <f t="shared" si="461"/>
        <v>0.45334270857432657</v>
      </c>
      <c r="DP79" s="128">
        <f t="shared" si="461"/>
        <v>0.46011902403552452</v>
      </c>
      <c r="DQ79" s="128">
        <f t="shared" si="461"/>
        <v>0.47573028976986098</v>
      </c>
      <c r="DR79" s="128">
        <f t="shared" si="461"/>
        <v>0.48938119602804964</v>
      </c>
      <c r="DS79" s="579">
        <f t="shared" si="461"/>
        <v>0.47044294506148526</v>
      </c>
      <c r="DT79" s="128">
        <f t="shared" si="461"/>
        <v>0.43402680308289593</v>
      </c>
      <c r="DU79" s="128">
        <f t="shared" si="461"/>
        <v>0.4404128399495772</v>
      </c>
      <c r="DV79" s="128">
        <f t="shared" si="461"/>
        <v>0.45549552094767237</v>
      </c>
      <c r="DW79" s="128">
        <f t="shared" si="461"/>
        <v>0.47242992305683751</v>
      </c>
      <c r="DX79" s="579">
        <f t="shared" si="461"/>
        <v>0.45137654455073134</v>
      </c>
      <c r="DY79" s="128">
        <f t="shared" ref="DY79:EC79" si="462">DY41/DY20</f>
        <v>0.44727176474696489</v>
      </c>
      <c r="DZ79" s="128">
        <f t="shared" si="462"/>
        <v>0.45289592588994065</v>
      </c>
      <c r="EA79" s="128">
        <f t="shared" si="462"/>
        <v>0.46792244972362806</v>
      </c>
      <c r="EB79" s="128">
        <f t="shared" si="462"/>
        <v>0.48503770227252774</v>
      </c>
      <c r="EC79" s="579">
        <f t="shared" si="462"/>
        <v>0.46409381928713328</v>
      </c>
      <c r="ED79" s="386"/>
      <c r="EE79" s="56">
        <f t="shared" ref="EE79:EJ79" si="463">EE41/EE20</f>
        <v>0</v>
      </c>
      <c r="EF79" s="128">
        <f t="shared" si="463"/>
        <v>0</v>
      </c>
      <c r="EG79" s="128">
        <f t="shared" si="463"/>
        <v>0</v>
      </c>
      <c r="EH79" s="128">
        <f t="shared" si="463"/>
        <v>0</v>
      </c>
      <c r="EI79" s="128">
        <f t="shared" si="463"/>
        <v>0</v>
      </c>
      <c r="EJ79" s="128">
        <f t="shared" si="463"/>
        <v>0.12290479557459544</v>
      </c>
      <c r="EK79" s="128">
        <f t="shared" si="429"/>
        <v>0.21359763668279308</v>
      </c>
      <c r="EL79" s="128">
        <f t="shared" si="430"/>
        <v>0.26987670607336756</v>
      </c>
      <c r="EM79" s="128">
        <f t="shared" si="431"/>
        <v>0.51295472389426844</v>
      </c>
      <c r="EN79" s="128">
        <f t="shared" si="432"/>
        <v>0.21322976697569546</v>
      </c>
      <c r="EO79" s="128">
        <f t="shared" si="264"/>
        <v>0.33912442623759936</v>
      </c>
      <c r="EP79" s="128">
        <f t="shared" si="433"/>
        <v>0.44353052983998198</v>
      </c>
      <c r="EQ79" s="128">
        <f t="shared" si="434"/>
        <v>0.41891567054915774</v>
      </c>
      <c r="ER79" s="31">
        <f t="shared" si="435"/>
        <v>0.38915749399466282</v>
      </c>
      <c r="ES79" s="16"/>
      <c r="ET79" s="16"/>
      <c r="EU79" s="16"/>
      <c r="EX79" s="564" t="s">
        <v>249</v>
      </c>
      <c r="EY79" s="968">
        <f t="shared" si="417"/>
        <v>0.37294624342000304</v>
      </c>
      <c r="EZ79" s="968">
        <v>0.42573555290910403</v>
      </c>
      <c r="FA79" s="1009">
        <f t="shared" si="419"/>
        <v>-527.89309489100992</v>
      </c>
      <c r="FB79" s="968">
        <f t="shared" si="418"/>
        <v>0.37937237657405565</v>
      </c>
      <c r="FC79" s="1011">
        <f t="shared" si="420"/>
        <v>-64.261331540526044</v>
      </c>
      <c r="FD79" s="16"/>
    </row>
    <row r="80" spans="1:160" ht="11.25" customHeight="1" x14ac:dyDescent="0.2">
      <c r="A80" s="449" t="s">
        <v>764</v>
      </c>
      <c r="B80" s="449"/>
      <c r="C80" s="141"/>
      <c r="D80" s="287"/>
      <c r="E80" s="287"/>
      <c r="F80" s="450"/>
      <c r="G80" s="449"/>
      <c r="H80" s="141"/>
      <c r="I80" s="287"/>
      <c r="J80" s="287"/>
      <c r="K80" s="287"/>
      <c r="L80" s="449"/>
      <c r="M80" s="287"/>
      <c r="N80" s="287"/>
      <c r="O80" s="287"/>
      <c r="P80" s="287"/>
      <c r="Q80" s="449"/>
      <c r="R80" s="287"/>
      <c r="S80" s="287"/>
      <c r="T80" s="287"/>
      <c r="U80" s="287"/>
      <c r="V80" s="449"/>
      <c r="W80" s="287"/>
      <c r="X80" s="287"/>
      <c r="Y80" s="287"/>
      <c r="Z80" s="287"/>
      <c r="AA80" s="449"/>
      <c r="AB80" s="287"/>
      <c r="AC80" s="287"/>
      <c r="AD80" s="287"/>
      <c r="AE80" s="287"/>
      <c r="AF80" s="449"/>
      <c r="AG80" s="287"/>
      <c r="AH80" s="287"/>
      <c r="AI80" s="287"/>
      <c r="AJ80" s="551"/>
      <c r="AK80" s="450"/>
      <c r="AL80" s="287"/>
      <c r="AM80" s="287"/>
      <c r="AN80" s="287"/>
      <c r="AO80" s="287"/>
      <c r="AP80" s="449"/>
      <c r="AQ80" s="287"/>
      <c r="AR80" s="287"/>
      <c r="AS80" s="287"/>
      <c r="AT80" s="287"/>
      <c r="AU80" s="141"/>
      <c r="AV80" s="157"/>
      <c r="AW80" s="287">
        <f t="shared" ref="AW80:CB80" si="464">AW43/AW20</f>
        <v>0.17071536270732113</v>
      </c>
      <c r="AX80" s="287">
        <f t="shared" si="464"/>
        <v>0.18186195826645254</v>
      </c>
      <c r="AY80" s="287">
        <f t="shared" si="464"/>
        <v>0.18499999999999991</v>
      </c>
      <c r="AZ80" s="287">
        <f t="shared" si="464"/>
        <v>0.19370294318959616</v>
      </c>
      <c r="BA80" s="580">
        <f t="shared" si="464"/>
        <v>0.18275589568689424</v>
      </c>
      <c r="BB80" s="141">
        <f t="shared" si="464"/>
        <v>0.21630434782608693</v>
      </c>
      <c r="BC80" s="287">
        <f t="shared" si="464"/>
        <v>0.25058784010749063</v>
      </c>
      <c r="BD80" s="287">
        <f t="shared" si="464"/>
        <v>0.26411058087872308</v>
      </c>
      <c r="BE80" s="287">
        <f t="shared" si="464"/>
        <v>0.2554254219772647</v>
      </c>
      <c r="BF80" s="580">
        <f t="shared" si="464"/>
        <v>0.24720640493214016</v>
      </c>
      <c r="BG80" s="287">
        <f t="shared" si="464"/>
        <v>0.24670994911387958</v>
      </c>
      <c r="BH80" s="287">
        <f t="shared" si="464"/>
        <v>0.31638313609467444</v>
      </c>
      <c r="BI80" s="287">
        <f t="shared" si="464"/>
        <v>0.35264428351985949</v>
      </c>
      <c r="BJ80" s="287">
        <f t="shared" si="464"/>
        <v>0.40889987639060577</v>
      </c>
      <c r="BK80" s="580">
        <f t="shared" si="464"/>
        <v>0.3236085037292607</v>
      </c>
      <c r="BL80" s="287">
        <f t="shared" si="464"/>
        <v>0.41837046078730544</v>
      </c>
      <c r="BM80" s="287">
        <f t="shared" si="464"/>
        <v>0.56665468918433359</v>
      </c>
      <c r="BN80" s="287">
        <f t="shared" si="464"/>
        <v>0.61650308978553259</v>
      </c>
      <c r="BO80" s="287">
        <f t="shared" si="464"/>
        <v>0.644419306184012</v>
      </c>
      <c r="BP80" s="580">
        <f t="shared" si="464"/>
        <v>0.55421791852045721</v>
      </c>
      <c r="BQ80" s="287">
        <f t="shared" si="464"/>
        <v>0.63179742631797431</v>
      </c>
      <c r="BR80" s="287">
        <f t="shared" si="464"/>
        <v>0.66117917304747331</v>
      </c>
      <c r="BS80" s="287">
        <f t="shared" si="464"/>
        <v>0.69558981713875934</v>
      </c>
      <c r="BT80" s="287">
        <f t="shared" si="464"/>
        <v>0.47009368244054772</v>
      </c>
      <c r="BU80" s="580">
        <f t="shared" si="464"/>
        <v>0.5968428965171636</v>
      </c>
      <c r="BV80" s="1281">
        <f t="shared" si="464"/>
        <v>0.34553456419063966</v>
      </c>
      <c r="BW80" s="1281">
        <f t="shared" si="464"/>
        <v>0.36412581467837918</v>
      </c>
      <c r="BX80" s="1281">
        <f t="shared" si="464"/>
        <v>0.37063377745768805</v>
      </c>
      <c r="BY80" s="1281">
        <f t="shared" si="464"/>
        <v>0.34293049697414257</v>
      </c>
      <c r="BZ80" s="580">
        <f t="shared" si="464"/>
        <v>0.35620392680773899</v>
      </c>
      <c r="CA80" s="287">
        <f t="shared" si="464"/>
        <v>0.36462016500589306</v>
      </c>
      <c r="CB80" s="287">
        <f t="shared" si="464"/>
        <v>0.39301477643446542</v>
      </c>
      <c r="CC80" s="287">
        <f t="shared" ref="CC80:DH80" si="465">CC43/CC20</f>
        <v>0.41237618907521834</v>
      </c>
      <c r="CD80" s="287">
        <f t="shared" si="465"/>
        <v>0.40179754020813635</v>
      </c>
      <c r="CE80" s="580">
        <f t="shared" si="465"/>
        <v>0.39363802378954643</v>
      </c>
      <c r="CF80" s="287">
        <f t="shared" si="465"/>
        <v>0.45247686445291219</v>
      </c>
      <c r="CG80" s="287">
        <f t="shared" si="465"/>
        <v>0.44222264949048246</v>
      </c>
      <c r="CH80" s="287">
        <f t="shared" si="465"/>
        <v>0.44324625825044139</v>
      </c>
      <c r="CI80" s="287">
        <f t="shared" si="465"/>
        <v>0.45149273875722079</v>
      </c>
      <c r="CJ80" s="580">
        <f t="shared" si="465"/>
        <v>0.44724515049037794</v>
      </c>
      <c r="CK80" s="287">
        <f t="shared" si="465"/>
        <v>0.42754347391565062</v>
      </c>
      <c r="CL80" s="287">
        <f t="shared" ref="CL80:CM80" si="466">CL43/CL20</f>
        <v>0.45466584267679006</v>
      </c>
      <c r="CM80" s="287">
        <f t="shared" si="466"/>
        <v>0.45829885818302168</v>
      </c>
      <c r="CN80" s="287">
        <f t="shared" ref="CN80" si="467">CN43/CN20</f>
        <v>0.48055420515313563</v>
      </c>
      <c r="CO80" s="580">
        <f t="shared" si="465"/>
        <v>0.45667708310570138</v>
      </c>
      <c r="CP80" s="287">
        <f t="shared" ref="CP80" si="468">CP43/CP20</f>
        <v>0.3928058701547294</v>
      </c>
      <c r="CQ80" s="287">
        <f t="shared" si="465"/>
        <v>0.39754337605670448</v>
      </c>
      <c r="CR80" s="287">
        <f t="shared" si="465"/>
        <v>0.41446946169620263</v>
      </c>
      <c r="CS80" s="287">
        <f t="shared" si="465"/>
        <v>0.42460334342206951</v>
      </c>
      <c r="CT80" s="580">
        <f t="shared" si="465"/>
        <v>0.40802216751940296</v>
      </c>
      <c r="CU80" s="287">
        <f t="shared" si="465"/>
        <v>0.40315509225931367</v>
      </c>
      <c r="CV80" s="287">
        <f t="shared" si="465"/>
        <v>0.41745442295480889</v>
      </c>
      <c r="CW80" s="287">
        <f t="shared" si="465"/>
        <v>0.43174849351475891</v>
      </c>
      <c r="CX80" s="287">
        <f t="shared" si="465"/>
        <v>0.44189531851299013</v>
      </c>
      <c r="CY80" s="580">
        <f t="shared" si="465"/>
        <v>0.42441414097343194</v>
      </c>
      <c r="CZ80" s="287">
        <f t="shared" si="465"/>
        <v>0.40485244122617287</v>
      </c>
      <c r="DA80" s="287">
        <f t="shared" si="465"/>
        <v>0.43377006899908377</v>
      </c>
      <c r="DB80" s="287">
        <f t="shared" si="465"/>
        <v>0.44795438456954312</v>
      </c>
      <c r="DC80" s="287">
        <f t="shared" si="465"/>
        <v>0.45777562552494871</v>
      </c>
      <c r="DD80" s="580">
        <f t="shared" si="465"/>
        <v>0.43721189899393759</v>
      </c>
      <c r="DE80" s="287">
        <f t="shared" si="465"/>
        <v>0.41503068300520335</v>
      </c>
      <c r="DF80" s="287">
        <f t="shared" si="465"/>
        <v>0.43267981426603697</v>
      </c>
      <c r="DG80" s="287">
        <f t="shared" si="465"/>
        <v>0.4435583341370341</v>
      </c>
      <c r="DH80" s="287">
        <f t="shared" si="465"/>
        <v>0.45842033550303607</v>
      </c>
      <c r="DI80" s="580">
        <f t="shared" ref="DI80:DX80" si="469">DI43/DI20</f>
        <v>0.43833554376737127</v>
      </c>
      <c r="DJ80" s="287">
        <f t="shared" si="469"/>
        <v>0.43742548303644019</v>
      </c>
      <c r="DK80" s="287">
        <f t="shared" si="469"/>
        <v>0.45498610140609397</v>
      </c>
      <c r="DL80" s="287">
        <f t="shared" si="469"/>
        <v>0.46585885506529678</v>
      </c>
      <c r="DM80" s="287">
        <f t="shared" si="469"/>
        <v>0.48048691025381457</v>
      </c>
      <c r="DN80" s="580">
        <f t="shared" si="469"/>
        <v>0.46061119903179559</v>
      </c>
      <c r="DO80" s="287">
        <f t="shared" si="469"/>
        <v>0.4506553847648207</v>
      </c>
      <c r="DP80" s="287">
        <f t="shared" si="469"/>
        <v>0.46754965430928291</v>
      </c>
      <c r="DQ80" s="287">
        <f t="shared" si="469"/>
        <v>0.47838636512750127</v>
      </c>
      <c r="DR80" s="287">
        <f t="shared" si="469"/>
        <v>0.49314410443504092</v>
      </c>
      <c r="DS80" s="580">
        <f t="shared" si="469"/>
        <v>0.47333909270108676</v>
      </c>
      <c r="DT80" s="287">
        <f t="shared" si="469"/>
        <v>0.43141006914886793</v>
      </c>
      <c r="DU80" s="287">
        <f t="shared" si="469"/>
        <v>0.44773512989338698</v>
      </c>
      <c r="DV80" s="287">
        <f t="shared" si="469"/>
        <v>0.45811266805962714</v>
      </c>
      <c r="DW80" s="287">
        <f t="shared" si="469"/>
        <v>0.47613796156962301</v>
      </c>
      <c r="DX80" s="580">
        <f t="shared" si="469"/>
        <v>0.45422259681402799</v>
      </c>
      <c r="DY80" s="287">
        <f t="shared" ref="DY80:EC80" si="470">DY43/DY20</f>
        <v>0.44466376479100228</v>
      </c>
      <c r="DZ80" s="287">
        <f t="shared" si="470"/>
        <v>0.46011975616379075</v>
      </c>
      <c r="EA80" s="287">
        <f t="shared" si="470"/>
        <v>0.47050415415591196</v>
      </c>
      <c r="EB80" s="287">
        <f t="shared" si="470"/>
        <v>0.48869569267722496</v>
      </c>
      <c r="EC80" s="580">
        <f t="shared" si="470"/>
        <v>0.46690807899203174</v>
      </c>
      <c r="ED80" s="25"/>
      <c r="EE80" s="141">
        <f t="shared" ref="EE80:EJ80" si="471">EE42/EE20</f>
        <v>0</v>
      </c>
      <c r="EF80" s="287">
        <f t="shared" si="471"/>
        <v>0</v>
      </c>
      <c r="EG80" s="287">
        <f t="shared" si="471"/>
        <v>0</v>
      </c>
      <c r="EH80" s="287">
        <f t="shared" si="471"/>
        <v>0</v>
      </c>
      <c r="EI80" s="287">
        <f t="shared" si="471"/>
        <v>0</v>
      </c>
      <c r="EJ80" s="287">
        <f t="shared" si="471"/>
        <v>0.18857879632325411</v>
      </c>
      <c r="EK80" s="287">
        <f t="shared" si="429"/>
        <v>0.24720640493214016</v>
      </c>
      <c r="EL80" s="287">
        <f t="shared" si="430"/>
        <v>0.3236085037292607</v>
      </c>
      <c r="EM80" s="287">
        <f t="shared" si="431"/>
        <v>0.55421791852045721</v>
      </c>
      <c r="EN80" s="287">
        <f t="shared" si="432"/>
        <v>0.5968428965171636</v>
      </c>
      <c r="EO80" s="287">
        <f t="shared" si="264"/>
        <v>0.39363802378954643</v>
      </c>
      <c r="EP80" s="287">
        <f t="shared" si="433"/>
        <v>0.44724515049037794</v>
      </c>
      <c r="EQ80" s="287">
        <f t="shared" si="434"/>
        <v>0.45667708310570138</v>
      </c>
      <c r="ER80" s="450">
        <f t="shared" si="435"/>
        <v>0.40802216751940296</v>
      </c>
      <c r="ES80" s="25"/>
      <c r="ET80" s="25"/>
      <c r="EU80" s="25"/>
      <c r="EX80" s="566" t="s">
        <v>512</v>
      </c>
      <c r="EY80" s="969">
        <f t="shared" si="417"/>
        <v>0.3928058701547294</v>
      </c>
      <c r="EZ80" s="969">
        <v>0.44600850809299575</v>
      </c>
      <c r="FA80" s="1010">
        <f t="shared" si="419"/>
        <v>-532.02637938266355</v>
      </c>
      <c r="FB80" s="969">
        <f t="shared" si="418"/>
        <v>0.42754347391565062</v>
      </c>
      <c r="FC80" s="1012">
        <f t="shared" si="420"/>
        <v>-347.37603760921223</v>
      </c>
      <c r="FD80" s="25"/>
    </row>
    <row r="81" spans="1:166" ht="11.25" customHeight="1" x14ac:dyDescent="0.2">
      <c r="A81" s="449" t="s">
        <v>779</v>
      </c>
      <c r="B81" s="449"/>
      <c r="C81" s="141"/>
      <c r="D81" s="287"/>
      <c r="E81" s="287"/>
      <c r="F81" s="450"/>
      <c r="G81" s="449"/>
      <c r="H81" s="141"/>
      <c r="I81" s="287"/>
      <c r="J81" s="287"/>
      <c r="K81" s="287"/>
      <c r="L81" s="449"/>
      <c r="M81" s="287"/>
      <c r="N81" s="287"/>
      <c r="O81" s="287"/>
      <c r="P81" s="287"/>
      <c r="Q81" s="449"/>
      <c r="R81" s="287"/>
      <c r="S81" s="287"/>
      <c r="T81" s="287"/>
      <c r="U81" s="287"/>
      <c r="V81" s="449"/>
      <c r="W81" s="287"/>
      <c r="X81" s="287"/>
      <c r="Y81" s="287"/>
      <c r="Z81" s="287"/>
      <c r="AA81" s="449"/>
      <c r="AB81" s="287"/>
      <c r="AC81" s="287"/>
      <c r="AD81" s="287"/>
      <c r="AE81" s="287"/>
      <c r="AF81" s="449"/>
      <c r="AG81" s="287"/>
      <c r="AH81" s="287"/>
      <c r="AI81" s="287"/>
      <c r="AJ81" s="551"/>
      <c r="AK81" s="450"/>
      <c r="AL81" s="287"/>
      <c r="AM81" s="287"/>
      <c r="AN81" s="287"/>
      <c r="AO81" s="287"/>
      <c r="AP81" s="449"/>
      <c r="AQ81" s="287"/>
      <c r="AR81" s="287"/>
      <c r="AS81" s="287"/>
      <c r="AT81" s="287"/>
      <c r="AU81" s="141"/>
      <c r="AV81" s="157"/>
      <c r="AW81" s="287"/>
      <c r="AX81" s="287"/>
      <c r="AY81" s="287"/>
      <c r="AZ81" s="287"/>
      <c r="BA81" s="580"/>
      <c r="BB81" s="141"/>
      <c r="BC81" s="287"/>
      <c r="BD81" s="287"/>
      <c r="BE81" s="287"/>
      <c r="BF81" s="580"/>
      <c r="BG81" s="287"/>
      <c r="BH81" s="287"/>
      <c r="BI81" s="287"/>
      <c r="BJ81" s="287"/>
      <c r="BK81" s="580"/>
      <c r="BL81" s="287"/>
      <c r="BM81" s="287"/>
      <c r="BN81" s="287"/>
      <c r="BO81" s="287"/>
      <c r="BP81" s="580"/>
      <c r="BQ81" s="287"/>
      <c r="BR81" s="287"/>
      <c r="BS81" s="287"/>
      <c r="BT81" s="287"/>
      <c r="BU81" s="580"/>
      <c r="BV81" s="287">
        <f t="shared" ref="BV81:DA81" si="472">BV42/BV20</f>
        <v>0.35659081150708449</v>
      </c>
      <c r="BW81" s="287">
        <f t="shared" si="472"/>
        <v>0.37593274770945501</v>
      </c>
      <c r="BX81" s="287">
        <f t="shared" si="472"/>
        <v>0.37297443284119547</v>
      </c>
      <c r="BY81" s="287">
        <f t="shared" si="472"/>
        <v>0.3648450394278378</v>
      </c>
      <c r="BZ81" s="580">
        <f t="shared" si="472"/>
        <v>0.367965264689744</v>
      </c>
      <c r="CA81" s="287">
        <f t="shared" si="472"/>
        <v>0.38047787420979312</v>
      </c>
      <c r="CB81" s="287">
        <f t="shared" si="472"/>
        <v>0.41047783534830157</v>
      </c>
      <c r="CC81" s="287">
        <f t="shared" si="472"/>
        <v>0.43218593704030611</v>
      </c>
      <c r="CD81" s="287">
        <f t="shared" si="472"/>
        <v>0.41873226111636719</v>
      </c>
      <c r="CE81" s="580">
        <f t="shared" si="472"/>
        <v>0.41118404817136373</v>
      </c>
      <c r="CF81" s="287">
        <f t="shared" si="472"/>
        <v>0.44398475775721269</v>
      </c>
      <c r="CG81" s="287">
        <f t="shared" si="472"/>
        <v>0.46058450298019599</v>
      </c>
      <c r="CH81" s="287">
        <f t="shared" si="472"/>
        <v>0.45449474760620978</v>
      </c>
      <c r="CI81" s="287">
        <f t="shared" si="472"/>
        <v>0.46103043063578619</v>
      </c>
      <c r="CJ81" s="580">
        <f t="shared" si="472"/>
        <v>0.45544626101722702</v>
      </c>
      <c r="CK81" s="287">
        <f t="shared" si="472"/>
        <v>0.44313411952828302</v>
      </c>
      <c r="CL81" s="287">
        <f t="shared" ref="CL81:CM81" si="473">CL42/CL20</f>
        <v>0.46879138342014665</v>
      </c>
      <c r="CM81" s="287">
        <f t="shared" si="473"/>
        <v>0.46756577858679471</v>
      </c>
      <c r="CN81" s="287">
        <f t="shared" ref="CN81" si="474">CN42/CN20</f>
        <v>0.49124939231891107</v>
      </c>
      <c r="CO81" s="580">
        <f t="shared" si="472"/>
        <v>0.46891457791569241</v>
      </c>
      <c r="CP81" s="287">
        <f t="shared" ref="CP81" si="475">CP42/CP20</f>
        <v>0.39703301962035392</v>
      </c>
      <c r="CQ81" s="287">
        <f t="shared" si="472"/>
        <v>0.41002012134468502</v>
      </c>
      <c r="CR81" s="287">
        <f t="shared" si="472"/>
        <v>0.42058838057233183</v>
      </c>
      <c r="CS81" s="287">
        <f t="shared" si="472"/>
        <v>0.4309038259885975</v>
      </c>
      <c r="CT81" s="580">
        <f t="shared" si="472"/>
        <v>0.415338428923893</v>
      </c>
      <c r="CU81" s="287">
        <f t="shared" si="472"/>
        <v>0.40939824280148662</v>
      </c>
      <c r="CV81" s="287">
        <f t="shared" si="472"/>
        <v>0.42232082406886207</v>
      </c>
      <c r="CW81" s="287">
        <f t="shared" si="472"/>
        <v>0.43684285642010129</v>
      </c>
      <c r="CX81" s="287">
        <f t="shared" si="472"/>
        <v>0.44715664948120348</v>
      </c>
      <c r="CY81" s="580">
        <f t="shared" si="472"/>
        <v>0.42975659671562089</v>
      </c>
      <c r="CZ81" s="287">
        <f t="shared" si="472"/>
        <v>0.40994499856037581</v>
      </c>
      <c r="DA81" s="287">
        <f t="shared" si="472"/>
        <v>0.4376899882686589</v>
      </c>
      <c r="DB81" s="287">
        <f t="shared" ref="DB81:DX81" si="476">DB42/DB20</f>
        <v>0.45210931803133192</v>
      </c>
      <c r="DC81" s="287">
        <f t="shared" si="476"/>
        <v>0.46209455143536243</v>
      </c>
      <c r="DD81" s="580">
        <f t="shared" si="476"/>
        <v>0.44156628706047391</v>
      </c>
      <c r="DE81" s="287">
        <f t="shared" si="476"/>
        <v>0.42040121431652333</v>
      </c>
      <c r="DF81" s="287">
        <f t="shared" si="476"/>
        <v>0.43636812810356579</v>
      </c>
      <c r="DG81" s="287">
        <f t="shared" si="476"/>
        <v>0.44740327443626904</v>
      </c>
      <c r="DH81" s="287">
        <f t="shared" si="476"/>
        <v>0.46186154463002921</v>
      </c>
      <c r="DI81" s="580">
        <f t="shared" si="476"/>
        <v>0.44238358836761671</v>
      </c>
      <c r="DJ81" s="287">
        <f t="shared" si="476"/>
        <v>0.44155668498291467</v>
      </c>
      <c r="DK81" s="287">
        <f t="shared" si="476"/>
        <v>0.45759433012260808</v>
      </c>
      <c r="DL81" s="287">
        <f t="shared" si="476"/>
        <v>0.46866100113304054</v>
      </c>
      <c r="DM81" s="287">
        <f t="shared" si="476"/>
        <v>0.48293035331728934</v>
      </c>
      <c r="DN81" s="580">
        <f t="shared" si="476"/>
        <v>0.46357389283778716</v>
      </c>
      <c r="DO81" s="287">
        <f t="shared" si="476"/>
        <v>0.45367149805383811</v>
      </c>
      <c r="DP81" s="287">
        <f t="shared" si="476"/>
        <v>0.46919560747957412</v>
      </c>
      <c r="DQ81" s="287">
        <f t="shared" si="476"/>
        <v>0.48026236080913276</v>
      </c>
      <c r="DR81" s="287">
        <f t="shared" si="476"/>
        <v>0.49470355551545181</v>
      </c>
      <c r="DS81" s="580">
        <f t="shared" si="476"/>
        <v>0.47533505843499341</v>
      </c>
      <c r="DT81" s="287">
        <f t="shared" si="476"/>
        <v>0.43341549054665124</v>
      </c>
      <c r="DU81" s="287">
        <f t="shared" si="476"/>
        <v>0.44852998522152843</v>
      </c>
      <c r="DV81" s="287">
        <f t="shared" si="476"/>
        <v>0.4591689540711556</v>
      </c>
      <c r="DW81" s="287">
        <f t="shared" si="476"/>
        <v>0.47691546441759924</v>
      </c>
      <c r="DX81" s="580">
        <f t="shared" si="476"/>
        <v>0.45535998175054354</v>
      </c>
      <c r="DY81" s="287">
        <f t="shared" ref="DY81:EC81" si="477">DY42/DY20</f>
        <v>0.44581591366091317</v>
      </c>
      <c r="DZ81" s="287">
        <f t="shared" si="477"/>
        <v>0.46016202933100842</v>
      </c>
      <c r="EA81" s="287">
        <f t="shared" si="477"/>
        <v>0.47083494186142971</v>
      </c>
      <c r="EB81" s="287">
        <f t="shared" si="477"/>
        <v>0.48878163203214775</v>
      </c>
      <c r="EC81" s="580">
        <f t="shared" si="477"/>
        <v>0.46729111452606653</v>
      </c>
      <c r="ED81" s="25"/>
      <c r="EE81" s="141"/>
      <c r="EF81" s="287"/>
      <c r="EG81" s="287"/>
      <c r="EH81" s="287"/>
      <c r="EI81" s="287"/>
      <c r="EJ81" s="287"/>
      <c r="EK81" s="287"/>
      <c r="EL81" s="287"/>
      <c r="EM81" s="287"/>
      <c r="EN81" s="287"/>
      <c r="EO81" s="287"/>
      <c r="EP81" s="287"/>
      <c r="EQ81" s="287"/>
      <c r="ER81" s="450"/>
      <c r="ES81" s="25"/>
      <c r="ET81" s="25"/>
      <c r="EU81" s="25"/>
      <c r="EX81" s="566"/>
      <c r="EY81" s="969"/>
      <c r="EZ81" s="969"/>
      <c r="FA81" s="1010"/>
      <c r="FB81" s="969"/>
      <c r="FC81" s="1012"/>
      <c r="FD81" s="25"/>
    </row>
    <row r="82" spans="1:166" ht="11.25" customHeight="1" x14ac:dyDescent="0.2">
      <c r="A82" s="129" t="s">
        <v>166</v>
      </c>
      <c r="B82" s="129">
        <f>B49/B48</f>
        <v>-0.4375</v>
      </c>
      <c r="C82" s="56"/>
      <c r="D82" s="128"/>
      <c r="E82" s="128"/>
      <c r="F82" s="31"/>
      <c r="G82" s="129">
        <f>G49/G48</f>
        <v>-0.51428571428571423</v>
      </c>
      <c r="H82" s="56"/>
      <c r="I82" s="128"/>
      <c r="J82" s="128"/>
      <c r="K82" s="128"/>
      <c r="L82" s="129">
        <f>L49/L48</f>
        <v>0.22222222222222221</v>
      </c>
      <c r="M82" s="128"/>
      <c r="N82" s="128"/>
      <c r="O82" s="128"/>
      <c r="P82" s="128"/>
      <c r="Q82" s="129">
        <f>Q49/Q48</f>
        <v>-6.25E-2</v>
      </c>
      <c r="R82" s="22"/>
      <c r="S82" s="22"/>
      <c r="T82" s="22"/>
      <c r="U82" s="22"/>
      <c r="V82" s="129">
        <f t="shared" ref="V82:AU82" si="478">V49/V48</f>
        <v>-0.42465753424657532</v>
      </c>
      <c r="W82" s="22">
        <f t="shared" si="478"/>
        <v>-0.66666666666666663</v>
      </c>
      <c r="X82" s="22">
        <f t="shared" si="478"/>
        <v>-1.5294117647058822</v>
      </c>
      <c r="Y82" s="22">
        <f t="shared" si="478"/>
        <v>-0.3</v>
      </c>
      <c r="Z82" s="22">
        <f t="shared" si="478"/>
        <v>0</v>
      </c>
      <c r="AA82" s="129">
        <f t="shared" si="478"/>
        <v>-0.57777777777777772</v>
      </c>
      <c r="AB82" s="22">
        <f t="shared" si="478"/>
        <v>-1.3333333333333333</v>
      </c>
      <c r="AC82" s="22">
        <f t="shared" si="478"/>
        <v>-1.1764705882352942</v>
      </c>
      <c r="AD82" s="22">
        <f t="shared" si="478"/>
        <v>-0.6470588235294118</v>
      </c>
      <c r="AE82" s="22">
        <f t="shared" si="478"/>
        <v>-1.25</v>
      </c>
      <c r="AF82" s="129">
        <f t="shared" si="478"/>
        <v>-1.1029411764705883</v>
      </c>
      <c r="AG82" s="22">
        <f t="shared" si="478"/>
        <v>-1.9135802469135803</v>
      </c>
      <c r="AH82" s="22">
        <f t="shared" si="478"/>
        <v>-1.875</v>
      </c>
      <c r="AI82" s="22">
        <f t="shared" si="478"/>
        <v>-1.5</v>
      </c>
      <c r="AJ82" s="548">
        <f t="shared" si="478"/>
        <v>-1.3846153846153846</v>
      </c>
      <c r="AK82" s="31">
        <f t="shared" si="478"/>
        <v>-1.6830065359477124</v>
      </c>
      <c r="AL82" s="22">
        <f t="shared" si="478"/>
        <v>-1.8571428571428572</v>
      </c>
      <c r="AM82" s="22">
        <f t="shared" si="478"/>
        <v>-1.7733333333333334</v>
      </c>
      <c r="AN82" s="22">
        <f t="shared" si="478"/>
        <v>-1.2307692307692308</v>
      </c>
      <c r="AO82" s="22">
        <f t="shared" si="478"/>
        <v>-1.2857142857142856</v>
      </c>
      <c r="AP82" s="129">
        <f t="shared" si="478"/>
        <v>-1.5531135531135529</v>
      </c>
      <c r="AQ82" s="22">
        <f t="shared" si="478"/>
        <v>-1.9119999999999999</v>
      </c>
      <c r="AR82" s="22">
        <f t="shared" si="478"/>
        <v>-2.1147540983606556</v>
      </c>
      <c r="AS82" s="22">
        <f t="shared" si="478"/>
        <v>0.38805970149253749</v>
      </c>
      <c r="AT82" s="22">
        <f t="shared" si="478"/>
        <v>0.30790960451977423</v>
      </c>
      <c r="AU82" s="56">
        <f t="shared" si="478"/>
        <v>0.86206896551724199</v>
      </c>
      <c r="AV82" s="888"/>
      <c r="AW82" s="22">
        <f t="shared" ref="AW82:BS82" si="479">AW49/AW48</f>
        <v>0.38805970149253749</v>
      </c>
      <c r="AX82" s="22">
        <f t="shared" si="479"/>
        <v>0.30790960451977423</v>
      </c>
      <c r="AY82" s="22">
        <f t="shared" si="479"/>
        <v>0.19235668789808927</v>
      </c>
      <c r="AZ82" s="22">
        <f t="shared" si="479"/>
        <v>0.20295202952029517</v>
      </c>
      <c r="BA82" s="579">
        <f t="shared" si="479"/>
        <v>0.43811881188118756</v>
      </c>
      <c r="BB82" s="56">
        <f t="shared" si="479"/>
        <v>-1.7241379310344817E-2</v>
      </c>
      <c r="BC82" s="22">
        <f t="shared" si="479"/>
        <v>0.29603729603729645</v>
      </c>
      <c r="BD82" s="22">
        <f t="shared" si="479"/>
        <v>0.25670498084291177</v>
      </c>
      <c r="BE82" s="22">
        <f t="shared" si="479"/>
        <v>1.5748031496063079E-2</v>
      </c>
      <c r="BF82" s="579">
        <f t="shared" si="479"/>
        <v>0.23190932868352257</v>
      </c>
      <c r="BG82" s="22">
        <f t="shared" si="479"/>
        <v>0.33488372093023311</v>
      </c>
      <c r="BH82" s="22">
        <f t="shared" si="479"/>
        <v>0.23492063492063525</v>
      </c>
      <c r="BI82" s="22">
        <f t="shared" si="479"/>
        <v>0.51111111111111274</v>
      </c>
      <c r="BJ82" s="22">
        <f t="shared" si="479"/>
        <v>0.21231766612641803</v>
      </c>
      <c r="BK82" s="579">
        <f t="shared" si="479"/>
        <v>0.26299311208515957</v>
      </c>
      <c r="BL82" s="22">
        <f t="shared" si="479"/>
        <v>0.32833020637898702</v>
      </c>
      <c r="BM82" s="22">
        <f t="shared" si="479"/>
        <v>0.24399038461538458</v>
      </c>
      <c r="BN82" s="22">
        <f t="shared" si="479"/>
        <v>0.28436516264428113</v>
      </c>
      <c r="BO82" s="22">
        <f t="shared" si="479"/>
        <v>0.261061946902655</v>
      </c>
      <c r="BP82" s="579">
        <f t="shared" si="479"/>
        <v>0.27467411545623838</v>
      </c>
      <c r="BQ82" s="22">
        <f t="shared" si="479"/>
        <v>0.25707257072570722</v>
      </c>
      <c r="BR82" s="22">
        <f t="shared" si="479"/>
        <v>0.25569871159563934</v>
      </c>
      <c r="BS82" s="22">
        <f t="shared" si="479"/>
        <v>0.5337301587301585</v>
      </c>
      <c r="BT82" s="130">
        <v>0.26</v>
      </c>
      <c r="BU82" s="579">
        <f>BU49/BU48</f>
        <v>-9.6009482418016601E-2</v>
      </c>
      <c r="BV82" s="1196">
        <f>BV49/BV48</f>
        <v>0.31047475508666195</v>
      </c>
      <c r="BW82" s="1196">
        <f>BW49/BW48</f>
        <v>0.28938097634625054</v>
      </c>
      <c r="BX82" s="1196">
        <f>BX49/BX48</f>
        <v>0.29277899343544872</v>
      </c>
      <c r="BY82" s="1196">
        <v>0.26</v>
      </c>
      <c r="BZ82" s="579">
        <f t="shared" ref="BZ82:CK82" si="480">BZ49/BZ48</f>
        <v>0.40240033108014928</v>
      </c>
      <c r="CA82" s="22">
        <f t="shared" si="480"/>
        <v>0.50049358341559769</v>
      </c>
      <c r="CB82" s="1350">
        <f t="shared" si="480"/>
        <v>0.32517985611510825</v>
      </c>
      <c r="CC82" s="22">
        <f t="shared" si="480"/>
        <v>0.19657293497363787</v>
      </c>
      <c r="CD82" s="22">
        <f t="shared" si="480"/>
        <v>0.10456310679611644</v>
      </c>
      <c r="CE82" s="579">
        <f t="shared" si="480"/>
        <v>0.2406588514616412</v>
      </c>
      <c r="CF82" s="22">
        <f t="shared" si="480"/>
        <v>0.21902552204176345</v>
      </c>
      <c r="CG82" s="22">
        <f t="shared" si="480"/>
        <v>0.19295958279009134</v>
      </c>
      <c r="CH82" s="22">
        <f t="shared" si="480"/>
        <v>0.21306068601583128</v>
      </c>
      <c r="CI82" s="22">
        <f t="shared" si="480"/>
        <v>0.19477396601474831</v>
      </c>
      <c r="CJ82" s="579">
        <f>CJ49/CJ48</f>
        <v>0.20328726933271107</v>
      </c>
      <c r="CK82" s="22">
        <f t="shared" si="480"/>
        <v>0.18493150684931503</v>
      </c>
      <c r="CL82" s="22">
        <f t="shared" ref="CL82:CM82" si="481">CL49/CL48</f>
        <v>0.149790502793296</v>
      </c>
      <c r="CM82" s="22">
        <f t="shared" si="481"/>
        <v>0.13433882848123466</v>
      </c>
      <c r="CN82" s="22">
        <f t="shared" ref="CN82" si="482">CN49/CN48</f>
        <v>-0.775322283609576</v>
      </c>
      <c r="CO82" s="579">
        <f>CO49/CO48</f>
        <v>-0.12126713261323409</v>
      </c>
      <c r="CP82" s="22">
        <f t="shared" ref="CP82" si="483">CP49/CP48</f>
        <v>6.0606060606060649E-3</v>
      </c>
      <c r="CQ82" s="130">
        <v>0.21</v>
      </c>
      <c r="CR82" s="130">
        <v>0.21</v>
      </c>
      <c r="CS82" s="130">
        <v>0.21</v>
      </c>
      <c r="CT82" s="579">
        <f>CT49/CT48</f>
        <v>0.16825117221072999</v>
      </c>
      <c r="CU82" s="130">
        <v>0.21</v>
      </c>
      <c r="CV82" s="130">
        <v>0.21</v>
      </c>
      <c r="CW82" s="130">
        <v>0.21</v>
      </c>
      <c r="CX82" s="130">
        <v>0.21</v>
      </c>
      <c r="CY82" s="579">
        <f>CY49/CY48</f>
        <v>0.20999999999999996</v>
      </c>
      <c r="CZ82" s="130">
        <v>0.21</v>
      </c>
      <c r="DA82" s="130">
        <v>0.21</v>
      </c>
      <c r="DB82" s="130">
        <v>0.21</v>
      </c>
      <c r="DC82" s="130">
        <v>0.21</v>
      </c>
      <c r="DD82" s="579">
        <f>DD49/DD48</f>
        <v>0.21</v>
      </c>
      <c r="DE82" s="130">
        <v>0.21</v>
      </c>
      <c r="DF82" s="130">
        <v>0.21</v>
      </c>
      <c r="DG82" s="130">
        <v>0.21</v>
      </c>
      <c r="DH82" s="130">
        <v>0.21</v>
      </c>
      <c r="DI82" s="579">
        <f>DI49/DI48</f>
        <v>0.20999999999999996</v>
      </c>
      <c r="DJ82" s="130">
        <v>0.21</v>
      </c>
      <c r="DK82" s="130">
        <v>0.21</v>
      </c>
      <c r="DL82" s="130">
        <v>0.21</v>
      </c>
      <c r="DM82" s="130">
        <v>0.21</v>
      </c>
      <c r="DN82" s="579">
        <f>DN49/DN48</f>
        <v>0.21</v>
      </c>
      <c r="DO82" s="130">
        <v>0.21</v>
      </c>
      <c r="DP82" s="130">
        <v>0.21</v>
      </c>
      <c r="DQ82" s="130">
        <v>0.21</v>
      </c>
      <c r="DR82" s="130">
        <v>0.21</v>
      </c>
      <c r="DS82" s="579">
        <f>DS49/DS48</f>
        <v>0.20999999999999996</v>
      </c>
      <c r="DT82" s="130">
        <v>0.21</v>
      </c>
      <c r="DU82" s="130">
        <v>0.21</v>
      </c>
      <c r="DV82" s="130">
        <v>0.21</v>
      </c>
      <c r="DW82" s="130">
        <v>0.21</v>
      </c>
      <c r="DX82" s="579">
        <f>DX49/DX48</f>
        <v>0.21000000000000002</v>
      </c>
      <c r="DY82" s="130">
        <v>0.21</v>
      </c>
      <c r="DZ82" s="130">
        <v>0.21</v>
      </c>
      <c r="EA82" s="130">
        <v>0.21</v>
      </c>
      <c r="EB82" s="130">
        <v>0.21</v>
      </c>
      <c r="EC82" s="579">
        <f>EC49/EC48</f>
        <v>0.21000000000000002</v>
      </c>
      <c r="ED82" s="16"/>
      <c r="EE82" s="122">
        <f t="shared" ref="EE82:EJ82" si="484">EE49/EE48</f>
        <v>-0.52325581395348841</v>
      </c>
      <c r="EF82" s="22">
        <f t="shared" si="484"/>
        <v>-0.64102564102564108</v>
      </c>
      <c r="EG82" s="22">
        <f t="shared" si="484"/>
        <v>-1.4110429447852759</v>
      </c>
      <c r="EH82" s="22">
        <f t="shared" si="484"/>
        <v>-1.6310344827586205</v>
      </c>
      <c r="EI82" s="22">
        <f t="shared" si="484"/>
        <v>-1.6282306163021869</v>
      </c>
      <c r="EJ82" s="22">
        <f t="shared" si="484"/>
        <v>0.4381188118811889</v>
      </c>
      <c r="EK82" s="22">
        <f t="shared" si="429"/>
        <v>0.23190932868352257</v>
      </c>
      <c r="EL82" s="22">
        <f t="shared" si="430"/>
        <v>0.26299311208515957</v>
      </c>
      <c r="EM82" s="22">
        <f t="shared" si="431"/>
        <v>0.27467411545623838</v>
      </c>
      <c r="EN82" s="22">
        <f t="shared" si="432"/>
        <v>-9.6009482418016601E-2</v>
      </c>
      <c r="EO82" s="22">
        <f t="shared" si="264"/>
        <v>0.2406588514616412</v>
      </c>
      <c r="EP82" s="22">
        <f t="shared" si="433"/>
        <v>0.20328726933271107</v>
      </c>
      <c r="EQ82" s="22">
        <f t="shared" si="434"/>
        <v>-0.12126713261323409</v>
      </c>
      <c r="ER82" s="88">
        <f>CT82</f>
        <v>0.16825117221072999</v>
      </c>
      <c r="ES82" s="16"/>
      <c r="ET82" s="16"/>
      <c r="EU82" s="16"/>
      <c r="EX82" s="564" t="s">
        <v>166</v>
      </c>
      <c r="EY82" s="126">
        <f>CP82</f>
        <v>6.0606060606060649E-3</v>
      </c>
      <c r="EZ82" s="299">
        <v>0.21</v>
      </c>
      <c r="FA82" s="813">
        <f t="shared" si="419"/>
        <v>-2039.3939393939393</v>
      </c>
      <c r="FB82" s="126">
        <f>CK82</f>
        <v>0.18493150684931503</v>
      </c>
      <c r="FC82" s="1011">
        <f t="shared" si="420"/>
        <v>-1788.7090078870897</v>
      </c>
      <c r="FD82" s="16"/>
    </row>
    <row r="83" spans="1:166" ht="11.25" customHeight="1" x14ac:dyDescent="0.2">
      <c r="A83" s="129" t="s">
        <v>842</v>
      </c>
      <c r="B83" s="129"/>
      <c r="C83" s="56"/>
      <c r="D83" s="128"/>
      <c r="E83" s="128"/>
      <c r="F83" s="31"/>
      <c r="G83" s="129"/>
      <c r="H83" s="56"/>
      <c r="I83" s="128"/>
      <c r="J83" s="128"/>
      <c r="K83" s="128"/>
      <c r="L83" s="129"/>
      <c r="M83" s="128"/>
      <c r="N83" s="128"/>
      <c r="O83" s="128"/>
      <c r="P83" s="128"/>
      <c r="Q83" s="129"/>
      <c r="R83" s="22"/>
      <c r="S83" s="22"/>
      <c r="T83" s="22"/>
      <c r="U83" s="22"/>
      <c r="V83" s="129"/>
      <c r="W83" s="22"/>
      <c r="X83" s="22"/>
      <c r="Y83" s="22"/>
      <c r="Z83" s="22"/>
      <c r="AA83" s="129"/>
      <c r="AB83" s="22"/>
      <c r="AC83" s="22"/>
      <c r="AD83" s="22"/>
      <c r="AE83" s="22"/>
      <c r="AF83" s="129"/>
      <c r="AG83" s="22"/>
      <c r="AH83" s="22"/>
      <c r="AI83" s="22"/>
      <c r="AJ83" s="548"/>
      <c r="AK83" s="31"/>
      <c r="AL83" s="22"/>
      <c r="AM83" s="22"/>
      <c r="AN83" s="22"/>
      <c r="AO83" s="22"/>
      <c r="AP83" s="129"/>
      <c r="AQ83" s="22"/>
      <c r="AR83" s="22"/>
      <c r="AS83" s="22"/>
      <c r="AT83" s="22"/>
      <c r="AU83" s="56"/>
      <c r="AV83" s="888"/>
      <c r="AW83" s="22"/>
      <c r="AX83" s="22"/>
      <c r="AY83" s="22"/>
      <c r="AZ83" s="22"/>
      <c r="BA83" s="579"/>
      <c r="BB83" s="56"/>
      <c r="BC83" s="22"/>
      <c r="BD83" s="22"/>
      <c r="BE83" s="22"/>
      <c r="BF83" s="579"/>
      <c r="BG83" s="22"/>
      <c r="BH83" s="22"/>
      <c r="BI83" s="22"/>
      <c r="BJ83" s="22"/>
      <c r="BK83" s="579"/>
      <c r="BL83" s="22"/>
      <c r="BM83" s="22"/>
      <c r="BN83" s="22"/>
      <c r="BO83" s="22"/>
      <c r="BP83" s="579"/>
      <c r="BQ83" s="22"/>
      <c r="BR83" s="22"/>
      <c r="BS83" s="22"/>
      <c r="BT83" s="130"/>
      <c r="BU83" s="579">
        <f t="shared" ref="BU83:CE83" si="485">BU228</f>
        <v>0.2384571302622879</v>
      </c>
      <c r="BV83" s="1196">
        <f t="shared" si="485"/>
        <v>0.23003575685339708</v>
      </c>
      <c r="BW83" s="1196">
        <f t="shared" si="485"/>
        <v>0.22984562607204109</v>
      </c>
      <c r="BX83" s="1196">
        <f t="shared" si="485"/>
        <v>0.22995951417004054</v>
      </c>
      <c r="BY83" s="1196">
        <f t="shared" si="485"/>
        <v>0.22980561555075613</v>
      </c>
      <c r="BZ83" s="579">
        <f t="shared" si="485"/>
        <v>0.22990335417851057</v>
      </c>
      <c r="CA83" s="22">
        <f t="shared" si="485"/>
        <v>0.23494938732019188</v>
      </c>
      <c r="CB83" s="1350">
        <f t="shared" si="485"/>
        <v>0.22949002217294914</v>
      </c>
      <c r="CC83" s="22">
        <f t="shared" si="485"/>
        <v>0.23337998600419865</v>
      </c>
      <c r="CD83" s="22">
        <f t="shared" si="485"/>
        <v>0.23796328368548658</v>
      </c>
      <c r="CE83" s="579">
        <f t="shared" si="485"/>
        <v>0.23392718822618125</v>
      </c>
      <c r="CF83" s="22">
        <f t="shared" ref="CF83:CM83" si="486">CF228</f>
        <v>0.20121951219512205</v>
      </c>
      <c r="CG83" s="22">
        <f t="shared" si="486"/>
        <v>0.20422535211267612</v>
      </c>
      <c r="CH83" s="22">
        <f t="shared" si="486"/>
        <v>0.20089153046062419</v>
      </c>
      <c r="CI83" s="22">
        <f t="shared" si="486"/>
        <v>0.23560064305116693</v>
      </c>
      <c r="CJ83" s="579">
        <f t="shared" si="486"/>
        <v>0.21154025562086026</v>
      </c>
      <c r="CK83" s="22">
        <f t="shared" si="486"/>
        <v>0.17498267498267497</v>
      </c>
      <c r="CL83" s="22">
        <f t="shared" si="486"/>
        <v>0.15217987386893331</v>
      </c>
      <c r="CM83" s="22">
        <f t="shared" si="486"/>
        <v>0.11980502821959982</v>
      </c>
      <c r="CN83" s="22">
        <f>CN228</f>
        <v>0.14475215266464972</v>
      </c>
      <c r="CO83" s="579">
        <f>CO228</f>
        <v>0.14591254752851707</v>
      </c>
      <c r="CP83" s="22">
        <f t="shared" ref="CP83" si="487">CP228</f>
        <v>6.3795853269537533E-4</v>
      </c>
      <c r="CQ83" s="130"/>
      <c r="CR83" s="130"/>
      <c r="CS83" s="130"/>
      <c r="CT83" s="579"/>
      <c r="CU83" s="130"/>
      <c r="CV83" s="130"/>
      <c r="CW83" s="130"/>
      <c r="CX83" s="130"/>
      <c r="CY83" s="579"/>
      <c r="CZ83" s="130"/>
      <c r="DA83" s="130"/>
      <c r="DB83" s="130"/>
      <c r="DC83" s="130"/>
      <c r="DD83" s="579"/>
      <c r="DE83" s="130"/>
      <c r="DF83" s="130"/>
      <c r="DG83" s="130"/>
      <c r="DH83" s="130"/>
      <c r="DI83" s="579"/>
      <c r="DJ83" s="130"/>
      <c r="DK83" s="130"/>
      <c r="DL83" s="130"/>
      <c r="DM83" s="130"/>
      <c r="DN83" s="579"/>
      <c r="DO83" s="130"/>
      <c r="DP83" s="130"/>
      <c r="DQ83" s="130"/>
      <c r="DR83" s="130"/>
      <c r="DS83" s="579"/>
      <c r="DT83" s="130"/>
      <c r="DU83" s="130"/>
      <c r="DV83" s="130"/>
      <c r="DW83" s="130"/>
      <c r="DX83" s="579"/>
      <c r="DY83" s="130"/>
      <c r="DZ83" s="130"/>
      <c r="EA83" s="130"/>
      <c r="EB83" s="130"/>
      <c r="EC83" s="579"/>
      <c r="ED83" s="16"/>
      <c r="EE83" s="122"/>
      <c r="EF83" s="22"/>
      <c r="EG83" s="22"/>
      <c r="EH83" s="22"/>
      <c r="EI83" s="22"/>
      <c r="EJ83" s="22"/>
      <c r="EK83" s="22"/>
      <c r="EL83" s="22"/>
      <c r="EM83" s="22"/>
      <c r="EN83" s="22"/>
      <c r="EO83" s="22"/>
      <c r="EP83" s="22"/>
      <c r="EQ83" s="22"/>
      <c r="ER83" s="88"/>
      <c r="ES83" s="16"/>
      <c r="ET83" s="16"/>
      <c r="EU83" s="16"/>
      <c r="EX83" s="564"/>
      <c r="EY83" s="126"/>
      <c r="EZ83" s="299"/>
      <c r="FA83" s="813"/>
      <c r="FB83" s="126"/>
      <c r="FC83" s="1011"/>
      <c r="FD83" s="16"/>
    </row>
    <row r="84" spans="1:166" ht="11.25" customHeight="1" x14ac:dyDescent="0.2">
      <c r="A84" s="129" t="s">
        <v>207</v>
      </c>
      <c r="B84" s="129"/>
      <c r="C84" s="56"/>
      <c r="D84" s="128"/>
      <c r="E84" s="128"/>
      <c r="F84" s="31"/>
      <c r="G84" s="129"/>
      <c r="H84" s="56"/>
      <c r="I84" s="128"/>
      <c r="J84" s="128"/>
      <c r="K84" s="128"/>
      <c r="L84" s="129"/>
      <c r="M84" s="56"/>
      <c r="N84" s="128"/>
      <c r="O84" s="128"/>
      <c r="P84" s="31"/>
      <c r="Q84" s="129"/>
      <c r="R84" s="56"/>
      <c r="S84" s="128"/>
      <c r="T84" s="128"/>
      <c r="U84" s="128"/>
      <c r="V84" s="129"/>
      <c r="W84" s="56"/>
      <c r="X84" s="128"/>
      <c r="Y84" s="128"/>
      <c r="Z84" s="128"/>
      <c r="AA84" s="129"/>
      <c r="AB84" s="56"/>
      <c r="AC84" s="128"/>
      <c r="AD84" s="128"/>
      <c r="AE84" s="128"/>
      <c r="AF84" s="129"/>
      <c r="AG84" s="56"/>
      <c r="AH84" s="128"/>
      <c r="AI84" s="128"/>
      <c r="AJ84" s="550"/>
      <c r="AK84" s="31"/>
      <c r="AL84" s="56"/>
      <c r="AM84" s="128"/>
      <c r="AN84" s="128"/>
      <c r="AO84" s="128"/>
      <c r="AP84" s="129"/>
      <c r="AQ84" s="56"/>
      <c r="AR84" s="128"/>
      <c r="AS84" s="128"/>
      <c r="AT84" s="128"/>
      <c r="AU84" s="56"/>
      <c r="AV84" s="247"/>
      <c r="AW84" s="128">
        <f t="shared" ref="AW84:CB84" si="488">AW51/AW20</f>
        <v>6.8688222482827896E-2</v>
      </c>
      <c r="AX84" s="128">
        <f t="shared" si="488"/>
        <v>7.8651685393258355E-2</v>
      </c>
      <c r="AY84" s="128">
        <f t="shared" si="488"/>
        <v>0.10566666666666659</v>
      </c>
      <c r="AZ84" s="128">
        <f t="shared" si="488"/>
        <v>-0.18480492813141688</v>
      </c>
      <c r="BA84" s="579">
        <f t="shared" si="488"/>
        <v>1.8882834920766998E-2</v>
      </c>
      <c r="BB84" s="56">
        <f t="shared" si="488"/>
        <v>-1.0688405797101456E-2</v>
      </c>
      <c r="BC84" s="128">
        <f t="shared" si="488"/>
        <v>5.0722203560631417E-2</v>
      </c>
      <c r="BD84" s="128">
        <f t="shared" si="488"/>
        <v>6.384729307223963E-2</v>
      </c>
      <c r="BE84" s="128">
        <f t="shared" si="488"/>
        <v>4.3058904581467224E-2</v>
      </c>
      <c r="BF84" s="579">
        <f t="shared" si="488"/>
        <v>3.7718885130795833E-2</v>
      </c>
      <c r="BG84" s="128">
        <f t="shared" si="488"/>
        <v>2.509212142481131E-2</v>
      </c>
      <c r="BH84" s="128">
        <f t="shared" si="488"/>
        <v>8.9127218934911101E-2</v>
      </c>
      <c r="BI84" s="128">
        <f t="shared" si="488"/>
        <v>1.4483212639894574E-2</v>
      </c>
      <c r="BJ84" s="128">
        <f t="shared" si="488"/>
        <v>0.12014833127317684</v>
      </c>
      <c r="BK84" s="579">
        <f t="shared" si="488"/>
        <v>5.971891014257448E-2</v>
      </c>
      <c r="BL84" s="128">
        <f t="shared" si="488"/>
        <v>0.10924626182483972</v>
      </c>
      <c r="BM84" s="128">
        <f t="shared" si="488"/>
        <v>0.22601509162773992</v>
      </c>
      <c r="BN84" s="128">
        <f t="shared" si="488"/>
        <v>0.24790985096328613</v>
      </c>
      <c r="BO84" s="128">
        <f t="shared" si="488"/>
        <v>0.25188536953242818</v>
      </c>
      <c r="BP84" s="579">
        <f t="shared" si="488"/>
        <v>0.20387333158858936</v>
      </c>
      <c r="BQ84" s="128">
        <f t="shared" si="488"/>
        <v>0.25072644250726445</v>
      </c>
      <c r="BR84" s="128">
        <f t="shared" si="488"/>
        <v>0.28751914241960175</v>
      </c>
      <c r="BS84" s="128">
        <f t="shared" si="488"/>
        <v>-8.4259591251344648E-2</v>
      </c>
      <c r="BT84" s="128">
        <f t="shared" si="488"/>
        <v>-0.93538313716070121</v>
      </c>
      <c r="BU84" s="579">
        <f t="shared" si="488"/>
        <v>-0.23168796458698737</v>
      </c>
      <c r="BV84" s="1280">
        <f t="shared" si="488"/>
        <v>9.8218119364534007E-2</v>
      </c>
      <c r="BW84" s="1280">
        <f t="shared" si="488"/>
        <v>0.13337111551903283</v>
      </c>
      <c r="BX84" s="1280">
        <f t="shared" si="488"/>
        <v>0.14548073460568953</v>
      </c>
      <c r="BY84" s="1280">
        <f t="shared" si="488"/>
        <v>3.5668439391160683E-2</v>
      </c>
      <c r="BZ84" s="579">
        <f t="shared" si="488"/>
        <v>0.10334709067919928</v>
      </c>
      <c r="CA84" s="128">
        <f t="shared" si="488"/>
        <v>5.4216222007928763E-2</v>
      </c>
      <c r="CB84" s="128">
        <f t="shared" si="488"/>
        <v>9.0001919017462934E-2</v>
      </c>
      <c r="CC84" s="128">
        <f t="shared" ref="CC84:CK84" si="489">CC51/CC20</f>
        <v>0.17932725311366096</v>
      </c>
      <c r="CD84" s="128">
        <f t="shared" si="489"/>
        <v>0.17451277199621582</v>
      </c>
      <c r="CE84" s="579">
        <f t="shared" si="489"/>
        <v>0.12628201964365035</v>
      </c>
      <c r="CF84" s="128">
        <f t="shared" si="489"/>
        <v>0.18323353293413164</v>
      </c>
      <c r="CG84" s="128">
        <f t="shared" si="489"/>
        <v>0.2380311478561814</v>
      </c>
      <c r="CH84" s="128">
        <f t="shared" si="489"/>
        <v>0.22180905456911759</v>
      </c>
      <c r="CI84" s="128">
        <f t="shared" si="489"/>
        <v>0.2711763753171732</v>
      </c>
      <c r="CJ84" s="579">
        <f t="shared" si="489"/>
        <v>0.23056698618836488</v>
      </c>
      <c r="CK84" s="128">
        <f t="shared" si="489"/>
        <v>0.16650009994003601</v>
      </c>
      <c r="CL84" s="128">
        <f t="shared" ref="CL84:CM84" si="490">CL51/CL20</f>
        <v>0.21497307318795808</v>
      </c>
      <c r="CM84" s="128">
        <f t="shared" si="490"/>
        <v>0.204203210325997</v>
      </c>
      <c r="CN84" s="128">
        <f t="shared" ref="CN84" si="491">CN51/CN20</f>
        <v>0.46864365580943129</v>
      </c>
      <c r="CO84" s="579">
        <f t="shared" ref="CO84:DH84" si="492">CO51/CO20</f>
        <v>0.26994602390682021</v>
      </c>
      <c r="CP84" s="128">
        <f t="shared" si="492"/>
        <v>0.22236401339926606</v>
      </c>
      <c r="CQ84" s="128">
        <f t="shared" si="492"/>
        <v>0.18329957968273014</v>
      </c>
      <c r="CR84" s="128">
        <f t="shared" si="492"/>
        <v>0.2061041779041328</v>
      </c>
      <c r="CS84" s="128">
        <f t="shared" si="492"/>
        <v>0.21577500607819886</v>
      </c>
      <c r="CT84" s="579">
        <f t="shared" si="492"/>
        <v>0.20669749892822184</v>
      </c>
      <c r="CU84" s="128">
        <f t="shared" si="492"/>
        <v>0.1955608357258804</v>
      </c>
      <c r="CV84" s="128">
        <f t="shared" si="492"/>
        <v>0.20634537821068663</v>
      </c>
      <c r="CW84" s="128">
        <f t="shared" si="492"/>
        <v>0.22705832807751344</v>
      </c>
      <c r="CX84" s="128">
        <f t="shared" si="492"/>
        <v>0.23677795608496974</v>
      </c>
      <c r="CY84" s="579">
        <f t="shared" si="492"/>
        <v>0.21735813730317802</v>
      </c>
      <c r="CZ84" s="128">
        <f t="shared" si="492"/>
        <v>0.20601736270505402</v>
      </c>
      <c r="DA84" s="128">
        <f t="shared" si="492"/>
        <v>0.22682473406499129</v>
      </c>
      <c r="DB84" s="128">
        <f t="shared" si="492"/>
        <v>0.24713373830546653</v>
      </c>
      <c r="DC84" s="128">
        <f t="shared" si="492"/>
        <v>0.25668202659317579</v>
      </c>
      <c r="DD84" s="579">
        <f t="shared" si="492"/>
        <v>0.23525660643063023</v>
      </c>
      <c r="DE84" s="128">
        <f t="shared" si="492"/>
        <v>0.22939622529101455</v>
      </c>
      <c r="DF84" s="128">
        <f t="shared" si="492"/>
        <v>0.2418878519545484</v>
      </c>
      <c r="DG84" s="128">
        <f t="shared" si="492"/>
        <v>0.25920754741550095</v>
      </c>
      <c r="DH84" s="128">
        <f t="shared" si="492"/>
        <v>0.25314544066603362</v>
      </c>
      <c r="DI84" s="579">
        <f t="shared" ref="DI84:DX84" si="493">DI51/DI20</f>
        <v>0.24653450437871674</v>
      </c>
      <c r="DJ84" s="128">
        <f t="shared" si="493"/>
        <v>0.24829506457066519</v>
      </c>
      <c r="DK84" s="128">
        <f t="shared" si="493"/>
        <v>0.25902944031211755</v>
      </c>
      <c r="DL84" s="128">
        <f t="shared" si="493"/>
        <v>0.27715107772540126</v>
      </c>
      <c r="DM84" s="128">
        <f t="shared" si="493"/>
        <v>0.28660061046244356</v>
      </c>
      <c r="DN84" s="579">
        <f t="shared" si="493"/>
        <v>0.26865288111080826</v>
      </c>
      <c r="DO84" s="128">
        <f t="shared" si="493"/>
        <v>0.26395221906392813</v>
      </c>
      <c r="DP84" s="128">
        <f t="shared" si="493"/>
        <v>0.27603493295596743</v>
      </c>
      <c r="DQ84" s="128">
        <f t="shared" si="493"/>
        <v>0.29356301390534678</v>
      </c>
      <c r="DR84" s="128">
        <f t="shared" si="493"/>
        <v>0.30290059164572913</v>
      </c>
      <c r="DS84" s="579">
        <f t="shared" si="493"/>
        <v>0.28500427589509258</v>
      </c>
      <c r="DT84" s="128">
        <f t="shared" si="493"/>
        <v>0.2556978721828827</v>
      </c>
      <c r="DU84" s="128">
        <f t="shared" si="493"/>
        <v>0.26691090060251815</v>
      </c>
      <c r="DV84" s="128">
        <f t="shared" si="493"/>
        <v>0.28953079622304223</v>
      </c>
      <c r="DW84" s="128">
        <f t="shared" si="493"/>
        <v>0.30110771161846456</v>
      </c>
      <c r="DX84" s="579">
        <f t="shared" si="493"/>
        <v>0.27929627722402378</v>
      </c>
      <c r="DY84" s="128">
        <f t="shared" ref="DY84:EC84" si="494">DY51/DY20</f>
        <v>0.27792873775869142</v>
      </c>
      <c r="DZ84" s="128">
        <f t="shared" si="494"/>
        <v>0.28893494839522799</v>
      </c>
      <c r="EA84" s="128">
        <f t="shared" si="494"/>
        <v>0.30471836307222572</v>
      </c>
      <c r="EB84" s="128">
        <f t="shared" si="494"/>
        <v>0.31626394327217033</v>
      </c>
      <c r="EC84" s="579">
        <f t="shared" si="494"/>
        <v>0.2978130311012312</v>
      </c>
      <c r="ED84" s="16"/>
      <c r="EE84" s="56">
        <f t="shared" ref="EE84:EJ84" si="495">EE51/EE20</f>
        <v>-8.991077556623199E-2</v>
      </c>
      <c r="EF84" s="128">
        <f t="shared" si="495"/>
        <v>-8.0808080808080815E-2</v>
      </c>
      <c r="EG84" s="128">
        <f t="shared" si="495"/>
        <v>-9.1130434782608682E-2</v>
      </c>
      <c r="EH84" s="128">
        <f t="shared" si="495"/>
        <v>-8.1299946723494942E-2</v>
      </c>
      <c r="EI84" s="128">
        <f t="shared" si="495"/>
        <v>-7.1205429279327812E-2</v>
      </c>
      <c r="EJ84" s="128">
        <f t="shared" si="495"/>
        <v>1.8882834920766898E-2</v>
      </c>
      <c r="EK84" s="128">
        <f t="shared" si="429"/>
        <v>3.7718885130795833E-2</v>
      </c>
      <c r="EL84" s="128">
        <f t="shared" si="430"/>
        <v>5.971891014257448E-2</v>
      </c>
      <c r="EM84" s="128">
        <f t="shared" si="431"/>
        <v>0.20387333158858936</v>
      </c>
      <c r="EN84" s="128">
        <f t="shared" si="432"/>
        <v>-0.23168796458698737</v>
      </c>
      <c r="EO84" s="128">
        <f t="shared" si="264"/>
        <v>0.12628201964365035</v>
      </c>
      <c r="EP84" s="128">
        <f t="shared" si="433"/>
        <v>0.23056698618836488</v>
      </c>
      <c r="EQ84" s="128">
        <f t="shared" si="434"/>
        <v>0.26994602390682021</v>
      </c>
      <c r="ER84" s="31">
        <f>CT84</f>
        <v>0.20669749892822184</v>
      </c>
      <c r="ES84" s="16"/>
      <c r="ET84" s="16"/>
      <c r="EU84" s="16"/>
      <c r="EX84" s="564" t="s">
        <v>207</v>
      </c>
      <c r="EY84" s="968">
        <f>CP84</f>
        <v>0.22236401339926606</v>
      </c>
      <c r="EZ84" s="968">
        <v>0.20378449305555832</v>
      </c>
      <c r="FA84" s="1009"/>
      <c r="FB84" s="968">
        <f>CK84</f>
        <v>0.16650009994003601</v>
      </c>
      <c r="FC84" s="1011">
        <f t="shared" si="420"/>
        <v>558.63913459230059</v>
      </c>
      <c r="FD84" s="16"/>
    </row>
    <row r="85" spans="1:166" ht="2.1" customHeight="1" x14ac:dyDescent="0.2">
      <c r="A85" s="129"/>
      <c r="B85" s="129"/>
      <c r="C85" s="56"/>
      <c r="D85" s="22"/>
      <c r="E85" s="22"/>
      <c r="F85" s="88"/>
      <c r="G85" s="129"/>
      <c r="H85" s="56"/>
      <c r="I85" s="22"/>
      <c r="J85" s="22"/>
      <c r="K85" s="22"/>
      <c r="L85" s="129"/>
      <c r="M85" s="128"/>
      <c r="N85" s="22"/>
      <c r="O85" s="22"/>
      <c r="P85" s="88"/>
      <c r="Q85" s="129"/>
      <c r="R85" s="128"/>
      <c r="S85" s="22"/>
      <c r="T85" s="22"/>
      <c r="U85" s="22"/>
      <c r="V85" s="129"/>
      <c r="W85" s="128"/>
      <c r="X85" s="22"/>
      <c r="Y85" s="22"/>
      <c r="Z85" s="88"/>
      <c r="AA85" s="129"/>
      <c r="AB85" s="128"/>
      <c r="AC85" s="22"/>
      <c r="AD85" s="22"/>
      <c r="AE85" s="22"/>
      <c r="AF85" s="129"/>
      <c r="AG85" s="128"/>
      <c r="AH85" s="22"/>
      <c r="AI85" s="22"/>
      <c r="AJ85" s="548"/>
      <c r="AK85" s="31"/>
      <c r="AL85" s="128"/>
      <c r="AM85" s="22"/>
      <c r="AN85" s="22"/>
      <c r="AO85" s="22"/>
      <c r="AP85" s="129"/>
      <c r="AQ85" s="128"/>
      <c r="AR85" s="22"/>
      <c r="AS85" s="22"/>
      <c r="AT85" s="22"/>
      <c r="AU85" s="56"/>
      <c r="AV85" s="280"/>
      <c r="AW85" s="22"/>
      <c r="AX85" s="22"/>
      <c r="AY85" s="22"/>
      <c r="AZ85" s="22"/>
      <c r="BA85" s="579"/>
      <c r="BB85" s="56"/>
      <c r="BC85" s="22"/>
      <c r="BD85" s="22"/>
      <c r="BE85" s="22"/>
      <c r="BF85" s="579"/>
      <c r="BG85" s="128"/>
      <c r="BH85" s="22"/>
      <c r="BI85" s="22"/>
      <c r="BJ85" s="22"/>
      <c r="BK85" s="579"/>
      <c r="BL85" s="128"/>
      <c r="BM85" s="22"/>
      <c r="BN85" s="22"/>
      <c r="BO85" s="22"/>
      <c r="BP85" s="579"/>
      <c r="BQ85" s="128"/>
      <c r="BR85" s="22"/>
      <c r="BS85" s="22"/>
      <c r="BT85" s="22"/>
      <c r="BU85" s="579"/>
      <c r="BV85" s="1280"/>
      <c r="BW85" s="1196"/>
      <c r="BX85" s="1196"/>
      <c r="BY85" s="1196"/>
      <c r="BZ85" s="579"/>
      <c r="CA85" s="128"/>
      <c r="CB85" s="22"/>
      <c r="CC85" s="22"/>
      <c r="CD85" s="22"/>
      <c r="CE85" s="579"/>
      <c r="CF85" s="128"/>
      <c r="CG85" s="22"/>
      <c r="CH85" s="22"/>
      <c r="CI85" s="22"/>
      <c r="CJ85" s="579"/>
      <c r="CK85" s="128"/>
      <c r="CL85" s="22"/>
      <c r="CM85" s="22"/>
      <c r="CN85" s="22"/>
      <c r="CO85" s="579"/>
      <c r="CP85" s="128"/>
      <c r="CQ85" s="22"/>
      <c r="CR85" s="22"/>
      <c r="CS85" s="22"/>
      <c r="CT85" s="579"/>
      <c r="CU85" s="128"/>
      <c r="CV85" s="22"/>
      <c r="CW85" s="22"/>
      <c r="CX85" s="22"/>
      <c r="CY85" s="579"/>
      <c r="CZ85" s="128"/>
      <c r="DA85" s="22"/>
      <c r="DB85" s="22"/>
      <c r="DC85" s="22"/>
      <c r="DD85" s="579"/>
      <c r="DE85" s="128"/>
      <c r="DF85" s="22"/>
      <c r="DG85" s="22"/>
      <c r="DH85" s="22"/>
      <c r="DI85" s="579"/>
      <c r="DJ85" s="128"/>
      <c r="DK85" s="22"/>
      <c r="DL85" s="22"/>
      <c r="DM85" s="22"/>
      <c r="DN85" s="579"/>
      <c r="DO85" s="128"/>
      <c r="DP85" s="22"/>
      <c r="DQ85" s="22"/>
      <c r="DR85" s="22"/>
      <c r="DS85" s="579"/>
      <c r="DT85" s="128"/>
      <c r="DU85" s="22"/>
      <c r="DV85" s="22"/>
      <c r="DW85" s="22"/>
      <c r="DX85" s="579"/>
      <c r="DY85" s="128"/>
      <c r="DZ85" s="22"/>
      <c r="EA85" s="22"/>
      <c r="EB85" s="22"/>
      <c r="EC85" s="579"/>
      <c r="ED85" s="16"/>
      <c r="EE85" s="122"/>
      <c r="EF85" s="22"/>
      <c r="EG85" s="22"/>
      <c r="EH85" s="22"/>
      <c r="EI85" s="22"/>
      <c r="EJ85" s="22"/>
      <c r="EK85" s="22"/>
      <c r="EL85" s="22"/>
      <c r="EM85" s="22"/>
      <c r="EN85" s="22"/>
      <c r="EO85" s="22">
        <f t="shared" si="264"/>
        <v>0</v>
      </c>
      <c r="EP85" s="22"/>
      <c r="EQ85" s="22"/>
      <c r="ER85" s="88"/>
      <c r="ES85" s="16"/>
      <c r="ET85" s="16"/>
      <c r="EU85" s="16"/>
      <c r="EX85" s="564"/>
      <c r="EY85" s="126">
        <f>BL85</f>
        <v>0</v>
      </c>
      <c r="EZ85" s="126">
        <v>0</v>
      </c>
      <c r="FA85" s="126"/>
      <c r="FB85" s="126">
        <f>BM85</f>
        <v>0</v>
      </c>
      <c r="FC85" s="970"/>
      <c r="FD85" s="16"/>
    </row>
    <row r="86" spans="1:166" ht="11.85" customHeight="1" x14ac:dyDescent="0.2">
      <c r="A86" s="7" t="s">
        <v>167</v>
      </c>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29"/>
      <c r="AW86" s="5"/>
      <c r="AX86" s="5"/>
      <c r="AY86" s="5"/>
      <c r="AZ86" s="5"/>
      <c r="BA86" s="5"/>
      <c r="BB86" s="5"/>
      <c r="BC86" s="5"/>
      <c r="BD86" s="5"/>
      <c r="BE86" s="5"/>
      <c r="BF86" s="5"/>
      <c r="BG86" s="5"/>
      <c r="BH86" s="5"/>
      <c r="BI86" s="5"/>
      <c r="BJ86" s="5"/>
      <c r="BK86" s="5"/>
      <c r="BL86" s="5"/>
      <c r="BM86" s="5"/>
      <c r="BN86" s="5"/>
      <c r="BO86" s="5"/>
      <c r="BP86" s="5"/>
      <c r="BQ86" s="5"/>
      <c r="BR86" s="5"/>
      <c r="BS86" s="5"/>
      <c r="BT86" s="5"/>
      <c r="BU86" s="418"/>
      <c r="BV86" s="1278"/>
      <c r="BW86" s="1278"/>
      <c r="BX86" s="1278"/>
      <c r="BY86" s="1278"/>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6"/>
      <c r="DY86" s="5"/>
      <c r="DZ86" s="5"/>
      <c r="EA86" s="5"/>
      <c r="EB86" s="5"/>
      <c r="EC86" s="6"/>
      <c r="ED86" s="16"/>
      <c r="EE86" s="418"/>
      <c r="EF86" s="5"/>
      <c r="EG86" s="5"/>
      <c r="EH86" s="5"/>
      <c r="EI86" s="5"/>
      <c r="EJ86" s="5"/>
      <c r="EK86" s="5"/>
      <c r="EL86" s="5"/>
      <c r="EM86" s="5"/>
      <c r="EN86" s="5"/>
      <c r="EO86" s="5"/>
      <c r="EP86" s="5"/>
      <c r="EQ86" s="5"/>
      <c r="ER86" s="6"/>
      <c r="ES86" s="16"/>
      <c r="ET86" s="16"/>
      <c r="EU86" s="16"/>
      <c r="EX86" s="567" t="s">
        <v>167</v>
      </c>
      <c r="EY86" s="947"/>
      <c r="EZ86" s="947"/>
      <c r="FA86" s="947"/>
      <c r="FB86" s="947"/>
      <c r="FC86" s="971"/>
      <c r="FD86" s="16"/>
    </row>
    <row r="87" spans="1:166" ht="11.85" customHeight="1" x14ac:dyDescent="0.2">
      <c r="A87" s="129" t="s">
        <v>168</v>
      </c>
      <c r="B87" s="134"/>
      <c r="C87" s="132"/>
      <c r="D87" s="133"/>
      <c r="E87" s="133"/>
      <c r="F87" s="135"/>
      <c r="G87" s="134"/>
      <c r="H87" s="132"/>
      <c r="I87" s="133"/>
      <c r="J87" s="133"/>
      <c r="K87" s="133"/>
      <c r="L87" s="134"/>
      <c r="M87" s="133"/>
      <c r="N87" s="133"/>
      <c r="O87" s="133"/>
      <c r="P87" s="135"/>
      <c r="Q87" s="134"/>
      <c r="R87" s="133"/>
      <c r="S87" s="133"/>
      <c r="T87" s="133"/>
      <c r="U87" s="133"/>
      <c r="V87" s="134"/>
      <c r="W87" s="133">
        <f t="shared" ref="W87:AU87" si="496">W9/R9-1</f>
        <v>1.7307692307692246E-2</v>
      </c>
      <c r="X87" s="133">
        <f t="shared" si="496"/>
        <v>1.0140660778541033E-2</v>
      </c>
      <c r="Y87" s="133">
        <f t="shared" si="496"/>
        <v>2.5578983753888673E-2</v>
      </c>
      <c r="Z87" s="133">
        <f t="shared" si="496"/>
        <v>1.1414077362079889E-2</v>
      </c>
      <c r="AA87" s="134">
        <f t="shared" si="496"/>
        <v>1.5952225130890119E-2</v>
      </c>
      <c r="AB87" s="133">
        <f t="shared" si="496"/>
        <v>4.5683679899180873E-2</v>
      </c>
      <c r="AC87" s="133">
        <f t="shared" si="496"/>
        <v>6.6386010362694314E-2</v>
      </c>
      <c r="AD87" s="133">
        <f t="shared" si="496"/>
        <v>6.3026626221772908E-2</v>
      </c>
      <c r="AE87" s="133">
        <f t="shared" si="496"/>
        <v>8.6520376175548641E-2</v>
      </c>
      <c r="AF87" s="134">
        <f t="shared" si="496"/>
        <v>6.546420806828257E-2</v>
      </c>
      <c r="AG87" s="133">
        <f t="shared" si="496"/>
        <v>0.10485085869237731</v>
      </c>
      <c r="AH87" s="133">
        <f t="shared" si="496"/>
        <v>9.9605223200728732E-2</v>
      </c>
      <c r="AI87" s="133">
        <f t="shared" si="496"/>
        <v>0.12238427393785667</v>
      </c>
      <c r="AJ87" s="553">
        <f t="shared" si="496"/>
        <v>0.11367570686670514</v>
      </c>
      <c r="AK87" s="135">
        <f t="shared" si="496"/>
        <v>0.11003627569528418</v>
      </c>
      <c r="AL87" s="133">
        <f t="shared" si="496"/>
        <v>7.962912462503402E-2</v>
      </c>
      <c r="AM87" s="133">
        <f t="shared" si="496"/>
        <v>5.5233360950013299E-4</v>
      </c>
      <c r="AN87" s="133">
        <f t="shared" si="496"/>
        <v>-2.9943502824858803E-2</v>
      </c>
      <c r="AO87" s="135">
        <f t="shared" si="496"/>
        <v>-5.3549222797927398E-2</v>
      </c>
      <c r="AP87" s="134">
        <f t="shared" si="496"/>
        <v>-1.2731481481481621E-3</v>
      </c>
      <c r="AQ87" s="133">
        <f t="shared" si="496"/>
        <v>-3.3670118716847774E-2</v>
      </c>
      <c r="AR87" s="133">
        <f t="shared" si="496"/>
        <v>5.1614683963566055E-2</v>
      </c>
      <c r="AS87" s="133">
        <f t="shared" si="496"/>
        <v>2.6441467676179498E-2</v>
      </c>
      <c r="AT87" s="133">
        <f t="shared" si="496"/>
        <v>2.2116990118522972E-2</v>
      </c>
      <c r="AU87" s="132">
        <f t="shared" si="496"/>
        <v>1.5358606068456071E-2</v>
      </c>
      <c r="AV87" s="280"/>
      <c r="AW87" s="133">
        <f>AW9/AN9-1</f>
        <v>2.6441467676179498E-2</v>
      </c>
      <c r="AX87" s="133">
        <f>AX9/AO9-1</f>
        <v>2.2116990118522972E-2</v>
      </c>
      <c r="AY87" s="133">
        <f>AY9/AQ9-1</f>
        <v>-9.3577645921006924E-3</v>
      </c>
      <c r="AZ87" s="133">
        <f>AZ9/AR9-1</f>
        <v>-4.908136482939629E-2</v>
      </c>
      <c r="BA87" s="581">
        <f>BA9/SUM(AN9:AO9,AQ9:AR9)-1</f>
        <v>-3.4775521293214373E-3</v>
      </c>
      <c r="BB87" s="133">
        <f t="shared" ref="BB87:BU87" si="497">BB9/AW9-1</f>
        <v>6.4684521107580828E-3</v>
      </c>
      <c r="BC87" s="133">
        <f t="shared" si="497"/>
        <v>3.5858707586834848E-2</v>
      </c>
      <c r="BD87" s="133">
        <f t="shared" si="497"/>
        <v>7.0424021741998466E-2</v>
      </c>
      <c r="BE87" s="133">
        <f t="shared" si="497"/>
        <v>5.4264421749931069E-2</v>
      </c>
      <c r="BF87" s="134">
        <f t="shared" si="497"/>
        <v>4.2271568587358033E-2</v>
      </c>
      <c r="BG87" s="133">
        <f t="shared" si="497"/>
        <v>5.56714398466569E-2</v>
      </c>
      <c r="BH87" s="133">
        <f t="shared" si="497"/>
        <v>2.9524301964839905E-2</v>
      </c>
      <c r="BI87" s="133">
        <f t="shared" si="497"/>
        <v>4.3876947347665229E-3</v>
      </c>
      <c r="BJ87" s="133">
        <f t="shared" si="497"/>
        <v>5.7676196460362483E-2</v>
      </c>
      <c r="BK87" s="134">
        <f t="shared" si="497"/>
        <v>3.5953439707036461E-2</v>
      </c>
      <c r="BL87" s="133">
        <f t="shared" si="497"/>
        <v>1.2416223865851395E-2</v>
      </c>
      <c r="BM87" s="133">
        <f t="shared" si="497"/>
        <v>3.2996835919842926E-2</v>
      </c>
      <c r="BN87" s="133">
        <f t="shared" si="497"/>
        <v>3.3672016885092804E-2</v>
      </c>
      <c r="BO87" s="133">
        <f t="shared" si="497"/>
        <v>3.5669199732666579E-2</v>
      </c>
      <c r="BP87" s="134">
        <f t="shared" si="497"/>
        <v>2.8986605057506054E-2</v>
      </c>
      <c r="BQ87" s="133">
        <f t="shared" si="497"/>
        <v>4.1512817807785485E-2</v>
      </c>
      <c r="BR87" s="133">
        <f t="shared" si="497"/>
        <v>4.3587125632050139E-2</v>
      </c>
      <c r="BS87" s="133">
        <f t="shared" si="497"/>
        <v>6.0639156655111881E-2</v>
      </c>
      <c r="BT87" s="133">
        <f t="shared" si="497"/>
        <v>2.9636711281070705E-2</v>
      </c>
      <c r="BU87" s="581">
        <f t="shared" si="497"/>
        <v>4.3929820256426222E-2</v>
      </c>
      <c r="BV87" s="1282"/>
      <c r="BW87" s="1282"/>
      <c r="BX87" s="1282"/>
      <c r="BY87" s="1283"/>
      <c r="BZ87" s="581"/>
      <c r="CA87" s="133">
        <f t="shared" ref="CA87:DF87" si="498">CA9/BV9-1</f>
        <v>0.35865786901184271</v>
      </c>
      <c r="CB87" s="133">
        <f t="shared" si="498"/>
        <v>0.36252609931064872</v>
      </c>
      <c r="CC87" s="133">
        <f t="shared" si="498"/>
        <v>0.3539353183205769</v>
      </c>
      <c r="CD87" s="133">
        <f t="shared" si="498"/>
        <v>0.36132015608505097</v>
      </c>
      <c r="CE87" s="1615">
        <f t="shared" si="498"/>
        <v>0.35907568779137811</v>
      </c>
      <c r="CF87" s="133">
        <f t="shared" si="498"/>
        <v>3.5557513127454587E-2</v>
      </c>
      <c r="CG87" s="133">
        <f t="shared" si="498"/>
        <v>3.4742452938490098E-2</v>
      </c>
      <c r="CH87" s="133">
        <f t="shared" si="498"/>
        <v>5.6612096853249749E-2</v>
      </c>
      <c r="CI87" s="133">
        <f t="shared" si="498"/>
        <v>6.4628982247730171E-2</v>
      </c>
      <c r="CJ87" s="1615">
        <f t="shared" si="498"/>
        <v>4.8131570393537215E-2</v>
      </c>
      <c r="CK87" s="133">
        <f>CK9/CF9-1</f>
        <v>5.820012364214433E-2</v>
      </c>
      <c r="CL87" s="133">
        <f t="shared" si="498"/>
        <v>0.2069220862846104</v>
      </c>
      <c r="CM87" s="133">
        <f t="shared" si="498"/>
        <v>0.24392695334848691</v>
      </c>
      <c r="CN87" s="133">
        <f t="shared" si="498"/>
        <v>0.26479964295960978</v>
      </c>
      <c r="CO87" s="1615">
        <f t="shared" si="498"/>
        <v>0.19718945007800315</v>
      </c>
      <c r="CP87" s="133">
        <f t="shared" si="498"/>
        <v>0.27863461859455829</v>
      </c>
      <c r="CQ87" s="133">
        <f t="shared" si="498"/>
        <v>7.9358146004886221E-2</v>
      </c>
      <c r="CR87" s="133">
        <f t="shared" si="498"/>
        <v>6.1055895702800456E-2</v>
      </c>
      <c r="CS87" s="135">
        <f t="shared" si="498"/>
        <v>6.8353588666915988E-2</v>
      </c>
      <c r="CT87" s="581">
        <f t="shared" si="498"/>
        <v>0.11191229104891831</v>
      </c>
      <c r="CU87" s="133">
        <f t="shared" si="498"/>
        <v>7.6544885279954622E-2</v>
      </c>
      <c r="CV87" s="133">
        <f t="shared" si="498"/>
        <v>7.5524014672429418E-2</v>
      </c>
      <c r="CW87" s="133">
        <f t="shared" si="498"/>
        <v>7.6495494264052333E-2</v>
      </c>
      <c r="CX87" s="135">
        <f t="shared" si="498"/>
        <v>7.8577445245670008E-2</v>
      </c>
      <c r="CY87" s="581">
        <f t="shared" si="498"/>
        <v>7.6805770464554612E-2</v>
      </c>
      <c r="CZ87" s="133">
        <f t="shared" si="498"/>
        <v>9.0725463669492745E-2</v>
      </c>
      <c r="DA87" s="133">
        <f t="shared" si="498"/>
        <v>7.7778493196839493E-2</v>
      </c>
      <c r="DB87" s="133">
        <f t="shared" si="498"/>
        <v>7.7939769033306572E-2</v>
      </c>
      <c r="DC87" s="135">
        <f t="shared" si="498"/>
        <v>7.7409961695165785E-2</v>
      </c>
      <c r="DD87" s="581">
        <f t="shared" si="498"/>
        <v>8.0751107296304525E-2</v>
      </c>
      <c r="DE87" s="133">
        <f t="shared" si="498"/>
        <v>6.4514050747267238E-2</v>
      </c>
      <c r="DF87" s="133">
        <f t="shared" si="498"/>
        <v>7.5549860430359939E-2</v>
      </c>
      <c r="DG87" s="133">
        <f t="shared" ref="DG87:DX87" si="499">DG9/DB9-1</f>
        <v>7.5793155120791766E-2</v>
      </c>
      <c r="DH87" s="135">
        <f t="shared" si="499"/>
        <v>7.551351351958302E-2</v>
      </c>
      <c r="DI87" s="581">
        <f t="shared" si="499"/>
        <v>7.300044123402083E-2</v>
      </c>
      <c r="DJ87" s="133">
        <f t="shared" si="499"/>
        <v>7.5052909189322836E-2</v>
      </c>
      <c r="DK87" s="133">
        <f t="shared" si="499"/>
        <v>7.5362591413828728E-2</v>
      </c>
      <c r="DL87" s="133">
        <f t="shared" si="499"/>
        <v>7.6000335757653081E-2</v>
      </c>
      <c r="DM87" s="135">
        <f t="shared" si="499"/>
        <v>7.5733356040365241E-2</v>
      </c>
      <c r="DN87" s="581">
        <f t="shared" si="499"/>
        <v>7.55522195179954E-2</v>
      </c>
      <c r="DO87" s="133">
        <f t="shared" si="499"/>
        <v>7.5057466452532973E-2</v>
      </c>
      <c r="DP87" s="133">
        <f t="shared" si="499"/>
        <v>7.4729545214626381E-2</v>
      </c>
      <c r="DQ87" s="133">
        <f t="shared" si="499"/>
        <v>7.4879113418015786E-2</v>
      </c>
      <c r="DR87" s="135">
        <f t="shared" si="499"/>
        <v>7.4650564604467728E-2</v>
      </c>
      <c r="DS87" s="581">
        <f t="shared" si="499"/>
        <v>7.4824763086814627E-2</v>
      </c>
      <c r="DT87" s="133">
        <f t="shared" si="499"/>
        <v>8.5844278858945078E-2</v>
      </c>
      <c r="DU87" s="133">
        <f t="shared" si="499"/>
        <v>7.3276109148882496E-2</v>
      </c>
      <c r="DV87" s="133">
        <f t="shared" si="499"/>
        <v>7.3310272890872996E-2</v>
      </c>
      <c r="DW87" s="135">
        <f t="shared" si="499"/>
        <v>7.3120276518080507E-2</v>
      </c>
      <c r="DX87" s="581">
        <f t="shared" si="499"/>
        <v>7.6185172073320651E-2</v>
      </c>
      <c r="DY87" s="133">
        <f t="shared" ref="DY87" si="500">DY9/DT9-1</f>
        <v>6.0613484799209472E-2</v>
      </c>
      <c r="DZ87" s="133">
        <f t="shared" ref="DZ87" si="501">DZ9/DU9-1</f>
        <v>7.1783465218780096E-2</v>
      </c>
      <c r="EA87" s="133">
        <f t="shared" ref="EA87" si="502">EA9/DV9-1</f>
        <v>7.184986175357011E-2</v>
      </c>
      <c r="EB87" s="135">
        <f t="shared" ref="EB87" si="503">EB9/DW9-1</f>
        <v>7.1691039151967839E-2</v>
      </c>
      <c r="EC87" s="581">
        <f t="shared" ref="EC87" si="504">EC9/DX9-1</f>
        <v>6.9140008224264804E-2</v>
      </c>
      <c r="ED87" s="16"/>
      <c r="EE87" s="132"/>
      <c r="EF87" s="133">
        <f>EF9/EE9-1</f>
        <v>3.7371029328133964E-2</v>
      </c>
      <c r="EG87" s="133">
        <f>EG9/EF9-1</f>
        <v>8.9200407236275314E-2</v>
      </c>
      <c r="EH87" s="133">
        <f>EH9/EG9-1</f>
        <v>7.722174288179473E-2</v>
      </c>
      <c r="EI87" s="133">
        <f>EI9/EH9-1</f>
        <v>-1.7287411560539367E-2</v>
      </c>
      <c r="EJ87" s="133">
        <f>EJ9/EI9-1</f>
        <v>-3.4775521293215483E-3</v>
      </c>
      <c r="EK87" s="133">
        <f>BF87</f>
        <v>4.2271568587358033E-2</v>
      </c>
      <c r="EL87" s="133">
        <f>BK87</f>
        <v>3.5953439707036461E-2</v>
      </c>
      <c r="EM87" s="133">
        <f>BP87</f>
        <v>2.8986605057506054E-2</v>
      </c>
      <c r="EN87" s="133">
        <f>BU87</f>
        <v>4.3929820256426222E-2</v>
      </c>
      <c r="EO87" s="133">
        <f t="shared" si="264"/>
        <v>0.35907568779137811</v>
      </c>
      <c r="EP87" s="133">
        <f>CJ87</f>
        <v>4.8131570393537215E-2</v>
      </c>
      <c r="EQ87" s="133">
        <f>CO87</f>
        <v>0.19718945007800315</v>
      </c>
      <c r="ER87" s="135">
        <f>CT87</f>
        <v>0.11191229104891831</v>
      </c>
      <c r="ES87" s="16"/>
      <c r="ET87" s="16"/>
      <c r="EU87" s="16"/>
      <c r="EX87" s="564" t="s">
        <v>168</v>
      </c>
      <c r="EY87" s="126">
        <f>CP87</f>
        <v>0.27863461859455829</v>
      </c>
      <c r="EZ87" s="126">
        <v>0.24151648084527566</v>
      </c>
      <c r="FA87" s="126">
        <f>EY87-EZ87</f>
        <v>3.7118137749282631E-2</v>
      </c>
      <c r="FB87" s="126">
        <f>CK87</f>
        <v>5.820012364214433E-2</v>
      </c>
      <c r="FC87" s="970"/>
      <c r="FD87" s="16"/>
    </row>
    <row r="88" spans="1:166" s="1066" customFormat="1" ht="11.85" hidden="1" customHeight="1" outlineLevel="1" x14ac:dyDescent="0.2">
      <c r="A88" s="129" t="s">
        <v>814</v>
      </c>
      <c r="B88" s="134"/>
      <c r="C88" s="132"/>
      <c r="D88" s="133"/>
      <c r="E88" s="133"/>
      <c r="F88" s="135"/>
      <c r="G88" s="134"/>
      <c r="H88" s="132"/>
      <c r="I88" s="133"/>
      <c r="J88" s="133"/>
      <c r="K88" s="133"/>
      <c r="L88" s="134"/>
      <c r="M88" s="133"/>
      <c r="N88" s="133"/>
      <c r="O88" s="133"/>
      <c r="P88" s="135"/>
      <c r="Q88" s="134"/>
      <c r="R88" s="133"/>
      <c r="S88" s="133"/>
      <c r="T88" s="133"/>
      <c r="U88" s="133"/>
      <c r="V88" s="134"/>
      <c r="W88" s="133"/>
      <c r="X88" s="133"/>
      <c r="Y88" s="133"/>
      <c r="Z88" s="133"/>
      <c r="AA88" s="134"/>
      <c r="AB88" s="133"/>
      <c r="AC88" s="133"/>
      <c r="AD88" s="133"/>
      <c r="AE88" s="133"/>
      <c r="AF88" s="134"/>
      <c r="AG88" s="133"/>
      <c r="AH88" s="133"/>
      <c r="AI88" s="133"/>
      <c r="AJ88" s="553"/>
      <c r="AK88" s="135"/>
      <c r="AL88" s="133"/>
      <c r="AM88" s="133"/>
      <c r="AN88" s="133"/>
      <c r="AO88" s="135"/>
      <c r="AP88" s="135"/>
      <c r="AQ88" s="133"/>
      <c r="AR88" s="133"/>
      <c r="AS88" s="133"/>
      <c r="AT88" s="133"/>
      <c r="AU88" s="132"/>
      <c r="AV88" s="247"/>
      <c r="AW88" s="133"/>
      <c r="AX88" s="133"/>
      <c r="AY88" s="133"/>
      <c r="AZ88" s="133"/>
      <c r="BA88" s="581"/>
      <c r="BB88" s="133"/>
      <c r="BC88" s="133"/>
      <c r="BD88" s="133"/>
      <c r="BE88" s="135"/>
      <c r="BF88" s="553"/>
      <c r="BG88" s="1795"/>
      <c r="BH88" s="133"/>
      <c r="BI88" s="133"/>
      <c r="BJ88" s="135"/>
      <c r="BK88" s="553"/>
      <c r="BL88" s="133"/>
      <c r="BM88" s="133"/>
      <c r="BN88" s="133"/>
      <c r="BO88" s="135"/>
      <c r="BP88" s="553"/>
      <c r="BQ88" s="133"/>
      <c r="BR88" s="133"/>
      <c r="BS88" s="133"/>
      <c r="BT88" s="133"/>
      <c r="BU88" s="581"/>
      <c r="BV88" s="1282"/>
      <c r="BW88" s="1282"/>
      <c r="BX88" s="1282"/>
      <c r="BY88" s="1283"/>
      <c r="BZ88" s="553"/>
      <c r="CA88" s="133">
        <v>1.8966827044821555E-2</v>
      </c>
      <c r="CB88" s="133">
        <v>2.6369121106943894E-2</v>
      </c>
      <c r="CC88" s="133">
        <v>1.1953796561604779E-2</v>
      </c>
      <c r="CD88" s="133">
        <v>1.0492107706592257E-2</v>
      </c>
      <c r="CE88" s="134">
        <v>1.6841882576937195E-2</v>
      </c>
      <c r="CF88" s="133">
        <v>5.2908869504709299E-2</v>
      </c>
      <c r="CG88" s="133">
        <v>3.13202151562606E-2</v>
      </c>
      <c r="CH88" s="133">
        <v>5.6651771888687197E-2</v>
      </c>
      <c r="CI88" s="133">
        <v>6.8547275567398813E-2</v>
      </c>
      <c r="CJ88" s="134">
        <v>5.2329848529505174E-2</v>
      </c>
      <c r="CK88" s="133">
        <v>5.669373111782483E-2</v>
      </c>
      <c r="CL88" s="133">
        <v>9.1767346669307415E-2</v>
      </c>
      <c r="CM88" s="133">
        <v>0.11687985429271253</v>
      </c>
      <c r="CN88" s="133">
        <v>0.13982285665147476</v>
      </c>
      <c r="CO88" s="134">
        <v>0.10247017990905705</v>
      </c>
      <c r="CP88" s="133">
        <v>0.15007817735090456</v>
      </c>
      <c r="CQ88" s="133">
        <v>8.1410842679538797E-2</v>
      </c>
      <c r="CR88" s="133">
        <v>7.4111824574337959E-2</v>
      </c>
      <c r="CS88" s="133">
        <v>7.7611499293328334E-2</v>
      </c>
      <c r="CT88" s="134">
        <v>9.3781355259738186E-2</v>
      </c>
      <c r="CU88" s="133">
        <v>8.6348852952938149E-2</v>
      </c>
      <c r="CV88" s="133">
        <v>8.5779679010804966E-2</v>
      </c>
      <c r="CW88" s="133">
        <v>8.589579624307464E-2</v>
      </c>
      <c r="CX88" s="135">
        <v>8.6681556259257109E-2</v>
      </c>
      <c r="CY88" s="553">
        <v>8.617812058802099E-2</v>
      </c>
      <c r="CZ88" s="133">
        <v>9.8969826850406006E-2</v>
      </c>
      <c r="DA88" s="133">
        <v>8.6353081768163475E-2</v>
      </c>
      <c r="DB88" s="133">
        <v>8.5551008354631808E-2</v>
      </c>
      <c r="DC88" s="135">
        <v>8.3257217544268736E-2</v>
      </c>
      <c r="DD88" s="553">
        <v>8.829686599483022E-2</v>
      </c>
      <c r="DE88" s="133">
        <v>6.9568083765718658E-2</v>
      </c>
      <c r="DF88" s="133">
        <v>8.1096402947653301E-2</v>
      </c>
      <c r="DG88" s="133">
        <v>8.0724545671816195E-2</v>
      </c>
      <c r="DH88" s="135">
        <v>7.9238056679922453E-2</v>
      </c>
      <c r="DI88" s="553">
        <v>7.7787867819462786E-2</v>
      </c>
      <c r="DJ88" s="133">
        <v>7.8178900620674563E-2</v>
      </c>
      <c r="DK88" s="133">
        <v>7.8422857891021103E-2</v>
      </c>
      <c r="DL88" s="133">
        <v>7.8110839287764744E-2</v>
      </c>
      <c r="DM88" s="135">
        <v>7.7018191560596971E-2</v>
      </c>
      <c r="DN88" s="553">
        <v>7.7919634094498758E-2</v>
      </c>
      <c r="DO88" s="133">
        <v>7.6471224503657398E-2</v>
      </c>
      <c r="DP88" s="133">
        <v>7.6536217723607969E-2</v>
      </c>
      <c r="DQ88" s="133">
        <v>7.6411974907935054E-2</v>
      </c>
      <c r="DR88" s="135">
        <v>7.5876568646872311E-2</v>
      </c>
      <c r="DS88" s="553">
        <v>7.6317497141231039E-2</v>
      </c>
      <c r="DT88" s="133">
        <v>8.7543873849449394E-2</v>
      </c>
      <c r="DU88" s="133">
        <v>7.56371268033178E-2</v>
      </c>
      <c r="DV88" s="133">
        <v>7.5505046023579547E-2</v>
      </c>
      <c r="DW88" s="135">
        <v>7.4989537577011545E-2</v>
      </c>
      <c r="DX88" s="553">
        <v>7.8234248394358552E-2</v>
      </c>
      <c r="DY88" s="133">
        <v>6.2899626957587218E-2</v>
      </c>
      <c r="DZ88" s="133">
        <v>7.4735960718312899E-2</v>
      </c>
      <c r="EA88" s="133">
        <v>7.4597825060013889E-2</v>
      </c>
      <c r="EB88" s="135">
        <v>7.4101906599828737E-2</v>
      </c>
      <c r="EC88" s="553">
        <v>7.172928821761837E-2</v>
      </c>
      <c r="ED88" s="16"/>
      <c r="EE88" s="132"/>
      <c r="EF88" s="133"/>
      <c r="EG88" s="133"/>
      <c r="EH88" s="133"/>
      <c r="EI88" s="133"/>
      <c r="EJ88" s="133"/>
      <c r="EK88" s="133"/>
      <c r="EL88" s="133"/>
      <c r="EM88" s="133"/>
      <c r="EN88" s="133"/>
      <c r="EO88" s="133"/>
      <c r="EP88" s="133"/>
      <c r="EQ88" s="133"/>
      <c r="ER88" s="135"/>
      <c r="ES88" s="16"/>
      <c r="ET88" s="16"/>
      <c r="EU88" s="16"/>
      <c r="EX88" s="564"/>
      <c r="EY88" s="126"/>
      <c r="EZ88" s="126"/>
      <c r="FA88" s="126"/>
      <c r="FB88" s="126"/>
      <c r="FC88" s="970"/>
      <c r="FD88" s="16"/>
      <c r="FE88"/>
      <c r="FF88"/>
      <c r="FG88"/>
      <c r="FH88"/>
      <c r="FI88"/>
      <c r="FJ88"/>
    </row>
    <row r="89" spans="1:166" s="1066" customFormat="1" ht="11.85" hidden="1" customHeight="1" outlineLevel="1" x14ac:dyDescent="0.2">
      <c r="A89" s="129" t="s">
        <v>812</v>
      </c>
      <c r="B89" s="134"/>
      <c r="C89" s="132"/>
      <c r="D89" s="133"/>
      <c r="E89" s="133"/>
      <c r="F89" s="135"/>
      <c r="G89" s="134"/>
      <c r="H89" s="132"/>
      <c r="I89" s="133"/>
      <c r="J89" s="133"/>
      <c r="K89" s="133"/>
      <c r="L89" s="134"/>
      <c r="M89" s="133"/>
      <c r="N89" s="133"/>
      <c r="O89" s="133"/>
      <c r="P89" s="135"/>
      <c r="Q89" s="134"/>
      <c r="R89" s="133"/>
      <c r="S89" s="133"/>
      <c r="T89" s="133"/>
      <c r="U89" s="133"/>
      <c r="V89" s="134"/>
      <c r="W89" s="133"/>
      <c r="X89" s="133"/>
      <c r="Y89" s="133"/>
      <c r="Z89" s="133"/>
      <c r="AA89" s="134"/>
      <c r="AB89" s="133"/>
      <c r="AC89" s="133"/>
      <c r="AD89" s="133"/>
      <c r="AE89" s="133"/>
      <c r="AF89" s="134"/>
      <c r="AG89" s="133"/>
      <c r="AH89" s="133"/>
      <c r="AI89" s="133"/>
      <c r="AJ89" s="553"/>
      <c r="AK89" s="135"/>
      <c r="AL89" s="133"/>
      <c r="AM89" s="133"/>
      <c r="AN89" s="133"/>
      <c r="AO89" s="135"/>
      <c r="AP89" s="135"/>
      <c r="AQ89" s="133"/>
      <c r="AR89" s="133"/>
      <c r="AS89" s="133"/>
      <c r="AT89" s="133"/>
      <c r="AU89" s="132"/>
      <c r="AV89" s="247"/>
      <c r="AW89" s="133"/>
      <c r="AX89" s="133"/>
      <c r="AY89" s="133"/>
      <c r="AZ89" s="133"/>
      <c r="BA89" s="581"/>
      <c r="BB89" s="133"/>
      <c r="BC89" s="133"/>
      <c r="BD89" s="133"/>
      <c r="BE89" s="135"/>
      <c r="BF89" s="553"/>
      <c r="BG89" s="1795"/>
      <c r="BH89" s="133"/>
      <c r="BI89" s="133"/>
      <c r="BJ89" s="135"/>
      <c r="BK89" s="553"/>
      <c r="BL89" s="133"/>
      <c r="BM89" s="133"/>
      <c r="BN89" s="133"/>
      <c r="BO89" s="135"/>
      <c r="BP89" s="553"/>
      <c r="BQ89" s="133"/>
      <c r="BR89" s="133"/>
      <c r="BS89" s="133"/>
      <c r="BT89" s="133"/>
      <c r="BU89" s="581"/>
      <c r="BV89" s="1282"/>
      <c r="BW89" s="1282"/>
      <c r="BX89" s="1282"/>
      <c r="BY89" s="1283"/>
      <c r="BZ89" s="553"/>
      <c r="CA89" s="133">
        <v>-2.485468029665272E-2</v>
      </c>
      <c r="CB89" s="133">
        <v>-2.6086956521739202E-2</v>
      </c>
      <c r="CC89" s="133">
        <v>-8.11462700281399E-2</v>
      </c>
      <c r="CD89" s="133">
        <v>-2.5777194343337917E-2</v>
      </c>
      <c r="CE89" s="134">
        <v>-8.3034194380057547E-2</v>
      </c>
      <c r="CF89" s="133">
        <v>-2.3843782117163426E-2</v>
      </c>
      <c r="CG89" s="133">
        <v>6.2138030888032603E-3</v>
      </c>
      <c r="CH89" s="133">
        <v>5.6499999999999995E-2</v>
      </c>
      <c r="CI89" s="133">
        <v>-6.4310651068781866E-3</v>
      </c>
      <c r="CJ89" s="134">
        <v>8.7246842420232174E-3</v>
      </c>
      <c r="CK89" s="1796">
        <v>6.2679862427177602E-2</v>
      </c>
      <c r="CL89" s="133">
        <v>-1.319023922297502E-2</v>
      </c>
      <c r="CM89" s="133">
        <v>7.2113109323237001E-2</v>
      </c>
      <c r="CN89" s="133">
        <v>7.5761311798791642E-2</v>
      </c>
      <c r="CO89" s="134">
        <v>4.8726035096483988E-2</v>
      </c>
      <c r="CP89" s="133">
        <v>6.1889035667107128E-2</v>
      </c>
      <c r="CQ89" s="133">
        <v>8.2276636846882578E-2</v>
      </c>
      <c r="CR89" s="133">
        <v>1.8734515709361022E-2</v>
      </c>
      <c r="CS89" s="133">
        <v>3.6072078982844591E-2</v>
      </c>
      <c r="CT89" s="134">
        <v>4.8534539835844992E-2</v>
      </c>
      <c r="CU89" s="133">
        <v>4.7125289992634656E-2</v>
      </c>
      <c r="CV89" s="133">
        <v>4.7689992069120724E-2</v>
      </c>
      <c r="CW89" s="133">
        <v>4.9034848450994817E-2</v>
      </c>
      <c r="CX89" s="135">
        <v>5.3127753019132751E-2</v>
      </c>
      <c r="CY89" s="553">
        <v>4.9309514060317472E-2</v>
      </c>
      <c r="CZ89" s="133">
        <v>6.4986231760631341E-2</v>
      </c>
      <c r="DA89" s="133">
        <v>5.3139298423995784E-2</v>
      </c>
      <c r="DB89" s="133">
        <v>5.3472222222222143E-2</v>
      </c>
      <c r="DC89" s="135">
        <v>5.5282924386579557E-2</v>
      </c>
      <c r="DD89" s="553">
        <v>5.6477362016759569E-2</v>
      </c>
      <c r="DE89" s="133">
        <v>4.4990191310429806E-2</v>
      </c>
      <c r="DF89" s="133">
        <v>5.6444829292429111E-2</v>
      </c>
      <c r="DG89" s="133">
        <v>5.6732186732186607E-2</v>
      </c>
      <c r="DH89" s="135">
        <v>5.7903696498054602E-2</v>
      </c>
      <c r="DI89" s="553">
        <v>5.4265161133765671E-2</v>
      </c>
      <c r="DJ89" s="133">
        <v>5.9611673902556728E-2</v>
      </c>
      <c r="DK89" s="133">
        <v>6.1905904944791201E-2</v>
      </c>
      <c r="DL89" s="133">
        <v>6.3596282173498553E-2</v>
      </c>
      <c r="DM89" s="135">
        <v>6.4125824693684885E-2</v>
      </c>
      <c r="DN89" s="553">
        <v>6.2399756399773798E-2</v>
      </c>
      <c r="DO89" s="133">
        <v>6.4220718618758887E-2</v>
      </c>
      <c r="DP89" s="133">
        <v>6.3948100092678262E-2</v>
      </c>
      <c r="DQ89" s="133">
        <v>6.3608176389526871E-2</v>
      </c>
      <c r="DR89" s="135">
        <v>6.3152519291874709E-2</v>
      </c>
      <c r="DS89" s="553">
        <v>6.3715069083271292E-2</v>
      </c>
      <c r="DT89" s="133">
        <v>7.4583895131085987E-2</v>
      </c>
      <c r="DU89" s="133">
        <v>6.2522321428571503E-2</v>
      </c>
      <c r="DV89" s="133">
        <v>6.2206728640991082E-2</v>
      </c>
      <c r="DW89" s="135">
        <v>6.1783369803063426E-2</v>
      </c>
      <c r="DX89" s="553">
        <v>6.4987831717942646E-2</v>
      </c>
      <c r="DY89" s="133">
        <v>4.9768501979164936E-2</v>
      </c>
      <c r="DZ89" s="133">
        <v>6.1197243755383157E-2</v>
      </c>
      <c r="EA89" s="133">
        <v>6.0903460059803738E-2</v>
      </c>
      <c r="EB89" s="135">
        <v>6.0509083227714422E-2</v>
      </c>
      <c r="EC89" s="553">
        <v>5.8324095300693157E-2</v>
      </c>
      <c r="ED89" s="16"/>
      <c r="EE89" s="132"/>
      <c r="EF89" s="133"/>
      <c r="EG89" s="133"/>
      <c r="EH89" s="133"/>
      <c r="EI89" s="133"/>
      <c r="EJ89" s="133"/>
      <c r="EK89" s="133"/>
      <c r="EL89" s="133"/>
      <c r="EM89" s="133"/>
      <c r="EN89" s="133"/>
      <c r="EO89" s="133"/>
      <c r="EP89" s="133"/>
      <c r="EQ89" s="133"/>
      <c r="ER89" s="135"/>
      <c r="ES89" s="16"/>
      <c r="ET89" s="16"/>
      <c r="EU89" s="16"/>
      <c r="EX89" s="564"/>
      <c r="EY89" s="126"/>
      <c r="EZ89" s="126"/>
      <c r="FA89" s="126"/>
      <c r="FB89" s="126"/>
      <c r="FC89" s="970"/>
      <c r="FD89" s="16"/>
      <c r="FE89"/>
      <c r="FF89"/>
      <c r="FG89"/>
      <c r="FH89"/>
      <c r="FI89"/>
      <c r="FJ89"/>
    </row>
    <row r="90" spans="1:166" s="1066" customFormat="1" ht="11.85" hidden="1" customHeight="1" outlineLevel="1" x14ac:dyDescent="0.2">
      <c r="A90" s="129" t="s">
        <v>813</v>
      </c>
      <c r="B90" s="134"/>
      <c r="C90" s="132"/>
      <c r="D90" s="133"/>
      <c r="E90" s="133"/>
      <c r="F90" s="135"/>
      <c r="G90" s="134"/>
      <c r="H90" s="132"/>
      <c r="I90" s="133"/>
      <c r="J90" s="133"/>
      <c r="K90" s="133"/>
      <c r="L90" s="134"/>
      <c r="M90" s="133"/>
      <c r="N90" s="133"/>
      <c r="O90" s="133"/>
      <c r="P90" s="135"/>
      <c r="Q90" s="134"/>
      <c r="R90" s="133"/>
      <c r="S90" s="133"/>
      <c r="T90" s="133"/>
      <c r="U90" s="133"/>
      <c r="V90" s="134"/>
      <c r="W90" s="133"/>
      <c r="X90" s="133"/>
      <c r="Y90" s="133"/>
      <c r="Z90" s="133"/>
      <c r="AA90" s="134"/>
      <c r="AB90" s="133"/>
      <c r="AC90" s="133"/>
      <c r="AD90" s="133"/>
      <c r="AE90" s="133"/>
      <c r="AF90" s="134"/>
      <c r="AG90" s="133"/>
      <c r="AH90" s="133"/>
      <c r="AI90" s="133"/>
      <c r="AJ90" s="553"/>
      <c r="AK90" s="135"/>
      <c r="AL90" s="133"/>
      <c r="AM90" s="133"/>
      <c r="AN90" s="133"/>
      <c r="AO90" s="135"/>
      <c r="AP90" s="135"/>
      <c r="AQ90" s="133"/>
      <c r="AR90" s="133"/>
      <c r="AS90" s="133"/>
      <c r="AT90" s="133"/>
      <c r="AU90" s="132"/>
      <c r="AV90" s="247"/>
      <c r="AW90" s="133"/>
      <c r="AX90" s="133"/>
      <c r="AY90" s="133"/>
      <c r="AZ90" s="133"/>
      <c r="BA90" s="581"/>
      <c r="BB90" s="133"/>
      <c r="BC90" s="133"/>
      <c r="BD90" s="133"/>
      <c r="BE90" s="135"/>
      <c r="BF90" s="553"/>
      <c r="BG90" s="1795"/>
      <c r="BH90" s="133"/>
      <c r="BI90" s="133"/>
      <c r="BJ90" s="135"/>
      <c r="BK90" s="553"/>
      <c r="BL90" s="133"/>
      <c r="BM90" s="133"/>
      <c r="BN90" s="133"/>
      <c r="BO90" s="135"/>
      <c r="BP90" s="553"/>
      <c r="BQ90" s="133"/>
      <c r="BR90" s="133"/>
      <c r="BS90" s="133"/>
      <c r="BT90" s="133"/>
      <c r="BU90" s="581"/>
      <c r="BV90" s="1282"/>
      <c r="BW90" s="1282"/>
      <c r="BX90" s="1282"/>
      <c r="BY90" s="1283"/>
      <c r="BZ90" s="553"/>
      <c r="CA90" s="133">
        <v>0.13714356252314541</v>
      </c>
      <c r="CB90" s="133">
        <v>0.13598593799936087</v>
      </c>
      <c r="CC90" s="133">
        <v>6.7110125646711039E-2</v>
      </c>
      <c r="CD90" s="133">
        <v>0.12916133162612042</v>
      </c>
      <c r="CE90" s="134">
        <v>0.117748063714745</v>
      </c>
      <c r="CF90" s="133">
        <v>6.4372557533651786E-2</v>
      </c>
      <c r="CG90" s="133">
        <v>6.4706709804473128E-2</v>
      </c>
      <c r="CH90" s="133">
        <v>8.2698434686244715E-2</v>
      </c>
      <c r="CI90" s="133">
        <v>8.7597448618001783E-2</v>
      </c>
      <c r="CJ90" s="134">
        <v>7.4129759764667513E-2</v>
      </c>
      <c r="CK90" s="1796">
        <v>-0.14757776644569098</v>
      </c>
      <c r="CL90" s="133">
        <v>0.17637732857709087</v>
      </c>
      <c r="CM90" s="133">
        <v>0.14802968270214945</v>
      </c>
      <c r="CN90" s="133">
        <v>0.15730483513619165</v>
      </c>
      <c r="CO90" s="134">
        <v>7.1987262392267493E-2</v>
      </c>
      <c r="CP90" s="133">
        <v>8.1239530988274744E-2</v>
      </c>
      <c r="CQ90" s="133">
        <v>6.2526185594439898E-2</v>
      </c>
      <c r="CR90" s="133">
        <v>6.8907959039988809E-2</v>
      </c>
      <c r="CS90" s="133">
        <v>7.6516899937676408E-2</v>
      </c>
      <c r="CT90" s="134">
        <v>6.7403421291350796E-2</v>
      </c>
      <c r="CU90" s="133">
        <v>7.3024064423475199E-2</v>
      </c>
      <c r="CV90" s="133">
        <v>6.9773685804756624E-2</v>
      </c>
      <c r="CW90" s="133">
        <v>7.3192424850917925E-2</v>
      </c>
      <c r="CX90" s="135">
        <v>7.8275643106315629E-2</v>
      </c>
      <c r="CY90" s="553">
        <v>7.3590317263802163E-2</v>
      </c>
      <c r="CZ90" s="133">
        <v>8.7854648886523501E-2</v>
      </c>
      <c r="DA90" s="133">
        <v>7.3860589886430628E-2</v>
      </c>
      <c r="DB90" s="133">
        <v>7.796562767458548E-2</v>
      </c>
      <c r="DC90" s="135">
        <v>8.3064051865908928E-2</v>
      </c>
      <c r="DD90" s="553">
        <v>8.0615839800377787E-2</v>
      </c>
      <c r="DE90" s="133">
        <v>6.8245320716949998E-2</v>
      </c>
      <c r="DF90" s="133">
        <v>7.7804210050165912E-2</v>
      </c>
      <c r="DG90" s="133">
        <v>8.082178156894626E-2</v>
      </c>
      <c r="DH90" s="135">
        <v>8.4770635859345855E-2</v>
      </c>
      <c r="DI90" s="553">
        <v>7.8028418166524949E-2</v>
      </c>
      <c r="DJ90" s="133">
        <v>8.248675578227127E-2</v>
      </c>
      <c r="DK90" s="133">
        <v>8.1342341760544556E-2</v>
      </c>
      <c r="DL90" s="133">
        <v>8.5453805626185986E-2</v>
      </c>
      <c r="DM90" s="135">
        <v>8.8407064723108331E-2</v>
      </c>
      <c r="DN90" s="553">
        <v>8.4459492233481814E-2</v>
      </c>
      <c r="DO90" s="133">
        <v>8.4478040761304385E-2</v>
      </c>
      <c r="DP90" s="133">
        <v>8.2973703138991661E-2</v>
      </c>
      <c r="DQ90" s="133">
        <v>8.5466750889691578E-2</v>
      </c>
      <c r="DR90" s="135">
        <v>8.7111353938608138E-2</v>
      </c>
      <c r="DS90" s="553">
        <v>8.5004077616514628E-2</v>
      </c>
      <c r="DT90" s="133">
        <v>9.4023835556339197E-2</v>
      </c>
      <c r="DU90" s="133">
        <v>7.7996164986303018E-2</v>
      </c>
      <c r="DV90" s="133">
        <v>7.9317836999160285E-2</v>
      </c>
      <c r="DW90" s="135">
        <v>8.1175153048524962E-2</v>
      </c>
      <c r="DX90" s="553">
        <v>8.2955528698453129E-2</v>
      </c>
      <c r="DY90" s="133">
        <v>6.4516555825123501E-2</v>
      </c>
      <c r="DZ90" s="133">
        <v>7.2569853177378851E-2</v>
      </c>
      <c r="EA90" s="133">
        <v>7.4028072880582219E-2</v>
      </c>
      <c r="EB90" s="135">
        <v>7.6051142367278057E-2</v>
      </c>
      <c r="EC90" s="553">
        <v>7.1858287396268539E-2</v>
      </c>
      <c r="ED90" s="16"/>
      <c r="EE90" s="132"/>
      <c r="EF90" s="133"/>
      <c r="EG90" s="133"/>
      <c r="EH90" s="133"/>
      <c r="EI90" s="133"/>
      <c r="EJ90" s="133"/>
      <c r="EK90" s="133"/>
      <c r="EL90" s="133"/>
      <c r="EM90" s="133"/>
      <c r="EN90" s="133"/>
      <c r="EO90" s="133"/>
      <c r="EP90" s="133"/>
      <c r="EQ90" s="133"/>
      <c r="ER90" s="135"/>
      <c r="ES90" s="16"/>
      <c r="ET90" s="16"/>
      <c r="EU90" s="16"/>
      <c r="EX90" s="564"/>
      <c r="EY90" s="126"/>
      <c r="EZ90" s="126"/>
      <c r="FA90" s="126"/>
      <c r="FB90" s="126"/>
      <c r="FC90" s="970"/>
      <c r="FD90" s="16"/>
      <c r="FE90"/>
      <c r="FF90"/>
      <c r="FG90"/>
      <c r="FH90"/>
      <c r="FI90"/>
      <c r="FJ90"/>
    </row>
    <row r="91" spans="1:166" ht="11.85" hidden="1" customHeight="1" outlineLevel="1" x14ac:dyDescent="0.2">
      <c r="A91" s="1784" t="s">
        <v>848</v>
      </c>
      <c r="B91" s="1785"/>
      <c r="C91" s="1786"/>
      <c r="D91" s="1668"/>
      <c r="E91" s="1668"/>
      <c r="F91" s="1787"/>
      <c r="G91" s="1785"/>
      <c r="H91" s="1786"/>
      <c r="I91" s="1668"/>
      <c r="J91" s="1668"/>
      <c r="K91" s="1668"/>
      <c r="L91" s="1785"/>
      <c r="M91" s="1668"/>
      <c r="N91" s="1668"/>
      <c r="O91" s="1668"/>
      <c r="P91" s="1787"/>
      <c r="Q91" s="1785"/>
      <c r="R91" s="1668"/>
      <c r="S91" s="1668"/>
      <c r="T91" s="1668"/>
      <c r="U91" s="1668"/>
      <c r="V91" s="1785"/>
      <c r="W91" s="1668"/>
      <c r="X91" s="1668"/>
      <c r="Y91" s="1668"/>
      <c r="Z91" s="1668"/>
      <c r="AA91" s="1785"/>
      <c r="AB91" s="1668"/>
      <c r="AC91" s="1668"/>
      <c r="AD91" s="1668"/>
      <c r="AE91" s="1668"/>
      <c r="AF91" s="1785"/>
      <c r="AG91" s="1668"/>
      <c r="AH91" s="1668"/>
      <c r="AI91" s="1668"/>
      <c r="AJ91" s="1788"/>
      <c r="AK91" s="1787"/>
      <c r="AL91" s="1668"/>
      <c r="AM91" s="1668"/>
      <c r="AN91" s="1668"/>
      <c r="AO91" s="1787"/>
      <c r="AP91" s="1787"/>
      <c r="AQ91" s="1668"/>
      <c r="AR91" s="1668"/>
      <c r="AS91" s="1668"/>
      <c r="AT91" s="1668"/>
      <c r="AU91" s="1786"/>
      <c r="AV91" s="1789"/>
      <c r="AW91" s="1668"/>
      <c r="AX91" s="1668"/>
      <c r="AY91" s="1668"/>
      <c r="AZ91" s="1668"/>
      <c r="BA91" s="1790"/>
      <c r="BB91" s="1668"/>
      <c r="BC91" s="1668">
        <v>3.5999999999999997E-2</v>
      </c>
      <c r="BD91" s="1668"/>
      <c r="BE91" s="1787"/>
      <c r="BF91" s="1788"/>
      <c r="BG91" s="1668"/>
      <c r="BH91" s="1668">
        <v>6.4000000000000001E-2</v>
      </c>
      <c r="BI91" s="1668">
        <v>3.9E-2</v>
      </c>
      <c r="BJ91" s="1787">
        <v>6.7000000000000004E-2</v>
      </c>
      <c r="BK91" s="1788">
        <v>5.8999999999999997E-2</v>
      </c>
      <c r="BL91" s="1668">
        <v>1.0999999999999999E-2</v>
      </c>
      <c r="BM91" s="1668">
        <v>2.8000000000000001E-2</v>
      </c>
      <c r="BN91" s="1668">
        <v>4.9000000000000002E-2</v>
      </c>
      <c r="BO91" s="1787">
        <v>5.7000000000000002E-2</v>
      </c>
      <c r="BP91" s="1788">
        <v>4.2000000000000003E-2</v>
      </c>
      <c r="BQ91" s="1668">
        <v>6.9000000000000006E-2</v>
      </c>
      <c r="BR91" s="1668">
        <v>5.3999999999999999E-2</v>
      </c>
      <c r="BS91" s="1668">
        <v>7.6999999999999999E-2</v>
      </c>
      <c r="BT91" s="1668"/>
      <c r="BU91" s="1790"/>
      <c r="BV91" s="1791"/>
      <c r="BW91" s="1791"/>
      <c r="BX91" s="1791"/>
      <c r="BY91" s="1792"/>
      <c r="BZ91" s="1788"/>
      <c r="CA91" s="1668"/>
      <c r="CB91" s="1668"/>
      <c r="CC91" s="1668"/>
      <c r="CD91" s="1668"/>
      <c r="CE91" s="1785"/>
      <c r="CF91" s="1668">
        <v>9.767276414957049E-2</v>
      </c>
      <c r="CG91" s="1668">
        <v>6.6595047133665153E-2</v>
      </c>
      <c r="CH91" s="1668">
        <v>6.4248929843479408E-2</v>
      </c>
      <c r="CI91" s="1668">
        <v>8.5214071830395977E-2</v>
      </c>
      <c r="CJ91" s="1785">
        <v>7.8747134853557554E-2</v>
      </c>
      <c r="CK91" s="1668">
        <f>(CK10*CK92+CK11*CK93)/(CK10+CK11)</f>
        <v>5.4671340343849108E-2</v>
      </c>
      <c r="CL91" s="1747">
        <v>8.452028332260153E-2</v>
      </c>
      <c r="CM91" s="1747">
        <v>9.0566467195497324E-2</v>
      </c>
      <c r="CN91" s="1747">
        <v>9.7401829831999853E-2</v>
      </c>
      <c r="CO91" s="1785">
        <v>8.252426222048892E-2</v>
      </c>
      <c r="CP91" s="1668">
        <f>(CP10*CP92+CP11*CP93+CP12*CP94)/CP9</f>
        <v>9.3219678080492932E-2</v>
      </c>
      <c r="CQ91" s="738"/>
      <c r="CR91" s="738"/>
      <c r="CS91" s="739"/>
      <c r="CT91" s="736"/>
      <c r="CU91" s="738"/>
      <c r="CV91" s="738"/>
      <c r="CW91" s="738"/>
      <c r="CX91" s="739"/>
      <c r="CY91" s="740"/>
      <c r="CZ91" s="738"/>
      <c r="DA91" s="738"/>
      <c r="DB91" s="738"/>
      <c r="DC91" s="739"/>
      <c r="DD91" s="740"/>
      <c r="DE91" s="738"/>
      <c r="DF91" s="738"/>
      <c r="DG91" s="738"/>
      <c r="DH91" s="739"/>
      <c r="DI91" s="740"/>
      <c r="DJ91" s="738"/>
      <c r="DK91" s="738"/>
      <c r="DL91" s="738"/>
      <c r="DM91" s="739"/>
      <c r="DN91" s="740"/>
      <c r="DO91" s="738"/>
      <c r="DP91" s="738"/>
      <c r="DQ91" s="738"/>
      <c r="DR91" s="739"/>
      <c r="DS91" s="740"/>
      <c r="DT91" s="738"/>
      <c r="DU91" s="738"/>
      <c r="DV91" s="738"/>
      <c r="DW91" s="739"/>
      <c r="DX91" s="740"/>
      <c r="DY91" s="738"/>
      <c r="DZ91" s="738"/>
      <c r="EA91" s="738"/>
      <c r="EB91" s="739"/>
      <c r="EC91" s="740"/>
      <c r="ED91" s="118"/>
      <c r="EE91" s="737"/>
      <c r="EF91" s="738"/>
      <c r="EG91" s="738"/>
      <c r="EH91" s="738"/>
      <c r="EI91" s="738"/>
      <c r="EJ91" s="738"/>
      <c r="EK91" s="738"/>
      <c r="EL91" s="738"/>
      <c r="EM91" s="738"/>
      <c r="EN91" s="738"/>
      <c r="EO91" s="738"/>
      <c r="EP91" s="738"/>
      <c r="EQ91" s="738"/>
      <c r="ER91" s="739"/>
      <c r="ES91" s="118"/>
      <c r="ET91" s="118"/>
      <c r="EU91" s="118"/>
      <c r="EX91" s="735" t="s">
        <v>137</v>
      </c>
      <c r="EY91" s="274">
        <f>CP91</f>
        <v>9.3219678080492932E-2</v>
      </c>
      <c r="EZ91" s="274">
        <v>0</v>
      </c>
      <c r="FA91" s="274"/>
      <c r="FB91" s="274">
        <f>CK91</f>
        <v>5.4671340343849108E-2</v>
      </c>
      <c r="FC91" s="972"/>
      <c r="FD91" s="118"/>
    </row>
    <row r="92" spans="1:166" ht="11.85" hidden="1" customHeight="1" outlineLevel="1" x14ac:dyDescent="0.2">
      <c r="A92" s="1603" t="s">
        <v>814</v>
      </c>
      <c r="B92" s="1785"/>
      <c r="C92" s="1786"/>
      <c r="D92" s="1668"/>
      <c r="E92" s="1668"/>
      <c r="F92" s="1787"/>
      <c r="G92" s="1785"/>
      <c r="H92" s="1786"/>
      <c r="I92" s="1668"/>
      <c r="J92" s="1668"/>
      <c r="K92" s="1668"/>
      <c r="L92" s="1785"/>
      <c r="M92" s="1668"/>
      <c r="N92" s="1668"/>
      <c r="O92" s="1668"/>
      <c r="P92" s="1787"/>
      <c r="Q92" s="1785"/>
      <c r="R92" s="1668"/>
      <c r="S92" s="1668"/>
      <c r="T92" s="1668"/>
      <c r="U92" s="1668"/>
      <c r="V92" s="1785"/>
      <c r="W92" s="1668"/>
      <c r="X92" s="1668"/>
      <c r="Y92" s="1668"/>
      <c r="Z92" s="1668"/>
      <c r="AA92" s="1785"/>
      <c r="AB92" s="1668"/>
      <c r="AC92" s="1668"/>
      <c r="AD92" s="1668"/>
      <c r="AE92" s="1668"/>
      <c r="AF92" s="1785"/>
      <c r="AG92" s="1668"/>
      <c r="AH92" s="1668"/>
      <c r="AI92" s="1668"/>
      <c r="AJ92" s="1788"/>
      <c r="AK92" s="1787"/>
      <c r="AL92" s="1668"/>
      <c r="AM92" s="1668"/>
      <c r="AN92" s="1668"/>
      <c r="AO92" s="1787"/>
      <c r="AP92" s="1787"/>
      <c r="AQ92" s="1668"/>
      <c r="AR92" s="1668"/>
      <c r="AS92" s="1668"/>
      <c r="AT92" s="1668"/>
      <c r="AU92" s="1786"/>
      <c r="AV92" s="1789"/>
      <c r="AW92" s="1668"/>
      <c r="AX92" s="1668"/>
      <c r="AY92" s="1668"/>
      <c r="AZ92" s="1668"/>
      <c r="BA92" s="1790"/>
      <c r="BB92" s="1668"/>
      <c r="BC92" s="1668"/>
      <c r="BD92" s="1668"/>
      <c r="BE92" s="1787"/>
      <c r="BF92" s="1788"/>
      <c r="BG92" s="1668"/>
      <c r="BH92" s="1668"/>
      <c r="BI92" s="1668"/>
      <c r="BJ92" s="1787"/>
      <c r="BK92" s="1788"/>
      <c r="BL92" s="1668"/>
      <c r="BM92" s="1668"/>
      <c r="BN92" s="1668"/>
      <c r="BO92" s="1787"/>
      <c r="BP92" s="1788"/>
      <c r="BQ92" s="1668"/>
      <c r="BR92" s="1668"/>
      <c r="BS92" s="1668"/>
      <c r="BT92" s="1668"/>
      <c r="BU92" s="1790"/>
      <c r="BV92" s="1791"/>
      <c r="BW92" s="1791"/>
      <c r="BX92" s="1791"/>
      <c r="BY92" s="1792"/>
      <c r="BZ92" s="1788"/>
      <c r="CA92" s="1668"/>
      <c r="CB92" s="1668"/>
      <c r="CC92" s="1668"/>
      <c r="CD92" s="1668"/>
      <c r="CE92" s="1785"/>
      <c r="CF92" s="1668"/>
      <c r="CG92" s="1668"/>
      <c r="CH92" s="1668"/>
      <c r="CI92" s="1668"/>
      <c r="CJ92" s="1785"/>
      <c r="CK92" s="1668">
        <v>6.2E-2</v>
      </c>
      <c r="CL92" s="1668"/>
      <c r="CM92" s="1668"/>
      <c r="CN92" s="1668"/>
      <c r="CO92" s="1785"/>
      <c r="CP92" s="1668">
        <v>0.113</v>
      </c>
      <c r="CQ92" s="738"/>
      <c r="CR92" s="738"/>
      <c r="CS92" s="739"/>
      <c r="CT92" s="736"/>
      <c r="CU92" s="738"/>
      <c r="CV92" s="738"/>
      <c r="CW92" s="738"/>
      <c r="CX92" s="739"/>
      <c r="CY92" s="740"/>
      <c r="CZ92" s="738"/>
      <c r="DA92" s="738"/>
      <c r="DB92" s="738"/>
      <c r="DC92" s="739"/>
      <c r="DD92" s="740"/>
      <c r="DE92" s="738"/>
      <c r="DF92" s="738"/>
      <c r="DG92" s="738"/>
      <c r="DH92" s="739"/>
      <c r="DI92" s="740"/>
      <c r="DJ92" s="738"/>
      <c r="DK92" s="738"/>
      <c r="DL92" s="738"/>
      <c r="DM92" s="739"/>
      <c r="DN92" s="740"/>
      <c r="DO92" s="738"/>
      <c r="DP92" s="738"/>
      <c r="DQ92" s="738"/>
      <c r="DR92" s="739"/>
      <c r="DS92" s="740"/>
      <c r="DT92" s="738"/>
      <c r="DU92" s="738"/>
      <c r="DV92" s="738"/>
      <c r="DW92" s="739"/>
      <c r="DX92" s="740"/>
      <c r="DY92" s="738"/>
      <c r="DZ92" s="738"/>
      <c r="EA92" s="738"/>
      <c r="EB92" s="739"/>
      <c r="EC92" s="740"/>
      <c r="ED92" s="118"/>
      <c r="EE92" s="737"/>
      <c r="EF92" s="738"/>
      <c r="EG92" s="738"/>
      <c r="EH92" s="738"/>
      <c r="EI92" s="738"/>
      <c r="EJ92" s="738"/>
      <c r="EK92" s="738"/>
      <c r="EL92" s="738"/>
      <c r="EM92" s="738"/>
      <c r="EN92" s="738"/>
      <c r="EO92" s="738"/>
      <c r="EP92" s="738"/>
      <c r="EQ92" s="738"/>
      <c r="ER92" s="739"/>
      <c r="ES92" s="118"/>
      <c r="ET92" s="118"/>
      <c r="EU92" s="118"/>
      <c r="EX92" s="735"/>
      <c r="EY92" s="274"/>
      <c r="EZ92" s="274"/>
      <c r="FA92" s="274"/>
      <c r="FB92" s="274"/>
      <c r="FC92" s="972"/>
      <c r="FD92" s="118"/>
    </row>
    <row r="93" spans="1:166" ht="11.85" hidden="1" customHeight="1" outlineLevel="1" x14ac:dyDescent="0.2">
      <c r="A93" s="1603" t="s">
        <v>812</v>
      </c>
      <c r="B93" s="1785"/>
      <c r="C93" s="1786"/>
      <c r="D93" s="1668"/>
      <c r="E93" s="1668"/>
      <c r="F93" s="1787"/>
      <c r="G93" s="1785"/>
      <c r="H93" s="1786"/>
      <c r="I93" s="1668"/>
      <c r="J93" s="1668"/>
      <c r="K93" s="1668"/>
      <c r="L93" s="1785"/>
      <c r="M93" s="1668"/>
      <c r="N93" s="1668"/>
      <c r="O93" s="1668"/>
      <c r="P93" s="1787"/>
      <c r="Q93" s="1785"/>
      <c r="R93" s="1668"/>
      <c r="S93" s="1668"/>
      <c r="T93" s="1668"/>
      <c r="U93" s="1668"/>
      <c r="V93" s="1785"/>
      <c r="W93" s="1668"/>
      <c r="X93" s="1668"/>
      <c r="Y93" s="1668"/>
      <c r="Z93" s="1668"/>
      <c r="AA93" s="1785"/>
      <c r="AB93" s="1668"/>
      <c r="AC93" s="1668"/>
      <c r="AD93" s="1668"/>
      <c r="AE93" s="1668"/>
      <c r="AF93" s="1785"/>
      <c r="AG93" s="1668"/>
      <c r="AH93" s="1668"/>
      <c r="AI93" s="1668"/>
      <c r="AJ93" s="1788"/>
      <c r="AK93" s="1787"/>
      <c r="AL93" s="1668"/>
      <c r="AM93" s="1668"/>
      <c r="AN93" s="1668"/>
      <c r="AO93" s="1787"/>
      <c r="AP93" s="1787"/>
      <c r="AQ93" s="1668"/>
      <c r="AR93" s="1668"/>
      <c r="AS93" s="1668"/>
      <c r="AT93" s="1668"/>
      <c r="AU93" s="1786"/>
      <c r="AV93" s="1789"/>
      <c r="AW93" s="1668"/>
      <c r="AX93" s="1668"/>
      <c r="AY93" s="1668"/>
      <c r="AZ93" s="1668"/>
      <c r="BA93" s="1790"/>
      <c r="BB93" s="1668"/>
      <c r="BC93" s="1668"/>
      <c r="BD93" s="1668"/>
      <c r="BE93" s="1787"/>
      <c r="BF93" s="1788"/>
      <c r="BG93" s="1668"/>
      <c r="BH93" s="1668"/>
      <c r="BI93" s="1668"/>
      <c r="BJ93" s="1787"/>
      <c r="BK93" s="1788"/>
      <c r="BL93" s="1668"/>
      <c r="BM93" s="1668"/>
      <c r="BN93" s="1668"/>
      <c r="BO93" s="1787"/>
      <c r="BP93" s="1788"/>
      <c r="BQ93" s="1668"/>
      <c r="BR93" s="1668"/>
      <c r="BS93" s="1668"/>
      <c r="BT93" s="1668"/>
      <c r="BU93" s="1790"/>
      <c r="BV93" s="1791"/>
      <c r="BW93" s="1791"/>
      <c r="BX93" s="1791"/>
      <c r="BY93" s="1792"/>
      <c r="BZ93" s="1788"/>
      <c r="CA93" s="1668"/>
      <c r="CB93" s="1668"/>
      <c r="CC93" s="1668"/>
      <c r="CD93" s="1668"/>
      <c r="CE93" s="1785"/>
      <c r="CF93" s="1668"/>
      <c r="CG93" s="1668"/>
      <c r="CH93" s="1668"/>
      <c r="CI93" s="1668"/>
      <c r="CJ93" s="1785"/>
      <c r="CK93" s="1668">
        <v>3.3000000000000002E-2</v>
      </c>
      <c r="CL93" s="1668"/>
      <c r="CM93" s="1668"/>
      <c r="CN93" s="1668"/>
      <c r="CO93" s="1785"/>
      <c r="CP93" s="1668">
        <v>2.1000000000000001E-2</v>
      </c>
      <c r="CQ93" s="738"/>
      <c r="CR93" s="738"/>
      <c r="CS93" s="739"/>
      <c r="CT93" s="736"/>
      <c r="CU93" s="738"/>
      <c r="CV93" s="738"/>
      <c r="CW93" s="738"/>
      <c r="CX93" s="739"/>
      <c r="CY93" s="740"/>
      <c r="CZ93" s="738"/>
      <c r="DA93" s="738"/>
      <c r="DB93" s="738"/>
      <c r="DC93" s="739"/>
      <c r="DD93" s="740"/>
      <c r="DE93" s="738"/>
      <c r="DF93" s="738"/>
      <c r="DG93" s="738"/>
      <c r="DH93" s="739"/>
      <c r="DI93" s="740"/>
      <c r="DJ93" s="738"/>
      <c r="DK93" s="738"/>
      <c r="DL93" s="738"/>
      <c r="DM93" s="739"/>
      <c r="DN93" s="740"/>
      <c r="DO93" s="738"/>
      <c r="DP93" s="738"/>
      <c r="DQ93" s="738"/>
      <c r="DR93" s="739"/>
      <c r="DS93" s="740"/>
      <c r="DT93" s="738"/>
      <c r="DU93" s="738"/>
      <c r="DV93" s="738"/>
      <c r="DW93" s="739"/>
      <c r="DX93" s="740"/>
      <c r="DY93" s="738"/>
      <c r="DZ93" s="738"/>
      <c r="EA93" s="738"/>
      <c r="EB93" s="739"/>
      <c r="EC93" s="740"/>
      <c r="ED93" s="118"/>
      <c r="EE93" s="737"/>
      <c r="EF93" s="738"/>
      <c r="EG93" s="738"/>
      <c r="EH93" s="738"/>
      <c r="EI93" s="738"/>
      <c r="EJ93" s="738"/>
      <c r="EK93" s="738"/>
      <c r="EL93" s="738"/>
      <c r="EM93" s="738"/>
      <c r="EN93" s="738"/>
      <c r="EO93" s="738"/>
      <c r="EP93" s="738"/>
      <c r="EQ93" s="738"/>
      <c r="ER93" s="739"/>
      <c r="ES93" s="118"/>
      <c r="ET93" s="118"/>
      <c r="EU93" s="118"/>
      <c r="EX93" s="735"/>
      <c r="EY93" s="274"/>
      <c r="EZ93" s="274"/>
      <c r="FA93" s="274"/>
      <c r="FB93" s="274"/>
      <c r="FC93" s="972"/>
      <c r="FD93" s="118"/>
    </row>
    <row r="94" spans="1:166" ht="11.85" hidden="1" customHeight="1" outlineLevel="1" x14ac:dyDescent="0.2">
      <c r="A94" s="1603" t="s">
        <v>813</v>
      </c>
      <c r="B94" s="1785"/>
      <c r="C94" s="1786"/>
      <c r="D94" s="1668"/>
      <c r="E94" s="1668"/>
      <c r="F94" s="1787"/>
      <c r="G94" s="1785"/>
      <c r="H94" s="1786"/>
      <c r="I94" s="1668"/>
      <c r="J94" s="1668"/>
      <c r="K94" s="1668"/>
      <c r="L94" s="1785"/>
      <c r="M94" s="1668"/>
      <c r="N94" s="1668"/>
      <c r="O94" s="1668"/>
      <c r="P94" s="1787"/>
      <c r="Q94" s="1785"/>
      <c r="R94" s="1668"/>
      <c r="S94" s="1668"/>
      <c r="T94" s="1668"/>
      <c r="U94" s="1668"/>
      <c r="V94" s="1785"/>
      <c r="W94" s="1668"/>
      <c r="X94" s="1668"/>
      <c r="Y94" s="1668"/>
      <c r="Z94" s="1668"/>
      <c r="AA94" s="1785"/>
      <c r="AB94" s="1668"/>
      <c r="AC94" s="1668"/>
      <c r="AD94" s="1668"/>
      <c r="AE94" s="1668"/>
      <c r="AF94" s="1785"/>
      <c r="AG94" s="1668"/>
      <c r="AH94" s="1668"/>
      <c r="AI94" s="1668"/>
      <c r="AJ94" s="1788"/>
      <c r="AK94" s="1787"/>
      <c r="AL94" s="1668"/>
      <c r="AM94" s="1668"/>
      <c r="AN94" s="1668"/>
      <c r="AO94" s="1787"/>
      <c r="AP94" s="1787"/>
      <c r="AQ94" s="1668"/>
      <c r="AR94" s="1668"/>
      <c r="AS94" s="1668"/>
      <c r="AT94" s="1668"/>
      <c r="AU94" s="1786"/>
      <c r="AV94" s="1789"/>
      <c r="AW94" s="1668"/>
      <c r="AX94" s="1668"/>
      <c r="AY94" s="1668"/>
      <c r="AZ94" s="1668"/>
      <c r="BA94" s="1790"/>
      <c r="BB94" s="1668"/>
      <c r="BC94" s="1668"/>
      <c r="BD94" s="1668"/>
      <c r="BE94" s="1787"/>
      <c r="BF94" s="1788"/>
      <c r="BG94" s="1668"/>
      <c r="BH94" s="1668"/>
      <c r="BI94" s="1668"/>
      <c r="BJ94" s="1787"/>
      <c r="BK94" s="1788"/>
      <c r="BL94" s="1668"/>
      <c r="BM94" s="1668"/>
      <c r="BN94" s="1668"/>
      <c r="BO94" s="1787"/>
      <c r="BP94" s="1788"/>
      <c r="BQ94" s="1668"/>
      <c r="BR94" s="1668"/>
      <c r="BS94" s="1668"/>
      <c r="BT94" s="1668"/>
      <c r="BU94" s="1790"/>
      <c r="BV94" s="1791"/>
      <c r="BW94" s="1791"/>
      <c r="BX94" s="1791"/>
      <c r="BY94" s="1792"/>
      <c r="BZ94" s="1788"/>
      <c r="CA94" s="1668"/>
      <c r="CB94" s="1668"/>
      <c r="CC94" s="1668"/>
      <c r="CD94" s="1668"/>
      <c r="CE94" s="1785"/>
      <c r="CF94" s="1668"/>
      <c r="CG94" s="1668"/>
      <c r="CH94" s="1668"/>
      <c r="CI94" s="1668"/>
      <c r="CJ94" s="1785"/>
      <c r="CK94" s="1668">
        <v>6.0999999999999999E-2</v>
      </c>
      <c r="CL94" s="1668"/>
      <c r="CM94" s="1668"/>
      <c r="CN94" s="1668"/>
      <c r="CO94" s="1785"/>
      <c r="CP94" s="1668">
        <v>0.109</v>
      </c>
      <c r="CQ94" s="738"/>
      <c r="CR94" s="738"/>
      <c r="CS94" s="739"/>
      <c r="CT94" s="736"/>
      <c r="CU94" s="738"/>
      <c r="CV94" s="738"/>
      <c r="CW94" s="738"/>
      <c r="CX94" s="739"/>
      <c r="CY94" s="740"/>
      <c r="CZ94" s="738"/>
      <c r="DA94" s="738"/>
      <c r="DB94" s="738"/>
      <c r="DC94" s="739"/>
      <c r="DD94" s="740"/>
      <c r="DE94" s="738"/>
      <c r="DF94" s="738"/>
      <c r="DG94" s="738"/>
      <c r="DH94" s="739"/>
      <c r="DI94" s="740"/>
      <c r="DJ94" s="738"/>
      <c r="DK94" s="738"/>
      <c r="DL94" s="738"/>
      <c r="DM94" s="739"/>
      <c r="DN94" s="740"/>
      <c r="DO94" s="738"/>
      <c r="DP94" s="738"/>
      <c r="DQ94" s="738"/>
      <c r="DR94" s="739"/>
      <c r="DS94" s="740"/>
      <c r="DT94" s="738"/>
      <c r="DU94" s="738"/>
      <c r="DV94" s="738"/>
      <c r="DW94" s="739"/>
      <c r="DX94" s="740"/>
      <c r="DY94" s="738"/>
      <c r="DZ94" s="738"/>
      <c r="EA94" s="738"/>
      <c r="EB94" s="739"/>
      <c r="EC94" s="740"/>
      <c r="ED94" s="118"/>
      <c r="EE94" s="737"/>
      <c r="EF94" s="738"/>
      <c r="EG94" s="738"/>
      <c r="EH94" s="738"/>
      <c r="EI94" s="738"/>
      <c r="EJ94" s="738"/>
      <c r="EK94" s="738"/>
      <c r="EL94" s="738"/>
      <c r="EM94" s="738"/>
      <c r="EN94" s="738"/>
      <c r="EO94" s="738"/>
      <c r="EP94" s="738"/>
      <c r="EQ94" s="738"/>
      <c r="ER94" s="739"/>
      <c r="ES94" s="118"/>
      <c r="ET94" s="118"/>
      <c r="EU94" s="118"/>
      <c r="EX94" s="735"/>
      <c r="EY94" s="274"/>
      <c r="EZ94" s="274"/>
      <c r="FA94" s="274"/>
      <c r="FB94" s="274"/>
      <c r="FC94" s="972"/>
      <c r="FD94" s="118"/>
    </row>
    <row r="95" spans="1:166" ht="11.25" customHeight="1" collapsed="1" x14ac:dyDescent="0.2">
      <c r="A95" s="129" t="s">
        <v>169</v>
      </c>
      <c r="B95" s="134"/>
      <c r="C95" s="132"/>
      <c r="D95" s="133"/>
      <c r="E95" s="133"/>
      <c r="F95" s="135"/>
      <c r="G95" s="134">
        <f>G15/B15-1</f>
        <v>0.10893032384690882</v>
      </c>
      <c r="H95" s="132"/>
      <c r="I95" s="133"/>
      <c r="J95" s="133"/>
      <c r="K95" s="133"/>
      <c r="L95" s="134">
        <f>L15/G15-1</f>
        <v>3.8938053097345104E-2</v>
      </c>
      <c r="M95" s="133"/>
      <c r="N95" s="133"/>
      <c r="O95" s="133"/>
      <c r="P95" s="135"/>
      <c r="Q95" s="134">
        <f>Q15/L15-1</f>
        <v>8.6882453151618355E-2</v>
      </c>
      <c r="R95" s="133"/>
      <c r="S95" s="133"/>
      <c r="T95" s="133"/>
      <c r="U95" s="133"/>
      <c r="V95" s="134">
        <f t="shared" ref="V95:AU95" si="505">V15/Q15-1</f>
        <v>0.10266457680250785</v>
      </c>
      <c r="W95" s="133">
        <f t="shared" si="505"/>
        <v>7.1428571428571397E-2</v>
      </c>
      <c r="X95" s="133">
        <f t="shared" si="505"/>
        <v>7.0621468926553632E-2</v>
      </c>
      <c r="Y95" s="133">
        <f t="shared" si="505"/>
        <v>8.5545722713864292E-2</v>
      </c>
      <c r="Z95" s="133">
        <f t="shared" si="505"/>
        <v>8.2417582417582347E-2</v>
      </c>
      <c r="AA95" s="134">
        <f t="shared" si="505"/>
        <v>7.7469793887704252E-2</v>
      </c>
      <c r="AB95" s="133">
        <f t="shared" si="505"/>
        <v>8.0000000000000071E-2</v>
      </c>
      <c r="AC95" s="133">
        <f t="shared" si="505"/>
        <v>0.10026385224274414</v>
      </c>
      <c r="AD95" s="133">
        <f t="shared" si="505"/>
        <v>9.5108695652173836E-2</v>
      </c>
      <c r="AE95" s="133">
        <f t="shared" si="505"/>
        <v>9.898477157360408E-2</v>
      </c>
      <c r="AF95" s="134">
        <f t="shared" si="505"/>
        <v>9.3667546174142524E-2</v>
      </c>
      <c r="AG95" s="133">
        <f t="shared" si="505"/>
        <v>8.8888888888888795E-2</v>
      </c>
      <c r="AH95" s="133">
        <f t="shared" si="505"/>
        <v>7.4340527577937632E-2</v>
      </c>
      <c r="AI95" s="133">
        <f t="shared" si="505"/>
        <v>8.1885856079404462E-2</v>
      </c>
      <c r="AJ95" s="553">
        <f t="shared" si="505"/>
        <v>8.7759815242494321E-2</v>
      </c>
      <c r="AK95" s="135">
        <f t="shared" si="505"/>
        <v>8.3232810615198938E-2</v>
      </c>
      <c r="AL95" s="133">
        <f t="shared" si="505"/>
        <v>0.12698412698412698</v>
      </c>
      <c r="AM95" s="133">
        <f t="shared" si="505"/>
        <v>5.5803571428571397E-2</v>
      </c>
      <c r="AN95" s="133">
        <f t="shared" si="505"/>
        <v>2.9816513761467878E-2</v>
      </c>
      <c r="AO95" s="135">
        <f t="shared" si="505"/>
        <v>-1.995753715498938E-2</v>
      </c>
      <c r="AP95" s="135">
        <f t="shared" si="505"/>
        <v>4.7104677060133548E-2</v>
      </c>
      <c r="AQ95" s="133">
        <f t="shared" si="505"/>
        <v>-5.6136820925553277E-2</v>
      </c>
      <c r="AR95" s="133">
        <f t="shared" si="505"/>
        <v>8.2452431289639083E-3</v>
      </c>
      <c r="AS95" s="133">
        <f t="shared" si="505"/>
        <v>-2.182628062360803E-2</v>
      </c>
      <c r="AT95" s="133">
        <f t="shared" si="505"/>
        <v>-1.6247833622183738E-2</v>
      </c>
      <c r="AU95" s="132">
        <f t="shared" si="505"/>
        <v>-2.1961076252259737E-2</v>
      </c>
      <c r="AV95" s="280"/>
      <c r="AW95" s="133">
        <f>AW15/AN15-1</f>
        <v>-2.182628062360803E-2</v>
      </c>
      <c r="AX95" s="133">
        <f>AX15/AO15-1</f>
        <v>-1.6247833622183738E-2</v>
      </c>
      <c r="AY95" s="133">
        <f>AY15/AQ15-1</f>
        <v>-8.3777446173523784E-2</v>
      </c>
      <c r="AZ95" s="133">
        <f>AZ15/AR15-1</f>
        <v>-0.12686097714405531</v>
      </c>
      <c r="BA95" s="581">
        <f>BA15/SUM(AN15:AO15,AQ15:AR15)-1</f>
        <v>-6.3072282667241186E-2</v>
      </c>
      <c r="BB95" s="133">
        <f t="shared" ref="BB95:BU95" si="506">BB15/AW15-1</f>
        <v>-0.10632969034608375</v>
      </c>
      <c r="BC95" s="133">
        <f t="shared" si="506"/>
        <v>-7.7295749834838223E-2</v>
      </c>
      <c r="BD95" s="133">
        <f t="shared" si="506"/>
        <v>-1.6286644951140072E-2</v>
      </c>
      <c r="BE95" s="135">
        <f t="shared" si="506"/>
        <v>-2.8818443804034533E-2</v>
      </c>
      <c r="BF95" s="553">
        <f t="shared" si="506"/>
        <v>-5.7947686116700314E-2</v>
      </c>
      <c r="BG95" s="133">
        <f t="shared" si="506"/>
        <v>9.4267515923567302E-3</v>
      </c>
      <c r="BH95" s="133">
        <f t="shared" si="506"/>
        <v>-0.17446300715990459</v>
      </c>
      <c r="BI95" s="133">
        <f t="shared" si="506"/>
        <v>-0.42147587511825924</v>
      </c>
      <c r="BJ95" s="135">
        <f t="shared" si="506"/>
        <v>-0.54920870425321455</v>
      </c>
      <c r="BK95" s="553">
        <f t="shared" si="506"/>
        <v>-0.28662964545066205</v>
      </c>
      <c r="BL95" s="133">
        <f t="shared" si="506"/>
        <v>-0.69434628975265023</v>
      </c>
      <c r="BM95" s="133">
        <f t="shared" si="506"/>
        <v>-0.84764382769586577</v>
      </c>
      <c r="BN95" s="133">
        <f t="shared" si="506"/>
        <v>-0.88961569910057237</v>
      </c>
      <c r="BO95" s="135">
        <f t="shared" si="506"/>
        <v>-0.87986834887547993</v>
      </c>
      <c r="BP95" s="553">
        <f t="shared" si="506"/>
        <v>-0.80949529512403762</v>
      </c>
      <c r="BQ95" s="133">
        <f t="shared" si="506"/>
        <v>-0.84723369116432701</v>
      </c>
      <c r="BR95" s="133">
        <f t="shared" si="506"/>
        <v>-0.6527514231499052</v>
      </c>
      <c r="BS95" s="133">
        <f t="shared" si="506"/>
        <v>-0.30000000000000004</v>
      </c>
      <c r="BT95" s="133">
        <f t="shared" si="506"/>
        <v>-0.13698630136986301</v>
      </c>
      <c r="BU95" s="581">
        <f t="shared" si="506"/>
        <v>-0.66502020655590488</v>
      </c>
      <c r="BV95" s="1282"/>
      <c r="BW95" s="1282"/>
      <c r="BX95" s="1282"/>
      <c r="BY95" s="1283"/>
      <c r="BZ95" s="553"/>
      <c r="CA95" s="133">
        <f>CA18/BV18-1</f>
        <v>-1.8471212418942784E-2</v>
      </c>
      <c r="CB95" s="133">
        <f>CB18/BW18-1</f>
        <v>-2.3391812865497075E-2</v>
      </c>
      <c r="CC95" s="133">
        <f>CC18/BX18-1</f>
        <v>-9.3189368770764114E-2</v>
      </c>
      <c r="CD95" s="133">
        <f>CD18/BY18-1</f>
        <v>-2.6449465755824186E-2</v>
      </c>
      <c r="CE95" s="134">
        <f>CE18/BZ18-1</f>
        <v>-4.1622481442205594E-2</v>
      </c>
      <c r="CF95" s="133">
        <f t="shared" ref="CF95:DK95" si="507">CF15/CA15-1</f>
        <v>0.10615555555555556</v>
      </c>
      <c r="CG95" s="133">
        <f t="shared" si="507"/>
        <v>4.2000000000000037E-2</v>
      </c>
      <c r="CH95" s="133">
        <f t="shared" si="507"/>
        <v>4.4999999999999929E-2</v>
      </c>
      <c r="CI95" s="133">
        <f t="shared" si="507"/>
        <v>6.800000000000006E-2</v>
      </c>
      <c r="CJ95" s="134">
        <f t="shared" si="507"/>
        <v>6.2113675108707467E-2</v>
      </c>
      <c r="CK95" s="133">
        <f t="shared" si="507"/>
        <v>8.79120879120876E-3</v>
      </c>
      <c r="CL95" s="133">
        <f t="shared" si="507"/>
        <v>2.0000000000000018E-2</v>
      </c>
      <c r="CM95" s="133">
        <f t="shared" si="507"/>
        <v>2.0000000000000018E-2</v>
      </c>
      <c r="CN95" s="133">
        <f t="shared" si="507"/>
        <v>2.0000000000000018E-2</v>
      </c>
      <c r="CO95" s="134">
        <f t="shared" si="507"/>
        <v>1.7602332052340852E-2</v>
      </c>
      <c r="CP95" s="133">
        <f t="shared" si="507"/>
        <v>2.0000000000000018E-2</v>
      </c>
      <c r="CQ95" s="133">
        <f t="shared" si="507"/>
        <v>2.0000000000000018E-2</v>
      </c>
      <c r="CR95" s="133">
        <f t="shared" si="507"/>
        <v>2.0000000000000018E-2</v>
      </c>
      <c r="CS95" s="135">
        <f t="shared" si="507"/>
        <v>1.9999999999999796E-2</v>
      </c>
      <c r="CT95" s="134">
        <f t="shared" si="507"/>
        <v>2.0000000000000018E-2</v>
      </c>
      <c r="CU95" s="133">
        <f t="shared" si="507"/>
        <v>2.0000000000000018E-2</v>
      </c>
      <c r="CV95" s="133">
        <f t="shared" si="507"/>
        <v>2.000000000000024E-2</v>
      </c>
      <c r="CW95" s="133">
        <f t="shared" si="507"/>
        <v>2.0000000000000018E-2</v>
      </c>
      <c r="CX95" s="135">
        <f t="shared" si="507"/>
        <v>2.0000000000000018E-2</v>
      </c>
      <c r="CY95" s="553">
        <f t="shared" si="507"/>
        <v>2.0000000000000018E-2</v>
      </c>
      <c r="CZ95" s="133">
        <f t="shared" si="507"/>
        <v>3.1333333333333435E-2</v>
      </c>
      <c r="DA95" s="133">
        <f t="shared" si="507"/>
        <v>2.0000000000000018E-2</v>
      </c>
      <c r="DB95" s="133">
        <f t="shared" si="507"/>
        <v>2.0000000000000018E-2</v>
      </c>
      <c r="DC95" s="135">
        <f t="shared" si="507"/>
        <v>2.0000000000000018E-2</v>
      </c>
      <c r="DD95" s="553">
        <f t="shared" si="507"/>
        <v>2.2403317317168492E-2</v>
      </c>
      <c r="DE95" s="133">
        <f t="shared" si="507"/>
        <v>8.79120879120876E-3</v>
      </c>
      <c r="DF95" s="133">
        <f t="shared" si="507"/>
        <v>2.0000000000000018E-2</v>
      </c>
      <c r="DG95" s="133">
        <f t="shared" si="507"/>
        <v>1.9999999999999796E-2</v>
      </c>
      <c r="DH95" s="135">
        <f t="shared" si="507"/>
        <v>2.0000000000000018E-2</v>
      </c>
      <c r="DI95" s="553">
        <f t="shared" si="507"/>
        <v>1.760233205234063E-2</v>
      </c>
      <c r="DJ95" s="133">
        <f t="shared" si="507"/>
        <v>2.0000000000000018E-2</v>
      </c>
      <c r="DK95" s="133">
        <f t="shared" si="507"/>
        <v>2.0000000000000018E-2</v>
      </c>
      <c r="DL95" s="133">
        <f t="shared" ref="DL95:DX95" si="508">DL15/DG15-1</f>
        <v>2.0000000000000018E-2</v>
      </c>
      <c r="DM95" s="135">
        <f t="shared" si="508"/>
        <v>2.0000000000000018E-2</v>
      </c>
      <c r="DN95" s="553">
        <f t="shared" si="508"/>
        <v>2.0000000000000018E-2</v>
      </c>
      <c r="DO95" s="133">
        <f t="shared" si="508"/>
        <v>2.0000000000000018E-2</v>
      </c>
      <c r="DP95" s="133">
        <f t="shared" si="508"/>
        <v>1.9999999999999796E-2</v>
      </c>
      <c r="DQ95" s="133">
        <f t="shared" si="508"/>
        <v>2.0000000000000018E-2</v>
      </c>
      <c r="DR95" s="135">
        <f t="shared" si="508"/>
        <v>2.0000000000000018E-2</v>
      </c>
      <c r="DS95" s="553">
        <f t="shared" si="508"/>
        <v>1.9999999999999796E-2</v>
      </c>
      <c r="DT95" s="133">
        <f t="shared" si="508"/>
        <v>3.1333333333333435E-2</v>
      </c>
      <c r="DU95" s="133">
        <f t="shared" si="508"/>
        <v>2.0000000000000018E-2</v>
      </c>
      <c r="DV95" s="133">
        <f t="shared" si="508"/>
        <v>2.0000000000000018E-2</v>
      </c>
      <c r="DW95" s="135">
        <f t="shared" si="508"/>
        <v>2.0000000000000018E-2</v>
      </c>
      <c r="DX95" s="553">
        <f t="shared" si="508"/>
        <v>2.2403317317168492E-2</v>
      </c>
      <c r="DY95" s="133">
        <f t="shared" ref="DY95" si="509">DY15/DT15-1</f>
        <v>8.791208791208982E-3</v>
      </c>
      <c r="DZ95" s="133">
        <f t="shared" ref="DZ95" si="510">DZ15/DU15-1</f>
        <v>2.0000000000000018E-2</v>
      </c>
      <c r="EA95" s="133">
        <f t="shared" ref="EA95" si="511">EA15/DV15-1</f>
        <v>2.0000000000000018E-2</v>
      </c>
      <c r="EB95" s="135">
        <f t="shared" ref="EB95" si="512">EB15/DW15-1</f>
        <v>2.000000000000024E-2</v>
      </c>
      <c r="EC95" s="553">
        <f t="shared" ref="EC95" si="513">EC15/DX15-1</f>
        <v>1.7602332052341074E-2</v>
      </c>
      <c r="ED95" s="16"/>
      <c r="EE95" s="132"/>
      <c r="EF95" s="133">
        <f>EF15/EE15-1</f>
        <v>8.7165408373369946E-2</v>
      </c>
      <c r="EG95" s="133">
        <f>EG15/EF15-1</f>
        <v>8.9015151515151603E-2</v>
      </c>
      <c r="EH95" s="133">
        <f>EH15/EG15-1</f>
        <v>8.8115942028985428E-2</v>
      </c>
      <c r="EI95" s="133">
        <f>EI15/EH15-1</f>
        <v>-1.0868407032498695E-2</v>
      </c>
      <c r="EJ95" s="133">
        <f>EJ15/EI15-1</f>
        <v>-6.3072282667241075E-2</v>
      </c>
      <c r="EK95" s="133">
        <f>BF95</f>
        <v>-5.7947686116700314E-2</v>
      </c>
      <c r="EL95" s="133">
        <f>BK95</f>
        <v>-0.28662964545066205</v>
      </c>
      <c r="EM95" s="133">
        <f>BP95</f>
        <v>-0.80949529512403762</v>
      </c>
      <c r="EN95" s="133">
        <f>BU95</f>
        <v>-0.66502020655590488</v>
      </c>
      <c r="EO95" s="133">
        <f t="shared" si="264"/>
        <v>-4.1622481442205594E-2</v>
      </c>
      <c r="EP95" s="133">
        <f t="shared" ref="EP95:EP113" si="514">CJ95</f>
        <v>6.2113675108707467E-2</v>
      </c>
      <c r="EQ95" s="133">
        <f t="shared" ref="EQ95:EQ113" si="515">CO95</f>
        <v>1.7602332052340852E-2</v>
      </c>
      <c r="ER95" s="135">
        <f t="shared" ref="ER95:ER111" si="516">CT95</f>
        <v>2.0000000000000018E-2</v>
      </c>
      <c r="ES95" s="16"/>
      <c r="ET95" s="16"/>
      <c r="EU95" s="16"/>
      <c r="EX95" s="564" t="s">
        <v>169</v>
      </c>
      <c r="EY95" s="126">
        <f t="shared" ref="EY95:EY109" si="517">CP95</f>
        <v>2.0000000000000018E-2</v>
      </c>
      <c r="EZ95" s="126">
        <v>2.0000000000000018E-2</v>
      </c>
      <c r="FA95" s="126">
        <f>EY95-EZ95</f>
        <v>0</v>
      </c>
      <c r="FB95" s="126">
        <f t="shared" ref="FB95:FB109" si="518">CK95</f>
        <v>8.79120879120876E-3</v>
      </c>
      <c r="FC95" s="970"/>
      <c r="FD95" s="16"/>
    </row>
    <row r="96" spans="1:166" ht="11.85" hidden="1" customHeight="1" outlineLevel="1" x14ac:dyDescent="0.2">
      <c r="A96" s="129" t="s">
        <v>170</v>
      </c>
      <c r="B96" s="134"/>
      <c r="C96" s="132"/>
      <c r="D96" s="133"/>
      <c r="E96" s="133"/>
      <c r="F96" s="135"/>
      <c r="G96" s="134" t="e">
        <f>#REF!/#REF!-1</f>
        <v>#REF!</v>
      </c>
      <c r="H96" s="132"/>
      <c r="I96" s="133"/>
      <c r="J96" s="133"/>
      <c r="K96" s="133"/>
      <c r="L96" s="134" t="e">
        <f>#REF!/#REF!-1</f>
        <v>#REF!</v>
      </c>
      <c r="M96" s="133"/>
      <c r="N96" s="133"/>
      <c r="O96" s="133"/>
      <c r="P96" s="135"/>
      <c r="Q96" s="134" t="e">
        <f>#REF!/#REF!-1</f>
        <v>#REF!</v>
      </c>
      <c r="R96" s="133"/>
      <c r="S96" s="133"/>
      <c r="T96" s="133"/>
      <c r="U96" s="133"/>
      <c r="V96" s="134" t="e">
        <f>#REF!/#REF!-1</f>
        <v>#REF!</v>
      </c>
      <c r="W96" s="133" t="e">
        <f>#REF!/#REF!-1</f>
        <v>#REF!</v>
      </c>
      <c r="X96" s="133" t="e">
        <f>#REF!/#REF!-1</f>
        <v>#REF!</v>
      </c>
      <c r="Y96" s="133" t="e">
        <f>#REF!/#REF!-1</f>
        <v>#REF!</v>
      </c>
      <c r="Z96" s="133" t="e">
        <f>#REF!/#REF!-1</f>
        <v>#REF!</v>
      </c>
      <c r="AA96" s="134" t="e">
        <f>#REF!/#REF!-1</f>
        <v>#REF!</v>
      </c>
      <c r="AB96" s="133" t="e">
        <f>#REF!/#REF!-1</f>
        <v>#REF!</v>
      </c>
      <c r="AC96" s="133" t="e">
        <f>#REF!/#REF!-1</f>
        <v>#REF!</v>
      </c>
      <c r="AD96" s="133" t="e">
        <f>#REF!/#REF!-1</f>
        <v>#REF!</v>
      </c>
      <c r="AE96" s="133" t="e">
        <f>#REF!/#REF!-1</f>
        <v>#REF!</v>
      </c>
      <c r="AF96" s="134" t="e">
        <f>#REF!/#REF!-1</f>
        <v>#REF!</v>
      </c>
      <c r="AG96" s="133" t="e">
        <f>#REF!/#REF!-1</f>
        <v>#REF!</v>
      </c>
      <c r="AH96" s="133" t="e">
        <f>#REF!/#REF!-1</f>
        <v>#REF!</v>
      </c>
      <c r="AI96" s="133" t="e">
        <f>#REF!/#REF!-1</f>
        <v>#REF!</v>
      </c>
      <c r="AJ96" s="553" t="e">
        <f>#REF!/#REF!-1</f>
        <v>#REF!</v>
      </c>
      <c r="AK96" s="135" t="e">
        <f>#REF!/#REF!-1</f>
        <v>#REF!</v>
      </c>
      <c r="AL96" s="133" t="e">
        <f>#REF!/#REF!-1</f>
        <v>#REF!</v>
      </c>
      <c r="AM96" s="133" t="e">
        <f>#REF!/#REF!-1</f>
        <v>#REF!</v>
      </c>
      <c r="AN96" s="133" t="e">
        <f>#REF!/#REF!-1</f>
        <v>#REF!</v>
      </c>
      <c r="AO96" s="135" t="e">
        <f>#REF!/#REF!-1</f>
        <v>#REF!</v>
      </c>
      <c r="AP96" s="135" t="e">
        <f>#REF!/#REF!-1</f>
        <v>#REF!</v>
      </c>
      <c r="AQ96" s="133" t="e">
        <f>#REF!/#REF!-1</f>
        <v>#REF!</v>
      </c>
      <c r="AR96" s="133" t="e">
        <f>#REF!/#REF!-1</f>
        <v>#REF!</v>
      </c>
      <c r="AS96" s="133" t="e">
        <f>#REF!/#REF!-1</f>
        <v>#REF!</v>
      </c>
      <c r="AT96" s="133" t="e">
        <f>#REF!/#REF!-1</f>
        <v>#REF!</v>
      </c>
      <c r="AU96" s="132" t="e">
        <f>#REF!/#REF!-1</f>
        <v>#REF!</v>
      </c>
      <c r="AV96" s="280"/>
      <c r="AW96" s="133" t="e">
        <f>#REF!/#REF!-1</f>
        <v>#REF!</v>
      </c>
      <c r="AX96" s="133" t="e">
        <f>#REF!/#REF!-1</f>
        <v>#REF!</v>
      </c>
      <c r="AY96" s="133" t="e">
        <f>#REF!/#REF!-1</f>
        <v>#REF!</v>
      </c>
      <c r="AZ96" s="133"/>
      <c r="BA96" s="581"/>
      <c r="BB96" s="133"/>
      <c r="BC96" s="133"/>
      <c r="BD96" s="133"/>
      <c r="BE96" s="135"/>
      <c r="BF96" s="553"/>
      <c r="BG96" s="133"/>
      <c r="BH96" s="133"/>
      <c r="BI96" s="133"/>
      <c r="BJ96" s="135"/>
      <c r="BK96" s="553"/>
      <c r="BL96" s="133"/>
      <c r="BM96" s="133"/>
      <c r="BN96" s="133"/>
      <c r="BO96" s="135"/>
      <c r="BP96" s="553"/>
      <c r="BQ96" s="133"/>
      <c r="BR96" s="133"/>
      <c r="BS96" s="133"/>
      <c r="BT96" s="133"/>
      <c r="BU96" s="581"/>
      <c r="BV96" s="1282"/>
      <c r="BW96" s="1282"/>
      <c r="BX96" s="1282"/>
      <c r="BY96" s="1283"/>
      <c r="BZ96" s="553"/>
      <c r="CA96" s="133"/>
      <c r="CB96" s="133"/>
      <c r="CC96" s="133"/>
      <c r="CD96" s="133"/>
      <c r="CE96" s="134"/>
      <c r="CF96" s="133"/>
      <c r="CG96" s="133"/>
      <c r="CH96" s="133"/>
      <c r="CI96" s="133"/>
      <c r="CJ96" s="134"/>
      <c r="CK96" s="133"/>
      <c r="CL96" s="133"/>
      <c r="CM96" s="133"/>
      <c r="CN96" s="133"/>
      <c r="CO96" s="134"/>
      <c r="CP96" s="133"/>
      <c r="CQ96" s="133"/>
      <c r="CR96" s="133"/>
      <c r="CS96" s="135"/>
      <c r="CT96" s="553"/>
      <c r="CU96" s="133"/>
      <c r="CV96" s="133"/>
      <c r="CW96" s="133"/>
      <c r="CX96" s="135"/>
      <c r="CY96" s="553"/>
      <c r="CZ96" s="133"/>
      <c r="DA96" s="133"/>
      <c r="DB96" s="133"/>
      <c r="DC96" s="135"/>
      <c r="DD96" s="553"/>
      <c r="DE96" s="133"/>
      <c r="DF96" s="133"/>
      <c r="DG96" s="133"/>
      <c r="DH96" s="135"/>
      <c r="DI96" s="553"/>
      <c r="DJ96" s="133"/>
      <c r="DK96" s="133"/>
      <c r="DL96" s="133"/>
      <c r="DM96" s="135"/>
      <c r="DN96" s="553"/>
      <c r="DO96" s="133"/>
      <c r="DP96" s="133"/>
      <c r="DQ96" s="133"/>
      <c r="DR96" s="135"/>
      <c r="DS96" s="553"/>
      <c r="DT96" s="133"/>
      <c r="DU96" s="133"/>
      <c r="DV96" s="133"/>
      <c r="DW96" s="135"/>
      <c r="DX96" s="553"/>
      <c r="DY96" s="133"/>
      <c r="DZ96" s="133"/>
      <c r="EA96" s="133"/>
      <c r="EB96" s="135"/>
      <c r="EC96" s="553"/>
      <c r="ED96" s="16"/>
      <c r="EE96" s="132"/>
      <c r="EF96" s="133"/>
      <c r="EG96" s="133"/>
      <c r="EH96" s="133"/>
      <c r="EI96" s="133"/>
      <c r="EJ96" s="133"/>
      <c r="EK96" s="133">
        <f>BF96</f>
        <v>0</v>
      </c>
      <c r="EL96" s="133">
        <f>BK96</f>
        <v>0</v>
      </c>
      <c r="EM96" s="133">
        <f>BP96</f>
        <v>0</v>
      </c>
      <c r="EN96" s="133">
        <f>BU96</f>
        <v>0</v>
      </c>
      <c r="EO96" s="133">
        <f t="shared" si="264"/>
        <v>0</v>
      </c>
      <c r="EP96" s="133">
        <f t="shared" si="514"/>
        <v>0</v>
      </c>
      <c r="EQ96" s="133">
        <f t="shared" si="515"/>
        <v>0</v>
      </c>
      <c r="ER96" s="135">
        <f t="shared" si="516"/>
        <v>0</v>
      </c>
      <c r="ES96" s="16"/>
      <c r="ET96" s="16"/>
      <c r="EU96" s="16"/>
      <c r="EX96" s="564" t="s">
        <v>170</v>
      </c>
      <c r="EY96" s="126">
        <f t="shared" si="517"/>
        <v>0</v>
      </c>
      <c r="EZ96" s="126">
        <v>0</v>
      </c>
      <c r="FA96" s="126"/>
      <c r="FB96" s="126">
        <f t="shared" si="518"/>
        <v>0</v>
      </c>
      <c r="FC96" s="970"/>
      <c r="FD96" s="16"/>
    </row>
    <row r="97" spans="1:166" ht="11.85" hidden="1" customHeight="1" outlineLevel="1" x14ac:dyDescent="0.2">
      <c r="A97" s="129" t="s">
        <v>251</v>
      </c>
      <c r="B97" s="134"/>
      <c r="C97" s="132"/>
      <c r="D97" s="133"/>
      <c r="E97" s="133"/>
      <c r="F97" s="135"/>
      <c r="G97" s="134" t="e">
        <f>#REF!/#REF!-1</f>
        <v>#REF!</v>
      </c>
      <c r="H97" s="132"/>
      <c r="I97" s="133"/>
      <c r="J97" s="133"/>
      <c r="K97" s="133"/>
      <c r="L97" s="134" t="e">
        <f>#REF!/#REF!-1</f>
        <v>#REF!</v>
      </c>
      <c r="M97" s="133"/>
      <c r="N97" s="133"/>
      <c r="O97" s="133"/>
      <c r="P97" s="135"/>
      <c r="Q97" s="134" t="e">
        <f>#REF!/#REF!-1</f>
        <v>#REF!</v>
      </c>
      <c r="R97" s="133"/>
      <c r="S97" s="133"/>
      <c r="T97" s="133"/>
      <c r="U97" s="133"/>
      <c r="V97" s="134" t="e">
        <f>#REF!/#REF!-1</f>
        <v>#REF!</v>
      </c>
      <c r="W97" s="133" t="e">
        <f>#REF!/#REF!-1</f>
        <v>#REF!</v>
      </c>
      <c r="X97" s="133" t="e">
        <f>#REF!/#REF!-1</f>
        <v>#REF!</v>
      </c>
      <c r="Y97" s="133" t="e">
        <f>#REF!/#REF!-1</f>
        <v>#REF!</v>
      </c>
      <c r="Z97" s="133" t="e">
        <f>#REF!/#REF!-1</f>
        <v>#REF!</v>
      </c>
      <c r="AA97" s="134" t="e">
        <f>#REF!/#REF!-1</f>
        <v>#REF!</v>
      </c>
      <c r="AB97" s="133" t="e">
        <f>#REF!/#REF!-1</f>
        <v>#REF!</v>
      </c>
      <c r="AC97" s="133" t="e">
        <f>#REF!/#REF!-1</f>
        <v>#REF!</v>
      </c>
      <c r="AD97" s="133" t="e">
        <f>#REF!/#REF!-1</f>
        <v>#REF!</v>
      </c>
      <c r="AE97" s="133" t="e">
        <f>#REF!/#REF!-1</f>
        <v>#REF!</v>
      </c>
      <c r="AF97" s="134" t="e">
        <f>#REF!/#REF!-1</f>
        <v>#REF!</v>
      </c>
      <c r="AG97" s="133" t="e">
        <f>#REF!/#REF!-1</f>
        <v>#REF!</v>
      </c>
      <c r="AH97" s="133" t="e">
        <f>#REF!/#REF!-1</f>
        <v>#REF!</v>
      </c>
      <c r="AI97" s="133" t="e">
        <f>#REF!/#REF!-1</f>
        <v>#REF!</v>
      </c>
      <c r="AJ97" s="553" t="e">
        <f>#REF!/#REF!-1</f>
        <v>#REF!</v>
      </c>
      <c r="AK97" s="135" t="e">
        <f>#REF!/#REF!-1</f>
        <v>#REF!</v>
      </c>
      <c r="AL97" s="133" t="e">
        <f>#REF!/#REF!-1</f>
        <v>#REF!</v>
      </c>
      <c r="AM97" s="133" t="e">
        <f>#REF!/#REF!-1</f>
        <v>#REF!</v>
      </c>
      <c r="AN97" s="133" t="e">
        <f>#REF!/#REF!-1</f>
        <v>#REF!</v>
      </c>
      <c r="AO97" s="135" t="e">
        <f>#REF!/#REF!-1</f>
        <v>#REF!</v>
      </c>
      <c r="AP97" s="135" t="e">
        <f>#REF!/#REF!-1</f>
        <v>#REF!</v>
      </c>
      <c r="AQ97" s="133" t="e">
        <f>#REF!/#REF!-1</f>
        <v>#REF!</v>
      </c>
      <c r="AR97" s="133" t="e">
        <f>#REF!/#REF!-1</f>
        <v>#REF!</v>
      </c>
      <c r="AS97" s="133" t="e">
        <f>#REF!/#REF!-1</f>
        <v>#REF!</v>
      </c>
      <c r="AT97" s="133" t="e">
        <f>#REF!/#REF!-1</f>
        <v>#REF!</v>
      </c>
      <c r="AU97" s="132" t="e">
        <f>#REF!/#REF!-1</f>
        <v>#REF!</v>
      </c>
      <c r="AV97" s="280"/>
      <c r="AW97" s="133" t="e">
        <f>#REF!/#REF!-1</f>
        <v>#REF!</v>
      </c>
      <c r="AX97" s="133" t="e">
        <f>#REF!/#REF!-1</f>
        <v>#REF!</v>
      </c>
      <c r="AY97" s="133" t="e">
        <f>#REF!/#REF!-1</f>
        <v>#REF!</v>
      </c>
      <c r="AZ97" s="133"/>
      <c r="BA97" s="581"/>
      <c r="BB97" s="133"/>
      <c r="BC97" s="133"/>
      <c r="BD97" s="133"/>
      <c r="BE97" s="135"/>
      <c r="BF97" s="553"/>
      <c r="BG97" s="133"/>
      <c r="BH97" s="133"/>
      <c r="BI97" s="133"/>
      <c r="BJ97" s="135"/>
      <c r="BK97" s="553"/>
      <c r="BL97" s="133"/>
      <c r="BM97" s="133"/>
      <c r="BN97" s="133"/>
      <c r="BO97" s="135"/>
      <c r="BP97" s="553"/>
      <c r="BQ97" s="133"/>
      <c r="BR97" s="133"/>
      <c r="BS97" s="133"/>
      <c r="BT97" s="133"/>
      <c r="BU97" s="581"/>
      <c r="BV97" s="1282"/>
      <c r="BW97" s="1282"/>
      <c r="BX97" s="1282"/>
      <c r="BY97" s="1283"/>
      <c r="BZ97" s="553"/>
      <c r="CA97" s="133"/>
      <c r="CB97" s="133"/>
      <c r="CC97" s="133"/>
      <c r="CD97" s="133"/>
      <c r="CE97" s="134"/>
      <c r="CF97" s="133"/>
      <c r="CG97" s="133"/>
      <c r="CH97" s="133"/>
      <c r="CI97" s="133"/>
      <c r="CJ97" s="134"/>
      <c r="CK97" s="133"/>
      <c r="CL97" s="133"/>
      <c r="CM97" s="133"/>
      <c r="CN97" s="133"/>
      <c r="CO97" s="134"/>
      <c r="CP97" s="133"/>
      <c r="CQ97" s="133"/>
      <c r="CR97" s="133"/>
      <c r="CS97" s="135"/>
      <c r="CT97" s="553"/>
      <c r="CU97" s="133"/>
      <c r="CV97" s="133"/>
      <c r="CW97" s="133"/>
      <c r="CX97" s="135"/>
      <c r="CY97" s="553"/>
      <c r="CZ97" s="133"/>
      <c r="DA97" s="133"/>
      <c r="DB97" s="133"/>
      <c r="DC97" s="135"/>
      <c r="DD97" s="553"/>
      <c r="DE97" s="133"/>
      <c r="DF97" s="133"/>
      <c r="DG97" s="133"/>
      <c r="DH97" s="135"/>
      <c r="DI97" s="553"/>
      <c r="DJ97" s="133"/>
      <c r="DK97" s="133"/>
      <c r="DL97" s="133"/>
      <c r="DM97" s="135"/>
      <c r="DN97" s="553"/>
      <c r="DO97" s="133"/>
      <c r="DP97" s="133"/>
      <c r="DQ97" s="133"/>
      <c r="DR97" s="135"/>
      <c r="DS97" s="553"/>
      <c r="DT97" s="133"/>
      <c r="DU97" s="133"/>
      <c r="DV97" s="133"/>
      <c r="DW97" s="135"/>
      <c r="DX97" s="553"/>
      <c r="DY97" s="133"/>
      <c r="DZ97" s="133"/>
      <c r="EA97" s="133"/>
      <c r="EB97" s="135"/>
      <c r="EC97" s="553"/>
      <c r="ED97" s="16"/>
      <c r="EE97" s="132"/>
      <c r="EF97" s="133"/>
      <c r="EG97" s="133"/>
      <c r="EH97" s="133"/>
      <c r="EI97" s="133"/>
      <c r="EJ97" s="133"/>
      <c r="EK97" s="133">
        <f>BF97</f>
        <v>0</v>
      </c>
      <c r="EL97" s="133">
        <f>BK97</f>
        <v>0</v>
      </c>
      <c r="EM97" s="133">
        <f>BP97</f>
        <v>0</v>
      </c>
      <c r="EN97" s="133">
        <f>BU97</f>
        <v>0</v>
      </c>
      <c r="EO97" s="133">
        <f t="shared" si="264"/>
        <v>0</v>
      </c>
      <c r="EP97" s="133">
        <f t="shared" si="514"/>
        <v>0</v>
      </c>
      <c r="EQ97" s="133">
        <f t="shared" si="515"/>
        <v>0</v>
      </c>
      <c r="ER97" s="135">
        <f t="shared" si="516"/>
        <v>0</v>
      </c>
      <c r="ES97" s="16"/>
      <c r="ET97" s="16"/>
      <c r="EU97" s="16"/>
      <c r="EX97" s="564" t="s">
        <v>251</v>
      </c>
      <c r="EY97" s="126">
        <f t="shared" si="517"/>
        <v>0</v>
      </c>
      <c r="EZ97" s="126">
        <v>0</v>
      </c>
      <c r="FA97" s="126"/>
      <c r="FB97" s="126">
        <f t="shared" si="518"/>
        <v>0</v>
      </c>
      <c r="FC97" s="970"/>
      <c r="FD97" s="16"/>
    </row>
    <row r="98" spans="1:166" ht="11.85" customHeight="1" collapsed="1" x14ac:dyDescent="0.2">
      <c r="A98" s="129" t="s">
        <v>61</v>
      </c>
      <c r="B98" s="134"/>
      <c r="C98" s="132"/>
      <c r="D98" s="133"/>
      <c r="E98" s="133"/>
      <c r="F98" s="135"/>
      <c r="G98" s="134"/>
      <c r="H98" s="132"/>
      <c r="I98" s="133"/>
      <c r="J98" s="133"/>
      <c r="K98" s="133"/>
      <c r="L98" s="134"/>
      <c r="M98" s="133"/>
      <c r="N98" s="133"/>
      <c r="O98" s="133"/>
      <c r="P98" s="135"/>
      <c r="Q98" s="134"/>
      <c r="R98" s="133"/>
      <c r="S98" s="133"/>
      <c r="T98" s="133"/>
      <c r="U98" s="133"/>
      <c r="V98" s="134"/>
      <c r="W98" s="133"/>
      <c r="X98" s="133"/>
      <c r="Y98" s="133"/>
      <c r="Z98" s="133"/>
      <c r="AA98" s="134"/>
      <c r="AB98" s="133"/>
      <c r="AC98" s="133"/>
      <c r="AD98" s="133"/>
      <c r="AE98" s="133"/>
      <c r="AF98" s="134"/>
      <c r="AG98" s="133"/>
      <c r="AH98" s="133"/>
      <c r="AI98" s="133"/>
      <c r="AJ98" s="553"/>
      <c r="AK98" s="135"/>
      <c r="AL98" s="133"/>
      <c r="AM98" s="133"/>
      <c r="AN98" s="133"/>
      <c r="AO98" s="135"/>
      <c r="AP98" s="135"/>
      <c r="AQ98" s="133"/>
      <c r="AR98" s="133"/>
      <c r="AS98" s="133"/>
      <c r="AT98" s="133"/>
      <c r="AU98" s="132"/>
      <c r="AV98" s="244"/>
      <c r="AW98" s="133"/>
      <c r="AX98" s="133"/>
      <c r="AY98" s="133"/>
      <c r="AZ98" s="133"/>
      <c r="BA98" s="581"/>
      <c r="BB98" s="133">
        <f t="shared" ref="BB98:BU98" si="519">BB19/AW19-1</f>
        <v>1.1414077362079889E-2</v>
      </c>
      <c r="BC98" s="133">
        <f t="shared" si="519"/>
        <v>4.4404973357015987E-2</v>
      </c>
      <c r="BD98" s="133">
        <f t="shared" si="519"/>
        <v>8.6368977673325631E-2</v>
      </c>
      <c r="BE98" s="135">
        <f t="shared" si="519"/>
        <v>4.8809523809523636E-2</v>
      </c>
      <c r="BF98" s="553">
        <f t="shared" si="519"/>
        <v>4.8435619735258895E-2</v>
      </c>
      <c r="BG98" s="133">
        <f t="shared" si="519"/>
        <v>8.9028213166144177E-2</v>
      </c>
      <c r="BH98" s="133">
        <f t="shared" si="519"/>
        <v>0.10487528344671193</v>
      </c>
      <c r="BI98" s="133">
        <f t="shared" si="519"/>
        <v>0.14169821525148718</v>
      </c>
      <c r="BJ98" s="135">
        <f t="shared" si="519"/>
        <v>0.26106696935300788</v>
      </c>
      <c r="BK98" s="553">
        <f t="shared" si="519"/>
        <v>0.15050215208034423</v>
      </c>
      <c r="BL98" s="133">
        <f t="shared" si="519"/>
        <v>0.18940702360391493</v>
      </c>
      <c r="BM98" s="133">
        <f t="shared" si="519"/>
        <v>0.15751667521806056</v>
      </c>
      <c r="BN98" s="133">
        <f t="shared" si="519"/>
        <v>0.17527238275698731</v>
      </c>
      <c r="BO98" s="135">
        <f t="shared" si="519"/>
        <v>9.4959495949594963E-2</v>
      </c>
      <c r="BP98" s="553">
        <f t="shared" si="519"/>
        <v>0.15176455917196652</v>
      </c>
      <c r="BQ98" s="133">
        <f t="shared" si="519"/>
        <v>7.647628267182971E-2</v>
      </c>
      <c r="BR98" s="133">
        <f t="shared" si="519"/>
        <v>7.6684397163120588E-2</v>
      </c>
      <c r="BS98" s="133">
        <f t="shared" si="519"/>
        <v>4.7964530431277685E-2</v>
      </c>
      <c r="BT98" s="133">
        <f t="shared" si="519"/>
        <v>0.25195232223592279</v>
      </c>
      <c r="BU98" s="581">
        <f t="shared" si="519"/>
        <v>0.11509311390212229</v>
      </c>
      <c r="BV98" s="1282"/>
      <c r="BW98" s="1282"/>
      <c r="BX98" s="1282"/>
      <c r="BY98" s="1283"/>
      <c r="BZ98" s="553"/>
      <c r="CA98" s="133">
        <f t="shared" ref="CA98:DF98" si="520">CA19/BV19-1</f>
        <v>2.6259758694109125E-2</v>
      </c>
      <c r="CB98" s="133">
        <f t="shared" si="520"/>
        <v>-6.0758432851456545E-3</v>
      </c>
      <c r="CC98" s="133">
        <f t="shared" si="520"/>
        <v>-6.8789308176100628E-2</v>
      </c>
      <c r="CD98" s="133">
        <f t="shared" si="520"/>
        <v>-3.5597460073119258E-2</v>
      </c>
      <c r="CE98" s="134">
        <f t="shared" si="520"/>
        <v>-2.3489758879958522E-2</v>
      </c>
      <c r="CF98" s="133">
        <f t="shared" si="520"/>
        <v>-1.3370216689718606E-2</v>
      </c>
      <c r="CG98" s="133">
        <f t="shared" si="520"/>
        <v>1.5177065767285169E-2</v>
      </c>
      <c r="CH98" s="133">
        <f t="shared" si="520"/>
        <v>3.2714225411565989E-2</v>
      </c>
      <c r="CI98" s="133">
        <f t="shared" si="520"/>
        <v>8.180367118914611E-2</v>
      </c>
      <c r="CJ98" s="134">
        <f t="shared" si="520"/>
        <v>3.0745539507221809E-2</v>
      </c>
      <c r="CK98" s="133">
        <f t="shared" si="520"/>
        <v>5.186915887850474E-2</v>
      </c>
      <c r="CL98" s="133">
        <f t="shared" si="520"/>
        <v>0.10174418604651159</v>
      </c>
      <c r="CM98" s="133">
        <f t="shared" si="520"/>
        <v>0.17923564275495618</v>
      </c>
      <c r="CN98" s="133">
        <f t="shared" si="520"/>
        <v>0.1582441903356695</v>
      </c>
      <c r="CO98" s="134">
        <f t="shared" si="520"/>
        <v>0.12606254185770949</v>
      </c>
      <c r="CP98" s="133">
        <f t="shared" si="520"/>
        <v>0.56819191470457575</v>
      </c>
      <c r="CQ98" s="133">
        <f t="shared" si="520"/>
        <v>0.40773726810835731</v>
      </c>
      <c r="CR98" s="133">
        <f t="shared" si="520"/>
        <v>0.36902059773977802</v>
      </c>
      <c r="CS98" s="135">
        <f t="shared" si="520"/>
        <v>0.33112593926596912</v>
      </c>
      <c r="CT98" s="553">
        <f t="shared" si="520"/>
        <v>0.40855401647597001</v>
      </c>
      <c r="CU98" s="133">
        <f t="shared" si="520"/>
        <v>7.1228217034502883E-2</v>
      </c>
      <c r="CV98" s="133">
        <f t="shared" si="520"/>
        <v>7.6698916921686955E-2</v>
      </c>
      <c r="CW98" s="133">
        <f t="shared" si="520"/>
        <v>7.7844362955571622E-2</v>
      </c>
      <c r="CX98" s="135">
        <f t="shared" si="520"/>
        <v>7.9808705354515785E-2</v>
      </c>
      <c r="CY98" s="553">
        <f t="shared" si="520"/>
        <v>7.6582677742656813E-2</v>
      </c>
      <c r="CZ98" s="133">
        <f t="shared" si="520"/>
        <v>8.760662246758355E-2</v>
      </c>
      <c r="DA98" s="133">
        <f t="shared" si="520"/>
        <v>7.4143638033428605E-2</v>
      </c>
      <c r="DB98" s="133">
        <f t="shared" si="520"/>
        <v>7.4606361551032618E-2</v>
      </c>
      <c r="DC98" s="135">
        <f t="shared" si="520"/>
        <v>7.4370604428921627E-2</v>
      </c>
      <c r="DD98" s="553">
        <f t="shared" si="520"/>
        <v>7.7396133487735996E-2</v>
      </c>
      <c r="DE98" s="133">
        <f t="shared" si="520"/>
        <v>6.0613492137665759E-2</v>
      </c>
      <c r="DF98" s="133">
        <f t="shared" si="520"/>
        <v>7.1041864205570127E-2</v>
      </c>
      <c r="DG98" s="133">
        <f t="shared" ref="DG98:DX98" si="521">DG19/DB19-1</f>
        <v>7.1539961527550711E-2</v>
      </c>
      <c r="DH98" s="135">
        <f t="shared" si="521"/>
        <v>7.1488560654916489E-2</v>
      </c>
      <c r="DI98" s="553">
        <f t="shared" si="521"/>
        <v>6.8888811030713537E-2</v>
      </c>
      <c r="DJ98" s="133">
        <f t="shared" si="521"/>
        <v>7.2155900692092212E-2</v>
      </c>
      <c r="DK98" s="133">
        <f t="shared" si="521"/>
        <v>7.2256579176318114E-2</v>
      </c>
      <c r="DL98" s="133">
        <f t="shared" si="521"/>
        <v>7.3314130993620497E-2</v>
      </c>
      <c r="DM98" s="135">
        <f t="shared" si="521"/>
        <v>7.3133539792648694E-2</v>
      </c>
      <c r="DN98" s="553">
        <f t="shared" si="521"/>
        <v>7.2743920144873631E-2</v>
      </c>
      <c r="DO98" s="133">
        <f t="shared" si="521"/>
        <v>7.3127057209951385E-2</v>
      </c>
      <c r="DP98" s="133">
        <f t="shared" si="521"/>
        <v>7.2310930927456551E-2</v>
      </c>
      <c r="DQ98" s="133">
        <f t="shared" si="521"/>
        <v>7.2547394529404396E-2</v>
      </c>
      <c r="DR98" s="135">
        <f t="shared" si="521"/>
        <v>7.2179211236963692E-2</v>
      </c>
      <c r="DS98" s="553">
        <f t="shared" si="521"/>
        <v>7.2522247147297936E-2</v>
      </c>
      <c r="DT98" s="133">
        <f t="shared" si="521"/>
        <v>8.3928218878168037E-2</v>
      </c>
      <c r="DU98" s="133">
        <f t="shared" si="521"/>
        <v>7.0908895242629333E-2</v>
      </c>
      <c r="DV98" s="133">
        <f t="shared" si="521"/>
        <v>7.1045183421700742E-2</v>
      </c>
      <c r="DW98" s="135">
        <f t="shared" si="521"/>
        <v>7.0740267394604261E-2</v>
      </c>
      <c r="DX98" s="553">
        <f t="shared" si="521"/>
        <v>7.3873591643937919E-2</v>
      </c>
      <c r="DY98" s="133">
        <f t="shared" ref="DY98" si="522">DY19/DT19-1</f>
        <v>5.8807522288153447E-2</v>
      </c>
      <c r="DZ98" s="133">
        <f t="shared" ref="DZ98" si="523">DZ19/DU19-1</f>
        <v>6.9489156529934037E-2</v>
      </c>
      <c r="EA98" s="133">
        <f t="shared" ref="EA98" si="524">EA19/DV19-1</f>
        <v>6.9664809397411487E-2</v>
      </c>
      <c r="EB98" s="135">
        <f t="shared" ref="EB98" si="525">EB19/DW19-1</f>
        <v>6.9411411102837439E-2</v>
      </c>
      <c r="EC98" s="553">
        <f t="shared" ref="EC98" si="526">EC19/DX19-1</f>
        <v>6.7048917628802496E-2</v>
      </c>
      <c r="ED98" s="16"/>
      <c r="EE98" s="132"/>
      <c r="EF98" s="133"/>
      <c r="EG98" s="133"/>
      <c r="EH98" s="133"/>
      <c r="EI98" s="133"/>
      <c r="EJ98" s="133"/>
      <c r="EK98" s="133">
        <f>BF98</f>
        <v>4.8435619735258895E-2</v>
      </c>
      <c r="EL98" s="133">
        <f>BK98</f>
        <v>0.15050215208034423</v>
      </c>
      <c r="EM98" s="133">
        <f>BP98</f>
        <v>0.15176455917196652</v>
      </c>
      <c r="EN98" s="133">
        <f>BU98</f>
        <v>0.11509311390212229</v>
      </c>
      <c r="EO98" s="133">
        <f t="shared" si="264"/>
        <v>-2.3489758879958522E-2</v>
      </c>
      <c r="EP98" s="133">
        <f t="shared" si="514"/>
        <v>3.0745539507221809E-2</v>
      </c>
      <c r="EQ98" s="133">
        <f t="shared" si="515"/>
        <v>0.12606254185770949</v>
      </c>
      <c r="ER98" s="135">
        <f t="shared" si="516"/>
        <v>0.40855401647597001</v>
      </c>
      <c r="ES98" s="16"/>
      <c r="ET98" s="16"/>
      <c r="EU98" s="16"/>
      <c r="EX98" s="564" t="s">
        <v>61</v>
      </c>
      <c r="EY98" s="126">
        <f t="shared" si="517"/>
        <v>0.56819191470457575</v>
      </c>
      <c r="EZ98" s="126">
        <v>0.18695351144711614</v>
      </c>
      <c r="FA98" s="126">
        <f t="shared" ref="FA98:FA117" si="527">EY98-EZ98</f>
        <v>0.38123840325745961</v>
      </c>
      <c r="FB98" s="126">
        <f t="shared" si="518"/>
        <v>5.186915887850474E-2</v>
      </c>
      <c r="FC98" s="970"/>
      <c r="FD98" s="16"/>
    </row>
    <row r="99" spans="1:166" ht="11.25" customHeight="1" x14ac:dyDescent="0.2">
      <c r="A99" s="114" t="s">
        <v>97</v>
      </c>
      <c r="B99" s="138"/>
      <c r="C99" s="136"/>
      <c r="D99" s="137"/>
      <c r="E99" s="137"/>
      <c r="F99" s="139"/>
      <c r="G99" s="138"/>
      <c r="H99" s="136"/>
      <c r="I99" s="137"/>
      <c r="J99" s="137"/>
      <c r="K99" s="137"/>
      <c r="L99" s="138"/>
      <c r="M99" s="137"/>
      <c r="N99" s="137"/>
      <c r="O99" s="137"/>
      <c r="P99" s="139"/>
      <c r="Q99" s="138"/>
      <c r="R99" s="137"/>
      <c r="S99" s="137"/>
      <c r="T99" s="137"/>
      <c r="U99" s="137"/>
      <c r="V99" s="138"/>
      <c r="W99" s="137"/>
      <c r="X99" s="137"/>
      <c r="Y99" s="137"/>
      <c r="Z99" s="137"/>
      <c r="AA99" s="138"/>
      <c r="AB99" s="137"/>
      <c r="AC99" s="137"/>
      <c r="AD99" s="137"/>
      <c r="AE99" s="137"/>
      <c r="AF99" s="138"/>
      <c r="AG99" s="137"/>
      <c r="AH99" s="137"/>
      <c r="AI99" s="137"/>
      <c r="AJ99" s="554"/>
      <c r="AK99" s="139"/>
      <c r="AL99" s="137"/>
      <c r="AM99" s="137"/>
      <c r="AN99" s="137"/>
      <c r="AO99" s="139"/>
      <c r="AP99" s="139"/>
      <c r="AQ99" s="137"/>
      <c r="AR99" s="137"/>
      <c r="AS99" s="137"/>
      <c r="AT99" s="137"/>
      <c r="AU99" s="136"/>
      <c r="AV99" s="246"/>
      <c r="AW99" s="137"/>
      <c r="AX99" s="137"/>
      <c r="AY99" s="137"/>
      <c r="AZ99" s="137"/>
      <c r="BA99" s="582"/>
      <c r="BB99" s="137">
        <f>BB20/AW20-1</f>
        <v>-7.5221980231194419E-2</v>
      </c>
      <c r="BC99" s="137">
        <f>BC20/AX20-1</f>
        <v>-4.430176565008026E-2</v>
      </c>
      <c r="BD99" s="137">
        <f>BD20/AY20-1</f>
        <v>1.2833333333333474E-2</v>
      </c>
      <c r="BE99" s="139">
        <f>BE20/AZ20-1</f>
        <v>-6.5023956194388832E-3</v>
      </c>
      <c r="BF99" s="554">
        <f>(BF20-BA20)/BA20</f>
        <v>-2.8532213118163442E-2</v>
      </c>
      <c r="BG99" s="137">
        <f>BG20/BB20-1</f>
        <v>3.2427536231883991E-2</v>
      </c>
      <c r="BH99" s="137">
        <f>BH20/BC20-1</f>
        <v>-9.1703056768558944E-2</v>
      </c>
      <c r="BI99" s="137">
        <f>BI20/BD20-1</f>
        <v>-0.25012341615928924</v>
      </c>
      <c r="BJ99" s="139">
        <f>BJ20/BE20-1</f>
        <v>-0.30330692387185654</v>
      </c>
      <c r="BK99" s="554">
        <f>(BK20-BF20)/BF20</f>
        <v>-0.15618444149505492</v>
      </c>
      <c r="BL99" s="137">
        <f>BL20/BG20-1</f>
        <v>-0.42498683979645546</v>
      </c>
      <c r="BM99" s="137">
        <f>BM20/BH20-1</f>
        <v>-0.48539201183431946</v>
      </c>
      <c r="BN99" s="137">
        <f>BN20/BI20-1</f>
        <v>-0.39631336405529949</v>
      </c>
      <c r="BO99" s="139">
        <f>BO20/BJ20-1</f>
        <v>-0.34437577255871454</v>
      </c>
      <c r="BP99" s="554">
        <f>(BP20-BK20)/BK20</f>
        <v>-0.41838753868790912</v>
      </c>
      <c r="BQ99" s="137">
        <f>BQ20/BL20-1</f>
        <v>-0.26487641135184614</v>
      </c>
      <c r="BR99" s="137">
        <f>BR20/BM20-1</f>
        <v>-6.1444484369385655E-2</v>
      </c>
      <c r="BS99" s="137">
        <f>BS20/BN20-1</f>
        <v>1.3813158851326612E-2</v>
      </c>
      <c r="BT99" s="137">
        <f>BT20/BO20-1</f>
        <v>0.56975867269984959</v>
      </c>
      <c r="BU99" s="582">
        <f>(BU20-BP20)/BP20</f>
        <v>4.4490970950013288E-2</v>
      </c>
      <c r="BV99" s="1286"/>
      <c r="BW99" s="1286"/>
      <c r="BX99" s="1286"/>
      <c r="BY99" s="1287"/>
      <c r="BZ99" s="554"/>
      <c r="CA99" s="137">
        <f>CA20/BV20-1</f>
        <v>1.8248175182482562E-3</v>
      </c>
      <c r="CB99" s="137">
        <f>CB20/BW20-1</f>
        <v>-1.5585151601020364E-2</v>
      </c>
      <c r="CC99" s="137">
        <f>CC20/BX20-1</f>
        <v>-8.2012963629816249E-2</v>
      </c>
      <c r="CD99" s="137">
        <f>CD20/BY20-1</f>
        <v>-3.0808729139922941E-2</v>
      </c>
      <c r="CE99" s="138">
        <f>(CE20-BZ20)/BZ20</f>
        <v>-3.3280053438938854E-2</v>
      </c>
      <c r="CF99" s="137">
        <f>CF20/CA20-1</f>
        <v>-1.5857709203900061E-2</v>
      </c>
      <c r="CG99" s="137">
        <f>CG20/CB20-1</f>
        <v>-1.9190174630586698E-3</v>
      </c>
      <c r="CH99" s="137">
        <f>CH20/CC20-1</f>
        <v>5.4918113170540073E-2</v>
      </c>
      <c r="CI99" s="137">
        <f>CI20/CD20-1</f>
        <v>5.1447492904446612E-2</v>
      </c>
      <c r="CJ99" s="138">
        <f>(CJ20-CE20)/CE20</f>
        <v>2.3093628152608667E-2</v>
      </c>
      <c r="CK99" s="137">
        <f>CK20/CF20-1</f>
        <v>8.9384866630375592E-2</v>
      </c>
      <c r="CL99" s="137">
        <f>CL20/CG20-1</f>
        <v>8.8925206691020886E-2</v>
      </c>
      <c r="CM99" s="137">
        <f>CM20/CH20-1</f>
        <v>0.12354745746955476</v>
      </c>
      <c r="CN99" s="137">
        <f>CN20/CI20-1</f>
        <v>0.11051125627598135</v>
      </c>
      <c r="CO99" s="138">
        <f>(CO20-CJ20)/CJ20</f>
        <v>0.10379711417393099</v>
      </c>
      <c r="CP99" s="137">
        <f>CP20/CK20-1</f>
        <v>0.25304817109734157</v>
      </c>
      <c r="CQ99" s="137">
        <f>CQ20/CL20-1</f>
        <v>0.20927716790312401</v>
      </c>
      <c r="CR99" s="137">
        <f>CR20/CM20-1</f>
        <v>0.18317985775087031</v>
      </c>
      <c r="CS99" s="139">
        <f>CS20/CN20-1</f>
        <v>0.18311911496526312</v>
      </c>
      <c r="CT99" s="554">
        <f>(CT20-CO20)/CO20</f>
        <v>0.20490046892587543</v>
      </c>
      <c r="CU99" s="137">
        <f>CU20/CP20-1</f>
        <v>6.0342135517049922E-2</v>
      </c>
      <c r="CV99" s="137">
        <f>CV20/CQ20-1</f>
        <v>6.3647144874589667E-2</v>
      </c>
      <c r="CW99" s="137">
        <f>CW20/CR20-1</f>
        <v>6.3845266310133431E-2</v>
      </c>
      <c r="CX99" s="139">
        <f>CX20/CS20-1</f>
        <v>6.7343517995010593E-2</v>
      </c>
      <c r="CY99" s="554">
        <f>(CY20-CT20)/CT20</f>
        <v>6.3925894786941703E-2</v>
      </c>
      <c r="CZ99" s="137">
        <f>CZ20/CU20-1</f>
        <v>7.823307024630255E-2</v>
      </c>
      <c r="DA99" s="137">
        <f>DA20/CV20-1</f>
        <v>6.6355068345929746E-2</v>
      </c>
      <c r="DB99" s="137">
        <f>DB20/CW20-1</f>
        <v>6.7893336216195088E-2</v>
      </c>
      <c r="DC99" s="139">
        <f>DC20/CX20-1</f>
        <v>6.9642160159187005E-2</v>
      </c>
      <c r="DD99" s="554">
        <f>(DD20-CY20)/CY20</f>
        <v>7.0319209760686729E-2</v>
      </c>
      <c r="DE99" s="137">
        <f>DE20/CZ20-1</f>
        <v>7.8136890427371819E-2</v>
      </c>
      <c r="DF99" s="137">
        <f>DF20/DA20-1</f>
        <v>6.2794393928664816E-2</v>
      </c>
      <c r="DG99" s="137">
        <f>DG20/DB20-1</f>
        <v>8.0623660818742726E-2</v>
      </c>
      <c r="DH99" s="139">
        <f>DH20/DC20-1</f>
        <v>8.074660744975426E-2</v>
      </c>
      <c r="DI99" s="554">
        <f>(DI20-DD20)/DD20</f>
        <v>7.5676899970981079E-2</v>
      </c>
      <c r="DJ99" s="137">
        <f>DJ20/DE20-1</f>
        <v>6.5054049765332689E-2</v>
      </c>
      <c r="DK99" s="137">
        <f>DK20/DF20-1</f>
        <v>6.5804595972574598E-2</v>
      </c>
      <c r="DL99" s="137">
        <f>DL20/DG20-1</f>
        <v>6.7220997524606529E-2</v>
      </c>
      <c r="DM99" s="139">
        <f>DM20/DH20-1</f>
        <v>6.7615845340442515E-2</v>
      </c>
      <c r="DN99" s="554">
        <f>(DN20-DI20)/DI20</f>
        <v>6.6484196031972823E-2</v>
      </c>
      <c r="DO99" s="137">
        <f>DO20/DJ20-1</f>
        <v>6.7568453473785262E-2</v>
      </c>
      <c r="DP99" s="137">
        <f>DP20/DK20-1</f>
        <v>6.6777854041406348E-2</v>
      </c>
      <c r="DQ99" s="137">
        <f>DQ20/DL20-1</f>
        <v>6.6917650786181726E-2</v>
      </c>
      <c r="DR99" s="139">
        <f>DR20/DM20-1</f>
        <v>6.6798971812552121E-2</v>
      </c>
      <c r="DS99" s="554">
        <f>(DS20-DN20)/DN20</f>
        <v>6.7000524378163021E-2</v>
      </c>
      <c r="DT99" s="137">
        <f>DT20/DO20-1</f>
        <v>7.8325145437190047E-2</v>
      </c>
      <c r="DU99" s="137">
        <f>DU20/DP20-1</f>
        <v>6.5535760987205149E-2</v>
      </c>
      <c r="DV99" s="137">
        <f>DV20/DQ20-1</f>
        <v>6.5618020776522901E-2</v>
      </c>
      <c r="DW99" s="139">
        <f>DW20/DR20-1</f>
        <v>6.5537430023235643E-2</v>
      </c>
      <c r="DX99" s="554">
        <f>(DX20-DS20)/DS20</f>
        <v>6.8481791707921624E-2</v>
      </c>
      <c r="DY99" s="137">
        <f>DY20/DT20-1</f>
        <v>5.3516363927771371E-2</v>
      </c>
      <c r="DZ99" s="137">
        <f>DZ20/DU20-1</f>
        <v>6.4311334782035212E-2</v>
      </c>
      <c r="EA99" s="137">
        <f>EA20/DV20-1</f>
        <v>6.4414823474380878E-2</v>
      </c>
      <c r="EB99" s="139">
        <f>EB20/DW20-1</f>
        <v>6.4365951705444679E-2</v>
      </c>
      <c r="EC99" s="554">
        <f>(EC20-DX20)/DX20</f>
        <v>6.186180019552686E-2</v>
      </c>
      <c r="ED99" s="25"/>
      <c r="EE99" s="136"/>
      <c r="EF99" s="137">
        <f t="shared" ref="EF99:EI99" si="528">EF20/EE20-1</f>
        <v>8.7165408373369946E-2</v>
      </c>
      <c r="EG99" s="137">
        <f t="shared" si="528"/>
        <v>8.9015151515151603E-2</v>
      </c>
      <c r="EH99" s="137">
        <f t="shared" si="528"/>
        <v>8.8115942028985428E-2</v>
      </c>
      <c r="EI99" s="137">
        <f t="shared" si="528"/>
        <v>-1.0868407032498695E-2</v>
      </c>
      <c r="EJ99" s="137"/>
      <c r="EK99" s="137">
        <f>BF99</f>
        <v>-2.8532213118163442E-2</v>
      </c>
      <c r="EL99" s="137">
        <f>BK99</f>
        <v>-0.15618444149505492</v>
      </c>
      <c r="EM99" s="137">
        <f>BP99</f>
        <v>-0.41838753868790912</v>
      </c>
      <c r="EN99" s="137">
        <f>BU99</f>
        <v>4.4490970950013288E-2</v>
      </c>
      <c r="EO99" s="137">
        <f t="shared" si="264"/>
        <v>-3.3280053438938854E-2</v>
      </c>
      <c r="EP99" s="137">
        <f t="shared" si="514"/>
        <v>2.3093628152608667E-2</v>
      </c>
      <c r="EQ99" s="137">
        <f t="shared" si="515"/>
        <v>0.10379711417393099</v>
      </c>
      <c r="ER99" s="139">
        <f t="shared" si="516"/>
        <v>0.20490046892587543</v>
      </c>
      <c r="ES99" s="25"/>
      <c r="ET99" s="25"/>
      <c r="EU99" s="25"/>
      <c r="EX99" s="568" t="s">
        <v>171</v>
      </c>
      <c r="EY99" s="35">
        <f t="shared" si="517"/>
        <v>0.25304817109734157</v>
      </c>
      <c r="EZ99" s="35">
        <v>0.13580798065997635</v>
      </c>
      <c r="FA99" s="35">
        <f t="shared" si="527"/>
        <v>0.11724019043736522</v>
      </c>
      <c r="FB99" s="35">
        <f t="shared" si="518"/>
        <v>8.9384866630375592E-2</v>
      </c>
      <c r="FC99" s="973"/>
      <c r="FD99" s="25"/>
    </row>
    <row r="100" spans="1:166" ht="11.25" hidden="1" customHeight="1" outlineLevel="1" x14ac:dyDescent="0.2">
      <c r="A100" s="811" t="s">
        <v>98</v>
      </c>
      <c r="B100" s="736"/>
      <c r="C100" s="737"/>
      <c r="D100" s="738"/>
      <c r="E100" s="738"/>
      <c r="F100" s="739"/>
      <c r="G100" s="736"/>
      <c r="H100" s="737"/>
      <c r="I100" s="738"/>
      <c r="J100" s="738"/>
      <c r="K100" s="738"/>
      <c r="L100" s="736"/>
      <c r="M100" s="738"/>
      <c r="N100" s="738"/>
      <c r="O100" s="738"/>
      <c r="P100" s="739"/>
      <c r="Q100" s="736"/>
      <c r="R100" s="738"/>
      <c r="S100" s="738"/>
      <c r="T100" s="738"/>
      <c r="U100" s="738"/>
      <c r="V100" s="736"/>
      <c r="W100" s="738"/>
      <c r="X100" s="738"/>
      <c r="Y100" s="738"/>
      <c r="Z100" s="738"/>
      <c r="AA100" s="736"/>
      <c r="AB100" s="738"/>
      <c r="AC100" s="738"/>
      <c r="AD100" s="738"/>
      <c r="AE100" s="738"/>
      <c r="AF100" s="736"/>
      <c r="AG100" s="738"/>
      <c r="AH100" s="738"/>
      <c r="AI100" s="738"/>
      <c r="AJ100" s="740"/>
      <c r="AK100" s="739"/>
      <c r="AL100" s="738"/>
      <c r="AM100" s="738"/>
      <c r="AN100" s="738"/>
      <c r="AO100" s="739"/>
      <c r="AP100" s="739"/>
      <c r="AQ100" s="738"/>
      <c r="AR100" s="738"/>
      <c r="AS100" s="738"/>
      <c r="AT100" s="738"/>
      <c r="AU100" s="737"/>
      <c r="AV100" s="156"/>
      <c r="AW100" s="738"/>
      <c r="AX100" s="738"/>
      <c r="AY100" s="738"/>
      <c r="AZ100" s="738"/>
      <c r="BA100" s="581"/>
      <c r="BB100" s="823"/>
      <c r="BC100" s="823"/>
      <c r="BD100" s="823"/>
      <c r="BE100" s="824"/>
      <c r="BF100" s="1212"/>
      <c r="BG100" s="823"/>
      <c r="BH100" s="738">
        <v>5.3999999999999999E-2</v>
      </c>
      <c r="BI100" s="738">
        <v>2E-3</v>
      </c>
      <c r="BJ100" s="739">
        <v>5.6000000000000001E-2</v>
      </c>
      <c r="BK100" s="740">
        <v>3.9E-2</v>
      </c>
      <c r="BL100" s="738">
        <v>-2.1000000000000001E-2</v>
      </c>
      <c r="BM100" s="738">
        <v>1.2E-2</v>
      </c>
      <c r="BN100" s="738">
        <v>8.1000000000000003E-2</v>
      </c>
      <c r="BO100" s="739">
        <v>5.1999999999999998E-2</v>
      </c>
      <c r="BP100" s="740">
        <v>2.9000000000000001E-2</v>
      </c>
      <c r="BQ100" s="738"/>
      <c r="BR100" s="738"/>
      <c r="BS100" s="738"/>
      <c r="BT100" s="738"/>
      <c r="BU100" s="741"/>
      <c r="BV100" s="1284"/>
      <c r="BW100" s="1284"/>
      <c r="BX100" s="1284"/>
      <c r="BY100" s="1285"/>
      <c r="BZ100" s="740"/>
      <c r="CA100" s="738"/>
      <c r="CB100" s="738"/>
      <c r="CC100" s="738"/>
      <c r="CD100" s="738"/>
      <c r="CE100" s="736"/>
      <c r="CF100" s="738"/>
      <c r="CG100" s="738">
        <v>3.5999999999999997E-2</v>
      </c>
      <c r="CH100" s="738"/>
      <c r="CI100" s="738"/>
      <c r="CJ100" s="736"/>
      <c r="CK100" s="738"/>
      <c r="CL100" s="738"/>
      <c r="CM100" s="738"/>
      <c r="CN100" s="738"/>
      <c r="CO100" s="736"/>
      <c r="CP100" s="738"/>
      <c r="CQ100" s="738"/>
      <c r="CR100" s="738"/>
      <c r="CS100" s="739"/>
      <c r="CT100" s="740"/>
      <c r="CU100" s="738"/>
      <c r="CV100" s="738"/>
      <c r="CW100" s="738"/>
      <c r="CX100" s="739"/>
      <c r="CY100" s="740"/>
      <c r="CZ100" s="738"/>
      <c r="DA100" s="738"/>
      <c r="DB100" s="738"/>
      <c r="DC100" s="739"/>
      <c r="DD100" s="740"/>
      <c r="DE100" s="738"/>
      <c r="DF100" s="738"/>
      <c r="DG100" s="738"/>
      <c r="DH100" s="739"/>
      <c r="DI100" s="740"/>
      <c r="DJ100" s="738"/>
      <c r="DK100" s="738"/>
      <c r="DL100" s="738"/>
      <c r="DM100" s="739"/>
      <c r="DN100" s="740"/>
      <c r="DO100" s="738"/>
      <c r="DP100" s="738"/>
      <c r="DQ100" s="738"/>
      <c r="DR100" s="739"/>
      <c r="DS100" s="740"/>
      <c r="DT100" s="738"/>
      <c r="DU100" s="738"/>
      <c r="DV100" s="738"/>
      <c r="DW100" s="739"/>
      <c r="DX100" s="740"/>
      <c r="DY100" s="738"/>
      <c r="DZ100" s="738"/>
      <c r="EA100" s="738"/>
      <c r="EB100" s="739"/>
      <c r="EC100" s="740"/>
      <c r="ED100" s="118"/>
      <c r="EE100" s="737"/>
      <c r="EF100" s="738"/>
      <c r="EG100" s="738"/>
      <c r="EH100" s="738"/>
      <c r="EI100" s="738"/>
      <c r="EJ100" s="738"/>
      <c r="EK100" s="738"/>
      <c r="EL100" s="738"/>
      <c r="EM100" s="738"/>
      <c r="EN100" s="738"/>
      <c r="EO100" s="738">
        <f t="shared" si="264"/>
        <v>0</v>
      </c>
      <c r="EP100" s="738">
        <f t="shared" si="514"/>
        <v>0</v>
      </c>
      <c r="EQ100" s="738">
        <f t="shared" si="515"/>
        <v>0</v>
      </c>
      <c r="ER100" s="739">
        <f t="shared" si="516"/>
        <v>0</v>
      </c>
      <c r="ES100" s="118"/>
      <c r="ET100" s="118"/>
      <c r="EU100" s="118"/>
      <c r="EX100" s="723"/>
      <c r="EY100" s="274">
        <f t="shared" si="517"/>
        <v>0</v>
      </c>
      <c r="EZ100" s="274">
        <v>0</v>
      </c>
      <c r="FA100" s="274"/>
      <c r="FB100" s="274">
        <f t="shared" si="518"/>
        <v>0</v>
      </c>
      <c r="FC100" s="972"/>
      <c r="FD100" s="118"/>
    </row>
    <row r="101" spans="1:166" ht="11.25" hidden="1" customHeight="1" outlineLevel="1" x14ac:dyDescent="0.2">
      <c r="A101" s="374" t="s">
        <v>157</v>
      </c>
      <c r="B101" s="134"/>
      <c r="C101" s="132"/>
      <c r="D101" s="133"/>
      <c r="E101" s="133"/>
      <c r="F101" s="135"/>
      <c r="G101" s="134">
        <f>+G28/B28-1</f>
        <v>0.10402684563758391</v>
      </c>
      <c r="H101" s="132"/>
      <c r="I101" s="133"/>
      <c r="J101" s="133"/>
      <c r="K101" s="133"/>
      <c r="L101" s="134">
        <f>+L28/G28-1</f>
        <v>3.5460992907801359E-2</v>
      </c>
      <c r="M101" s="133"/>
      <c r="N101" s="133"/>
      <c r="O101" s="133"/>
      <c r="P101" s="135"/>
      <c r="Q101" s="134">
        <f>+Q28/L28-1</f>
        <v>6.3600782778864939E-2</v>
      </c>
      <c r="R101" s="133"/>
      <c r="S101" s="133"/>
      <c r="T101" s="133"/>
      <c r="U101" s="133"/>
      <c r="V101" s="134">
        <f>+V28/Q28-1</f>
        <v>9.9356025758969624E-2</v>
      </c>
      <c r="W101" s="133">
        <f>W28/R28-1</f>
        <v>7.0469798657718075E-2</v>
      </c>
      <c r="X101" s="133">
        <f>X28/S28-1</f>
        <v>9.9315068493150749E-2</v>
      </c>
      <c r="Y101" s="133">
        <f>Y28/T28-1</f>
        <v>8.4459459459459429E-2</v>
      </c>
      <c r="Z101" s="133">
        <f>Z28/U28-1</f>
        <v>9.4771241830065467E-2</v>
      </c>
      <c r="AA101" s="134">
        <f>+AA28/V28-1</f>
        <v>8.4518828451882744E-2</v>
      </c>
      <c r="AB101" s="133">
        <f>AB28/W28-1</f>
        <v>7.5235109717868287E-2</v>
      </c>
      <c r="AC101" s="133">
        <f>AC28/X28-1</f>
        <v>9.3457943925233655E-2</v>
      </c>
      <c r="AD101" s="133">
        <f>AD28/Y28-1</f>
        <v>7.7881619937694602E-2</v>
      </c>
      <c r="AE101" s="133">
        <f>AE28/Z28-1</f>
        <v>0.10149253731343277</v>
      </c>
      <c r="AF101" s="134">
        <f>+AF28/AA28-1</f>
        <v>8.7191358024691468E-2</v>
      </c>
      <c r="AG101" s="133">
        <f>AG28/AB28-1</f>
        <v>8.7463556851312019E-2</v>
      </c>
      <c r="AH101" s="133">
        <f>AH28/AC28-1</f>
        <v>7.6923076923076872E-2</v>
      </c>
      <c r="AI101" s="133">
        <f>AI28/AD28-1</f>
        <v>9.2485549132947931E-2</v>
      </c>
      <c r="AJ101" s="553">
        <f>AJ28/AE28-1</f>
        <v>0.10840108401084003</v>
      </c>
      <c r="AK101" s="135">
        <f>+AK28/AF28-1</f>
        <v>9.155429382540814E-2</v>
      </c>
      <c r="AL101" s="133">
        <f>AL28/AG28-1</f>
        <v>0.16621983914209126</v>
      </c>
      <c r="AM101" s="133">
        <f>AM28/AH28-1</f>
        <v>7.9365079365079305E-2</v>
      </c>
      <c r="AN101" s="133">
        <f>AN28/AI28-1</f>
        <v>5.0264550264550234E-2</v>
      </c>
      <c r="AO101" s="135">
        <f>AO28/AJ28-1</f>
        <v>-1.2958435207823693E-2</v>
      </c>
      <c r="AP101" s="135">
        <f>+AP28/AK28-1</f>
        <v>6.8725617685305718E-2</v>
      </c>
      <c r="AQ101" s="133">
        <f>AQ28/AL28-1</f>
        <v>-6.1379310344827576E-2</v>
      </c>
      <c r="AR101" s="133">
        <f>AR28/AM28-1</f>
        <v>8.0882352941176183E-3</v>
      </c>
      <c r="AS101" s="133">
        <f>AS28/AN28-1</f>
        <v>-1.8891687657430767E-2</v>
      </c>
      <c r="AT101" s="133">
        <f>AT28/AO28-1</f>
        <v>4.9541738915033218E-3</v>
      </c>
      <c r="AU101" s="132">
        <f>+AU28/AP28-1</f>
        <v>-1.7582283871752757E-2</v>
      </c>
      <c r="AV101" s="158"/>
      <c r="AW101" s="133">
        <f>AW28/AN28-1</f>
        <v>-1.8891687657430767E-2</v>
      </c>
      <c r="AX101" s="133">
        <f>AX28/AO28-1</f>
        <v>4.9541738915033218E-3</v>
      </c>
      <c r="AY101" s="133">
        <f>AY28/AQ28-1</f>
        <v>-9.0619642419789259E-2</v>
      </c>
      <c r="AZ101" s="133">
        <f>AZ28/AR28-1</f>
        <v>-0.11013858497447104</v>
      </c>
      <c r="BA101" s="581">
        <f>BA28/SUM(AN28:AO28,AQ28:AR28)-1</f>
        <v>-5.4187496142689584E-2</v>
      </c>
      <c r="BB101" s="133">
        <f>BB28/AW28-1</f>
        <v>-8.4210526315789513E-2</v>
      </c>
      <c r="BC101" s="133">
        <f>BC28/AX28-1</f>
        <v>-8.9967956618190681E-2</v>
      </c>
      <c r="BD101" s="133">
        <f>BD28/AY28-1</f>
        <v>-2.9625639644494939E-3</v>
      </c>
      <c r="BE101" s="135">
        <f>BE28/AZ28-1</f>
        <v>-4.0163934426229453E-2</v>
      </c>
      <c r="BF101" s="553">
        <f>+BF28/BA28-1</f>
        <v>-5.5530179445350658E-2</v>
      </c>
      <c r="BG101" s="133">
        <f>BG28/BB28-1</f>
        <v>-7.569386038687953E-3</v>
      </c>
      <c r="BH101" s="133">
        <f>BH28/BC28-1</f>
        <v>-0.17199349945828835</v>
      </c>
      <c r="BI101" s="133">
        <f>BI28/BD28-1</f>
        <v>-0.41572123176661258</v>
      </c>
      <c r="BJ101" s="135">
        <f>BJ28/BE28-1</f>
        <v>-0.54113293481354974</v>
      </c>
      <c r="BK101" s="553">
        <f>+BK28/BF28-1</f>
        <v>-0.28340472571507536</v>
      </c>
      <c r="BL101" s="133">
        <f>BL28/BG28-1</f>
        <v>-0.69463276836158194</v>
      </c>
      <c r="BM101" s="133">
        <f>BM28/BH28-1</f>
        <v>-0.8475629702322538</v>
      </c>
      <c r="BN101" s="133">
        <f>BN28/BI28-1</f>
        <v>-0.89412852519648633</v>
      </c>
      <c r="BO101" s="135">
        <f>BO28/BJ28-1</f>
        <v>-0.89019851116625304</v>
      </c>
      <c r="BP101" s="553">
        <f>+BP28/BK28-1</f>
        <v>-0.8117045892788276</v>
      </c>
      <c r="BQ101" s="133">
        <f>BQ28/BL28-1</f>
        <v>-0.85661424606845515</v>
      </c>
      <c r="BR101" s="133">
        <f>BR28/BM28-1</f>
        <v>-0.66309012875536477</v>
      </c>
      <c r="BS101" s="133">
        <f>BS28/BN28-1</f>
        <v>-0.27947598253275108</v>
      </c>
      <c r="BT101" s="133">
        <f>BT28/BO28-1</f>
        <v>0.59322033898305082</v>
      </c>
      <c r="BU101" s="581">
        <f>+BU28/BP28-1</f>
        <v>-0.61136712749615973</v>
      </c>
      <c r="BV101" s="1282"/>
      <c r="BW101" s="1282"/>
      <c r="BX101" s="1282"/>
      <c r="BY101" s="1283"/>
      <c r="BZ101" s="553"/>
      <c r="CA101" s="133"/>
      <c r="CB101" s="133"/>
      <c r="CC101" s="133"/>
      <c r="CD101" s="133"/>
      <c r="CE101" s="134"/>
      <c r="CF101" s="133"/>
      <c r="CG101" s="133">
        <f>CG28/CB28-1</f>
        <v>-8.2139848357203005E-2</v>
      </c>
      <c r="CH101" s="133">
        <f>CH28/CC28-1</f>
        <v>1.8808777429467183E-2</v>
      </c>
      <c r="CI101" s="133">
        <f>CI28/CD28-1</f>
        <v>-2.9237194987909443E-2</v>
      </c>
      <c r="CJ101" s="134">
        <f>+CJ28/CE28-1</f>
        <v>-4.9129593810444905E-2</v>
      </c>
      <c r="CK101" s="133">
        <f>CK28/CF28-1</f>
        <v>9.0674909840288365E-2</v>
      </c>
      <c r="CL101" s="133">
        <f>CL28/CG28-1</f>
        <v>5.5988985773290478E-2</v>
      </c>
      <c r="CM101" s="133">
        <f>CM28/CH28-1</f>
        <v>8.4175824175824143E-2</v>
      </c>
      <c r="CN101" s="133">
        <f>CN28/CI28-1</f>
        <v>7.2010869565217295E-2</v>
      </c>
      <c r="CO101" s="134">
        <f>+CO28/CJ28-1</f>
        <v>7.5380681157735552E-2</v>
      </c>
      <c r="CP101" s="133">
        <f>CP28/CK28-1</f>
        <v>1.34624468587623E-2</v>
      </c>
      <c r="CQ101" s="133">
        <f>CQ28/CL28-1</f>
        <v>6.1517879964841704E-2</v>
      </c>
      <c r="CR101" s="133">
        <f>CR28/CM28-1</f>
        <v>1.2463153427799689E-2</v>
      </c>
      <c r="CS101" s="135">
        <f>CS28/CN28-1</f>
        <v>3.1234385668440945E-2</v>
      </c>
      <c r="CT101" s="553">
        <f>+CT28/CO28-1</f>
        <v>2.9695163012048775E-2</v>
      </c>
      <c r="CU101" s="133">
        <f>CU28/CP28-1</f>
        <v>3.7582508766716538E-2</v>
      </c>
      <c r="CV101" s="133">
        <f>CV28/CQ28-1</f>
        <v>3.9136169198985771E-2</v>
      </c>
      <c r="CW101" s="133">
        <f>CW28/CR28-1</f>
        <v>4.2314802656347572E-2</v>
      </c>
      <c r="CX101" s="135">
        <f>CX28/CS28-1</f>
        <v>4.6311927588171153E-2</v>
      </c>
      <c r="CY101" s="553">
        <f>+CY28/CT28-1</f>
        <v>4.1458177189134471E-2</v>
      </c>
      <c r="CZ101" s="133">
        <f>CZ28/CU28-1</f>
        <v>6.5376796524843739E-2</v>
      </c>
      <c r="DA101" s="133">
        <f>DA28/CV28-1</f>
        <v>5.6188669940602232E-2</v>
      </c>
      <c r="DB101" s="133">
        <f>DB28/CW28-1</f>
        <v>5.8809816201917053E-2</v>
      </c>
      <c r="DC101" s="135">
        <f>DC28/CX28-1</f>
        <v>6.2573086568686431E-2</v>
      </c>
      <c r="DD101" s="553">
        <f>+DD28/CY28-1</f>
        <v>6.0581526231419991E-2</v>
      </c>
      <c r="DE101" s="133">
        <f>DE28/CZ28-1</f>
        <v>0.10115454512424016</v>
      </c>
      <c r="DF101" s="133">
        <f>DF28/DA28-1</f>
        <v>5.2399161582544762E-2</v>
      </c>
      <c r="DG101" s="133">
        <f>DG28/DB28-1</f>
        <v>9.1923909090919853E-2</v>
      </c>
      <c r="DH101" s="135">
        <f>DH28/DC28-1</f>
        <v>9.3225794130841644E-2</v>
      </c>
      <c r="DI101" s="553">
        <f>+DI28/DD28-1</f>
        <v>8.4270447314885422E-2</v>
      </c>
      <c r="DJ101" s="133">
        <f>DJ28/DE28-1</f>
        <v>2.995418260384608E-2</v>
      </c>
      <c r="DK101" s="133">
        <f>DK28/DF28-1</f>
        <v>3.187642848393657E-2</v>
      </c>
      <c r="DL101" s="133">
        <f>DL28/DG28-1</f>
        <v>3.3561953049061177E-2</v>
      </c>
      <c r="DM101" s="135">
        <f>DM28/DH28-1</f>
        <v>3.4152042623701639E-2</v>
      </c>
      <c r="DN101" s="553">
        <f>+DN28/DI28-1</f>
        <v>3.2472756428312488E-2</v>
      </c>
      <c r="DO101" s="133">
        <f>DO28/DJ28-1</f>
        <v>5.8527359035238868E-2</v>
      </c>
      <c r="DP101" s="133">
        <f>DP28/DK28-1</f>
        <v>5.7850383192282084E-2</v>
      </c>
      <c r="DQ101" s="133">
        <f>DQ28/DL28-1</f>
        <v>5.7967513259131298E-2</v>
      </c>
      <c r="DR101" s="135">
        <f>DR28/DM28-1</f>
        <v>5.7665286906541047E-2</v>
      </c>
      <c r="DS101" s="553">
        <f>+DS28/DN28-1</f>
        <v>5.7987686566945973E-2</v>
      </c>
      <c r="DT101" s="133">
        <f>DT28/DO28-1</f>
        <v>0.1881377907496562</v>
      </c>
      <c r="DU101" s="133">
        <f>DU28/DP28-1</f>
        <v>0.17008048728328351</v>
      </c>
      <c r="DV101" s="133">
        <f>DV28/DQ28-1</f>
        <v>0.17014482161913103</v>
      </c>
      <c r="DW101" s="135">
        <f>DW28/DR28-1</f>
        <v>0.16651922331017865</v>
      </c>
      <c r="DX101" s="553">
        <f>+DX28/DS28-1</f>
        <v>0.17329563397692782</v>
      </c>
      <c r="DY101" s="133">
        <f>DY28/DT28-1</f>
        <v>4.5686285661626025E-2</v>
      </c>
      <c r="DZ101" s="133">
        <f>DZ28/DU28-1</f>
        <v>5.6770297689879623E-2</v>
      </c>
      <c r="EA101" s="133">
        <f>EA28/DV28-1</f>
        <v>5.6853419660146676E-2</v>
      </c>
      <c r="EB101" s="135">
        <f>EB28/DW28-1</f>
        <v>5.657494391869311E-2</v>
      </c>
      <c r="EC101" s="553">
        <f>+EC28/DX28-1</f>
        <v>5.4177274193235148E-2</v>
      </c>
      <c r="ED101" s="16"/>
      <c r="EE101" s="132"/>
      <c r="EF101" s="133">
        <f>EF28/EE28-1</f>
        <v>8.6956521739130377E-2</v>
      </c>
      <c r="EG101" s="133">
        <f>EG28/EF28-1</f>
        <v>8.5925925925925961E-2</v>
      </c>
      <c r="EH101" s="133">
        <f>EH28/EG28-1</f>
        <v>0.11186903137789894</v>
      </c>
      <c r="EI101" s="133">
        <f>EI28/EH28-1</f>
        <v>-5.9509202453987831E-3</v>
      </c>
      <c r="EJ101" s="133">
        <f>EJ28/EI28-1</f>
        <v>-5.4187496142689584E-2</v>
      </c>
      <c r="EK101" s="133">
        <f t="shared" ref="EK101:EK117" si="529">BF101</f>
        <v>-5.5530179445350658E-2</v>
      </c>
      <c r="EL101" s="133">
        <f t="shared" ref="EL101:EL117" si="530">BK101</f>
        <v>-0.28340472571507536</v>
      </c>
      <c r="EM101" s="133">
        <f t="shared" ref="EM101:EM117" si="531">BP101</f>
        <v>-0.8117045892788276</v>
      </c>
      <c r="EN101" s="133">
        <f t="shared" ref="EN101:EN117" si="532">BU101</f>
        <v>-0.61136712749615973</v>
      </c>
      <c r="EO101" s="133">
        <f t="shared" si="264"/>
        <v>0</v>
      </c>
      <c r="EP101" s="133">
        <f t="shared" si="514"/>
        <v>-4.9129593810444905E-2</v>
      </c>
      <c r="EQ101" s="133">
        <f t="shared" si="515"/>
        <v>7.5380681157735552E-2</v>
      </c>
      <c r="ER101" s="135">
        <f t="shared" si="516"/>
        <v>2.9695163012048775E-2</v>
      </c>
      <c r="ES101" s="16"/>
      <c r="ET101" s="16"/>
      <c r="EU101" s="16"/>
      <c r="EX101" s="560" t="s">
        <v>157</v>
      </c>
      <c r="EY101" s="126">
        <f t="shared" si="517"/>
        <v>1.34624468587623E-2</v>
      </c>
      <c r="EZ101" s="126">
        <v>0.10723736374244242</v>
      </c>
      <c r="FA101" s="126">
        <f t="shared" si="527"/>
        <v>-9.3774916883680115E-2</v>
      </c>
      <c r="FB101" s="126">
        <f t="shared" si="518"/>
        <v>9.0674909840288365E-2</v>
      </c>
      <c r="FC101" s="970"/>
      <c r="FD101" s="16"/>
    </row>
    <row r="102" spans="1:166" ht="11.25" hidden="1" customHeight="1" outlineLevel="1" x14ac:dyDescent="0.2">
      <c r="A102" s="624" t="s">
        <v>58</v>
      </c>
      <c r="B102" s="134"/>
      <c r="C102" s="132"/>
      <c r="D102" s="133"/>
      <c r="E102" s="133"/>
      <c r="F102" s="135"/>
      <c r="G102" s="134">
        <f>G31/B31-1</f>
        <v>-1.6949152542372836E-2</v>
      </c>
      <c r="H102" s="132"/>
      <c r="I102" s="133"/>
      <c r="J102" s="133"/>
      <c r="K102" s="133"/>
      <c r="L102" s="134">
        <f>L31/G31-1</f>
        <v>-5.1724137931034475E-2</v>
      </c>
      <c r="M102" s="133"/>
      <c r="N102" s="133"/>
      <c r="O102" s="133"/>
      <c r="P102" s="135"/>
      <c r="Q102" s="134">
        <f>Q31/L31-1</f>
        <v>5.4545454545454453E-2</v>
      </c>
      <c r="R102" s="133"/>
      <c r="S102" s="133"/>
      <c r="T102" s="133"/>
      <c r="U102" s="133"/>
      <c r="V102" s="134">
        <f t="shared" ref="V102:AU102" si="533">V31/Q31-1</f>
        <v>0.10344827586206895</v>
      </c>
      <c r="W102" s="133">
        <f t="shared" si="533"/>
        <v>0</v>
      </c>
      <c r="X102" s="133">
        <f t="shared" si="533"/>
        <v>-6.6666666666666652E-2</v>
      </c>
      <c r="Y102" s="133">
        <f t="shared" si="533"/>
        <v>0</v>
      </c>
      <c r="Z102" s="133">
        <f t="shared" si="533"/>
        <v>-0.2857142857142857</v>
      </c>
      <c r="AA102" s="134">
        <f t="shared" si="533"/>
        <v>-0.109375</v>
      </c>
      <c r="AB102" s="133">
        <f t="shared" si="533"/>
        <v>0.14285714285714279</v>
      </c>
      <c r="AC102" s="133">
        <f t="shared" si="533"/>
        <v>7.1428571428571397E-2</v>
      </c>
      <c r="AD102" s="133">
        <f t="shared" si="533"/>
        <v>0</v>
      </c>
      <c r="AE102" s="133">
        <f t="shared" si="533"/>
        <v>6.6666666666666652E-2</v>
      </c>
      <c r="AF102" s="134">
        <f t="shared" si="533"/>
        <v>7.0175438596491224E-2</v>
      </c>
      <c r="AG102" s="133">
        <f t="shared" si="533"/>
        <v>-0.125</v>
      </c>
      <c r="AH102" s="133">
        <f t="shared" si="533"/>
        <v>6.6666666666666652E-2</v>
      </c>
      <c r="AI102" s="133">
        <f t="shared" si="533"/>
        <v>7.1428571428571397E-2</v>
      </c>
      <c r="AJ102" s="553">
        <f t="shared" si="533"/>
        <v>6.25E-2</v>
      </c>
      <c r="AK102" s="135">
        <f t="shared" si="533"/>
        <v>1.6393442622950838E-2</v>
      </c>
      <c r="AL102" s="133">
        <f t="shared" si="533"/>
        <v>7.1428571428571397E-2</v>
      </c>
      <c r="AM102" s="133">
        <f t="shared" si="533"/>
        <v>-0.125</v>
      </c>
      <c r="AN102" s="133">
        <f t="shared" si="533"/>
        <v>-0.1333333333333333</v>
      </c>
      <c r="AO102" s="135">
        <f t="shared" si="533"/>
        <v>-5.8823529411764719E-2</v>
      </c>
      <c r="AP102" s="135">
        <f t="shared" si="533"/>
        <v>-6.4516129032258118E-2</v>
      </c>
      <c r="AQ102" s="133">
        <f t="shared" si="533"/>
        <v>-2.0000000000000018E-2</v>
      </c>
      <c r="AR102" s="133">
        <f t="shared" si="533"/>
        <v>5.7142857142857162E-2</v>
      </c>
      <c r="AS102" s="133">
        <f t="shared" si="533"/>
        <v>0.16923076923076907</v>
      </c>
      <c r="AT102" s="133">
        <f t="shared" si="533"/>
        <v>-8.1250000000000044E-2</v>
      </c>
      <c r="AU102" s="132">
        <f t="shared" si="533"/>
        <v>2.4137931034482918E-2</v>
      </c>
      <c r="AV102" s="157"/>
      <c r="AW102" s="133">
        <f t="shared" ref="AW102:AX105" si="534">AW31/AN31-1</f>
        <v>0.26923076923076916</v>
      </c>
      <c r="AX102" s="133">
        <f t="shared" si="534"/>
        <v>3.125E-2</v>
      </c>
      <c r="AY102" s="133">
        <f t="shared" ref="AY102:AZ105" si="535">AY31/AQ31-1</f>
        <v>0.24489795918367352</v>
      </c>
      <c r="AZ102" s="133">
        <f t="shared" si="535"/>
        <v>0.70270270270270263</v>
      </c>
      <c r="BA102" s="581">
        <f>BA31/SUM(AN31:AO31,AQ31:AR31)-1</f>
        <v>0.30769230769230771</v>
      </c>
      <c r="BB102" s="133">
        <f t="shared" ref="BB102:BK104" si="536">BB31/AW31-1</f>
        <v>0.40000000000000013</v>
      </c>
      <c r="BC102" s="133">
        <f t="shared" si="536"/>
        <v>0.40606060606060601</v>
      </c>
      <c r="BD102" s="133">
        <f t="shared" si="536"/>
        <v>0.38251366120218577</v>
      </c>
      <c r="BE102" s="135">
        <f t="shared" si="536"/>
        <v>1.1904761904761862E-2</v>
      </c>
      <c r="BF102" s="553">
        <f t="shared" si="536"/>
        <v>0.26928104575163392</v>
      </c>
      <c r="BG102" s="133">
        <f t="shared" si="536"/>
        <v>3.0303030303030276E-2</v>
      </c>
      <c r="BH102" s="133">
        <f t="shared" si="536"/>
        <v>0.22844827586206895</v>
      </c>
      <c r="BI102" s="133">
        <f t="shared" si="536"/>
        <v>0.49011857707509887</v>
      </c>
      <c r="BJ102" s="135">
        <f t="shared" si="536"/>
        <v>-1.5686274509803866E-2</v>
      </c>
      <c r="BK102" s="553">
        <f t="shared" si="536"/>
        <v>0.18537590113285285</v>
      </c>
      <c r="BL102" s="133">
        <f t="shared" ref="BL102:BU104" si="537">BL31/BG31-1</f>
        <v>0.52521008403361336</v>
      </c>
      <c r="BM102" s="133">
        <f t="shared" si="537"/>
        <v>0.28771929824561404</v>
      </c>
      <c r="BN102" s="133">
        <f t="shared" si="537"/>
        <v>7.4270557029177731E-2</v>
      </c>
      <c r="BO102" s="135">
        <f t="shared" si="537"/>
        <v>0.54980079681274896</v>
      </c>
      <c r="BP102" s="553">
        <f t="shared" si="537"/>
        <v>0.32406602953953101</v>
      </c>
      <c r="BQ102" s="133">
        <f t="shared" si="537"/>
        <v>3.0303030303030276E-2</v>
      </c>
      <c r="BR102" s="133">
        <f t="shared" si="537"/>
        <v>-2.7247956403269713E-2</v>
      </c>
      <c r="BS102" s="133">
        <f t="shared" si="537"/>
        <v>2.2222222222222143E-2</v>
      </c>
      <c r="BT102" s="133">
        <f t="shared" si="537"/>
        <v>0.70694087403598993</v>
      </c>
      <c r="BU102" s="581">
        <f t="shared" si="537"/>
        <v>0.18700787401574792</v>
      </c>
      <c r="BV102" s="1282"/>
      <c r="BW102" s="1282"/>
      <c r="BX102" s="1282"/>
      <c r="BY102" s="1283"/>
      <c r="BZ102" s="553"/>
      <c r="CA102" s="133">
        <f t="shared" ref="CA102:DF102" si="538">CA31/BV31-1</f>
        <v>-3.8580246913577643E-3</v>
      </c>
      <c r="CB102" s="133">
        <f t="shared" si="538"/>
        <v>-0.12256669069935111</v>
      </c>
      <c r="CC102" s="133">
        <f t="shared" si="538"/>
        <v>-0.26713645099295313</v>
      </c>
      <c r="CD102" s="133">
        <f t="shared" si="538"/>
        <v>-0.20962199312714769</v>
      </c>
      <c r="CE102" s="134">
        <f t="shared" si="538"/>
        <v>-0.15993322203672777</v>
      </c>
      <c r="CF102" s="133">
        <f t="shared" si="538"/>
        <v>-0.19287374128582513</v>
      </c>
      <c r="CG102" s="133">
        <f t="shared" si="538"/>
        <v>-6.2448644207066528E-2</v>
      </c>
      <c r="CH102" s="133">
        <f t="shared" si="538"/>
        <v>-2.1853146853146876E-2</v>
      </c>
      <c r="CI102" s="133">
        <f t="shared" si="538"/>
        <v>-5.3623188405797162E-2</v>
      </c>
      <c r="CJ102" s="134">
        <f t="shared" si="538"/>
        <v>-8.4260731319555027E-2</v>
      </c>
      <c r="CK102" s="133">
        <f t="shared" si="538"/>
        <v>6.5259117082533624E-2</v>
      </c>
      <c r="CL102" s="133">
        <f t="shared" si="538"/>
        <v>-3.5056967572304476E-3</v>
      </c>
      <c r="CM102" s="133">
        <f t="shared" si="538"/>
        <v>5.8981233243967868E-2</v>
      </c>
      <c r="CN102" s="133">
        <f t="shared" si="538"/>
        <v>2.9096477794793518E-2</v>
      </c>
      <c r="CO102" s="134">
        <f t="shared" si="538"/>
        <v>3.6458333333333481E-2</v>
      </c>
      <c r="CP102" s="133">
        <f t="shared" si="538"/>
        <v>-5.9459459459459407E-2</v>
      </c>
      <c r="CQ102" s="133">
        <f t="shared" si="538"/>
        <v>-7.9751603691538553E-2</v>
      </c>
      <c r="CR102" s="133">
        <f t="shared" si="538"/>
        <v>-0.1240112246794165</v>
      </c>
      <c r="CS102" s="135">
        <f t="shared" si="538"/>
        <v>-0.13388277849059982</v>
      </c>
      <c r="CT102" s="553">
        <f t="shared" si="538"/>
        <v>-0.10124985949199206</v>
      </c>
      <c r="CU102" s="133">
        <f t="shared" si="538"/>
        <v>6.7069006651917951E-2</v>
      </c>
      <c r="CV102" s="133">
        <f t="shared" si="538"/>
        <v>4.845179991368842E-2</v>
      </c>
      <c r="CW102" s="133">
        <f t="shared" si="538"/>
        <v>4.9040640721296214E-2</v>
      </c>
      <c r="CX102" s="135">
        <f t="shared" si="538"/>
        <v>5.2658304792770005E-2</v>
      </c>
      <c r="CY102" s="553">
        <f t="shared" si="538"/>
        <v>5.426301518406107E-2</v>
      </c>
      <c r="CZ102" s="133">
        <f t="shared" si="538"/>
        <v>0.24916990929636262</v>
      </c>
      <c r="DA102" s="133">
        <f t="shared" si="538"/>
        <v>3.4969176857024831E-2</v>
      </c>
      <c r="DB102" s="133">
        <f t="shared" si="538"/>
        <v>3.4099428028934176E-2</v>
      </c>
      <c r="DC102" s="135">
        <f t="shared" si="538"/>
        <v>3.6132708709180061E-2</v>
      </c>
      <c r="DD102" s="553">
        <f t="shared" si="538"/>
        <v>8.780541936820252E-2</v>
      </c>
      <c r="DE102" s="133">
        <f t="shared" si="538"/>
        <v>4.1790489646389872E-2</v>
      </c>
      <c r="DF102" s="133">
        <f t="shared" si="538"/>
        <v>0.25410755578533917</v>
      </c>
      <c r="DG102" s="133">
        <f t="shared" ref="DG102:DX102" si="539">DG31/DB31-1</f>
        <v>0.26619716062218202</v>
      </c>
      <c r="DH102" s="135">
        <f t="shared" si="539"/>
        <v>0.25494739032184954</v>
      </c>
      <c r="DI102" s="553">
        <f t="shared" si="539"/>
        <v>0.19706970869130691</v>
      </c>
      <c r="DJ102" s="133">
        <f t="shared" si="539"/>
        <v>5.4205334837806429E-2</v>
      </c>
      <c r="DK102" s="133">
        <f t="shared" si="539"/>
        <v>5.0519077800723844E-2</v>
      </c>
      <c r="DL102" s="133">
        <f t="shared" si="539"/>
        <v>5.1382842736024559E-2</v>
      </c>
      <c r="DM102" s="135">
        <f t="shared" si="539"/>
        <v>5.1848793594756248E-2</v>
      </c>
      <c r="DN102" s="553">
        <f t="shared" si="539"/>
        <v>5.1994507829883352E-2</v>
      </c>
      <c r="DO102" s="133">
        <f t="shared" si="539"/>
        <v>6.2596203172644138E-2</v>
      </c>
      <c r="DP102" s="133">
        <f t="shared" si="539"/>
        <v>5.8580864966184087E-2</v>
      </c>
      <c r="DQ102" s="133">
        <f t="shared" si="539"/>
        <v>5.8588186509844764E-2</v>
      </c>
      <c r="DR102" s="135">
        <f t="shared" si="539"/>
        <v>5.8418907231627681E-2</v>
      </c>
      <c r="DS102" s="553">
        <f t="shared" si="539"/>
        <v>5.952878385404814E-2</v>
      </c>
      <c r="DT102" s="133">
        <f t="shared" si="539"/>
        <v>3.5062869466965685E-2</v>
      </c>
      <c r="DU102" s="133">
        <f t="shared" si="539"/>
        <v>2.563379419611489E-2</v>
      </c>
      <c r="DV102" s="133">
        <f t="shared" si="539"/>
        <v>2.8055889965402647E-2</v>
      </c>
      <c r="DW102" s="135">
        <f t="shared" si="539"/>
        <v>2.0863072501279278E-2</v>
      </c>
      <c r="DX102" s="553">
        <f t="shared" si="539"/>
        <v>2.7261948707366646E-2</v>
      </c>
      <c r="DY102" s="133">
        <f t="shared" ref="DY102" si="540">DY31/DT31-1</f>
        <v>4.8367321299264798E-2</v>
      </c>
      <c r="DZ102" s="133">
        <f t="shared" ref="DZ102" si="541">DZ31/DU31-1</f>
        <v>5.7538119242378727E-2</v>
      </c>
      <c r="EA102" s="133">
        <f t="shared" ref="EA102" si="542">EA31/DV31-1</f>
        <v>5.7636539109590768E-2</v>
      </c>
      <c r="EB102" s="135">
        <f t="shared" ref="EB102" si="543">EB31/DW31-1</f>
        <v>5.7050179309200422E-2</v>
      </c>
      <c r="EC102" s="553">
        <f t="shared" ref="EC102" si="544">EC31/DX31-1</f>
        <v>5.5146248511487306E-2</v>
      </c>
      <c r="ED102" s="16"/>
      <c r="EE102" s="132"/>
      <c r="EF102" s="133">
        <f>EF31/EE31-1</f>
        <v>-4.7619047619047672E-2</v>
      </c>
      <c r="EG102" s="133">
        <f>EG31/EF31-1</f>
        <v>0</v>
      </c>
      <c r="EH102" s="133">
        <f>EH31/EG31-1</f>
        <v>1.6666666666666607E-2</v>
      </c>
      <c r="EI102" s="133">
        <f>EI31/EH31-1</f>
        <v>-4.0983606557377095E-2</v>
      </c>
      <c r="EJ102" s="133">
        <f>EJ31/EI31-1</f>
        <v>0.30769230769230771</v>
      </c>
      <c r="EK102" s="133">
        <f t="shared" si="529"/>
        <v>0.26928104575163392</v>
      </c>
      <c r="EL102" s="133">
        <f t="shared" si="530"/>
        <v>0.18537590113285285</v>
      </c>
      <c r="EM102" s="133">
        <f t="shared" si="531"/>
        <v>0.32406602953953101</v>
      </c>
      <c r="EN102" s="133">
        <f t="shared" si="532"/>
        <v>0.18700787401574792</v>
      </c>
      <c r="EO102" s="133">
        <f t="shared" si="264"/>
        <v>-0.15993322203672777</v>
      </c>
      <c r="EP102" s="133">
        <f t="shared" si="514"/>
        <v>-8.4260731319555027E-2</v>
      </c>
      <c r="EQ102" s="133">
        <f t="shared" si="515"/>
        <v>3.6458333333333481E-2</v>
      </c>
      <c r="ER102" s="135">
        <f t="shared" si="516"/>
        <v>-0.10124985949199206</v>
      </c>
      <c r="ES102" s="16"/>
      <c r="ET102" s="16"/>
      <c r="EU102" s="16"/>
      <c r="EX102" s="563" t="s">
        <v>58</v>
      </c>
      <c r="EY102" s="126">
        <f t="shared" si="517"/>
        <v>-5.9459459459459407E-2</v>
      </c>
      <c r="EZ102" s="126">
        <v>7.9344003308120081E-2</v>
      </c>
      <c r="FA102" s="126">
        <f t="shared" si="527"/>
        <v>-0.13880346276757949</v>
      </c>
      <c r="FB102" s="126">
        <f t="shared" si="518"/>
        <v>6.5259117082533624E-2</v>
      </c>
      <c r="FC102" s="970"/>
      <c r="FD102" s="16"/>
    </row>
    <row r="103" spans="1:166" ht="11.25" hidden="1" customHeight="1" outlineLevel="1" x14ac:dyDescent="0.2">
      <c r="A103" s="98" t="s">
        <v>391</v>
      </c>
      <c r="B103" s="134"/>
      <c r="C103" s="132"/>
      <c r="D103" s="133"/>
      <c r="E103" s="133"/>
      <c r="F103" s="135"/>
      <c r="G103" s="134"/>
      <c r="H103" s="132"/>
      <c r="I103" s="133"/>
      <c r="J103" s="133"/>
      <c r="K103" s="133"/>
      <c r="L103" s="134"/>
      <c r="M103" s="133"/>
      <c r="N103" s="133"/>
      <c r="O103" s="133"/>
      <c r="P103" s="135"/>
      <c r="Q103" s="134"/>
      <c r="R103" s="133"/>
      <c r="S103" s="133"/>
      <c r="T103" s="133"/>
      <c r="U103" s="133"/>
      <c r="V103" s="134"/>
      <c r="W103" s="133"/>
      <c r="X103" s="133"/>
      <c r="Y103" s="133"/>
      <c r="Z103" s="133">
        <f>Z32/U32-1</f>
        <v>-5.0000000000000044E-2</v>
      </c>
      <c r="AA103" s="134"/>
      <c r="AB103" s="133">
        <f t="shared" ref="AB103:AK104" si="545">AB32/W32-1</f>
        <v>0.11764705882352944</v>
      </c>
      <c r="AC103" s="133">
        <f t="shared" si="545"/>
        <v>0.38888888888888884</v>
      </c>
      <c r="AD103" s="133">
        <f t="shared" si="545"/>
        <v>5.555555555555558E-2</v>
      </c>
      <c r="AE103" s="133">
        <f t="shared" si="545"/>
        <v>5.2631578947368363E-2</v>
      </c>
      <c r="AF103" s="134">
        <f t="shared" si="545"/>
        <v>0.15277777777777768</v>
      </c>
      <c r="AG103" s="133">
        <f t="shared" si="545"/>
        <v>0.21052631578947367</v>
      </c>
      <c r="AH103" s="133">
        <f t="shared" si="545"/>
        <v>-4.0000000000000036E-2</v>
      </c>
      <c r="AI103" s="133">
        <f t="shared" si="545"/>
        <v>0.15789473684210531</v>
      </c>
      <c r="AJ103" s="553">
        <f t="shared" si="545"/>
        <v>0.19999999999999996</v>
      </c>
      <c r="AK103" s="135">
        <f t="shared" si="545"/>
        <v>0.12048192771084332</v>
      </c>
      <c r="AL103" s="133">
        <f t="shared" ref="AL103:AU104" si="546">AL32/AG32-1</f>
        <v>4.3478260869565188E-2</v>
      </c>
      <c r="AM103" s="133">
        <f t="shared" si="546"/>
        <v>0</v>
      </c>
      <c r="AN103" s="133">
        <f t="shared" si="546"/>
        <v>0</v>
      </c>
      <c r="AO103" s="135">
        <f t="shared" si="546"/>
        <v>-3.7499999999999978E-2</v>
      </c>
      <c r="AP103" s="135">
        <f t="shared" si="546"/>
        <v>1.0752688172042113E-3</v>
      </c>
      <c r="AQ103" s="133">
        <f t="shared" si="546"/>
        <v>-2.083333333333337E-2</v>
      </c>
      <c r="AR103" s="133">
        <f t="shared" si="546"/>
        <v>-1.6666666666666607E-2</v>
      </c>
      <c r="AS103" s="133">
        <f t="shared" si="546"/>
        <v>-1.8181818181818077E-2</v>
      </c>
      <c r="AT103" s="133">
        <f t="shared" si="546"/>
        <v>-2.1645021645021689E-2</v>
      </c>
      <c r="AU103" s="132">
        <f t="shared" si="546"/>
        <v>-1.9334049409237219E-2</v>
      </c>
      <c r="AV103" s="889"/>
      <c r="AW103" s="133">
        <f t="shared" si="534"/>
        <v>-1.8181818181818077E-2</v>
      </c>
      <c r="AX103" s="133">
        <f t="shared" si="534"/>
        <v>-1.7316017316017396E-2</v>
      </c>
      <c r="AY103" s="133">
        <f t="shared" si="535"/>
        <v>-0.11489361702127654</v>
      </c>
      <c r="AZ103" s="133">
        <f t="shared" si="535"/>
        <v>-0.10169491525423735</v>
      </c>
      <c r="BA103" s="581">
        <f>BA32/SUM(AN32:AO32,AQ32:AR32)-1</f>
        <v>-6.399132321041201E-2</v>
      </c>
      <c r="BB103" s="133">
        <f t="shared" si="536"/>
        <v>-0.12037037037037046</v>
      </c>
      <c r="BC103" s="133">
        <f t="shared" si="536"/>
        <v>-0.10132158590308371</v>
      </c>
      <c r="BD103" s="133">
        <f t="shared" si="536"/>
        <v>-0.10096153846153855</v>
      </c>
      <c r="BE103" s="135">
        <f t="shared" si="536"/>
        <v>-5.1886792452830122E-2</v>
      </c>
      <c r="BF103" s="553">
        <f t="shared" si="536"/>
        <v>-9.3858632676709242E-2</v>
      </c>
      <c r="BG103" s="133">
        <f t="shared" si="536"/>
        <v>-0.12105263157894741</v>
      </c>
      <c r="BH103" s="133">
        <f t="shared" si="536"/>
        <v>-0.34313725490196068</v>
      </c>
      <c r="BI103" s="133">
        <f t="shared" si="536"/>
        <v>-0.44385026737967914</v>
      </c>
      <c r="BJ103" s="135">
        <f t="shared" si="536"/>
        <v>-0.61194029850746268</v>
      </c>
      <c r="BK103" s="553">
        <f t="shared" si="536"/>
        <v>-0.38235294117647056</v>
      </c>
      <c r="BL103" s="133">
        <f t="shared" si="537"/>
        <v>-0.77844311377245501</v>
      </c>
      <c r="BM103" s="133">
        <f t="shared" si="537"/>
        <v>-0.92537313432835822</v>
      </c>
      <c r="BN103" s="133">
        <f t="shared" si="537"/>
        <v>-0.875</v>
      </c>
      <c r="BO103" s="135">
        <f t="shared" si="537"/>
        <v>-0.97435897435897434</v>
      </c>
      <c r="BP103" s="553">
        <f t="shared" si="537"/>
        <v>-0.87163561076604557</v>
      </c>
      <c r="BQ103" s="133">
        <f t="shared" si="537"/>
        <v>-0.94594594594594594</v>
      </c>
      <c r="BR103" s="133">
        <f t="shared" si="537"/>
        <v>-0.9</v>
      </c>
      <c r="BS103" s="133">
        <f t="shared" si="537"/>
        <v>-0.53846153846153855</v>
      </c>
      <c r="BT103" s="133">
        <f t="shared" si="537"/>
        <v>6.5</v>
      </c>
      <c r="BU103" s="581">
        <f t="shared" si="537"/>
        <v>-0.61290322580645162</v>
      </c>
      <c r="BV103" s="1282"/>
      <c r="BW103" s="1282"/>
      <c r="BX103" s="1282"/>
      <c r="BY103" s="1283"/>
      <c r="BZ103" s="553"/>
      <c r="CA103" s="133"/>
      <c r="CB103" s="133"/>
      <c r="CC103" s="133"/>
      <c r="CD103" s="133"/>
      <c r="CE103" s="134"/>
      <c r="CF103" s="133"/>
      <c r="CG103" s="133"/>
      <c r="CH103" s="133"/>
      <c r="CI103" s="133"/>
      <c r="CJ103" s="134"/>
      <c r="CK103" s="133"/>
      <c r="CL103" s="133"/>
      <c r="CM103" s="133"/>
      <c r="CN103" s="133"/>
      <c r="CO103" s="134"/>
      <c r="CP103" s="133"/>
      <c r="CQ103" s="133"/>
      <c r="CR103" s="133"/>
      <c r="CS103" s="135"/>
      <c r="CT103" s="553"/>
      <c r="CU103" s="133"/>
      <c r="CV103" s="133"/>
      <c r="CW103" s="133"/>
      <c r="CX103" s="135"/>
      <c r="CY103" s="553"/>
      <c r="CZ103" s="133"/>
      <c r="DA103" s="133"/>
      <c r="DB103" s="133"/>
      <c r="DC103" s="135"/>
      <c r="DD103" s="553"/>
      <c r="DE103" s="133"/>
      <c r="DF103" s="133"/>
      <c r="DG103" s="133"/>
      <c r="DH103" s="135"/>
      <c r="DI103" s="553"/>
      <c r="DJ103" s="133"/>
      <c r="DK103" s="133"/>
      <c r="DL103" s="133"/>
      <c r="DM103" s="135"/>
      <c r="DN103" s="553"/>
      <c r="DO103" s="133"/>
      <c r="DP103" s="133"/>
      <c r="DQ103" s="133"/>
      <c r="DR103" s="135"/>
      <c r="DS103" s="553"/>
      <c r="DT103" s="133"/>
      <c r="DU103" s="133"/>
      <c r="DV103" s="133"/>
      <c r="DW103" s="135"/>
      <c r="DX103" s="553"/>
      <c r="DY103" s="133"/>
      <c r="DZ103" s="133"/>
      <c r="EA103" s="133"/>
      <c r="EB103" s="135"/>
      <c r="EC103" s="553"/>
      <c r="ED103" s="16"/>
      <c r="EE103" s="132"/>
      <c r="EF103" s="133"/>
      <c r="EG103" s="133">
        <f t="shared" ref="EG103:EI105" si="547">EG32/EF32-1</f>
        <v>6.1728395061728447E-2</v>
      </c>
      <c r="EH103" s="133">
        <f t="shared" si="547"/>
        <v>9.3023255813953432E-2</v>
      </c>
      <c r="EI103" s="133">
        <f t="shared" si="547"/>
        <v>-1.9148936170212738E-2</v>
      </c>
      <c r="EJ103" s="133"/>
      <c r="EK103" s="133">
        <f t="shared" si="529"/>
        <v>-9.3858632676709242E-2</v>
      </c>
      <c r="EL103" s="133">
        <f t="shared" si="530"/>
        <v>-0.38235294117647056</v>
      </c>
      <c r="EM103" s="133">
        <f t="shared" si="531"/>
        <v>-0.87163561076604557</v>
      </c>
      <c r="EN103" s="133">
        <f t="shared" si="532"/>
        <v>-0.61290322580645162</v>
      </c>
      <c r="EO103" s="133">
        <f t="shared" si="264"/>
        <v>0</v>
      </c>
      <c r="EP103" s="133">
        <f t="shared" si="514"/>
        <v>0</v>
      </c>
      <c r="EQ103" s="133">
        <f t="shared" si="515"/>
        <v>0</v>
      </c>
      <c r="ER103" s="135">
        <f t="shared" si="516"/>
        <v>0</v>
      </c>
      <c r="ES103" s="16"/>
      <c r="ET103" s="16"/>
      <c r="EU103" s="16"/>
      <c r="EX103" s="558" t="s">
        <v>391</v>
      </c>
      <c r="EY103" s="126">
        <f t="shared" si="517"/>
        <v>0</v>
      </c>
      <c r="EZ103" s="126">
        <v>0</v>
      </c>
      <c r="FA103" s="126">
        <f t="shared" si="527"/>
        <v>0</v>
      </c>
      <c r="FB103" s="126">
        <f t="shared" si="518"/>
        <v>0</v>
      </c>
      <c r="FC103" s="970"/>
      <c r="FD103" s="16"/>
    </row>
    <row r="104" spans="1:166" ht="11.25" hidden="1" customHeight="1" outlineLevel="1" x14ac:dyDescent="0.2">
      <c r="A104" s="98" t="s">
        <v>392</v>
      </c>
      <c r="B104" s="134"/>
      <c r="C104" s="132"/>
      <c r="D104" s="133"/>
      <c r="E104" s="133"/>
      <c r="F104" s="135"/>
      <c r="G104" s="134"/>
      <c r="H104" s="132"/>
      <c r="I104" s="133"/>
      <c r="J104" s="133"/>
      <c r="K104" s="133"/>
      <c r="L104" s="134"/>
      <c r="M104" s="133"/>
      <c r="N104" s="133"/>
      <c r="O104" s="133"/>
      <c r="P104" s="135"/>
      <c r="Q104" s="134"/>
      <c r="R104" s="133"/>
      <c r="S104" s="133"/>
      <c r="T104" s="133"/>
      <c r="U104" s="133"/>
      <c r="V104" s="134"/>
      <c r="W104" s="133"/>
      <c r="X104" s="133"/>
      <c r="Y104" s="133"/>
      <c r="Z104" s="133">
        <f>Z33/U33-1</f>
        <v>4.5045045045045029E-2</v>
      </c>
      <c r="AA104" s="134"/>
      <c r="AB104" s="133">
        <f t="shared" si="545"/>
        <v>0.10714285714285721</v>
      </c>
      <c r="AC104" s="133">
        <f t="shared" si="545"/>
        <v>6.8181818181818121E-2</v>
      </c>
      <c r="AD104" s="133">
        <f t="shared" si="545"/>
        <v>-0.25</v>
      </c>
      <c r="AE104" s="133">
        <f t="shared" si="545"/>
        <v>-6.8965517241379337E-2</v>
      </c>
      <c r="AF104" s="134">
        <f t="shared" si="545"/>
        <v>-6.0096153846153855E-2</v>
      </c>
      <c r="AG104" s="133">
        <f t="shared" si="545"/>
        <v>3.2258064516129004E-2</v>
      </c>
      <c r="AH104" s="133">
        <f t="shared" si="545"/>
        <v>7.4468085106383031E-2</v>
      </c>
      <c r="AI104" s="133">
        <f t="shared" si="545"/>
        <v>8.3333333333333259E-2</v>
      </c>
      <c r="AJ104" s="553">
        <f t="shared" si="545"/>
        <v>-1.851851851851849E-2</v>
      </c>
      <c r="AK104" s="135">
        <f t="shared" si="545"/>
        <v>4.0920716112532007E-2</v>
      </c>
      <c r="AL104" s="133">
        <f t="shared" si="546"/>
        <v>5.2083333333333259E-2</v>
      </c>
      <c r="AM104" s="133">
        <f t="shared" si="546"/>
        <v>-4.9504950495049549E-2</v>
      </c>
      <c r="AN104" s="133">
        <f t="shared" si="546"/>
        <v>-0.10576923076923073</v>
      </c>
      <c r="AO104" s="135">
        <f t="shared" si="546"/>
        <v>1.5094339622641506E-2</v>
      </c>
      <c r="AP104" s="135">
        <f t="shared" si="546"/>
        <v>-2.3095823095823032E-2</v>
      </c>
      <c r="AQ104" s="133">
        <f t="shared" si="546"/>
        <v>7.9207920792079278E-2</v>
      </c>
      <c r="AR104" s="133">
        <f t="shared" si="546"/>
        <v>7.7083333333333393E-2</v>
      </c>
      <c r="AS104" s="133">
        <f t="shared" si="546"/>
        <v>3.4408602150537648E-2</v>
      </c>
      <c r="AT104" s="133">
        <f t="shared" si="546"/>
        <v>-8.457249070631967E-2</v>
      </c>
      <c r="AU104" s="132">
        <f t="shared" si="546"/>
        <v>2.3893360160965882E-2</v>
      </c>
      <c r="AV104" s="890"/>
      <c r="AW104" s="133">
        <f t="shared" si="534"/>
        <v>2.0430107526881791E-2</v>
      </c>
      <c r="AX104" s="133">
        <f t="shared" si="534"/>
        <v>-0.10223048327137552</v>
      </c>
      <c r="AY104" s="133">
        <f t="shared" si="535"/>
        <v>-4.4036697247706424E-2</v>
      </c>
      <c r="AZ104" s="133">
        <f t="shared" si="535"/>
        <v>1.457446808510638</v>
      </c>
      <c r="BA104" s="581">
        <f>BA33/SUM(AN33:AO33,AQ33:AR33)-1</f>
        <v>0.33123486682808712</v>
      </c>
      <c r="BB104" s="133">
        <f t="shared" si="536"/>
        <v>-0.14225500526870394</v>
      </c>
      <c r="BC104" s="133">
        <f t="shared" si="536"/>
        <v>-0.18322981366459612</v>
      </c>
      <c r="BD104" s="133">
        <f t="shared" si="536"/>
        <v>-0.18809980806142046</v>
      </c>
      <c r="BE104" s="135">
        <f t="shared" si="536"/>
        <v>-0.62888626524990165</v>
      </c>
      <c r="BF104" s="553">
        <f t="shared" si="536"/>
        <v>-0.38304838122953799</v>
      </c>
      <c r="BG104" s="133">
        <f t="shared" si="536"/>
        <v>-3.8083538083538149E-2</v>
      </c>
      <c r="BH104" s="133">
        <f t="shared" si="536"/>
        <v>4.4359949302914981E-2</v>
      </c>
      <c r="BI104" s="133">
        <f t="shared" si="536"/>
        <v>-0.20567375886524819</v>
      </c>
      <c r="BJ104" s="135">
        <f t="shared" si="536"/>
        <v>-0.24284199363732761</v>
      </c>
      <c r="BK104" s="553">
        <f t="shared" si="536"/>
        <v>-0.11762971698113223</v>
      </c>
      <c r="BL104" s="133">
        <f t="shared" si="537"/>
        <v>-0.1954022988505747</v>
      </c>
      <c r="BM104" s="133">
        <f t="shared" si="537"/>
        <v>-0.26577669902912626</v>
      </c>
      <c r="BN104" s="133">
        <f t="shared" si="537"/>
        <v>-0.13244047619047628</v>
      </c>
      <c r="BO104" s="135">
        <f t="shared" si="537"/>
        <v>-0.23809523809523814</v>
      </c>
      <c r="BP104" s="553">
        <f t="shared" si="537"/>
        <v>-0.21082525893752069</v>
      </c>
      <c r="BQ104" s="133">
        <f t="shared" si="537"/>
        <v>-0.23809523809523814</v>
      </c>
      <c r="BR104" s="133">
        <f t="shared" si="537"/>
        <v>-0.22479338842975205</v>
      </c>
      <c r="BS104" s="133">
        <f t="shared" si="537"/>
        <v>0.33276157804459694</v>
      </c>
      <c r="BT104" s="133">
        <f t="shared" si="537"/>
        <v>2.1323529411764706</v>
      </c>
      <c r="BU104" s="581">
        <f t="shared" si="537"/>
        <v>0.45215918712955117</v>
      </c>
      <c r="BV104" s="1282"/>
      <c r="BW104" s="1282"/>
      <c r="BX104" s="1282"/>
      <c r="BY104" s="1283"/>
      <c r="BZ104" s="553"/>
      <c r="CA104" s="133">
        <f t="shared" ref="CA104:DF104" si="548">CA33/BV33-1</f>
        <v>1.2125000000000004</v>
      </c>
      <c r="CB104" s="133">
        <f t="shared" si="548"/>
        <v>1.1002132196162049</v>
      </c>
      <c r="CC104" s="133">
        <f t="shared" si="548"/>
        <v>0.30373230373230364</v>
      </c>
      <c r="CD104" s="133">
        <f t="shared" si="548"/>
        <v>-0.30751173708920176</v>
      </c>
      <c r="CE104" s="134">
        <f t="shared" si="548"/>
        <v>0.23615160349854225</v>
      </c>
      <c r="CF104" s="133">
        <f t="shared" si="548"/>
        <v>-0.32391713747645956</v>
      </c>
      <c r="CG104" s="133">
        <f t="shared" si="548"/>
        <v>-0.27208121827411169</v>
      </c>
      <c r="CH104" s="133">
        <f t="shared" si="548"/>
        <v>-0.20335636722606121</v>
      </c>
      <c r="CI104" s="133">
        <f t="shared" si="548"/>
        <v>-0.23644067796610169</v>
      </c>
      <c r="CJ104" s="134">
        <f t="shared" si="548"/>
        <v>-0.25872641509433958</v>
      </c>
      <c r="CK104" s="133">
        <f t="shared" si="548"/>
        <v>0.69777158774373249</v>
      </c>
      <c r="CL104" s="133">
        <f t="shared" si="548"/>
        <v>0.3486750348675034</v>
      </c>
      <c r="CM104" s="133">
        <f t="shared" si="548"/>
        <v>0.2403965303593556</v>
      </c>
      <c r="CN104" s="133">
        <f t="shared" si="548"/>
        <v>7.4361820199777995E-2</v>
      </c>
      <c r="CO104" s="134">
        <f t="shared" si="548"/>
        <v>0.32198536430162283</v>
      </c>
      <c r="CP104" s="133">
        <f t="shared" si="548"/>
        <v>1.4716981132075477</v>
      </c>
      <c r="CQ104" s="133">
        <f t="shared" si="548"/>
        <v>1.9935226937246115</v>
      </c>
      <c r="CR104" s="133">
        <f t="shared" si="548"/>
        <v>1.9250026142206114</v>
      </c>
      <c r="CS104" s="135">
        <f t="shared" si="548"/>
        <v>2.0319475685089183</v>
      </c>
      <c r="CT104" s="553">
        <f t="shared" si="548"/>
        <v>1.8328734796590047</v>
      </c>
      <c r="CU104" s="133">
        <f t="shared" si="548"/>
        <v>-2.340104707216617E-2</v>
      </c>
      <c r="CV104" s="133">
        <f t="shared" si="548"/>
        <v>1.4609383750114002E-2</v>
      </c>
      <c r="CW104" s="133">
        <f t="shared" si="548"/>
        <v>1.2945937129364316E-2</v>
      </c>
      <c r="CX104" s="135">
        <f t="shared" si="548"/>
        <v>1.3673451017132798E-2</v>
      </c>
      <c r="CY104" s="553">
        <f t="shared" si="548"/>
        <v>4.232437551541457E-3</v>
      </c>
      <c r="CZ104" s="133">
        <f t="shared" si="548"/>
        <v>2.0640471021203144E-2</v>
      </c>
      <c r="DA104" s="133">
        <f t="shared" si="548"/>
        <v>6.1801349297143648E-3</v>
      </c>
      <c r="DB104" s="133">
        <f t="shared" si="548"/>
        <v>4.0666330155350039E-3</v>
      </c>
      <c r="DC104" s="135">
        <f t="shared" si="548"/>
        <v>2.3845319895665629E-3</v>
      </c>
      <c r="DD104" s="553">
        <f t="shared" si="548"/>
        <v>8.2941914398957373E-3</v>
      </c>
      <c r="DE104" s="133">
        <f t="shared" si="548"/>
        <v>1.325554911371718E-2</v>
      </c>
      <c r="DF104" s="133">
        <f t="shared" si="548"/>
        <v>7.3698196919920189E-3</v>
      </c>
      <c r="DG104" s="133">
        <f t="shared" ref="DG104:DX104" si="549">DG33/DB33-1</f>
        <v>1.2735607353480116E-2</v>
      </c>
      <c r="DH104" s="135">
        <f t="shared" si="549"/>
        <v>1.074737850398888E-2</v>
      </c>
      <c r="DI104" s="553">
        <f t="shared" si="549"/>
        <v>1.1038695948080157E-2</v>
      </c>
      <c r="DJ104" s="133">
        <f t="shared" si="549"/>
        <v>8.1997518519998369E-3</v>
      </c>
      <c r="DK104" s="133">
        <f t="shared" si="549"/>
        <v>4.4654275087103734E-3</v>
      </c>
      <c r="DL104" s="133">
        <f t="shared" si="549"/>
        <v>2.180987107943233E-3</v>
      </c>
      <c r="DM104" s="135">
        <f t="shared" si="549"/>
        <v>-7.832636169236018E-5</v>
      </c>
      <c r="DN104" s="553">
        <f t="shared" si="549"/>
        <v>3.7001539024708041E-3</v>
      </c>
      <c r="DO104" s="133">
        <f t="shared" si="549"/>
        <v>8.6351977921406142E-3</v>
      </c>
      <c r="DP104" s="133">
        <f t="shared" si="549"/>
        <v>3.9311596898237156E-3</v>
      </c>
      <c r="DQ104" s="133">
        <f t="shared" si="549"/>
        <v>7.2308207280391557E-4</v>
      </c>
      <c r="DR104" s="135">
        <f t="shared" si="549"/>
        <v>-2.0196242620158511E-3</v>
      </c>
      <c r="DS104" s="553">
        <f t="shared" si="549"/>
        <v>2.8397969535198797E-3</v>
      </c>
      <c r="DT104" s="133">
        <f t="shared" si="549"/>
        <v>1.425942176410433E-2</v>
      </c>
      <c r="DU104" s="133">
        <f t="shared" si="549"/>
        <v>-1.9123270359426847E-3</v>
      </c>
      <c r="DV104" s="133">
        <f t="shared" si="549"/>
        <v>-5.8233761693259334E-3</v>
      </c>
      <c r="DW104" s="135">
        <f t="shared" si="549"/>
        <v>-8.9655228413101362E-3</v>
      </c>
      <c r="DX104" s="553">
        <f t="shared" si="549"/>
        <v>-5.108249779227636E-4</v>
      </c>
      <c r="DY104" s="133">
        <f t="shared" ref="DY104" si="550">DY33/DT33-1</f>
        <v>-1.2739805442502861E-2</v>
      </c>
      <c r="DZ104" s="133">
        <f t="shared" ref="DZ104" si="551">DZ33/DU33-1</f>
        <v>-8.523145025207568E-3</v>
      </c>
      <c r="EA104" s="133">
        <f t="shared" ref="EA104" si="552">EA33/DV33-1</f>
        <v>-1.3103520850802686E-2</v>
      </c>
      <c r="EB104" s="135">
        <f t="shared" ref="EB104" si="553">EB33/DW33-1</f>
        <v>-1.6759905296684141E-2</v>
      </c>
      <c r="EC104" s="553">
        <f t="shared" ref="EC104" si="554">EC33/DX33-1</f>
        <v>-1.277634868940003E-2</v>
      </c>
      <c r="ED104" s="16"/>
      <c r="EE104" s="132"/>
      <c r="EF104" s="133"/>
      <c r="EG104" s="133">
        <f t="shared" si="547"/>
        <v>-6.9605568445475607E-2</v>
      </c>
      <c r="EH104" s="133">
        <f t="shared" si="547"/>
        <v>1.4962593516209433E-2</v>
      </c>
      <c r="EI104" s="133">
        <f t="shared" si="547"/>
        <v>1.4742014742014753E-2</v>
      </c>
      <c r="EJ104" s="133"/>
      <c r="EK104" s="133">
        <f t="shared" si="529"/>
        <v>-0.38304838122953799</v>
      </c>
      <c r="EL104" s="133">
        <f t="shared" si="530"/>
        <v>-0.11762971698113223</v>
      </c>
      <c r="EM104" s="133">
        <f t="shared" si="531"/>
        <v>-0.21082525893752069</v>
      </c>
      <c r="EN104" s="133">
        <f t="shared" si="532"/>
        <v>0.45215918712955117</v>
      </c>
      <c r="EO104" s="133">
        <f t="shared" si="264"/>
        <v>0.23615160349854225</v>
      </c>
      <c r="EP104" s="133">
        <f t="shared" si="514"/>
        <v>-0.25872641509433958</v>
      </c>
      <c r="EQ104" s="133">
        <f t="shared" si="515"/>
        <v>0.32198536430162283</v>
      </c>
      <c r="ER104" s="135">
        <f t="shared" si="516"/>
        <v>1.8328734796590047</v>
      </c>
      <c r="ES104" s="16"/>
      <c r="ET104" s="16"/>
      <c r="EU104" s="16"/>
      <c r="EX104" s="558" t="s">
        <v>392</v>
      </c>
      <c r="EY104" s="126">
        <f t="shared" si="517"/>
        <v>1.4716981132075477</v>
      </c>
      <c r="EZ104" s="126">
        <v>-0.21623855702701622</v>
      </c>
      <c r="FA104" s="126">
        <f t="shared" si="527"/>
        <v>1.687936670234564</v>
      </c>
      <c r="FB104" s="126">
        <f t="shared" si="518"/>
        <v>0.69777158774373249</v>
      </c>
      <c r="FC104" s="970"/>
      <c r="FD104" s="16"/>
    </row>
    <row r="105" spans="1:166" ht="11.25" customHeight="1" collapsed="1" x14ac:dyDescent="0.2">
      <c r="A105" s="624" t="s">
        <v>158</v>
      </c>
      <c r="B105" s="134"/>
      <c r="C105" s="132"/>
      <c r="D105" s="133"/>
      <c r="E105" s="133"/>
      <c r="F105" s="135"/>
      <c r="G105" s="134">
        <f>(G34-B34)/B34</f>
        <v>7.2499999999999995E-2</v>
      </c>
      <c r="H105" s="132"/>
      <c r="I105" s="133"/>
      <c r="J105" s="133"/>
      <c r="K105" s="133"/>
      <c r="L105" s="134">
        <f>(L34-G34)/G34</f>
        <v>0.11421911421911422</v>
      </c>
      <c r="M105" s="133"/>
      <c r="N105" s="133"/>
      <c r="O105" s="133"/>
      <c r="P105" s="135"/>
      <c r="Q105" s="134">
        <f>(Q34-L34)/L34</f>
        <v>-8.368200836820083E-3</v>
      </c>
      <c r="R105" s="133"/>
      <c r="S105" s="133"/>
      <c r="T105" s="133"/>
      <c r="U105" s="133"/>
      <c r="V105" s="134">
        <f>(V34-Q34)/Q34</f>
        <v>2.7426160337552744E-2</v>
      </c>
      <c r="W105" s="133">
        <f>W34/R34-1</f>
        <v>-7.3394495412844041E-2</v>
      </c>
      <c r="X105" s="133">
        <f>X34/S34-1</f>
        <v>-0.13821138211382111</v>
      </c>
      <c r="Y105" s="133">
        <f>Y34/T34-1</f>
        <v>0.17741935483870974</v>
      </c>
      <c r="Z105" s="133">
        <f>Z34/U34-1</f>
        <v>3.0534351145038219E-2</v>
      </c>
      <c r="AA105" s="134">
        <f>(AA34-V34)/V34</f>
        <v>2.0533880903490761E-3</v>
      </c>
      <c r="AB105" s="133">
        <f>AB34/W34-1</f>
        <v>0.10891089108910901</v>
      </c>
      <c r="AC105" s="133">
        <f>AC34/X34-1</f>
        <v>0.12264150943396235</v>
      </c>
      <c r="AD105" s="133">
        <f>AD34/Y34-1</f>
        <v>-0.21232876712328763</v>
      </c>
      <c r="AE105" s="133">
        <f>AE34/Z34-1</f>
        <v>-5.1851851851851816E-2</v>
      </c>
      <c r="AF105" s="134">
        <f>(AF34-AA34)/AA34</f>
        <v>-2.8688524590163935E-2</v>
      </c>
      <c r="AG105" s="133">
        <f>AG34/AB34-1</f>
        <v>6.25E-2</v>
      </c>
      <c r="AH105" s="133">
        <f>AH34/AC34-1</f>
        <v>5.0420168067226934E-2</v>
      </c>
      <c r="AI105" s="133">
        <f>AI34/AD34-1</f>
        <v>9.565217391304337E-2</v>
      </c>
      <c r="AJ105" s="553">
        <f>AJ34/AE34-1</f>
        <v>1.5625E-2</v>
      </c>
      <c r="AK105" s="135">
        <f>(AK34-AF34)/AF34</f>
        <v>5.4852320675105488E-2</v>
      </c>
      <c r="AL105" s="133">
        <f>AL34/AG34-1</f>
        <v>5.0420168067226934E-2</v>
      </c>
      <c r="AM105" s="133">
        <f>AM34/AH34-1</f>
        <v>-4.0000000000000036E-2</v>
      </c>
      <c r="AN105" s="133">
        <f>AN34/AI34-1</f>
        <v>-8.7301587301587324E-2</v>
      </c>
      <c r="AO105" s="135">
        <f>AO34/AJ34-1</f>
        <v>5.3846153846153211E-3</v>
      </c>
      <c r="AP105" s="135">
        <f>(AP34-AK34)/AK34</f>
        <v>-1.8600000000000023E-2</v>
      </c>
      <c r="AQ105" s="133">
        <f>AQ34/AL34-1</f>
        <v>6.0000000000000053E-2</v>
      </c>
      <c r="AR105" s="133">
        <f>AR34/AM34-1</f>
        <v>5.8333333333333348E-2</v>
      </c>
      <c r="AS105" s="133">
        <f>AS34/AN34-1</f>
        <v>2.4347826086956514E-2</v>
      </c>
      <c r="AT105" s="133">
        <f>AT34/AO34-1</f>
        <v>-7.3450650344299873E-2</v>
      </c>
      <c r="AU105" s="132">
        <f>(AU34-AP34)/AP34</f>
        <v>1.5691868758915813E-2</v>
      </c>
      <c r="AV105" s="272"/>
      <c r="AW105" s="133">
        <f t="shared" si="534"/>
        <v>1.304347826086949E-2</v>
      </c>
      <c r="AX105" s="133">
        <f t="shared" si="534"/>
        <v>-8.7222647283856092E-2</v>
      </c>
      <c r="AY105" s="133">
        <f t="shared" si="535"/>
        <v>-5.6603773584905648E-2</v>
      </c>
      <c r="AZ105" s="133">
        <f t="shared" si="535"/>
        <v>1.1677165354330707</v>
      </c>
      <c r="BA105" s="581">
        <f>BA34/SUM(AN34:AO34,AQ34:AR34)-1</f>
        <v>0.25910530482977023</v>
      </c>
      <c r="BB105" s="133">
        <f>BB34/AW34-1</f>
        <v>-0.13819742489270381</v>
      </c>
      <c r="BC105" s="133">
        <f>BC34/AX34-1</f>
        <v>-0.16764459346186078</v>
      </c>
      <c r="BD105" s="133">
        <f>BD34/AY34-1</f>
        <v>-0.17359999999999998</v>
      </c>
      <c r="BE105" s="135">
        <f>BE34/AZ34-1</f>
        <v>-0.5844533236469307</v>
      </c>
      <c r="BF105" s="553">
        <f>(BF34-BA34)/BA34</f>
        <v>-0.34381386574437978</v>
      </c>
      <c r="BG105" s="133">
        <f>BG34/BB34-1</f>
        <v>-5.3784860557768988E-2</v>
      </c>
      <c r="BH105" s="133">
        <f>BH34/BC34-1</f>
        <v>-3.5246727089627394E-2</v>
      </c>
      <c r="BI105" s="133">
        <f>BI34/BD34-1</f>
        <v>-0.24878993223620516</v>
      </c>
      <c r="BJ105" s="135">
        <f>BJ34/BE34-1</f>
        <v>-0.30769230769230771</v>
      </c>
      <c r="BK105" s="553">
        <f>(BK34-BF34)/BF34</f>
        <v>-0.16722568279827493</v>
      </c>
      <c r="BL105" s="133">
        <f>BL34/BG34-1</f>
        <v>-0.29789473684210521</v>
      </c>
      <c r="BM105" s="133">
        <f>BM34/BH34-1</f>
        <v>-0.35803757828810023</v>
      </c>
      <c r="BN105" s="133">
        <f>BN34/BI34-1</f>
        <v>-0.231958762886598</v>
      </c>
      <c r="BO105" s="135">
        <f>BO34/BJ34-1</f>
        <v>-0.31060606060606066</v>
      </c>
      <c r="BP105" s="553">
        <f>(BP34-BK34)/BK34</f>
        <v>-0.30264672036823947</v>
      </c>
      <c r="BQ105" s="133">
        <f>BQ34/BL34-1</f>
        <v>-0.27736131934032981</v>
      </c>
      <c r="BR105" s="133">
        <f>BR34/BM34-1</f>
        <v>-0.23577235772357719</v>
      </c>
      <c r="BS105" s="133">
        <f>BS34/BN34-1</f>
        <v>0.31375838926174482</v>
      </c>
      <c r="BT105" s="133">
        <f>BT34/BO34-1</f>
        <v>2.1483516483516483</v>
      </c>
      <c r="BU105" s="581">
        <f>(BU34-BP34)/BP34</f>
        <v>0.42491749174917498</v>
      </c>
      <c r="BV105" s="1282"/>
      <c r="BW105" s="1282"/>
      <c r="BX105" s="1282"/>
      <c r="BY105" s="1283"/>
      <c r="BZ105" s="553"/>
      <c r="CA105" s="133">
        <f>CA34/BV34-1</f>
        <v>0.20260021668472383</v>
      </c>
      <c r="CB105" s="133">
        <f>CB34/BW34-1</f>
        <v>0.10869565217391308</v>
      </c>
      <c r="CC105" s="133">
        <f>CC34/BX34-1</f>
        <v>0.10487288135593209</v>
      </c>
      <c r="CD105" s="133">
        <f>CD34/BY34-1</f>
        <v>5.1528384279476258E-2</v>
      </c>
      <c r="CE105" s="134">
        <f>(CE34-BZ34)/BZ34</f>
        <v>0.11317395727365208</v>
      </c>
      <c r="CF105" s="133">
        <f>CF34/CA34-1</f>
        <v>-0.3405405405405405</v>
      </c>
      <c r="CG105" s="133">
        <f>CG34/CB34-1</f>
        <v>-0.28333333333333321</v>
      </c>
      <c r="CH105" s="133">
        <f>CH34/CC34-1</f>
        <v>-0.211888782358581</v>
      </c>
      <c r="CI105" s="133">
        <f>CI34/CD34-1</f>
        <v>-0.25166112956810638</v>
      </c>
      <c r="CJ105" s="134">
        <f>(CJ34-CE34)/CE34</f>
        <v>-0.27210418094585337</v>
      </c>
      <c r="CK105" s="133">
        <f>CK34/CF34-1</f>
        <v>0.66530054644808723</v>
      </c>
      <c r="CL105" s="133">
        <f>CL34/CG34-1</f>
        <v>0.32284541723666194</v>
      </c>
      <c r="CM105" s="133">
        <f>CM34/CH34-1</f>
        <v>0.21776155717761569</v>
      </c>
      <c r="CN105" s="133">
        <f>CN34/CI34-1</f>
        <v>7.4361820199777995E-2</v>
      </c>
      <c r="CO105" s="134">
        <f>(CO34-CJ34)/CJ34</f>
        <v>0.30414312617702455</v>
      </c>
      <c r="CP105" s="133">
        <f>CP34/CK34-1</f>
        <v>1.4716981132075477</v>
      </c>
      <c r="CQ105" s="133">
        <f>CQ34/CL34-1</f>
        <v>1.9935226937246115</v>
      </c>
      <c r="CR105" s="133">
        <f>CR34/CM34-1</f>
        <v>1.9250026142206114</v>
      </c>
      <c r="CS105" s="135">
        <f>CS34/CN34-1</f>
        <v>2.0319475685089183</v>
      </c>
      <c r="CT105" s="553">
        <f>(CT34-CO34)/CO34</f>
        <v>1.8328734796590049</v>
      </c>
      <c r="CU105" s="133">
        <f>CU34/CP34-1</f>
        <v>-2.340104707216617E-2</v>
      </c>
      <c r="CV105" s="133">
        <f>CV34/CQ34-1</f>
        <v>1.4609383750114002E-2</v>
      </c>
      <c r="CW105" s="133">
        <f>CW34/CR34-1</f>
        <v>1.2945937129364316E-2</v>
      </c>
      <c r="CX105" s="135">
        <f>CX34/CS34-1</f>
        <v>1.3673451017132798E-2</v>
      </c>
      <c r="CY105" s="553">
        <f>(CY34-CT34)/CT34</f>
        <v>4.2324375515414804E-3</v>
      </c>
      <c r="CZ105" s="133">
        <f>CZ34/CU34-1</f>
        <v>2.0640471021203144E-2</v>
      </c>
      <c r="DA105" s="133">
        <f>DA34/CV34-1</f>
        <v>6.1801349297143648E-3</v>
      </c>
      <c r="DB105" s="133">
        <f>DB34/CW34-1</f>
        <v>4.0666330155350039E-3</v>
      </c>
      <c r="DC105" s="135">
        <f>DC34/CX34-1</f>
        <v>2.3845319895665629E-3</v>
      </c>
      <c r="DD105" s="553">
        <f>(DD34-CY34)/CY34</f>
        <v>8.2941914398957199E-3</v>
      </c>
      <c r="DE105" s="133">
        <f>DE34/CZ34-1</f>
        <v>1.325554911371718E-2</v>
      </c>
      <c r="DF105" s="133">
        <f>DF34/DA34-1</f>
        <v>7.3698196919920189E-3</v>
      </c>
      <c r="DG105" s="133">
        <f>DG34/DB34-1</f>
        <v>1.2735607353480116E-2</v>
      </c>
      <c r="DH105" s="135">
        <f>DH34/DC34-1</f>
        <v>1.074737850398888E-2</v>
      </c>
      <c r="DI105" s="553">
        <f>(DI34-DD34)/DD34</f>
        <v>1.1038695948080128E-2</v>
      </c>
      <c r="DJ105" s="133">
        <f>DJ34/DE34-1</f>
        <v>8.1997518519998369E-3</v>
      </c>
      <c r="DK105" s="133">
        <f>DK34/DF34-1</f>
        <v>4.4654275087103734E-3</v>
      </c>
      <c r="DL105" s="133">
        <f>DL34/DG34-1</f>
        <v>2.180987107943233E-3</v>
      </c>
      <c r="DM105" s="135">
        <f>DM34/DH34-1</f>
        <v>-7.832636169236018E-5</v>
      </c>
      <c r="DN105" s="553">
        <f>(DN34-DI34)/DI34</f>
        <v>3.7001539024708145E-3</v>
      </c>
      <c r="DO105" s="133">
        <f>DO34/DJ34-1</f>
        <v>8.6351977921406142E-3</v>
      </c>
      <c r="DP105" s="133">
        <f>DP34/DK34-1</f>
        <v>3.9311596898237156E-3</v>
      </c>
      <c r="DQ105" s="133">
        <f>DQ34/DL34-1</f>
        <v>7.2308207280391557E-4</v>
      </c>
      <c r="DR105" s="135">
        <f>DR34/DM34-1</f>
        <v>-2.0196242620158511E-3</v>
      </c>
      <c r="DS105" s="553">
        <f>(DS34-DN34)/DN34</f>
        <v>2.83979695351977E-3</v>
      </c>
      <c r="DT105" s="133">
        <f>DT34/DO34-1</f>
        <v>1.425942176410433E-2</v>
      </c>
      <c r="DU105" s="133">
        <f>DU34/DP34-1</f>
        <v>-1.9123270359426847E-3</v>
      </c>
      <c r="DV105" s="133">
        <f>DV34/DQ34-1</f>
        <v>-5.8233761693259334E-3</v>
      </c>
      <c r="DW105" s="135">
        <f>DW34/DR34-1</f>
        <v>-8.9655228413101362E-3</v>
      </c>
      <c r="DX105" s="553">
        <f>(DX34-DS34)/DS34</f>
        <v>-5.1082497792277986E-4</v>
      </c>
      <c r="DY105" s="133">
        <f>DY34/DT34-1</f>
        <v>-1.2739805442502861E-2</v>
      </c>
      <c r="DZ105" s="133">
        <f>DZ34/DU34-1</f>
        <v>-8.523145025207568E-3</v>
      </c>
      <c r="EA105" s="133">
        <f>EA34/DV34-1</f>
        <v>-1.3103520850802686E-2</v>
      </c>
      <c r="EB105" s="135">
        <f>EB34/DW34-1</f>
        <v>-1.6759905296684141E-2</v>
      </c>
      <c r="EC105" s="553">
        <f>(EC34-DX34)/DX34</f>
        <v>-1.2776348689400053E-2</v>
      </c>
      <c r="ED105" s="16"/>
      <c r="EE105" s="132"/>
      <c r="EF105" s="133">
        <f>EF34/EE34-1</f>
        <v>0.10822510822510822</v>
      </c>
      <c r="EG105" s="133">
        <f t="shared" si="547"/>
        <v>-4.8828125E-2</v>
      </c>
      <c r="EH105" s="133">
        <f t="shared" si="547"/>
        <v>2.8747433264887157E-2</v>
      </c>
      <c r="EI105" s="133">
        <f t="shared" si="547"/>
        <v>8.3832335329341312E-3</v>
      </c>
      <c r="EJ105" s="133">
        <f>EJ34/EI34-1</f>
        <v>0.25910530482977046</v>
      </c>
      <c r="EK105" s="133">
        <f t="shared" si="529"/>
        <v>-0.34381386574437978</v>
      </c>
      <c r="EL105" s="133">
        <f t="shared" si="530"/>
        <v>-0.16722568279827493</v>
      </c>
      <c r="EM105" s="133">
        <f t="shared" si="531"/>
        <v>-0.30264672036823947</v>
      </c>
      <c r="EN105" s="133">
        <f t="shared" si="532"/>
        <v>0.42491749174917498</v>
      </c>
      <c r="EO105" s="133">
        <f t="shared" si="264"/>
        <v>0.11317395727365208</v>
      </c>
      <c r="EP105" s="133">
        <f t="shared" si="514"/>
        <v>-0.27210418094585337</v>
      </c>
      <c r="EQ105" s="133">
        <f t="shared" si="515"/>
        <v>0.30414312617702455</v>
      </c>
      <c r="ER105" s="135">
        <f t="shared" si="516"/>
        <v>1.8328734796590049</v>
      </c>
      <c r="ES105" s="16"/>
      <c r="ET105" s="16"/>
      <c r="EU105" s="16"/>
      <c r="EX105" s="563" t="s">
        <v>158</v>
      </c>
      <c r="EY105" s="126">
        <f t="shared" si="517"/>
        <v>1.4716981132075477</v>
      </c>
      <c r="EZ105" s="126">
        <v>-0.21623855702701622</v>
      </c>
      <c r="FA105" s="126">
        <f t="shared" si="527"/>
        <v>1.687936670234564</v>
      </c>
      <c r="FB105" s="126">
        <f t="shared" si="518"/>
        <v>0.66530054644808723</v>
      </c>
      <c r="FC105" s="970"/>
      <c r="FD105" s="16"/>
    </row>
    <row r="106" spans="1:166" ht="11.25" customHeight="1" x14ac:dyDescent="0.2">
      <c r="A106" s="1602" t="s">
        <v>165</v>
      </c>
      <c r="B106" s="134"/>
      <c r="C106" s="132"/>
      <c r="D106" s="133"/>
      <c r="E106" s="133"/>
      <c r="F106" s="135"/>
      <c r="G106" s="134"/>
      <c r="H106" s="132"/>
      <c r="I106" s="133"/>
      <c r="J106" s="133"/>
      <c r="K106" s="133"/>
      <c r="L106" s="134"/>
      <c r="M106" s="133"/>
      <c r="N106" s="133"/>
      <c r="O106" s="133"/>
      <c r="P106" s="135"/>
      <c r="Q106" s="134"/>
      <c r="R106" s="133"/>
      <c r="S106" s="133"/>
      <c r="T106" s="133"/>
      <c r="U106" s="133"/>
      <c r="V106" s="134"/>
      <c r="W106" s="133"/>
      <c r="X106" s="133"/>
      <c r="Y106" s="133"/>
      <c r="Z106" s="133"/>
      <c r="AA106" s="134"/>
      <c r="AB106" s="133"/>
      <c r="AC106" s="133"/>
      <c r="AD106" s="133"/>
      <c r="AE106" s="133"/>
      <c r="AF106" s="134"/>
      <c r="AG106" s="133"/>
      <c r="AH106" s="133"/>
      <c r="AI106" s="133"/>
      <c r="AJ106" s="553"/>
      <c r="AK106" s="135"/>
      <c r="AL106" s="133"/>
      <c r="AM106" s="133"/>
      <c r="AN106" s="133"/>
      <c r="AO106" s="135"/>
      <c r="AP106" s="135"/>
      <c r="AQ106" s="133"/>
      <c r="AR106" s="133"/>
      <c r="AS106" s="133"/>
      <c r="AT106" s="133"/>
      <c r="AU106" s="132"/>
      <c r="AV106" s="272"/>
      <c r="AW106" s="133"/>
      <c r="AX106" s="133"/>
      <c r="AY106" s="133"/>
      <c r="AZ106" s="133"/>
      <c r="BA106" s="581"/>
      <c r="BB106" s="133">
        <f t="shared" ref="BB106:BU106" si="555">BB39/AW39-1</f>
        <v>-0.18884664131812401</v>
      </c>
      <c r="BC106" s="133">
        <f t="shared" si="555"/>
        <v>0.19565217391304346</v>
      </c>
      <c r="BD106" s="133">
        <f t="shared" si="555"/>
        <v>0.2290748898678423</v>
      </c>
      <c r="BE106" s="135">
        <f t="shared" si="555"/>
        <v>-2.1704394141145116</v>
      </c>
      <c r="BF106" s="553">
        <f t="shared" si="555"/>
        <v>1.0434047350620044</v>
      </c>
      <c r="BG106" s="133">
        <f t="shared" si="555"/>
        <v>0.31406249999999947</v>
      </c>
      <c r="BH106" s="133">
        <f t="shared" si="555"/>
        <v>0.29191919191919191</v>
      </c>
      <c r="BI106" s="133">
        <f t="shared" si="555"/>
        <v>-0.15949820788530522</v>
      </c>
      <c r="BJ106" s="135">
        <f t="shared" si="555"/>
        <v>0.27303754266211833</v>
      </c>
      <c r="BK106" s="553">
        <f t="shared" si="555"/>
        <v>0.15227586206896637</v>
      </c>
      <c r="BL106" s="133">
        <f t="shared" si="555"/>
        <v>0.21759809750297276</v>
      </c>
      <c r="BM106" s="133">
        <f t="shared" si="555"/>
        <v>4.1438623924942242E-2</v>
      </c>
      <c r="BN106" s="133">
        <f t="shared" si="555"/>
        <v>0.55117270788912687</v>
      </c>
      <c r="BO106" s="135">
        <f t="shared" si="555"/>
        <v>0.2609472743520993</v>
      </c>
      <c r="BP106" s="553">
        <f t="shared" si="555"/>
        <v>0.25017955470433306</v>
      </c>
      <c r="BQ106" s="133">
        <f t="shared" si="555"/>
        <v>0.28222656250000044</v>
      </c>
      <c r="BR106" s="133">
        <f t="shared" si="555"/>
        <v>0.13738738738738698</v>
      </c>
      <c r="BS106" s="133">
        <f t="shared" si="555"/>
        <v>-0.99381443298969085</v>
      </c>
      <c r="BT106" s="133">
        <f t="shared" si="555"/>
        <v>-1.7179305457122607</v>
      </c>
      <c r="BU106" s="581">
        <f t="shared" si="555"/>
        <v>-0.65070854078896923</v>
      </c>
      <c r="BV106" s="1282"/>
      <c r="BW106" s="1282"/>
      <c r="BX106" s="1282"/>
      <c r="BY106" s="1283"/>
      <c r="BZ106" s="553"/>
      <c r="CA106" s="133">
        <f t="shared" ref="CA106:DF106" si="556">CA39/BV39-1</f>
        <v>-0.13307543520309473</v>
      </c>
      <c r="CB106" s="133">
        <f t="shared" si="556"/>
        <v>-6.9316081330869417E-2</v>
      </c>
      <c r="CC106" s="133">
        <f t="shared" si="556"/>
        <v>-3.125880033793238E-2</v>
      </c>
      <c r="CD106" s="133">
        <f t="shared" si="556"/>
        <v>0.11495844875346362</v>
      </c>
      <c r="CE106" s="134">
        <f t="shared" si="556"/>
        <v>-2.8361858190709022E-2</v>
      </c>
      <c r="CF106" s="133">
        <f t="shared" si="556"/>
        <v>0.47523427041499344</v>
      </c>
      <c r="CG106" s="133">
        <f t="shared" si="556"/>
        <v>0.40350877192982493</v>
      </c>
      <c r="CH106" s="133">
        <f t="shared" si="556"/>
        <v>0.22238372093023151</v>
      </c>
      <c r="CI106" s="133">
        <f t="shared" si="556"/>
        <v>0.52664596273291875</v>
      </c>
      <c r="CJ106" s="134">
        <f t="shared" si="556"/>
        <v>0.39798691494715732</v>
      </c>
      <c r="CK106" s="133">
        <f t="shared" si="556"/>
        <v>1.6938898971567307E-2</v>
      </c>
      <c r="CL106" s="133">
        <f t="shared" si="556"/>
        <v>-2.2641509433961704E-2</v>
      </c>
      <c r="CM106" s="133">
        <f t="shared" si="556"/>
        <v>0.13983353151010758</v>
      </c>
      <c r="CN106" s="133">
        <f t="shared" si="556"/>
        <v>2.933398429553713E-2</v>
      </c>
      <c r="CO106" s="134">
        <f t="shared" si="556"/>
        <v>4.1531667746657952E-2</v>
      </c>
      <c r="CP106" s="133">
        <f t="shared" si="556"/>
        <v>0.25104104699583507</v>
      </c>
      <c r="CQ106" s="133">
        <f t="shared" si="556"/>
        <v>0.10974139136246697</v>
      </c>
      <c r="CR106" s="133">
        <f t="shared" si="556"/>
        <v>7.5444754710610962E-2</v>
      </c>
      <c r="CS106" s="135">
        <f t="shared" si="556"/>
        <v>6.8667142909409451E-2</v>
      </c>
      <c r="CT106" s="553">
        <f t="shared" si="556"/>
        <v>0.11566511770583743</v>
      </c>
      <c r="CU106" s="133">
        <f t="shared" si="556"/>
        <v>0.11952043791693434</v>
      </c>
      <c r="CV106" s="133">
        <f t="shared" si="556"/>
        <v>0.13470613882159577</v>
      </c>
      <c r="CW106" s="133">
        <f t="shared" si="556"/>
        <v>0.12184488579514619</v>
      </c>
      <c r="CX106" s="135">
        <f t="shared" si="556"/>
        <v>0.12392607239839992</v>
      </c>
      <c r="CY106" s="553">
        <f t="shared" si="556"/>
        <v>0.12497514600224147</v>
      </c>
      <c r="CZ106" s="133">
        <f t="shared" si="556"/>
        <v>8.9754626072517496E-2</v>
      </c>
      <c r="DA106" s="133">
        <f t="shared" si="556"/>
        <v>0.12058923218348383</v>
      </c>
      <c r="DB106" s="133">
        <f t="shared" si="556"/>
        <v>0.1185132760832901</v>
      </c>
      <c r="DC106" s="135">
        <f t="shared" si="556"/>
        <v>0.11867146475675239</v>
      </c>
      <c r="DD106" s="553">
        <f t="shared" si="556"/>
        <v>0.11283922626528597</v>
      </c>
      <c r="DE106" s="133">
        <f t="shared" si="556"/>
        <v>0.14036632581311026</v>
      </c>
      <c r="DF106" s="133">
        <f t="shared" si="556"/>
        <v>9.6495884199435E-2</v>
      </c>
      <c r="DG106" s="133">
        <f t="shared" ref="DG106:DX106" si="557">DG39/DB39-1</f>
        <v>0.10035070006300817</v>
      </c>
      <c r="DH106" s="135">
        <f t="shared" si="557"/>
        <v>9.9573787118928836E-2</v>
      </c>
      <c r="DI106" s="553">
        <f t="shared" si="557"/>
        <v>0.1076720215476572</v>
      </c>
      <c r="DJ106" s="133">
        <f t="shared" si="557"/>
        <v>0.13031333912815346</v>
      </c>
      <c r="DK106" s="133">
        <f t="shared" si="557"/>
        <v>0.12946879880446271</v>
      </c>
      <c r="DL106" s="133">
        <f t="shared" si="557"/>
        <v>0.12798172613856962</v>
      </c>
      <c r="DM106" s="135">
        <f t="shared" si="557"/>
        <v>0.12636889232096382</v>
      </c>
      <c r="DN106" s="553">
        <f t="shared" si="557"/>
        <v>0.1283958279418016</v>
      </c>
      <c r="DO106" s="133">
        <f t="shared" si="557"/>
        <v>0.10468741741366649</v>
      </c>
      <c r="DP106" s="133">
        <f t="shared" si="557"/>
        <v>0.1031937165999004</v>
      </c>
      <c r="DQ106" s="133">
        <f t="shared" si="557"/>
        <v>0.10159617032597312</v>
      </c>
      <c r="DR106" s="135">
        <f t="shared" si="557"/>
        <v>0.10100888492768689</v>
      </c>
      <c r="DS106" s="553">
        <f t="shared" si="557"/>
        <v>0.10248943703359847</v>
      </c>
      <c r="DT106" s="133">
        <f t="shared" si="557"/>
        <v>3.0288078833793364E-2</v>
      </c>
      <c r="DU106" s="133">
        <f t="shared" si="557"/>
        <v>1.9519998962599816E-2</v>
      </c>
      <c r="DV106" s="133">
        <f t="shared" si="557"/>
        <v>2.0052396431014197E-2</v>
      </c>
      <c r="DW106" s="135">
        <f t="shared" si="557"/>
        <v>2.860635117330701E-2</v>
      </c>
      <c r="DX106" s="553">
        <f t="shared" si="557"/>
        <v>2.4537184004565393E-2</v>
      </c>
      <c r="DY106" s="133">
        <f t="shared" ref="DY106" si="558">DY39/DT39-1</f>
        <v>9.047979437863729E-2</v>
      </c>
      <c r="DZ106" s="133">
        <f t="shared" ref="DZ106" si="559">DZ39/DU39-1</f>
        <v>0.10031766918463014</v>
      </c>
      <c r="EA106" s="133">
        <f t="shared" ref="EA106" si="560">EA39/DV39-1</f>
        <v>9.8866125827225204E-2</v>
      </c>
      <c r="EB106" s="135">
        <f t="shared" ref="EB106" si="561">EB39/DW39-1</f>
        <v>9.8218114697352421E-2</v>
      </c>
      <c r="EC106" s="553">
        <f t="shared" ref="EC106" si="562">EC39/DX39-1</f>
        <v>9.7186680999923114E-2</v>
      </c>
      <c r="ED106" s="16"/>
      <c r="EE106" s="132"/>
      <c r="EF106" s="133">
        <f>EF39/EE39-1</f>
        <v>4.5977011494252817E-2</v>
      </c>
      <c r="EG106" s="133">
        <f>EG39/EF39-1</f>
        <v>-0.19230769230769229</v>
      </c>
      <c r="EH106" s="133">
        <f>EH39/EG39-1</f>
        <v>0.12925170068027203</v>
      </c>
      <c r="EI106" s="133">
        <f>EI39/EH39-1</f>
        <v>-3.5240963855421192E-2</v>
      </c>
      <c r="EJ106" s="133"/>
      <c r="EK106" s="133">
        <f t="shared" si="529"/>
        <v>1.0434047350620044</v>
      </c>
      <c r="EL106" s="133">
        <f t="shared" si="530"/>
        <v>0.15227586206896637</v>
      </c>
      <c r="EM106" s="133">
        <f t="shared" si="531"/>
        <v>0.25017955470433306</v>
      </c>
      <c r="EN106" s="133">
        <f t="shared" si="532"/>
        <v>-0.65070854078896923</v>
      </c>
      <c r="EO106" s="133">
        <f t="shared" si="264"/>
        <v>-2.8361858190709022E-2</v>
      </c>
      <c r="EP106" s="133">
        <f t="shared" si="514"/>
        <v>0.39798691494715732</v>
      </c>
      <c r="EQ106" s="133">
        <f t="shared" si="515"/>
        <v>4.1531667746657952E-2</v>
      </c>
      <c r="ER106" s="135">
        <f t="shared" si="516"/>
        <v>0.11566511770583743</v>
      </c>
      <c r="ES106" s="16"/>
      <c r="ET106" s="16"/>
      <c r="EU106" s="16"/>
      <c r="EX106" s="565" t="s">
        <v>165</v>
      </c>
      <c r="EY106" s="126">
        <f t="shared" si="517"/>
        <v>0.25104104699583507</v>
      </c>
      <c r="EZ106" s="126">
        <v>0.29475746988165952</v>
      </c>
      <c r="FA106" s="126">
        <f t="shared" si="527"/>
        <v>-4.3716422885824446E-2</v>
      </c>
      <c r="FB106" s="126">
        <f t="shared" si="518"/>
        <v>1.6938898971567307E-2</v>
      </c>
      <c r="FC106" s="970"/>
      <c r="FD106" s="16"/>
    </row>
    <row r="107" spans="1:166" ht="11.25" customHeight="1" x14ac:dyDescent="0.2">
      <c r="A107" s="1602" t="s">
        <v>233</v>
      </c>
      <c r="B107" s="134"/>
      <c r="C107" s="132"/>
      <c r="D107" s="133"/>
      <c r="E107" s="133"/>
      <c r="F107" s="135"/>
      <c r="G107" s="134"/>
      <c r="H107" s="132"/>
      <c r="I107" s="133"/>
      <c r="J107" s="133"/>
      <c r="K107" s="133"/>
      <c r="L107" s="134"/>
      <c r="M107" s="133"/>
      <c r="N107" s="133"/>
      <c r="O107" s="133"/>
      <c r="P107" s="135"/>
      <c r="Q107" s="134"/>
      <c r="R107" s="133"/>
      <c r="S107" s="133"/>
      <c r="T107" s="133"/>
      <c r="U107" s="133"/>
      <c r="V107" s="134"/>
      <c r="W107" s="133"/>
      <c r="X107" s="133"/>
      <c r="Y107" s="133"/>
      <c r="Z107" s="133"/>
      <c r="AA107" s="134"/>
      <c r="AB107" s="133"/>
      <c r="AC107" s="133"/>
      <c r="AD107" s="133"/>
      <c r="AE107" s="133"/>
      <c r="AF107" s="134"/>
      <c r="AG107" s="133"/>
      <c r="AH107" s="133"/>
      <c r="AI107" s="133"/>
      <c r="AJ107" s="553"/>
      <c r="AK107" s="135"/>
      <c r="AL107" s="133"/>
      <c r="AM107" s="133"/>
      <c r="AN107" s="133"/>
      <c r="AO107" s="135"/>
      <c r="AP107" s="135"/>
      <c r="AQ107" s="133"/>
      <c r="AR107" s="133"/>
      <c r="AS107" s="133"/>
      <c r="AT107" s="133"/>
      <c r="AU107" s="132"/>
      <c r="AV107" s="246"/>
      <c r="AW107" s="133"/>
      <c r="AX107" s="133"/>
      <c r="AY107" s="133"/>
      <c r="AZ107" s="133"/>
      <c r="BA107" s="581"/>
      <c r="BB107" s="133">
        <f t="shared" ref="BB107:BK108" si="563">BB41/AW41-1</f>
        <v>-6.9548872180450916E-2</v>
      </c>
      <c r="BC107" s="133">
        <f t="shared" si="563"/>
        <v>0.15881326352530567</v>
      </c>
      <c r="BD107" s="133">
        <f t="shared" si="563"/>
        <v>0.25343642611683936</v>
      </c>
      <c r="BE107" s="135">
        <f t="shared" si="563"/>
        <v>-3.8926014319809026</v>
      </c>
      <c r="BF107" s="553">
        <f t="shared" si="563"/>
        <v>0.6883248730964453</v>
      </c>
      <c r="BG107" s="133">
        <f t="shared" si="563"/>
        <v>0.19292929292929251</v>
      </c>
      <c r="BH107" s="133">
        <f t="shared" si="563"/>
        <v>0.21460843373493965</v>
      </c>
      <c r="BI107" s="133">
        <f t="shared" si="563"/>
        <v>-0.16106922549691627</v>
      </c>
      <c r="BJ107" s="135">
        <f t="shared" si="563"/>
        <v>7.3432343234324682E-2</v>
      </c>
      <c r="BK107" s="553">
        <f t="shared" si="563"/>
        <v>6.6145520144318182E-2</v>
      </c>
      <c r="BL107" s="133">
        <f t="shared" ref="BL107:BU108" si="564">BL41/BG41-1</f>
        <v>7.6206604572397474E-3</v>
      </c>
      <c r="BM107" s="133">
        <f t="shared" si="564"/>
        <v>-7.5015499070055225E-2</v>
      </c>
      <c r="BN107" s="133">
        <f t="shared" si="564"/>
        <v>0.31781045751634052</v>
      </c>
      <c r="BO107" s="135">
        <f t="shared" si="564"/>
        <v>0.21829362029208266</v>
      </c>
      <c r="BP107" s="553">
        <f t="shared" si="564"/>
        <v>0.10547095318668886</v>
      </c>
      <c r="BQ107" s="133">
        <f t="shared" si="564"/>
        <v>0.24117647058823577</v>
      </c>
      <c r="BR107" s="133">
        <f t="shared" si="564"/>
        <v>0.1213136729222517</v>
      </c>
      <c r="BS107" s="133">
        <f t="shared" si="564"/>
        <v>-0.89212647241165544</v>
      </c>
      <c r="BT107" s="133">
        <f t="shared" si="564"/>
        <v>-1.4864353312302838</v>
      </c>
      <c r="BU107" s="581">
        <f t="shared" si="564"/>
        <v>-0.56581632653061176</v>
      </c>
      <c r="BV107" s="1282"/>
      <c r="BW107" s="1282"/>
      <c r="BX107" s="1282"/>
      <c r="BY107" s="1283"/>
      <c r="BZ107" s="553"/>
      <c r="CA107" s="133">
        <f t="shared" ref="CA107:CJ108" si="565">CA41/BV41-1</f>
        <v>-0.11118293471234642</v>
      </c>
      <c r="CB107" s="133">
        <f t="shared" si="565"/>
        <v>-5.9872272485365197E-2</v>
      </c>
      <c r="CC107" s="133">
        <f t="shared" si="565"/>
        <v>-2.8403275332650413E-2</v>
      </c>
      <c r="CD107" s="133">
        <f t="shared" si="565"/>
        <v>9.9699699699700606E-2</v>
      </c>
      <c r="CE107" s="134">
        <f t="shared" si="565"/>
        <v>-2.4698367636621699E-2</v>
      </c>
      <c r="CF107" s="133">
        <f t="shared" si="565"/>
        <v>0.35527272727272763</v>
      </c>
      <c r="CG107" s="133">
        <f t="shared" si="565"/>
        <v>0.32352108689499048</v>
      </c>
      <c r="CH107" s="133">
        <f t="shared" si="565"/>
        <v>0.22149065051356231</v>
      </c>
      <c r="CI107" s="133">
        <f t="shared" si="565"/>
        <v>0.46007646095030008</v>
      </c>
      <c r="CJ107" s="134">
        <f t="shared" si="565"/>
        <v>0.33807306068985654</v>
      </c>
      <c r="CK107" s="133">
        <f t="shared" ref="CK107:CT108" si="566">CK41/CF41-1</f>
        <v>1.8513549771934867E-2</v>
      </c>
      <c r="CL107" s="133">
        <f t="shared" si="566"/>
        <v>-1.6894781864841169E-2</v>
      </c>
      <c r="CM107" s="133">
        <f t="shared" si="566"/>
        <v>0.13303147908581336</v>
      </c>
      <c r="CN107" s="133">
        <f t="shared" si="566"/>
        <v>3.2767262661779206E-2</v>
      </c>
      <c r="CO107" s="1443">
        <f t="shared" si="566"/>
        <v>4.2539074821348999E-2</v>
      </c>
      <c r="CP107" s="1180">
        <f t="shared" si="566"/>
        <v>0.23182297154899834</v>
      </c>
      <c r="CQ107" s="1180">
        <f t="shared" si="566"/>
        <v>0.1187281768349302</v>
      </c>
      <c r="CR107" s="1180">
        <f t="shared" si="566"/>
        <v>8.316398283395765E-2</v>
      </c>
      <c r="CS107" s="1584">
        <f t="shared" si="566"/>
        <v>7.6843869625672578E-2</v>
      </c>
      <c r="CT107" s="1583">
        <f t="shared" si="566"/>
        <v>0.11930892054124076</v>
      </c>
      <c r="CU107" s="1180">
        <f t="shared" ref="CU107:DD108" si="567">CU41/CP41-1</f>
        <v>0.11477458767773019</v>
      </c>
      <c r="CV107" s="1180">
        <f t="shared" si="567"/>
        <v>0.12415778510658781</v>
      </c>
      <c r="CW107" s="1180">
        <f t="shared" si="567"/>
        <v>0.11357985891719702</v>
      </c>
      <c r="CX107" s="1584">
        <f t="shared" si="567"/>
        <v>0.11626080779436987</v>
      </c>
      <c r="CY107" s="1583">
        <f t="shared" si="567"/>
        <v>0.11711846705354034</v>
      </c>
      <c r="CZ107" s="1180">
        <f t="shared" si="567"/>
        <v>8.5480869422141614E-2</v>
      </c>
      <c r="DA107" s="1180">
        <f t="shared" si="567"/>
        <v>0.11265863306607526</v>
      </c>
      <c r="DB107" s="1180">
        <f t="shared" si="567"/>
        <v>0.11154422579561096</v>
      </c>
      <c r="DC107" s="1584">
        <f t="shared" si="567"/>
        <v>0.1116651895259102</v>
      </c>
      <c r="DD107" s="1583">
        <f t="shared" si="567"/>
        <v>0.10617862416052315</v>
      </c>
      <c r="DE107" s="1180">
        <f t="shared" ref="DE107:DN108" si="568">DE41/CZ41-1</f>
        <v>0.14116322439103146</v>
      </c>
      <c r="DF107" s="1180">
        <f t="shared" si="568"/>
        <v>9.0956025051044165E-2</v>
      </c>
      <c r="DG107" s="1180">
        <f t="shared" si="568"/>
        <v>9.8387768450255209E-2</v>
      </c>
      <c r="DH107" s="1584">
        <f t="shared" si="568"/>
        <v>0.1098321395511701</v>
      </c>
      <c r="DI107" s="1583">
        <f t="shared" si="568"/>
        <v>0.10889776840136012</v>
      </c>
      <c r="DJ107" s="133">
        <f t="shared" si="568"/>
        <v>0.12204262938860055</v>
      </c>
      <c r="DK107" s="133">
        <f t="shared" si="568"/>
        <v>0.12202649808792598</v>
      </c>
      <c r="DL107" s="133">
        <f t="shared" si="568"/>
        <v>0.12131809694758111</v>
      </c>
      <c r="DM107" s="135">
        <f t="shared" si="568"/>
        <v>0.11959688459691531</v>
      </c>
      <c r="DN107" s="553">
        <f t="shared" si="568"/>
        <v>0.12116689228960564</v>
      </c>
      <c r="DO107" s="133">
        <f t="shared" ref="DO107:DX108" si="569">DO41/DJ41-1</f>
        <v>9.9547495063997404E-2</v>
      </c>
      <c r="DP107" s="133">
        <f t="shared" si="569"/>
        <v>9.7014937821802816E-2</v>
      </c>
      <c r="DQ107" s="133">
        <f t="shared" si="569"/>
        <v>9.5874124977182396E-2</v>
      </c>
      <c r="DR107" s="135">
        <f t="shared" si="569"/>
        <v>9.5261183764348889E-2</v>
      </c>
      <c r="DS107" s="553">
        <f t="shared" si="569"/>
        <v>9.6783462367869166E-2</v>
      </c>
      <c r="DT107" s="133">
        <f t="shared" si="569"/>
        <v>3.2380154585124776E-2</v>
      </c>
      <c r="DU107" s="133">
        <f t="shared" si="569"/>
        <v>1.9900517149618047E-2</v>
      </c>
      <c r="DV107" s="133">
        <f t="shared" si="569"/>
        <v>2.0292896926195292E-2</v>
      </c>
      <c r="DW107" s="135">
        <f t="shared" si="569"/>
        <v>2.8629154870930096E-2</v>
      </c>
      <c r="DX107" s="553">
        <f t="shared" si="569"/>
        <v>2.5177705648157911E-2</v>
      </c>
      <c r="DY107" s="133">
        <f t="shared" ref="DY107:EC108" si="570">DY41/DT41-1</f>
        <v>8.5665954122613686E-2</v>
      </c>
      <c r="DZ107" s="133">
        <f t="shared" si="570"/>
        <v>9.4478234232351355E-2</v>
      </c>
      <c r="EA107" s="133">
        <f t="shared" si="570"/>
        <v>9.3454422309222407E-2</v>
      </c>
      <c r="EB107" s="135">
        <f t="shared" si="570"/>
        <v>9.2770780165444267E-2</v>
      </c>
      <c r="EC107" s="553">
        <f t="shared" si="570"/>
        <v>9.1779146163553982E-2</v>
      </c>
      <c r="ED107" s="16"/>
      <c r="EE107" s="132"/>
      <c r="EF107" s="133"/>
      <c r="EG107" s="133"/>
      <c r="EH107" s="133"/>
      <c r="EI107" s="133"/>
      <c r="EJ107" s="133"/>
      <c r="EK107" s="133">
        <f t="shared" si="529"/>
        <v>0.6883248730964453</v>
      </c>
      <c r="EL107" s="133">
        <f t="shared" si="530"/>
        <v>6.6145520144318182E-2</v>
      </c>
      <c r="EM107" s="133">
        <f t="shared" si="531"/>
        <v>0.10547095318668886</v>
      </c>
      <c r="EN107" s="133">
        <f t="shared" si="532"/>
        <v>-0.56581632653061176</v>
      </c>
      <c r="EO107" s="133">
        <f t="shared" si="264"/>
        <v>-2.4698367636621699E-2</v>
      </c>
      <c r="EP107" s="133">
        <f t="shared" si="514"/>
        <v>0.33807306068985654</v>
      </c>
      <c r="EQ107" s="133">
        <f t="shared" si="515"/>
        <v>4.2539074821348999E-2</v>
      </c>
      <c r="ER107" s="135">
        <f t="shared" si="516"/>
        <v>0.11930892054124076</v>
      </c>
      <c r="ES107" s="16"/>
      <c r="ET107" s="16"/>
      <c r="EU107" s="16"/>
      <c r="EX107" s="565" t="s">
        <v>233</v>
      </c>
      <c r="EY107" s="126">
        <f t="shared" si="517"/>
        <v>0.23182297154899834</v>
      </c>
      <c r="EZ107" s="126">
        <v>0.27461530808228329</v>
      </c>
      <c r="FA107" s="126">
        <f t="shared" si="527"/>
        <v>-4.2792336533284958E-2</v>
      </c>
      <c r="FB107" s="126">
        <f t="shared" si="518"/>
        <v>1.8513549771934867E-2</v>
      </c>
      <c r="FC107" s="970"/>
      <c r="FD107" s="16"/>
    </row>
    <row r="108" spans="1:166" ht="11.25" hidden="1" customHeight="1" outlineLevel="1" x14ac:dyDescent="0.2">
      <c r="A108" s="832" t="s">
        <v>783</v>
      </c>
      <c r="B108" s="138"/>
      <c r="C108" s="136"/>
      <c r="D108" s="137"/>
      <c r="E108" s="137"/>
      <c r="F108" s="139"/>
      <c r="G108" s="138"/>
      <c r="H108" s="136"/>
      <c r="I108" s="137"/>
      <c r="J108" s="137"/>
      <c r="K108" s="137"/>
      <c r="L108" s="138"/>
      <c r="M108" s="137"/>
      <c r="N108" s="137"/>
      <c r="O108" s="137"/>
      <c r="P108" s="139"/>
      <c r="Q108" s="138"/>
      <c r="R108" s="137"/>
      <c r="S108" s="137"/>
      <c r="T108" s="137"/>
      <c r="U108" s="137"/>
      <c r="V108" s="138"/>
      <c r="W108" s="137"/>
      <c r="X108" s="137"/>
      <c r="Y108" s="137"/>
      <c r="Z108" s="137"/>
      <c r="AA108" s="138"/>
      <c r="AB108" s="137"/>
      <c r="AC108" s="137"/>
      <c r="AD108" s="137"/>
      <c r="AE108" s="137"/>
      <c r="AF108" s="138"/>
      <c r="AG108" s="137"/>
      <c r="AH108" s="137"/>
      <c r="AI108" s="137"/>
      <c r="AJ108" s="554"/>
      <c r="AK108" s="139"/>
      <c r="AL108" s="137"/>
      <c r="AM108" s="137"/>
      <c r="AN108" s="137"/>
      <c r="AO108" s="139"/>
      <c r="AP108" s="139"/>
      <c r="AQ108" s="137"/>
      <c r="AR108" s="137"/>
      <c r="AS108" s="137"/>
      <c r="AT108" s="137"/>
      <c r="AU108" s="136"/>
      <c r="AV108" s="890"/>
      <c r="AW108" s="137"/>
      <c r="AX108" s="137"/>
      <c r="AY108" s="137"/>
      <c r="AZ108" s="137"/>
      <c r="BA108" s="582"/>
      <c r="BB108" s="137">
        <f t="shared" si="563"/>
        <v>0.129943502824859</v>
      </c>
      <c r="BC108" s="137">
        <f t="shared" si="563"/>
        <v>0.27791986359761323</v>
      </c>
      <c r="BD108" s="137">
        <f t="shared" si="563"/>
        <v>0.38793103448275956</v>
      </c>
      <c r="BE108" s="139">
        <f t="shared" si="563"/>
        <v>0.3529411764705872</v>
      </c>
      <c r="BF108" s="554">
        <f t="shared" si="563"/>
        <v>0.29025143361270422</v>
      </c>
      <c r="BG108" s="137">
        <f t="shared" si="563"/>
        <v>0.20083333333333298</v>
      </c>
      <c r="BH108" s="137">
        <f t="shared" si="563"/>
        <v>0.15343562374916608</v>
      </c>
      <c r="BI108" s="137">
        <f t="shared" si="563"/>
        <v>1.1801242236024301E-2</v>
      </c>
      <c r="BJ108" s="139">
        <f t="shared" si="563"/>
        <v>0.11745619727449808</v>
      </c>
      <c r="BK108" s="554">
        <f t="shared" si="563"/>
        <v>0.11470085470085478</v>
      </c>
      <c r="BL108" s="137">
        <f t="shared" si="564"/>
        <v>6.2456627342124538E-3</v>
      </c>
      <c r="BM108" s="137">
        <f t="shared" si="564"/>
        <v>-6.0150375939849066E-2</v>
      </c>
      <c r="BN108" s="137">
        <f t="shared" si="564"/>
        <v>8.0417434008594801E-2</v>
      </c>
      <c r="BO108" s="139">
        <f t="shared" si="564"/>
        <v>5.749128919860591E-2</v>
      </c>
      <c r="BP108" s="554">
        <f t="shared" si="564"/>
        <v>2.0702346265910165E-2</v>
      </c>
      <c r="BQ108" s="137">
        <f t="shared" si="564"/>
        <v>0.10137931034482794</v>
      </c>
      <c r="BR108" s="137">
        <f t="shared" si="564"/>
        <v>0.12492307692307669</v>
      </c>
      <c r="BS108" s="137">
        <f t="shared" si="564"/>
        <v>0.10454545454545427</v>
      </c>
      <c r="BT108" s="137">
        <f t="shared" si="564"/>
        <v>0.23119165293794675</v>
      </c>
      <c r="BU108" s="582">
        <f t="shared" si="564"/>
        <v>0.14347956730769251</v>
      </c>
      <c r="BV108" s="1286"/>
      <c r="BW108" s="1286"/>
      <c r="BX108" s="1286"/>
      <c r="BY108" s="1287"/>
      <c r="BZ108" s="554"/>
      <c r="CA108" s="137">
        <f t="shared" si="565"/>
        <v>6.8934376881396808E-2</v>
      </c>
      <c r="CB108" s="137">
        <f t="shared" si="565"/>
        <v>7.4874371859295907E-2</v>
      </c>
      <c r="CC108" s="137">
        <f t="shared" si="565"/>
        <v>6.3721940622737838E-2</v>
      </c>
      <c r="CD108" s="137">
        <f t="shared" si="565"/>
        <v>0.11233978386529353</v>
      </c>
      <c r="CE108" s="138">
        <f t="shared" si="565"/>
        <v>8.0264522821576811E-2</v>
      </c>
      <c r="CF108" s="137">
        <f t="shared" si="565"/>
        <v>0.1484088989017176</v>
      </c>
      <c r="CG108" s="137">
        <f t="shared" si="565"/>
        <v>0.11991584852734949</v>
      </c>
      <c r="CH108" s="137">
        <f t="shared" si="565"/>
        <v>0.10937145450419683</v>
      </c>
      <c r="CI108" s="137">
        <f t="shared" si="565"/>
        <v>0.15765928603705359</v>
      </c>
      <c r="CJ108" s="138">
        <f t="shared" si="565"/>
        <v>0.13322530308486358</v>
      </c>
      <c r="CK108" s="137">
        <f t="shared" si="566"/>
        <v>8.7297694948504478E-2</v>
      </c>
      <c r="CL108" s="137">
        <f t="shared" si="566"/>
        <v>0.10832811521603047</v>
      </c>
      <c r="CM108" s="137">
        <f t="shared" si="566"/>
        <v>0.15586009408877133</v>
      </c>
      <c r="CN108" s="137">
        <f t="shared" si="566"/>
        <v>0.18330145595066183</v>
      </c>
      <c r="CO108" s="1546">
        <f t="shared" si="566"/>
        <v>0.13643826330116871</v>
      </c>
      <c r="CP108" s="1548">
        <f t="shared" si="566"/>
        <v>0.12268831754623299</v>
      </c>
      <c r="CQ108" s="1548">
        <f t="shared" si="566"/>
        <v>5.7672962129976302E-2</v>
      </c>
      <c r="CR108" s="1548">
        <f t="shared" si="566"/>
        <v>6.4303084373110497E-2</v>
      </c>
      <c r="CS108" s="1549">
        <f t="shared" si="566"/>
        <v>3.7783580417773965E-2</v>
      </c>
      <c r="CT108" s="1550">
        <f t="shared" si="566"/>
        <v>6.7233759286773553E-2</v>
      </c>
      <c r="CU108" s="1548">
        <f t="shared" si="567"/>
        <v>9.336550260768739E-2</v>
      </c>
      <c r="CV108" s="1548">
        <f t="shared" si="567"/>
        <v>9.5556816257578392E-2</v>
      </c>
      <c r="CW108" s="1548">
        <f t="shared" si="567"/>
        <v>0.10495968597971839</v>
      </c>
      <c r="CX108" s="1549">
        <f t="shared" si="567"/>
        <v>0.10760156342812088</v>
      </c>
      <c r="CY108" s="1550">
        <f t="shared" si="567"/>
        <v>0.10085929897192569</v>
      </c>
      <c r="CZ108" s="1548">
        <f t="shared" si="567"/>
        <v>7.9673062114728133E-2</v>
      </c>
      <c r="DA108" s="1548">
        <f t="shared" si="567"/>
        <v>0.1051620255373702</v>
      </c>
      <c r="DB108" s="1548">
        <f t="shared" si="567"/>
        <v>0.10521328407075137</v>
      </c>
      <c r="DC108" s="1549">
        <f t="shared" si="567"/>
        <v>0.10537507329607276</v>
      </c>
      <c r="DD108" s="1550">
        <f t="shared" si="567"/>
        <v>9.9731529511035255E-2</v>
      </c>
      <c r="DE108" s="1548">
        <f t="shared" si="568"/>
        <v>0.10563626712561036</v>
      </c>
      <c r="DF108" s="1548">
        <f t="shared" si="568"/>
        <v>5.9584666471622194E-2</v>
      </c>
      <c r="DG108" s="1548">
        <f t="shared" si="568"/>
        <v>6.9375359014626881E-2</v>
      </c>
      <c r="DH108" s="1549">
        <f t="shared" si="568"/>
        <v>8.0201651198713364E-2</v>
      </c>
      <c r="DI108" s="1550">
        <f t="shared" si="568"/>
        <v>7.7667885610446907E-2</v>
      </c>
      <c r="DJ108" s="137">
        <f t="shared" si="568"/>
        <v>0.118649802918813</v>
      </c>
      <c r="DK108" s="137">
        <f t="shared" si="568"/>
        <v>0.1176483998847806</v>
      </c>
      <c r="DL108" s="137">
        <f t="shared" si="568"/>
        <v>0.11792847685412045</v>
      </c>
      <c r="DM108" s="139">
        <f t="shared" si="568"/>
        <v>0.11631744056630922</v>
      </c>
      <c r="DN108" s="554">
        <f t="shared" si="568"/>
        <v>0.117569103837736</v>
      </c>
      <c r="DO108" s="137">
        <f t="shared" si="569"/>
        <v>9.6858899511874874E-2</v>
      </c>
      <c r="DP108" s="137">
        <f t="shared" si="569"/>
        <v>9.3823612584103655E-2</v>
      </c>
      <c r="DQ108" s="137">
        <f t="shared" si="569"/>
        <v>9.3328415457484271E-2</v>
      </c>
      <c r="DR108" s="139">
        <f t="shared" si="569"/>
        <v>9.2806117384719444E-2</v>
      </c>
      <c r="DS108" s="554">
        <f t="shared" si="569"/>
        <v>9.4071008832533831E-2</v>
      </c>
      <c r="DT108" s="137">
        <f t="shared" si="569"/>
        <v>3.0178937586654131E-2</v>
      </c>
      <c r="DU108" s="137">
        <f t="shared" si="569"/>
        <v>1.8604461571834152E-2</v>
      </c>
      <c r="DV108" s="137">
        <f t="shared" si="569"/>
        <v>1.8815447487856574E-2</v>
      </c>
      <c r="DW108" s="139">
        <f t="shared" si="569"/>
        <v>2.7223824507147887E-2</v>
      </c>
      <c r="DX108" s="554">
        <f t="shared" si="569"/>
        <v>2.358082060014266E-2</v>
      </c>
      <c r="DY108" s="137">
        <f t="shared" si="570"/>
        <v>8.3658453805606436E-2</v>
      </c>
      <c r="DZ108" s="137">
        <f t="shared" si="570"/>
        <v>9.1912870465963969E-2</v>
      </c>
      <c r="EA108" s="137">
        <f t="shared" si="570"/>
        <v>9.1458137758461566E-2</v>
      </c>
      <c r="EB108" s="139">
        <f t="shared" si="570"/>
        <v>9.0848516705887228E-2</v>
      </c>
      <c r="EC108" s="554">
        <f t="shared" si="570"/>
        <v>8.9684214626158942E-2</v>
      </c>
      <c r="ED108" s="25"/>
      <c r="EE108" s="136"/>
      <c r="EF108" s="137"/>
      <c r="EG108" s="137"/>
      <c r="EH108" s="137"/>
      <c r="EI108" s="137"/>
      <c r="EJ108" s="137"/>
      <c r="EK108" s="137">
        <f t="shared" si="529"/>
        <v>0.29025143361270422</v>
      </c>
      <c r="EL108" s="137">
        <f t="shared" si="530"/>
        <v>0.11470085470085478</v>
      </c>
      <c r="EM108" s="137">
        <f t="shared" si="531"/>
        <v>2.0702346265910165E-2</v>
      </c>
      <c r="EN108" s="137">
        <f t="shared" si="532"/>
        <v>0.14347956730769251</v>
      </c>
      <c r="EO108" s="137">
        <f t="shared" si="264"/>
        <v>8.0264522821576811E-2</v>
      </c>
      <c r="EP108" s="137">
        <f t="shared" si="514"/>
        <v>0.13322530308486358</v>
      </c>
      <c r="EQ108" s="137">
        <f t="shared" si="515"/>
        <v>0.13643826330116871</v>
      </c>
      <c r="ER108" s="139">
        <f t="shared" si="516"/>
        <v>6.7233759286773553E-2</v>
      </c>
      <c r="ES108" s="25"/>
      <c r="ET108" s="25"/>
      <c r="EU108" s="25"/>
      <c r="EX108" s="557" t="s">
        <v>783</v>
      </c>
      <c r="EY108" s="126">
        <f t="shared" si="517"/>
        <v>0.12268831754623299</v>
      </c>
      <c r="EZ108" s="35">
        <v>0.16302203641866209</v>
      </c>
      <c r="FA108" s="35">
        <f t="shared" si="527"/>
        <v>-4.0333718872429092E-2</v>
      </c>
      <c r="FB108" s="35">
        <f t="shared" si="518"/>
        <v>8.7297694948504478E-2</v>
      </c>
      <c r="FC108" s="973"/>
      <c r="FD108" s="25"/>
    </row>
    <row r="109" spans="1:166" ht="11.25" hidden="1" customHeight="1" outlineLevel="1" x14ac:dyDescent="0.2">
      <c r="A109" s="811" t="s">
        <v>0</v>
      </c>
      <c r="B109" s="736"/>
      <c r="C109" s="737"/>
      <c r="D109" s="738"/>
      <c r="E109" s="738"/>
      <c r="F109" s="739"/>
      <c r="G109" s="736"/>
      <c r="H109" s="737"/>
      <c r="I109" s="738"/>
      <c r="J109" s="738"/>
      <c r="K109" s="738"/>
      <c r="L109" s="736"/>
      <c r="M109" s="738"/>
      <c r="N109" s="738"/>
      <c r="O109" s="738"/>
      <c r="P109" s="739"/>
      <c r="Q109" s="736"/>
      <c r="R109" s="738"/>
      <c r="S109" s="738"/>
      <c r="T109" s="738"/>
      <c r="U109" s="738"/>
      <c r="V109" s="736"/>
      <c r="W109" s="738"/>
      <c r="X109" s="738"/>
      <c r="Y109" s="738"/>
      <c r="Z109" s="738"/>
      <c r="AA109" s="736"/>
      <c r="AB109" s="738"/>
      <c r="AC109" s="738"/>
      <c r="AD109" s="738"/>
      <c r="AE109" s="738"/>
      <c r="AF109" s="736"/>
      <c r="AG109" s="738"/>
      <c r="AH109" s="738"/>
      <c r="AI109" s="738"/>
      <c r="AJ109" s="740"/>
      <c r="AK109" s="739"/>
      <c r="AL109" s="738"/>
      <c r="AM109" s="738"/>
      <c r="AN109" s="738"/>
      <c r="AO109" s="739"/>
      <c r="AP109" s="739"/>
      <c r="AQ109" s="738"/>
      <c r="AR109" s="738"/>
      <c r="AS109" s="738"/>
      <c r="AT109" s="738"/>
      <c r="AU109" s="737"/>
      <c r="AV109" s="272"/>
      <c r="AW109" s="738"/>
      <c r="AX109" s="738"/>
      <c r="AY109" s="738"/>
      <c r="AZ109" s="738"/>
      <c r="BA109" s="581"/>
      <c r="BB109" s="823"/>
      <c r="BC109" s="823"/>
      <c r="BD109" s="823"/>
      <c r="BE109" s="824"/>
      <c r="BF109" s="1212"/>
      <c r="BG109" s="823"/>
      <c r="BH109" s="738">
        <v>0.19</v>
      </c>
      <c r="BI109" s="738">
        <v>6.3E-2</v>
      </c>
      <c r="BJ109" s="739">
        <v>0.22500000000000001</v>
      </c>
      <c r="BK109" s="740">
        <v>0.16600000000000001</v>
      </c>
      <c r="BL109" s="738">
        <v>4.4999999999999998E-2</v>
      </c>
      <c r="BM109" s="738">
        <v>2.7E-2</v>
      </c>
      <c r="BN109" s="738">
        <v>0.16700000000000001</v>
      </c>
      <c r="BO109" s="739">
        <v>0.14299999999999999</v>
      </c>
      <c r="BP109" s="740">
        <v>0.1</v>
      </c>
      <c r="BQ109" s="738">
        <v>0.125</v>
      </c>
      <c r="BR109" s="738">
        <v>0.13300000000000001</v>
      </c>
      <c r="BS109" s="738">
        <v>0.11899999999999999</v>
      </c>
      <c r="BT109" s="738"/>
      <c r="BU109" s="741"/>
      <c r="BV109" s="1284"/>
      <c r="BW109" s="1284"/>
      <c r="BX109" s="1284"/>
      <c r="BY109" s="1285"/>
      <c r="BZ109" s="740"/>
      <c r="CA109" s="738">
        <v>0.18</v>
      </c>
      <c r="CB109" s="738">
        <v>0.191</v>
      </c>
      <c r="CC109" s="738">
        <v>0.22800000000000001</v>
      </c>
      <c r="CD109" s="738">
        <v>0.254</v>
      </c>
      <c r="CE109" s="736">
        <v>0.214</v>
      </c>
      <c r="CF109" s="1186">
        <v>0.18099999999999999</v>
      </c>
      <c r="CG109" s="738">
        <v>0.16200000000000001</v>
      </c>
      <c r="CH109" s="738">
        <v>0.113</v>
      </c>
      <c r="CI109" s="738">
        <v>0.16400000000000001</v>
      </c>
      <c r="CJ109" s="736">
        <v>0.16400000000000001</v>
      </c>
      <c r="CK109" s="738">
        <v>6.8000000000000005E-2</v>
      </c>
      <c r="CL109" s="738">
        <v>8.7999999999999995E-2</v>
      </c>
      <c r="CM109" s="1668">
        <v>7.5999999999999998E-2</v>
      </c>
      <c r="CN109" s="738">
        <v>0.14847183397063413</v>
      </c>
      <c r="CO109" s="1188">
        <v>0.12322162594762642</v>
      </c>
      <c r="CP109" s="1186"/>
      <c r="CQ109" s="1186"/>
      <c r="CR109" s="1186"/>
      <c r="CS109" s="1239"/>
      <c r="CT109" s="1212"/>
      <c r="CU109" s="1186"/>
      <c r="CV109" s="1186"/>
      <c r="CW109" s="1186"/>
      <c r="CX109" s="1239"/>
      <c r="CY109" s="1212"/>
      <c r="CZ109" s="1186"/>
      <c r="DA109" s="1186"/>
      <c r="DB109" s="1186"/>
      <c r="DC109" s="1239"/>
      <c r="DD109" s="1212"/>
      <c r="DE109" s="1186"/>
      <c r="DF109" s="1186"/>
      <c r="DG109" s="1186"/>
      <c r="DH109" s="1239"/>
      <c r="DI109" s="1212"/>
      <c r="DJ109" s="738"/>
      <c r="DK109" s="738"/>
      <c r="DL109" s="738"/>
      <c r="DM109" s="739"/>
      <c r="DN109" s="740"/>
      <c r="DO109" s="738"/>
      <c r="DP109" s="738"/>
      <c r="DQ109" s="738"/>
      <c r="DR109" s="739"/>
      <c r="DS109" s="740"/>
      <c r="DT109" s="738"/>
      <c r="DU109" s="738"/>
      <c r="DV109" s="738"/>
      <c r="DW109" s="739"/>
      <c r="DX109" s="740"/>
      <c r="DY109" s="738"/>
      <c r="DZ109" s="738"/>
      <c r="EA109" s="738"/>
      <c r="EB109" s="739"/>
      <c r="EC109" s="740"/>
      <c r="ED109" s="118"/>
      <c r="EE109" s="737"/>
      <c r="EF109" s="738"/>
      <c r="EG109" s="738"/>
      <c r="EH109" s="738"/>
      <c r="EI109" s="738"/>
      <c r="EJ109" s="738"/>
      <c r="EK109" s="137">
        <f t="shared" si="529"/>
        <v>0</v>
      </c>
      <c r="EL109" s="137">
        <f t="shared" si="530"/>
        <v>0.16600000000000001</v>
      </c>
      <c r="EM109" s="137">
        <f t="shared" si="531"/>
        <v>0.1</v>
      </c>
      <c r="EN109" s="137">
        <f t="shared" si="532"/>
        <v>0</v>
      </c>
      <c r="EO109" s="137">
        <f>CE109</f>
        <v>0.214</v>
      </c>
      <c r="EP109" s="137">
        <f t="shared" si="514"/>
        <v>0.16400000000000001</v>
      </c>
      <c r="EQ109" s="137">
        <f t="shared" si="515"/>
        <v>0.12322162594762642</v>
      </c>
      <c r="ER109" s="139">
        <f t="shared" si="516"/>
        <v>0</v>
      </c>
      <c r="ES109" s="118"/>
      <c r="ET109" s="118"/>
      <c r="EU109" s="118"/>
      <c r="EX109" s="723" t="s">
        <v>0</v>
      </c>
      <c r="EY109" s="126">
        <f t="shared" si="517"/>
        <v>0</v>
      </c>
      <c r="EZ109" s="274">
        <v>0</v>
      </c>
      <c r="FA109" s="274"/>
      <c r="FB109" s="274">
        <f t="shared" si="518"/>
        <v>6.8000000000000005E-2</v>
      </c>
      <c r="FC109" s="972"/>
      <c r="FD109" s="118"/>
    </row>
    <row r="110" spans="1:166" ht="11.25" hidden="1" customHeight="1" outlineLevel="1" x14ac:dyDescent="0.2">
      <c r="A110" s="811" t="s">
        <v>856</v>
      </c>
      <c r="B110" s="736"/>
      <c r="C110" s="737"/>
      <c r="D110" s="738"/>
      <c r="E110" s="738"/>
      <c r="F110" s="739"/>
      <c r="G110" s="736"/>
      <c r="H110" s="737"/>
      <c r="I110" s="738"/>
      <c r="J110" s="738"/>
      <c r="K110" s="738"/>
      <c r="L110" s="736"/>
      <c r="M110" s="738"/>
      <c r="N110" s="738"/>
      <c r="O110" s="738"/>
      <c r="P110" s="739"/>
      <c r="Q110" s="736"/>
      <c r="R110" s="738"/>
      <c r="S110" s="738"/>
      <c r="T110" s="738"/>
      <c r="U110" s="738"/>
      <c r="V110" s="736"/>
      <c r="W110" s="738"/>
      <c r="X110" s="738"/>
      <c r="Y110" s="738"/>
      <c r="Z110" s="738"/>
      <c r="AA110" s="736"/>
      <c r="AB110" s="738"/>
      <c r="AC110" s="738"/>
      <c r="AD110" s="738"/>
      <c r="AE110" s="738"/>
      <c r="AF110" s="736"/>
      <c r="AG110" s="738"/>
      <c r="AH110" s="738"/>
      <c r="AI110" s="738"/>
      <c r="AJ110" s="740"/>
      <c r="AK110" s="739"/>
      <c r="AL110" s="738"/>
      <c r="AM110" s="738"/>
      <c r="AN110" s="738"/>
      <c r="AO110" s="739"/>
      <c r="AP110" s="739"/>
      <c r="AQ110" s="738"/>
      <c r="AR110" s="738"/>
      <c r="AS110" s="738"/>
      <c r="AT110" s="738"/>
      <c r="AU110" s="737"/>
      <c r="AV110" s="272"/>
      <c r="AW110" s="738"/>
      <c r="AX110" s="738"/>
      <c r="AY110" s="738"/>
      <c r="AZ110" s="738"/>
      <c r="BA110" s="581"/>
      <c r="BB110" s="823"/>
      <c r="BC110" s="823"/>
      <c r="BD110" s="823"/>
      <c r="BE110" s="824"/>
      <c r="BF110" s="1212"/>
      <c r="BG110" s="823"/>
      <c r="BH110" s="738"/>
      <c r="BI110" s="738"/>
      <c r="BJ110" s="739"/>
      <c r="BK110" s="740"/>
      <c r="BL110" s="738"/>
      <c r="BM110" s="738"/>
      <c r="BN110" s="738"/>
      <c r="BO110" s="739"/>
      <c r="BP110" s="740"/>
      <c r="BQ110" s="738"/>
      <c r="BR110" s="738"/>
      <c r="BS110" s="738"/>
      <c r="BT110" s="738"/>
      <c r="BU110" s="741"/>
      <c r="BV110" s="1284"/>
      <c r="BW110" s="1284"/>
      <c r="BX110" s="1284"/>
      <c r="BY110" s="1285"/>
      <c r="BZ110" s="740"/>
      <c r="CA110" s="738"/>
      <c r="CB110" s="738"/>
      <c r="CC110" s="738"/>
      <c r="CD110" s="738"/>
      <c r="CE110" s="736"/>
      <c r="CF110" s="1186"/>
      <c r="CG110" s="738"/>
      <c r="CH110" s="738"/>
      <c r="CI110" s="738"/>
      <c r="CJ110" s="736"/>
      <c r="CK110" s="738"/>
      <c r="CL110" s="738"/>
      <c r="CM110" s="1668"/>
      <c r="CN110" s="738"/>
      <c r="CO110" s="1188"/>
      <c r="CP110" s="1186">
        <v>0.05</v>
      </c>
      <c r="CQ110" s="1186"/>
      <c r="CR110" s="1186"/>
      <c r="CS110" s="1239"/>
      <c r="CT110" s="1212"/>
      <c r="CU110" s="1186"/>
      <c r="CV110" s="1186"/>
      <c r="CW110" s="1186"/>
      <c r="CX110" s="1239"/>
      <c r="CY110" s="1212"/>
      <c r="CZ110" s="1186"/>
      <c r="DA110" s="1186"/>
      <c r="DB110" s="1186"/>
      <c r="DC110" s="1239"/>
      <c r="DD110" s="1212"/>
      <c r="DE110" s="1186"/>
      <c r="DF110" s="1186"/>
      <c r="DG110" s="1186"/>
      <c r="DH110" s="1239"/>
      <c r="DI110" s="1212"/>
      <c r="DJ110" s="738"/>
      <c r="DK110" s="738"/>
      <c r="DL110" s="738"/>
      <c r="DM110" s="739"/>
      <c r="DN110" s="740"/>
      <c r="DO110" s="738"/>
      <c r="DP110" s="738"/>
      <c r="DQ110" s="738"/>
      <c r="DR110" s="739"/>
      <c r="DS110" s="740"/>
      <c r="DT110" s="738"/>
      <c r="DU110" s="738"/>
      <c r="DV110" s="738"/>
      <c r="DW110" s="739"/>
      <c r="DX110" s="740"/>
      <c r="DY110" s="738"/>
      <c r="DZ110" s="738"/>
      <c r="EA110" s="738"/>
      <c r="EB110" s="739"/>
      <c r="EC110" s="740"/>
      <c r="ED110" s="118"/>
      <c r="EE110" s="737"/>
      <c r="EF110" s="738"/>
      <c r="EG110" s="738"/>
      <c r="EH110" s="738"/>
      <c r="EI110" s="738"/>
      <c r="EJ110" s="738"/>
      <c r="EK110" s="137"/>
      <c r="EL110" s="137"/>
      <c r="EM110" s="137"/>
      <c r="EN110" s="137"/>
      <c r="EO110" s="137"/>
      <c r="EP110" s="137"/>
      <c r="EQ110" s="137"/>
      <c r="ER110" s="139"/>
      <c r="ES110" s="118"/>
      <c r="ET110" s="118"/>
      <c r="EU110" s="118"/>
      <c r="EX110" s="723"/>
      <c r="EY110" s="126"/>
      <c r="EZ110" s="274"/>
      <c r="FA110" s="274"/>
      <c r="FB110" s="274"/>
      <c r="FC110" s="972"/>
      <c r="FD110" s="118"/>
    </row>
    <row r="111" spans="1:166" ht="11.25" customHeight="1" collapsed="1" x14ac:dyDescent="0.2">
      <c r="A111" s="832" t="s">
        <v>31</v>
      </c>
      <c r="B111" s="138"/>
      <c r="C111" s="136"/>
      <c r="D111" s="137"/>
      <c r="E111" s="137"/>
      <c r="F111" s="139"/>
      <c r="G111" s="138"/>
      <c r="H111" s="136"/>
      <c r="I111" s="137"/>
      <c r="J111" s="137"/>
      <c r="K111" s="137"/>
      <c r="L111" s="138"/>
      <c r="M111" s="137"/>
      <c r="N111" s="137"/>
      <c r="O111" s="137"/>
      <c r="P111" s="139"/>
      <c r="Q111" s="138"/>
      <c r="R111" s="137"/>
      <c r="S111" s="137"/>
      <c r="T111" s="137"/>
      <c r="U111" s="137"/>
      <c r="V111" s="138"/>
      <c r="W111" s="137"/>
      <c r="X111" s="137"/>
      <c r="Y111" s="137"/>
      <c r="Z111" s="137"/>
      <c r="AA111" s="138"/>
      <c r="AB111" s="137"/>
      <c r="AC111" s="137"/>
      <c r="AD111" s="137"/>
      <c r="AE111" s="137"/>
      <c r="AF111" s="138"/>
      <c r="AG111" s="137"/>
      <c r="AH111" s="137"/>
      <c r="AI111" s="137"/>
      <c r="AJ111" s="554"/>
      <c r="AK111" s="139"/>
      <c r="AL111" s="137"/>
      <c r="AM111" s="137"/>
      <c r="AN111" s="137"/>
      <c r="AO111" s="139"/>
      <c r="AP111" s="139"/>
      <c r="AQ111" s="137"/>
      <c r="AR111" s="137"/>
      <c r="AS111" s="137"/>
      <c r="AT111" s="137"/>
      <c r="AU111" s="136"/>
      <c r="AV111" s="272"/>
      <c r="AW111" s="137"/>
      <c r="AX111" s="137"/>
      <c r="AY111" s="137"/>
      <c r="AZ111" s="137"/>
      <c r="BA111" s="582"/>
      <c r="BB111" s="137">
        <f t="shared" ref="BB111:BU111" si="571">BB43/AW43-1</f>
        <v>0.17173699705593748</v>
      </c>
      <c r="BC111" s="137">
        <f t="shared" si="571"/>
        <v>0.31685789938217135</v>
      </c>
      <c r="BD111" s="137">
        <f t="shared" si="571"/>
        <v>0.44594594594594694</v>
      </c>
      <c r="BE111" s="139">
        <f t="shared" si="571"/>
        <v>0.31007067137809075</v>
      </c>
      <c r="BF111" s="554">
        <f t="shared" si="571"/>
        <v>0.31406463359126069</v>
      </c>
      <c r="BG111" s="137">
        <f t="shared" si="571"/>
        <v>0.17755443886097133</v>
      </c>
      <c r="BH111" s="137">
        <f t="shared" si="571"/>
        <v>0.14678284182305634</v>
      </c>
      <c r="BI111" s="137">
        <f t="shared" si="571"/>
        <v>1.2461059190027601E-3</v>
      </c>
      <c r="BJ111" s="139">
        <f t="shared" si="571"/>
        <v>0.11530681051921898</v>
      </c>
      <c r="BK111" s="554">
        <f t="shared" si="571"/>
        <v>0.10460685833044714</v>
      </c>
      <c r="BL111" s="137">
        <f t="shared" si="571"/>
        <v>-2.4893314366998376E-2</v>
      </c>
      <c r="BM111" s="137">
        <f t="shared" si="571"/>
        <v>-7.8316773816480945E-2</v>
      </c>
      <c r="BN111" s="137">
        <f t="shared" si="571"/>
        <v>5.5382700684505792E-2</v>
      </c>
      <c r="BO111" s="139">
        <f t="shared" si="571"/>
        <v>3.3252720677146019E-2</v>
      </c>
      <c r="BP111" s="554">
        <f t="shared" si="571"/>
        <v>-3.9197240514265985E-3</v>
      </c>
      <c r="BQ111" s="137">
        <f t="shared" si="571"/>
        <v>0.11013858497447138</v>
      </c>
      <c r="BR111" s="137">
        <f t="shared" si="571"/>
        <v>9.511731135066559E-2</v>
      </c>
      <c r="BS111" s="137">
        <f t="shared" si="571"/>
        <v>0.14386792452830166</v>
      </c>
      <c r="BT111" s="137">
        <f t="shared" si="571"/>
        <v>0.14511410181392659</v>
      </c>
      <c r="BU111" s="582">
        <f t="shared" si="571"/>
        <v>0.12482291830631187</v>
      </c>
      <c r="BV111" s="1286"/>
      <c r="BW111" s="1286"/>
      <c r="BX111" s="1286"/>
      <c r="BY111" s="1287"/>
      <c r="BZ111" s="554"/>
      <c r="CA111" s="137">
        <f t="shared" ref="CA111:DF111" si="572">CA43/BV43-1</f>
        <v>5.7160608884747166E-2</v>
      </c>
      <c r="CB111" s="137">
        <f t="shared" si="572"/>
        <v>6.2516212710764574E-2</v>
      </c>
      <c r="CC111" s="137">
        <f t="shared" si="572"/>
        <v>2.1374787466602596E-2</v>
      </c>
      <c r="CD111" s="137">
        <f t="shared" si="572"/>
        <v>0.13556149732620404</v>
      </c>
      <c r="CE111" s="138">
        <f t="shared" si="572"/>
        <v>6.8314245529435658E-2</v>
      </c>
      <c r="CF111" s="137">
        <f t="shared" si="572"/>
        <v>0.22127534528357296</v>
      </c>
      <c r="CG111" s="137">
        <f t="shared" si="572"/>
        <v>0.12304687500000022</v>
      </c>
      <c r="CH111" s="137">
        <f t="shared" si="572"/>
        <v>0.13388822829964209</v>
      </c>
      <c r="CI111" s="137">
        <f t="shared" si="572"/>
        <v>0.18149281846008947</v>
      </c>
      <c r="CJ111" s="138">
        <f t="shared" si="572"/>
        <v>0.16242241865713725</v>
      </c>
      <c r="CK111" s="1548">
        <f t="shared" si="572"/>
        <v>2.935514918190596E-2</v>
      </c>
      <c r="CL111" s="1548">
        <f t="shared" si="572"/>
        <v>0.11956521739130488</v>
      </c>
      <c r="CM111" s="1548">
        <f t="shared" si="572"/>
        <v>0.16170302013422888</v>
      </c>
      <c r="CN111" s="1548">
        <f t="shared" si="572"/>
        <v>0.18199210809518118</v>
      </c>
      <c r="CO111" s="1546">
        <f t="shared" si="572"/>
        <v>0.12707504125813074</v>
      </c>
      <c r="CP111" s="1548">
        <f t="shared" si="572"/>
        <v>0.15123889668069146</v>
      </c>
      <c r="CQ111" s="1548">
        <f t="shared" si="572"/>
        <v>5.7348238623334824E-2</v>
      </c>
      <c r="CR111" s="1548">
        <f t="shared" si="572"/>
        <v>7.0026490303745748E-2</v>
      </c>
      <c r="CS111" s="1549">
        <f t="shared" si="572"/>
        <v>4.5368714900179352E-2</v>
      </c>
      <c r="CT111" s="1550">
        <f t="shared" si="572"/>
        <v>7.6528950462990908E-2</v>
      </c>
      <c r="CU111" s="1548">
        <f t="shared" si="572"/>
        <v>8.8278877559607727E-2</v>
      </c>
      <c r="CV111" s="1548">
        <f t="shared" si="572"/>
        <v>0.1169201446531396</v>
      </c>
      <c r="CW111" s="1548">
        <f t="shared" si="572"/>
        <v>0.10819646200827893</v>
      </c>
      <c r="CX111" s="1549">
        <f t="shared" si="572"/>
        <v>0.11081109264450872</v>
      </c>
      <c r="CY111" s="1550">
        <f t="shared" si="572"/>
        <v>0.10666829069750761</v>
      </c>
      <c r="CZ111" s="1548">
        <f t="shared" si="572"/>
        <v>8.2772608064266562E-2</v>
      </c>
      <c r="DA111" s="1548">
        <f t="shared" si="572"/>
        <v>0.10803212551902908</v>
      </c>
      <c r="DB111" s="1548">
        <f t="shared" si="572"/>
        <v>0.10797723534914749</v>
      </c>
      <c r="DC111" s="1549">
        <f t="shared" si="572"/>
        <v>0.10808168460000345</v>
      </c>
      <c r="DD111" s="1550">
        <f t="shared" si="572"/>
        <v>0.10259354967735224</v>
      </c>
      <c r="DE111" s="1548">
        <f t="shared" si="572"/>
        <v>0.10524192135771893</v>
      </c>
      <c r="DF111" s="1548">
        <f t="shared" si="572"/>
        <v>6.0123124744716705E-2</v>
      </c>
      <c r="DG111" s="1548">
        <f t="shared" ref="DG111:DX111" si="573">DG43/DB43-1</f>
        <v>7.0018839713828829E-2</v>
      </c>
      <c r="DH111" s="1549">
        <f t="shared" si="573"/>
        <v>8.2268680890881463E-2</v>
      </c>
      <c r="DI111" s="1550">
        <f t="shared" si="573"/>
        <v>7.8441414681895916E-2</v>
      </c>
      <c r="DJ111" s="137">
        <f t="shared" si="573"/>
        <v>0.12252371030764619</v>
      </c>
      <c r="DK111" s="137">
        <f t="shared" si="573"/>
        <v>0.12075086933474943</v>
      </c>
      <c r="DL111" s="137">
        <f t="shared" si="573"/>
        <v>0.12087703858780108</v>
      </c>
      <c r="DM111" s="139">
        <f t="shared" si="573"/>
        <v>0.11900672622374575</v>
      </c>
      <c r="DN111" s="554">
        <f t="shared" si="573"/>
        <v>0.12068156750585191</v>
      </c>
      <c r="DO111" s="137">
        <f t="shared" si="573"/>
        <v>9.9856983236009444E-2</v>
      </c>
      <c r="DP111" s="137">
        <f t="shared" si="573"/>
        <v>9.6234841768680468E-2</v>
      </c>
      <c r="DQ111" s="137">
        <f t="shared" si="573"/>
        <v>9.5608361417611309E-2</v>
      </c>
      <c r="DR111" s="139">
        <f t="shared" si="573"/>
        <v>9.4901052119862328E-2</v>
      </c>
      <c r="DS111" s="554">
        <f t="shared" si="573"/>
        <v>9.6484543107863363E-2</v>
      </c>
      <c r="DT111" s="137">
        <f t="shared" si="573"/>
        <v>3.2275084876198568E-2</v>
      </c>
      <c r="DU111" s="137">
        <f t="shared" si="573"/>
        <v>2.0378879450672072E-2</v>
      </c>
      <c r="DV111" s="137">
        <f t="shared" si="573"/>
        <v>2.0457835373803857E-2</v>
      </c>
      <c r="DW111" s="139">
        <f t="shared" si="573"/>
        <v>2.879222390506686E-2</v>
      </c>
      <c r="DX111" s="554">
        <f t="shared" si="573"/>
        <v>2.53295820308721E-2</v>
      </c>
      <c r="DY111" s="137">
        <f t="shared" ref="DY111" si="574">DY43/DT43-1</f>
        <v>8.5882287303306937E-2</v>
      </c>
      <c r="DZ111" s="137">
        <f t="shared" ref="DZ111" si="575">DZ43/DU43-1</f>
        <v>9.3750834246302706E-2</v>
      </c>
      <c r="EA111" s="137">
        <f t="shared" ref="EA111" si="576">EA43/DV43-1</f>
        <v>9.3206171990518172E-2</v>
      </c>
      <c r="EB111" s="139">
        <f t="shared" ref="EB111" si="577">EB43/DW43-1</f>
        <v>9.2437692462139953E-2</v>
      </c>
      <c r="EC111" s="554">
        <f t="shared" ref="EC111" si="578">EC43/DX43-1</f>
        <v>9.1517367832111063E-2</v>
      </c>
      <c r="ED111" s="25"/>
      <c r="EE111" s="136"/>
      <c r="EF111" s="137"/>
      <c r="EG111" s="137"/>
      <c r="EH111" s="137"/>
      <c r="EI111" s="137"/>
      <c r="EJ111" s="137"/>
      <c r="EK111" s="137">
        <f t="shared" si="529"/>
        <v>0.31406463359126069</v>
      </c>
      <c r="EL111" s="137">
        <f t="shared" si="530"/>
        <v>0.10460685833044714</v>
      </c>
      <c r="EM111" s="137">
        <f t="shared" si="531"/>
        <v>-3.9197240514265985E-3</v>
      </c>
      <c r="EN111" s="137">
        <f t="shared" si="532"/>
        <v>0.12482291830631187</v>
      </c>
      <c r="EO111" s="137">
        <f>CE111</f>
        <v>6.8314245529435658E-2</v>
      </c>
      <c r="EP111" s="137">
        <f t="shared" si="514"/>
        <v>0.16242241865713725</v>
      </c>
      <c r="EQ111" s="137">
        <f t="shared" si="515"/>
        <v>0.12707504125813074</v>
      </c>
      <c r="ER111" s="139">
        <f t="shared" si="516"/>
        <v>7.6528950462990908E-2</v>
      </c>
      <c r="ES111" s="25"/>
      <c r="ET111" s="25"/>
      <c r="EU111" s="25"/>
      <c r="EX111" s="557" t="s">
        <v>31</v>
      </c>
      <c r="EY111" s="126">
        <f>CP111</f>
        <v>0.15123889668069146</v>
      </c>
      <c r="EZ111" s="35">
        <v>0.18486201717633177</v>
      </c>
      <c r="FA111" s="35"/>
      <c r="FB111" s="35">
        <f>CK111</f>
        <v>2.935514918190596E-2</v>
      </c>
      <c r="FC111" s="973"/>
      <c r="FD111" s="25"/>
    </row>
    <row r="112" spans="1:166" s="1064" customFormat="1" ht="11.25" customHeight="1" x14ac:dyDescent="0.2">
      <c r="A112" s="811" t="s">
        <v>782</v>
      </c>
      <c r="B112" s="1546"/>
      <c r="C112" s="1547"/>
      <c r="D112" s="1548"/>
      <c r="E112" s="1548"/>
      <c r="F112" s="1549"/>
      <c r="G112" s="1546"/>
      <c r="H112" s="1547"/>
      <c r="I112" s="1548"/>
      <c r="J112" s="1548"/>
      <c r="K112" s="1548"/>
      <c r="L112" s="1546"/>
      <c r="M112" s="1548"/>
      <c r="N112" s="1548"/>
      <c r="O112" s="1548"/>
      <c r="P112" s="1549"/>
      <c r="Q112" s="1546"/>
      <c r="R112" s="1548"/>
      <c r="S112" s="1548"/>
      <c r="T112" s="1548"/>
      <c r="U112" s="1548"/>
      <c r="V112" s="1546"/>
      <c r="W112" s="1548"/>
      <c r="X112" s="1548"/>
      <c r="Y112" s="1548"/>
      <c r="Z112" s="1548"/>
      <c r="AA112" s="1546"/>
      <c r="AB112" s="1548"/>
      <c r="AC112" s="1548"/>
      <c r="AD112" s="1548"/>
      <c r="AE112" s="1548"/>
      <c r="AF112" s="1546"/>
      <c r="AG112" s="1548"/>
      <c r="AH112" s="1548"/>
      <c r="AI112" s="1548"/>
      <c r="AJ112" s="1550"/>
      <c r="AK112" s="1549"/>
      <c r="AL112" s="1548"/>
      <c r="AM112" s="1548"/>
      <c r="AN112" s="1548"/>
      <c r="AO112" s="1549"/>
      <c r="AP112" s="1549"/>
      <c r="AQ112" s="1548"/>
      <c r="AR112" s="1548"/>
      <c r="AS112" s="1548"/>
      <c r="AT112" s="1548"/>
      <c r="AU112" s="1547"/>
      <c r="AV112" s="1181"/>
      <c r="AW112" s="1548"/>
      <c r="AX112" s="1548"/>
      <c r="AY112" s="1548"/>
      <c r="AZ112" s="1548"/>
      <c r="BA112" s="1551"/>
      <c r="BB112" s="1548"/>
      <c r="BC112" s="1548"/>
      <c r="BD112" s="1548"/>
      <c r="BE112" s="1549"/>
      <c r="BF112" s="1550"/>
      <c r="BG112" s="1548"/>
      <c r="BH112" s="1548"/>
      <c r="BI112" s="1548"/>
      <c r="BJ112" s="1549"/>
      <c r="BK112" s="1550"/>
      <c r="BL112" s="1548"/>
      <c r="BM112" s="1548"/>
      <c r="BN112" s="1548"/>
      <c r="BO112" s="1549"/>
      <c r="BP112" s="1550"/>
      <c r="BQ112" s="1548"/>
      <c r="BR112" s="1548"/>
      <c r="BS112" s="1548"/>
      <c r="BT112" s="1548"/>
      <c r="BU112" s="1551"/>
      <c r="BV112" s="1552"/>
      <c r="BW112" s="1552"/>
      <c r="BX112" s="1552"/>
      <c r="BY112" s="1553"/>
      <c r="BZ112" s="1550"/>
      <c r="CA112" s="1186">
        <f>CA109-CA108+CA111</f>
        <v>0.16822623200335035</v>
      </c>
      <c r="CB112" s="1186">
        <f t="shared" ref="CB112:CG112" si="579">CB109-CB108+CB111</f>
        <v>0.17864184085146867</v>
      </c>
      <c r="CC112" s="1186">
        <f t="shared" si="579"/>
        <v>0.18565284684386477</v>
      </c>
      <c r="CD112" s="1186">
        <f>CD109-CD108+CD111</f>
        <v>0.27722171346091051</v>
      </c>
      <c r="CE112" s="1188">
        <f t="shared" si="579"/>
        <v>0.20204972270785884</v>
      </c>
      <c r="CF112" s="1186">
        <f>CF109-CF108+CF111</f>
        <v>0.25386644638185535</v>
      </c>
      <c r="CG112" s="1186">
        <f t="shared" si="579"/>
        <v>0.16513102647265074</v>
      </c>
      <c r="CH112" s="1186">
        <f>CH109-CH108+CH111</f>
        <v>0.13751677379544525</v>
      </c>
      <c r="CI112" s="1186">
        <f>CI109-CI108+CI111</f>
        <v>0.18783353242303588</v>
      </c>
      <c r="CJ112" s="1188">
        <f t="shared" ref="CJ112" si="580">CJ109-CJ108+CJ111</f>
        <v>0.19319711557227368</v>
      </c>
      <c r="CK112" s="1186">
        <f>CK109-CK108+CK111</f>
        <v>1.0057454233401486E-2</v>
      </c>
      <c r="CL112" s="1186">
        <f t="shared" ref="CL112" si="581">CL109-CL108+CL111</f>
        <v>9.92371021752744E-2</v>
      </c>
      <c r="CM112" s="1186">
        <f>CM109-CM108+CM111</f>
        <v>8.1842926045457551E-2</v>
      </c>
      <c r="CN112" s="1186">
        <f>CN109-CN108+CN111</f>
        <v>0.14716248611515348</v>
      </c>
      <c r="CO112" s="1188">
        <f t="shared" ref="CO112" si="582">CO109-CO108+CO111</f>
        <v>0.11385840390458846</v>
      </c>
      <c r="CP112" s="1186"/>
      <c r="CQ112" s="1548"/>
      <c r="CR112" s="1548"/>
      <c r="CS112" s="1549"/>
      <c r="CT112" s="1550"/>
      <c r="CU112" s="1548"/>
      <c r="CV112" s="1548"/>
      <c r="CW112" s="1548"/>
      <c r="CX112" s="1549"/>
      <c r="CY112" s="1550"/>
      <c r="CZ112" s="1548"/>
      <c r="DA112" s="1548"/>
      <c r="DB112" s="1548"/>
      <c r="DC112" s="1549"/>
      <c r="DD112" s="1550"/>
      <c r="DE112" s="1548"/>
      <c r="DF112" s="1548"/>
      <c r="DG112" s="1548"/>
      <c r="DH112" s="1549"/>
      <c r="DI112" s="1550"/>
      <c r="DJ112" s="1548"/>
      <c r="DK112" s="1548"/>
      <c r="DL112" s="1548"/>
      <c r="DM112" s="1549"/>
      <c r="DN112" s="1550"/>
      <c r="DO112" s="1548"/>
      <c r="DP112" s="1548"/>
      <c r="DQ112" s="1548"/>
      <c r="DR112" s="1549"/>
      <c r="DS112" s="1550"/>
      <c r="DT112" s="1548"/>
      <c r="DU112" s="1548"/>
      <c r="DV112" s="1548"/>
      <c r="DW112" s="1549"/>
      <c r="DX112" s="1550"/>
      <c r="DY112" s="1548"/>
      <c r="DZ112" s="1548"/>
      <c r="EA112" s="1548"/>
      <c r="EB112" s="1549"/>
      <c r="EC112" s="1550"/>
      <c r="ED112" s="1222"/>
      <c r="EE112" s="1547"/>
      <c r="EF112" s="1548"/>
      <c r="EG112" s="1548"/>
      <c r="EH112" s="1548"/>
      <c r="EI112" s="1548"/>
      <c r="EJ112" s="1548"/>
      <c r="EK112" s="1548"/>
      <c r="EL112" s="1548"/>
      <c r="EM112" s="1548"/>
      <c r="EN112" s="1548"/>
      <c r="EO112" s="1548"/>
      <c r="EP112" s="1548"/>
      <c r="EQ112" s="1548"/>
      <c r="ER112" s="1549"/>
      <c r="ES112" s="1222"/>
      <c r="ET112" s="1222"/>
      <c r="EU112" s="1222"/>
      <c r="EX112" s="1529"/>
      <c r="EY112" s="1440"/>
      <c r="EZ112" s="1445"/>
      <c r="FA112" s="1445"/>
      <c r="FB112" s="1445"/>
      <c r="FC112" s="1554"/>
      <c r="FD112" s="1222"/>
      <c r="FE112"/>
      <c r="FF112"/>
      <c r="FG112"/>
      <c r="FH112"/>
      <c r="FI112"/>
      <c r="FJ112"/>
    </row>
    <row r="113" spans="1:166" ht="11.25" customHeight="1" x14ac:dyDescent="0.2">
      <c r="A113" s="1602" t="s">
        <v>678</v>
      </c>
      <c r="B113" s="134"/>
      <c r="C113" s="132"/>
      <c r="D113" s="133"/>
      <c r="E113" s="133"/>
      <c r="F113" s="135"/>
      <c r="G113" s="134">
        <f>G51/B51-1</f>
        <v>1.3043478260869565</v>
      </c>
      <c r="H113" s="132"/>
      <c r="I113" s="133"/>
      <c r="J113" s="133"/>
      <c r="K113" s="133"/>
      <c r="L113" s="134">
        <f>L51/G51-1</f>
        <v>-0.60377358490566035</v>
      </c>
      <c r="M113" s="133"/>
      <c r="N113" s="133"/>
      <c r="O113" s="133"/>
      <c r="P113" s="135"/>
      <c r="Q113" s="134">
        <f>Q51/L51-1</f>
        <v>7.9365079365079305E-2</v>
      </c>
      <c r="R113" s="133"/>
      <c r="S113" s="133"/>
      <c r="T113" s="133"/>
      <c r="U113" s="133"/>
      <c r="V113" s="134">
        <f>V51/Q51-1</f>
        <v>0.52941176470588225</v>
      </c>
      <c r="W113" s="133">
        <f>W51/R51-1</f>
        <v>0.4285714285714286</v>
      </c>
      <c r="X113" s="133">
        <f>X51/S51-1</f>
        <v>0.38709677419354849</v>
      </c>
      <c r="Y113" s="126" t="s">
        <v>437</v>
      </c>
      <c r="Z113" s="126" t="s">
        <v>437</v>
      </c>
      <c r="AA113" s="134">
        <f>AA51/V51-1</f>
        <v>0.36538461538461542</v>
      </c>
      <c r="AB113" s="133">
        <f>AB51/W51-1</f>
        <v>-0.16000000000000003</v>
      </c>
      <c r="AC113" s="133">
        <f>AC51/X51-1</f>
        <v>-0.13953488372093026</v>
      </c>
      <c r="AD113" s="126" t="s">
        <v>437</v>
      </c>
      <c r="AE113" s="126" t="s">
        <v>437</v>
      </c>
      <c r="AF113" s="134">
        <f t="shared" ref="AF113:AU113" si="583">AF51/AA51-1</f>
        <v>7.0422535211267512E-3</v>
      </c>
      <c r="AG113" s="133">
        <f t="shared" si="583"/>
        <v>0.12380952380952381</v>
      </c>
      <c r="AH113" s="133">
        <f t="shared" si="583"/>
        <v>0.2432432432432432</v>
      </c>
      <c r="AI113" s="133">
        <f t="shared" si="583"/>
        <v>0.4285714285714286</v>
      </c>
      <c r="AJ113" s="553">
        <f t="shared" si="583"/>
        <v>-0.13888888888888884</v>
      </c>
      <c r="AK113" s="135">
        <f t="shared" si="583"/>
        <v>0.14825174825174825</v>
      </c>
      <c r="AL113" s="133">
        <f t="shared" si="583"/>
        <v>-0.15254237288135597</v>
      </c>
      <c r="AM113" s="133">
        <f t="shared" si="583"/>
        <v>-9.5652173913043481E-2</v>
      </c>
      <c r="AN113" s="133">
        <f t="shared" si="583"/>
        <v>-0.27500000000000002</v>
      </c>
      <c r="AO113" s="135">
        <f t="shared" si="583"/>
        <v>-7.0967741935483941E-2</v>
      </c>
      <c r="AP113" s="135">
        <f t="shared" si="583"/>
        <v>-0.15103532277710119</v>
      </c>
      <c r="AQ113" s="133">
        <f t="shared" si="583"/>
        <v>-9.000000000000008E-2</v>
      </c>
      <c r="AR113" s="133">
        <f t="shared" si="583"/>
        <v>-8.6538461538461564E-2</v>
      </c>
      <c r="AS113" s="133">
        <f t="shared" si="583"/>
        <v>-2.4137931034482749</v>
      </c>
      <c r="AT113" s="133">
        <f t="shared" si="583"/>
        <v>-2.7013888888888875</v>
      </c>
      <c r="AU113" s="132">
        <f t="shared" si="583"/>
        <v>-1.1119081779053079</v>
      </c>
      <c r="AV113" s="891"/>
      <c r="AW113" s="133">
        <f>AW51/AN51-1</f>
        <v>-2.4137931034482749</v>
      </c>
      <c r="AX113" s="133">
        <f>AX51/AO51-1</f>
        <v>-2.7013888888888875</v>
      </c>
      <c r="AY113" s="133">
        <f>AY51/AQ51-1</f>
        <v>-2.7417582417582409</v>
      </c>
      <c r="AZ113" s="133">
        <f>AZ51/AR51-1</f>
        <v>1.8421052631578956</v>
      </c>
      <c r="BA113" s="582">
        <f>BA51/SUM(AN51:AO51,AQ51:AR51)-1</f>
        <v>-1.3434190620272322</v>
      </c>
      <c r="BB113" s="133">
        <f t="shared" ref="BB113:BU113" si="584">BB51/AW51-1</f>
        <v>-1.1439024390243904</v>
      </c>
      <c r="BC113" s="133">
        <f t="shared" si="584"/>
        <v>-0.38367346938775571</v>
      </c>
      <c r="BD113" s="133">
        <f t="shared" si="584"/>
        <v>-0.38801261829652911</v>
      </c>
      <c r="BE113" s="135">
        <f t="shared" si="584"/>
        <v>-1.2314814814814801</v>
      </c>
      <c r="BF113" s="553">
        <f t="shared" si="584"/>
        <v>0.94052863436122536</v>
      </c>
      <c r="BG113" s="133">
        <f t="shared" si="584"/>
        <v>-3.4237288135593147</v>
      </c>
      <c r="BH113" s="133">
        <f t="shared" si="584"/>
        <v>0.59602649006622554</v>
      </c>
      <c r="BI113" s="133">
        <f t="shared" si="584"/>
        <v>-0.82989690721649612</v>
      </c>
      <c r="BJ113" s="135">
        <f t="shared" si="584"/>
        <v>0.94400000000001172</v>
      </c>
      <c r="BK113" s="553">
        <f t="shared" si="584"/>
        <v>0.33598183881952637</v>
      </c>
      <c r="BL113" s="133">
        <f t="shared" si="584"/>
        <v>1.5034965034965078</v>
      </c>
      <c r="BM113" s="133">
        <f t="shared" si="584"/>
        <v>0.30497925311203589</v>
      </c>
      <c r="BN113" s="133">
        <f t="shared" si="584"/>
        <v>9.3333333333334032</v>
      </c>
      <c r="BO113" s="135">
        <f t="shared" si="584"/>
        <v>0.37448559670781711</v>
      </c>
      <c r="BP113" s="553">
        <f t="shared" si="584"/>
        <v>0.9855564995751902</v>
      </c>
      <c r="BQ113" s="133">
        <f t="shared" si="584"/>
        <v>0.68715083798882826</v>
      </c>
      <c r="BR113" s="133">
        <f t="shared" si="584"/>
        <v>0.19395866454689914</v>
      </c>
      <c r="BS113" s="133">
        <f t="shared" si="584"/>
        <v>-1.3445747800586512</v>
      </c>
      <c r="BT113" s="133">
        <f t="shared" si="584"/>
        <v>-6.8293413173652731</v>
      </c>
      <c r="BU113" s="581">
        <f t="shared" si="584"/>
        <v>-2.1869918699186996</v>
      </c>
      <c r="BV113" s="1282"/>
      <c r="BW113" s="1282"/>
      <c r="BX113" s="1282"/>
      <c r="BY113" s="1283"/>
      <c r="BZ113" s="553"/>
      <c r="CA113" s="133">
        <f t="shared" ref="CA113:DF113" si="585">CA51/BV51-1</f>
        <v>-0.44699453551912594</v>
      </c>
      <c r="CB113" s="133">
        <f t="shared" si="585"/>
        <v>-0.33569405099150285</v>
      </c>
      <c r="CC113" s="133">
        <f t="shared" si="585"/>
        <v>0.13155940594059534</v>
      </c>
      <c r="CD113" s="133">
        <f t="shared" si="585"/>
        <v>3.7419023136247018</v>
      </c>
      <c r="CE113" s="134">
        <f t="shared" si="585"/>
        <v>0.18125577100646462</v>
      </c>
      <c r="CF113" s="133">
        <f t="shared" si="585"/>
        <v>2.3260869565217432</v>
      </c>
      <c r="CG113" s="133">
        <f t="shared" si="585"/>
        <v>1.6396588486140757</v>
      </c>
      <c r="CH113" s="133">
        <f t="shared" si="585"/>
        <v>0.30482336213496475</v>
      </c>
      <c r="CI113" s="133">
        <f t="shared" si="585"/>
        <v>0.63385015721565541</v>
      </c>
      <c r="CJ113" s="134">
        <f t="shared" si="585"/>
        <v>0.86797467364965142</v>
      </c>
      <c r="CK113" s="133">
        <f t="shared" si="585"/>
        <v>-1.0101010101009389E-2</v>
      </c>
      <c r="CL113" s="133">
        <f t="shared" si="585"/>
        <v>-1.6558966074312509E-2</v>
      </c>
      <c r="CM113" s="133">
        <f t="shared" si="585"/>
        <v>3.4367141659682243E-2</v>
      </c>
      <c r="CN113" s="133">
        <f t="shared" si="585"/>
        <v>0.9191718096754935</v>
      </c>
      <c r="CO113" s="134">
        <f t="shared" si="585"/>
        <v>0.292317027241914</v>
      </c>
      <c r="CP113" s="133">
        <f t="shared" si="585"/>
        <v>0.67346938775510057</v>
      </c>
      <c r="CQ113" s="133">
        <f t="shared" si="585"/>
        <v>3.1105865071576755E-2</v>
      </c>
      <c r="CR113" s="133">
        <f t="shared" si="585"/>
        <v>0.19419431019310673</v>
      </c>
      <c r="CS113" s="135">
        <f t="shared" si="585"/>
        <v>-0.4552630104808828</v>
      </c>
      <c r="CT113" s="553">
        <f t="shared" si="585"/>
        <v>-7.7408476776131385E-2</v>
      </c>
      <c r="CU113" s="133">
        <f t="shared" si="585"/>
        <v>-6.7468737377253007E-2</v>
      </c>
      <c r="CV113" s="133">
        <f t="shared" si="585"/>
        <v>0.19737684489923968</v>
      </c>
      <c r="CW113" s="133">
        <f t="shared" si="585"/>
        <v>0.17200403193142799</v>
      </c>
      <c r="CX113" s="135">
        <f t="shared" si="585"/>
        <v>0.17123582209429022</v>
      </c>
      <c r="CY113" s="553">
        <f t="shared" si="585"/>
        <v>0.1187989787907977</v>
      </c>
      <c r="CZ113" s="133">
        <f t="shared" si="585"/>
        <v>0.13588558102137083</v>
      </c>
      <c r="DA113" s="133">
        <f t="shared" si="585"/>
        <v>0.17218862323854256</v>
      </c>
      <c r="DB113" s="133">
        <f t="shared" si="585"/>
        <v>0.16231135199987023</v>
      </c>
      <c r="DC113" s="135">
        <f t="shared" si="585"/>
        <v>0.15955860899751606</v>
      </c>
      <c r="DD113" s="553">
        <f t="shared" si="585"/>
        <v>0.15845520305777594</v>
      </c>
      <c r="DE113" s="133">
        <f t="shared" si="585"/>
        <v>0.20048392894490741</v>
      </c>
      <c r="DF113" s="133">
        <f t="shared" si="585"/>
        <v>0.13337310446523643</v>
      </c>
      <c r="DG113" s="133">
        <f t="shared" ref="DG113:DX113" si="586">DG51/DB51-1</f>
        <v>0.13341792472610625</v>
      </c>
      <c r="DH113" s="135">
        <f t="shared" si="586"/>
        <v>6.5855992421334886E-2</v>
      </c>
      <c r="DI113" s="553">
        <f t="shared" si="586"/>
        <v>0.12724346163760947</v>
      </c>
      <c r="DJ113" s="133">
        <f t="shared" si="586"/>
        <v>0.15279867278657489</v>
      </c>
      <c r="DK113" s="133">
        <f t="shared" si="586"/>
        <v>0.14133374514704444</v>
      </c>
      <c r="DL113" s="133">
        <f t="shared" si="586"/>
        <v>0.14109890928829616</v>
      </c>
      <c r="DM113" s="135">
        <f t="shared" si="586"/>
        <v>0.20870971331305532</v>
      </c>
      <c r="DN113" s="553">
        <f t="shared" si="586"/>
        <v>0.16216613429088911</v>
      </c>
      <c r="DO113" s="133">
        <f t="shared" si="586"/>
        <v>0.13488789148627855</v>
      </c>
      <c r="DP113" s="133">
        <f t="shared" si="586"/>
        <v>0.13681268455203877</v>
      </c>
      <c r="DQ113" s="133">
        <f t="shared" si="586"/>
        <v>0.13009685448139208</v>
      </c>
      <c r="DR113" s="135">
        <f t="shared" si="586"/>
        <v>0.12747156821363914</v>
      </c>
      <c r="DS113" s="553">
        <f t="shared" si="586"/>
        <v>0.13194286460919735</v>
      </c>
      <c r="DT113" s="133">
        <f t="shared" si="586"/>
        <v>4.4603626320745215E-2</v>
      </c>
      <c r="DU113" s="133">
        <f t="shared" si="586"/>
        <v>3.0315643544478243E-2</v>
      </c>
      <c r="DV113" s="133">
        <f t="shared" si="586"/>
        <v>5.0981286506779799E-2</v>
      </c>
      <c r="DW113" s="135">
        <f t="shared" si="586"/>
        <v>5.9230473783196791E-2</v>
      </c>
      <c r="DX113" s="553">
        <f t="shared" si="586"/>
        <v>4.7082489441400588E-2</v>
      </c>
      <c r="DY113" s="133">
        <f t="shared" ref="DY113" si="587">DY51/DT51-1</f>
        <v>0.14511110606798727</v>
      </c>
      <c r="DZ113" s="133">
        <f t="shared" ref="DZ113" si="588">DZ51/DU51-1</f>
        <v>0.15213256520255536</v>
      </c>
      <c r="EA113" s="133">
        <f t="shared" ref="EA113" si="589">EA51/DV51-1</f>
        <v>0.12024954467732152</v>
      </c>
      <c r="EB113" s="135">
        <f t="shared" ref="EB113" si="590">EB51/DW51-1</f>
        <v>0.11794072347617046</v>
      </c>
      <c r="EC113" s="553">
        <f t="shared" ref="EC113" si="591">EC51/DX51-1</f>
        <v>0.13226099706723393</v>
      </c>
      <c r="ED113" s="16"/>
      <c r="EE113" s="125"/>
      <c r="EF113" s="126">
        <f>EF51/EE51-1</f>
        <v>-2.2900763358778664E-2</v>
      </c>
      <c r="EG113" s="126">
        <f>EG51/EF51-1</f>
        <v>0.22812499999999991</v>
      </c>
      <c r="EH113" s="126">
        <f>EH51/EG51-1</f>
        <v>-2.9262086513994867E-2</v>
      </c>
      <c r="EI113" s="126">
        <f>EI51/EH51-1</f>
        <v>-0.13368283093053723</v>
      </c>
      <c r="EJ113" s="126"/>
      <c r="EK113" s="126">
        <f t="shared" si="529"/>
        <v>0.94052863436122536</v>
      </c>
      <c r="EL113" s="126">
        <f t="shared" si="530"/>
        <v>0.33598183881952637</v>
      </c>
      <c r="EM113" s="126">
        <f t="shared" si="531"/>
        <v>0.9855564995751902</v>
      </c>
      <c r="EN113" s="126">
        <f t="shared" si="532"/>
        <v>-2.1869918699186996</v>
      </c>
      <c r="EO113" s="126">
        <f>CE113</f>
        <v>0.18125577100646462</v>
      </c>
      <c r="EP113" s="126">
        <f t="shared" si="514"/>
        <v>0.86797467364965142</v>
      </c>
      <c r="EQ113" s="126">
        <f t="shared" si="515"/>
        <v>0.292317027241914</v>
      </c>
      <c r="ER113" s="116">
        <f>CT113</f>
        <v>-7.7408476776131385E-2</v>
      </c>
      <c r="ES113" s="16"/>
      <c r="ET113" s="16"/>
      <c r="EU113" s="16"/>
      <c r="EX113" s="565" t="s">
        <v>393</v>
      </c>
      <c r="EY113" s="126">
        <f>CP113</f>
        <v>0.67346938775510057</v>
      </c>
      <c r="EZ113" s="126">
        <v>0.39014963733120633</v>
      </c>
      <c r="FA113" s="126">
        <f t="shared" si="527"/>
        <v>0.28331975042389423</v>
      </c>
      <c r="FB113" s="126">
        <f>CK113</f>
        <v>-1.0101010101009389E-2</v>
      </c>
      <c r="FC113" s="970"/>
      <c r="FD113" s="16"/>
    </row>
    <row r="114" spans="1:166" ht="11.25" hidden="1" customHeight="1" outlineLevel="1" x14ac:dyDescent="0.2">
      <c r="A114" s="832" t="s">
        <v>679</v>
      </c>
      <c r="B114" s="134"/>
      <c r="C114" s="132"/>
      <c r="D114" s="133"/>
      <c r="E114" s="133"/>
      <c r="F114" s="135"/>
      <c r="G114" s="134"/>
      <c r="H114" s="132"/>
      <c r="I114" s="133"/>
      <c r="J114" s="133"/>
      <c r="K114" s="133"/>
      <c r="L114" s="134"/>
      <c r="M114" s="133"/>
      <c r="N114" s="133"/>
      <c r="O114" s="133"/>
      <c r="P114" s="135"/>
      <c r="Q114" s="134"/>
      <c r="R114" s="133"/>
      <c r="S114" s="133"/>
      <c r="T114" s="133"/>
      <c r="U114" s="133"/>
      <c r="V114" s="134"/>
      <c r="W114" s="133"/>
      <c r="X114" s="133"/>
      <c r="Y114" s="126"/>
      <c r="Z114" s="126"/>
      <c r="AA114" s="134"/>
      <c r="AB114" s="133"/>
      <c r="AC114" s="133"/>
      <c r="AD114" s="126"/>
      <c r="AE114" s="126"/>
      <c r="AF114" s="134"/>
      <c r="AG114" s="133"/>
      <c r="AH114" s="133"/>
      <c r="AI114" s="133"/>
      <c r="AJ114" s="553"/>
      <c r="AK114" s="135"/>
      <c r="AL114" s="133"/>
      <c r="AM114" s="133"/>
      <c r="AN114" s="133"/>
      <c r="AO114" s="133"/>
      <c r="AP114" s="135"/>
      <c r="AQ114" s="133"/>
      <c r="AR114" s="133"/>
      <c r="AS114" s="133"/>
      <c r="AT114" s="133"/>
      <c r="AU114" s="132"/>
      <c r="AV114" s="891"/>
      <c r="AW114" s="133"/>
      <c r="AX114" s="133"/>
      <c r="AY114" s="133"/>
      <c r="AZ114" s="133"/>
      <c r="BA114" s="582"/>
      <c r="BB114" s="133"/>
      <c r="BC114" s="133"/>
      <c r="BD114" s="133"/>
      <c r="BE114" s="133"/>
      <c r="BF114" s="553"/>
      <c r="BG114" s="133"/>
      <c r="BH114" s="133"/>
      <c r="BI114" s="133"/>
      <c r="BJ114" s="133"/>
      <c r="BK114" s="553"/>
      <c r="BL114" s="133"/>
      <c r="BM114" s="133"/>
      <c r="BN114" s="133"/>
      <c r="BO114" s="133"/>
      <c r="BP114" s="553"/>
      <c r="BQ114" s="133"/>
      <c r="BR114" s="133"/>
      <c r="BS114" s="133"/>
      <c r="BT114" s="133"/>
      <c r="BU114" s="581"/>
      <c r="BV114" s="1282"/>
      <c r="BW114" s="1282"/>
      <c r="BX114" s="1282"/>
      <c r="BY114" s="1282"/>
      <c r="BZ114" s="1426"/>
      <c r="CA114" s="133">
        <f t="shared" ref="CA114:CD115" si="592">CA56/BV56-1</f>
        <v>-0.9567328918322292</v>
      </c>
      <c r="CB114" s="133">
        <f t="shared" si="592"/>
        <v>-0.64856230031949424</v>
      </c>
      <c r="CC114" s="133">
        <f t="shared" si="592"/>
        <v>0.23900000000000543</v>
      </c>
      <c r="CD114" s="133">
        <f t="shared" si="592"/>
        <v>-4.9738461538461127</v>
      </c>
      <c r="CE114" s="134"/>
      <c r="CF114" s="133">
        <f t="shared" ref="CF114:CI115" si="593">CF56/CA56-1</f>
        <v>-6.1836734693876956</v>
      </c>
      <c r="CG114" s="133">
        <f t="shared" si="593"/>
        <v>7.2636363636364649</v>
      </c>
      <c r="CH114" s="133">
        <f t="shared" si="593"/>
        <v>0.74132364810330098</v>
      </c>
      <c r="CI114" s="133">
        <f t="shared" si="593"/>
        <v>1.2915214866434321</v>
      </c>
      <c r="CJ114" s="134"/>
      <c r="CK114" s="133"/>
      <c r="CL114" s="133"/>
      <c r="CM114" s="133"/>
      <c r="CN114" s="133"/>
      <c r="CO114" s="134"/>
      <c r="CP114" s="133"/>
      <c r="CQ114" s="133"/>
      <c r="CR114" s="133"/>
      <c r="CS114" s="133"/>
      <c r="CT114" s="1426"/>
      <c r="CU114" s="133"/>
      <c r="CV114" s="133"/>
      <c r="CW114" s="133"/>
      <c r="CX114" s="133"/>
      <c r="CY114" s="1426"/>
      <c r="CZ114" s="133"/>
      <c r="DA114" s="133"/>
      <c r="DB114" s="133"/>
      <c r="DC114" s="133"/>
      <c r="DD114" s="553"/>
      <c r="DE114" s="133"/>
      <c r="DF114" s="133"/>
      <c r="DG114" s="133"/>
      <c r="DH114" s="133"/>
      <c r="DI114" s="553"/>
      <c r="DJ114" s="133"/>
      <c r="DK114" s="133"/>
      <c r="DL114" s="133"/>
      <c r="DM114" s="133"/>
      <c r="DN114" s="553"/>
      <c r="DO114" s="133"/>
      <c r="DP114" s="133"/>
      <c r="DQ114" s="133"/>
      <c r="DR114" s="133"/>
      <c r="DS114" s="553"/>
      <c r="DT114" s="133"/>
      <c r="DU114" s="133"/>
      <c r="DV114" s="133"/>
      <c r="DW114" s="133"/>
      <c r="DX114" s="553"/>
      <c r="DY114" s="133"/>
      <c r="DZ114" s="133"/>
      <c r="EA114" s="133"/>
      <c r="EB114" s="133"/>
      <c r="EC114" s="553"/>
      <c r="ED114" s="16"/>
      <c r="EE114" s="125"/>
      <c r="EF114" s="126"/>
      <c r="EG114" s="126"/>
      <c r="EH114" s="126"/>
      <c r="EI114" s="126"/>
      <c r="EJ114" s="126"/>
      <c r="EK114" s="126"/>
      <c r="EL114" s="126"/>
      <c r="EM114" s="126"/>
      <c r="EN114" s="126"/>
      <c r="EO114" s="126"/>
      <c r="EP114" s="126"/>
      <c r="EQ114" s="126"/>
      <c r="ER114" s="116"/>
      <c r="ES114" s="16"/>
      <c r="ET114" s="16"/>
      <c r="EU114" s="16"/>
      <c r="EX114" s="565"/>
      <c r="EY114" s="126"/>
      <c r="EZ114" s="126"/>
      <c r="FA114" s="126"/>
      <c r="FB114" s="126"/>
      <c r="FC114" s="970"/>
      <c r="FD114" s="16"/>
    </row>
    <row r="115" spans="1:166" ht="11.25" hidden="1" customHeight="1" outlineLevel="1" x14ac:dyDescent="0.2">
      <c r="A115" s="218" t="s">
        <v>435</v>
      </c>
      <c r="B115" s="134"/>
      <c r="C115" s="132"/>
      <c r="D115" s="133"/>
      <c r="E115" s="133"/>
      <c r="F115" s="135"/>
      <c r="G115" s="134"/>
      <c r="H115" s="132"/>
      <c r="I115" s="133"/>
      <c r="J115" s="133"/>
      <c r="K115" s="133"/>
      <c r="L115" s="134"/>
      <c r="M115" s="133"/>
      <c r="N115" s="133"/>
      <c r="O115" s="133"/>
      <c r="P115" s="135"/>
      <c r="Q115" s="134"/>
      <c r="R115" s="133"/>
      <c r="S115" s="133"/>
      <c r="T115" s="133"/>
      <c r="U115" s="133"/>
      <c r="V115" s="134"/>
      <c r="W115" s="133"/>
      <c r="X115" s="133"/>
      <c r="Y115" s="126"/>
      <c r="Z115" s="126"/>
      <c r="AA115" s="134"/>
      <c r="AB115" s="133"/>
      <c r="AC115" s="133"/>
      <c r="AD115" s="126"/>
      <c r="AE115" s="126"/>
      <c r="AF115" s="134"/>
      <c r="AG115" s="133"/>
      <c r="AH115" s="133"/>
      <c r="AI115" s="133"/>
      <c r="AJ115" s="553"/>
      <c r="AK115" s="135"/>
      <c r="AL115" s="133"/>
      <c r="AM115" s="133"/>
      <c r="AN115" s="133"/>
      <c r="AO115" s="133"/>
      <c r="AP115" s="135"/>
      <c r="AQ115" s="133"/>
      <c r="AR115" s="133"/>
      <c r="AS115" s="133"/>
      <c r="AT115" s="133"/>
      <c r="AU115" s="132"/>
      <c r="AV115" s="891"/>
      <c r="AW115" s="133"/>
      <c r="AX115" s="133"/>
      <c r="AY115" s="133"/>
      <c r="AZ115" s="133"/>
      <c r="BA115" s="582"/>
      <c r="BB115" s="133"/>
      <c r="BC115" s="133"/>
      <c r="BD115" s="133"/>
      <c r="BE115" s="133"/>
      <c r="BF115" s="553"/>
      <c r="BG115" s="133"/>
      <c r="BH115" s="133"/>
      <c r="BI115" s="133"/>
      <c r="BJ115" s="133"/>
      <c r="BK115" s="553"/>
      <c r="BL115" s="133"/>
      <c r="BM115" s="133"/>
      <c r="BN115" s="133"/>
      <c r="BO115" s="133"/>
      <c r="BP115" s="553"/>
      <c r="BQ115" s="133"/>
      <c r="BR115" s="133"/>
      <c r="BS115" s="133"/>
      <c r="BT115" s="133"/>
      <c r="BU115" s="581"/>
      <c r="BV115" s="1282"/>
      <c r="BW115" s="1282"/>
      <c r="BX115" s="1282"/>
      <c r="BY115" s="1282"/>
      <c r="BZ115" s="1426"/>
      <c r="CA115" s="133">
        <f t="shared" si="592"/>
        <v>0.21393841166936922</v>
      </c>
      <c r="CB115" s="133">
        <f t="shared" si="592"/>
        <v>0.2578055307760907</v>
      </c>
      <c r="CC115" s="133">
        <f t="shared" si="592"/>
        <v>0.23553382233089004</v>
      </c>
      <c r="CD115" s="133">
        <f t="shared" si="592"/>
        <v>0.37635379061372132</v>
      </c>
      <c r="CE115" s="134"/>
      <c r="CF115" s="133">
        <f t="shared" si="593"/>
        <v>0.89719626168224265</v>
      </c>
      <c r="CG115" s="133">
        <f t="shared" si="593"/>
        <v>0.36453900709219944</v>
      </c>
      <c r="CH115" s="133">
        <f t="shared" si="593"/>
        <v>0.32849604221635609</v>
      </c>
      <c r="CI115" s="133">
        <f t="shared" si="593"/>
        <v>0.36577049180327759</v>
      </c>
      <c r="CJ115" s="134"/>
      <c r="CK115" s="133"/>
      <c r="CL115" s="133"/>
      <c r="CM115" s="133"/>
      <c r="CN115" s="133"/>
      <c r="CO115" s="134"/>
      <c r="CP115" s="133"/>
      <c r="CQ115" s="133"/>
      <c r="CR115" s="133"/>
      <c r="CS115" s="133"/>
      <c r="CT115" s="1426"/>
      <c r="CU115" s="133"/>
      <c r="CV115" s="133"/>
      <c r="CW115" s="133"/>
      <c r="CX115" s="133"/>
      <c r="CY115" s="1426"/>
      <c r="CZ115" s="133"/>
      <c r="DA115" s="133"/>
      <c r="DB115" s="133"/>
      <c r="DC115" s="133"/>
      <c r="DD115" s="553"/>
      <c r="DE115" s="133"/>
      <c r="DF115" s="133"/>
      <c r="DG115" s="133"/>
      <c r="DH115" s="133"/>
      <c r="DI115" s="553"/>
      <c r="DJ115" s="133"/>
      <c r="DK115" s="133"/>
      <c r="DL115" s="133"/>
      <c r="DM115" s="133"/>
      <c r="DN115" s="553"/>
      <c r="DO115" s="133"/>
      <c r="DP115" s="133"/>
      <c r="DQ115" s="133"/>
      <c r="DR115" s="133"/>
      <c r="DS115" s="553"/>
      <c r="DT115" s="133"/>
      <c r="DU115" s="133"/>
      <c r="DV115" s="133"/>
      <c r="DW115" s="133"/>
      <c r="DX115" s="553"/>
      <c r="DY115" s="133"/>
      <c r="DZ115" s="133"/>
      <c r="EA115" s="133"/>
      <c r="EB115" s="133"/>
      <c r="EC115" s="553"/>
      <c r="ED115" s="16"/>
      <c r="EE115" s="125"/>
      <c r="EF115" s="126"/>
      <c r="EG115" s="126"/>
      <c r="EH115" s="126"/>
      <c r="EI115" s="126"/>
      <c r="EJ115" s="126"/>
      <c r="EK115" s="126"/>
      <c r="EL115" s="126"/>
      <c r="EM115" s="126"/>
      <c r="EN115" s="126"/>
      <c r="EO115" s="126"/>
      <c r="EP115" s="126"/>
      <c r="EQ115" s="126"/>
      <c r="ER115" s="116"/>
      <c r="ES115" s="16"/>
      <c r="ET115" s="16"/>
      <c r="EU115" s="16"/>
      <c r="EX115" s="565"/>
      <c r="EY115" s="126"/>
      <c r="EZ115" s="126"/>
      <c r="FA115" s="126"/>
      <c r="FB115" s="126"/>
      <c r="FC115" s="970"/>
      <c r="FD115" s="16"/>
    </row>
    <row r="116" spans="1:166" ht="11.25" customHeight="1" collapsed="1" x14ac:dyDescent="0.2">
      <c r="A116" s="1424" t="s">
        <v>386</v>
      </c>
      <c r="B116" s="138"/>
      <c r="C116" s="136"/>
      <c r="D116" s="137"/>
      <c r="E116" s="137"/>
      <c r="F116" s="139"/>
      <c r="G116" s="138"/>
      <c r="H116" s="136"/>
      <c r="I116" s="137"/>
      <c r="J116" s="137"/>
      <c r="K116" s="137"/>
      <c r="L116" s="138"/>
      <c r="M116" s="137"/>
      <c r="N116" s="137"/>
      <c r="O116" s="137"/>
      <c r="P116" s="139"/>
      <c r="Q116" s="138"/>
      <c r="R116" s="137"/>
      <c r="S116" s="137"/>
      <c r="T116" s="137"/>
      <c r="U116" s="137"/>
      <c r="V116" s="138"/>
      <c r="W116" s="137"/>
      <c r="X116" s="137"/>
      <c r="Y116" s="137"/>
      <c r="Z116" s="137"/>
      <c r="AA116" s="138">
        <f t="shared" ref="AA116:AU116" si="594">AA61/V61-1</f>
        <v>0.16929573244202034</v>
      </c>
      <c r="AB116" s="137">
        <f t="shared" si="594"/>
        <v>4.3648044376521193</v>
      </c>
      <c r="AC116" s="137">
        <f t="shared" si="594"/>
        <v>4.1012413512413515</v>
      </c>
      <c r="AD116" s="137">
        <f t="shared" si="594"/>
        <v>-3.3044217687074831</v>
      </c>
      <c r="AE116" s="137">
        <f t="shared" si="594"/>
        <v>-2.0938953488372096</v>
      </c>
      <c r="AF116" s="138">
        <f t="shared" si="594"/>
        <v>-1.9144123555778914</v>
      </c>
      <c r="AG116" s="137">
        <f t="shared" si="594"/>
        <v>0.10911920323685065</v>
      </c>
      <c r="AH116" s="137">
        <f t="shared" si="594"/>
        <v>0.23062148442859098</v>
      </c>
      <c r="AI116" s="137">
        <f t="shared" si="594"/>
        <v>0.42545454545454531</v>
      </c>
      <c r="AJ116" s="554">
        <f t="shared" si="594"/>
        <v>0.5342091302275811</v>
      </c>
      <c r="AK116" s="139">
        <f t="shared" si="594"/>
        <v>0.28287111070498461</v>
      </c>
      <c r="AL116" s="137">
        <f t="shared" si="594"/>
        <v>-0.19256977792042673</v>
      </c>
      <c r="AM116" s="137">
        <f t="shared" si="594"/>
        <v>-8.6225258873584898E-2</v>
      </c>
      <c r="AN116" s="137">
        <f t="shared" si="594"/>
        <v>-0.27075713240672994</v>
      </c>
      <c r="AO116" s="137">
        <f t="shared" si="594"/>
        <v>-6.6890058286334542E-2</v>
      </c>
      <c r="AP116" s="138">
        <f t="shared" si="594"/>
        <v>-0.15828729095563798</v>
      </c>
      <c r="AQ116" s="137">
        <f t="shared" si="594"/>
        <v>-3.8604185903355015E-2</v>
      </c>
      <c r="AR116" s="137">
        <f t="shared" si="594"/>
        <v>-8.8692835202991538E-2</v>
      </c>
      <c r="AS116" s="137">
        <f t="shared" si="594"/>
        <v>-2.3605408665929417</v>
      </c>
      <c r="AT116" s="137">
        <f t="shared" si="594"/>
        <v>-2.7166091745340095</v>
      </c>
      <c r="AU116" s="136">
        <f t="shared" si="594"/>
        <v>-1.1089070551683227</v>
      </c>
      <c r="AV116" s="890"/>
      <c r="AW116" s="137">
        <f>AW61/AN61-1</f>
        <v>-2.3605408665929417</v>
      </c>
      <c r="AX116" s="137">
        <f>AX61/AO61-1</f>
        <v>-2.71660917453401</v>
      </c>
      <c r="AY116" s="137">
        <f>AY61/AQ61-1</f>
        <v>-2.4389787152658791</v>
      </c>
      <c r="AZ116" s="137">
        <f>AZ61/AR61-1</f>
        <v>-1.5071895424836599</v>
      </c>
      <c r="BA116" s="582">
        <f>BA61/SUM(AN61:AO61,AQ61:AR61)-1</f>
        <v>-2.2184367971111696</v>
      </c>
      <c r="BB116" s="137">
        <f t="shared" ref="BB116:BU116" si="595">BB61/AW61-1</f>
        <v>-0.72943329360211351</v>
      </c>
      <c r="BC116" s="137">
        <f t="shared" si="595"/>
        <v>-0.63323059680582805</v>
      </c>
      <c r="BD116" s="137">
        <f t="shared" si="595"/>
        <v>-0.59507869391590285</v>
      </c>
      <c r="BE116" s="137">
        <f t="shared" si="595"/>
        <v>1.9232932844612805E-2</v>
      </c>
      <c r="BF116" s="582">
        <f t="shared" si="595"/>
        <v>-0.56744871787580842</v>
      </c>
      <c r="BG116" s="137">
        <f t="shared" si="595"/>
        <v>0.48829359109372605</v>
      </c>
      <c r="BH116" s="137">
        <f t="shared" si="595"/>
        <v>0.31602280967763141</v>
      </c>
      <c r="BI116" s="137">
        <f t="shared" si="595"/>
        <v>0.16463380281690032</v>
      </c>
      <c r="BJ116" s="137">
        <f t="shared" si="595"/>
        <v>0.61399102132435979</v>
      </c>
      <c r="BK116" s="582">
        <f t="shared" si="595"/>
        <v>0.38299233937635813</v>
      </c>
      <c r="BL116" s="137">
        <f t="shared" si="595"/>
        <v>0.3878054608606829</v>
      </c>
      <c r="BM116" s="137">
        <f t="shared" si="595"/>
        <v>0.21714616313252688</v>
      </c>
      <c r="BN116" s="137">
        <f t="shared" si="595"/>
        <v>0.26353727703981189</v>
      </c>
      <c r="BO116" s="137">
        <f t="shared" si="595"/>
        <v>8.9527574801105736E-2</v>
      </c>
      <c r="BP116" s="582">
        <f t="shared" si="595"/>
        <v>0.21289212953959313</v>
      </c>
      <c r="BQ116" s="137">
        <f t="shared" si="595"/>
        <v>0.23578824857708569</v>
      </c>
      <c r="BR116" s="137">
        <f t="shared" si="595"/>
        <v>0.14325081275810514</v>
      </c>
      <c r="BS116" s="137">
        <f t="shared" si="595"/>
        <v>0.65586826975762769</v>
      </c>
      <c r="BT116" s="137">
        <f t="shared" si="595"/>
        <v>-0.60984411588276766</v>
      </c>
      <c r="BU116" s="582">
        <f t="shared" si="595"/>
        <v>6.7433055124699548E-2</v>
      </c>
      <c r="BV116" s="1286"/>
      <c r="BW116" s="1286"/>
      <c r="BX116" s="1286"/>
      <c r="BY116" s="1286"/>
      <c r="BZ116" s="582"/>
      <c r="CA116" s="137">
        <f t="shared" ref="CA116:DF116" si="596">CA61/BV61-1</f>
        <v>0.23706352267933806</v>
      </c>
      <c r="CB116" s="137">
        <f t="shared" si="596"/>
        <v>0.25701346180205031</v>
      </c>
      <c r="CC116" s="137">
        <f t="shared" si="596"/>
        <v>0.23449664808339299</v>
      </c>
      <c r="CD116" s="137">
        <f t="shared" si="596"/>
        <v>0.3804129760084114</v>
      </c>
      <c r="CE116" s="138">
        <f t="shared" si="596"/>
        <v>0.27696843529948345</v>
      </c>
      <c r="CF116" s="137">
        <f t="shared" si="596"/>
        <v>0.89233581011516616</v>
      </c>
      <c r="CG116" s="137">
        <f t="shared" si="596"/>
        <v>0.38282574554078641</v>
      </c>
      <c r="CH116" s="137">
        <f t="shared" si="596"/>
        <v>0.34515164495557493</v>
      </c>
      <c r="CI116" s="137">
        <f t="shared" si="596"/>
        <v>0.37708422357479998</v>
      </c>
      <c r="CJ116" s="138">
        <f t="shared" si="596"/>
        <v>0.44946204176163063</v>
      </c>
      <c r="CK116" s="137">
        <f t="shared" si="596"/>
        <v>0.1801546728616561</v>
      </c>
      <c r="CL116" s="137">
        <f t="shared" si="596"/>
        <v>0.23547493019250476</v>
      </c>
      <c r="CM116" s="137">
        <f t="shared" si="596"/>
        <v>0.34554732003431221</v>
      </c>
      <c r="CN116" s="137">
        <f t="shared" si="596"/>
        <v>0.48811686719981862</v>
      </c>
      <c r="CO116" s="138">
        <f t="shared" si="596"/>
        <v>0.32492156312052489</v>
      </c>
      <c r="CP116" s="137">
        <f t="shared" si="596"/>
        <v>0.84653508699234759</v>
      </c>
      <c r="CQ116" s="137">
        <f t="shared" si="596"/>
        <v>0.18964076492267012</v>
      </c>
      <c r="CR116" s="137">
        <f t="shared" si="596"/>
        <v>0.18582372744873821</v>
      </c>
      <c r="CS116" s="137">
        <f t="shared" si="596"/>
        <v>0.1089755451382215</v>
      </c>
      <c r="CT116" s="582">
        <f t="shared" si="596"/>
        <v>0.27525367431686742</v>
      </c>
      <c r="CU116" s="1548">
        <f t="shared" si="596"/>
        <v>-9.9115337945910764E-2</v>
      </c>
      <c r="CV116" s="1548">
        <f t="shared" si="596"/>
        <v>0.17232326949360566</v>
      </c>
      <c r="CW116" s="1548">
        <f t="shared" si="596"/>
        <v>0.15481816983232632</v>
      </c>
      <c r="CX116" s="1548">
        <f t="shared" si="596"/>
        <v>0.15480178072802664</v>
      </c>
      <c r="CY116" s="1551">
        <f t="shared" si="596"/>
        <v>9.599375664335219E-2</v>
      </c>
      <c r="CZ116" s="1548">
        <f t="shared" si="596"/>
        <v>0.12425845931036461</v>
      </c>
      <c r="DA116" s="1548">
        <f t="shared" si="596"/>
        <v>0.15536409487460379</v>
      </c>
      <c r="DB116" s="1548">
        <f t="shared" si="596"/>
        <v>0.14998725424092352</v>
      </c>
      <c r="DC116" s="1548">
        <f t="shared" si="596"/>
        <v>0.1479195582644024</v>
      </c>
      <c r="DD116" s="1551">
        <f t="shared" si="596"/>
        <v>0.14545748848519024</v>
      </c>
      <c r="DE116" s="1548">
        <f t="shared" si="596"/>
        <v>0.1393886253748049</v>
      </c>
      <c r="DF116" s="1548">
        <f t="shared" si="596"/>
        <v>8.4465679959840445E-2</v>
      </c>
      <c r="DG116" s="1548">
        <f t="shared" ref="DG116:DX116" si="597">DG61/DB61-1</f>
        <v>9.067177466422649E-2</v>
      </c>
      <c r="DH116" s="1548">
        <f t="shared" si="597"/>
        <v>3.0215198386325914E-2</v>
      </c>
      <c r="DI116" s="1551">
        <f t="shared" si="597"/>
        <v>8.1482946260455158E-2</v>
      </c>
      <c r="DJ116" s="1548">
        <f t="shared" si="597"/>
        <v>0.14896589268275662</v>
      </c>
      <c r="DK116" s="1548">
        <f t="shared" si="597"/>
        <v>0.13526056399829067</v>
      </c>
      <c r="DL116" s="1548">
        <f t="shared" si="597"/>
        <v>0.13702109526959427</v>
      </c>
      <c r="DM116" s="1548">
        <f t="shared" si="597"/>
        <v>0.20200344505377399</v>
      </c>
      <c r="DN116" s="1551">
        <f t="shared" si="597"/>
        <v>0.15689422979572076</v>
      </c>
      <c r="DO116" s="137">
        <f t="shared" si="597"/>
        <v>0.13198774136901115</v>
      </c>
      <c r="DP116" s="137">
        <f t="shared" si="597"/>
        <v>0.13159226264877799</v>
      </c>
      <c r="DQ116" s="137">
        <f t="shared" si="597"/>
        <v>0.12684338299225462</v>
      </c>
      <c r="DR116" s="137">
        <f t="shared" si="597"/>
        <v>0.12440134854322471</v>
      </c>
      <c r="DS116" s="582">
        <f t="shared" si="597"/>
        <v>0.12834984690570295</v>
      </c>
      <c r="DT116" s="137">
        <f t="shared" si="597"/>
        <v>4.3649944519950967E-2</v>
      </c>
      <c r="DU116" s="137">
        <f t="shared" si="597"/>
        <v>3.0126699951003699E-2</v>
      </c>
      <c r="DV116" s="137">
        <f t="shared" si="597"/>
        <v>5.0199357305694692E-2</v>
      </c>
      <c r="DW116" s="137">
        <f t="shared" si="597"/>
        <v>5.8427119851832021E-2</v>
      </c>
      <c r="DX116" s="582">
        <f t="shared" si="597"/>
        <v>4.6337749343442036E-2</v>
      </c>
      <c r="DY116" s="137">
        <f t="shared" ref="DY116" si="598">DY61/DT61-1</f>
        <v>0.14262284916080548</v>
      </c>
      <c r="DZ116" s="137">
        <f t="shared" ref="DZ116" si="599">DZ61/DU61-1</f>
        <v>0.14686659535624558</v>
      </c>
      <c r="EA116" s="137">
        <f t="shared" ref="EA116" si="600">EA61/DV61-1</f>
        <v>0.11777059722701466</v>
      </c>
      <c r="EB116" s="137">
        <f t="shared" ref="EB116" si="601">EB61/DW61-1</f>
        <v>0.11566733553444641</v>
      </c>
      <c r="EC116" s="582">
        <f t="shared" ref="EC116" si="602">EC61/DX61-1</f>
        <v>0.12921898309342827</v>
      </c>
      <c r="ED116" s="25"/>
      <c r="EE116" s="136"/>
      <c r="EF116" s="137"/>
      <c r="EG116" s="137"/>
      <c r="EH116" s="137"/>
      <c r="EI116" s="137"/>
      <c r="EJ116" s="137"/>
      <c r="EK116" s="137">
        <f t="shared" si="529"/>
        <v>-0.56744871787580842</v>
      </c>
      <c r="EL116" s="137">
        <f t="shared" si="530"/>
        <v>0.38299233937635813</v>
      </c>
      <c r="EM116" s="137">
        <f t="shared" si="531"/>
        <v>0.21289212953959313</v>
      </c>
      <c r="EN116" s="137">
        <f t="shared" si="532"/>
        <v>6.7433055124699548E-2</v>
      </c>
      <c r="EO116" s="137">
        <f>CE116</f>
        <v>0.27696843529948345</v>
      </c>
      <c r="EP116" s="137">
        <f>CJ116</f>
        <v>0.44946204176163063</v>
      </c>
      <c r="EQ116" s="137">
        <f>CO116</f>
        <v>0.32492156312052489</v>
      </c>
      <c r="ER116" s="139">
        <f>CT116</f>
        <v>0.27525367431686742</v>
      </c>
      <c r="ES116" s="25"/>
      <c r="ET116" s="25"/>
      <c r="EU116" s="25"/>
      <c r="EX116" s="569" t="s">
        <v>436</v>
      </c>
      <c r="EY116" s="35">
        <f>CP116</f>
        <v>0.84653508699234759</v>
      </c>
      <c r="EZ116" s="35">
        <v>0.53438822648498885</v>
      </c>
      <c r="FA116" s="35">
        <f t="shared" si="527"/>
        <v>0.31214686050735874</v>
      </c>
      <c r="FB116" s="35">
        <f>CK116</f>
        <v>0.1801546728616561</v>
      </c>
      <c r="FC116" s="973"/>
      <c r="FD116" s="25"/>
    </row>
    <row r="117" spans="1:166" ht="11.25" customHeight="1" x14ac:dyDescent="0.2">
      <c r="A117" s="929" t="s">
        <v>221</v>
      </c>
      <c r="B117" s="1014"/>
      <c r="C117" s="1015"/>
      <c r="D117" s="1016"/>
      <c r="E117" s="1016"/>
      <c r="F117" s="1017"/>
      <c r="G117" s="1014"/>
      <c r="H117" s="1015"/>
      <c r="I117" s="1016"/>
      <c r="J117" s="1016"/>
      <c r="K117" s="1016"/>
      <c r="L117" s="1018" t="s">
        <v>437</v>
      </c>
      <c r="M117" s="1019"/>
      <c r="N117" s="1019"/>
      <c r="O117" s="1019"/>
      <c r="P117" s="1020"/>
      <c r="Q117" s="590" t="s">
        <v>437</v>
      </c>
      <c r="R117" s="591"/>
      <c r="S117" s="591"/>
      <c r="T117" s="591"/>
      <c r="U117" s="591"/>
      <c r="V117" s="590" t="s">
        <v>437</v>
      </c>
      <c r="W117" s="1021">
        <f>W64/R64-1</f>
        <v>0.36282042806799875</v>
      </c>
      <c r="X117" s="1021">
        <f>X64/S64-1</f>
        <v>0.31711286665203731</v>
      </c>
      <c r="Y117" s="591" t="s">
        <v>437</v>
      </c>
      <c r="Z117" s="591" t="s">
        <v>437</v>
      </c>
      <c r="AA117" s="1022">
        <f>AA64/V64-1</f>
        <v>0.27278892353841999</v>
      </c>
      <c r="AB117" s="1021">
        <f>AB64/W64-1</f>
        <v>-0.30542693156732892</v>
      </c>
      <c r="AC117" s="1021">
        <f>AC64/X64-1</f>
        <v>-0.28832915921288016</v>
      </c>
      <c r="AD117" s="591" t="s">
        <v>437</v>
      </c>
      <c r="AE117" s="591" t="s">
        <v>437</v>
      </c>
      <c r="AF117" s="1022">
        <f t="shared" ref="AF117:AU117" si="603">AF64/AA64-1</f>
        <v>-0.15581444073799522</v>
      </c>
      <c r="AG117" s="1021">
        <f t="shared" si="603"/>
        <v>0.10911920323685065</v>
      </c>
      <c r="AH117" s="1021">
        <f t="shared" si="603"/>
        <v>0.23062148442859098</v>
      </c>
      <c r="AI117" s="1021">
        <f t="shared" si="603"/>
        <v>0.42545454545454531</v>
      </c>
      <c r="AJ117" s="1023">
        <f t="shared" si="603"/>
        <v>-0.13700736424698567</v>
      </c>
      <c r="AK117" s="1024">
        <f t="shared" si="603"/>
        <v>0.14157586599447058</v>
      </c>
      <c r="AL117" s="1021">
        <f t="shared" si="603"/>
        <v>-0.15007345044255449</v>
      </c>
      <c r="AM117" s="1021">
        <f t="shared" si="603"/>
        <v>-8.6225258873584898E-2</v>
      </c>
      <c r="AN117" s="1021">
        <f t="shared" si="603"/>
        <v>-0.27075713240672994</v>
      </c>
      <c r="AO117" s="1021">
        <f t="shared" si="603"/>
        <v>-6.6890058286334542E-2</v>
      </c>
      <c r="AP117" s="1022">
        <f t="shared" si="603"/>
        <v>-0.14603528645717578</v>
      </c>
      <c r="AQ117" s="1021">
        <f t="shared" si="603"/>
        <v>-8.667397660818732E-2</v>
      </c>
      <c r="AR117" s="1021">
        <f t="shared" si="603"/>
        <v>-8.8692835202991538E-2</v>
      </c>
      <c r="AS117" s="1021">
        <f t="shared" si="603"/>
        <v>-2.4086407962199647</v>
      </c>
      <c r="AT117" s="1021">
        <f t="shared" si="603"/>
        <v>-2.6890331235374796</v>
      </c>
      <c r="AU117" s="1025">
        <f t="shared" si="603"/>
        <v>-1.1116383253610664</v>
      </c>
      <c r="AV117" s="1026"/>
      <c r="AW117" s="1021">
        <f>AW64/AN64-1</f>
        <v>-2.4086407962199647</v>
      </c>
      <c r="AX117" s="1021">
        <f>AX64/AO64-1</f>
        <v>-2.6890331235374796</v>
      </c>
      <c r="AY117" s="1021">
        <f>AY64/AQ64-1</f>
        <v>-2.7278645937094081</v>
      </c>
      <c r="AZ117" s="1021">
        <f>AZ64/AR64-1</f>
        <v>1.8235294117647074</v>
      </c>
      <c r="BA117" s="1027">
        <f>BA64/SUM(AN64:AO64,AQ64:AR64)-1</f>
        <v>-1.3423083576042529</v>
      </c>
      <c r="BB117" s="1021">
        <f t="shared" ref="BB117:BU117" si="604">BB64/AW64-1</f>
        <v>-1.0566850836467021</v>
      </c>
      <c r="BC117" s="1021">
        <f t="shared" si="604"/>
        <v>-0.75633602278120582</v>
      </c>
      <c r="BD117" s="1021">
        <f t="shared" si="604"/>
        <v>-0.75770008631378516</v>
      </c>
      <c r="BE117" s="1021">
        <f t="shared" si="604"/>
        <v>-1.0915422171165992</v>
      </c>
      <c r="BF117" s="1027">
        <f t="shared" si="604"/>
        <v>-0.23538044619655341</v>
      </c>
      <c r="BG117" s="1021">
        <f t="shared" si="604"/>
        <v>-3.3989336338809588</v>
      </c>
      <c r="BH117" s="1021">
        <f t="shared" si="604"/>
        <v>0.5676706894812924</v>
      </c>
      <c r="BI117" s="1021">
        <f t="shared" si="604"/>
        <v>-0.83310730361550867</v>
      </c>
      <c r="BJ117" s="1021">
        <f t="shared" si="604"/>
        <v>0.89927272727273899</v>
      </c>
      <c r="BK117" s="1027">
        <f t="shared" si="604"/>
        <v>0.31372176299621324</v>
      </c>
      <c r="BL117" s="1021">
        <f t="shared" si="604"/>
        <v>1.4670412197715517</v>
      </c>
      <c r="BM117" s="1021">
        <f t="shared" si="604"/>
        <v>0.29366967613510764</v>
      </c>
      <c r="BN117" s="1021">
        <f t="shared" si="604"/>
        <v>9.2438797356418831</v>
      </c>
      <c r="BO117" s="1021">
        <f t="shared" si="604"/>
        <v>0.3668154761904745</v>
      </c>
      <c r="BP117" s="1027">
        <f t="shared" si="604"/>
        <v>0.96488662474554543</v>
      </c>
      <c r="BQ117" s="1021">
        <f t="shared" si="604"/>
        <v>0.67728720558410527</v>
      </c>
      <c r="BR117" s="1021">
        <f t="shared" si="604"/>
        <v>0.18831111382422328</v>
      </c>
      <c r="BS117" s="1021">
        <f t="shared" si="604"/>
        <v>-1.3435195677589171</v>
      </c>
      <c r="BT117" s="1021">
        <f t="shared" si="604"/>
        <v>-6.5461532469968509</v>
      </c>
      <c r="BU117" s="1027">
        <f t="shared" si="604"/>
        <v>-2.1680587579337471</v>
      </c>
      <c r="BV117" s="1288"/>
      <c r="BW117" s="1288"/>
      <c r="BX117" s="1288"/>
      <c r="BY117" s="1288"/>
      <c r="BZ117" s="1027"/>
      <c r="CA117" s="1021">
        <f t="shared" ref="CA117:DF117" si="605">CA64/BV64-1</f>
        <v>-0.95675429000639722</v>
      </c>
      <c r="CB117" s="1021">
        <f t="shared" si="605"/>
        <v>-0.64908320600083902</v>
      </c>
      <c r="CC117" s="1021">
        <f t="shared" si="605"/>
        <v>0.23716353754941233</v>
      </c>
      <c r="CD117" s="1021">
        <f t="shared" si="605"/>
        <v>-4.8816544596051203</v>
      </c>
      <c r="CE117" s="1022">
        <f t="shared" si="605"/>
        <v>-1.6048031388045301</v>
      </c>
      <c r="CF117" s="1021">
        <f t="shared" si="605"/>
        <v>-5.5571251109138782</v>
      </c>
      <c r="CG117" s="1021">
        <f t="shared" si="605"/>
        <v>6.1629978586724654</v>
      </c>
      <c r="CH117" s="1021">
        <f t="shared" si="605"/>
        <v>1.0706072340120407</v>
      </c>
      <c r="CI117" s="1021">
        <f t="shared" si="605"/>
        <v>1.5637995277270349</v>
      </c>
      <c r="CJ117" s="1022">
        <f t="shared" si="605"/>
        <v>3.040684149367527</v>
      </c>
      <c r="CK117" s="133">
        <f t="shared" si="605"/>
        <v>-3.1600065756584139E-2</v>
      </c>
      <c r="CL117" s="133">
        <f t="shared" si="605"/>
        <v>-2.500534192519932E-2</v>
      </c>
      <c r="CM117" s="133">
        <f t="shared" si="605"/>
        <v>1.7077260478576051E-2</v>
      </c>
      <c r="CN117" s="133">
        <f t="shared" si="605"/>
        <v>0.89740883661323467</v>
      </c>
      <c r="CO117" s="1022">
        <f t="shared" si="605"/>
        <v>0.27241752449173728</v>
      </c>
      <c r="CP117" s="133">
        <f t="shared" si="605"/>
        <v>1.7505239644923121</v>
      </c>
      <c r="CQ117" s="133">
        <f t="shared" si="605"/>
        <v>0.38729708829084952</v>
      </c>
      <c r="CR117" s="133">
        <f t="shared" si="605"/>
        <v>0.20037486883897482</v>
      </c>
      <c r="CS117" s="133">
        <f t="shared" si="605"/>
        <v>-0.45417704631307532</v>
      </c>
      <c r="CT117" s="581">
        <f t="shared" si="605"/>
        <v>-7.3919740412299761E-2</v>
      </c>
      <c r="CU117" s="133">
        <f t="shared" si="605"/>
        <v>-7.145752581704079E-2</v>
      </c>
      <c r="CV117" s="133">
        <f t="shared" si="605"/>
        <v>0.19743542850474882</v>
      </c>
      <c r="CW117" s="133">
        <f t="shared" si="605"/>
        <v>0.17217632226361013</v>
      </c>
      <c r="CX117" s="133">
        <f t="shared" si="605"/>
        <v>0.17152334602460417</v>
      </c>
      <c r="CY117" s="581">
        <f t="shared" si="605"/>
        <v>0.1177260898351824</v>
      </c>
      <c r="CZ117" s="133">
        <f t="shared" si="605"/>
        <v>0.13605263194415773</v>
      </c>
      <c r="DA117" s="133">
        <f t="shared" si="605"/>
        <v>0.17225056584099052</v>
      </c>
      <c r="DB117" s="133">
        <f t="shared" si="605"/>
        <v>0.1624959159998538</v>
      </c>
      <c r="DC117" s="133">
        <f t="shared" si="605"/>
        <v>0.15986612043119708</v>
      </c>
      <c r="DD117" s="581">
        <f t="shared" si="605"/>
        <v>0.15863577899381509</v>
      </c>
      <c r="DE117" s="133">
        <f t="shared" si="605"/>
        <v>0.20067463451748835</v>
      </c>
      <c r="DF117" s="133">
        <f t="shared" si="605"/>
        <v>0.13343779092601404</v>
      </c>
      <c r="DG117" s="133">
        <f t="shared" ref="DG117:DX117" si="606">DG64/DB64-1</f>
        <v>0.13361233214385915</v>
      </c>
      <c r="DH117" s="133">
        <f t="shared" si="606"/>
        <v>6.6161354606979028E-2</v>
      </c>
      <c r="DI117" s="581">
        <f t="shared" si="606"/>
        <v>0.12743326120966114</v>
      </c>
      <c r="DJ117" s="133">
        <f t="shared" si="606"/>
        <v>0.15299648758280071</v>
      </c>
      <c r="DK117" s="133">
        <f t="shared" si="606"/>
        <v>0.14140410155718364</v>
      </c>
      <c r="DL117" s="133">
        <f t="shared" si="606"/>
        <v>0.14131033132838433</v>
      </c>
      <c r="DM117" s="133">
        <f t="shared" si="606"/>
        <v>0.20908382122197766</v>
      </c>
      <c r="DN117" s="581">
        <f t="shared" si="606"/>
        <v>0.16237750677760165</v>
      </c>
      <c r="DO117" s="133">
        <f t="shared" si="606"/>
        <v>0.13509825117294105</v>
      </c>
      <c r="DP117" s="133">
        <f t="shared" si="606"/>
        <v>0.13688837352192373</v>
      </c>
      <c r="DQ117" s="133">
        <f t="shared" si="606"/>
        <v>0.13032303401399314</v>
      </c>
      <c r="DR117" s="133">
        <f t="shared" si="606"/>
        <v>0.12784857522599635</v>
      </c>
      <c r="DS117" s="581">
        <f t="shared" si="606"/>
        <v>0.13216525387374523</v>
      </c>
      <c r="DT117" s="133">
        <f t="shared" si="606"/>
        <v>4.4812783023015612E-2</v>
      </c>
      <c r="DU117" s="133">
        <f t="shared" si="606"/>
        <v>3.0389735142670293E-2</v>
      </c>
      <c r="DV117" s="133">
        <f t="shared" si="606"/>
        <v>5.1208508444453793E-2</v>
      </c>
      <c r="DW117" s="133">
        <f t="shared" si="606"/>
        <v>5.9613135414049001E-2</v>
      </c>
      <c r="DX117" s="581">
        <f t="shared" si="606"/>
        <v>4.7304710967105201E-2</v>
      </c>
      <c r="DY117" s="133">
        <f t="shared" ref="DY117" si="607">DY64/DT64-1</f>
        <v>0.14535878300182903</v>
      </c>
      <c r="DZ117" s="133">
        <f t="shared" ref="DZ117" si="608">DZ64/DU64-1</f>
        <v>0.15222205192610616</v>
      </c>
      <c r="EA117" s="133">
        <f t="shared" ref="EA117" si="609">EA64/DV64-1</f>
        <v>0.12051117930639244</v>
      </c>
      <c r="EB117" s="133">
        <f t="shared" ref="EB117" si="610">EB64/DW64-1</f>
        <v>0.11837707496575423</v>
      </c>
      <c r="EC117" s="581">
        <f t="shared" ref="EC117" si="611">EC64/DX64-1</f>
        <v>0.13252057937317852</v>
      </c>
      <c r="ED117" s="25"/>
      <c r="EE117" s="144"/>
      <c r="EF117" s="35">
        <f>EF64/EE64-1</f>
        <v>-0.10245712879794533</v>
      </c>
      <c r="EG117" s="35">
        <f>EG64/EF64-1</f>
        <v>0.17884826944040721</v>
      </c>
      <c r="EH117" s="35">
        <f>EH64/EG64-1</f>
        <v>-2.603682622131176E-2</v>
      </c>
      <c r="EI117" s="35">
        <f>EI64/EH64-1</f>
        <v>-0.13118466837821441</v>
      </c>
      <c r="EJ117" s="35"/>
      <c r="EK117" s="35">
        <f t="shared" si="529"/>
        <v>-0.23538044619655341</v>
      </c>
      <c r="EL117" s="35">
        <f t="shared" si="530"/>
        <v>0.31372176299621324</v>
      </c>
      <c r="EM117" s="35">
        <f t="shared" si="531"/>
        <v>0.96488662474554543</v>
      </c>
      <c r="EN117" s="35">
        <f t="shared" si="532"/>
        <v>-2.1680587579337471</v>
      </c>
      <c r="EO117" s="35">
        <f>CE117</f>
        <v>-1.6048031388045301</v>
      </c>
      <c r="EP117" s="35">
        <f>CJ117</f>
        <v>3.040684149367527</v>
      </c>
      <c r="EQ117" s="35">
        <f>CO117</f>
        <v>0.27241752449173728</v>
      </c>
      <c r="ER117" s="143">
        <f>CT117</f>
        <v>-7.3919740412299761E-2</v>
      </c>
      <c r="ES117" s="25"/>
      <c r="ET117" s="25"/>
      <c r="EU117" s="25"/>
      <c r="EX117" s="566" t="s">
        <v>221</v>
      </c>
      <c r="EY117" s="35">
        <f>CP117</f>
        <v>1.7505239644923121</v>
      </c>
      <c r="EZ117" s="35">
        <v>1.2713417333855248</v>
      </c>
      <c r="FA117" s="35">
        <f t="shared" si="527"/>
        <v>0.47918223110678726</v>
      </c>
      <c r="FB117" s="35">
        <f>CK117</f>
        <v>-3.1600065756584139E-2</v>
      </c>
      <c r="FC117" s="973"/>
      <c r="FD117" s="25"/>
    </row>
    <row r="118" spans="1:166" ht="11.85" customHeight="1" x14ac:dyDescent="0.2">
      <c r="A118" s="1013" t="s">
        <v>825</v>
      </c>
      <c r="B118" s="634"/>
      <c r="C118" s="634"/>
      <c r="D118" s="634"/>
      <c r="E118" s="634"/>
      <c r="F118" s="634"/>
      <c r="G118" s="634"/>
      <c r="H118" s="634"/>
      <c r="I118" s="634"/>
      <c r="J118" s="634"/>
      <c r="K118" s="634"/>
      <c r="L118" s="634"/>
      <c r="M118" s="634"/>
      <c r="N118" s="634"/>
      <c r="O118" s="634"/>
      <c r="P118" s="634"/>
      <c r="Q118" s="634"/>
      <c r="R118" s="634"/>
      <c r="S118" s="634"/>
      <c r="T118" s="634"/>
      <c r="U118" s="634"/>
      <c r="V118" s="634"/>
      <c r="W118" s="634"/>
      <c r="X118" s="634"/>
      <c r="Y118" s="634"/>
      <c r="Z118" s="634"/>
      <c r="AA118" s="634"/>
      <c r="AB118" s="634"/>
      <c r="AC118" s="634"/>
      <c r="AD118" s="634"/>
      <c r="AE118" s="634"/>
      <c r="AF118" s="634"/>
      <c r="AG118" s="634"/>
      <c r="AH118" s="634"/>
      <c r="AI118" s="634"/>
      <c r="AJ118" s="634"/>
      <c r="AK118" s="634"/>
      <c r="AL118" s="634"/>
      <c r="AM118" s="634"/>
      <c r="AN118" s="634"/>
      <c r="AO118" s="634"/>
      <c r="AP118" s="634"/>
      <c r="AQ118" s="634"/>
      <c r="AR118" s="634"/>
      <c r="AS118" s="634"/>
      <c r="AT118" s="634"/>
      <c r="AU118" s="634"/>
      <c r="AV118" s="272"/>
      <c r="AW118" s="634"/>
      <c r="AX118" s="634"/>
      <c r="AY118" s="634"/>
      <c r="AZ118" s="634"/>
      <c r="BA118" s="634"/>
      <c r="BB118" s="634"/>
      <c r="BC118" s="634"/>
      <c r="BD118" s="634"/>
      <c r="BE118" s="634"/>
      <c r="BF118" s="634"/>
      <c r="BG118" s="634"/>
      <c r="BH118" s="634"/>
      <c r="BI118" s="634"/>
      <c r="BJ118" s="634"/>
      <c r="BK118" s="634"/>
      <c r="BL118" s="634"/>
      <c r="BM118" s="634"/>
      <c r="BN118" s="634"/>
      <c r="BO118" s="634"/>
      <c r="BP118" s="634"/>
      <c r="BQ118" s="634"/>
      <c r="BR118" s="634"/>
      <c r="BS118" s="634"/>
      <c r="BT118" s="634"/>
      <c r="BU118" s="635"/>
      <c r="BV118" s="1289"/>
      <c r="BW118" s="1289"/>
      <c r="BX118" s="1289"/>
      <c r="BY118" s="1289"/>
      <c r="BZ118" s="634"/>
      <c r="CA118" s="634"/>
      <c r="CB118" s="634"/>
      <c r="CC118" s="634"/>
      <c r="CD118" s="634"/>
      <c r="CE118" s="634"/>
      <c r="CF118" s="634"/>
      <c r="CG118" s="634"/>
      <c r="CH118" s="634"/>
      <c r="CI118" s="634"/>
      <c r="CJ118" s="634"/>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8"/>
      <c r="DS118" s="8"/>
      <c r="DT118" s="8"/>
      <c r="DU118" s="8"/>
      <c r="DV118" s="8"/>
      <c r="DW118" s="8"/>
      <c r="DX118" s="9"/>
      <c r="DY118" s="8"/>
      <c r="DZ118" s="8"/>
      <c r="EA118" s="8"/>
      <c r="EB118" s="8"/>
      <c r="EC118" s="9"/>
      <c r="ED118" s="16"/>
      <c r="EE118" s="459"/>
      <c r="EF118" s="8"/>
      <c r="EG118" s="8"/>
      <c r="EH118" s="8"/>
      <c r="EI118" s="8"/>
      <c r="EJ118" s="8"/>
      <c r="EK118" s="8"/>
      <c r="EL118" s="8"/>
      <c r="EM118" s="8"/>
      <c r="EN118" s="8"/>
      <c r="EO118" s="8"/>
      <c r="EP118" s="8"/>
      <c r="EQ118" s="8"/>
      <c r="ER118" s="9"/>
      <c r="ES118" s="16"/>
      <c r="ET118" s="16"/>
      <c r="EU118" s="16"/>
      <c r="EX118" s="567" t="s">
        <v>253</v>
      </c>
      <c r="EY118" s="1230"/>
      <c r="EZ118" s="1230"/>
      <c r="FA118" s="1230"/>
      <c r="FB118" s="1230"/>
      <c r="FC118" s="1231"/>
      <c r="FD118" s="16"/>
    </row>
    <row r="119" spans="1:166" s="1064" customFormat="1" ht="11.85" customHeight="1" x14ac:dyDescent="0.2">
      <c r="A119" s="278" t="s">
        <v>615</v>
      </c>
      <c r="B119" s="1187"/>
      <c r="C119" s="1184">
        <v>0</v>
      </c>
      <c r="D119" s="1184">
        <v>0</v>
      </c>
      <c r="E119" s="1184">
        <v>0</v>
      </c>
      <c r="F119" s="1184">
        <v>0</v>
      </c>
      <c r="G119" s="1187">
        <v>11455</v>
      </c>
      <c r="H119" s="1184">
        <v>0</v>
      </c>
      <c r="I119" s="1184">
        <v>0</v>
      </c>
      <c r="J119" s="1184">
        <v>0</v>
      </c>
      <c r="K119" s="1184">
        <v>0</v>
      </c>
      <c r="L119" s="1187">
        <v>11335</v>
      </c>
      <c r="M119" s="1184">
        <v>0</v>
      </c>
      <c r="N119" s="1184">
        <v>0</v>
      </c>
      <c r="O119" s="1184">
        <v>0</v>
      </c>
      <c r="P119" s="1184">
        <v>0</v>
      </c>
      <c r="Q119" s="1187">
        <v>11227</v>
      </c>
      <c r="R119" s="1184">
        <v>0</v>
      </c>
      <c r="S119" s="1184">
        <v>0</v>
      </c>
      <c r="T119" s="1184">
        <v>11122</v>
      </c>
      <c r="U119" s="1184">
        <v>11104</v>
      </c>
      <c r="V119" s="1187">
        <v>11104</v>
      </c>
      <c r="W119" s="1184">
        <v>11102</v>
      </c>
      <c r="X119" s="1184">
        <v>11141</v>
      </c>
      <c r="Y119" s="1184">
        <v>11109</v>
      </c>
      <c r="Z119" s="1184">
        <v>11129</v>
      </c>
      <c r="AA119" s="1187">
        <v>11129</v>
      </c>
      <c r="AB119" s="1184">
        <v>11144</v>
      </c>
      <c r="AC119" s="1184">
        <v>11184</v>
      </c>
      <c r="AD119" s="1184">
        <v>11201</v>
      </c>
      <c r="AE119" s="1184">
        <v>11283</v>
      </c>
      <c r="AF119" s="1187">
        <v>11283</v>
      </c>
      <c r="AG119" s="1184">
        <v>11290</v>
      </c>
      <c r="AH119" s="1184">
        <v>11395</v>
      </c>
      <c r="AI119" s="1184">
        <v>11455</v>
      </c>
      <c r="AJ119" s="1184">
        <v>11565</v>
      </c>
      <c r="AK119" s="1187">
        <v>11565</v>
      </c>
      <c r="AL119" s="1184">
        <v>11632</v>
      </c>
      <c r="AM119" s="1184">
        <v>11757</v>
      </c>
      <c r="AN119" s="1184">
        <v>11810</v>
      </c>
      <c r="AO119" s="1184">
        <v>11925</v>
      </c>
      <c r="AP119" s="1187">
        <v>11925</v>
      </c>
      <c r="AQ119" s="1184">
        <v>11983</v>
      </c>
      <c r="AR119" s="1184">
        <v>12078</v>
      </c>
      <c r="AS119" s="1184">
        <v>12115</v>
      </c>
      <c r="AT119" s="1184">
        <v>12174</v>
      </c>
      <c r="AU119" s="1187">
        <v>12174</v>
      </c>
      <c r="AV119" s="1181"/>
      <c r="AW119" s="1184">
        <v>12115</v>
      </c>
      <c r="AX119" s="1184">
        <v>12174</v>
      </c>
      <c r="AY119" s="1184">
        <v>12206</v>
      </c>
      <c r="AZ119" s="1184">
        <v>12251</v>
      </c>
      <c r="BA119" s="1187">
        <v>12251</v>
      </c>
      <c r="BB119" s="1184">
        <v>12301</v>
      </c>
      <c r="BC119" s="1184">
        <v>12336</v>
      </c>
      <c r="BD119" s="1184">
        <v>12395</v>
      </c>
      <c r="BE119" s="1184">
        <v>12512</v>
      </c>
      <c r="BF119" s="1187">
        <v>12512</v>
      </c>
      <c r="BG119" s="1184">
        <v>12534</v>
      </c>
      <c r="BH119" s="1184">
        <v>12604</v>
      </c>
      <c r="BI119" s="1184">
        <v>12667</v>
      </c>
      <c r="BJ119" s="1184">
        <v>12997</v>
      </c>
      <c r="BK119" s="1187">
        <v>12997</v>
      </c>
      <c r="BL119" s="1184">
        <v>13001</v>
      </c>
      <c r="BM119" s="1184">
        <v>13126</v>
      </c>
      <c r="BN119" s="1184">
        <v>13259</v>
      </c>
      <c r="BO119" s="1184">
        <v>13667</v>
      </c>
      <c r="BP119" s="1187">
        <v>13667</v>
      </c>
      <c r="BQ119" s="1184">
        <v>13677</v>
      </c>
      <c r="BR119" s="1184">
        <v>13808</v>
      </c>
      <c r="BS119" s="1184">
        <v>13960</v>
      </c>
      <c r="BT119" s="1184">
        <v>14372</v>
      </c>
      <c r="BU119" s="1187">
        <v>14372</v>
      </c>
      <c r="BV119" s="1290">
        <v>14387</v>
      </c>
      <c r="BW119" s="1290">
        <v>14528</v>
      </c>
      <c r="BX119" s="1290">
        <v>14669</v>
      </c>
      <c r="BY119" s="1290">
        <v>15003</v>
      </c>
      <c r="BZ119" s="1187">
        <v>15003</v>
      </c>
      <c r="CA119" s="1184">
        <v>14387</v>
      </c>
      <c r="CB119" s="1184">
        <v>14528</v>
      </c>
      <c r="CC119" s="1184">
        <v>14669</v>
      </c>
      <c r="CD119" s="1184">
        <v>15003</v>
      </c>
      <c r="CE119" s="1187">
        <v>15003</v>
      </c>
      <c r="CF119" s="1184">
        <v>15008</v>
      </c>
      <c r="CG119" s="1184">
        <v>15100</v>
      </c>
      <c r="CH119" s="1184">
        <v>15243</v>
      </c>
      <c r="CI119" s="1184">
        <v>15738</v>
      </c>
      <c r="CJ119" s="1187">
        <v>15738</v>
      </c>
      <c r="CK119" s="1184">
        <v>15768</v>
      </c>
      <c r="CL119" s="1184">
        <v>16000</v>
      </c>
      <c r="CM119" s="1184">
        <v>16253</v>
      </c>
      <c r="CN119" s="1184">
        <v>16767</v>
      </c>
      <c r="CO119" s="1187">
        <v>16767</v>
      </c>
      <c r="CP119" s="1184">
        <v>16859</v>
      </c>
      <c r="CQ119" s="1184">
        <v>17044</v>
      </c>
      <c r="CR119" s="1184">
        <v>17304</v>
      </c>
      <c r="CS119" s="1184">
        <v>17839</v>
      </c>
      <c r="CT119" s="1187">
        <v>17839</v>
      </c>
      <c r="CU119" s="1184">
        <v>17914</v>
      </c>
      <c r="CV119" s="1184">
        <v>18099</v>
      </c>
      <c r="CW119" s="1184">
        <v>18389</v>
      </c>
      <c r="CX119" s="1184">
        <v>18969</v>
      </c>
      <c r="CY119" s="1187">
        <v>18969</v>
      </c>
      <c r="CZ119" s="1184">
        <v>19044</v>
      </c>
      <c r="DA119" s="1184">
        <v>19229</v>
      </c>
      <c r="DB119" s="1184">
        <v>19519</v>
      </c>
      <c r="DC119" s="1184">
        <v>20069</v>
      </c>
      <c r="DD119" s="1187">
        <v>20069</v>
      </c>
      <c r="DE119" s="1184">
        <v>20146</v>
      </c>
      <c r="DF119" s="1184">
        <v>20333</v>
      </c>
      <c r="DG119" s="1184">
        <v>20633</v>
      </c>
      <c r="DH119" s="1184">
        <v>21163</v>
      </c>
      <c r="DI119" s="1184">
        <v>21163</v>
      </c>
      <c r="DJ119" s="1184">
        <v>21253</v>
      </c>
      <c r="DK119" s="1184">
        <v>21453</v>
      </c>
      <c r="DL119" s="1184">
        <v>21753</v>
      </c>
      <c r="DM119" s="1184">
        <v>22283</v>
      </c>
      <c r="DN119" s="1187">
        <v>22283</v>
      </c>
      <c r="DO119" s="1184">
        <v>22383</v>
      </c>
      <c r="DP119" s="1184">
        <v>22593</v>
      </c>
      <c r="DQ119" s="1184">
        <v>22903</v>
      </c>
      <c r="DR119" s="1184">
        <v>23443</v>
      </c>
      <c r="DS119" s="1187">
        <v>23443</v>
      </c>
      <c r="DT119" s="1184">
        <v>23553</v>
      </c>
      <c r="DU119" s="1184">
        <v>23773</v>
      </c>
      <c r="DV119" s="1184">
        <v>24093</v>
      </c>
      <c r="DW119" s="1184">
        <v>24643</v>
      </c>
      <c r="DX119" s="1187">
        <v>24643</v>
      </c>
      <c r="DY119" s="1184">
        <v>24763</v>
      </c>
      <c r="DZ119" s="1184">
        <v>24993</v>
      </c>
      <c r="EA119" s="1184">
        <v>25323</v>
      </c>
      <c r="EB119" s="1184">
        <v>25883</v>
      </c>
      <c r="EC119" s="1187">
        <v>25883</v>
      </c>
      <c r="ED119" s="1182"/>
      <c r="EE119" s="1183"/>
      <c r="EF119" s="1180"/>
      <c r="EG119" s="1180"/>
      <c r="EH119" s="1180"/>
      <c r="EI119" s="1180"/>
      <c r="EJ119" s="1180"/>
      <c r="EK119" s="1180"/>
      <c r="EL119" s="1180"/>
      <c r="EM119" s="1180"/>
      <c r="EN119" s="1264">
        <f t="shared" ref="EN119:EO126" si="612">CH119</f>
        <v>15243</v>
      </c>
      <c r="EO119" s="1264">
        <f t="shared" si="612"/>
        <v>15738</v>
      </c>
      <c r="EP119" s="1264">
        <f t="shared" ref="EP119:EP126" si="613">CJ119</f>
        <v>15738</v>
      </c>
      <c r="EQ119" s="1264">
        <f t="shared" ref="EQ119:EQ126" si="614">CO119</f>
        <v>16767</v>
      </c>
      <c r="ER119" s="1264">
        <f t="shared" ref="ER119:ER126" si="615">CT119</f>
        <v>17839</v>
      </c>
      <c r="ES119" s="1182"/>
      <c r="ET119" s="1182"/>
      <c r="EU119" s="1182"/>
      <c r="EX119" s="796" t="s">
        <v>615</v>
      </c>
      <c r="EY119" s="1224">
        <f t="shared" ref="EY119:EY126" si="616">CP119</f>
        <v>16859</v>
      </c>
      <c r="EZ119" s="1237">
        <v>16842</v>
      </c>
      <c r="FA119" s="1237"/>
      <c r="FB119" s="1237">
        <f t="shared" ref="FB119:FB126" si="617">CK119</f>
        <v>15768</v>
      </c>
      <c r="FC119" s="1238"/>
      <c r="FD119" s="1182"/>
      <c r="FE119"/>
      <c r="FF119"/>
      <c r="FG119"/>
      <c r="FH119"/>
      <c r="FI119"/>
      <c r="FJ119"/>
    </row>
    <row r="120" spans="1:166" s="1064" customFormat="1" ht="11.85" customHeight="1" x14ac:dyDescent="0.2">
      <c r="A120" s="243" t="s">
        <v>563</v>
      </c>
      <c r="B120" s="1188"/>
      <c r="C120" s="1186"/>
      <c r="D120" s="1186"/>
      <c r="E120" s="1186"/>
      <c r="F120" s="1186"/>
      <c r="G120" s="1188"/>
      <c r="H120" s="1186"/>
      <c r="I120" s="1186"/>
      <c r="J120" s="1186"/>
      <c r="K120" s="1186"/>
      <c r="L120" s="1188">
        <f t="shared" ref="L120" si="618">L119/G119-1</f>
        <v>-1.0475774770842383E-2</v>
      </c>
      <c r="M120" s="1186"/>
      <c r="N120" s="1186"/>
      <c r="O120" s="1186"/>
      <c r="P120" s="1186"/>
      <c r="Q120" s="1188">
        <f t="shared" ref="Q120" si="619">Q119/L119-1</f>
        <v>-9.5280105866784037E-3</v>
      </c>
      <c r="R120" s="1186"/>
      <c r="S120" s="1186"/>
      <c r="T120" s="1186"/>
      <c r="U120" s="1186"/>
      <c r="V120" s="1188">
        <f t="shared" ref="V120" si="620">V119/Q119-1</f>
        <v>-1.0955731718179429E-2</v>
      </c>
      <c r="W120" s="1186"/>
      <c r="X120" s="1186"/>
      <c r="Y120" s="1186">
        <f t="shared" ref="Y120" si="621">Y119/T119-1</f>
        <v>-1.1688545225678748E-3</v>
      </c>
      <c r="Z120" s="1186">
        <f t="shared" ref="Z120:AA120" si="622">Z119/U119-1</f>
        <v>2.2514409221900955E-3</v>
      </c>
      <c r="AA120" s="1188">
        <f t="shared" si="622"/>
        <v>2.2514409221900955E-3</v>
      </c>
      <c r="AB120" s="1186">
        <f>AB119/W119-1</f>
        <v>3.7831021437579881E-3</v>
      </c>
      <c r="AC120" s="1186">
        <f t="shared" ref="AC120" si="623">AC119/X119-1</f>
        <v>3.8596176285792261E-3</v>
      </c>
      <c r="AD120" s="1186">
        <f t="shared" ref="AD120" si="624">AD119/Y119-1</f>
        <v>8.2815734989647449E-3</v>
      </c>
      <c r="AE120" s="1186">
        <f t="shared" ref="AE120:AF120" si="625">AE119/Z119-1</f>
        <v>1.3837721268757264E-2</v>
      </c>
      <c r="AF120" s="1188">
        <f t="shared" si="625"/>
        <v>1.3837721268757264E-2</v>
      </c>
      <c r="AG120" s="1186">
        <f>AG119/AB119-1</f>
        <v>1.3101220387652601E-2</v>
      </c>
      <c r="AH120" s="1186">
        <f t="shared" ref="AH120" si="626">AH119/AC119-1</f>
        <v>1.8866237482117354E-2</v>
      </c>
      <c r="AI120" s="1186">
        <f t="shared" ref="AI120" si="627">AI119/AD119-1</f>
        <v>2.2676546736898562E-2</v>
      </c>
      <c r="AJ120" s="1186">
        <f t="shared" ref="AJ120:AK120" si="628">AJ119/AE119-1</f>
        <v>2.4993352831693683E-2</v>
      </c>
      <c r="AK120" s="1188">
        <f t="shared" si="628"/>
        <v>2.4993352831693683E-2</v>
      </c>
      <c r="AL120" s="1186">
        <f>AL119/AG119-1</f>
        <v>3.0292294065544789E-2</v>
      </c>
      <c r="AM120" s="1186">
        <f t="shared" ref="AM120" si="629">AM119/AH119-1</f>
        <v>3.1768319438350234E-2</v>
      </c>
      <c r="AN120" s="1186">
        <f t="shared" ref="AN120" si="630">AN119/AI119-1</f>
        <v>3.0990833697075448E-2</v>
      </c>
      <c r="AO120" s="1186">
        <f t="shared" ref="AO120:AP120" si="631">AO119/AJ119-1</f>
        <v>3.112840466926059E-2</v>
      </c>
      <c r="AP120" s="1188">
        <f t="shared" si="631"/>
        <v>3.112840466926059E-2</v>
      </c>
      <c r="AQ120" s="1186">
        <f>AQ119/AL119-1</f>
        <v>3.0175378266850128E-2</v>
      </c>
      <c r="AR120" s="1186">
        <f t="shared" ref="AR120" si="632">AR119/AM119-1</f>
        <v>2.7302883388619525E-2</v>
      </c>
      <c r="AS120" s="1186">
        <f t="shared" ref="AS120" si="633">AS119/AN119-1</f>
        <v>2.5825571549534354E-2</v>
      </c>
      <c r="AT120" s="1186">
        <f t="shared" ref="AT120:AU120" si="634">AT119/AO119-1</f>
        <v>2.0880503144654172E-2</v>
      </c>
      <c r="AU120" s="1188">
        <f t="shared" si="634"/>
        <v>2.0880503144654172E-2</v>
      </c>
      <c r="AV120" s="1181"/>
      <c r="AW120" s="1180"/>
      <c r="AX120" s="1180"/>
      <c r="AY120" s="1180"/>
      <c r="AZ120" s="1180"/>
      <c r="BA120" s="1188"/>
      <c r="BB120" s="1186">
        <f>BB119/AW119-1</f>
        <v>1.5352868345026804E-2</v>
      </c>
      <c r="BC120" s="1186">
        <f t="shared" ref="BC120:BF120" si="635">BC119/AX119-1</f>
        <v>1.3307047806801364E-2</v>
      </c>
      <c r="BD120" s="1186">
        <f t="shared" si="635"/>
        <v>1.548418810421115E-2</v>
      </c>
      <c r="BE120" s="1186">
        <f t="shared" si="635"/>
        <v>2.1304383315647657E-2</v>
      </c>
      <c r="BF120" s="1188">
        <f t="shared" si="635"/>
        <v>2.1304383315647657E-2</v>
      </c>
      <c r="BG120" s="1186">
        <f t="shared" ref="BG120" si="636">BG119/BB119-1</f>
        <v>1.8941549467522911E-2</v>
      </c>
      <c r="BH120" s="1186">
        <f t="shared" ref="BH120" si="637">BH119/BC119-1</f>
        <v>2.1725032425421453E-2</v>
      </c>
      <c r="BI120" s="1186">
        <f t="shared" ref="BI120" si="638">BI119/BD119-1</f>
        <v>2.1944332392093591E-2</v>
      </c>
      <c r="BJ120" s="1186">
        <f t="shared" ref="BJ120:BK120" si="639">BJ119/BE119-1</f>
        <v>3.8762787723785275E-2</v>
      </c>
      <c r="BK120" s="1188">
        <f t="shared" si="639"/>
        <v>3.8762787723785275E-2</v>
      </c>
      <c r="BL120" s="1186">
        <f t="shared" ref="BL120" si="640">BL119/BG119-1</f>
        <v>3.7258656454443928E-2</v>
      </c>
      <c r="BM120" s="1186">
        <f t="shared" ref="BM120" si="641">BM119/BH119-1</f>
        <v>4.141542367502371E-2</v>
      </c>
      <c r="BN120" s="1186">
        <f t="shared" ref="BN120" si="642">BN119/BI119-1</f>
        <v>4.6735612220730971E-2</v>
      </c>
      <c r="BO120" s="1186">
        <f t="shared" ref="BO120:BP120" si="643">BO119/BJ119-1</f>
        <v>5.1550357774871047E-2</v>
      </c>
      <c r="BP120" s="1188">
        <f t="shared" si="643"/>
        <v>5.1550357774871047E-2</v>
      </c>
      <c r="BQ120" s="1186">
        <f t="shared" ref="BQ120" si="644">BQ119/BL119-1</f>
        <v>5.1996000307668711E-2</v>
      </c>
      <c r="BR120" s="1186">
        <f t="shared" ref="BR120" si="645">BR119/BM119-1</f>
        <v>5.195794606125248E-2</v>
      </c>
      <c r="BS120" s="1186">
        <f t="shared" ref="BS120" si="646">BS119/BN119-1</f>
        <v>5.286974884983775E-2</v>
      </c>
      <c r="BT120" s="1186">
        <f t="shared" ref="BT120:BU120" si="647">BT119/BO119-1</f>
        <v>5.158410770469013E-2</v>
      </c>
      <c r="BU120" s="1188">
        <f t="shared" si="647"/>
        <v>5.158410770469013E-2</v>
      </c>
      <c r="BV120" s="1291">
        <f t="shared" ref="BV120" si="648">BV119/BQ119-1</f>
        <v>5.1911968999049485E-2</v>
      </c>
      <c r="BW120" s="1291">
        <f t="shared" ref="BW120" si="649">BW119/BR119-1</f>
        <v>5.2143684820393998E-2</v>
      </c>
      <c r="BX120" s="1291">
        <f t="shared" ref="BX120" si="650">BX119/BS119-1</f>
        <v>5.0787965616045927E-2</v>
      </c>
      <c r="BY120" s="1291">
        <f t="shared" ref="BY120" si="651">BY119/BT119-1</f>
        <v>4.3904814917895996E-2</v>
      </c>
      <c r="BZ120" s="1188">
        <f t="shared" ref="BZ120" si="652">BZ119/BU119-1</f>
        <v>4.3904814917895996E-2</v>
      </c>
      <c r="CA120" s="1186">
        <f t="shared" ref="CA120" si="653">CA119/BQ119-1</f>
        <v>5.1911968999049485E-2</v>
      </c>
      <c r="CB120" s="1186">
        <f t="shared" ref="CB120" si="654">CB119/BR119-1</f>
        <v>5.2143684820393998E-2</v>
      </c>
      <c r="CC120" s="1186">
        <f t="shared" ref="CC120" si="655">CC119/BS119-1</f>
        <v>5.0787965616045927E-2</v>
      </c>
      <c r="CD120" s="1186">
        <f>CD119/BT119-1</f>
        <v>4.3904814917895996E-2</v>
      </c>
      <c r="CE120" s="1188">
        <f>CE119/BU119-1</f>
        <v>4.3904814917895996E-2</v>
      </c>
      <c r="CF120" s="1186">
        <f t="shared" ref="CF120" si="656">CF119/CA119-1</f>
        <v>4.3163967470633224E-2</v>
      </c>
      <c r="CG120" s="1186">
        <f t="shared" ref="CG120" si="657">CG119/CB119-1</f>
        <v>3.937224669603534E-2</v>
      </c>
      <c r="CH120" s="1186">
        <f t="shared" ref="CH120" si="658">CH119/CC119-1</f>
        <v>3.9130138387074798E-2</v>
      </c>
      <c r="CI120" s="1186">
        <f t="shared" ref="CI120:CJ120" si="659">CI119/CD119-1</f>
        <v>4.8990201959608015E-2</v>
      </c>
      <c r="CJ120" s="1188">
        <f t="shared" si="659"/>
        <v>4.8990201959608015E-2</v>
      </c>
      <c r="CK120" s="1186">
        <f t="shared" ref="CK120" si="660">CK119/CF119-1</f>
        <v>5.0639658848613989E-2</v>
      </c>
      <c r="CL120" s="1186">
        <f t="shared" ref="CL120" si="661">CL119/CG119-1</f>
        <v>5.9602649006622599E-2</v>
      </c>
      <c r="CM120" s="1186">
        <f t="shared" ref="CM120" si="662">CM119/CH119-1</f>
        <v>6.6259922587417197E-2</v>
      </c>
      <c r="CN120" s="1186">
        <f t="shared" ref="CN120:CO120" si="663">CN119/CI119-1</f>
        <v>6.5383149065955104E-2</v>
      </c>
      <c r="CO120" s="1188">
        <f t="shared" si="663"/>
        <v>6.5383149065955104E-2</v>
      </c>
      <c r="CP120" s="1186">
        <f t="shared" ref="CP120" si="664">CP119/CK119-1</f>
        <v>6.919076610857422E-2</v>
      </c>
      <c r="CQ120" s="1186">
        <f t="shared" ref="CQ120" si="665">CQ119/CL119-1</f>
        <v>6.525000000000003E-2</v>
      </c>
      <c r="CR120" s="1186">
        <f t="shared" ref="CR120" si="666">CR119/CM119-1</f>
        <v>6.4664984925859814E-2</v>
      </c>
      <c r="CS120" s="1186">
        <f t="shared" ref="CS120:CT120" si="667">CS119/CN119-1</f>
        <v>6.3935110633983383E-2</v>
      </c>
      <c r="CT120" s="1188">
        <f t="shared" si="667"/>
        <v>6.3935110633983383E-2</v>
      </c>
      <c r="CU120" s="1186">
        <f t="shared" ref="CU120" si="668">CU119/CP119-1</f>
        <v>6.2577851592621192E-2</v>
      </c>
      <c r="CV120" s="1186">
        <f t="shared" ref="CV120" si="669">CV119/CQ119-1</f>
        <v>6.1898615348509711E-2</v>
      </c>
      <c r="CW120" s="1186">
        <f t="shared" ref="CW120" si="670">CW119/CR119-1</f>
        <v>6.2702265372168275E-2</v>
      </c>
      <c r="CX120" s="1186">
        <f t="shared" ref="CX120:CY120" si="671">CX119/CS119-1</f>
        <v>6.3344357867593404E-2</v>
      </c>
      <c r="CY120" s="1188">
        <f t="shared" si="671"/>
        <v>6.3344357867593404E-2</v>
      </c>
      <c r="CZ120" s="1186">
        <f t="shared" ref="CZ120" si="672">CZ119/CU119-1</f>
        <v>6.3079155967399769E-2</v>
      </c>
      <c r="DA120" s="1186">
        <f t="shared" ref="DA120" si="673">DA119/CV119-1</f>
        <v>6.24343886402563E-2</v>
      </c>
      <c r="DB120" s="1186">
        <f t="shared" ref="DB120" si="674">DB119/CW119-1</f>
        <v>6.1449779759638945E-2</v>
      </c>
      <c r="DC120" s="1186">
        <f t="shared" ref="DC120:DD120" si="675">DC119/CX119-1</f>
        <v>5.7989351046444204E-2</v>
      </c>
      <c r="DD120" s="1188">
        <f t="shared" si="675"/>
        <v>5.7989351046444204E-2</v>
      </c>
      <c r="DE120" s="1186">
        <f t="shared" ref="DE120" si="676">DE119/CZ119-1</f>
        <v>5.7865994538962351E-2</v>
      </c>
      <c r="DF120" s="1186">
        <f t="shared" ref="DF120" si="677">DF119/DA119-1</f>
        <v>5.7413282021945955E-2</v>
      </c>
      <c r="DG120" s="1186">
        <f t="shared" ref="DG120" si="678">DG119/DB119-1</f>
        <v>5.7072595932168735E-2</v>
      </c>
      <c r="DH120" s="1186">
        <f t="shared" ref="DH120" si="679">DH119/DC119-1</f>
        <v>5.4511933828292447E-2</v>
      </c>
      <c r="DI120" s="1186">
        <f t="shared" ref="DI120" si="680">DI119/DD119-1</f>
        <v>5.4511933828292447E-2</v>
      </c>
      <c r="DJ120" s="1186">
        <f t="shared" ref="DJ120" si="681">DJ119/DE119-1</f>
        <v>5.4948873225454165E-2</v>
      </c>
      <c r="DK120" s="1186">
        <f t="shared" ref="DK120" si="682">DK119/DF119-1</f>
        <v>5.5082870210987123E-2</v>
      </c>
      <c r="DL120" s="1186">
        <f t="shared" ref="DL120" si="683">DL119/DG119-1</f>
        <v>5.4281975476178967E-2</v>
      </c>
      <c r="DM120" s="1186">
        <f t="shared" ref="DM120:DN120" si="684">DM119/DH119-1</f>
        <v>5.292255351320696E-2</v>
      </c>
      <c r="DN120" s="1188">
        <f t="shared" si="684"/>
        <v>5.292255351320696E-2</v>
      </c>
      <c r="DO120" s="1186">
        <f t="shared" ref="DO120" si="685">DO119/DJ119-1</f>
        <v>5.3168964381498984E-2</v>
      </c>
      <c r="DP120" s="1186">
        <f t="shared" ref="DP120" si="686">DP119/DK119-1</f>
        <v>5.3139421059991587E-2</v>
      </c>
      <c r="DQ120" s="1186">
        <f t="shared" ref="DQ120" si="687">DQ119/DL119-1</f>
        <v>5.2866271318898539E-2</v>
      </c>
      <c r="DR120" s="1186">
        <f t="shared" ref="DR120:DS120" si="688">DR119/DM119-1</f>
        <v>5.2057622402728487E-2</v>
      </c>
      <c r="DS120" s="1188">
        <f t="shared" si="688"/>
        <v>5.2057622402728487E-2</v>
      </c>
      <c r="DT120" s="1186">
        <f t="shared" ref="DT120" si="689">DT119/DO119-1</f>
        <v>5.2271813429835223E-2</v>
      </c>
      <c r="DU120" s="1186">
        <f t="shared" ref="DU120" si="690">DU119/DP119-1</f>
        <v>5.2228566370114526E-2</v>
      </c>
      <c r="DV120" s="1186">
        <f t="shared" ref="DV120" si="691">DV119/DQ119-1</f>
        <v>5.1958258743395991E-2</v>
      </c>
      <c r="DW120" s="1186">
        <f t="shared" ref="DW120:DX120" si="692">DW119/DR119-1</f>
        <v>5.1187987885509489E-2</v>
      </c>
      <c r="DX120" s="1188">
        <f t="shared" si="692"/>
        <v>5.1187987885509489E-2</v>
      </c>
      <c r="DY120" s="1186">
        <f t="shared" ref="DY120" si="693">DY119/DT119-1</f>
        <v>5.1373498068186585E-2</v>
      </c>
      <c r="DZ120" s="1186">
        <f t="shared" ref="DZ120" si="694">DZ119/DU119-1</f>
        <v>5.1318722920960846E-2</v>
      </c>
      <c r="EA120" s="1186">
        <f t="shared" ref="EA120" si="695">EA119/DV119-1</f>
        <v>5.1052172830282627E-2</v>
      </c>
      <c r="EB120" s="1186">
        <f t="shared" ref="EB120" si="696">EB119/DW119-1</f>
        <v>5.0318548877977598E-2</v>
      </c>
      <c r="EC120" s="1188">
        <f t="shared" ref="EC120" si="697">EC119/DX119-1</f>
        <v>5.0318548877977598E-2</v>
      </c>
      <c r="ED120" s="1182"/>
      <c r="EE120" s="1183"/>
      <c r="EF120" s="1180"/>
      <c r="EG120" s="1180"/>
      <c r="EH120" s="1180"/>
      <c r="EI120" s="1180"/>
      <c r="EJ120" s="1180"/>
      <c r="EK120" s="1180"/>
      <c r="EL120" s="1180"/>
      <c r="EM120" s="1180"/>
      <c r="EN120" s="139">
        <f t="shared" si="612"/>
        <v>3.9130138387074798E-2</v>
      </c>
      <c r="EO120" s="139">
        <f t="shared" si="612"/>
        <v>4.8990201959608015E-2</v>
      </c>
      <c r="EP120" s="139">
        <f t="shared" si="613"/>
        <v>4.8990201959608015E-2</v>
      </c>
      <c r="EQ120" s="139">
        <f t="shared" si="614"/>
        <v>6.5383149065955104E-2</v>
      </c>
      <c r="ER120" s="139">
        <f t="shared" si="615"/>
        <v>6.3935110633983383E-2</v>
      </c>
      <c r="ES120" s="1182"/>
      <c r="ET120" s="1182"/>
      <c r="EU120" s="1182"/>
      <c r="EX120" s="241" t="s">
        <v>563</v>
      </c>
      <c r="EY120" s="1225">
        <f t="shared" si="616"/>
        <v>6.919076610857422E-2</v>
      </c>
      <c r="EZ120" s="1186">
        <v>6.811263318112637E-2</v>
      </c>
      <c r="FA120" s="1186"/>
      <c r="FB120" s="1186">
        <f t="shared" si="617"/>
        <v>5.0639658848613989E-2</v>
      </c>
      <c r="FC120" s="1239"/>
      <c r="FD120" s="1182"/>
      <c r="FE120"/>
      <c r="FF120"/>
      <c r="FG120"/>
      <c r="FH120"/>
      <c r="FI120"/>
      <c r="FJ120"/>
    </row>
    <row r="121" spans="1:166" s="1064" customFormat="1" ht="11.85" customHeight="1" x14ac:dyDescent="0.2">
      <c r="A121" s="1236" t="s">
        <v>616</v>
      </c>
      <c r="B121" s="1189"/>
      <c r="C121" s="1180"/>
      <c r="D121" s="1180"/>
      <c r="E121" s="1180"/>
      <c r="F121" s="1180"/>
      <c r="G121" s="1189"/>
      <c r="H121" s="1180"/>
      <c r="I121" s="1180"/>
      <c r="J121" s="1180"/>
      <c r="K121" s="1180"/>
      <c r="L121" s="1189"/>
      <c r="M121" s="1180"/>
      <c r="N121" s="1180"/>
      <c r="O121" s="1180"/>
      <c r="P121" s="1180"/>
      <c r="Q121" s="1189"/>
      <c r="R121" s="1180"/>
      <c r="S121" s="1180"/>
      <c r="T121" s="1180"/>
      <c r="U121" s="1180"/>
      <c r="V121" s="1189"/>
      <c r="W121" s="1180"/>
      <c r="X121" s="1180"/>
      <c r="Y121" s="1180"/>
      <c r="Z121" s="1180"/>
      <c r="AA121" s="1189"/>
      <c r="AB121" s="1180"/>
      <c r="AC121" s="1180"/>
      <c r="AD121" s="1180"/>
      <c r="AE121" s="1180"/>
      <c r="AF121" s="1189"/>
      <c r="AG121" s="1180"/>
      <c r="AH121" s="1180"/>
      <c r="AI121" s="1180"/>
      <c r="AJ121" s="1180"/>
      <c r="AK121" s="1189"/>
      <c r="AL121" s="1180"/>
      <c r="AM121" s="1180"/>
      <c r="AN121" s="1180"/>
      <c r="AO121" s="1180"/>
      <c r="AP121" s="1189"/>
      <c r="AQ121" s="1180"/>
      <c r="AR121" s="1180"/>
      <c r="AS121" s="1180"/>
      <c r="AT121" s="1180"/>
      <c r="AU121" s="1189"/>
      <c r="AV121" s="1181"/>
      <c r="AW121" s="1184">
        <v>3596</v>
      </c>
      <c r="AX121" s="1184">
        <v>3627</v>
      </c>
      <c r="AY121" s="1184">
        <v>3703</v>
      </c>
      <c r="AZ121" s="1184">
        <v>3750</v>
      </c>
      <c r="BA121" s="1189">
        <v>3750</v>
      </c>
      <c r="BB121" s="1184">
        <v>3782</v>
      </c>
      <c r="BC121" s="1184">
        <v>3811</v>
      </c>
      <c r="BD121" s="1184">
        <v>3871</v>
      </c>
      <c r="BE121" s="1184">
        <v>4014</v>
      </c>
      <c r="BF121" s="1189">
        <v>4014</v>
      </c>
      <c r="BG121" s="1184">
        <v>4042</v>
      </c>
      <c r="BH121" s="1184">
        <v>4071</v>
      </c>
      <c r="BI121" s="1184">
        <v>4138</v>
      </c>
      <c r="BJ121" s="1184">
        <v>4264</v>
      </c>
      <c r="BK121" s="1189">
        <v>4264</v>
      </c>
      <c r="BL121" s="1184">
        <v>4288</v>
      </c>
      <c r="BM121" s="1184">
        <v>4304</v>
      </c>
      <c r="BN121" s="1184">
        <v>4350</v>
      </c>
      <c r="BO121" s="1184">
        <v>4627</v>
      </c>
      <c r="BP121" s="1189">
        <v>4627</v>
      </c>
      <c r="BQ121" s="1184">
        <v>4524</v>
      </c>
      <c r="BR121" s="1184">
        <v>4546</v>
      </c>
      <c r="BS121" s="1184">
        <v>4590</v>
      </c>
      <c r="BT121" s="1184">
        <v>4436</v>
      </c>
      <c r="BU121" s="1189">
        <v>4258</v>
      </c>
      <c r="BV121" s="1290">
        <v>4299</v>
      </c>
      <c r="BW121" s="1290">
        <v>4322</v>
      </c>
      <c r="BX121" s="1290">
        <v>4319</v>
      </c>
      <c r="BY121" s="1290">
        <v>4413</v>
      </c>
      <c r="BZ121" s="1189">
        <v>4413</v>
      </c>
      <c r="CA121" s="1184">
        <v>4299</v>
      </c>
      <c r="CB121" s="1184">
        <v>4322</v>
      </c>
      <c r="CC121" s="1184">
        <v>4319</v>
      </c>
      <c r="CD121" s="1184">
        <v>4413</v>
      </c>
      <c r="CE121" s="1189">
        <v>4413</v>
      </c>
      <c r="CF121" s="1184">
        <v>4438</v>
      </c>
      <c r="CG121" s="1184">
        <v>4464</v>
      </c>
      <c r="CH121" s="1184">
        <v>4492</v>
      </c>
      <c r="CI121" s="1184">
        <v>4613</v>
      </c>
      <c r="CJ121" s="1189">
        <v>4613</v>
      </c>
      <c r="CK121" s="1184">
        <v>4644</v>
      </c>
      <c r="CL121" s="1184">
        <v>4655</v>
      </c>
      <c r="CM121" s="1184">
        <v>4680</v>
      </c>
      <c r="CN121" s="1184">
        <v>4748</v>
      </c>
      <c r="CO121" s="1189">
        <v>4748</v>
      </c>
      <c r="CP121" s="1184">
        <v>4774</v>
      </c>
      <c r="CQ121" s="1184">
        <v>4792</v>
      </c>
      <c r="CR121" s="1184">
        <v>4825</v>
      </c>
      <c r="CS121" s="1184">
        <v>4880</v>
      </c>
      <c r="CT121" s="1189">
        <v>4880</v>
      </c>
      <c r="CU121" s="1184">
        <v>4905</v>
      </c>
      <c r="CV121" s="1184">
        <v>4930</v>
      </c>
      <c r="CW121" s="1184">
        <v>4970</v>
      </c>
      <c r="CX121" s="1184">
        <v>5015</v>
      </c>
      <c r="CY121" s="1189">
        <v>5015</v>
      </c>
      <c r="CZ121" s="1184">
        <v>5040</v>
      </c>
      <c r="DA121" s="1184">
        <v>5065</v>
      </c>
      <c r="DB121" s="1184">
        <v>5110</v>
      </c>
      <c r="DC121" s="1184">
        <v>5170</v>
      </c>
      <c r="DD121" s="1189">
        <v>5170</v>
      </c>
      <c r="DE121" s="1184">
        <v>5195</v>
      </c>
      <c r="DF121" s="1184">
        <v>5220</v>
      </c>
      <c r="DG121" s="1184">
        <v>5270</v>
      </c>
      <c r="DH121" s="1184">
        <v>5340</v>
      </c>
      <c r="DI121" s="1184">
        <v>5340</v>
      </c>
      <c r="DJ121" s="1184">
        <v>5375</v>
      </c>
      <c r="DK121" s="1184">
        <v>5415</v>
      </c>
      <c r="DL121" s="1184">
        <v>5470</v>
      </c>
      <c r="DM121" s="1184">
        <v>5545</v>
      </c>
      <c r="DN121" s="1189">
        <v>5545</v>
      </c>
      <c r="DO121" s="1184">
        <v>5580</v>
      </c>
      <c r="DP121" s="1184">
        <v>5620</v>
      </c>
      <c r="DQ121" s="1184">
        <v>5675</v>
      </c>
      <c r="DR121" s="1184">
        <v>5750</v>
      </c>
      <c r="DS121" s="1189">
        <v>5750</v>
      </c>
      <c r="DT121" s="1184">
        <v>5785</v>
      </c>
      <c r="DU121" s="1184">
        <v>5825</v>
      </c>
      <c r="DV121" s="1184">
        <v>5880</v>
      </c>
      <c r="DW121" s="1184">
        <v>5955</v>
      </c>
      <c r="DX121" s="1189">
        <v>5955</v>
      </c>
      <c r="DY121" s="1184">
        <v>5990</v>
      </c>
      <c r="DZ121" s="1184">
        <v>6030</v>
      </c>
      <c r="EA121" s="1184">
        <v>6085</v>
      </c>
      <c r="EB121" s="1184">
        <v>6160</v>
      </c>
      <c r="EC121" s="1189">
        <v>6160</v>
      </c>
      <c r="ED121" s="1182"/>
      <c r="EE121" s="1183"/>
      <c r="EF121" s="1180"/>
      <c r="EG121" s="1180"/>
      <c r="EH121" s="1180"/>
      <c r="EI121" s="1180"/>
      <c r="EJ121" s="1180"/>
      <c r="EK121" s="1180"/>
      <c r="EL121" s="1180"/>
      <c r="EM121" s="1180"/>
      <c r="EN121" s="1264">
        <f t="shared" si="612"/>
        <v>4492</v>
      </c>
      <c r="EO121" s="1264">
        <f t="shared" si="612"/>
        <v>4613</v>
      </c>
      <c r="EP121" s="1264">
        <f t="shared" si="613"/>
        <v>4613</v>
      </c>
      <c r="EQ121" s="1264">
        <f t="shared" si="614"/>
        <v>4748</v>
      </c>
      <c r="ER121" s="1264">
        <f t="shared" si="615"/>
        <v>4880</v>
      </c>
      <c r="ES121" s="1182"/>
      <c r="ET121" s="1182"/>
      <c r="EU121" s="1182"/>
      <c r="EX121" s="1236" t="s">
        <v>616</v>
      </c>
      <c r="EY121" s="1226">
        <f t="shared" si="616"/>
        <v>4774</v>
      </c>
      <c r="EZ121" s="1184">
        <v>4773</v>
      </c>
      <c r="FA121" s="1184"/>
      <c r="FB121" s="1184">
        <f t="shared" si="617"/>
        <v>4644</v>
      </c>
      <c r="FC121" s="1240"/>
      <c r="FD121" s="1182"/>
      <c r="FE121"/>
      <c r="FF121"/>
      <c r="FG121"/>
      <c r="FH121"/>
      <c r="FI121"/>
      <c r="FJ121"/>
    </row>
    <row r="122" spans="1:166" s="1064" customFormat="1" ht="11.85" customHeight="1" x14ac:dyDescent="0.2">
      <c r="A122" s="243" t="s">
        <v>563</v>
      </c>
      <c r="B122" s="1188"/>
      <c r="C122" s="1180"/>
      <c r="D122" s="1180"/>
      <c r="E122" s="1180"/>
      <c r="F122" s="1180"/>
      <c r="G122" s="1188"/>
      <c r="H122" s="1180"/>
      <c r="I122" s="1180"/>
      <c r="J122" s="1180"/>
      <c r="K122" s="1180"/>
      <c r="L122" s="1188"/>
      <c r="M122" s="1180"/>
      <c r="N122" s="1180"/>
      <c r="O122" s="1180"/>
      <c r="P122" s="1180"/>
      <c r="Q122" s="1188"/>
      <c r="R122" s="1180"/>
      <c r="S122" s="1180"/>
      <c r="T122" s="1180"/>
      <c r="U122" s="1180"/>
      <c r="V122" s="1188"/>
      <c r="W122" s="1180"/>
      <c r="X122" s="1180"/>
      <c r="Y122" s="1180"/>
      <c r="Z122" s="1180"/>
      <c r="AA122" s="1188"/>
      <c r="AB122" s="1180"/>
      <c r="AC122" s="1180"/>
      <c r="AD122" s="1180"/>
      <c r="AE122" s="1180"/>
      <c r="AF122" s="1188"/>
      <c r="AG122" s="1180"/>
      <c r="AH122" s="1180"/>
      <c r="AI122" s="1180"/>
      <c r="AJ122" s="1180"/>
      <c r="AK122" s="1188"/>
      <c r="AL122" s="1180"/>
      <c r="AM122" s="1180"/>
      <c r="AN122" s="1180"/>
      <c r="AO122" s="1180"/>
      <c r="AP122" s="1188"/>
      <c r="AQ122" s="1180"/>
      <c r="AR122" s="1180"/>
      <c r="AS122" s="1180"/>
      <c r="AT122" s="1180"/>
      <c r="AU122" s="1188"/>
      <c r="AV122" s="1181"/>
      <c r="AW122" s="1180"/>
      <c r="AX122" s="1180"/>
      <c r="AY122" s="1180"/>
      <c r="AZ122" s="1180"/>
      <c r="BA122" s="1188"/>
      <c r="BB122" s="1186">
        <f>BB121/AW121-1</f>
        <v>5.1724137931034475E-2</v>
      </c>
      <c r="BC122" s="1186">
        <f t="shared" ref="BC122" si="698">BC121/AX121-1</f>
        <v>5.0730631375792701E-2</v>
      </c>
      <c r="BD122" s="1186">
        <f t="shared" ref="BD122" si="699">BD121/AY121-1</f>
        <v>4.5368620037807172E-2</v>
      </c>
      <c r="BE122" s="1186">
        <f t="shared" ref="BE122:BF122" si="700">BE121/AZ121-1</f>
        <v>7.0400000000000018E-2</v>
      </c>
      <c r="BF122" s="1188">
        <f t="shared" si="700"/>
        <v>7.0400000000000018E-2</v>
      </c>
      <c r="BG122" s="1186">
        <f t="shared" ref="BG122" si="701">BG121/BB121-1</f>
        <v>6.874669487043894E-2</v>
      </c>
      <c r="BH122" s="1186">
        <f t="shared" ref="BH122" si="702">BH121/BC121-1</f>
        <v>6.8223563369194329E-2</v>
      </c>
      <c r="BI122" s="1186">
        <f t="shared" ref="BI122" si="703">BI121/BD121-1</f>
        <v>6.8974425213123247E-2</v>
      </c>
      <c r="BJ122" s="1186">
        <f t="shared" ref="BJ122:BK122" si="704">BJ121/BE121-1</f>
        <v>6.2282012954658628E-2</v>
      </c>
      <c r="BK122" s="1188">
        <f t="shared" si="704"/>
        <v>6.2282012954658628E-2</v>
      </c>
      <c r="BL122" s="1186">
        <f t="shared" ref="BL122" si="705">BL121/BG121-1</f>
        <v>6.0860959920831181E-2</v>
      </c>
      <c r="BM122" s="1186">
        <f t="shared" ref="BM122" si="706">BM121/BH121-1</f>
        <v>5.723409481699826E-2</v>
      </c>
      <c r="BN122" s="1186">
        <f t="shared" ref="BN122" si="707">BN121/BI121-1</f>
        <v>5.1232479458675595E-2</v>
      </c>
      <c r="BO122" s="1186">
        <f t="shared" ref="BO122:BP122" si="708">BO121/BJ121-1</f>
        <v>8.5131332082551525E-2</v>
      </c>
      <c r="BP122" s="1188">
        <f t="shared" si="708"/>
        <v>8.5131332082551525E-2</v>
      </c>
      <c r="BQ122" s="1186">
        <f t="shared" ref="BQ122" si="709">BQ121/BL121-1</f>
        <v>5.503731343283591E-2</v>
      </c>
      <c r="BR122" s="1186">
        <f t="shared" ref="BR122" si="710">BR121/BM121-1</f>
        <v>5.6226765799256562E-2</v>
      </c>
      <c r="BS122" s="1186">
        <f t="shared" ref="BS122" si="711">BS121/BN121-1</f>
        <v>5.5172413793103559E-2</v>
      </c>
      <c r="BT122" s="1186">
        <f t="shared" ref="BT122:BU122" si="712">BT121/BO121-1</f>
        <v>-4.1279446725740243E-2</v>
      </c>
      <c r="BU122" s="1188">
        <f t="shared" si="712"/>
        <v>-7.9749297601037439E-2</v>
      </c>
      <c r="BV122" s="1291">
        <f t="shared" ref="BV122" si="713">BV121/BQ121-1</f>
        <v>-4.9734748010610064E-2</v>
      </c>
      <c r="BW122" s="1291">
        <f t="shared" ref="BW122" si="714">BW121/BR121-1</f>
        <v>-4.9274087109546838E-2</v>
      </c>
      <c r="BX122" s="1291">
        <f t="shared" ref="BX122" si="715">BX121/BS121-1</f>
        <v>-5.9041394335512032E-2</v>
      </c>
      <c r="BY122" s="1291">
        <f t="shared" ref="BY122" si="716">BY121/BT121-1</f>
        <v>-5.1848512173129357E-3</v>
      </c>
      <c r="BZ122" s="1188">
        <f t="shared" ref="BZ122" si="717">BZ121/BU121-1</f>
        <v>3.6402066697980295E-2</v>
      </c>
      <c r="CA122" s="1186">
        <f t="shared" ref="CA122" si="718">CA121/BQ121-1</f>
        <v>-4.9734748010610064E-2</v>
      </c>
      <c r="CB122" s="1186">
        <f t="shared" ref="CB122" si="719">CB121/BR121-1</f>
        <v>-4.9274087109546838E-2</v>
      </c>
      <c r="CC122" s="1186">
        <f t="shared" ref="CC122" si="720">CC121/BS121-1</f>
        <v>-5.9041394335512032E-2</v>
      </c>
      <c r="CD122" s="1186">
        <f>CD121/BT121-1</f>
        <v>-5.1848512173129357E-3</v>
      </c>
      <c r="CE122" s="1188">
        <f>CE121/BU121-1</f>
        <v>3.6402066697980295E-2</v>
      </c>
      <c r="CF122" s="1186">
        <f t="shared" ref="CF122" si="721">CF121/CA121-1</f>
        <v>3.2333100721097852E-2</v>
      </c>
      <c r="CG122" s="1186">
        <f t="shared" ref="CG122" si="722">CG121/CB121-1</f>
        <v>3.2855159648310872E-2</v>
      </c>
      <c r="CH122" s="1186">
        <f t="shared" ref="CH122" si="723">CH121/CC121-1</f>
        <v>4.0055568418615461E-2</v>
      </c>
      <c r="CI122" s="1186">
        <f t="shared" ref="CI122:CJ122" si="724">CI121/CD121-1</f>
        <v>4.5320643553138362E-2</v>
      </c>
      <c r="CJ122" s="1188">
        <f t="shared" si="724"/>
        <v>4.5320643553138362E-2</v>
      </c>
      <c r="CK122" s="1186">
        <f t="shared" ref="CK122" si="725">CK121/CF121-1</f>
        <v>4.6417305092383954E-2</v>
      </c>
      <c r="CL122" s="1186">
        <f t="shared" ref="CL122" si="726">CL121/CG121-1</f>
        <v>4.2786738351254572E-2</v>
      </c>
      <c r="CM122" s="1186">
        <f t="shared" ref="CM122" si="727">CM121/CH121-1</f>
        <v>4.1852181656277798E-2</v>
      </c>
      <c r="CN122" s="1186">
        <f t="shared" ref="CN122:CO122" si="728">CN121/CI121-1</f>
        <v>2.9265120312161219E-2</v>
      </c>
      <c r="CO122" s="1188">
        <f t="shared" si="728"/>
        <v>2.9265120312161219E-2</v>
      </c>
      <c r="CP122" s="1186">
        <f t="shared" ref="CP122" si="729">CP121/CK121-1</f>
        <v>2.7993109388458226E-2</v>
      </c>
      <c r="CQ122" s="1186">
        <f t="shared" ref="CQ122" si="730">CQ121/CL121-1</f>
        <v>2.9430719656283522E-2</v>
      </c>
      <c r="CR122" s="1186">
        <f t="shared" ref="CR122" si="731">CR121/CM121-1</f>
        <v>3.0982905982905873E-2</v>
      </c>
      <c r="CS122" s="1186">
        <f t="shared" ref="CS122:CT122" si="732">CS121/CN121-1</f>
        <v>2.7801179443976309E-2</v>
      </c>
      <c r="CT122" s="1188">
        <f t="shared" si="732"/>
        <v>2.7801179443976309E-2</v>
      </c>
      <c r="CU122" s="1186">
        <f t="shared" ref="CU122" si="733">CU121/CP121-1</f>
        <v>2.7440301633850028E-2</v>
      </c>
      <c r="CV122" s="1186">
        <f t="shared" ref="CV122" si="734">CV121/CQ121-1</f>
        <v>2.8797996661101832E-2</v>
      </c>
      <c r="CW122" s="1186">
        <f t="shared" ref="CW122" si="735">CW121/CR121-1</f>
        <v>3.0051813471502653E-2</v>
      </c>
      <c r="CX122" s="1186">
        <f t="shared" ref="CX122:CY122" si="736">CX121/CS121-1</f>
        <v>2.7663934426229497E-2</v>
      </c>
      <c r="CY122" s="1188">
        <f t="shared" si="736"/>
        <v>2.7663934426229497E-2</v>
      </c>
      <c r="CZ122" s="1186">
        <f t="shared" ref="CZ122" si="737">CZ121/CU121-1</f>
        <v>2.7522935779816571E-2</v>
      </c>
      <c r="DA122" s="1186">
        <f t="shared" ref="DA122" si="738">DA121/CV121-1</f>
        <v>2.738336713995948E-2</v>
      </c>
      <c r="DB122" s="1186">
        <f t="shared" ref="DB122" si="739">DB121/CW121-1</f>
        <v>2.8169014084507005E-2</v>
      </c>
      <c r="DC122" s="1186">
        <f t="shared" ref="DC122:DD122" si="740">DC121/CX121-1</f>
        <v>3.0907278165503538E-2</v>
      </c>
      <c r="DD122" s="1188">
        <f t="shared" si="740"/>
        <v>3.0907278165503538E-2</v>
      </c>
      <c r="DE122" s="1186">
        <f t="shared" ref="DE122" si="741">DE121/CZ121-1</f>
        <v>3.0753968253968145E-2</v>
      </c>
      <c r="DF122" s="1186">
        <f t="shared" ref="DF122" si="742">DF121/DA121-1</f>
        <v>3.0602171767028619E-2</v>
      </c>
      <c r="DG122" s="1186">
        <f t="shared" ref="DG122" si="743">DG121/DB121-1</f>
        <v>3.131115459882583E-2</v>
      </c>
      <c r="DH122" s="1186">
        <f t="shared" ref="DH122" si="744">DH121/DC121-1</f>
        <v>3.2882011605415817E-2</v>
      </c>
      <c r="DI122" s="1186">
        <f t="shared" ref="DI122" si="745">DI121/DD121-1</f>
        <v>3.2882011605415817E-2</v>
      </c>
      <c r="DJ122" s="1186">
        <f t="shared" ref="DJ122" si="746">DJ121/DE121-1</f>
        <v>3.464870067372483E-2</v>
      </c>
      <c r="DK122" s="1186">
        <f t="shared" ref="DK122" si="747">DK121/DF121-1</f>
        <v>3.7356321839080442E-2</v>
      </c>
      <c r="DL122" s="1186">
        <f t="shared" ref="DL122" si="748">DL121/DG121-1</f>
        <v>3.7950664136622292E-2</v>
      </c>
      <c r="DM122" s="1186">
        <f t="shared" ref="DM122:DN122" si="749">DM121/DH121-1</f>
        <v>3.838951310861427E-2</v>
      </c>
      <c r="DN122" s="1188">
        <f t="shared" si="749"/>
        <v>3.838951310861427E-2</v>
      </c>
      <c r="DO122" s="1186">
        <f t="shared" ref="DO122" si="750">DO121/DJ121-1</f>
        <v>3.8139534883721016E-2</v>
      </c>
      <c r="DP122" s="1186">
        <f t="shared" ref="DP122" si="751">DP121/DK121-1</f>
        <v>3.7857802400738771E-2</v>
      </c>
      <c r="DQ122" s="1186">
        <f t="shared" ref="DQ122" si="752">DQ121/DL121-1</f>
        <v>3.7477148080438782E-2</v>
      </c>
      <c r="DR122" s="1186">
        <f t="shared" ref="DR122:DS122" si="753">DR121/DM121-1</f>
        <v>3.6970243462578933E-2</v>
      </c>
      <c r="DS122" s="1188">
        <f t="shared" si="753"/>
        <v>3.6970243462578933E-2</v>
      </c>
      <c r="DT122" s="1186">
        <f t="shared" ref="DT122" si="754">DT121/DO121-1</f>
        <v>3.6738351254480328E-2</v>
      </c>
      <c r="DU122" s="1186">
        <f t="shared" ref="DU122" si="755">DU121/DP121-1</f>
        <v>3.6476868327402157E-2</v>
      </c>
      <c r="DV122" s="1186">
        <f t="shared" ref="DV122" si="756">DV121/DQ121-1</f>
        <v>3.6123348017621071E-2</v>
      </c>
      <c r="DW122" s="1186">
        <f t="shared" ref="DW122:DX122" si="757">DW121/DR121-1</f>
        <v>3.5652173913043539E-2</v>
      </c>
      <c r="DX122" s="1188">
        <f t="shared" si="757"/>
        <v>3.5652173913043539E-2</v>
      </c>
      <c r="DY122" s="1186">
        <f t="shared" ref="DY122" si="758">DY121/DT121-1</f>
        <v>3.5436473638720933E-2</v>
      </c>
      <c r="DZ122" s="1186">
        <f t="shared" ref="DZ122" si="759">DZ121/DU121-1</f>
        <v>3.519313304721039E-2</v>
      </c>
      <c r="EA122" s="1186">
        <f t="shared" ref="EA122" si="760">EA121/DV121-1</f>
        <v>3.4863945578231359E-2</v>
      </c>
      <c r="EB122" s="1186">
        <f t="shared" ref="EB122" si="761">EB121/DW121-1</f>
        <v>3.4424853064651595E-2</v>
      </c>
      <c r="EC122" s="1188">
        <f t="shared" ref="EC122" si="762">EC121/DX121-1</f>
        <v>3.4424853064651595E-2</v>
      </c>
      <c r="ED122" s="1182"/>
      <c r="EE122" s="1183"/>
      <c r="EF122" s="1180"/>
      <c r="EG122" s="1180"/>
      <c r="EH122" s="1180"/>
      <c r="EI122" s="1180"/>
      <c r="EJ122" s="1180"/>
      <c r="EK122" s="1180"/>
      <c r="EL122" s="1180"/>
      <c r="EM122" s="1180"/>
      <c r="EN122" s="116">
        <f t="shared" si="612"/>
        <v>4.0055568418615461E-2</v>
      </c>
      <c r="EO122" s="116">
        <f t="shared" si="612"/>
        <v>4.5320643553138362E-2</v>
      </c>
      <c r="EP122" s="116">
        <f t="shared" si="613"/>
        <v>4.5320643553138362E-2</v>
      </c>
      <c r="EQ122" s="116">
        <f t="shared" si="614"/>
        <v>2.9265120312161219E-2</v>
      </c>
      <c r="ER122" s="116">
        <f t="shared" si="615"/>
        <v>2.7801179443976309E-2</v>
      </c>
      <c r="ES122" s="1182"/>
      <c r="ET122" s="1182"/>
      <c r="EU122" s="1182"/>
      <c r="EX122" s="241" t="s">
        <v>563</v>
      </c>
      <c r="EY122" s="1225">
        <f t="shared" si="616"/>
        <v>2.7993109388458226E-2</v>
      </c>
      <c r="EZ122" s="1186">
        <v>2.7777777777777679E-2</v>
      </c>
      <c r="FA122" s="1186"/>
      <c r="FB122" s="1186">
        <f t="shared" si="617"/>
        <v>4.6417305092383954E-2</v>
      </c>
      <c r="FC122" s="1239"/>
      <c r="FD122" s="1182"/>
      <c r="FE122"/>
      <c r="FF122"/>
      <c r="FG122"/>
      <c r="FH122"/>
      <c r="FI122"/>
      <c r="FJ122"/>
    </row>
    <row r="123" spans="1:166" s="1064" customFormat="1" ht="11.85" customHeight="1" x14ac:dyDescent="0.2">
      <c r="A123" s="1236" t="s">
        <v>799</v>
      </c>
      <c r="B123" s="1189"/>
      <c r="C123" s="1180"/>
      <c r="D123" s="1180"/>
      <c r="E123" s="1180"/>
      <c r="F123" s="1180"/>
      <c r="G123" s="1189"/>
      <c r="H123" s="1180"/>
      <c r="I123" s="1180"/>
      <c r="J123" s="1180"/>
      <c r="K123" s="1180"/>
      <c r="L123" s="1189"/>
      <c r="M123" s="1180"/>
      <c r="N123" s="1180"/>
      <c r="O123" s="1180"/>
      <c r="P123" s="1180"/>
      <c r="Q123" s="1189"/>
      <c r="R123" s="1180"/>
      <c r="S123" s="1180"/>
      <c r="T123" s="1180"/>
      <c r="U123" s="1180"/>
      <c r="V123" s="1189"/>
      <c r="W123" s="1180"/>
      <c r="X123" s="1180"/>
      <c r="Y123" s="1180"/>
      <c r="Z123" s="1180"/>
      <c r="AA123" s="1189"/>
      <c r="AB123" s="1180"/>
      <c r="AC123" s="1180"/>
      <c r="AD123" s="1180"/>
      <c r="AE123" s="1180"/>
      <c r="AF123" s="1189"/>
      <c r="AG123" s="1180"/>
      <c r="AH123" s="1180"/>
      <c r="AI123" s="1180"/>
      <c r="AJ123" s="1180"/>
      <c r="AK123" s="1189"/>
      <c r="AL123" s="1180"/>
      <c r="AM123" s="1180"/>
      <c r="AN123" s="1180"/>
      <c r="AO123" s="1180"/>
      <c r="AP123" s="1189"/>
      <c r="AQ123" s="1180"/>
      <c r="AR123" s="1180"/>
      <c r="AS123" s="1180"/>
      <c r="AT123" s="1180"/>
      <c r="AU123" s="1189"/>
      <c r="AV123" s="1181"/>
      <c r="AW123" s="1184">
        <v>0</v>
      </c>
      <c r="AX123" s="1184">
        <v>0</v>
      </c>
      <c r="AY123" s="1184">
        <v>0</v>
      </c>
      <c r="AZ123" s="1184">
        <v>0</v>
      </c>
      <c r="BA123" s="1189">
        <v>0</v>
      </c>
      <c r="BB123" s="1184">
        <v>0</v>
      </c>
      <c r="BC123" s="1184">
        <v>0</v>
      </c>
      <c r="BD123" s="1184">
        <v>0</v>
      </c>
      <c r="BE123" s="1184">
        <v>0</v>
      </c>
      <c r="BF123" s="1189">
        <v>0</v>
      </c>
      <c r="BG123" s="1184">
        <v>0</v>
      </c>
      <c r="BH123" s="1184">
        <v>0</v>
      </c>
      <c r="BI123" s="1184">
        <v>0</v>
      </c>
      <c r="BJ123" s="1184">
        <v>0</v>
      </c>
      <c r="BK123" s="1189">
        <v>0</v>
      </c>
      <c r="BL123" s="1184">
        <v>0</v>
      </c>
      <c r="BM123" s="1184">
        <v>0</v>
      </c>
      <c r="BN123" s="1184">
        <v>0</v>
      </c>
      <c r="BO123" s="1184">
        <v>0</v>
      </c>
      <c r="BP123" s="1189">
        <v>0</v>
      </c>
      <c r="BQ123" s="1184">
        <v>0</v>
      </c>
      <c r="BR123" s="1184">
        <v>0</v>
      </c>
      <c r="BS123" s="1184">
        <v>0</v>
      </c>
      <c r="BT123" s="1184">
        <v>0</v>
      </c>
      <c r="BU123" s="1189">
        <v>0</v>
      </c>
      <c r="BV123" s="1290">
        <v>0</v>
      </c>
      <c r="BW123" s="1290">
        <v>0</v>
      </c>
      <c r="BX123" s="1290">
        <v>0</v>
      </c>
      <c r="BY123" s="1290">
        <v>0</v>
      </c>
      <c r="BZ123" s="1189">
        <v>0</v>
      </c>
      <c r="CA123" s="1184">
        <v>0</v>
      </c>
      <c r="CB123" s="1184">
        <v>0</v>
      </c>
      <c r="CC123" s="1184">
        <v>0</v>
      </c>
      <c r="CD123" s="1184">
        <v>0</v>
      </c>
      <c r="CE123" s="1189">
        <v>0</v>
      </c>
      <c r="CF123" s="1184">
        <v>0</v>
      </c>
      <c r="CG123" s="1184">
        <v>0</v>
      </c>
      <c r="CH123" s="1184">
        <v>0</v>
      </c>
      <c r="CI123" s="1184">
        <v>2725</v>
      </c>
      <c r="CJ123" s="1189">
        <v>2725</v>
      </c>
      <c r="CK123" s="1184">
        <v>2743</v>
      </c>
      <c r="CL123" s="1184">
        <v>2768</v>
      </c>
      <c r="CM123" s="1184">
        <v>2809</v>
      </c>
      <c r="CN123" s="1184">
        <v>2892</v>
      </c>
      <c r="CO123" s="1189">
        <v>2892</v>
      </c>
      <c r="CP123" s="1184">
        <v>2926</v>
      </c>
      <c r="CQ123" s="1184">
        <v>2946</v>
      </c>
      <c r="CR123" s="1184">
        <v>2994</v>
      </c>
      <c r="CS123" s="1184">
        <v>3082</v>
      </c>
      <c r="CT123" s="1189">
        <v>3082</v>
      </c>
      <c r="CU123" s="1184">
        <v>3119</v>
      </c>
      <c r="CV123" s="1184">
        <v>3168</v>
      </c>
      <c r="CW123" s="1184">
        <v>3224</v>
      </c>
      <c r="CX123" s="1184">
        <v>3323</v>
      </c>
      <c r="CY123" s="1189">
        <v>3323</v>
      </c>
      <c r="CZ123" s="1184">
        <v>3366</v>
      </c>
      <c r="DA123" s="1184">
        <v>3421</v>
      </c>
      <c r="DB123" s="1184">
        <v>3488</v>
      </c>
      <c r="DC123" s="1184">
        <v>3598</v>
      </c>
      <c r="DD123" s="1189">
        <v>3598</v>
      </c>
      <c r="DE123" s="1184">
        <v>3647</v>
      </c>
      <c r="DF123" s="1184">
        <v>3708</v>
      </c>
      <c r="DG123" s="1184">
        <v>3781</v>
      </c>
      <c r="DH123" s="1184">
        <v>3902</v>
      </c>
      <c r="DI123" s="1184">
        <v>3902</v>
      </c>
      <c r="DJ123" s="1184">
        <v>3962</v>
      </c>
      <c r="DK123" s="1184">
        <v>4034</v>
      </c>
      <c r="DL123" s="1184">
        <v>4118</v>
      </c>
      <c r="DM123" s="1184">
        <v>4240</v>
      </c>
      <c r="DN123" s="1189">
        <v>4240</v>
      </c>
      <c r="DO123" s="1184">
        <v>4311</v>
      </c>
      <c r="DP123" s="1184">
        <v>4394</v>
      </c>
      <c r="DQ123" s="1184">
        <v>4479</v>
      </c>
      <c r="DR123" s="1184">
        <v>4602</v>
      </c>
      <c r="DS123" s="1189">
        <v>4602</v>
      </c>
      <c r="DT123" s="1184">
        <v>4674</v>
      </c>
      <c r="DU123" s="1184">
        <v>4758</v>
      </c>
      <c r="DV123" s="1184">
        <v>4844</v>
      </c>
      <c r="DW123" s="1184">
        <v>4968</v>
      </c>
      <c r="DX123" s="1189">
        <v>4968</v>
      </c>
      <c r="DY123" s="1184">
        <v>5041</v>
      </c>
      <c r="DZ123" s="1184">
        <v>5126</v>
      </c>
      <c r="EA123" s="1184">
        <v>5213</v>
      </c>
      <c r="EB123" s="1184">
        <v>5338</v>
      </c>
      <c r="EC123" s="1189">
        <v>5338</v>
      </c>
      <c r="ED123" s="1182"/>
      <c r="EE123" s="1183"/>
      <c r="EF123" s="1180"/>
      <c r="EG123" s="1180"/>
      <c r="EH123" s="1180"/>
      <c r="EI123" s="1180"/>
      <c r="EJ123" s="1180"/>
      <c r="EK123" s="1180"/>
      <c r="EL123" s="1180"/>
      <c r="EM123" s="1180"/>
      <c r="EN123" s="1264">
        <f t="shared" ref="EN123:EN124" si="763">CH123</f>
        <v>0</v>
      </c>
      <c r="EO123" s="1264">
        <f t="shared" ref="EO123:EO124" si="764">CI123</f>
        <v>2725</v>
      </c>
      <c r="EP123" s="1264">
        <f t="shared" ref="EP123:EP124" si="765">CJ123</f>
        <v>2725</v>
      </c>
      <c r="EQ123" s="1264">
        <f t="shared" ref="EQ123:EQ124" si="766">CO123</f>
        <v>2892</v>
      </c>
      <c r="ER123" s="1264">
        <f t="shared" ref="ER123:ER124" si="767">CT123</f>
        <v>3082</v>
      </c>
      <c r="ES123" s="1182"/>
      <c r="ET123" s="1182"/>
      <c r="EU123" s="1182"/>
      <c r="EX123" s="1236" t="s">
        <v>616</v>
      </c>
      <c r="EY123" s="1226">
        <f t="shared" si="616"/>
        <v>2926</v>
      </c>
      <c r="EZ123" s="1184">
        <v>2900</v>
      </c>
      <c r="FA123" s="1184"/>
      <c r="FB123" s="1184">
        <f t="shared" si="617"/>
        <v>2743</v>
      </c>
      <c r="FC123" s="1240"/>
      <c r="FD123" s="1182"/>
      <c r="FE123"/>
      <c r="FF123"/>
      <c r="FG123"/>
      <c r="FH123"/>
      <c r="FI123"/>
      <c r="FJ123"/>
    </row>
    <row r="124" spans="1:166" s="1064" customFormat="1" ht="11.85" customHeight="1" x14ac:dyDescent="0.2">
      <c r="A124" s="243" t="s">
        <v>563</v>
      </c>
      <c r="B124" s="1188"/>
      <c r="C124" s="1180"/>
      <c r="D124" s="1180"/>
      <c r="E124" s="1180"/>
      <c r="F124" s="1180"/>
      <c r="G124" s="1188"/>
      <c r="H124" s="1180"/>
      <c r="I124" s="1180"/>
      <c r="J124" s="1180"/>
      <c r="K124" s="1180"/>
      <c r="L124" s="1188"/>
      <c r="M124" s="1180"/>
      <c r="N124" s="1180"/>
      <c r="O124" s="1180"/>
      <c r="P124" s="1180"/>
      <c r="Q124" s="1188"/>
      <c r="R124" s="1180"/>
      <c r="S124" s="1180"/>
      <c r="T124" s="1180"/>
      <c r="U124" s="1180"/>
      <c r="V124" s="1188"/>
      <c r="W124" s="1180"/>
      <c r="X124" s="1180"/>
      <c r="Y124" s="1180"/>
      <c r="Z124" s="1180"/>
      <c r="AA124" s="1188"/>
      <c r="AB124" s="1180"/>
      <c r="AC124" s="1180"/>
      <c r="AD124" s="1180"/>
      <c r="AE124" s="1180"/>
      <c r="AF124" s="1188"/>
      <c r="AG124" s="1180"/>
      <c r="AH124" s="1180"/>
      <c r="AI124" s="1180"/>
      <c r="AJ124" s="1180"/>
      <c r="AK124" s="1188"/>
      <c r="AL124" s="1180"/>
      <c r="AM124" s="1180"/>
      <c r="AN124" s="1180"/>
      <c r="AO124" s="1180"/>
      <c r="AP124" s="1188"/>
      <c r="AQ124" s="1180"/>
      <c r="AR124" s="1180"/>
      <c r="AS124" s="1180"/>
      <c r="AT124" s="1180"/>
      <c r="AU124" s="1188"/>
      <c r="AV124" s="1181"/>
      <c r="AW124" s="1180"/>
      <c r="AX124" s="1180"/>
      <c r="AY124" s="1180"/>
      <c r="AZ124" s="1180"/>
      <c r="BA124" s="1188"/>
      <c r="BB124" s="1186" t="e">
        <f>BB123/AW123-1</f>
        <v>#DIV/0!</v>
      </c>
      <c r="BC124" s="1186" t="e">
        <f t="shared" ref="BC124" si="768">BC123/AX123-1</f>
        <v>#DIV/0!</v>
      </c>
      <c r="BD124" s="1186" t="e">
        <f t="shared" ref="BD124" si="769">BD123/AY123-1</f>
        <v>#DIV/0!</v>
      </c>
      <c r="BE124" s="1186" t="e">
        <f t="shared" ref="BE124" si="770">BE123/AZ123-1</f>
        <v>#DIV/0!</v>
      </c>
      <c r="BF124" s="1188" t="e">
        <f t="shared" ref="BF124" si="771">BF123/BA123-1</f>
        <v>#DIV/0!</v>
      </c>
      <c r="BG124" s="1186" t="e">
        <f t="shared" ref="BG124" si="772">BG123/BB123-1</f>
        <v>#DIV/0!</v>
      </c>
      <c r="BH124" s="1186" t="e">
        <f t="shared" ref="BH124" si="773">BH123/BC123-1</f>
        <v>#DIV/0!</v>
      </c>
      <c r="BI124" s="1186" t="e">
        <f t="shared" ref="BI124" si="774">BI123/BD123-1</f>
        <v>#DIV/0!</v>
      </c>
      <c r="BJ124" s="1186" t="e">
        <f t="shared" ref="BJ124" si="775">BJ123/BE123-1</f>
        <v>#DIV/0!</v>
      </c>
      <c r="BK124" s="1188" t="e">
        <f t="shared" ref="BK124" si="776">BK123/BF123-1</f>
        <v>#DIV/0!</v>
      </c>
      <c r="BL124" s="1186" t="e">
        <f t="shared" ref="BL124" si="777">BL123/BG123-1</f>
        <v>#DIV/0!</v>
      </c>
      <c r="BM124" s="1186" t="e">
        <f t="shared" ref="BM124" si="778">BM123/BH123-1</f>
        <v>#DIV/0!</v>
      </c>
      <c r="BN124" s="1186" t="e">
        <f t="shared" ref="BN124" si="779">BN123/BI123-1</f>
        <v>#DIV/0!</v>
      </c>
      <c r="BO124" s="1186" t="e">
        <f t="shared" ref="BO124" si="780">BO123/BJ123-1</f>
        <v>#DIV/0!</v>
      </c>
      <c r="BP124" s="1188" t="e">
        <f t="shared" ref="BP124" si="781">BP123/BK123-1</f>
        <v>#DIV/0!</v>
      </c>
      <c r="BQ124" s="1186" t="e">
        <f t="shared" ref="BQ124" si="782">BQ123/BL123-1</f>
        <v>#DIV/0!</v>
      </c>
      <c r="BR124" s="1186" t="e">
        <f t="shared" ref="BR124" si="783">BR123/BM123-1</f>
        <v>#DIV/0!</v>
      </c>
      <c r="BS124" s="1186" t="e">
        <f t="shared" ref="BS124" si="784">BS123/BN123-1</f>
        <v>#DIV/0!</v>
      </c>
      <c r="BT124" s="1186" t="e">
        <f t="shared" ref="BT124" si="785">BT123/BO123-1</f>
        <v>#DIV/0!</v>
      </c>
      <c r="BU124" s="1188"/>
      <c r="BV124" s="1291"/>
      <c r="BW124" s="1291"/>
      <c r="BX124" s="1291"/>
      <c r="BY124" s="1291"/>
      <c r="BZ124" s="1188"/>
      <c r="CA124" s="1186"/>
      <c r="CB124" s="1186"/>
      <c r="CC124" s="1186"/>
      <c r="CD124" s="1186"/>
      <c r="CE124" s="1188"/>
      <c r="CF124" s="1186"/>
      <c r="CG124" s="1186"/>
      <c r="CH124" s="1186"/>
      <c r="CI124" s="1186"/>
      <c r="CJ124" s="1188"/>
      <c r="CK124" s="1186"/>
      <c r="CL124" s="1186"/>
      <c r="CM124" s="1186"/>
      <c r="CN124" s="1186"/>
      <c r="CO124" s="1188"/>
      <c r="CP124" s="1186"/>
      <c r="CQ124" s="1186">
        <f t="shared" ref="CQ124" si="786">CQ123/CL123-1</f>
        <v>6.4306358381502893E-2</v>
      </c>
      <c r="CR124" s="1186">
        <f t="shared" ref="CR124" si="787">CR123/CM123-1</f>
        <v>6.5859736561053817E-2</v>
      </c>
      <c r="CS124" s="1186">
        <f t="shared" ref="CS124" si="788">CS123/CN123-1</f>
        <v>6.569847856154909E-2</v>
      </c>
      <c r="CT124" s="1188">
        <f t="shared" ref="CT124" si="789">CT123/CO123-1</f>
        <v>6.569847856154909E-2</v>
      </c>
      <c r="CU124" s="1186">
        <f t="shared" ref="CU124" si="790">CU123/CP123-1</f>
        <v>6.5960355434039553E-2</v>
      </c>
      <c r="CV124" s="1186">
        <f t="shared" ref="CV124" si="791">CV123/CQ123-1</f>
        <v>7.5356415478615046E-2</v>
      </c>
      <c r="CW124" s="1186">
        <f t="shared" ref="CW124" si="792">CW123/CR123-1</f>
        <v>7.6820307281229017E-2</v>
      </c>
      <c r="CX124" s="1186">
        <f t="shared" ref="CX124" si="793">CX123/CS123-1</f>
        <v>7.8195976638546494E-2</v>
      </c>
      <c r="CY124" s="1188">
        <f t="shared" ref="CY124" si="794">CY123/CT123-1</f>
        <v>7.8195976638546494E-2</v>
      </c>
      <c r="CZ124" s="1186">
        <f t="shared" ref="CZ124" si="795">CZ123/CU123-1</f>
        <v>7.9192048733568443E-2</v>
      </c>
      <c r="DA124" s="1186">
        <f t="shared" ref="DA124" si="796">DA123/CV123-1</f>
        <v>7.986111111111116E-2</v>
      </c>
      <c r="DB124" s="1186">
        <f t="shared" ref="DB124" si="797">DB123/CW123-1</f>
        <v>8.1885856079404462E-2</v>
      </c>
      <c r="DC124" s="1186">
        <f t="shared" ref="DC124" si="798">DC123/CX123-1</f>
        <v>8.2756545290400219E-2</v>
      </c>
      <c r="DD124" s="1188">
        <f t="shared" ref="DD124" si="799">DD123/CY123-1</f>
        <v>8.2756545290400219E-2</v>
      </c>
      <c r="DE124" s="1186">
        <f t="shared" ref="DE124" si="800">DE123/CZ123-1</f>
        <v>8.3481877599524745E-2</v>
      </c>
      <c r="DF124" s="1186">
        <f t="shared" ref="DF124" si="801">DF123/DA123-1</f>
        <v>8.3893598363051769E-2</v>
      </c>
      <c r="DG124" s="1186">
        <f t="shared" ref="DG124" si="802">DG123/DB123-1</f>
        <v>8.4002293577981613E-2</v>
      </c>
      <c r="DH124" s="1186">
        <f t="shared" ref="DH124" si="803">DH123/DC123-1</f>
        <v>8.4491384102278966E-2</v>
      </c>
      <c r="DI124" s="1186">
        <f t="shared" ref="DI124" si="804">DI123/DD123-1</f>
        <v>8.4491384102278966E-2</v>
      </c>
      <c r="DJ124" s="1186">
        <f t="shared" ref="DJ124" si="805">DJ123/DE123-1</f>
        <v>8.6372360844529705E-2</v>
      </c>
      <c r="DK124" s="1186">
        <f t="shared" ref="DK124" si="806">DK123/DF123-1</f>
        <v>8.7918015102481206E-2</v>
      </c>
      <c r="DL124" s="1186">
        <f t="shared" ref="DL124" si="807">DL123/DG123-1</f>
        <v>8.9129859825443081E-2</v>
      </c>
      <c r="DM124" s="1186">
        <f t="shared" ref="DM124" si="808">DM123/DH123-1</f>
        <v>8.6622245002562881E-2</v>
      </c>
      <c r="DN124" s="1188">
        <f t="shared" ref="DN124" si="809">DN123/DI123-1</f>
        <v>8.6622245002562881E-2</v>
      </c>
      <c r="DO124" s="1186">
        <f t="shared" ref="DO124" si="810">DO123/DJ123-1</f>
        <v>8.8086824835941435E-2</v>
      </c>
      <c r="DP124" s="1186">
        <f t="shared" ref="DP124" si="811">DP123/DK123-1</f>
        <v>8.9241447694595966E-2</v>
      </c>
      <c r="DQ124" s="1186">
        <f t="shared" ref="DQ124" si="812">DQ123/DL123-1</f>
        <v>8.7663914521612485E-2</v>
      </c>
      <c r="DR124" s="1186">
        <f t="shared" ref="DR124" si="813">DR123/DM123-1</f>
        <v>8.5377358490565936E-2</v>
      </c>
      <c r="DS124" s="1188">
        <f t="shared" ref="DS124" si="814">DS123/DN123-1</f>
        <v>8.5377358490565936E-2</v>
      </c>
      <c r="DT124" s="1186">
        <f t="shared" ref="DT124" si="815">DT123/DO123-1</f>
        <v>8.4203201113430826E-2</v>
      </c>
      <c r="DU124" s="1186">
        <f t="shared" ref="DU124" si="816">DU123/DP123-1</f>
        <v>8.2840236686390512E-2</v>
      </c>
      <c r="DV124" s="1186">
        <f t="shared" ref="DV124" si="817">DV123/DQ123-1</f>
        <v>8.1491404331323958E-2</v>
      </c>
      <c r="DW124" s="1186">
        <f t="shared" ref="DW124" si="818">DW123/DR123-1</f>
        <v>7.9530638852672642E-2</v>
      </c>
      <c r="DX124" s="1188">
        <f t="shared" ref="DX124" si="819">DX123/DS123-1</f>
        <v>7.9530638852672642E-2</v>
      </c>
      <c r="DY124" s="1186">
        <f t="shared" ref="DY124" si="820">DY123/DT123-1</f>
        <v>7.8519469405220477E-2</v>
      </c>
      <c r="DZ124" s="1186">
        <f t="shared" ref="DZ124" si="821">DZ123/DU123-1</f>
        <v>7.7343421605716722E-2</v>
      </c>
      <c r="EA124" s="1186">
        <f t="shared" ref="EA124" si="822">EA123/DV123-1</f>
        <v>7.6176713459950474E-2</v>
      </c>
      <c r="EB124" s="1186">
        <f t="shared" ref="EB124" si="823">EB123/DW123-1</f>
        <v>7.4476650563607194E-2</v>
      </c>
      <c r="EC124" s="1188">
        <f t="shared" ref="EC124" si="824">EC123/DX123-1</f>
        <v>7.4476650563607194E-2</v>
      </c>
      <c r="ED124" s="1182"/>
      <c r="EE124" s="1183"/>
      <c r="EF124" s="1180"/>
      <c r="EG124" s="1180"/>
      <c r="EH124" s="1180"/>
      <c r="EI124" s="1180"/>
      <c r="EJ124" s="1180"/>
      <c r="EK124" s="1180"/>
      <c r="EL124" s="1180"/>
      <c r="EM124" s="1180"/>
      <c r="EN124" s="116">
        <f t="shared" si="763"/>
        <v>0</v>
      </c>
      <c r="EO124" s="116">
        <f t="shared" si="764"/>
        <v>0</v>
      </c>
      <c r="EP124" s="116">
        <f t="shared" si="765"/>
        <v>0</v>
      </c>
      <c r="EQ124" s="116">
        <f t="shared" si="766"/>
        <v>0</v>
      </c>
      <c r="ER124" s="116">
        <f t="shared" si="767"/>
        <v>6.569847856154909E-2</v>
      </c>
      <c r="ES124" s="1182"/>
      <c r="ET124" s="1182"/>
      <c r="EU124" s="1182"/>
      <c r="EX124" s="241" t="s">
        <v>563</v>
      </c>
      <c r="EY124" s="1225">
        <f t="shared" si="616"/>
        <v>0</v>
      </c>
      <c r="EZ124" s="1186">
        <v>0</v>
      </c>
      <c r="FA124" s="1186"/>
      <c r="FB124" s="1186">
        <f t="shared" si="617"/>
        <v>0</v>
      </c>
      <c r="FC124" s="1239"/>
      <c r="FD124" s="1182"/>
      <c r="FE124"/>
      <c r="FF124"/>
      <c r="FG124"/>
      <c r="FH124"/>
      <c r="FI124"/>
      <c r="FJ124"/>
    </row>
    <row r="125" spans="1:166" s="1064" customFormat="1" ht="11.85" customHeight="1" x14ac:dyDescent="0.2">
      <c r="A125" s="1236" t="s">
        <v>826</v>
      </c>
      <c r="B125" s="1190"/>
      <c r="C125" s="1180"/>
      <c r="D125" s="1180"/>
      <c r="E125" s="1180"/>
      <c r="F125" s="1180"/>
      <c r="G125" s="1190"/>
      <c r="H125" s="1180"/>
      <c r="I125" s="1180"/>
      <c r="J125" s="1180"/>
      <c r="K125" s="1180"/>
      <c r="L125" s="1190"/>
      <c r="M125" s="1180"/>
      <c r="N125" s="1180"/>
      <c r="O125" s="1180"/>
      <c r="P125" s="1180"/>
      <c r="Q125" s="1190"/>
      <c r="R125" s="1180"/>
      <c r="S125" s="1180"/>
      <c r="T125" s="1180"/>
      <c r="U125" s="1180"/>
      <c r="V125" s="1190"/>
      <c r="W125" s="1180"/>
      <c r="X125" s="1180"/>
      <c r="Y125" s="1180"/>
      <c r="Z125" s="1180"/>
      <c r="AA125" s="1190"/>
      <c r="AB125" s="1180"/>
      <c r="AC125" s="1180"/>
      <c r="AD125" s="1180"/>
      <c r="AE125" s="1180"/>
      <c r="AF125" s="1190"/>
      <c r="AG125" s="1180"/>
      <c r="AH125" s="1180"/>
      <c r="AI125" s="1180"/>
      <c r="AJ125" s="1180"/>
      <c r="AK125" s="1190"/>
      <c r="AL125" s="1180"/>
      <c r="AM125" s="1180"/>
      <c r="AN125" s="1180"/>
      <c r="AO125" s="1180"/>
      <c r="AP125" s="1190"/>
      <c r="AQ125" s="1180"/>
      <c r="AR125" s="1180"/>
      <c r="AS125" s="1180"/>
      <c r="AT125" s="1180"/>
      <c r="AU125" s="1190"/>
      <c r="AV125" s="1181"/>
      <c r="AW125" s="1185">
        <v>15711</v>
      </c>
      <c r="AX125" s="1185">
        <v>15801</v>
      </c>
      <c r="AY125" s="1185">
        <v>15909</v>
      </c>
      <c r="AZ125" s="1185">
        <v>16001</v>
      </c>
      <c r="BA125" s="1190">
        <v>16001</v>
      </c>
      <c r="BB125" s="1185">
        <v>16083</v>
      </c>
      <c r="BC125" s="1185">
        <v>16147</v>
      </c>
      <c r="BD125" s="1185">
        <v>16266</v>
      </c>
      <c r="BE125" s="1185">
        <v>16526</v>
      </c>
      <c r="BF125" s="1190">
        <v>16526</v>
      </c>
      <c r="BG125" s="1185">
        <v>16576</v>
      </c>
      <c r="BH125" s="1185">
        <v>16675</v>
      </c>
      <c r="BI125" s="1185">
        <v>16805</v>
      </c>
      <c r="BJ125" s="1185">
        <v>17261</v>
      </c>
      <c r="BK125" s="1190">
        <v>17261</v>
      </c>
      <c r="BL125" s="1185">
        <v>17289</v>
      </c>
      <c r="BM125" s="1185">
        <v>17430</v>
      </c>
      <c r="BN125" s="1185">
        <v>17609</v>
      </c>
      <c r="BO125" s="1185">
        <v>18294</v>
      </c>
      <c r="BP125" s="1190">
        <v>18294</v>
      </c>
      <c r="BQ125" s="1185">
        <v>18201</v>
      </c>
      <c r="BR125" s="1185">
        <v>18354</v>
      </c>
      <c r="BS125" s="1185">
        <v>18550</v>
      </c>
      <c r="BT125" s="1185">
        <v>18808</v>
      </c>
      <c r="BU125" s="1190">
        <v>18630</v>
      </c>
      <c r="BV125" s="1292">
        <v>18686</v>
      </c>
      <c r="BW125" s="1292">
        <v>18850</v>
      </c>
      <c r="BX125" s="1292">
        <v>18988</v>
      </c>
      <c r="BY125" s="1292">
        <v>19416</v>
      </c>
      <c r="BZ125" s="1190">
        <v>19416</v>
      </c>
      <c r="CA125" s="1185">
        <v>18686</v>
      </c>
      <c r="CB125" s="1185">
        <v>18850</v>
      </c>
      <c r="CC125" s="1185">
        <v>18988</v>
      </c>
      <c r="CD125" s="1185">
        <v>19416</v>
      </c>
      <c r="CE125" s="1190">
        <v>19416</v>
      </c>
      <c r="CF125" s="1185">
        <v>19446</v>
      </c>
      <c r="CG125" s="1185">
        <v>19564</v>
      </c>
      <c r="CH125" s="1185">
        <v>19735</v>
      </c>
      <c r="CI125" s="1185">
        <v>20351</v>
      </c>
      <c r="CJ125" s="1190">
        <v>20351</v>
      </c>
      <c r="CK125" s="1185">
        <v>20412</v>
      </c>
      <c r="CL125" s="1185">
        <v>23423</v>
      </c>
      <c r="CM125" s="1185">
        <v>23742</v>
      </c>
      <c r="CN125" s="1185">
        <v>24407</v>
      </c>
      <c r="CO125" s="1190">
        <v>24407</v>
      </c>
      <c r="CP125" s="1185">
        <v>24559</v>
      </c>
      <c r="CQ125" s="1185">
        <v>24782</v>
      </c>
      <c r="CR125" s="1185">
        <v>25123</v>
      </c>
      <c r="CS125" s="1185">
        <v>25801</v>
      </c>
      <c r="CT125" s="1190">
        <v>25801</v>
      </c>
      <c r="CU125" s="1185">
        <v>25938</v>
      </c>
      <c r="CV125" s="1185">
        <v>26197</v>
      </c>
      <c r="CW125" s="1185">
        <v>26583</v>
      </c>
      <c r="CX125" s="1185">
        <v>27307</v>
      </c>
      <c r="CY125" s="1190">
        <v>27307</v>
      </c>
      <c r="CZ125" s="1185">
        <v>27450</v>
      </c>
      <c r="DA125" s="1185">
        <v>27715</v>
      </c>
      <c r="DB125" s="1185">
        <v>28117</v>
      </c>
      <c r="DC125" s="1185">
        <v>28837</v>
      </c>
      <c r="DD125" s="1190">
        <v>28837</v>
      </c>
      <c r="DE125" s="1185">
        <v>28988</v>
      </c>
      <c r="DF125" s="1185">
        <v>29261</v>
      </c>
      <c r="DG125" s="1185">
        <v>29684</v>
      </c>
      <c r="DH125" s="1185">
        <v>30405</v>
      </c>
      <c r="DI125" s="1185">
        <v>30405</v>
      </c>
      <c r="DJ125" s="1185">
        <v>30590</v>
      </c>
      <c r="DK125" s="1185">
        <v>30902</v>
      </c>
      <c r="DL125" s="1185">
        <v>31341</v>
      </c>
      <c r="DM125" s="1185">
        <v>32068</v>
      </c>
      <c r="DN125" s="1190">
        <v>32068</v>
      </c>
      <c r="DO125" s="1185">
        <v>32274</v>
      </c>
      <c r="DP125" s="1185">
        <v>32607</v>
      </c>
      <c r="DQ125" s="1185">
        <v>33057</v>
      </c>
      <c r="DR125" s="1185">
        <v>33795</v>
      </c>
      <c r="DS125" s="1190">
        <v>33795</v>
      </c>
      <c r="DT125" s="1185">
        <v>34012</v>
      </c>
      <c r="DU125" s="1185">
        <v>34356</v>
      </c>
      <c r="DV125" s="1185">
        <v>34817</v>
      </c>
      <c r="DW125" s="1185">
        <v>35566</v>
      </c>
      <c r="DX125" s="1190">
        <v>35566</v>
      </c>
      <c r="DY125" s="1185">
        <v>35794</v>
      </c>
      <c r="DZ125" s="1185">
        <v>36149</v>
      </c>
      <c r="EA125" s="1185">
        <v>36621</v>
      </c>
      <c r="EB125" s="1185">
        <v>37381</v>
      </c>
      <c r="EC125" s="1190">
        <v>37381</v>
      </c>
      <c r="ED125" s="1182"/>
      <c r="EE125" s="1183"/>
      <c r="EF125" s="1180"/>
      <c r="EG125" s="1180"/>
      <c r="EH125" s="1180"/>
      <c r="EI125" s="1180"/>
      <c r="EJ125" s="1180"/>
      <c r="EK125" s="1180"/>
      <c r="EL125" s="1180"/>
      <c r="EM125" s="1263"/>
      <c r="EN125" s="1264">
        <f t="shared" si="612"/>
        <v>19735</v>
      </c>
      <c r="EO125" s="1264">
        <f t="shared" si="612"/>
        <v>20351</v>
      </c>
      <c r="EP125" s="1264">
        <f t="shared" si="613"/>
        <v>20351</v>
      </c>
      <c r="EQ125" s="1264">
        <f t="shared" si="614"/>
        <v>24407</v>
      </c>
      <c r="ER125" s="1264">
        <f t="shared" si="615"/>
        <v>25801</v>
      </c>
      <c r="ES125" s="1182"/>
      <c r="ET125" s="1182"/>
      <c r="EU125" s="1182"/>
      <c r="EX125" s="1236" t="s">
        <v>733</v>
      </c>
      <c r="EY125" s="1227">
        <f t="shared" si="616"/>
        <v>24559</v>
      </c>
      <c r="EZ125" s="1185">
        <v>24515</v>
      </c>
      <c r="FA125" s="1185"/>
      <c r="FB125" s="1185">
        <f t="shared" si="617"/>
        <v>20412</v>
      </c>
      <c r="FC125" s="1241"/>
      <c r="FD125" s="1182"/>
      <c r="FE125"/>
      <c r="FF125"/>
      <c r="FG125"/>
      <c r="FH125"/>
      <c r="FI125"/>
      <c r="FJ125"/>
    </row>
    <row r="126" spans="1:166" s="1064" customFormat="1" ht="11.85" customHeight="1" x14ac:dyDescent="0.2">
      <c r="A126" s="243" t="s">
        <v>563</v>
      </c>
      <c r="B126" s="1191"/>
      <c r="C126" s="1180"/>
      <c r="D126" s="1180"/>
      <c r="E126" s="1180"/>
      <c r="F126" s="1180"/>
      <c r="G126" s="1191"/>
      <c r="H126" s="1180"/>
      <c r="I126" s="1180"/>
      <c r="J126" s="1180"/>
      <c r="K126" s="1180"/>
      <c r="L126" s="1191"/>
      <c r="M126" s="1180"/>
      <c r="N126" s="1180"/>
      <c r="O126" s="1180"/>
      <c r="P126" s="1180"/>
      <c r="Q126" s="1191"/>
      <c r="R126" s="1180"/>
      <c r="S126" s="1180"/>
      <c r="T126" s="1180"/>
      <c r="U126" s="1180"/>
      <c r="V126" s="1191"/>
      <c r="W126" s="1180"/>
      <c r="X126" s="1180"/>
      <c r="Y126" s="1180"/>
      <c r="Z126" s="1180"/>
      <c r="AA126" s="1191"/>
      <c r="AB126" s="1180"/>
      <c r="AC126" s="1180"/>
      <c r="AD126" s="1180"/>
      <c r="AE126" s="1180"/>
      <c r="AF126" s="1191"/>
      <c r="AG126" s="1180"/>
      <c r="AH126" s="1180"/>
      <c r="AI126" s="1180"/>
      <c r="AJ126" s="1180"/>
      <c r="AK126" s="1191"/>
      <c r="AL126" s="1180"/>
      <c r="AM126" s="1180"/>
      <c r="AN126" s="1180"/>
      <c r="AO126" s="1180"/>
      <c r="AP126" s="1191"/>
      <c r="AQ126" s="1180"/>
      <c r="AR126" s="1180"/>
      <c r="AS126" s="1180"/>
      <c r="AT126" s="1180"/>
      <c r="AU126" s="1191"/>
      <c r="AV126" s="1181"/>
      <c r="AW126" s="1180"/>
      <c r="AX126" s="1180"/>
      <c r="AY126" s="1180"/>
      <c r="AZ126" s="1180"/>
      <c r="BA126" s="1191"/>
      <c r="BB126" s="1186">
        <f>BB125/AW125-1</f>
        <v>2.3677678059957907E-2</v>
      </c>
      <c r="BC126" s="1186">
        <f t="shared" ref="BC126" si="825">BC125/AX125-1</f>
        <v>2.189734826909695E-2</v>
      </c>
      <c r="BD126" s="1186">
        <f t="shared" ref="BD126" si="826">BD125/AY125-1</f>
        <v>2.2440128229304079E-2</v>
      </c>
      <c r="BE126" s="1186">
        <f t="shared" ref="BE126:BF126" si="827">BE125/AZ125-1</f>
        <v>3.2810449346915904E-2</v>
      </c>
      <c r="BF126" s="1191">
        <f t="shared" si="827"/>
        <v>3.2810449346915904E-2</v>
      </c>
      <c r="BG126" s="1186">
        <f t="shared" ref="BG126" si="828">BG125/BB125-1</f>
        <v>3.065348504632226E-2</v>
      </c>
      <c r="BH126" s="1186">
        <f t="shared" ref="BH126" si="829">BH125/BC125-1</f>
        <v>3.2699572676038846E-2</v>
      </c>
      <c r="BI126" s="1186">
        <f t="shared" ref="BI126" si="830">BI125/BD125-1</f>
        <v>3.3136603959178723E-2</v>
      </c>
      <c r="BJ126" s="1186">
        <f t="shared" ref="BJ126:BK126" si="831">BJ125/BE125-1</f>
        <v>4.447537214086883E-2</v>
      </c>
      <c r="BK126" s="1191">
        <f t="shared" si="831"/>
        <v>4.447537214086883E-2</v>
      </c>
      <c r="BL126" s="1186">
        <f t="shared" ref="BL126" si="832">BL125/BG125-1</f>
        <v>4.3013996138996147E-2</v>
      </c>
      <c r="BM126" s="1186">
        <f t="shared" ref="BM126" si="833">BM125/BH125-1</f>
        <v>4.5277361319340237E-2</v>
      </c>
      <c r="BN126" s="1186">
        <f t="shared" ref="BN126" si="834">BN125/BI125-1</f>
        <v>4.7842903897649558E-2</v>
      </c>
      <c r="BO126" s="1186">
        <f t="shared" ref="BO126:BP126" si="835">BO125/BJ125-1</f>
        <v>5.9845895371067659E-2</v>
      </c>
      <c r="BP126" s="1191">
        <f t="shared" si="835"/>
        <v>5.9845895371067659E-2</v>
      </c>
      <c r="BQ126" s="1186">
        <f t="shared" ref="BQ126" si="836">BQ125/BL125-1</f>
        <v>5.2750303661287523E-2</v>
      </c>
      <c r="BR126" s="1186">
        <f t="shared" ref="BR126" si="837">BR125/BM125-1</f>
        <v>5.3012048192771166E-2</v>
      </c>
      <c r="BS126" s="1186">
        <f t="shared" ref="BS126" si="838">BS125/BN125-1</f>
        <v>5.3438582543017699E-2</v>
      </c>
      <c r="BT126" s="1186">
        <f t="shared" ref="BT126:BU126" si="839">BT125/BO125-1</f>
        <v>2.8096643708319657E-2</v>
      </c>
      <c r="BU126" s="1191">
        <f t="shared" si="839"/>
        <v>1.8366677599212844E-2</v>
      </c>
      <c r="BV126" s="1291">
        <f t="shared" ref="BV126" si="840">BV125/BQ125-1</f>
        <v>2.6646887533652075E-2</v>
      </c>
      <c r="BW126" s="1291">
        <f t="shared" ref="BW126" si="841">BW125/BR125-1</f>
        <v>2.7024081943990419E-2</v>
      </c>
      <c r="BX126" s="1291">
        <f t="shared" ref="BX126" si="842">BX125/BS125-1</f>
        <v>2.3611859838274851E-2</v>
      </c>
      <c r="BY126" s="1291">
        <f t="shared" ref="BY126" si="843">BY125/BT125-1</f>
        <v>3.2326669502339422E-2</v>
      </c>
      <c r="BZ126" s="1191">
        <f t="shared" ref="BZ126" si="844">BZ125/BU125-1</f>
        <v>4.2190016103059502E-2</v>
      </c>
      <c r="CA126" s="1186">
        <f t="shared" ref="CA126" si="845">CA125/BQ125-1</f>
        <v>2.6646887533652075E-2</v>
      </c>
      <c r="CB126" s="1186">
        <f t="shared" ref="CB126" si="846">CB125/BR125-1</f>
        <v>2.7024081943990419E-2</v>
      </c>
      <c r="CC126" s="1186">
        <f t="shared" ref="CC126" si="847">CC125/BS125-1</f>
        <v>2.3611859838274851E-2</v>
      </c>
      <c r="CD126" s="1186">
        <f>CD125/BT125-1</f>
        <v>3.2326669502339422E-2</v>
      </c>
      <c r="CE126" s="1191">
        <f>CE125/BU125-1</f>
        <v>4.2190016103059502E-2</v>
      </c>
      <c r="CF126" s="1186">
        <f t="shared" ref="CF126" si="848">CF125/CA125-1</f>
        <v>4.0672160976131799E-2</v>
      </c>
      <c r="CG126" s="1186">
        <f t="shared" ref="CG126" si="849">CG125/CB125-1</f>
        <v>3.7877984084880634E-2</v>
      </c>
      <c r="CH126" s="1186">
        <f t="shared" ref="CH126" si="850">CH125/CC125-1</f>
        <v>3.9340636191278699E-2</v>
      </c>
      <c r="CI126" s="1186">
        <f t="shared" ref="CI126:CJ126" si="851">CI125/CD125-1</f>
        <v>4.8156159868149917E-2</v>
      </c>
      <c r="CJ126" s="1191">
        <f t="shared" si="851"/>
        <v>4.8156159868149917E-2</v>
      </c>
      <c r="CK126" s="1186">
        <f t="shared" ref="CK126" si="852">CK125/CF125-1</f>
        <v>4.9676025917926525E-2</v>
      </c>
      <c r="CL126" s="1186">
        <f t="shared" ref="CL126" si="853">CL125/CG125-1</f>
        <v>0.19725005111429161</v>
      </c>
      <c r="CM126" s="1186">
        <f t="shared" ref="CM126" si="854">CM125/CH125-1</f>
        <v>0.20304028375981753</v>
      </c>
      <c r="CN126" s="1186">
        <f t="shared" ref="CN126:CO126" si="855">CN125/CI125-1</f>
        <v>0.1993022455898974</v>
      </c>
      <c r="CO126" s="1191">
        <f t="shared" si="855"/>
        <v>0.1993022455898974</v>
      </c>
      <c r="CP126" s="1186">
        <f t="shared" ref="CP126" si="856">CP125/CK125-1</f>
        <v>0.20316480501665679</v>
      </c>
      <c r="CQ126" s="1186">
        <f t="shared" ref="CQ126" si="857">CQ125/CL125-1</f>
        <v>5.8019894975024577E-2</v>
      </c>
      <c r="CR126" s="1186">
        <f t="shared" ref="CR126" si="858">CR125/CM125-1</f>
        <v>5.8166961502821968E-2</v>
      </c>
      <c r="CS126" s="1186">
        <f t="shared" ref="CS126:CT126" si="859">CS125/CN125-1</f>
        <v>5.711476215839717E-2</v>
      </c>
      <c r="CT126" s="1191">
        <f t="shared" si="859"/>
        <v>5.711476215839717E-2</v>
      </c>
      <c r="CU126" s="1186">
        <f t="shared" ref="CU126" si="860">CU125/CP125-1</f>
        <v>5.6150494726983968E-2</v>
      </c>
      <c r="CV126" s="1186">
        <f t="shared" ref="CV126" si="861">CV125/CQ125-1</f>
        <v>5.7097893632475083E-2</v>
      </c>
      <c r="CW126" s="1186">
        <f t="shared" ref="CW126" si="862">CW125/CR125-1</f>
        <v>5.8114078732635521E-2</v>
      </c>
      <c r="CX126" s="1186">
        <f t="shared" ref="CX126:CY126" si="863">CX125/CS125-1</f>
        <v>5.8369830626719965E-2</v>
      </c>
      <c r="CY126" s="1191">
        <f t="shared" si="863"/>
        <v>5.8369830626719965E-2</v>
      </c>
      <c r="CZ126" s="1186">
        <f t="shared" ref="CZ126" si="864">CZ125/CU125-1</f>
        <v>5.8292852185982014E-2</v>
      </c>
      <c r="DA126" s="1186">
        <f t="shared" ref="DA126" si="865">DA125/CV125-1</f>
        <v>5.7945566286216055E-2</v>
      </c>
      <c r="DB126" s="1186">
        <f t="shared" ref="DB126" si="866">DB125/CW125-1</f>
        <v>5.7706052740473135E-2</v>
      </c>
      <c r="DC126" s="1186">
        <f t="shared" ref="DC126:DD126" si="867">DC125/CX125-1</f>
        <v>5.6029589482550213E-2</v>
      </c>
      <c r="DD126" s="1191">
        <f t="shared" si="867"/>
        <v>5.6029589482550213E-2</v>
      </c>
      <c r="DE126" s="1186">
        <f t="shared" ref="DE126" si="868">DE125/CZ125-1</f>
        <v>5.6029143897996292E-2</v>
      </c>
      <c r="DF126" s="1186">
        <f t="shared" ref="DF126" si="869">DF125/DA125-1</f>
        <v>5.5782067472487817E-2</v>
      </c>
      <c r="DG126" s="1186">
        <f t="shared" ref="DG126" si="870">DG125/DB125-1</f>
        <v>5.5731408044954911E-2</v>
      </c>
      <c r="DH126" s="1186">
        <f t="shared" ref="DH126" si="871">DH125/DC125-1</f>
        <v>5.4374588202656282E-2</v>
      </c>
      <c r="DI126" s="1186">
        <f t="shared" ref="DI126" si="872">DI125/DD125-1</f>
        <v>5.4374588202656282E-2</v>
      </c>
      <c r="DJ126" s="1186">
        <f t="shared" ref="DJ126" si="873">DJ125/DE125-1</f>
        <v>5.5264247274734446E-2</v>
      </c>
      <c r="DK126" s="1186">
        <f t="shared" ref="DK126" si="874">DK125/DF125-1</f>
        <v>5.6081473633847079E-2</v>
      </c>
      <c r="DL126" s="1186">
        <f t="shared" ref="DL126" si="875">DL125/DG125-1</f>
        <v>5.5821317881687094E-2</v>
      </c>
      <c r="DM126" s="1186">
        <f t="shared" ref="DM126:DN126" si="876">DM125/DH125-1</f>
        <v>5.4694951488241994E-2</v>
      </c>
      <c r="DN126" s="1191">
        <f t="shared" si="876"/>
        <v>5.4694951488241994E-2</v>
      </c>
      <c r="DO126" s="1186">
        <f t="shared" ref="DO126" si="877">DO125/DJ125-1</f>
        <v>5.5050670153645065E-2</v>
      </c>
      <c r="DP126" s="1186">
        <f t="shared" ref="DP126" si="878">DP125/DK125-1</f>
        <v>5.5174422367484377E-2</v>
      </c>
      <c r="DQ126" s="1186">
        <f t="shared" ref="DQ126" si="879">DQ125/DL125-1</f>
        <v>5.4752560543696704E-2</v>
      </c>
      <c r="DR126" s="1186">
        <f t="shared" ref="DR126:DS126" si="880">DR125/DM125-1</f>
        <v>5.3854309592116678E-2</v>
      </c>
      <c r="DS126" s="1191">
        <f t="shared" si="880"/>
        <v>5.3854309592116678E-2</v>
      </c>
      <c r="DT126" s="1186">
        <f t="shared" ref="DT126" si="881">DT125/DO125-1</f>
        <v>5.3851397409679702E-2</v>
      </c>
      <c r="DU126" s="1186">
        <f t="shared" ref="DU126" si="882">DU125/DP125-1</f>
        <v>5.3638789217039351E-2</v>
      </c>
      <c r="DV126" s="1186">
        <f t="shared" ref="DV126" si="883">DV125/DQ125-1</f>
        <v>5.3241370965302348E-2</v>
      </c>
      <c r="DW126" s="1186">
        <f t="shared" ref="DW126:DX126" si="884">DW125/DR125-1</f>
        <v>5.2404201805000827E-2</v>
      </c>
      <c r="DX126" s="1191">
        <f t="shared" si="884"/>
        <v>5.2404201805000827E-2</v>
      </c>
      <c r="DY126" s="1186">
        <f t="shared" ref="DY126" si="885">DY125/DT125-1</f>
        <v>5.2393272962483861E-2</v>
      </c>
      <c r="DZ126" s="1186">
        <f t="shared" ref="DZ126" si="886">DZ125/DU125-1</f>
        <v>5.2188846198626182E-2</v>
      </c>
      <c r="EA126" s="1186">
        <f t="shared" ref="EA126" si="887">EA125/DV125-1</f>
        <v>5.1813769135766963E-2</v>
      </c>
      <c r="EB126" s="1186">
        <f t="shared" ref="EB126" si="888">EB125/DW125-1</f>
        <v>5.1031884383962112E-2</v>
      </c>
      <c r="EC126" s="1191">
        <f t="shared" ref="EC126" si="889">EC125/DX125-1</f>
        <v>5.1031884383962112E-2</v>
      </c>
      <c r="ED126" s="1182"/>
      <c r="EE126" s="1183"/>
      <c r="EF126" s="1180"/>
      <c r="EG126" s="1180"/>
      <c r="EH126" s="1180"/>
      <c r="EI126" s="1180"/>
      <c r="EJ126" s="1180"/>
      <c r="EK126" s="1180"/>
      <c r="EL126" s="1180"/>
      <c r="EM126" s="1180"/>
      <c r="EN126" s="143">
        <f t="shared" si="612"/>
        <v>3.9340636191278699E-2</v>
      </c>
      <c r="EO126" s="143">
        <f t="shared" si="612"/>
        <v>4.8156159868149917E-2</v>
      </c>
      <c r="EP126" s="143">
        <f t="shared" si="613"/>
        <v>4.8156159868149917E-2</v>
      </c>
      <c r="EQ126" s="143">
        <f t="shared" si="614"/>
        <v>0.1993022455898974</v>
      </c>
      <c r="ER126" s="143">
        <f t="shared" si="615"/>
        <v>5.711476215839717E-2</v>
      </c>
      <c r="ES126" s="1182"/>
      <c r="ET126" s="1182"/>
      <c r="EU126" s="1182"/>
      <c r="EX126" s="481" t="s">
        <v>563</v>
      </c>
      <c r="EY126" s="1228">
        <f t="shared" si="616"/>
        <v>0.20316480501665679</v>
      </c>
      <c r="EZ126" s="1242">
        <v>0.20100921026846952</v>
      </c>
      <c r="FA126" s="1242"/>
      <c r="FB126" s="1242">
        <f t="shared" si="617"/>
        <v>4.9676025917926525E-2</v>
      </c>
      <c r="FC126" s="1243"/>
      <c r="FD126" s="1182"/>
      <c r="FE126"/>
      <c r="FF126"/>
      <c r="FG126"/>
      <c r="FH126"/>
      <c r="FI126"/>
      <c r="FJ126"/>
    </row>
    <row r="127" spans="1:166" ht="11.85" customHeight="1" x14ac:dyDescent="0.2">
      <c r="A127" s="1604" t="s">
        <v>254</v>
      </c>
      <c r="B127" s="8"/>
      <c r="C127" s="8"/>
      <c r="D127" s="8"/>
      <c r="E127" s="8"/>
      <c r="F127" s="8"/>
      <c r="G127" s="8"/>
      <c r="H127" s="8"/>
      <c r="I127" s="8"/>
      <c r="J127" s="8"/>
      <c r="K127" s="8"/>
      <c r="L127" s="8"/>
      <c r="M127" s="8"/>
      <c r="N127" s="8"/>
      <c r="O127" s="8"/>
      <c r="P127" s="8"/>
      <c r="Q127" s="8"/>
      <c r="R127" s="8"/>
      <c r="S127" s="8"/>
      <c r="T127" s="8"/>
      <c r="U127" s="8"/>
      <c r="V127" s="459"/>
      <c r="W127" s="8"/>
      <c r="X127" s="8"/>
      <c r="Y127" s="8"/>
      <c r="Z127" s="8"/>
      <c r="AA127" s="8"/>
      <c r="AB127" s="8"/>
      <c r="AC127" s="8"/>
      <c r="AD127" s="8"/>
      <c r="AE127" s="8"/>
      <c r="AF127" s="9"/>
      <c r="AG127" s="8"/>
      <c r="AH127" s="8"/>
      <c r="AI127" s="8"/>
      <c r="AJ127" s="555"/>
      <c r="AK127" s="9"/>
      <c r="AL127" s="8"/>
      <c r="AM127" s="8"/>
      <c r="AN127" s="8"/>
      <c r="AO127" s="8"/>
      <c r="AP127" s="9"/>
      <c r="AQ127" s="8"/>
      <c r="AR127" s="8"/>
      <c r="AS127" s="8"/>
      <c r="AT127" s="8"/>
      <c r="AU127" s="8"/>
      <c r="AV127" s="45"/>
      <c r="AW127" s="8"/>
      <c r="AX127" s="8"/>
      <c r="AY127" s="8"/>
      <c r="AZ127" s="8"/>
      <c r="BA127" s="555"/>
      <c r="BB127" s="8"/>
      <c r="BC127" s="8"/>
      <c r="BD127" s="8"/>
      <c r="BE127" s="8"/>
      <c r="BF127" s="555"/>
      <c r="BG127" s="8"/>
      <c r="BH127" s="8"/>
      <c r="BI127" s="8"/>
      <c r="BJ127" s="8"/>
      <c r="BK127" s="555"/>
      <c r="BL127" s="8"/>
      <c r="BM127" s="8"/>
      <c r="BN127" s="8"/>
      <c r="BO127" s="8"/>
      <c r="BP127" s="555"/>
      <c r="BQ127" s="8"/>
      <c r="BR127" s="8"/>
      <c r="BS127" s="8"/>
      <c r="BT127" s="8"/>
      <c r="BU127" s="657"/>
      <c r="BV127" s="1293"/>
      <c r="BW127" s="1293"/>
      <c r="BX127" s="1293"/>
      <c r="BY127" s="1293"/>
      <c r="BZ127" s="555"/>
      <c r="CA127" s="8"/>
      <c r="CB127" s="8"/>
      <c r="CC127" s="8"/>
      <c r="CD127" s="8"/>
      <c r="CE127" s="555"/>
      <c r="CF127" s="8"/>
      <c r="CG127" s="8"/>
      <c r="CH127" s="8"/>
      <c r="CI127" s="8"/>
      <c r="CJ127" s="555"/>
      <c r="CK127" s="8"/>
      <c r="CL127" s="8"/>
      <c r="CM127" s="8"/>
      <c r="CN127" s="8"/>
      <c r="CO127" s="555"/>
      <c r="CP127" s="8"/>
      <c r="CQ127" s="8"/>
      <c r="CR127" s="8"/>
      <c r="CS127" s="8"/>
      <c r="CT127" s="555"/>
      <c r="CU127" s="8"/>
      <c r="CV127" s="8"/>
      <c r="CW127" s="8"/>
      <c r="CX127" s="8"/>
      <c r="CY127" s="555"/>
      <c r="CZ127" s="8"/>
      <c r="DA127" s="8"/>
      <c r="DB127" s="8"/>
      <c r="DC127" s="8"/>
      <c r="DD127" s="555"/>
      <c r="DE127" s="8"/>
      <c r="DF127" s="8"/>
      <c r="DG127" s="8"/>
      <c r="DH127" s="8"/>
      <c r="DI127" s="555"/>
      <c r="DJ127" s="8"/>
      <c r="DK127" s="8"/>
      <c r="DL127" s="8"/>
      <c r="DM127" s="8"/>
      <c r="DN127" s="555"/>
      <c r="DO127" s="8"/>
      <c r="DP127" s="8"/>
      <c r="DQ127" s="8"/>
      <c r="DR127" s="8"/>
      <c r="DS127" s="555"/>
      <c r="DT127" s="8"/>
      <c r="DU127" s="8"/>
      <c r="DV127" s="8"/>
      <c r="DW127" s="8"/>
      <c r="DX127" s="555"/>
      <c r="DY127" s="8"/>
      <c r="DZ127" s="8"/>
      <c r="EA127" s="8"/>
      <c r="EB127" s="8"/>
      <c r="EC127" s="555"/>
      <c r="ED127" s="16"/>
      <c r="EE127" s="459"/>
      <c r="EF127" s="8"/>
      <c r="EG127" s="8"/>
      <c r="EH127" s="8"/>
      <c r="EI127" s="8"/>
      <c r="EJ127" s="8"/>
      <c r="EK127" s="8"/>
      <c r="EL127" s="8"/>
      <c r="EM127" s="8"/>
      <c r="EN127" s="8"/>
      <c r="EO127" s="8"/>
      <c r="EP127" s="8"/>
      <c r="EQ127" s="8"/>
      <c r="ER127" s="9"/>
      <c r="ES127" s="16"/>
      <c r="ET127" s="16"/>
      <c r="EU127" s="16"/>
      <c r="EX127" s="1229" t="s">
        <v>254</v>
      </c>
      <c r="EY127" s="1051"/>
      <c r="EZ127" s="1051"/>
      <c r="FA127" s="1051"/>
      <c r="FB127" s="1051"/>
      <c r="FC127" s="1244"/>
      <c r="FD127" s="16"/>
    </row>
    <row r="128" spans="1:166" s="1069" customFormat="1" ht="11.85" customHeight="1" x14ac:dyDescent="0.2">
      <c r="A128" s="842" t="s">
        <v>692</v>
      </c>
      <c r="B128" s="1145"/>
      <c r="C128" s="1146"/>
      <c r="D128" s="1146"/>
      <c r="E128" s="1146"/>
      <c r="F128" s="1146"/>
      <c r="G128" s="1147"/>
      <c r="H128" s="1146"/>
      <c r="I128" s="1146"/>
      <c r="J128" s="1146"/>
      <c r="K128" s="1146"/>
      <c r="L128" s="1147">
        <v>0.97199999999999998</v>
      </c>
      <c r="M128" s="1146"/>
      <c r="N128" s="1146"/>
      <c r="O128" s="1146"/>
      <c r="P128" s="1146"/>
      <c r="Q128" s="1147">
        <v>0.99399999999999999</v>
      </c>
      <c r="R128" s="1146"/>
      <c r="S128" s="1146"/>
      <c r="T128" s="1146"/>
      <c r="U128" s="1146">
        <v>0.28499999999999998</v>
      </c>
      <c r="V128" s="1147">
        <v>1.0660000000000001</v>
      </c>
      <c r="W128" s="1146">
        <v>0.28699999999999998</v>
      </c>
      <c r="X128" s="1146">
        <v>0.27900000000000003</v>
      </c>
      <c r="Y128" s="1146">
        <v>0.26900000000000002</v>
      </c>
      <c r="Z128" s="1146">
        <v>0.28899999999999998</v>
      </c>
      <c r="AA128" s="1147">
        <v>1.1259999999999999</v>
      </c>
      <c r="AB128" s="1146">
        <v>0.3</v>
      </c>
      <c r="AC128" s="1146">
        <v>0.29699999999999999</v>
      </c>
      <c r="AD128" s="1146">
        <v>0.28399999999999997</v>
      </c>
      <c r="AE128" s="1146">
        <v>0.311</v>
      </c>
      <c r="AF128" s="1147">
        <v>1.1930000000000001</v>
      </c>
      <c r="AG128" s="1146">
        <v>0.32700000000000001</v>
      </c>
      <c r="AH128" s="1146">
        <v>0.32200000000000001</v>
      </c>
      <c r="AI128" s="1146">
        <v>0.313</v>
      </c>
      <c r="AJ128" s="1148">
        <v>0.33800000000000002</v>
      </c>
      <c r="AK128" s="1149">
        <v>1.2802789278709958</v>
      </c>
      <c r="AL128" s="1146">
        <v>0.34300000000000003</v>
      </c>
      <c r="AM128" s="1146">
        <v>0.312</v>
      </c>
      <c r="AN128" s="1146">
        <v>0.29399999999999998</v>
      </c>
      <c r="AO128" s="1146">
        <v>0.31</v>
      </c>
      <c r="AP128" s="1147">
        <v>1.2589999999999999</v>
      </c>
      <c r="AQ128" s="1146">
        <v>0.32100000000000001</v>
      </c>
      <c r="AR128" s="1146">
        <v>0.31669506670545694</v>
      </c>
      <c r="AS128" s="1146"/>
      <c r="AT128" s="1146"/>
      <c r="AU128" s="1145">
        <v>1.2589999999999999</v>
      </c>
      <c r="AV128" s="49"/>
      <c r="AW128" s="1146"/>
      <c r="AX128" s="1146"/>
      <c r="AY128" s="1146"/>
      <c r="AZ128" s="1146"/>
      <c r="BA128" s="1150">
        <v>1702.7639399995974</v>
      </c>
      <c r="BB128" s="1151">
        <v>1589.2290306285072</v>
      </c>
      <c r="BC128" s="1152">
        <v>1477.3613559469122</v>
      </c>
      <c r="BD128" s="1152">
        <v>1375.2165890507963</v>
      </c>
      <c r="BE128" s="1152">
        <v>1270.6110224410295</v>
      </c>
      <c r="BF128" s="1150">
        <v>1270.6110224410295</v>
      </c>
      <c r="BG128" s="1152">
        <v>1277.355728940269</v>
      </c>
      <c r="BH128" s="1152">
        <v>1278.9176195371874</v>
      </c>
      <c r="BI128" s="1152">
        <v>1270.3718797043296</v>
      </c>
      <c r="BJ128" s="1152">
        <v>1275.3126863172861</v>
      </c>
      <c r="BK128" s="1150">
        <v>1275.3126863172861</v>
      </c>
      <c r="BL128" s="1152">
        <v>1267.8992023613555</v>
      </c>
      <c r="BM128" s="1152">
        <v>1261.0168460591105</v>
      </c>
      <c r="BN128" s="1152">
        <v>1251.8468806223905</v>
      </c>
      <c r="BO128" s="1152">
        <v>1242.2930711529402</v>
      </c>
      <c r="BP128" s="1150">
        <v>1242.2930711529402</v>
      </c>
      <c r="BQ128" s="1152">
        <v>1234.0096020807948</v>
      </c>
      <c r="BR128" s="1152">
        <v>1228.3946115462377</v>
      </c>
      <c r="BS128" s="1152">
        <v>1230.3345098082818</v>
      </c>
      <c r="BT128" s="1152">
        <v>1223.4863758295528</v>
      </c>
      <c r="BU128" s="1150">
        <v>1223.4863758295528</v>
      </c>
      <c r="BV128" s="1294">
        <v>1214.3837220839782</v>
      </c>
      <c r="BW128" s="1294">
        <v>1206.7646573282068</v>
      </c>
      <c r="BX128" s="1294">
        <v>1194.8063621525514</v>
      </c>
      <c r="BY128" s="1294">
        <v>1182.6117824662642</v>
      </c>
      <c r="BZ128" s="1150">
        <v>1182.6117824662642</v>
      </c>
      <c r="CA128" s="1152">
        <v>1214.3837220839782</v>
      </c>
      <c r="CB128" s="1152">
        <v>1206.7646573282068</v>
      </c>
      <c r="CC128" s="1152">
        <v>1194.8063621525514</v>
      </c>
      <c r="CD128" s="1152">
        <v>1182.6117824662642</v>
      </c>
      <c r="CE128" s="1150">
        <v>1182.6117824662642</v>
      </c>
      <c r="CF128" s="1152">
        <v>1182.3734454305527</v>
      </c>
      <c r="CG128" s="1152">
        <v>1176.9729852798609</v>
      </c>
      <c r="CH128" s="1152">
        <v>1178.7779798116389</v>
      </c>
      <c r="CI128" s="1152">
        <v>1181.1086734859159</v>
      </c>
      <c r="CJ128" s="1150">
        <v>1181.1086734859159</v>
      </c>
      <c r="CK128" s="1152">
        <v>1179.0311404968013</v>
      </c>
      <c r="CL128" s="1152">
        <v>1185.3235958239009</v>
      </c>
      <c r="CM128" s="1152">
        <v>1190.4930297271635</v>
      </c>
      <c r="CN128" s="1152">
        <v>1198.9807784105708</v>
      </c>
      <c r="CO128" s="1150">
        <v>1198.9807784105708</v>
      </c>
      <c r="CP128" s="1152">
        <v>1206.8795304892508</v>
      </c>
      <c r="CQ128" s="1152">
        <v>1211.9492654937355</v>
      </c>
      <c r="CR128" s="1152">
        <v>1216.5037886110861</v>
      </c>
      <c r="CS128" s="1152">
        <v>1220.6311292767523</v>
      </c>
      <c r="CT128" s="1150">
        <v>1220.6311292767523</v>
      </c>
      <c r="CU128" s="1152">
        <v>1225.6508291879481</v>
      </c>
      <c r="CV128" s="1152">
        <v>1230.9153005921253</v>
      </c>
      <c r="CW128" s="1152">
        <v>1236.5123760995748</v>
      </c>
      <c r="CX128" s="1152">
        <v>1241.8264409227736</v>
      </c>
      <c r="CY128" s="1150">
        <v>1241.8264409227736</v>
      </c>
      <c r="CZ128" s="1152">
        <v>1247.4072499886011</v>
      </c>
      <c r="DA128" s="1152">
        <v>1253.2695927877953</v>
      </c>
      <c r="DB128" s="1152">
        <v>1259.5039094878689</v>
      </c>
      <c r="DC128" s="1152">
        <v>1265.5214558612709</v>
      </c>
      <c r="DD128" s="1150">
        <v>1265.5214558612709</v>
      </c>
      <c r="DE128" s="1152">
        <v>1271.4103424208281</v>
      </c>
      <c r="DF128" s="1152">
        <v>1277.6027497754462</v>
      </c>
      <c r="DG128" s="1152">
        <v>1284.1581024566754</v>
      </c>
      <c r="DH128" s="1152">
        <v>1290.3995460194269</v>
      </c>
      <c r="DI128" s="1150">
        <v>1290.3995460194269</v>
      </c>
      <c r="DJ128" s="1152">
        <v>1296.4528803391977</v>
      </c>
      <c r="DK128" s="1152">
        <v>1302.8391174184471</v>
      </c>
      <c r="DL128" s="1152">
        <v>1309.5984854077278</v>
      </c>
      <c r="DM128" s="1152">
        <v>1316.0335323745808</v>
      </c>
      <c r="DN128" s="1150">
        <v>1316.0335323745808</v>
      </c>
      <c r="DO128" s="1152">
        <v>1322.2851672870797</v>
      </c>
      <c r="DP128" s="1152">
        <v>1328.881679274886</v>
      </c>
      <c r="DQ128" s="1152">
        <v>1335.8604634837341</v>
      </c>
      <c r="DR128" s="1152">
        <v>1342.5110889161124</v>
      </c>
      <c r="DS128" s="1150">
        <v>1342.5110889161124</v>
      </c>
      <c r="DT128" s="1152">
        <v>1348.9798523306715</v>
      </c>
      <c r="DU128" s="1152">
        <v>1355.8123912879842</v>
      </c>
      <c r="DV128" s="1152">
        <v>1363.0255602753659</v>
      </c>
      <c r="DW128" s="1152">
        <v>1369.8965316601934</v>
      </c>
      <c r="DX128" s="1150">
        <v>1369.8965316601934</v>
      </c>
      <c r="DY128" s="1152">
        <v>1376.5811925524201</v>
      </c>
      <c r="DZ128" s="1152">
        <v>1383.6480889687432</v>
      </c>
      <c r="EA128" s="1152">
        <v>1391.0945138675395</v>
      </c>
      <c r="EB128" s="1152">
        <v>1398.1852235607976</v>
      </c>
      <c r="EC128" s="1150">
        <v>1398.1852235607976</v>
      </c>
      <c r="ED128" s="25"/>
      <c r="EE128" s="1145"/>
      <c r="EF128" s="1146"/>
      <c r="EG128" s="1146"/>
      <c r="EH128" s="1146"/>
      <c r="EI128" s="1146"/>
      <c r="EJ128" s="1146"/>
      <c r="EK128" s="1146"/>
      <c r="EL128" s="1146"/>
      <c r="EM128" s="1146"/>
      <c r="EN128" s="1146"/>
      <c r="EO128" s="1146"/>
      <c r="EP128" s="1146"/>
      <c r="EQ128" s="1146"/>
      <c r="ER128" s="1149"/>
      <c r="ES128" s="25"/>
      <c r="ET128" s="25"/>
      <c r="EU128" s="25"/>
      <c r="EX128" s="231" t="s">
        <v>252</v>
      </c>
      <c r="EY128" s="1247">
        <f>CP128</f>
        <v>1206.8795304892508</v>
      </c>
      <c r="EZ128" s="1247">
        <v>1205.2582437987253</v>
      </c>
      <c r="FA128" s="1247">
        <f>EY128-EZ128</f>
        <v>1.6212866905254941</v>
      </c>
      <c r="FB128" s="1247">
        <f>CK128</f>
        <v>1179.0311404968013</v>
      </c>
      <c r="FC128" s="1248"/>
      <c r="FD128" s="25"/>
      <c r="FE128"/>
      <c r="FF128"/>
      <c r="FG128"/>
      <c r="FH128"/>
      <c r="FI128"/>
      <c r="FJ128"/>
    </row>
    <row r="129" spans="1:166" ht="11.85" customHeight="1" x14ac:dyDescent="0.2">
      <c r="A129" s="1605" t="s">
        <v>255</v>
      </c>
      <c r="B129" s="1106"/>
      <c r="C129" s="1108"/>
      <c r="D129" s="1108"/>
      <c r="E129" s="1108"/>
      <c r="F129" s="1108"/>
      <c r="G129" s="1109"/>
      <c r="H129" s="1108"/>
      <c r="I129" s="1108"/>
      <c r="J129" s="1108"/>
      <c r="K129" s="1108"/>
      <c r="L129" s="1109"/>
      <c r="M129" s="1106"/>
      <c r="N129" s="1108"/>
      <c r="O129" s="1108"/>
      <c r="P129" s="1108"/>
      <c r="Q129" s="243">
        <f>Q128/L128-1</f>
        <v>2.2633744855967031E-2</v>
      </c>
      <c r="R129" s="242"/>
      <c r="S129" s="242"/>
      <c r="T129" s="242"/>
      <c r="U129" s="242"/>
      <c r="V129" s="243">
        <f>V128/Q128-1</f>
        <v>7.2434607645875282E-2</v>
      </c>
      <c r="W129" s="242"/>
      <c r="X129" s="242"/>
      <c r="Y129" s="242"/>
      <c r="Z129" s="242">
        <f>Z128/U128-1</f>
        <v>1.4035087719298289E-2</v>
      </c>
      <c r="AA129" s="243">
        <f>AA128/V128-1</f>
        <v>5.6285178236397559E-2</v>
      </c>
      <c r="AB129" s="242">
        <f>AB128/W128-1</f>
        <v>4.5296167247386832E-2</v>
      </c>
      <c r="AC129" s="242">
        <f>AC128/X128-1</f>
        <v>6.4516129032258007E-2</v>
      </c>
      <c r="AD129" s="242">
        <f t="shared" ref="AD129:AR129" si="890">AD128/Y128-1</f>
        <v>5.5762081784386464E-2</v>
      </c>
      <c r="AE129" s="242">
        <f t="shared" si="890"/>
        <v>7.6124567474048499E-2</v>
      </c>
      <c r="AF129" s="243">
        <f t="shared" si="890"/>
        <v>5.9502664298401564E-2</v>
      </c>
      <c r="AG129" s="242">
        <f t="shared" si="890"/>
        <v>9.000000000000008E-2</v>
      </c>
      <c r="AH129" s="242">
        <f t="shared" si="890"/>
        <v>8.4175084175084347E-2</v>
      </c>
      <c r="AI129" s="242">
        <f t="shared" si="890"/>
        <v>0.10211267605633823</v>
      </c>
      <c r="AJ129" s="1110">
        <f t="shared" si="890"/>
        <v>8.6816720257234747E-2</v>
      </c>
      <c r="AK129" s="119">
        <f t="shared" si="890"/>
        <v>7.3159201903600923E-2</v>
      </c>
      <c r="AL129" s="242">
        <f t="shared" si="890"/>
        <v>4.8929663608562768E-2</v>
      </c>
      <c r="AM129" s="242">
        <f t="shared" si="890"/>
        <v>-3.1055900621118071E-2</v>
      </c>
      <c r="AN129" s="242">
        <f t="shared" si="890"/>
        <v>-6.0702875399361034E-2</v>
      </c>
      <c r="AO129" s="242">
        <f t="shared" si="890"/>
        <v>-8.2840236686390623E-2</v>
      </c>
      <c r="AP129" s="243">
        <f t="shared" si="890"/>
        <v>-1.662054057734208E-2</v>
      </c>
      <c r="AQ129" s="242">
        <f t="shared" si="890"/>
        <v>-6.4139941690962154E-2</v>
      </c>
      <c r="AR129" s="242">
        <f t="shared" si="890"/>
        <v>1.5048290722618374E-2</v>
      </c>
      <c r="AS129" s="242"/>
      <c r="AT129" s="242"/>
      <c r="AU129" s="241">
        <f>AU128/AP128-1</f>
        <v>0</v>
      </c>
      <c r="AV129" s="45"/>
      <c r="AW129" s="241"/>
      <c r="AX129" s="242"/>
      <c r="AY129" s="242"/>
      <c r="AZ129" s="242"/>
      <c r="BA129" s="1107"/>
      <c r="BB129" s="241"/>
      <c r="BC129" s="242"/>
      <c r="BD129" s="242"/>
      <c r="BE129" s="242"/>
      <c r="BF129" s="1107">
        <f t="shared" ref="BF129:BK129" si="891">BF128/BA128-1</f>
        <v>-0.25379496676366664</v>
      </c>
      <c r="BG129" s="242">
        <f t="shared" si="891"/>
        <v>-0.1962418856424355</v>
      </c>
      <c r="BH129" s="242">
        <f t="shared" si="891"/>
        <v>-0.13432308596059939</v>
      </c>
      <c r="BI129" s="242">
        <f t="shared" si="891"/>
        <v>-7.623868864091643E-2</v>
      </c>
      <c r="BJ129" s="242">
        <f t="shared" si="891"/>
        <v>3.7003172436076426E-3</v>
      </c>
      <c r="BK129" s="1107">
        <f t="shared" si="891"/>
        <v>3.7003172436076426E-3</v>
      </c>
      <c r="BL129" s="242">
        <f t="shared" ref="BL129:BU129" si="892">BL128/BG128-1</f>
        <v>-7.4032052032669826E-3</v>
      </c>
      <c r="BM129" s="242">
        <f t="shared" si="892"/>
        <v>-1.3996815122896522E-2</v>
      </c>
      <c r="BN129" s="242">
        <f t="shared" si="892"/>
        <v>-1.4582343468001358E-2</v>
      </c>
      <c r="BO129" s="242">
        <f t="shared" si="892"/>
        <v>-2.5891387671910016E-2</v>
      </c>
      <c r="BP129" s="1107">
        <f>BP128/BK128-1</f>
        <v>-2.5891387671910016E-2</v>
      </c>
      <c r="BQ129" s="242">
        <f>BQ128/BL128-1</f>
        <v>-2.6728938875775099E-2</v>
      </c>
      <c r="BR129" s="242">
        <f>BR128/BM128-1</f>
        <v>-2.5869784860386935E-2</v>
      </c>
      <c r="BS129" s="242">
        <f>BS128/BN128-1</f>
        <v>-1.7184506465689475E-2</v>
      </c>
      <c r="BT129" s="242">
        <f>BT128/BO128-1</f>
        <v>-1.5138694531986241E-2</v>
      </c>
      <c r="BU129" s="1107">
        <f t="shared" si="892"/>
        <v>-1.5138694531986241E-2</v>
      </c>
      <c r="BV129" s="1080">
        <f>BV128/BQ128-1</f>
        <v>-1.5904155011211674E-2</v>
      </c>
      <c r="BW129" s="1080">
        <f>BW128/BR128-1</f>
        <v>-1.7608310891891854E-2</v>
      </c>
      <c r="BX129" s="1080">
        <f>BX128/BS128-1</f>
        <v>-2.8876819574269019E-2</v>
      </c>
      <c r="BY129" s="1080">
        <f>BY128/BT128-1</f>
        <v>-3.3408294665786209E-2</v>
      </c>
      <c r="BZ129" s="1107">
        <f t="shared" ref="BZ129" si="893">BZ128/BU128-1</f>
        <v>-3.3408294665786209E-2</v>
      </c>
      <c r="CA129" s="242">
        <f>CA128/BQ128-1</f>
        <v>-1.5904155011211674E-2</v>
      </c>
      <c r="CB129" s="242">
        <f>CB128/BR128-1</f>
        <v>-1.7608310891891854E-2</v>
      </c>
      <c r="CC129" s="242">
        <f>CC128/BS128-1</f>
        <v>-2.8876819574269019E-2</v>
      </c>
      <c r="CD129" s="242">
        <f>CD128/BT128-1</f>
        <v>-3.3408294665786209E-2</v>
      </c>
      <c r="CE129" s="1107">
        <f>CE128/BU128-1</f>
        <v>-3.3408294665786209E-2</v>
      </c>
      <c r="CF129" s="242">
        <f t="shared" ref="CF129:CG129" si="894">CF128/CA128-1</f>
        <v>-2.6359276784848062E-2</v>
      </c>
      <c r="CG129" s="242">
        <f t="shared" si="894"/>
        <v>-2.4687226185679867E-2</v>
      </c>
      <c r="CH129" s="242">
        <f t="shared" ref="CH129:DF129" si="895">CH128/CC128-1</f>
        <v>-1.3415046026400312E-2</v>
      </c>
      <c r="CI129" s="242">
        <f t="shared" si="895"/>
        <v>-1.2710079525959372E-3</v>
      </c>
      <c r="CJ129" s="1107">
        <f t="shared" si="895"/>
        <v>-1.2710079525959372E-3</v>
      </c>
      <c r="CK129" s="242">
        <f t="shared" si="895"/>
        <v>-2.8267760466612613E-3</v>
      </c>
      <c r="CL129" s="242">
        <f t="shared" si="895"/>
        <v>7.094989136096741E-3</v>
      </c>
      <c r="CM129" s="242">
        <f t="shared" si="895"/>
        <v>9.9383006097522042E-3</v>
      </c>
      <c r="CN129" s="242">
        <f t="shared" si="895"/>
        <v>1.5131634646206926E-2</v>
      </c>
      <c r="CO129" s="1107">
        <f t="shared" si="895"/>
        <v>1.5131634646206926E-2</v>
      </c>
      <c r="CP129" s="242">
        <f t="shared" si="895"/>
        <v>2.3619723886779687E-2</v>
      </c>
      <c r="CQ129" s="242">
        <f t="shared" si="895"/>
        <v>2.246278549051195E-2</v>
      </c>
      <c r="CR129" s="242">
        <f t="shared" si="895"/>
        <v>2.1848728412869223E-2</v>
      </c>
      <c r="CS129" s="242">
        <f t="shared" si="895"/>
        <v>1.8057296043463067E-2</v>
      </c>
      <c r="CT129" s="1107">
        <f t="shared" si="895"/>
        <v>1.8057296043463067E-2</v>
      </c>
      <c r="CU129" s="719">
        <f t="shared" si="895"/>
        <v>1.5553581135880012E-2</v>
      </c>
      <c r="CV129" s="242">
        <f t="shared" si="895"/>
        <v>1.5649198888423088E-2</v>
      </c>
      <c r="CW129" s="242">
        <f t="shared" si="895"/>
        <v>1.6447616255542474E-2</v>
      </c>
      <c r="CX129" s="242">
        <f t="shared" si="895"/>
        <v>1.7364223423156355E-2</v>
      </c>
      <c r="CY129" s="1107">
        <f t="shared" si="895"/>
        <v>1.7364223423156355E-2</v>
      </c>
      <c r="CZ129" s="242">
        <f t="shared" si="895"/>
        <v>1.7750912643748284E-2</v>
      </c>
      <c r="DA129" s="242">
        <f t="shared" si="895"/>
        <v>1.8160707064829529E-2</v>
      </c>
      <c r="DB129" s="242">
        <f t="shared" si="895"/>
        <v>1.8593856262739683E-2</v>
      </c>
      <c r="DC129" s="242">
        <f t="shared" si="895"/>
        <v>1.9080778245380348E-2</v>
      </c>
      <c r="DD129" s="1107">
        <f t="shared" si="895"/>
        <v>1.9080778245380348E-2</v>
      </c>
      <c r="DE129" s="242">
        <f t="shared" si="895"/>
        <v>1.9242386504043862E-2</v>
      </c>
      <c r="DF129" s="242">
        <f t="shared" si="895"/>
        <v>1.94157403384565E-2</v>
      </c>
      <c r="DG129" s="242">
        <f t="shared" ref="DG129:DX129" si="896">DG128/DB128-1</f>
        <v>1.957452675064042E-2</v>
      </c>
      <c r="DH129" s="242">
        <f t="shared" si="896"/>
        <v>1.9658370897571942E-2</v>
      </c>
      <c r="DI129" s="1107">
        <f t="shared" si="896"/>
        <v>1.9658370897571942E-2</v>
      </c>
      <c r="DJ129" s="242">
        <f t="shared" si="896"/>
        <v>1.9696660537374067E-2</v>
      </c>
      <c r="DK129" s="242">
        <f t="shared" si="896"/>
        <v>1.9752906486336652E-2</v>
      </c>
      <c r="DL129" s="242">
        <f t="shared" si="896"/>
        <v>1.9810942984655355E-2</v>
      </c>
      <c r="DM129" s="242">
        <f t="shared" si="896"/>
        <v>1.9865154505229521E-2</v>
      </c>
      <c r="DN129" s="1107">
        <f t="shared" si="896"/>
        <v>1.9865154505229521E-2</v>
      </c>
      <c r="DO129" s="242">
        <f t="shared" si="896"/>
        <v>1.992535736518497E-2</v>
      </c>
      <c r="DP129" s="242">
        <f t="shared" si="896"/>
        <v>1.9989084997725337E-2</v>
      </c>
      <c r="DQ129" s="242">
        <f t="shared" si="896"/>
        <v>2.0053457887002635E-2</v>
      </c>
      <c r="DR129" s="242">
        <f t="shared" si="896"/>
        <v>2.0119211167634043E-2</v>
      </c>
      <c r="DS129" s="1107">
        <f t="shared" si="896"/>
        <v>2.0119211167634043E-2</v>
      </c>
      <c r="DT129" s="242">
        <f t="shared" si="896"/>
        <v>2.0188296521816973E-2</v>
      </c>
      <c r="DU129" s="242">
        <f t="shared" si="896"/>
        <v>2.0265695910408832E-2</v>
      </c>
      <c r="DV129" s="242">
        <f t="shared" si="896"/>
        <v>2.0335280168999992E-2</v>
      </c>
      <c r="DW129" s="242">
        <f t="shared" si="896"/>
        <v>2.0398671541842495E-2</v>
      </c>
      <c r="DX129" s="1107">
        <f t="shared" si="896"/>
        <v>2.0398671541842495E-2</v>
      </c>
      <c r="DY129" s="242">
        <f t="shared" ref="DY129" si="897">DY128/DT128-1</f>
        <v>2.0460898785153114E-2</v>
      </c>
      <c r="DZ129" s="242">
        <f t="shared" ref="DZ129" si="898">DZ128/DU128-1</f>
        <v>2.0530641156270901E-2</v>
      </c>
      <c r="EA129" s="242">
        <f t="shared" ref="EA129" si="899">EA128/DV128-1</f>
        <v>2.0593123423527704E-2</v>
      </c>
      <c r="EB129" s="242">
        <f t="shared" ref="EB129" si="900">EB128/DW128-1</f>
        <v>2.0650239815061644E-2</v>
      </c>
      <c r="EC129" s="1107">
        <f t="shared" ref="EC129" si="901">EC128/DX128-1</f>
        <v>2.0650239815061644E-2</v>
      </c>
      <c r="ED129" s="37"/>
      <c r="EE129" s="241"/>
      <c r="EF129" s="242"/>
      <c r="EG129" s="242"/>
      <c r="EH129" s="242"/>
      <c r="EI129" s="242"/>
      <c r="EJ129" s="242"/>
      <c r="EK129" s="242">
        <f>BF129</f>
        <v>-0.25379496676366664</v>
      </c>
      <c r="EL129" s="242">
        <f>BK129</f>
        <v>3.7003172436076426E-3</v>
      </c>
      <c r="EM129" s="242">
        <f>BP129</f>
        <v>-2.5891387671910016E-2</v>
      </c>
      <c r="EN129" s="242">
        <f>BU129</f>
        <v>-1.5138694531986241E-2</v>
      </c>
      <c r="EO129" s="242">
        <f t="shared" ref="EO129:EO138" si="902">CE129</f>
        <v>-3.3408294665786209E-2</v>
      </c>
      <c r="EP129" s="242">
        <f>CJ129</f>
        <v>-1.2710079525959372E-3</v>
      </c>
      <c r="EQ129" s="242">
        <f>CO129</f>
        <v>1.5131634646206926E-2</v>
      </c>
      <c r="ER129" s="119">
        <f>CT129</f>
        <v>1.8057296043463067E-2</v>
      </c>
      <c r="ES129" s="37"/>
      <c r="ET129" s="37"/>
      <c r="EU129" s="37"/>
      <c r="EX129" s="1249" t="s">
        <v>255</v>
      </c>
      <c r="EY129" s="274">
        <f>CP129</f>
        <v>2.3619723886779687E-2</v>
      </c>
      <c r="EZ129" s="274">
        <v>2.2244623064724856E-2</v>
      </c>
      <c r="FA129" s="274">
        <f>EY129-EZ129</f>
        <v>1.3751008220548311E-3</v>
      </c>
      <c r="FB129" s="274">
        <f>CK129</f>
        <v>-2.8267760466612613E-3</v>
      </c>
      <c r="FC129" s="623"/>
      <c r="FD129" s="25"/>
    </row>
    <row r="130" spans="1:166" s="1069" customFormat="1" ht="11.85" customHeight="1" x14ac:dyDescent="0.2">
      <c r="A130" s="49" t="s">
        <v>693</v>
      </c>
      <c r="B130" s="1153"/>
      <c r="C130" s="1154"/>
      <c r="D130" s="1154"/>
      <c r="E130" s="1154"/>
      <c r="F130" s="1154"/>
      <c r="G130" s="1154"/>
      <c r="H130" s="1154"/>
      <c r="I130" s="1154"/>
      <c r="J130" s="1154"/>
      <c r="K130" s="1154"/>
      <c r="L130" s="1154">
        <v>0.97199999999999998</v>
      </c>
      <c r="M130" s="1154"/>
      <c r="N130" s="1154"/>
      <c r="O130" s="1154"/>
      <c r="P130" s="1154"/>
      <c r="Q130" s="1155">
        <v>0.99399999999999999</v>
      </c>
      <c r="R130" s="1154"/>
      <c r="S130" s="1154"/>
      <c r="T130" s="1154"/>
      <c r="U130" s="1154">
        <v>0.28499999999999998</v>
      </c>
      <c r="V130" s="1155">
        <v>1.0660000000000001</v>
      </c>
      <c r="W130" s="1154">
        <v>0.28699999999999998</v>
      </c>
      <c r="X130" s="1154">
        <v>0.27900000000000003</v>
      </c>
      <c r="Y130" s="1154">
        <v>0.26900000000000002</v>
      </c>
      <c r="Z130" s="1154">
        <v>0.28899999999999998</v>
      </c>
      <c r="AA130" s="1155">
        <v>1.1259999999999999</v>
      </c>
      <c r="AB130" s="1154">
        <v>0.3</v>
      </c>
      <c r="AC130" s="1154">
        <v>0.29699999999999999</v>
      </c>
      <c r="AD130" s="1154">
        <v>0.28399999999999997</v>
      </c>
      <c r="AE130" s="1154">
        <v>0.311</v>
      </c>
      <c r="AF130" s="1155">
        <v>1.1930000000000001</v>
      </c>
      <c r="AG130" s="1154">
        <v>0.32700000000000001</v>
      </c>
      <c r="AH130" s="1154">
        <v>0.32200000000000001</v>
      </c>
      <c r="AI130" s="1154">
        <v>0.313</v>
      </c>
      <c r="AJ130" s="1156">
        <v>0.33800000000000002</v>
      </c>
      <c r="AK130" s="1157"/>
      <c r="AL130" s="1154">
        <v>0.34300000000000003</v>
      </c>
      <c r="AM130" s="1154">
        <v>0.312</v>
      </c>
      <c r="AN130" s="1154">
        <v>0.29399999999999998</v>
      </c>
      <c r="AO130" s="1154">
        <v>0.31</v>
      </c>
      <c r="AP130" s="1155">
        <v>1.2589999999999999</v>
      </c>
      <c r="AQ130" s="1154">
        <v>0.32100000000000001</v>
      </c>
      <c r="AR130" s="1154"/>
      <c r="AS130" s="1154"/>
      <c r="AT130" s="1154"/>
      <c r="AU130" s="1153">
        <v>1.2589999999999999</v>
      </c>
      <c r="AV130" s="49"/>
      <c r="AW130" s="1154"/>
      <c r="AX130" s="1154"/>
      <c r="AY130" s="1154"/>
      <c r="AZ130" s="1154"/>
      <c r="BA130" s="1158">
        <v>1476.9493080124453</v>
      </c>
      <c r="BB130" s="1159">
        <v>1491.1541960714358</v>
      </c>
      <c r="BC130" s="1160">
        <v>1522.3966873005418</v>
      </c>
      <c r="BD130" s="1160">
        <v>1554.7704538622299</v>
      </c>
      <c r="BE130" s="1160">
        <v>1565.80205156594</v>
      </c>
      <c r="BF130" s="1158">
        <v>1565.80205156594</v>
      </c>
      <c r="BG130" s="1160">
        <v>1569.471754062263</v>
      </c>
      <c r="BH130" s="1160">
        <v>1550.7265214963245</v>
      </c>
      <c r="BI130" s="1160">
        <v>1542.5972080553593</v>
      </c>
      <c r="BJ130" s="1160">
        <v>1553.3985065115485</v>
      </c>
      <c r="BK130" s="1158">
        <v>1553.3985065115485</v>
      </c>
      <c r="BL130" s="1160">
        <v>1539.1102926773281</v>
      </c>
      <c r="BM130" s="1160">
        <v>1529.7698431797885</v>
      </c>
      <c r="BN130" s="1160">
        <v>1513.4387663195357</v>
      </c>
      <c r="BO130" s="1160">
        <v>1502.6406502731811</v>
      </c>
      <c r="BP130" s="1158">
        <v>1502.6406502731811</v>
      </c>
      <c r="BQ130" s="1160">
        <v>1483.2076805293341</v>
      </c>
      <c r="BR130" s="1160">
        <v>1466.0144544838886</v>
      </c>
      <c r="BS130" s="1160">
        <v>1458.5945066524632</v>
      </c>
      <c r="BT130" s="1160">
        <v>1443.6512439879893</v>
      </c>
      <c r="BU130" s="1158">
        <v>1443.6512439879893</v>
      </c>
      <c r="BV130" s="1295">
        <v>1423.5920888918802</v>
      </c>
      <c r="BW130" s="1295">
        <v>1403.8224803765877</v>
      </c>
      <c r="BX130" s="1295">
        <v>1370.7063694814669</v>
      </c>
      <c r="BY130" s="1295">
        <v>1335.2172483889144</v>
      </c>
      <c r="BZ130" s="1158">
        <v>1335.2172483889144</v>
      </c>
      <c r="CA130" s="1160">
        <v>1423.5920888918802</v>
      </c>
      <c r="CB130" s="1160">
        <v>1403.8224803765877</v>
      </c>
      <c r="CC130" s="1160">
        <v>1370.7063694814669</v>
      </c>
      <c r="CD130" s="1160">
        <v>1335.2172483889144</v>
      </c>
      <c r="CE130" s="1158">
        <v>1335.2172483889144</v>
      </c>
      <c r="CF130" s="1160">
        <v>1319.7746891066611</v>
      </c>
      <c r="CG130" s="1160">
        <v>1311.0132474164147</v>
      </c>
      <c r="CH130" s="1160">
        <v>1306.8900380105704</v>
      </c>
      <c r="CI130" s="1160">
        <v>1313.4870925014229</v>
      </c>
      <c r="CJ130" s="1158">
        <v>1313.4870925014229</v>
      </c>
      <c r="CK130" s="1160">
        <v>1323.1147316696074</v>
      </c>
      <c r="CL130" s="1160">
        <v>1313.2420346549111</v>
      </c>
      <c r="CM130" s="1160">
        <v>1310.5623507022958</v>
      </c>
      <c r="CN130" s="1160">
        <v>1306.0382609369638</v>
      </c>
      <c r="CO130" s="1158">
        <v>1306.0382609369638</v>
      </c>
      <c r="CP130" s="1160">
        <v>1300.0934722173006</v>
      </c>
      <c r="CQ130" s="1160">
        <v>1295.0594136813204</v>
      </c>
      <c r="CR130" s="1160">
        <v>1289.9660094499202</v>
      </c>
      <c r="CS130" s="1161">
        <v>1284.4996730537207</v>
      </c>
      <c r="CT130" s="1158">
        <v>1284.4996730537207</v>
      </c>
      <c r="CU130" s="1162">
        <v>1284.0772880604238</v>
      </c>
      <c r="CV130" s="1160">
        <v>1283.4714791974966</v>
      </c>
      <c r="CW130" s="1160">
        <v>1282.6648609105098</v>
      </c>
      <c r="CX130" s="1160">
        <v>1283.3016623710307</v>
      </c>
      <c r="CY130" s="1158">
        <v>1283.3016623710307</v>
      </c>
      <c r="CZ130" s="1160">
        <v>1284.9149401357136</v>
      </c>
      <c r="DA130" s="1160">
        <v>1286.5586376376216</v>
      </c>
      <c r="DB130" s="1160">
        <v>1288.2670955393946</v>
      </c>
      <c r="DC130" s="1160">
        <v>1289.7563375752084</v>
      </c>
      <c r="DD130" s="1158">
        <v>1289.7563375752084</v>
      </c>
      <c r="DE130" s="1160">
        <v>1291.3127754159741</v>
      </c>
      <c r="DF130" s="1160">
        <v>1292.893897735242</v>
      </c>
      <c r="DG130" s="1160">
        <v>1294.3755916668731</v>
      </c>
      <c r="DH130" s="1160">
        <v>1295.6408139890234</v>
      </c>
      <c r="DI130" s="1158">
        <v>1295.6408139890234</v>
      </c>
      <c r="DJ130" s="1160">
        <v>1297.0160937482972</v>
      </c>
      <c r="DK130" s="1160">
        <v>1298.2204868949602</v>
      </c>
      <c r="DL130" s="1160">
        <v>1299.4261549267383</v>
      </c>
      <c r="DM130" s="1160">
        <v>1300.5989752851483</v>
      </c>
      <c r="DN130" s="1158">
        <v>1300.5989752851483</v>
      </c>
      <c r="DO130" s="1160">
        <v>1301.9659292981587</v>
      </c>
      <c r="DP130" s="1160">
        <v>1303.3830168103659</v>
      </c>
      <c r="DQ130" s="1160">
        <v>1304.8732634476598</v>
      </c>
      <c r="DR130" s="1160">
        <v>1306.4448496723915</v>
      </c>
      <c r="DS130" s="1158">
        <v>1306.4448496723915</v>
      </c>
      <c r="DT130" s="1160">
        <v>1308.3099730936869</v>
      </c>
      <c r="DU130" s="1160">
        <v>1310.2551417556308</v>
      </c>
      <c r="DV130" s="1160">
        <v>1312.2797855716226</v>
      </c>
      <c r="DW130" s="1160">
        <v>1314.379995842005</v>
      </c>
      <c r="DX130" s="1158">
        <v>1314.379995842005</v>
      </c>
      <c r="DY130" s="1160">
        <v>1316.7447745428608</v>
      </c>
      <c r="DZ130" s="1160">
        <v>1319.20681280602</v>
      </c>
      <c r="EA130" s="1160">
        <v>1321.7551093189718</v>
      </c>
      <c r="EB130" s="1160">
        <v>1324.3742135906452</v>
      </c>
      <c r="EC130" s="1158">
        <v>1324.3742135906452</v>
      </c>
      <c r="ED130" s="25"/>
      <c r="EE130" s="1153"/>
      <c r="EF130" s="1154"/>
      <c r="EG130" s="1154"/>
      <c r="EH130" s="1154"/>
      <c r="EI130" s="1154"/>
      <c r="EJ130" s="1154"/>
      <c r="EK130" s="1154"/>
      <c r="EL130" s="1154"/>
      <c r="EM130" s="1154"/>
      <c r="EN130" s="1154"/>
      <c r="EO130" s="1154"/>
      <c r="EP130" s="1154"/>
      <c r="EQ130" s="1154"/>
      <c r="ER130" s="1157"/>
      <c r="ES130" s="25"/>
      <c r="ET130" s="25"/>
      <c r="EU130" s="25"/>
      <c r="EX130" s="32" t="s">
        <v>252</v>
      </c>
      <c r="EY130" s="1246">
        <f>CP130</f>
        <v>1300.0934722173006</v>
      </c>
      <c r="EZ130" s="1246">
        <v>1301.9591462356366</v>
      </c>
      <c r="FA130" s="1246">
        <f>EY130-EZ130</f>
        <v>-1.8656740183359943</v>
      </c>
      <c r="FB130" s="1246">
        <f>CK130</f>
        <v>1323.1147316696074</v>
      </c>
      <c r="FC130" s="1250"/>
      <c r="FD130" s="25"/>
      <c r="FE130"/>
      <c r="FF130"/>
      <c r="FG130"/>
      <c r="FH130"/>
      <c r="FI130"/>
      <c r="FJ130"/>
    </row>
    <row r="131" spans="1:166" ht="11.85" customHeight="1" x14ac:dyDescent="0.2">
      <c r="A131" s="1606" t="s">
        <v>255</v>
      </c>
      <c r="B131" s="318"/>
      <c r="C131" s="232"/>
      <c r="D131" s="232"/>
      <c r="E131" s="232"/>
      <c r="F131" s="232"/>
      <c r="G131" s="235"/>
      <c r="H131" s="232"/>
      <c r="I131" s="232"/>
      <c r="J131" s="232"/>
      <c r="K131" s="232"/>
      <c r="L131" s="235"/>
      <c r="M131" s="232"/>
      <c r="N131" s="232"/>
      <c r="O131" s="232"/>
      <c r="P131" s="232"/>
      <c r="Q131" s="236">
        <f>Q130/L130-1</f>
        <v>2.2633744855967031E-2</v>
      </c>
      <c r="R131" s="233"/>
      <c r="S131" s="233"/>
      <c r="T131" s="233"/>
      <c r="U131" s="233"/>
      <c r="V131" s="236">
        <f>V130/Q130-1</f>
        <v>7.2434607645875282E-2</v>
      </c>
      <c r="W131" s="233"/>
      <c r="X131" s="233"/>
      <c r="Y131" s="233"/>
      <c r="Z131" s="233">
        <f>Z130/U130-1</f>
        <v>1.4035087719298289E-2</v>
      </c>
      <c r="AA131" s="236">
        <f>AA130/V130-1</f>
        <v>5.6285178236397559E-2</v>
      </c>
      <c r="AB131" s="233">
        <f>AB130/W130-1</f>
        <v>4.5296167247386832E-2</v>
      </c>
      <c r="AC131" s="233">
        <f>AC130/X130-1</f>
        <v>6.4516129032258007E-2</v>
      </c>
      <c r="AD131" s="233">
        <f t="shared" ref="AD131" si="903">AD130/Y130-1</f>
        <v>5.5762081784386464E-2</v>
      </c>
      <c r="AE131" s="233">
        <f t="shared" ref="AE131" si="904">AE130/Z130-1</f>
        <v>7.6124567474048499E-2</v>
      </c>
      <c r="AF131" s="236">
        <f t="shared" ref="AF131" si="905">AF130/AA130-1</f>
        <v>5.9502664298401564E-2</v>
      </c>
      <c r="AG131" s="233">
        <f t="shared" ref="AG131" si="906">AG130/AB130-1</f>
        <v>9.000000000000008E-2</v>
      </c>
      <c r="AH131" s="233">
        <f t="shared" ref="AH131" si="907">AH130/AC130-1</f>
        <v>8.4175084175084347E-2</v>
      </c>
      <c r="AI131" s="233">
        <f t="shared" ref="AI131" si="908">AI130/AD130-1</f>
        <v>0.10211267605633823</v>
      </c>
      <c r="AJ131" s="556">
        <f t="shared" ref="AJ131" si="909">AJ130/AE130-1</f>
        <v>8.6816720257234747E-2</v>
      </c>
      <c r="AK131" s="482">
        <f t="shared" ref="AK131" si="910">AK130/AF130-1</f>
        <v>-1</v>
      </c>
      <c r="AL131" s="233">
        <f t="shared" ref="AL131" si="911">AL130/AG130-1</f>
        <v>4.8929663608562768E-2</v>
      </c>
      <c r="AM131" s="233">
        <f t="shared" ref="AM131" si="912">AM130/AH130-1</f>
        <v>-3.1055900621118071E-2</v>
      </c>
      <c r="AN131" s="233">
        <f t="shared" ref="AN131" si="913">AN130/AI130-1</f>
        <v>-6.0702875399361034E-2</v>
      </c>
      <c r="AO131" s="233">
        <f t="shared" ref="AO131" si="914">AO130/AJ130-1</f>
        <v>-8.2840236686390623E-2</v>
      </c>
      <c r="AP131" s="236"/>
      <c r="AQ131" s="233">
        <f t="shared" ref="AQ131" si="915">AQ130/AL130-1</f>
        <v>-6.4139941690962154E-2</v>
      </c>
      <c r="AR131" s="233">
        <f t="shared" ref="AR131" si="916">AR130/AM130-1</f>
        <v>-1</v>
      </c>
      <c r="AS131" s="233"/>
      <c r="AT131" s="233"/>
      <c r="AU131" s="481">
        <f>AU130/AP130-1</f>
        <v>0</v>
      </c>
      <c r="AV131" s="45"/>
      <c r="AW131" s="233"/>
      <c r="AX131" s="233"/>
      <c r="AY131" s="233"/>
      <c r="AZ131" s="233"/>
      <c r="BA131" s="583"/>
      <c r="BB131" s="481"/>
      <c r="BC131" s="233"/>
      <c r="BD131" s="233"/>
      <c r="BE131" s="233"/>
      <c r="BF131" s="583">
        <f t="shared" ref="BF131" si="917">BF130/BA130-1</f>
        <v>6.015964330764012E-2</v>
      </c>
      <c r="BG131" s="233">
        <f t="shared" ref="BG131" si="918">BG130/BB130-1</f>
        <v>5.2521434870492323E-2</v>
      </c>
      <c r="BH131" s="233">
        <f t="shared" ref="BH131" si="919">BH130/BC130-1</f>
        <v>1.8608707199708974E-2</v>
      </c>
      <c r="BI131" s="233">
        <f t="shared" ref="BI131" si="920">BI130/BD130-1</f>
        <v>-7.8296096871605103E-3</v>
      </c>
      <c r="BJ131" s="233">
        <f t="shared" ref="BJ131" si="921">BJ130/BE130-1</f>
        <v>-7.9215281663393977E-3</v>
      </c>
      <c r="BK131" s="583">
        <f t="shared" ref="BK131" si="922">BK130/BF130-1</f>
        <v>-7.9215281663393977E-3</v>
      </c>
      <c r="BL131" s="233">
        <f t="shared" ref="BL131" si="923">BL130/BG130-1</f>
        <v>-1.9345019307515643E-2</v>
      </c>
      <c r="BM131" s="233">
        <f t="shared" ref="BM131" si="924">BM130/BH130-1</f>
        <v>-1.3514103245177322E-2</v>
      </c>
      <c r="BN131" s="233">
        <f t="shared" ref="BN131" si="925">BN130/BI130-1</f>
        <v>-1.8902174581646891E-2</v>
      </c>
      <c r="BO131" s="233">
        <f t="shared" ref="BO131" si="926">BO130/BJ130-1</f>
        <v>-3.2675360524424435E-2</v>
      </c>
      <c r="BP131" s="583">
        <f>BP130/BK130-1</f>
        <v>-3.2675360524424435E-2</v>
      </c>
      <c r="BQ131" s="233">
        <f>BQ130/BL130-1</f>
        <v>-3.6321381524094476E-2</v>
      </c>
      <c r="BR131" s="233">
        <f>BR130/BM130-1</f>
        <v>-4.167645805030229E-2</v>
      </c>
      <c r="BS131" s="233">
        <f>BS130/BN130-1</f>
        <v>-3.6238175529523242E-2</v>
      </c>
      <c r="BT131" s="233">
        <f>BT130/BO130-1</f>
        <v>-3.9257161234435789E-2</v>
      </c>
      <c r="BU131" s="583">
        <f t="shared" ref="BU131" si="927">BU130/BP130-1</f>
        <v>-3.9257161234435789E-2</v>
      </c>
      <c r="BV131" s="1296">
        <f>BV130/BQ130-1</f>
        <v>-4.019369129492234E-2</v>
      </c>
      <c r="BW131" s="1296">
        <f>BW130/BR130-1</f>
        <v>-4.2422483569028446E-2</v>
      </c>
      <c r="BX131" s="1296">
        <f>BX130/BS130-1</f>
        <v>-6.0255360053907858E-2</v>
      </c>
      <c r="BY131" s="1296">
        <f>BY130/BT130-1</f>
        <v>-7.511093558824733E-2</v>
      </c>
      <c r="BZ131" s="583">
        <f t="shared" ref="BZ131" si="928">BZ130/BU130-1</f>
        <v>-7.511093558824733E-2</v>
      </c>
      <c r="CA131" s="233">
        <f t="shared" ref="CA131" si="929">CA130/BQ130-1</f>
        <v>-4.019369129492234E-2</v>
      </c>
      <c r="CB131" s="233">
        <f>CB130/BR130-1</f>
        <v>-4.2422483569028446E-2</v>
      </c>
      <c r="CC131" s="233">
        <f>CC130/BS130-1</f>
        <v>-6.0255360053907858E-2</v>
      </c>
      <c r="CD131" s="233">
        <f>CD130/BT130-1</f>
        <v>-7.511093558824733E-2</v>
      </c>
      <c r="CE131" s="583">
        <f>CE130/BU130-1</f>
        <v>-7.511093558824733E-2</v>
      </c>
      <c r="CF131" s="233">
        <f t="shared" ref="CF131:CG131" si="930">CF130/CA130-1</f>
        <v>-7.2926367458272634E-2</v>
      </c>
      <c r="CG131" s="233">
        <f t="shared" si="930"/>
        <v>-6.6111801354880706E-2</v>
      </c>
      <c r="CH131" s="233">
        <f t="shared" ref="CH131" si="931">CH130/CC130-1</f>
        <v>-4.6557259010212348E-2</v>
      </c>
      <c r="CI131" s="233">
        <f t="shared" ref="CI131" si="932">CI130/CD130-1</f>
        <v>-1.627462191168616E-2</v>
      </c>
      <c r="CJ131" s="583">
        <f t="shared" ref="CJ131" si="933">CJ130/CE130-1</f>
        <v>-1.627462191168616E-2</v>
      </c>
      <c r="CK131" s="233">
        <f t="shared" ref="CK131" si="934">CK130/CF130-1</f>
        <v>2.5307672518004587E-3</v>
      </c>
      <c r="CL131" s="233">
        <f t="shared" ref="CL131" si="935">CL130/CG130-1</f>
        <v>1.7000493647860715E-3</v>
      </c>
      <c r="CM131" s="233">
        <f t="shared" ref="CM131" si="936">CM130/CH130-1</f>
        <v>2.8099630304900813E-3</v>
      </c>
      <c r="CN131" s="233">
        <f t="shared" ref="CN131" si="937">CN130/CI130-1</f>
        <v>-5.6710352214223159E-3</v>
      </c>
      <c r="CO131" s="583">
        <f t="shared" ref="CO131" si="938">CO130/CJ130-1</f>
        <v>-5.6710352214223159E-3</v>
      </c>
      <c r="CP131" s="233">
        <f t="shared" ref="CP131" si="939">CP130/CK130-1</f>
        <v>-1.7399291914206749E-2</v>
      </c>
      <c r="CQ131" s="233">
        <f t="shared" ref="CQ131" si="940">CQ130/CL130-1</f>
        <v>-1.3845597760178796E-2</v>
      </c>
      <c r="CR131" s="233">
        <f t="shared" ref="CR131" si="941">CR130/CM130-1</f>
        <v>-1.5715651560826993E-2</v>
      </c>
      <c r="CS131" s="233">
        <f t="shared" ref="CS131" si="942">CS130/CN130-1</f>
        <v>-1.64915443348429E-2</v>
      </c>
      <c r="CT131" s="583">
        <f t="shared" ref="CT131" si="943">CT130/CO130-1</f>
        <v>-1.64915443348429E-2</v>
      </c>
      <c r="CU131" s="233">
        <f t="shared" ref="CU131" si="944">CU130/CP130-1</f>
        <v>-1.2319255883626035E-2</v>
      </c>
      <c r="CV131" s="233">
        <f t="shared" ref="CV131" si="945">CV130/CQ130-1</f>
        <v>-8.9478014378383541E-3</v>
      </c>
      <c r="CW131" s="233">
        <f t="shared" ref="CW131" si="946">CW130/CR130-1</f>
        <v>-5.6599542049358131E-3</v>
      </c>
      <c r="CX131" s="233">
        <f t="shared" ref="CX131" si="947">CX130/CS130-1</f>
        <v>-9.3266717603901483E-4</v>
      </c>
      <c r="CY131" s="583">
        <f t="shared" ref="CY131" si="948">CY130/CT130-1</f>
        <v>-9.3266717603901483E-4</v>
      </c>
      <c r="CZ131" s="233">
        <f t="shared" ref="CZ131" si="949">CZ130/CU130-1</f>
        <v>6.5233773938566664E-4</v>
      </c>
      <c r="DA131" s="233">
        <f t="shared" ref="DA131" si="950">DA130/CV130-1</f>
        <v>2.4053190820065851E-3</v>
      </c>
      <c r="DB131" s="233">
        <f t="shared" ref="DB131" si="951">DB130/CW130-1</f>
        <v>4.3676526890337186E-3</v>
      </c>
      <c r="DC131" s="233">
        <f t="shared" ref="DC131" si="952">DC130/CX130-1</f>
        <v>5.0297411695485739E-3</v>
      </c>
      <c r="DD131" s="583">
        <f t="shared" ref="DD131" si="953">DD130/CY130-1</f>
        <v>5.0297411695485739E-3</v>
      </c>
      <c r="DE131" s="233">
        <f t="shared" ref="DE131" si="954">DE130/CZ130-1</f>
        <v>4.9791897349911185E-3</v>
      </c>
      <c r="DF131" s="233">
        <f t="shared" ref="DF131" si="955">DF130/DA130-1</f>
        <v>4.9241907148929176E-3</v>
      </c>
      <c r="DG131" s="233">
        <f t="shared" ref="DG131" si="956">DG130/DB130-1</f>
        <v>4.7416379325599944E-3</v>
      </c>
      <c r="DH131" s="233">
        <f t="shared" ref="DH131" si="957">DH130/DC130-1</f>
        <v>4.5624714082646012E-3</v>
      </c>
      <c r="DI131" s="583">
        <f t="shared" ref="DI131" si="958">DI130/DD130-1</f>
        <v>4.5624714082646012E-3</v>
      </c>
      <c r="DJ131" s="233">
        <f t="shared" ref="DJ131" si="959">DJ130/DE130-1</f>
        <v>4.4166823413374079E-3</v>
      </c>
      <c r="DK131" s="233">
        <f t="shared" ref="DK131" si="960">DK130/DF130-1</f>
        <v>4.1198965893867179E-3</v>
      </c>
      <c r="DL131" s="233">
        <f t="shared" ref="DL131" si="961">DL130/DG130-1</f>
        <v>3.9019302375449261E-3</v>
      </c>
      <c r="DM131" s="233">
        <f t="shared" ref="DM131" si="962">DM130/DH130-1</f>
        <v>3.8268023379564031E-3</v>
      </c>
      <c r="DN131" s="583">
        <f t="shared" ref="DN131" si="963">DN130/DI130-1</f>
        <v>3.8268023379564031E-3</v>
      </c>
      <c r="DO131" s="233">
        <f t="shared" ref="DO131" si="964">DO130/DJ130-1</f>
        <v>3.816325467139503E-3</v>
      </c>
      <c r="DP131" s="233">
        <f t="shared" ref="DP131" si="965">DP130/DK130-1</f>
        <v>3.9766202794666583E-3</v>
      </c>
      <c r="DQ131" s="233">
        <f t="shared" ref="DQ131" si="966">DQ130/DL130-1</f>
        <v>4.1919338780960214E-3</v>
      </c>
      <c r="DR131" s="233">
        <f t="shared" ref="DR131" si="967">DR130/DM130-1</f>
        <v>4.4947554921466182E-3</v>
      </c>
      <c r="DS131" s="583">
        <f t="shared" ref="DS131" si="968">DS130/DN130-1</f>
        <v>4.4947554921466182E-3</v>
      </c>
      <c r="DT131" s="233">
        <f t="shared" ref="DT131" si="969">DT130/DO130-1</f>
        <v>4.8726649851338344E-3</v>
      </c>
      <c r="DU131" s="233">
        <f t="shared" ref="DU131" si="970">DU130/DP130-1</f>
        <v>5.2725291465607338E-3</v>
      </c>
      <c r="DV131" s="233">
        <f t="shared" ref="DV131" si="971">DV130/DQ130-1</f>
        <v>5.6760471161725334E-3</v>
      </c>
      <c r="DW131" s="233">
        <f t="shared" ref="DW131" si="972">DW130/DR130-1</f>
        <v>6.0738470296723968E-3</v>
      </c>
      <c r="DX131" s="583">
        <f t="shared" ref="DX131" si="973">DX130/DS130-1</f>
        <v>6.0738470296723968E-3</v>
      </c>
      <c r="DY131" s="233">
        <f t="shared" ref="DY131" si="974">DY130/DT130-1</f>
        <v>6.4470971120311749E-3</v>
      </c>
      <c r="DZ131" s="233">
        <f t="shared" ref="DZ131" si="975">DZ130/DU130-1</f>
        <v>6.8320060460855814E-3</v>
      </c>
      <c r="EA131" s="233">
        <f t="shared" ref="EA131" si="976">EA130/DV130-1</f>
        <v>7.2205057576359977E-3</v>
      </c>
      <c r="EB131" s="233">
        <f t="shared" ref="EB131" si="977">EB130/DW130-1</f>
        <v>7.603750650692076E-3</v>
      </c>
      <c r="EC131" s="583">
        <f t="shared" ref="EC131" si="978">EC130/DX130-1</f>
        <v>7.603750650692076E-3</v>
      </c>
      <c r="ED131" s="25"/>
      <c r="EE131" s="481"/>
      <c r="EF131" s="233"/>
      <c r="EG131" s="233"/>
      <c r="EH131" s="233"/>
      <c r="EI131" s="233"/>
      <c r="EJ131" s="233"/>
      <c r="EK131" s="233">
        <f>BF131</f>
        <v>6.015964330764012E-2</v>
      </c>
      <c r="EL131" s="233">
        <f>BK131</f>
        <v>-7.9215281663393977E-3</v>
      </c>
      <c r="EM131" s="233">
        <f>BP131</f>
        <v>-3.2675360524424435E-2</v>
      </c>
      <c r="EN131" s="233">
        <f>BU131</f>
        <v>-3.9257161234435789E-2</v>
      </c>
      <c r="EO131" s="233">
        <f t="shared" ref="EO131" si="979">CE131</f>
        <v>-7.511093558824733E-2</v>
      </c>
      <c r="EP131" s="233">
        <f>CJ131</f>
        <v>-1.627462191168616E-2</v>
      </c>
      <c r="EQ131" s="233">
        <f>CO131</f>
        <v>-5.6710352214223159E-3</v>
      </c>
      <c r="ER131" s="482">
        <f>CT131</f>
        <v>-1.64915443348429E-2</v>
      </c>
      <c r="ES131" s="25"/>
      <c r="ET131" s="25"/>
      <c r="EU131" s="25"/>
      <c r="EX131" s="234" t="s">
        <v>255</v>
      </c>
      <c r="EY131" s="277">
        <f>CP131</f>
        <v>-1.7399291914206749E-2</v>
      </c>
      <c r="EZ131" s="277">
        <v>-1.5989229752793266E-2</v>
      </c>
      <c r="FA131" s="277">
        <f>EY131-EZ131</f>
        <v>-1.4100621614134834E-3</v>
      </c>
      <c r="FB131" s="277">
        <f>CK131</f>
        <v>2.5307672518004587E-3</v>
      </c>
      <c r="FC131" s="1251"/>
      <c r="FD131" s="25"/>
    </row>
    <row r="132" spans="1:166" ht="11.85" customHeight="1" x14ac:dyDescent="0.2">
      <c r="A132" s="1607" t="s">
        <v>592</v>
      </c>
      <c r="B132" s="8"/>
      <c r="C132" s="8"/>
      <c r="D132" s="8"/>
      <c r="E132" s="8"/>
      <c r="F132" s="8"/>
      <c r="G132" s="8"/>
      <c r="H132" s="8"/>
      <c r="I132" s="8"/>
      <c r="J132" s="8"/>
      <c r="K132" s="8"/>
      <c r="L132" s="8"/>
      <c r="M132" s="8"/>
      <c r="N132" s="8"/>
      <c r="O132" s="8"/>
      <c r="P132" s="8"/>
      <c r="Q132" s="8"/>
      <c r="R132" s="8"/>
      <c r="S132" s="8"/>
      <c r="T132" s="8"/>
      <c r="U132" s="8"/>
      <c r="V132" s="459"/>
      <c r="W132" s="8"/>
      <c r="X132" s="8"/>
      <c r="Y132" s="8"/>
      <c r="Z132" s="8"/>
      <c r="AA132" s="8"/>
      <c r="AB132" s="8"/>
      <c r="AC132" s="8"/>
      <c r="AD132" s="8"/>
      <c r="AE132" s="8"/>
      <c r="AF132" s="9"/>
      <c r="AG132" s="8"/>
      <c r="AH132" s="8"/>
      <c r="AI132" s="8"/>
      <c r="AJ132" s="555"/>
      <c r="AK132" s="9"/>
      <c r="AL132" s="8"/>
      <c r="AM132" s="8"/>
      <c r="AN132" s="8"/>
      <c r="AO132" s="8"/>
      <c r="AP132" s="483"/>
      <c r="AQ132" s="8"/>
      <c r="AR132" s="8"/>
      <c r="AS132" s="8"/>
      <c r="AT132" s="8"/>
      <c r="AU132" s="459"/>
      <c r="AV132" s="45"/>
      <c r="AW132" s="1105"/>
      <c r="AX132" s="1105"/>
      <c r="AY132" s="1105"/>
      <c r="AZ132" s="1105"/>
      <c r="BA132" s="1111"/>
      <c r="BB132" s="459"/>
      <c r="BC132" s="8"/>
      <c r="BD132" s="8"/>
      <c r="BE132" s="8"/>
      <c r="BF132" s="657"/>
      <c r="BG132" s="8"/>
      <c r="BH132" s="8"/>
      <c r="BI132" s="8"/>
      <c r="BJ132" s="8"/>
      <c r="BK132" s="555"/>
      <c r="BL132" s="8"/>
      <c r="BM132" s="8"/>
      <c r="BN132" s="8"/>
      <c r="BO132" s="8"/>
      <c r="BP132" s="555"/>
      <c r="BQ132" s="8"/>
      <c r="BR132" s="8"/>
      <c r="BS132" s="8"/>
      <c r="BT132" s="8"/>
      <c r="BU132" s="483"/>
      <c r="BV132" s="1293"/>
      <c r="BW132" s="1293"/>
      <c r="BX132" s="1293"/>
      <c r="BY132" s="1293"/>
      <c r="BZ132" s="483"/>
      <c r="CA132" s="8"/>
      <c r="CB132" s="8"/>
      <c r="CC132" s="8"/>
      <c r="CD132" s="8"/>
      <c r="CE132" s="555"/>
      <c r="CF132" s="8"/>
      <c r="CG132" s="8"/>
      <c r="CH132" s="8"/>
      <c r="CI132" s="8"/>
      <c r="CJ132" s="555"/>
      <c r="CK132" s="8"/>
      <c r="CL132" s="8"/>
      <c r="CM132" s="8"/>
      <c r="CN132" s="8"/>
      <c r="CO132" s="555"/>
      <c r="CP132" s="8"/>
      <c r="CQ132" s="8"/>
      <c r="CR132" s="8"/>
      <c r="CS132" s="8"/>
      <c r="CT132" s="555"/>
      <c r="CU132" s="8"/>
      <c r="CV132" s="8"/>
      <c r="CW132" s="8"/>
      <c r="CX132" s="8"/>
      <c r="CY132" s="555"/>
      <c r="CZ132" s="8"/>
      <c r="DA132" s="8"/>
      <c r="DB132" s="8"/>
      <c r="DC132" s="8"/>
      <c r="DD132" s="555"/>
      <c r="DE132" s="8"/>
      <c r="DF132" s="8"/>
      <c r="DG132" s="8"/>
      <c r="DH132" s="8"/>
      <c r="DI132" s="555"/>
      <c r="DJ132" s="8"/>
      <c r="DK132" s="8"/>
      <c r="DL132" s="8"/>
      <c r="DM132" s="8"/>
      <c r="DN132" s="555"/>
      <c r="DO132" s="8"/>
      <c r="DP132" s="8"/>
      <c r="DQ132" s="8"/>
      <c r="DR132" s="8"/>
      <c r="DS132" s="555"/>
      <c r="DT132" s="8"/>
      <c r="DU132" s="8"/>
      <c r="DV132" s="8"/>
      <c r="DW132" s="8"/>
      <c r="DX132" s="555"/>
      <c r="DY132" s="8"/>
      <c r="DZ132" s="8"/>
      <c r="EA132" s="8"/>
      <c r="EB132" s="8"/>
      <c r="EC132" s="555"/>
      <c r="ED132" s="16"/>
      <c r="EE132" s="459"/>
      <c r="EF132" s="8"/>
      <c r="EG132" s="8"/>
      <c r="EH132" s="8"/>
      <c r="EI132" s="8"/>
      <c r="EJ132" s="8"/>
      <c r="EK132" s="8"/>
      <c r="EL132" s="8"/>
      <c r="EM132" s="8"/>
      <c r="EN132" s="8"/>
      <c r="EO132" s="8"/>
      <c r="EP132" s="8"/>
      <c r="EQ132" s="8"/>
      <c r="ER132" s="9"/>
      <c r="ES132" s="16"/>
      <c r="ET132" s="16"/>
      <c r="EU132" s="16"/>
      <c r="EX132" s="1245" t="s">
        <v>409</v>
      </c>
      <c r="EY132" s="1051"/>
      <c r="EZ132" s="1051"/>
      <c r="FA132" s="1051"/>
      <c r="FB132" s="1051"/>
      <c r="FC132" s="1244"/>
      <c r="FD132" s="16"/>
    </row>
    <row r="133" spans="1:166" ht="11.25" customHeight="1" x14ac:dyDescent="0.2">
      <c r="A133" s="1234" t="s">
        <v>694</v>
      </c>
      <c r="B133" s="800"/>
      <c r="C133" s="800"/>
      <c r="D133" s="800"/>
      <c r="E133" s="800"/>
      <c r="F133" s="800"/>
      <c r="G133" s="801"/>
      <c r="H133" s="800"/>
      <c r="I133" s="800"/>
      <c r="J133" s="800"/>
      <c r="K133" s="800"/>
      <c r="L133" s="801">
        <v>-5.8999999999999997E-2</v>
      </c>
      <c r="M133" s="800">
        <v>-2.1999999999999999E-2</v>
      </c>
      <c r="N133" s="800">
        <v>-1.7000000000000001E-2</v>
      </c>
      <c r="O133" s="800">
        <v>4.0000000000000001E-3</v>
      </c>
      <c r="P133" s="800">
        <v>7.5999999999999998E-2</v>
      </c>
      <c r="Q133" s="801">
        <v>0.01</v>
      </c>
      <c r="R133" s="800">
        <v>6.8000000000000005E-2</v>
      </c>
      <c r="S133" s="800">
        <v>7.1999999999999995E-2</v>
      </c>
      <c r="T133" s="800">
        <v>7.0999999999999994E-2</v>
      </c>
      <c r="U133" s="800">
        <v>1.6E-2</v>
      </c>
      <c r="V133" s="801">
        <v>5.6000000000000001E-2</v>
      </c>
      <c r="W133" s="800">
        <v>7.0000000000000001E-3</v>
      </c>
      <c r="X133" s="800">
        <v>0.02</v>
      </c>
      <c r="Y133" s="800">
        <v>3.3000000000000002E-2</v>
      </c>
      <c r="Z133" s="800">
        <v>1.7000000000000001E-2</v>
      </c>
      <c r="AA133" s="801">
        <v>1.9E-2</v>
      </c>
      <c r="AB133" s="800">
        <v>2.4E-2</v>
      </c>
      <c r="AC133" s="800">
        <v>3.6999999999999998E-2</v>
      </c>
      <c r="AD133" s="800">
        <v>3.2000000000000001E-2</v>
      </c>
      <c r="AE133" s="800">
        <v>4.3999999999999997E-2</v>
      </c>
      <c r="AF133" s="801">
        <v>3.4000000000000002E-2</v>
      </c>
      <c r="AG133" s="800">
        <v>5.8999999999999997E-2</v>
      </c>
      <c r="AH133" s="800">
        <v>4.4999999999999998E-2</v>
      </c>
      <c r="AI133" s="800">
        <v>5.8000000000000003E-2</v>
      </c>
      <c r="AJ133" s="802">
        <v>5.2999999999999999E-2</v>
      </c>
      <c r="AK133" s="803">
        <v>5.3749999999999999E-2</v>
      </c>
      <c r="AL133" s="800">
        <v>3.5999999999999997E-2</v>
      </c>
      <c r="AM133" s="800">
        <v>2.9000000000000001E-2</v>
      </c>
      <c r="AN133" s="800">
        <v>0.01</v>
      </c>
      <c r="AO133" s="800">
        <v>-2.4E-2</v>
      </c>
      <c r="AP133" s="801">
        <v>1.2E-2</v>
      </c>
      <c r="AQ133" s="800">
        <v>-2.9000000000000001E-2</v>
      </c>
      <c r="AR133" s="800">
        <v>-0.02</v>
      </c>
      <c r="AS133" s="800">
        <v>-3.6999999999999998E-2</v>
      </c>
      <c r="AT133" s="800">
        <v>-7.0000000000000001E-3</v>
      </c>
      <c r="AU133" s="799">
        <v>-2.3E-2</v>
      </c>
      <c r="AV133" s="19"/>
      <c r="AW133" s="1057">
        <v>-3.6999999999999998E-2</v>
      </c>
      <c r="AX133" s="1058">
        <v>-7.0000000000000001E-3</v>
      </c>
      <c r="AY133" s="1058">
        <v>-1.7000000000000001E-2</v>
      </c>
      <c r="AZ133" s="1058">
        <v>-3.6999999999999998E-2</v>
      </c>
      <c r="BA133" s="431">
        <v>-2.8000000000000001E-2</v>
      </c>
      <c r="BB133" s="42">
        <v>-2.8000000000000001E-2</v>
      </c>
      <c r="BC133" s="42">
        <v>-2.1999999999999999E-2</v>
      </c>
      <c r="BD133" s="42">
        <v>1.6E-2</v>
      </c>
      <c r="BE133" s="42">
        <v>1.2E-2</v>
      </c>
      <c r="BF133" s="804">
        <v>-5.0000000000000001E-3</v>
      </c>
      <c r="BG133" s="42">
        <v>4.5999999999999999E-2</v>
      </c>
      <c r="BH133" s="42">
        <v>4.3999999999999997E-2</v>
      </c>
      <c r="BI133" s="42">
        <v>1.4E-2</v>
      </c>
      <c r="BJ133" s="42">
        <v>2.7E-2</v>
      </c>
      <c r="BK133" s="804">
        <v>3.2000000000000001E-2</v>
      </c>
      <c r="BL133" s="42">
        <v>-1.4E-2</v>
      </c>
      <c r="BM133" s="42">
        <v>6.0000000000000001E-3</v>
      </c>
      <c r="BN133" s="42">
        <v>8.9999999999999993E-3</v>
      </c>
      <c r="BO133" s="42">
        <v>1.7044267212994808E-2</v>
      </c>
      <c r="BP133" s="804">
        <v>4.5110668032487013E-3</v>
      </c>
      <c r="BQ133" s="42">
        <v>0.02</v>
      </c>
      <c r="BR133" s="42">
        <v>9.192279837775201E-3</v>
      </c>
      <c r="BS133" s="42">
        <v>2.4E-2</v>
      </c>
      <c r="BT133" s="42">
        <v>2.9344837183412187E-2</v>
      </c>
      <c r="BU133" s="279">
        <v>2.0634279255296848E-2</v>
      </c>
      <c r="BV133" s="1297">
        <v>4.5999999999999999E-2</v>
      </c>
      <c r="BW133" s="1297">
        <v>6.7000000000000004E-2</v>
      </c>
      <c r="BX133" s="1297">
        <v>6.2E-2</v>
      </c>
      <c r="BY133" s="1297">
        <v>3.9E-2</v>
      </c>
      <c r="BZ133" s="279">
        <v>5.3499999999999999E-2</v>
      </c>
      <c r="CA133" s="42">
        <v>4.5999999999999999E-2</v>
      </c>
      <c r="CB133" s="42">
        <v>6.7000000000000004E-2</v>
      </c>
      <c r="CC133" s="42">
        <v>6.2E-2</v>
      </c>
      <c r="CD133" s="42">
        <v>3.9E-2</v>
      </c>
      <c r="CE133" s="804">
        <v>5.3499999999999999E-2</v>
      </c>
      <c r="CF133" s="42">
        <v>4.5999999999999999E-2</v>
      </c>
      <c r="CG133" s="42">
        <v>6.0000000000000001E-3</v>
      </c>
      <c r="CH133" s="42">
        <v>1.7000000000000001E-2</v>
      </c>
      <c r="CI133" s="42">
        <v>2.8000000000000001E-2</v>
      </c>
      <c r="CJ133" s="804">
        <v>2.4250000000000001E-2</v>
      </c>
      <c r="CK133" s="42">
        <v>-1E-3</v>
      </c>
      <c r="CL133" s="42">
        <v>3.9E-2</v>
      </c>
      <c r="CM133" s="42">
        <v>3.5999999999999997E-2</v>
      </c>
      <c r="CN133" s="42">
        <v>4.5999999999999999E-2</v>
      </c>
      <c r="CO133" s="804">
        <v>3.1E-2</v>
      </c>
      <c r="CP133" s="42">
        <v>3.7999999999999999E-2</v>
      </c>
      <c r="CQ133" s="42">
        <v>2.5000000000000001E-2</v>
      </c>
      <c r="CR133" s="42">
        <v>1.4999999999999999E-2</v>
      </c>
      <c r="CS133" s="42">
        <v>1.4999999999999999E-2</v>
      </c>
      <c r="CT133" s="804">
        <v>2.325E-2</v>
      </c>
      <c r="CU133" s="42">
        <v>2.1392167990919409E-2</v>
      </c>
      <c r="CV133" s="42">
        <v>2.1405784891884303E-2</v>
      </c>
      <c r="CW133" s="42">
        <v>2.1424702956617851E-2</v>
      </c>
      <c r="CX133" s="42">
        <v>2.1468808567603748E-2</v>
      </c>
      <c r="CY133" s="804">
        <v>2.1422866101756328E-2</v>
      </c>
      <c r="CZ133" s="42">
        <v>2.1473600000000002E-2</v>
      </c>
      <c r="DA133" s="42">
        <v>2.14856086612094E-2</v>
      </c>
      <c r="DB133" s="42">
        <v>2.1502210663198962E-2</v>
      </c>
      <c r="DC133" s="42">
        <v>2.1538811630847032E-2</v>
      </c>
      <c r="DD133" s="804">
        <v>2.150005773881385E-2</v>
      </c>
      <c r="DE133" s="42">
        <v>2.1544176909127542E-2</v>
      </c>
      <c r="DF133" s="42">
        <v>2.1555965866560209E-2</v>
      </c>
      <c r="DG133" s="42">
        <v>2.1571119524067064E-2</v>
      </c>
      <c r="DH133" s="42">
        <v>2.1606689347836504E-2</v>
      </c>
      <c r="DI133" s="804">
        <v>2.156948791189783E-2</v>
      </c>
      <c r="DJ133" s="42">
        <v>2.1611718116322343E-2</v>
      </c>
      <c r="DK133" s="42">
        <v>2.1622477432770924E-2</v>
      </c>
      <c r="DL133" s="42">
        <v>2.1637075352998743E-2</v>
      </c>
      <c r="DM133" s="42">
        <v>2.1670380644867891E-2</v>
      </c>
      <c r="DN133" s="804">
        <v>2.1635412886739973E-2</v>
      </c>
      <c r="DO133" s="42">
        <v>2.1675268233057179E-2</v>
      </c>
      <c r="DP133" s="42">
        <v>2.1685277366698057E-2</v>
      </c>
      <c r="DQ133" s="42">
        <v>2.1698659825733116E-2</v>
      </c>
      <c r="DR133" s="42">
        <v>2.1729232364249E-2</v>
      </c>
      <c r="DS133" s="804">
        <v>2.1697109447434339E-2</v>
      </c>
      <c r="DT133" s="42">
        <v>2.1733952448514553E-2</v>
      </c>
      <c r="DU133" s="42">
        <v>2.1743259934409474E-2</v>
      </c>
      <c r="DV133" s="42">
        <v>2.1755535946888525E-2</v>
      </c>
      <c r="DW133" s="42">
        <v>2.1783646145632267E-2</v>
      </c>
      <c r="DX133" s="804">
        <v>2.1754098618861205E-2</v>
      </c>
      <c r="DY133" s="42">
        <v>2.1788180963668316E-2</v>
      </c>
      <c r="DZ133" s="42">
        <v>2.1796833879914171E-2</v>
      </c>
      <c r="EA133" s="42">
        <v>2.180810260098286E-2</v>
      </c>
      <c r="EB133" s="42">
        <v>2.1833991168080037E-2</v>
      </c>
      <c r="EC133" s="804">
        <v>2.1806777153161344E-2</v>
      </c>
      <c r="ED133" s="805"/>
      <c r="EE133" s="806"/>
      <c r="EF133" s="233"/>
      <c r="EG133" s="233">
        <f>AVERAGE(AH133,AG133,AE133,AD133)</f>
        <v>4.4999999999999998E-2</v>
      </c>
      <c r="EH133" s="233">
        <f>AVERAGE(AM133,AL133,AJ133,AI133)</f>
        <v>4.3999999999999997E-2</v>
      </c>
      <c r="EI133" s="233">
        <f>AVERAGE(AR133,AQ133,AO133,AN133)</f>
        <v>-1.5750000000000004E-2</v>
      </c>
      <c r="EJ133" s="233">
        <f t="shared" ref="EJ133:EJ138" si="980">BA133</f>
        <v>-2.8000000000000001E-2</v>
      </c>
      <c r="EK133" s="233">
        <f>BF133</f>
        <v>-5.0000000000000001E-3</v>
      </c>
      <c r="EL133" s="233">
        <f>BK133</f>
        <v>3.2000000000000001E-2</v>
      </c>
      <c r="EM133" s="233">
        <f>BP133</f>
        <v>4.5110668032487013E-3</v>
      </c>
      <c r="EN133" s="233">
        <f>BU133</f>
        <v>2.0634279255296848E-2</v>
      </c>
      <c r="EO133" s="233">
        <f>CE133</f>
        <v>5.3499999999999999E-2</v>
      </c>
      <c r="EP133" s="233">
        <f t="shared" ref="EP133:EP138" si="981">CJ133</f>
        <v>2.4250000000000001E-2</v>
      </c>
      <c r="EQ133" s="233">
        <f t="shared" ref="EQ133:EQ138" si="982">CO133</f>
        <v>3.1E-2</v>
      </c>
      <c r="ER133" s="482">
        <f t="shared" ref="ER133:ER141" si="983">CT133</f>
        <v>2.325E-2</v>
      </c>
      <c r="ES133" s="805"/>
      <c r="ET133" s="805"/>
      <c r="EU133" s="805"/>
      <c r="EX133" s="1234" t="s">
        <v>694</v>
      </c>
      <c r="EY133" s="1232">
        <f t="shared" ref="EY133:EY139" si="984">CP133</f>
        <v>3.7999999999999999E-2</v>
      </c>
      <c r="EZ133" s="1232">
        <v>3.5000000000000003E-2</v>
      </c>
      <c r="FA133" s="1232">
        <f>EY133-EZ133</f>
        <v>2.9999999999999957E-3</v>
      </c>
      <c r="FB133" s="1232">
        <f t="shared" ref="FB133:FB139" si="985">CK133</f>
        <v>-1E-3</v>
      </c>
      <c r="FC133" s="1233">
        <f>EY133-FB133</f>
        <v>3.9E-2</v>
      </c>
      <c r="FD133" s="805"/>
    </row>
    <row r="134" spans="1:166" s="1066" customFormat="1" ht="11.25" customHeight="1" x14ac:dyDescent="0.2">
      <c r="A134" s="123" t="s">
        <v>767</v>
      </c>
      <c r="B134" s="457"/>
      <c r="C134" s="22"/>
      <c r="D134" s="22"/>
      <c r="E134" s="22"/>
      <c r="F134" s="22"/>
      <c r="G134" s="123"/>
      <c r="H134" s="22"/>
      <c r="I134" s="22"/>
      <c r="J134" s="22"/>
      <c r="K134" s="22"/>
      <c r="L134" s="123"/>
      <c r="M134" s="22">
        <v>-4.5999999999999999E-2</v>
      </c>
      <c r="N134" s="22">
        <v>-4.5999999999999999E-2</v>
      </c>
      <c r="O134" s="22">
        <v>-1.2999999999999999E-2</v>
      </c>
      <c r="P134" s="22">
        <v>8.2000000000000003E-2</v>
      </c>
      <c r="Q134" s="123">
        <v>-5.0000000000000001E-3</v>
      </c>
      <c r="R134" s="22">
        <v>7.6999999999999999E-2</v>
      </c>
      <c r="S134" s="22">
        <v>9.0999999999999998E-2</v>
      </c>
      <c r="T134" s="22">
        <v>8.7999999999999995E-2</v>
      </c>
      <c r="U134" s="22">
        <v>1.2E-2</v>
      </c>
      <c r="V134" s="123">
        <v>6.6000000000000003E-2</v>
      </c>
      <c r="W134" s="22">
        <v>1.0999999999999999E-2</v>
      </c>
      <c r="X134" s="22">
        <v>2.3E-2</v>
      </c>
      <c r="Y134" s="22">
        <v>4.9000000000000002E-2</v>
      </c>
      <c r="Z134" s="22">
        <v>0.02</v>
      </c>
      <c r="AA134" s="123">
        <v>2.5000000000000001E-2</v>
      </c>
      <c r="AB134" s="22">
        <v>2.5999999999999999E-2</v>
      </c>
      <c r="AC134" s="22">
        <v>4.3999999999999997E-2</v>
      </c>
      <c r="AD134" s="22">
        <v>2.5999999999999999E-2</v>
      </c>
      <c r="AE134" s="22">
        <v>4.8000000000000001E-2</v>
      </c>
      <c r="AF134" s="123">
        <v>3.5999999999999997E-2</v>
      </c>
      <c r="AG134" s="22">
        <v>6.6000000000000003E-2</v>
      </c>
      <c r="AH134" s="22">
        <v>4.2000000000000003E-2</v>
      </c>
      <c r="AI134" s="22">
        <v>5.3999999999999999E-2</v>
      </c>
      <c r="AJ134" s="548">
        <v>5.5E-2</v>
      </c>
      <c r="AK134" s="88">
        <v>5.425E-2</v>
      </c>
      <c r="AL134" s="22">
        <v>0.03</v>
      </c>
      <c r="AM134" s="22">
        <v>1.9E-2</v>
      </c>
      <c r="AN134" s="22">
        <v>1.6E-2</v>
      </c>
      <c r="AO134" s="22">
        <v>-4.4999999999999998E-2</v>
      </c>
      <c r="AP134" s="123">
        <v>4.0000000000000001E-3</v>
      </c>
      <c r="AQ134" s="22">
        <v>-4.5999999999999999E-2</v>
      </c>
      <c r="AR134" s="22">
        <v>-3.3000000000000002E-2</v>
      </c>
      <c r="AS134" s="22">
        <v>-6.0999999999999999E-2</v>
      </c>
      <c r="AT134" s="22">
        <v>-1.4999999999999999E-2</v>
      </c>
      <c r="AU134" s="122">
        <v>-3.9E-2</v>
      </c>
      <c r="AV134" s="19"/>
      <c r="AW134" s="122">
        <v>-6.0999999999999999E-2</v>
      </c>
      <c r="AX134" s="22">
        <v>-1.4999999999999999E-2</v>
      </c>
      <c r="AY134" s="22">
        <v>-4.2000000000000003E-2</v>
      </c>
      <c r="AZ134" s="22">
        <v>-5.8000000000000003E-2</v>
      </c>
      <c r="BA134" s="123">
        <v>-0.06</v>
      </c>
      <c r="BB134" s="22">
        <v>-0.06</v>
      </c>
      <c r="BC134" s="22">
        <v>-5.2999999999999999E-2</v>
      </c>
      <c r="BD134" s="22">
        <v>-3.0000000000000001E-3</v>
      </c>
      <c r="BE134" s="22">
        <v>-0.02</v>
      </c>
      <c r="BF134" s="577">
        <v>-3.4000000000000002E-2</v>
      </c>
      <c r="BG134" s="22">
        <v>4.2000000000000003E-2</v>
      </c>
      <c r="BH134" s="22">
        <v>4.3999999999999997E-2</v>
      </c>
      <c r="BI134" s="22">
        <v>1.6E-2</v>
      </c>
      <c r="BJ134" s="22">
        <v>3.6999999999999998E-2</v>
      </c>
      <c r="BK134" s="577">
        <v>3.5000000000000003E-2</v>
      </c>
      <c r="BL134" s="22">
        <v>-3.0200053705692804E-2</v>
      </c>
      <c r="BM134" s="22">
        <v>-5.0000000000000001E-3</v>
      </c>
      <c r="BN134" s="22">
        <v>-3.0000000000000001E-3</v>
      </c>
      <c r="BO134" s="22">
        <v>2E-3</v>
      </c>
      <c r="BP134" s="577">
        <v>-9.0500134264232014E-3</v>
      </c>
      <c r="BQ134" s="22">
        <v>1E-3</v>
      </c>
      <c r="BR134" s="22">
        <v>4.0000000000000001E-3</v>
      </c>
      <c r="BS134" s="22">
        <v>3.5999999999999997E-2</v>
      </c>
      <c r="BT134" s="22">
        <v>4.2000000000000003E-2</v>
      </c>
      <c r="BU134" s="123">
        <v>2.0749999999999998E-2</v>
      </c>
      <c r="BV134" s="1196">
        <v>6.9000000000000006E-2</v>
      </c>
      <c r="BW134" s="1196">
        <v>7.9000000000000001E-2</v>
      </c>
      <c r="BX134" s="1196">
        <v>5.1999999999999998E-2</v>
      </c>
      <c r="BY134" s="1196">
        <v>2.8000000000000001E-2</v>
      </c>
      <c r="BZ134" s="123">
        <v>5.7000000000000002E-2</v>
      </c>
      <c r="CA134" s="22">
        <v>6.9000000000000006E-2</v>
      </c>
      <c r="CB134" s="22">
        <v>7.9000000000000001E-2</v>
      </c>
      <c r="CC134" s="22">
        <v>5.1999999999999998E-2</v>
      </c>
      <c r="CD134" s="22">
        <v>2.8000000000000001E-2</v>
      </c>
      <c r="CE134" s="577">
        <v>5.7000000000000002E-2</v>
      </c>
      <c r="CF134" s="22">
        <v>4.3999999999999997E-2</v>
      </c>
      <c r="CG134" s="22">
        <v>-8.0000000000000002E-3</v>
      </c>
      <c r="CH134" s="22">
        <v>-5.0000000000000001E-3</v>
      </c>
      <c r="CI134" s="22">
        <v>1.7999999999999999E-2</v>
      </c>
      <c r="CJ134" s="577">
        <v>1.0999999999999999E-2</v>
      </c>
      <c r="CK134" s="22">
        <v>-2.1999999999999999E-2</v>
      </c>
      <c r="CL134" s="22">
        <v>0.03</v>
      </c>
      <c r="CM134" s="22">
        <v>0.04</v>
      </c>
      <c r="CN134" s="22">
        <v>5.0999999999999997E-2</v>
      </c>
      <c r="CO134" s="577">
        <v>2.5000000000000001E-2</v>
      </c>
      <c r="CP134" s="22">
        <v>4.2000000000000003E-2</v>
      </c>
      <c r="CQ134" s="22">
        <v>0.02</v>
      </c>
      <c r="CR134" s="22">
        <v>1.4999999999999999E-2</v>
      </c>
      <c r="CS134" s="22">
        <v>1.4999999999999999E-2</v>
      </c>
      <c r="CT134" s="577">
        <v>2.3E-2</v>
      </c>
      <c r="CU134" s="22">
        <v>0.02</v>
      </c>
      <c r="CV134" s="22">
        <v>0.02</v>
      </c>
      <c r="CW134" s="22">
        <v>0.02</v>
      </c>
      <c r="CX134" s="22">
        <v>0.02</v>
      </c>
      <c r="CY134" s="577">
        <v>0.02</v>
      </c>
      <c r="CZ134" s="22">
        <v>0.02</v>
      </c>
      <c r="DA134" s="22">
        <v>0.02</v>
      </c>
      <c r="DB134" s="22">
        <v>0.02</v>
      </c>
      <c r="DC134" s="22">
        <v>0.02</v>
      </c>
      <c r="DD134" s="577">
        <v>0.02</v>
      </c>
      <c r="DE134" s="22">
        <v>0.02</v>
      </c>
      <c r="DF134" s="22">
        <v>0.02</v>
      </c>
      <c r="DG134" s="22">
        <v>0.02</v>
      </c>
      <c r="DH134" s="22">
        <v>0.02</v>
      </c>
      <c r="DI134" s="577">
        <v>0.02</v>
      </c>
      <c r="DJ134" s="22">
        <v>0.02</v>
      </c>
      <c r="DK134" s="22">
        <v>0.02</v>
      </c>
      <c r="DL134" s="22">
        <v>0.02</v>
      </c>
      <c r="DM134" s="22">
        <v>0.02</v>
      </c>
      <c r="DN134" s="577">
        <v>0.02</v>
      </c>
      <c r="DO134" s="22">
        <v>0.02</v>
      </c>
      <c r="DP134" s="22">
        <v>0.02</v>
      </c>
      <c r="DQ134" s="22">
        <v>0.02</v>
      </c>
      <c r="DR134" s="22">
        <v>0.02</v>
      </c>
      <c r="DS134" s="577">
        <v>0.02</v>
      </c>
      <c r="DT134" s="22">
        <v>0.02</v>
      </c>
      <c r="DU134" s="22">
        <v>0.02</v>
      </c>
      <c r="DV134" s="22">
        <v>0.02</v>
      </c>
      <c r="DW134" s="22">
        <v>0.02</v>
      </c>
      <c r="DX134" s="577">
        <v>0.02</v>
      </c>
      <c r="DY134" s="22">
        <v>0.02</v>
      </c>
      <c r="DZ134" s="22">
        <v>0.02</v>
      </c>
      <c r="EA134" s="22">
        <v>0.02</v>
      </c>
      <c r="EB134" s="22">
        <v>0.02</v>
      </c>
      <c r="EC134" s="577">
        <v>0.02</v>
      </c>
      <c r="ED134" s="296"/>
      <c r="EE134" s="122"/>
      <c r="EF134" s="22"/>
      <c r="EG134" s="22">
        <f>AVERAGE(AH134,AG134,AE134,AD134)</f>
        <v>4.5500000000000006E-2</v>
      </c>
      <c r="EH134" s="22">
        <f>AVERAGE(AM134,AL134,AJ134,AI134)</f>
        <v>3.95E-2</v>
      </c>
      <c r="EI134" s="22">
        <f>AVERAGE(AR134,AQ134,AO134,AN134)</f>
        <v>-2.7E-2</v>
      </c>
      <c r="EJ134" s="22">
        <f t="shared" si="980"/>
        <v>-0.06</v>
      </c>
      <c r="EK134" s="22">
        <f>BF134</f>
        <v>-3.4000000000000002E-2</v>
      </c>
      <c r="EL134" s="22">
        <f>BK134</f>
        <v>3.5000000000000003E-2</v>
      </c>
      <c r="EM134" s="22">
        <f>BP134</f>
        <v>-9.0500134264232014E-3</v>
      </c>
      <c r="EN134" s="22">
        <f>BU134</f>
        <v>2.0749999999999998E-2</v>
      </c>
      <c r="EO134" s="22">
        <f t="shared" si="902"/>
        <v>5.7000000000000002E-2</v>
      </c>
      <c r="EP134" s="22">
        <f t="shared" si="981"/>
        <v>1.0999999999999999E-2</v>
      </c>
      <c r="EQ134" s="22">
        <f t="shared" si="982"/>
        <v>2.5000000000000001E-2</v>
      </c>
      <c r="ER134" s="88">
        <f t="shared" si="983"/>
        <v>2.3E-2</v>
      </c>
      <c r="ES134" s="296"/>
      <c r="ET134" s="296"/>
      <c r="EU134" s="296"/>
      <c r="EX134" s="123" t="s">
        <v>695</v>
      </c>
      <c r="EY134" s="126">
        <f t="shared" si="984"/>
        <v>4.2000000000000003E-2</v>
      </c>
      <c r="EZ134" s="126">
        <v>0.03</v>
      </c>
      <c r="FA134" s="126">
        <f>EY134-EZ134</f>
        <v>1.2000000000000004E-2</v>
      </c>
      <c r="FB134" s="126">
        <f t="shared" si="985"/>
        <v>-2.1999999999999999E-2</v>
      </c>
      <c r="FC134" s="116">
        <f>EY134-FB134</f>
        <v>6.4000000000000001E-2</v>
      </c>
      <c r="FD134" s="296"/>
      <c r="FE134"/>
      <c r="FF134"/>
      <c r="FG134"/>
      <c r="FH134"/>
      <c r="FI134"/>
      <c r="FJ134"/>
    </row>
    <row r="135" spans="1:166" hidden="1" outlineLevel="1" x14ac:dyDescent="0.2">
      <c r="A135" s="123" t="s">
        <v>715</v>
      </c>
      <c r="B135" s="22"/>
      <c r="C135" s="22"/>
      <c r="D135" s="22"/>
      <c r="E135" s="22"/>
      <c r="F135" s="22"/>
      <c r="G135" s="123"/>
      <c r="H135" s="22"/>
      <c r="I135" s="22"/>
      <c r="J135" s="22"/>
      <c r="K135" s="22"/>
      <c r="L135" s="123"/>
      <c r="M135" s="22"/>
      <c r="N135" s="22"/>
      <c r="O135" s="22"/>
      <c r="P135" s="22"/>
      <c r="Q135" s="123">
        <v>5.3999999999999999E-2</v>
      </c>
      <c r="R135" s="22">
        <v>4.1000000000000002E-2</v>
      </c>
      <c r="S135" s="22">
        <v>1.7000000000000001E-2</v>
      </c>
      <c r="T135" s="22">
        <v>2.8000000000000001E-2</v>
      </c>
      <c r="U135" s="22">
        <v>2.5000000000000001E-2</v>
      </c>
      <c r="V135" s="123">
        <v>2.8000000000000001E-2</v>
      </c>
      <c r="W135" s="22">
        <v>-7.0000000000000001E-3</v>
      </c>
      <c r="X135" s="22">
        <v>1.2999999999999999E-2</v>
      </c>
      <c r="Y135" s="22">
        <v>-4.0000000000000001E-3</v>
      </c>
      <c r="Z135" s="22">
        <v>2E-3</v>
      </c>
      <c r="AA135" s="123">
        <v>0</v>
      </c>
      <c r="AB135" s="22">
        <v>1.0999999999999999E-2</v>
      </c>
      <c r="AC135" s="22">
        <v>1.7000000000000001E-2</v>
      </c>
      <c r="AD135" s="22">
        <v>5.2999999999999999E-2</v>
      </c>
      <c r="AE135" s="22">
        <v>4.1000000000000002E-2</v>
      </c>
      <c r="AF135" s="123">
        <v>0.03</v>
      </c>
      <c r="AG135" s="22">
        <v>4.5999999999999999E-2</v>
      </c>
      <c r="AH135" s="22">
        <v>5.5E-2</v>
      </c>
      <c r="AI135" s="22">
        <v>6.8000000000000005E-2</v>
      </c>
      <c r="AJ135" s="548">
        <v>4.7E-2</v>
      </c>
      <c r="AK135" s="88">
        <v>5.4000000000000006E-2</v>
      </c>
      <c r="AL135" s="22">
        <v>4.8000000000000001E-2</v>
      </c>
      <c r="AM135" s="22">
        <v>0.05</v>
      </c>
      <c r="AN135" s="22">
        <v>-6.0000000000000001E-3</v>
      </c>
      <c r="AO135" s="22">
        <v>2.5000000000000001E-2</v>
      </c>
      <c r="AP135" s="123">
        <v>2.9000000000000001E-2</v>
      </c>
      <c r="AQ135" s="22">
        <v>0.01</v>
      </c>
      <c r="AR135" s="22">
        <v>8.9999999999999993E-3</v>
      </c>
      <c r="AS135" s="22">
        <v>1.0999999999999999E-2</v>
      </c>
      <c r="AT135" s="22">
        <v>2E-3</v>
      </c>
      <c r="AU135" s="122">
        <v>8.0000000000000002E-3</v>
      </c>
      <c r="AV135" s="19"/>
      <c r="AW135" s="122">
        <v>1.0999999999999999E-2</v>
      </c>
      <c r="AX135" s="22">
        <v>2E-3</v>
      </c>
      <c r="AY135" s="22">
        <v>8.0000000000000002E-3</v>
      </c>
      <c r="AZ135" s="22">
        <v>1.4E-2</v>
      </c>
      <c r="BA135" s="123">
        <v>1.7000000000000001E-2</v>
      </c>
      <c r="BB135" s="22">
        <v>1.7000000000000001E-2</v>
      </c>
      <c r="BC135" s="22">
        <v>2.1999999999999999E-2</v>
      </c>
      <c r="BD135" s="22">
        <v>0.03</v>
      </c>
      <c r="BE135" s="22"/>
      <c r="BF135" s="577"/>
      <c r="BG135" s="22"/>
      <c r="BH135" s="22"/>
      <c r="BI135" s="22"/>
      <c r="BJ135" s="22"/>
      <c r="BK135" s="577"/>
      <c r="BL135" s="22"/>
      <c r="BM135" s="22"/>
      <c r="BN135" s="22"/>
      <c r="BO135" s="22"/>
      <c r="BP135" s="577"/>
      <c r="BQ135" s="22"/>
      <c r="BR135" s="22"/>
      <c r="BS135" s="22"/>
      <c r="BT135" s="22"/>
      <c r="BU135" s="123"/>
      <c r="BV135" s="1196"/>
      <c r="BW135" s="1196"/>
      <c r="BX135" s="1196"/>
      <c r="BY135" s="1196"/>
      <c r="BZ135" s="123"/>
      <c r="CA135" s="22"/>
      <c r="CB135" s="22"/>
      <c r="CC135" s="22"/>
      <c r="CD135" s="22"/>
      <c r="CE135" s="577"/>
      <c r="CF135" s="22"/>
      <c r="CG135" s="22"/>
      <c r="CH135" s="22"/>
      <c r="CI135" s="22"/>
      <c r="CJ135" s="577"/>
      <c r="CK135" s="22"/>
      <c r="CL135" s="22"/>
      <c r="CM135" s="22"/>
      <c r="CN135" s="22"/>
      <c r="CO135" s="577"/>
      <c r="CP135" s="22"/>
      <c r="CQ135" s="22"/>
      <c r="CR135" s="22"/>
      <c r="CS135" s="22"/>
      <c r="CT135" s="577"/>
      <c r="CU135" s="22"/>
      <c r="CV135" s="22"/>
      <c r="CW135" s="22"/>
      <c r="CX135" s="22"/>
      <c r="CY135" s="577"/>
      <c r="CZ135" s="22"/>
      <c r="DA135" s="22"/>
      <c r="DB135" s="22"/>
      <c r="DC135" s="22"/>
      <c r="DD135" s="577"/>
      <c r="DE135" s="22"/>
      <c r="DF135" s="22"/>
      <c r="DG135" s="22"/>
      <c r="DH135" s="22"/>
      <c r="DI135" s="577"/>
      <c r="DJ135" s="22"/>
      <c r="DK135" s="22"/>
      <c r="DL135" s="22"/>
      <c r="DM135" s="22"/>
      <c r="DN135" s="577"/>
      <c r="DO135" s="22"/>
      <c r="DP135" s="22"/>
      <c r="DQ135" s="22"/>
      <c r="DR135" s="22"/>
      <c r="DS135" s="577"/>
      <c r="DT135" s="22"/>
      <c r="DU135" s="22"/>
      <c r="DV135" s="22"/>
      <c r="DW135" s="22"/>
      <c r="DX135" s="577"/>
      <c r="DY135" s="22"/>
      <c r="DZ135" s="22"/>
      <c r="EA135" s="22"/>
      <c r="EB135" s="22"/>
      <c r="EC135" s="577"/>
      <c r="ED135" s="296"/>
      <c r="EE135" s="122"/>
      <c r="EF135" s="22"/>
      <c r="EG135" s="22">
        <f>AVERAGE(AH135,AG135,AE135,AD135)</f>
        <v>4.8750000000000002E-2</v>
      </c>
      <c r="EH135" s="22">
        <f>AVERAGE(AM135,AL135,AJ135,AI135)</f>
        <v>5.3250000000000006E-2</v>
      </c>
      <c r="EI135" s="22">
        <f>AVERAGE(AR135,AQ135,AO135,AN135)</f>
        <v>9.4999999999999998E-3</v>
      </c>
      <c r="EJ135" s="22">
        <f t="shared" si="980"/>
        <v>1.7000000000000001E-2</v>
      </c>
      <c r="EK135" s="22"/>
      <c r="EL135" s="22"/>
      <c r="EM135" s="22"/>
      <c r="EN135" s="22"/>
      <c r="EO135" s="22">
        <f t="shared" si="902"/>
        <v>0</v>
      </c>
      <c r="EP135" s="22">
        <f t="shared" si="981"/>
        <v>0</v>
      </c>
      <c r="EQ135" s="22">
        <f t="shared" si="982"/>
        <v>0</v>
      </c>
      <c r="ER135" s="88">
        <f t="shared" si="983"/>
        <v>0</v>
      </c>
      <c r="ES135" s="296"/>
      <c r="ET135" s="296"/>
      <c r="EU135" s="296"/>
      <c r="EX135" s="123" t="s">
        <v>715</v>
      </c>
      <c r="EY135" s="126">
        <f t="shared" si="984"/>
        <v>0</v>
      </c>
      <c r="EZ135" s="126">
        <v>0</v>
      </c>
      <c r="FA135" s="126"/>
      <c r="FB135" s="126">
        <f t="shared" si="985"/>
        <v>0</v>
      </c>
      <c r="FC135" s="116"/>
      <c r="FD135" s="296"/>
    </row>
    <row r="136" spans="1:166" hidden="1" outlineLevel="1" collapsed="1" x14ac:dyDescent="0.2">
      <c r="A136" s="123" t="s">
        <v>696</v>
      </c>
      <c r="B136" s="22"/>
      <c r="C136" s="22"/>
      <c r="D136" s="22"/>
      <c r="E136" s="22"/>
      <c r="F136" s="22"/>
      <c r="G136" s="123"/>
      <c r="H136" s="22"/>
      <c r="I136" s="22"/>
      <c r="J136" s="22"/>
      <c r="K136" s="22"/>
      <c r="L136" s="123"/>
      <c r="M136" s="22"/>
      <c r="N136" s="22"/>
      <c r="O136" s="22"/>
      <c r="P136" s="22"/>
      <c r="Q136" s="123"/>
      <c r="R136" s="22"/>
      <c r="S136" s="22"/>
      <c r="T136" s="22"/>
      <c r="U136" s="22"/>
      <c r="V136" s="123"/>
      <c r="W136" s="22"/>
      <c r="X136" s="22"/>
      <c r="Y136" s="22"/>
      <c r="Z136" s="22"/>
      <c r="AA136" s="123"/>
      <c r="AB136" s="22"/>
      <c r="AC136" s="22"/>
      <c r="AD136" s="22"/>
      <c r="AE136" s="22"/>
      <c r="AF136" s="123"/>
      <c r="AG136" s="22"/>
      <c r="AH136" s="22"/>
      <c r="AI136" s="22"/>
      <c r="AJ136" s="548"/>
      <c r="AK136" s="88"/>
      <c r="AL136" s="22"/>
      <c r="AM136" s="22"/>
      <c r="AN136" s="22"/>
      <c r="AO136" s="22"/>
      <c r="AP136" s="123"/>
      <c r="AQ136" s="22"/>
      <c r="AR136" s="22"/>
      <c r="AS136" s="22"/>
      <c r="AT136" s="22"/>
      <c r="AU136" s="122"/>
      <c r="AV136" s="19"/>
      <c r="AW136" s="122"/>
      <c r="AX136" s="22"/>
      <c r="AY136" s="22"/>
      <c r="AZ136" s="22"/>
      <c r="BA136" s="123">
        <v>1.4999999999999999E-2</v>
      </c>
      <c r="BB136" s="22">
        <v>1.4999999999999999E-2</v>
      </c>
      <c r="BC136" s="22">
        <v>3.2000000000000001E-2</v>
      </c>
      <c r="BD136" s="22">
        <v>4.7E-2</v>
      </c>
      <c r="BE136" s="22">
        <v>7.2999999999999995E-2</v>
      </c>
      <c r="BF136" s="577">
        <v>4.2999999999999997E-2</v>
      </c>
      <c r="BG136" s="22">
        <v>6.6000000000000003E-2</v>
      </c>
      <c r="BH136" s="22">
        <v>3.3000000000000002E-2</v>
      </c>
      <c r="BI136" s="22">
        <v>1.7999999999999999E-2</v>
      </c>
      <c r="BJ136" s="22">
        <v>1.7000000000000001E-2</v>
      </c>
      <c r="BK136" s="577">
        <v>3.2000000000000001E-2</v>
      </c>
      <c r="BL136" s="22">
        <v>8.0000000000000002E-3</v>
      </c>
      <c r="BM136" s="22">
        <v>2.8911214953271029E-2</v>
      </c>
      <c r="BN136" s="22">
        <v>2.4E-2</v>
      </c>
      <c r="BO136" s="22">
        <v>3.3000000000000002E-2</v>
      </c>
      <c r="BP136" s="577">
        <v>2.4E-2</v>
      </c>
      <c r="BQ136" s="22">
        <v>4.8000000000000001E-2</v>
      </c>
      <c r="BR136" s="22">
        <v>8.9999999999999993E-3</v>
      </c>
      <c r="BS136" s="22">
        <v>1.2999999999999999E-2</v>
      </c>
      <c r="BT136" s="22">
        <v>8.9999999999999993E-3</v>
      </c>
      <c r="BU136" s="123">
        <v>1.975E-2</v>
      </c>
      <c r="BV136" s="1196">
        <v>7.0000000000000001E-3</v>
      </c>
      <c r="BW136" s="1196">
        <v>5.0999999999999997E-2</v>
      </c>
      <c r="BX136" s="1196">
        <v>7.2999999999999995E-2</v>
      </c>
      <c r="BY136" s="1196">
        <v>4.5999999999999999E-2</v>
      </c>
      <c r="BZ136" s="123">
        <v>4.4249999999999998E-2</v>
      </c>
      <c r="CA136" s="22">
        <v>7.0000000000000001E-3</v>
      </c>
      <c r="CB136" s="22">
        <v>5.0999999999999997E-2</v>
      </c>
      <c r="CC136" s="22">
        <v>7.2999999999999995E-2</v>
      </c>
      <c r="CD136" s="22">
        <v>4.5999999999999999E-2</v>
      </c>
      <c r="CE136" s="577">
        <v>4.4249999999999998E-2</v>
      </c>
      <c r="CF136" s="22">
        <v>3.5999999999999997E-2</v>
      </c>
      <c r="CG136" s="22">
        <v>8.0000000000000002E-3</v>
      </c>
      <c r="CH136" s="22">
        <v>2.5999999999999999E-2</v>
      </c>
      <c r="CI136" s="22">
        <v>2.1000000000000001E-2</v>
      </c>
      <c r="CJ136" s="577">
        <v>2.1999999999999999E-2</v>
      </c>
      <c r="CK136" s="22">
        <v>0</v>
      </c>
      <c r="CL136" s="22">
        <v>0.03</v>
      </c>
      <c r="CM136" s="22">
        <v>5.0000000000000001E-3</v>
      </c>
      <c r="CN136" s="22">
        <v>0.02</v>
      </c>
      <c r="CO136" s="577">
        <v>1.833333333333333E-2</v>
      </c>
      <c r="CP136" s="22">
        <v>2.5000000000000001E-2</v>
      </c>
      <c r="CQ136" s="22">
        <v>2.5000000000000001E-2</v>
      </c>
      <c r="CR136" s="22">
        <v>2.5000000000000001E-2</v>
      </c>
      <c r="CS136" s="22">
        <v>2.5000000000000001E-2</v>
      </c>
      <c r="CT136" s="577">
        <v>2.5000000000000001E-2</v>
      </c>
      <c r="CU136" s="22">
        <v>0.02</v>
      </c>
      <c r="CV136" s="22">
        <v>0.02</v>
      </c>
      <c r="CW136" s="22">
        <v>0.02</v>
      </c>
      <c r="CX136" s="22">
        <v>0.02</v>
      </c>
      <c r="CY136" s="577">
        <v>0.02</v>
      </c>
      <c r="CZ136" s="22">
        <v>0.02</v>
      </c>
      <c r="DA136" s="22">
        <v>0.02</v>
      </c>
      <c r="DB136" s="22">
        <v>0.02</v>
      </c>
      <c r="DC136" s="22">
        <v>0.02</v>
      </c>
      <c r="DD136" s="577">
        <v>0.02</v>
      </c>
      <c r="DE136" s="22">
        <v>0.02</v>
      </c>
      <c r="DF136" s="22">
        <v>0.02</v>
      </c>
      <c r="DG136" s="22">
        <v>0.02</v>
      </c>
      <c r="DH136" s="22">
        <v>0.02</v>
      </c>
      <c r="DI136" s="577">
        <v>0.02</v>
      </c>
      <c r="DJ136" s="22">
        <v>0.02</v>
      </c>
      <c r="DK136" s="22">
        <v>0.02</v>
      </c>
      <c r="DL136" s="22">
        <v>0.02</v>
      </c>
      <c r="DM136" s="22">
        <v>0.02</v>
      </c>
      <c r="DN136" s="577">
        <v>0.02</v>
      </c>
      <c r="DO136" s="22">
        <v>0.02</v>
      </c>
      <c r="DP136" s="22">
        <v>0.02</v>
      </c>
      <c r="DQ136" s="22">
        <v>0.02</v>
      </c>
      <c r="DR136" s="22">
        <v>0.02</v>
      </c>
      <c r="DS136" s="577">
        <v>0.02</v>
      </c>
      <c r="DT136" s="22">
        <v>0.02</v>
      </c>
      <c r="DU136" s="22">
        <v>0.02</v>
      </c>
      <c r="DV136" s="22">
        <v>0.02</v>
      </c>
      <c r="DW136" s="22">
        <v>0.02</v>
      </c>
      <c r="DX136" s="577">
        <v>0.02</v>
      </c>
      <c r="DY136" s="22">
        <v>0.02</v>
      </c>
      <c r="DZ136" s="22">
        <v>0.02</v>
      </c>
      <c r="EA136" s="22">
        <v>0.02</v>
      </c>
      <c r="EB136" s="22">
        <v>0.02</v>
      </c>
      <c r="EC136" s="577">
        <v>0.02</v>
      </c>
      <c r="ED136" s="296"/>
      <c r="EE136" s="122"/>
      <c r="EF136" s="22"/>
      <c r="EG136" s="22"/>
      <c r="EH136" s="22"/>
      <c r="EI136" s="22"/>
      <c r="EJ136" s="22">
        <f t="shared" si="980"/>
        <v>1.4999999999999999E-2</v>
      </c>
      <c r="EK136" s="22">
        <f>BF136</f>
        <v>4.2999999999999997E-2</v>
      </c>
      <c r="EL136" s="22">
        <f>BK136</f>
        <v>3.2000000000000001E-2</v>
      </c>
      <c r="EM136" s="22">
        <f>BP136</f>
        <v>2.4E-2</v>
      </c>
      <c r="EN136" s="22">
        <f>BU136</f>
        <v>1.975E-2</v>
      </c>
      <c r="EO136" s="22">
        <f t="shared" si="902"/>
        <v>4.4249999999999998E-2</v>
      </c>
      <c r="EP136" s="22">
        <f t="shared" si="981"/>
        <v>2.1999999999999999E-2</v>
      </c>
      <c r="EQ136" s="22">
        <f t="shared" si="982"/>
        <v>1.833333333333333E-2</v>
      </c>
      <c r="ER136" s="88">
        <f t="shared" si="983"/>
        <v>2.5000000000000001E-2</v>
      </c>
      <c r="ES136" s="296"/>
      <c r="ET136" s="296"/>
      <c r="EU136" s="296"/>
      <c r="EX136" s="123" t="s">
        <v>696</v>
      </c>
      <c r="EY136" s="126">
        <f t="shared" si="984"/>
        <v>2.5000000000000001E-2</v>
      </c>
      <c r="EZ136" s="126">
        <v>2.5000000000000001E-2</v>
      </c>
      <c r="FA136" s="126">
        <f>EY136-EZ136</f>
        <v>0</v>
      </c>
      <c r="FB136" s="126">
        <f t="shared" si="985"/>
        <v>0</v>
      </c>
      <c r="FC136" s="116">
        <f>EY136-FB136</f>
        <v>2.5000000000000001E-2</v>
      </c>
      <c r="FD136" s="296"/>
    </row>
    <row r="137" spans="1:166" hidden="1" outlineLevel="1" x14ac:dyDescent="0.2">
      <c r="A137" s="123" t="s">
        <v>697</v>
      </c>
      <c r="B137" s="22"/>
      <c r="C137" s="22"/>
      <c r="D137" s="22"/>
      <c r="E137" s="22"/>
      <c r="F137" s="22"/>
      <c r="G137" s="123"/>
      <c r="H137" s="22"/>
      <c r="I137" s="22"/>
      <c r="J137" s="22"/>
      <c r="K137" s="22"/>
      <c r="L137" s="123"/>
      <c r="M137" s="22"/>
      <c r="N137" s="22"/>
      <c r="O137" s="22"/>
      <c r="P137" s="22"/>
      <c r="Q137" s="123">
        <v>0.04</v>
      </c>
      <c r="R137" s="22">
        <v>6.4000000000000001E-2</v>
      </c>
      <c r="S137" s="22">
        <v>8.2000000000000003E-2</v>
      </c>
      <c r="T137" s="22">
        <v>5.6000000000000001E-2</v>
      </c>
      <c r="U137" s="22">
        <v>2.1999999999999999E-2</v>
      </c>
      <c r="V137" s="123">
        <v>5.5E-2</v>
      </c>
      <c r="W137" s="22">
        <v>1.4999999999999999E-2</v>
      </c>
      <c r="X137" s="22">
        <v>1.6E-2</v>
      </c>
      <c r="Y137" s="22">
        <v>1.4999999999999999E-2</v>
      </c>
      <c r="Z137" s="22">
        <v>0.05</v>
      </c>
      <c r="AA137" s="123">
        <v>2.5000000000000001E-2</v>
      </c>
      <c r="AB137" s="22">
        <v>6.0999999999999999E-2</v>
      </c>
      <c r="AC137" s="22">
        <v>4.1000000000000002E-2</v>
      </c>
      <c r="AD137" s="22">
        <v>2.7E-2</v>
      </c>
      <c r="AE137" s="22">
        <v>1.4999999999999999E-2</v>
      </c>
      <c r="AF137" s="123">
        <v>3.5000000000000003E-2</v>
      </c>
      <c r="AG137" s="22">
        <v>3.7999999999999999E-2</v>
      </c>
      <c r="AH137" s="22">
        <v>2.4E-2</v>
      </c>
      <c r="AI137" s="22">
        <v>5.8000000000000003E-2</v>
      </c>
      <c r="AJ137" s="548">
        <v>5.1999999999999998E-2</v>
      </c>
      <c r="AK137" s="88">
        <v>4.2999999999999997E-2</v>
      </c>
      <c r="AL137" s="22">
        <v>5.1999999999999998E-2</v>
      </c>
      <c r="AM137" s="22">
        <v>4.1000000000000002E-2</v>
      </c>
      <c r="AN137" s="22">
        <v>1.2999999999999999E-2</v>
      </c>
      <c r="AO137" s="22">
        <v>-0.03</v>
      </c>
      <c r="AP137" s="123">
        <v>1.9E-2</v>
      </c>
      <c r="AQ137" s="22">
        <v>-4.5999999999999999E-2</v>
      </c>
      <c r="AR137" s="22">
        <v>-2.5999999999999999E-2</v>
      </c>
      <c r="AS137" s="22">
        <v>-1.6E-2</v>
      </c>
      <c r="AT137" s="22">
        <v>3.9E-2</v>
      </c>
      <c r="AU137" s="122">
        <v>-1.2999999999999999E-2</v>
      </c>
      <c r="AV137" s="19"/>
      <c r="AW137" s="122">
        <v>-1.6E-2</v>
      </c>
      <c r="AX137" s="22">
        <v>3.9E-2</v>
      </c>
      <c r="AY137" s="22">
        <v>6.9000000000000006E-2</v>
      </c>
      <c r="AZ137" s="22">
        <v>5.6000000000000001E-2</v>
      </c>
      <c r="BA137" s="123">
        <v>0.04</v>
      </c>
      <c r="BB137" s="22">
        <v>0.04</v>
      </c>
      <c r="BC137" s="22">
        <v>6.8000000000000005E-2</v>
      </c>
      <c r="BD137" s="22">
        <v>0.105</v>
      </c>
      <c r="BE137" s="22">
        <v>9.7000000000000003E-2</v>
      </c>
      <c r="BF137" s="577">
        <v>7.9000000000000001E-2</v>
      </c>
      <c r="BG137" s="22">
        <v>9.9000000000000005E-2</v>
      </c>
      <c r="BH137" s="22">
        <v>0.105</v>
      </c>
      <c r="BI137" s="22">
        <v>2.7E-2</v>
      </c>
      <c r="BJ137" s="22">
        <v>7.0000000000000001E-3</v>
      </c>
      <c r="BK137" s="577">
        <v>5.7000000000000002E-2</v>
      </c>
      <c r="BL137" s="22">
        <v>-1.2999999999999999E-2</v>
      </c>
      <c r="BM137" s="22">
        <v>-2.1999999999999999E-2</v>
      </c>
      <c r="BN137" s="22">
        <v>2.1000000000000001E-2</v>
      </c>
      <c r="BO137" s="22">
        <v>1.7999999999999999E-2</v>
      </c>
      <c r="BP137" s="577">
        <v>1.0000000000000009E-3</v>
      </c>
      <c r="BQ137" s="22">
        <v>0.04</v>
      </c>
      <c r="BR137" s="22">
        <v>1.0999999999999999E-2</v>
      </c>
      <c r="BS137" s="22">
        <v>-0.03</v>
      </c>
      <c r="BT137" s="22">
        <v>0.02</v>
      </c>
      <c r="BU137" s="123">
        <v>1.0250000000000002E-2</v>
      </c>
      <c r="BV137" s="1196">
        <v>4.9000000000000002E-2</v>
      </c>
      <c r="BW137" s="1196">
        <v>8.5000000000000006E-2</v>
      </c>
      <c r="BX137" s="1196">
        <v>0.114</v>
      </c>
      <c r="BY137" s="1196">
        <v>8.6999999999999994E-2</v>
      </c>
      <c r="BZ137" s="123">
        <v>8.3749999999999991E-2</v>
      </c>
      <c r="CA137" s="22">
        <v>4.9000000000000002E-2</v>
      </c>
      <c r="CB137" s="22">
        <v>8.5000000000000006E-2</v>
      </c>
      <c r="CC137" s="22">
        <v>0.114</v>
      </c>
      <c r="CD137" s="22">
        <v>8.6999999999999994E-2</v>
      </c>
      <c r="CE137" s="577">
        <v>8.3749999999999991E-2</v>
      </c>
      <c r="CF137" s="22">
        <v>0.10100000000000001</v>
      </c>
      <c r="CG137" s="22">
        <v>4.9000000000000002E-2</v>
      </c>
      <c r="CH137" s="22">
        <v>9.5000000000000001E-2</v>
      </c>
      <c r="CI137" s="22">
        <v>0.10100000000000001</v>
      </c>
      <c r="CJ137" s="577">
        <v>8.6500000000000007E-2</v>
      </c>
      <c r="CK137" s="22">
        <v>0</v>
      </c>
      <c r="CL137" s="22">
        <v>0.04</v>
      </c>
      <c r="CM137" s="22">
        <v>0.01</v>
      </c>
      <c r="CN137" s="22">
        <v>0.02</v>
      </c>
      <c r="CO137" s="577">
        <v>2.3333333333333334E-2</v>
      </c>
      <c r="CP137" s="22">
        <v>2.5000000000000001E-2</v>
      </c>
      <c r="CQ137" s="22">
        <v>2.5000000000000001E-2</v>
      </c>
      <c r="CR137" s="22">
        <v>2.5000000000000001E-2</v>
      </c>
      <c r="CS137" s="22">
        <v>2.5000000000000001E-2</v>
      </c>
      <c r="CT137" s="577">
        <v>2.5000000000000001E-2</v>
      </c>
      <c r="CU137" s="22">
        <v>2.5000000000000001E-2</v>
      </c>
      <c r="CV137" s="22">
        <v>2.5000000000000001E-2</v>
      </c>
      <c r="CW137" s="22">
        <v>2.5000000000000001E-2</v>
      </c>
      <c r="CX137" s="22">
        <v>2.5000000000000001E-2</v>
      </c>
      <c r="CY137" s="577">
        <v>2.5000000000000001E-2</v>
      </c>
      <c r="CZ137" s="22">
        <v>2.5000000000000001E-2</v>
      </c>
      <c r="DA137" s="22">
        <v>2.5000000000000001E-2</v>
      </c>
      <c r="DB137" s="22">
        <v>2.5000000000000001E-2</v>
      </c>
      <c r="DC137" s="22">
        <v>2.5000000000000001E-2</v>
      </c>
      <c r="DD137" s="577">
        <v>2.5000000000000001E-2</v>
      </c>
      <c r="DE137" s="22">
        <v>2.5000000000000001E-2</v>
      </c>
      <c r="DF137" s="22">
        <v>2.5000000000000001E-2</v>
      </c>
      <c r="DG137" s="22">
        <v>2.5000000000000001E-2</v>
      </c>
      <c r="DH137" s="22">
        <v>2.5000000000000001E-2</v>
      </c>
      <c r="DI137" s="577">
        <v>2.5000000000000001E-2</v>
      </c>
      <c r="DJ137" s="22">
        <v>2.5000000000000001E-2</v>
      </c>
      <c r="DK137" s="22">
        <v>2.5000000000000001E-2</v>
      </c>
      <c r="DL137" s="22">
        <v>2.5000000000000001E-2</v>
      </c>
      <c r="DM137" s="22">
        <v>2.5000000000000001E-2</v>
      </c>
      <c r="DN137" s="577">
        <v>2.5000000000000001E-2</v>
      </c>
      <c r="DO137" s="22">
        <v>2.5000000000000001E-2</v>
      </c>
      <c r="DP137" s="22">
        <v>2.5000000000000001E-2</v>
      </c>
      <c r="DQ137" s="22">
        <v>2.5000000000000001E-2</v>
      </c>
      <c r="DR137" s="22">
        <v>2.5000000000000001E-2</v>
      </c>
      <c r="DS137" s="577">
        <v>2.5000000000000001E-2</v>
      </c>
      <c r="DT137" s="22">
        <v>2.5000000000000001E-2</v>
      </c>
      <c r="DU137" s="22">
        <v>2.5000000000000001E-2</v>
      </c>
      <c r="DV137" s="22">
        <v>2.5000000000000001E-2</v>
      </c>
      <c r="DW137" s="22">
        <v>2.5000000000000001E-2</v>
      </c>
      <c r="DX137" s="577">
        <v>2.5000000000000001E-2</v>
      </c>
      <c r="DY137" s="22">
        <v>2.5000000000000001E-2</v>
      </c>
      <c r="DZ137" s="22">
        <v>2.5000000000000001E-2</v>
      </c>
      <c r="EA137" s="22">
        <v>2.5000000000000001E-2</v>
      </c>
      <c r="EB137" s="22">
        <v>2.5000000000000001E-2</v>
      </c>
      <c r="EC137" s="577">
        <v>2.5000000000000001E-2</v>
      </c>
      <c r="ED137" s="296"/>
      <c r="EE137" s="122"/>
      <c r="EF137" s="22"/>
      <c r="EG137" s="22">
        <f>AVERAGE(AH137,AG137,AE137,AD137)</f>
        <v>2.5999999999999999E-2</v>
      </c>
      <c r="EH137" s="22">
        <f>AVERAGE(AM137,AL137,AJ137,AI137)</f>
        <v>5.0749999999999997E-2</v>
      </c>
      <c r="EI137" s="22">
        <f>AVERAGE(AR137,AQ137,AO137,AN137)</f>
        <v>-2.2249999999999999E-2</v>
      </c>
      <c r="EJ137" s="22">
        <f t="shared" si="980"/>
        <v>0.04</v>
      </c>
      <c r="EK137" s="22">
        <f>BF137</f>
        <v>7.9000000000000001E-2</v>
      </c>
      <c r="EL137" s="22">
        <f>BK137</f>
        <v>5.7000000000000002E-2</v>
      </c>
      <c r="EM137" s="22">
        <f>BP137</f>
        <v>1.0000000000000009E-3</v>
      </c>
      <c r="EN137" s="22">
        <f>BU137</f>
        <v>1.0250000000000002E-2</v>
      </c>
      <c r="EO137" s="22">
        <f t="shared" si="902"/>
        <v>8.3749999999999991E-2</v>
      </c>
      <c r="EP137" s="22">
        <f t="shared" si="981"/>
        <v>8.6500000000000007E-2</v>
      </c>
      <c r="EQ137" s="22">
        <f t="shared" si="982"/>
        <v>2.3333333333333334E-2</v>
      </c>
      <c r="ER137" s="88">
        <f t="shared" si="983"/>
        <v>2.5000000000000001E-2</v>
      </c>
      <c r="ES137" s="296"/>
      <c r="ET137" s="296"/>
      <c r="EU137" s="296"/>
      <c r="EX137" s="123" t="s">
        <v>697</v>
      </c>
      <c r="EY137" s="126">
        <f t="shared" si="984"/>
        <v>2.5000000000000001E-2</v>
      </c>
      <c r="EZ137" s="126">
        <v>2.5000000000000001E-2</v>
      </c>
      <c r="FA137" s="126">
        <f>EY137-EZ137</f>
        <v>0</v>
      </c>
      <c r="FB137" s="126">
        <f t="shared" si="985"/>
        <v>0</v>
      </c>
      <c r="FC137" s="116">
        <f>EY137-FB137</f>
        <v>2.5000000000000001E-2</v>
      </c>
      <c r="FD137" s="296"/>
    </row>
    <row r="138" spans="1:166" hidden="1" outlineLevel="1" x14ac:dyDescent="0.2">
      <c r="A138" s="123" t="s">
        <v>698</v>
      </c>
      <c r="B138" s="22"/>
      <c r="C138" s="22"/>
      <c r="D138" s="22"/>
      <c r="E138" s="22"/>
      <c r="F138" s="22"/>
      <c r="G138" s="123"/>
      <c r="H138" s="22"/>
      <c r="I138" s="22"/>
      <c r="J138" s="22"/>
      <c r="K138" s="22"/>
      <c r="L138" s="123"/>
      <c r="M138" s="22"/>
      <c r="N138" s="22"/>
      <c r="O138" s="22"/>
      <c r="P138" s="22"/>
      <c r="Q138" s="123"/>
      <c r="R138" s="22"/>
      <c r="S138" s="22"/>
      <c r="T138" s="22"/>
      <c r="U138" s="22"/>
      <c r="V138" s="123"/>
      <c r="W138" s="22"/>
      <c r="X138" s="22"/>
      <c r="Y138" s="22"/>
      <c r="Z138" s="22"/>
      <c r="AA138" s="123"/>
      <c r="AB138" s="22"/>
      <c r="AC138" s="22"/>
      <c r="AD138" s="22"/>
      <c r="AE138" s="22"/>
      <c r="AF138" s="123"/>
      <c r="AG138" s="22"/>
      <c r="AH138" s="22"/>
      <c r="AI138" s="22"/>
      <c r="AJ138" s="548"/>
      <c r="AK138" s="88"/>
      <c r="AL138" s="22"/>
      <c r="AM138" s="22"/>
      <c r="AN138" s="22"/>
      <c r="AO138" s="22"/>
      <c r="AP138" s="123"/>
      <c r="AQ138" s="22"/>
      <c r="AR138" s="22"/>
      <c r="AS138" s="22"/>
      <c r="AT138" s="22"/>
      <c r="AU138" s="122"/>
      <c r="AV138" s="19"/>
      <c r="AW138" s="122"/>
      <c r="AX138" s="22"/>
      <c r="AY138" s="22"/>
      <c r="AZ138" s="22"/>
      <c r="BA138" s="123">
        <v>0.02</v>
      </c>
      <c r="BB138" s="22">
        <v>0.02</v>
      </c>
      <c r="BC138" s="22">
        <v>-6.0000000000000001E-3</v>
      </c>
      <c r="BD138" s="22">
        <v>-1.4999999999999999E-2</v>
      </c>
      <c r="BE138" s="22">
        <v>-1.2E-2</v>
      </c>
      <c r="BF138" s="577">
        <v>-4.0000000000000001E-3</v>
      </c>
      <c r="BG138" s="22">
        <v>-2.8000000000000001E-2</v>
      </c>
      <c r="BH138" s="22">
        <v>2.1000000000000001E-2</v>
      </c>
      <c r="BI138" s="22">
        <v>-2.1999999999999999E-2</v>
      </c>
      <c r="BJ138" s="22">
        <v>8.0000000000000002E-3</v>
      </c>
      <c r="BK138" s="577">
        <v>-5.0000000000000001E-3</v>
      </c>
      <c r="BL138" s="22">
        <v>2.7E-2</v>
      </c>
      <c r="BM138" s="22">
        <v>3.9E-2</v>
      </c>
      <c r="BN138" s="22">
        <v>3.6999999999999998E-2</v>
      </c>
      <c r="BO138" s="22">
        <v>6.2E-2</v>
      </c>
      <c r="BP138" s="577">
        <v>4.1250000000000002E-2</v>
      </c>
      <c r="BQ138" s="22">
        <v>3.7999999999999999E-2</v>
      </c>
      <c r="BR138" s="22">
        <v>3.6999999999999998E-2</v>
      </c>
      <c r="BS138" s="22">
        <v>4.1000000000000002E-2</v>
      </c>
      <c r="BT138" s="22">
        <v>2.9000000000000001E-2</v>
      </c>
      <c r="BU138" s="123">
        <v>3.6249999999999998E-2</v>
      </c>
      <c r="BV138" s="1196">
        <v>1.7000000000000001E-2</v>
      </c>
      <c r="BW138" s="1196">
        <v>2.3E-2</v>
      </c>
      <c r="BX138" s="1196">
        <v>5.2999999999999999E-2</v>
      </c>
      <c r="BY138" s="1196">
        <v>4.3999999999999997E-2</v>
      </c>
      <c r="BZ138" s="123">
        <v>3.4250000000000003E-2</v>
      </c>
      <c r="CA138" s="22">
        <v>1.7000000000000001E-2</v>
      </c>
      <c r="CB138" s="22">
        <v>2.3E-2</v>
      </c>
      <c r="CC138" s="22">
        <v>5.2999999999999999E-2</v>
      </c>
      <c r="CD138" s="22">
        <v>4.3999999999999997E-2</v>
      </c>
      <c r="CE138" s="577">
        <v>3.4250000000000003E-2</v>
      </c>
      <c r="CF138" s="22">
        <v>4.7E-2</v>
      </c>
      <c r="CG138" s="22">
        <v>5.2999999999999999E-2</v>
      </c>
      <c r="CH138" s="22">
        <v>5.2999999999999999E-2</v>
      </c>
      <c r="CI138" s="22">
        <v>4.3999999999999997E-2</v>
      </c>
      <c r="CJ138" s="577">
        <v>4.9250000000000002E-2</v>
      </c>
      <c r="CK138" s="22">
        <v>0</v>
      </c>
      <c r="CL138" s="22">
        <v>0.03</v>
      </c>
      <c r="CM138" s="22">
        <v>0.01</v>
      </c>
      <c r="CN138" s="22">
        <v>0.03</v>
      </c>
      <c r="CO138" s="577">
        <v>2.3333333333333334E-2</v>
      </c>
      <c r="CP138" s="22">
        <v>2.5000000000000001E-2</v>
      </c>
      <c r="CQ138" s="22">
        <v>2.5000000000000001E-2</v>
      </c>
      <c r="CR138" s="22">
        <v>2.5000000000000001E-2</v>
      </c>
      <c r="CS138" s="22">
        <v>2.5000000000000001E-2</v>
      </c>
      <c r="CT138" s="577">
        <v>2.5000000000000001E-2</v>
      </c>
      <c r="CU138" s="22">
        <v>2.5000000000000001E-2</v>
      </c>
      <c r="CV138" s="22">
        <v>2.5000000000000001E-2</v>
      </c>
      <c r="CW138" s="22">
        <v>2.5000000000000001E-2</v>
      </c>
      <c r="CX138" s="22">
        <v>2.5000000000000001E-2</v>
      </c>
      <c r="CY138" s="577">
        <v>2.5000000000000001E-2</v>
      </c>
      <c r="CZ138" s="22">
        <v>2.5000000000000001E-2</v>
      </c>
      <c r="DA138" s="22">
        <v>2.5000000000000001E-2</v>
      </c>
      <c r="DB138" s="22">
        <v>2.5000000000000001E-2</v>
      </c>
      <c r="DC138" s="22">
        <v>2.5000000000000001E-2</v>
      </c>
      <c r="DD138" s="577">
        <v>2.5000000000000001E-2</v>
      </c>
      <c r="DE138" s="22">
        <v>2.5000000000000001E-2</v>
      </c>
      <c r="DF138" s="22">
        <v>2.5000000000000001E-2</v>
      </c>
      <c r="DG138" s="22">
        <v>2.5000000000000001E-2</v>
      </c>
      <c r="DH138" s="22">
        <v>2.5000000000000001E-2</v>
      </c>
      <c r="DI138" s="577">
        <v>2.5000000000000001E-2</v>
      </c>
      <c r="DJ138" s="22">
        <v>2.5000000000000001E-2</v>
      </c>
      <c r="DK138" s="22">
        <v>2.5000000000000001E-2</v>
      </c>
      <c r="DL138" s="22">
        <v>2.5000000000000001E-2</v>
      </c>
      <c r="DM138" s="22">
        <v>2.5000000000000001E-2</v>
      </c>
      <c r="DN138" s="577">
        <v>2.5000000000000001E-2</v>
      </c>
      <c r="DO138" s="22">
        <v>2.5000000000000001E-2</v>
      </c>
      <c r="DP138" s="22">
        <v>2.5000000000000001E-2</v>
      </c>
      <c r="DQ138" s="22">
        <v>2.5000000000000001E-2</v>
      </c>
      <c r="DR138" s="22">
        <v>2.5000000000000001E-2</v>
      </c>
      <c r="DS138" s="577">
        <v>2.5000000000000001E-2</v>
      </c>
      <c r="DT138" s="22">
        <v>2.5000000000000001E-2</v>
      </c>
      <c r="DU138" s="22">
        <v>2.5000000000000001E-2</v>
      </c>
      <c r="DV138" s="22">
        <v>2.5000000000000001E-2</v>
      </c>
      <c r="DW138" s="22">
        <v>2.5000000000000001E-2</v>
      </c>
      <c r="DX138" s="577">
        <v>2.5000000000000001E-2</v>
      </c>
      <c r="DY138" s="22">
        <v>2.5000000000000001E-2</v>
      </c>
      <c r="DZ138" s="22">
        <v>2.5000000000000001E-2</v>
      </c>
      <c r="EA138" s="22">
        <v>2.5000000000000001E-2</v>
      </c>
      <c r="EB138" s="22">
        <v>2.5000000000000001E-2</v>
      </c>
      <c r="EC138" s="577">
        <v>2.5000000000000001E-2</v>
      </c>
      <c r="ED138" s="296"/>
      <c r="EE138" s="122"/>
      <c r="EF138" s="22"/>
      <c r="EG138" s="22"/>
      <c r="EH138" s="22"/>
      <c r="EI138" s="22"/>
      <c r="EJ138" s="22">
        <f t="shared" si="980"/>
        <v>0.02</v>
      </c>
      <c r="EK138" s="22">
        <f>BF138</f>
        <v>-4.0000000000000001E-3</v>
      </c>
      <c r="EL138" s="22">
        <f>BK138</f>
        <v>-5.0000000000000001E-3</v>
      </c>
      <c r="EM138" s="22">
        <f>BP138</f>
        <v>4.1250000000000002E-2</v>
      </c>
      <c r="EN138" s="22">
        <f>BU138</f>
        <v>3.6249999999999998E-2</v>
      </c>
      <c r="EO138" s="22">
        <f t="shared" si="902"/>
        <v>3.4250000000000003E-2</v>
      </c>
      <c r="EP138" s="22">
        <f t="shared" si="981"/>
        <v>4.9250000000000002E-2</v>
      </c>
      <c r="EQ138" s="22">
        <f t="shared" si="982"/>
        <v>2.3333333333333334E-2</v>
      </c>
      <c r="ER138" s="88">
        <f t="shared" si="983"/>
        <v>2.5000000000000001E-2</v>
      </c>
      <c r="ES138" s="296"/>
      <c r="ET138" s="296"/>
      <c r="EU138" s="296"/>
      <c r="EX138" s="123" t="s">
        <v>698</v>
      </c>
      <c r="EY138" s="126">
        <f t="shared" si="984"/>
        <v>2.5000000000000001E-2</v>
      </c>
      <c r="EZ138" s="126">
        <v>2.5000000000000001E-2</v>
      </c>
      <c r="FA138" s="126">
        <f>EY138-EZ138</f>
        <v>0</v>
      </c>
      <c r="FB138" s="126">
        <f t="shared" si="985"/>
        <v>0</v>
      </c>
      <c r="FC138" s="116">
        <f>EY138-FB138</f>
        <v>2.5000000000000001E-2</v>
      </c>
      <c r="FD138" s="296"/>
    </row>
    <row r="139" spans="1:166" collapsed="1" x14ac:dyDescent="0.2">
      <c r="A139" s="1424" t="s">
        <v>699</v>
      </c>
      <c r="B139" s="22"/>
      <c r="C139" s="22"/>
      <c r="D139" s="22"/>
      <c r="E139" s="22"/>
      <c r="F139" s="22"/>
      <c r="G139" s="123"/>
      <c r="H139" s="22"/>
      <c r="I139" s="22"/>
      <c r="J139" s="22"/>
      <c r="K139" s="22"/>
      <c r="L139" s="123"/>
      <c r="M139" s="22"/>
      <c r="N139" s="22"/>
      <c r="O139" s="22"/>
      <c r="P139" s="22"/>
      <c r="Q139" s="123"/>
      <c r="R139" s="22"/>
      <c r="S139" s="22"/>
      <c r="T139" s="22"/>
      <c r="U139" s="22"/>
      <c r="V139" s="123"/>
      <c r="W139" s="22"/>
      <c r="X139" s="22"/>
      <c r="Y139" s="22"/>
      <c r="Z139" s="22"/>
      <c r="AA139" s="123"/>
      <c r="AB139" s="22"/>
      <c r="AC139" s="22"/>
      <c r="AD139" s="22"/>
      <c r="AE139" s="22"/>
      <c r="AF139" s="123"/>
      <c r="AG139" s="22"/>
      <c r="AH139" s="22"/>
      <c r="AI139" s="22"/>
      <c r="AJ139" s="548"/>
      <c r="AK139" s="88"/>
      <c r="AL139" s="22"/>
      <c r="AM139" s="22"/>
      <c r="AN139" s="22"/>
      <c r="AO139" s="22"/>
      <c r="AP139" s="123"/>
      <c r="AQ139" s="22"/>
      <c r="AR139" s="22"/>
      <c r="AS139" s="22"/>
      <c r="AT139" s="22"/>
      <c r="AU139" s="122"/>
      <c r="AV139" s="19"/>
      <c r="AW139" s="880">
        <v>5.0218494624850979E-2</v>
      </c>
      <c r="AX139" s="146">
        <v>6.13991617735112E-2</v>
      </c>
      <c r="AY139" s="146">
        <v>4.2193207711165338E-2</v>
      </c>
      <c r="AZ139" s="146">
        <v>4.0936001323382307E-2</v>
      </c>
      <c r="BA139" s="145">
        <v>4.8197331990856185E-2</v>
      </c>
      <c r="BB139" s="245">
        <v>2.2283834609602815E-2</v>
      </c>
      <c r="BC139" s="245">
        <v>4.0080986764583139E-2</v>
      </c>
      <c r="BD139" s="245">
        <v>4.8197567801296685E-2</v>
      </c>
      <c r="BE139" s="245">
        <v>5.6403423983155926E-2</v>
      </c>
      <c r="BF139" s="607">
        <v>4.1745823330792242E-2</v>
      </c>
      <c r="BG139" s="245">
        <v>5.4782263558684166E-2</v>
      </c>
      <c r="BH139" s="245">
        <v>2.0543771509360337E-2</v>
      </c>
      <c r="BI139" s="245">
        <v>1.9315864725401644E-2</v>
      </c>
      <c r="BJ139" s="245">
        <v>2.6511113527945874E-2</v>
      </c>
      <c r="BK139" s="607">
        <v>2.948665083714485E-2</v>
      </c>
      <c r="BL139" s="245">
        <v>-3.1788699801974735E-3</v>
      </c>
      <c r="BM139" s="245">
        <v>1.4913412900081684E-2</v>
      </c>
      <c r="BN139" s="245">
        <v>1.8134722846635604E-2</v>
      </c>
      <c r="BO139" s="245">
        <v>1.7999999999999999E-2</v>
      </c>
      <c r="BP139" s="607">
        <v>1.2E-2</v>
      </c>
      <c r="BQ139" s="245">
        <v>1.6299426028412708E-2</v>
      </c>
      <c r="BR139" s="245">
        <v>2.9205738459333757E-2</v>
      </c>
      <c r="BS139" s="245">
        <v>3.8157640257374122E-2</v>
      </c>
      <c r="BT139" s="245">
        <v>4.1000000000000002E-2</v>
      </c>
      <c r="BU139" s="300">
        <v>3.1E-2</v>
      </c>
      <c r="BV139" s="1298">
        <v>1.6299426028412708E-2</v>
      </c>
      <c r="BW139" s="1298">
        <v>2.9205738459333757E-2</v>
      </c>
      <c r="BX139" s="1298">
        <v>3.8157640257374122E-2</v>
      </c>
      <c r="BY139" s="1298">
        <v>4.1000000000000002E-2</v>
      </c>
      <c r="BZ139" s="300">
        <v>3.1E-2</v>
      </c>
      <c r="CA139" s="245">
        <v>5.2999999999999999E-2</v>
      </c>
      <c r="CB139" s="245">
        <v>5.5E-2</v>
      </c>
      <c r="CC139" s="245">
        <v>5.3024519652567735E-2</v>
      </c>
      <c r="CD139" s="245">
        <v>6.3456969665742699E-2</v>
      </c>
      <c r="CE139" s="300">
        <v>5.6037815600890412E-2</v>
      </c>
      <c r="CF139" s="245">
        <v>5.6000000000000001E-2</v>
      </c>
      <c r="CG139" s="245">
        <v>2.7E-2</v>
      </c>
      <c r="CH139" s="245">
        <v>0.02</v>
      </c>
      <c r="CI139" s="245">
        <v>2E-3</v>
      </c>
      <c r="CJ139" s="300">
        <v>2.4514290802623753E-2</v>
      </c>
      <c r="CK139" s="245">
        <v>-1E-3</v>
      </c>
      <c r="CL139" s="245">
        <v>-8.0000000000000002E-3</v>
      </c>
      <c r="CM139" s="245">
        <v>3.0000000000000001E-3</v>
      </c>
      <c r="CN139" s="245">
        <v>1E-3</v>
      </c>
      <c r="CO139" s="300">
        <v>-1E-3</v>
      </c>
      <c r="CP139" s="245">
        <v>-3.0000000000000001E-3</v>
      </c>
      <c r="CQ139" s="245">
        <v>0</v>
      </c>
      <c r="CR139" s="245">
        <v>0</v>
      </c>
      <c r="CS139" s="245">
        <v>5.0000000000000001E-3</v>
      </c>
      <c r="CT139" s="607">
        <v>1.521600361864375E-3</v>
      </c>
      <c r="CU139" s="245">
        <v>1.8980788074590443E-2</v>
      </c>
      <c r="CV139" s="245">
        <v>1.9034312570737892E-2</v>
      </c>
      <c r="CW139" s="245">
        <v>1.9047286621537231E-2</v>
      </c>
      <c r="CX139" s="245">
        <v>2.359587812225156E-2</v>
      </c>
      <c r="CY139" s="607">
        <v>2.0161937857448572E-2</v>
      </c>
      <c r="CZ139" s="245">
        <v>2.5000000000000001E-2</v>
      </c>
      <c r="DA139" s="245">
        <v>2.5000000000000001E-2</v>
      </c>
      <c r="DB139" s="245">
        <v>2.4999999999999998E-2</v>
      </c>
      <c r="DC139" s="245">
        <v>2.5000000000000001E-2</v>
      </c>
      <c r="DD139" s="607">
        <v>2.5000000000000001E-2</v>
      </c>
      <c r="DE139" s="245">
        <v>2.5000000000000001E-2</v>
      </c>
      <c r="DF139" s="245">
        <v>2.5000000000000001E-2</v>
      </c>
      <c r="DG139" s="245">
        <v>2.5000000000000001E-2</v>
      </c>
      <c r="DH139" s="245">
        <v>2.4999999999999998E-2</v>
      </c>
      <c r="DI139" s="607">
        <v>2.5000000000000001E-2</v>
      </c>
      <c r="DJ139" s="245">
        <v>2.5000000000000005E-2</v>
      </c>
      <c r="DK139" s="245">
        <v>2.5000000000000001E-2</v>
      </c>
      <c r="DL139" s="245">
        <v>2.5000000000000001E-2</v>
      </c>
      <c r="DM139" s="245">
        <v>2.4999999999999998E-2</v>
      </c>
      <c r="DN139" s="607">
        <v>2.5000000000000001E-2</v>
      </c>
      <c r="DO139" s="245">
        <v>2.5000000000000005E-2</v>
      </c>
      <c r="DP139" s="245">
        <v>2.5000000000000001E-2</v>
      </c>
      <c r="DQ139" s="245">
        <v>2.5000000000000005E-2</v>
      </c>
      <c r="DR139" s="245">
        <v>2.5000000000000001E-2</v>
      </c>
      <c r="DS139" s="607">
        <v>2.5000000000000001E-2</v>
      </c>
      <c r="DT139" s="245">
        <v>2.4999999999999998E-2</v>
      </c>
      <c r="DU139" s="245">
        <v>2.5000000000000001E-2</v>
      </c>
      <c r="DV139" s="245">
        <v>2.5000000000000001E-2</v>
      </c>
      <c r="DW139" s="245">
        <v>2.5000000000000001E-2</v>
      </c>
      <c r="DX139" s="607">
        <v>2.5000000000000001E-2</v>
      </c>
      <c r="DY139" s="245">
        <v>2.5000000000000001E-2</v>
      </c>
      <c r="DZ139" s="245">
        <v>2.5000000000000001E-2</v>
      </c>
      <c r="EA139" s="245">
        <v>2.5000000000000001E-2</v>
      </c>
      <c r="EB139" s="245">
        <v>2.5000000000000001E-2</v>
      </c>
      <c r="EC139" s="607">
        <v>2.5000000000000001E-2</v>
      </c>
      <c r="ED139" s="296"/>
      <c r="EE139" s="122"/>
      <c r="EF139" s="22"/>
      <c r="EG139" s="22"/>
      <c r="EH139" s="22"/>
      <c r="EI139" s="22"/>
      <c r="EJ139" s="22">
        <f t="shared" ref="EJ139:EJ141" si="986">BA139</f>
        <v>4.8197331990856185E-2</v>
      </c>
      <c r="EK139" s="22">
        <f t="shared" ref="EK139:EK141" si="987">BF139</f>
        <v>4.1745823330792242E-2</v>
      </c>
      <c r="EL139" s="22">
        <f t="shared" ref="EL139:EL141" si="988">BK139</f>
        <v>2.948665083714485E-2</v>
      </c>
      <c r="EM139" s="22">
        <f t="shared" ref="EM139:EM141" si="989">BP139</f>
        <v>1.2E-2</v>
      </c>
      <c r="EN139" s="22">
        <f t="shared" ref="EN139:EN141" si="990">BU139</f>
        <v>3.1E-2</v>
      </c>
      <c r="EO139" s="22">
        <f t="shared" ref="EO139:EO141" si="991">CE139</f>
        <v>5.6037815600890412E-2</v>
      </c>
      <c r="EP139" s="22">
        <f t="shared" ref="EP139:EP141" si="992">CJ139</f>
        <v>2.4514290802623753E-2</v>
      </c>
      <c r="EQ139" s="22">
        <f t="shared" ref="EQ139:EQ141" si="993">CO139</f>
        <v>-1E-3</v>
      </c>
      <c r="ER139" s="88">
        <f t="shared" si="983"/>
        <v>1.521600361864375E-3</v>
      </c>
      <c r="ES139" s="296"/>
      <c r="ET139" s="296"/>
      <c r="EU139" s="296"/>
      <c r="EX139" s="1235" t="s">
        <v>699</v>
      </c>
      <c r="EY139" s="1019">
        <f t="shared" si="984"/>
        <v>-3.0000000000000001E-3</v>
      </c>
      <c r="EZ139" s="1019">
        <v>4.2588286708928422E-3</v>
      </c>
      <c r="FA139" s="1019">
        <f t="shared" ref="FA139" si="994">EY139-EZ139</f>
        <v>-7.2588286708928423E-3</v>
      </c>
      <c r="FB139" s="1019">
        <f t="shared" si="985"/>
        <v>-1E-3</v>
      </c>
      <c r="FC139" s="1020">
        <f t="shared" ref="FC139" si="995">EY139-FB139</f>
        <v>-2E-3</v>
      </c>
      <c r="FD139" s="296"/>
    </row>
    <row r="140" spans="1:166" hidden="1" outlineLevel="1" x14ac:dyDescent="0.2">
      <c r="A140" s="300" t="s">
        <v>767</v>
      </c>
      <c r="B140" s="22"/>
      <c r="C140" s="22"/>
      <c r="D140" s="22"/>
      <c r="E140" s="22"/>
      <c r="F140" s="22"/>
      <c r="G140" s="22"/>
      <c r="H140" s="22"/>
      <c r="I140" s="22"/>
      <c r="J140" s="22"/>
      <c r="K140" s="22"/>
      <c r="L140" s="22"/>
      <c r="M140" s="22"/>
      <c r="N140" s="22"/>
      <c r="O140" s="22"/>
      <c r="P140" s="22"/>
      <c r="Q140" s="22"/>
      <c r="R140" s="22"/>
      <c r="S140" s="22"/>
      <c r="T140" s="22"/>
      <c r="U140" s="22"/>
      <c r="V140" s="122"/>
      <c r="W140" s="22"/>
      <c r="X140" s="22"/>
      <c r="Y140" s="22"/>
      <c r="Z140" s="22"/>
      <c r="AA140" s="22"/>
      <c r="AB140" s="22"/>
      <c r="AC140" s="22"/>
      <c r="AD140" s="22"/>
      <c r="AE140" s="22"/>
      <c r="AF140" s="88"/>
      <c r="AG140" s="22"/>
      <c r="AH140" s="22"/>
      <c r="AI140" s="22"/>
      <c r="AJ140" s="548"/>
      <c r="AK140" s="88"/>
      <c r="AL140" s="22"/>
      <c r="AM140" s="22"/>
      <c r="AN140" s="22"/>
      <c r="AO140" s="22"/>
      <c r="AP140" s="88"/>
      <c r="AQ140" s="22"/>
      <c r="AR140" s="22"/>
      <c r="AS140" s="22"/>
      <c r="AT140" s="22"/>
      <c r="AU140" s="22"/>
      <c r="AV140" s="19"/>
      <c r="AW140" s="146"/>
      <c r="AX140" s="146"/>
      <c r="AY140" s="146"/>
      <c r="AZ140" s="146"/>
      <c r="BA140" s="146"/>
      <c r="BB140" s="245"/>
      <c r="BC140" s="245"/>
      <c r="BD140" s="245"/>
      <c r="BE140" s="245"/>
      <c r="BF140" s="1422"/>
      <c r="BG140" s="245"/>
      <c r="BH140" s="245"/>
      <c r="BI140" s="245"/>
      <c r="BJ140" s="245"/>
      <c r="BK140" s="1422"/>
      <c r="BL140" s="245"/>
      <c r="BM140" s="245"/>
      <c r="BN140" s="245"/>
      <c r="BO140" s="245"/>
      <c r="BP140" s="1422"/>
      <c r="BQ140" s="245"/>
      <c r="BR140" s="245"/>
      <c r="BS140" s="245"/>
      <c r="BT140" s="245"/>
      <c r="BU140" s="1425"/>
      <c r="BV140" s="22">
        <v>1.9E-2</v>
      </c>
      <c r="BW140" s="22">
        <v>5.8999999999999997E-2</v>
      </c>
      <c r="BX140" s="22">
        <v>6.8000000000000005E-2</v>
      </c>
      <c r="BY140" s="22">
        <v>5.0999999999999997E-2</v>
      </c>
      <c r="BZ140" s="123">
        <v>4.9000000000000002E-2</v>
      </c>
      <c r="CA140" s="22">
        <v>8.8999999999999996E-2</v>
      </c>
      <c r="CB140" s="22">
        <v>7.0000000000000007E-2</v>
      </c>
      <c r="CC140" s="22">
        <v>4.2999999999999997E-2</v>
      </c>
      <c r="CD140" s="22">
        <v>5.8000000000000003E-2</v>
      </c>
      <c r="CE140" s="123">
        <v>6.4000000000000001E-2</v>
      </c>
      <c r="CF140" s="22">
        <v>5.8000000000000003E-2</v>
      </c>
      <c r="CG140" s="22">
        <v>5.8999999999999997E-2</v>
      </c>
      <c r="CH140" s="22">
        <v>4.4999999999999998E-2</v>
      </c>
      <c r="CI140" s="22">
        <v>3.5999999999999997E-2</v>
      </c>
      <c r="CJ140" s="123">
        <v>4.9000000000000002E-2</v>
      </c>
      <c r="CK140" s="22">
        <v>0</v>
      </c>
      <c r="CL140" s="22">
        <v>1.4999999999999999E-2</v>
      </c>
      <c r="CM140" s="22">
        <v>0.03</v>
      </c>
      <c r="CN140" s="22">
        <v>-2.7E-2</v>
      </c>
      <c r="CO140" s="123">
        <v>5.9999999999999993E-3</v>
      </c>
      <c r="CP140" s="22">
        <v>-0.03</v>
      </c>
      <c r="CQ140" s="22">
        <v>-0.03</v>
      </c>
      <c r="CR140" s="22">
        <v>-0.02</v>
      </c>
      <c r="CS140" s="22">
        <v>-0.01</v>
      </c>
      <c r="CT140" s="123">
        <v>-2.2499999999999999E-2</v>
      </c>
      <c r="CU140" s="22">
        <v>0.01</v>
      </c>
      <c r="CV140" s="22">
        <v>0.01</v>
      </c>
      <c r="CW140" s="22">
        <v>0.01</v>
      </c>
      <c r="CX140" s="22">
        <v>0.01</v>
      </c>
      <c r="CY140" s="123">
        <v>0.01</v>
      </c>
      <c r="CZ140" s="22">
        <v>2.5000000000000001E-2</v>
      </c>
      <c r="DA140" s="22">
        <v>2.5000000000000001E-2</v>
      </c>
      <c r="DB140" s="22">
        <v>2.5000000000000001E-2</v>
      </c>
      <c r="DC140" s="22">
        <v>2.5000000000000001E-2</v>
      </c>
      <c r="DD140" s="123">
        <v>2.5000000000000001E-2</v>
      </c>
      <c r="DE140" s="22">
        <v>2.5000000000000001E-2</v>
      </c>
      <c r="DF140" s="22">
        <v>2.5000000000000001E-2</v>
      </c>
      <c r="DG140" s="22">
        <v>2.5000000000000001E-2</v>
      </c>
      <c r="DH140" s="22">
        <v>2.5000000000000001E-2</v>
      </c>
      <c r="DI140" s="123">
        <v>2.5000000000000001E-2</v>
      </c>
      <c r="DJ140" s="22">
        <v>2.5000000000000001E-2</v>
      </c>
      <c r="DK140" s="22">
        <v>2.5000000000000001E-2</v>
      </c>
      <c r="DL140" s="22">
        <v>2.5000000000000001E-2</v>
      </c>
      <c r="DM140" s="22">
        <v>2.5000000000000001E-2</v>
      </c>
      <c r="DN140" s="123">
        <v>2.5000000000000001E-2</v>
      </c>
      <c r="DO140" s="22">
        <v>2.5000000000000001E-2</v>
      </c>
      <c r="DP140" s="22">
        <v>2.5000000000000001E-2</v>
      </c>
      <c r="DQ140" s="22">
        <v>2.5000000000000001E-2</v>
      </c>
      <c r="DR140" s="22">
        <v>2.5000000000000001E-2</v>
      </c>
      <c r="DS140" s="123">
        <v>2.5000000000000001E-2</v>
      </c>
      <c r="DT140" s="22">
        <v>2.5000000000000001E-2</v>
      </c>
      <c r="DU140" s="22">
        <v>2.5000000000000001E-2</v>
      </c>
      <c r="DV140" s="22">
        <v>2.5000000000000001E-2</v>
      </c>
      <c r="DW140" s="22">
        <v>2.5000000000000001E-2</v>
      </c>
      <c r="DX140" s="123">
        <v>2.5000000000000001E-2</v>
      </c>
      <c r="DY140" s="22">
        <v>2.5000000000000001E-2</v>
      </c>
      <c r="DZ140" s="22">
        <v>2.5000000000000001E-2</v>
      </c>
      <c r="EA140" s="22">
        <v>2.5000000000000001E-2</v>
      </c>
      <c r="EB140" s="22">
        <v>2.5000000000000001E-2</v>
      </c>
      <c r="EC140" s="123">
        <v>2.5000000000000001E-2</v>
      </c>
      <c r="ED140" s="296"/>
      <c r="EE140" s="22"/>
      <c r="EF140" s="22"/>
      <c r="EG140" s="22"/>
      <c r="EH140" s="22"/>
      <c r="EI140" s="22"/>
      <c r="EJ140" s="22">
        <f t="shared" si="986"/>
        <v>0</v>
      </c>
      <c r="EK140" s="22">
        <f t="shared" si="987"/>
        <v>0</v>
      </c>
      <c r="EL140" s="22">
        <f t="shared" si="988"/>
        <v>0</v>
      </c>
      <c r="EM140" s="22">
        <f t="shared" si="989"/>
        <v>0</v>
      </c>
      <c r="EN140" s="22">
        <f t="shared" si="990"/>
        <v>0</v>
      </c>
      <c r="EO140" s="22">
        <f t="shared" si="991"/>
        <v>6.4000000000000001E-2</v>
      </c>
      <c r="EP140" s="22">
        <f t="shared" si="992"/>
        <v>4.9000000000000002E-2</v>
      </c>
      <c r="EQ140" s="22">
        <f t="shared" si="993"/>
        <v>5.9999999999999993E-3</v>
      </c>
      <c r="ER140" s="88">
        <f t="shared" si="983"/>
        <v>-2.2499999999999999E-2</v>
      </c>
      <c r="ES140" s="296"/>
      <c r="ET140" s="296"/>
      <c r="EU140" s="296"/>
      <c r="EX140" s="1423"/>
      <c r="EY140" s="1019"/>
      <c r="EZ140" s="1019"/>
      <c r="FA140" s="1019"/>
      <c r="FB140" s="1019"/>
      <c r="FC140" s="1020"/>
      <c r="FD140" s="296"/>
    </row>
    <row r="141" spans="1:166" collapsed="1" x14ac:dyDescent="0.2">
      <c r="A141" s="123" t="s">
        <v>768</v>
      </c>
      <c r="B141" s="22"/>
      <c r="C141" s="22"/>
      <c r="D141" s="22"/>
      <c r="E141" s="22"/>
      <c r="F141" s="22"/>
      <c r="G141" s="123"/>
      <c r="H141" s="22"/>
      <c r="I141" s="22"/>
      <c r="J141" s="22"/>
      <c r="K141" s="22"/>
      <c r="L141" s="123"/>
      <c r="M141" s="22"/>
      <c r="N141" s="22"/>
      <c r="O141" s="22"/>
      <c r="P141" s="22"/>
      <c r="Q141" s="123"/>
      <c r="R141" s="22"/>
      <c r="S141" s="22"/>
      <c r="T141" s="22"/>
      <c r="U141" s="22"/>
      <c r="V141" s="123"/>
      <c r="W141" s="22"/>
      <c r="X141" s="22"/>
      <c r="Y141" s="22"/>
      <c r="Z141" s="22"/>
      <c r="AA141" s="123"/>
      <c r="AB141" s="22"/>
      <c r="AC141" s="22"/>
      <c r="AD141" s="22"/>
      <c r="AE141" s="22"/>
      <c r="AF141" s="123"/>
      <c r="AG141" s="22"/>
      <c r="AH141" s="22"/>
      <c r="AI141" s="22"/>
      <c r="AJ141" s="548"/>
      <c r="AK141" s="88"/>
      <c r="AL141" s="22"/>
      <c r="AM141" s="22"/>
      <c r="AN141" s="22"/>
      <c r="AO141" s="22"/>
      <c r="AP141" s="123"/>
      <c r="AQ141" s="22"/>
      <c r="AR141" s="22"/>
      <c r="AS141" s="22"/>
      <c r="AT141" s="22"/>
      <c r="AU141" s="122"/>
      <c r="AV141" s="19"/>
      <c r="AW141" s="122"/>
      <c r="AX141" s="22"/>
      <c r="AY141" s="22"/>
      <c r="AZ141" s="22"/>
      <c r="BA141" s="123"/>
      <c r="BB141" s="22"/>
      <c r="BC141" s="22"/>
      <c r="BD141" s="22"/>
      <c r="BE141" s="22"/>
      <c r="BF141" s="577"/>
      <c r="BG141" s="22"/>
      <c r="BH141" s="22"/>
      <c r="BI141" s="22"/>
      <c r="BJ141" s="22"/>
      <c r="BK141" s="577"/>
      <c r="BL141" s="22"/>
      <c r="BM141" s="22"/>
      <c r="BN141" s="22"/>
      <c r="BO141" s="22"/>
      <c r="BP141" s="577"/>
      <c r="BQ141" s="22"/>
      <c r="BR141" s="22"/>
      <c r="BS141" s="22"/>
      <c r="BT141" s="22"/>
      <c r="BU141" s="123"/>
      <c r="BV141" s="1196">
        <v>1.6E-2</v>
      </c>
      <c r="BW141" s="1196">
        <v>2.5999999999999999E-2</v>
      </c>
      <c r="BX141" s="1196">
        <v>3.5000000000000003E-2</v>
      </c>
      <c r="BY141" s="1196">
        <v>4.1000000000000002E-2</v>
      </c>
      <c r="BZ141" s="123">
        <v>2.9000000000000001E-2</v>
      </c>
      <c r="CA141" s="22">
        <v>4.9000000000000002E-2</v>
      </c>
      <c r="CB141" s="22">
        <v>5.3999999999999999E-2</v>
      </c>
      <c r="CC141" s="22">
        <v>5.3999999999999999E-2</v>
      </c>
      <c r="CD141" s="22">
        <v>6.4000000000000001E-2</v>
      </c>
      <c r="CE141" s="577">
        <v>5.525E-2</v>
      </c>
      <c r="CF141" s="22">
        <v>5.6000000000000001E-2</v>
      </c>
      <c r="CG141" s="22">
        <v>2.3E-2</v>
      </c>
      <c r="CH141" s="22">
        <v>1.7000000000000001E-2</v>
      </c>
      <c r="CI141" s="22">
        <v>-2E-3</v>
      </c>
      <c r="CJ141" s="577">
        <v>2.1999999999999999E-2</v>
      </c>
      <c r="CK141" s="22">
        <v>-2E-3</v>
      </c>
      <c r="CL141" s="22">
        <v>-6.0000000000000001E-3</v>
      </c>
      <c r="CM141" s="22">
        <v>6.0000000000000001E-3</v>
      </c>
      <c r="CN141" s="22">
        <v>8.0000000000000002E-3</v>
      </c>
      <c r="CO141" s="577">
        <v>2E-3</v>
      </c>
      <c r="CP141" s="22">
        <v>1E-3</v>
      </c>
      <c r="CQ141" s="22">
        <v>5.0000000000000001E-3</v>
      </c>
      <c r="CR141" s="22">
        <v>5.0000000000000001E-3</v>
      </c>
      <c r="CS141" s="22">
        <v>5.0000000000000001E-3</v>
      </c>
      <c r="CT141" s="577">
        <v>4.0000000000000001E-3</v>
      </c>
      <c r="CU141" s="22">
        <v>0.02</v>
      </c>
      <c r="CV141" s="22">
        <v>0.02</v>
      </c>
      <c r="CW141" s="22">
        <v>0.02</v>
      </c>
      <c r="CX141" s="22">
        <v>2.5000000000000001E-2</v>
      </c>
      <c r="CY141" s="577">
        <v>2.1249999999999998E-2</v>
      </c>
      <c r="CZ141" s="22">
        <v>2.5000000000000001E-2</v>
      </c>
      <c r="DA141" s="22">
        <v>2.5000000000000001E-2</v>
      </c>
      <c r="DB141" s="22">
        <v>2.5000000000000001E-2</v>
      </c>
      <c r="DC141" s="22">
        <v>2.5000000000000001E-2</v>
      </c>
      <c r="DD141" s="577">
        <v>2.5000000000000001E-2</v>
      </c>
      <c r="DE141" s="22">
        <v>2.5000000000000001E-2</v>
      </c>
      <c r="DF141" s="22">
        <v>2.5000000000000001E-2</v>
      </c>
      <c r="DG141" s="22">
        <v>2.5000000000000001E-2</v>
      </c>
      <c r="DH141" s="22">
        <v>2.5000000000000001E-2</v>
      </c>
      <c r="DI141" s="577">
        <v>2.5000000000000001E-2</v>
      </c>
      <c r="DJ141" s="22">
        <v>2.5000000000000001E-2</v>
      </c>
      <c r="DK141" s="22">
        <v>2.5000000000000001E-2</v>
      </c>
      <c r="DL141" s="22">
        <v>2.5000000000000001E-2</v>
      </c>
      <c r="DM141" s="22">
        <v>2.5000000000000001E-2</v>
      </c>
      <c r="DN141" s="577">
        <v>2.5000000000000001E-2</v>
      </c>
      <c r="DO141" s="22">
        <v>2.5000000000000001E-2</v>
      </c>
      <c r="DP141" s="22">
        <v>2.5000000000000001E-2</v>
      </c>
      <c r="DQ141" s="22">
        <v>2.5000000000000001E-2</v>
      </c>
      <c r="DR141" s="22">
        <v>2.5000000000000001E-2</v>
      </c>
      <c r="DS141" s="577">
        <v>2.5000000000000001E-2</v>
      </c>
      <c r="DT141" s="22">
        <v>2.5000000000000001E-2</v>
      </c>
      <c r="DU141" s="22">
        <v>2.5000000000000001E-2</v>
      </c>
      <c r="DV141" s="22">
        <v>2.5000000000000001E-2</v>
      </c>
      <c r="DW141" s="22">
        <v>2.5000000000000001E-2</v>
      </c>
      <c r="DX141" s="577">
        <v>2.5000000000000001E-2</v>
      </c>
      <c r="DY141" s="22">
        <v>2.5000000000000001E-2</v>
      </c>
      <c r="DZ141" s="22">
        <v>2.5000000000000001E-2</v>
      </c>
      <c r="EA141" s="22">
        <v>2.5000000000000001E-2</v>
      </c>
      <c r="EB141" s="22">
        <v>2.5000000000000001E-2</v>
      </c>
      <c r="EC141" s="577">
        <v>2.5000000000000001E-2</v>
      </c>
      <c r="ED141" s="296"/>
      <c r="EE141" s="22"/>
      <c r="EF141" s="22"/>
      <c r="EG141" s="22"/>
      <c r="EH141" s="22"/>
      <c r="EI141" s="22"/>
      <c r="EJ141" s="22">
        <f t="shared" si="986"/>
        <v>0</v>
      </c>
      <c r="EK141" s="22">
        <f t="shared" si="987"/>
        <v>0</v>
      </c>
      <c r="EL141" s="22">
        <f t="shared" si="988"/>
        <v>0</v>
      </c>
      <c r="EM141" s="22">
        <f t="shared" si="989"/>
        <v>0</v>
      </c>
      <c r="EN141" s="22">
        <f t="shared" si="990"/>
        <v>0</v>
      </c>
      <c r="EO141" s="22">
        <f t="shared" si="991"/>
        <v>5.525E-2</v>
      </c>
      <c r="EP141" s="22">
        <f t="shared" si="992"/>
        <v>2.1999999999999999E-2</v>
      </c>
      <c r="EQ141" s="22">
        <f t="shared" si="993"/>
        <v>2E-3</v>
      </c>
      <c r="ER141" s="88">
        <f t="shared" si="983"/>
        <v>4.0000000000000001E-3</v>
      </c>
      <c r="ES141" s="296"/>
      <c r="ET141" s="296"/>
      <c r="EU141" s="296"/>
      <c r="EX141" s="1423"/>
      <c r="EY141" s="1019"/>
      <c r="EZ141" s="1019"/>
      <c r="FA141" s="1019"/>
      <c r="FB141" s="1019"/>
      <c r="FC141" s="1020"/>
      <c r="FD141" s="296"/>
    </row>
    <row r="142" spans="1:166" s="1069" customFormat="1" x14ac:dyDescent="0.2">
      <c r="A142" s="300" t="s">
        <v>799</v>
      </c>
      <c r="B142" s="245"/>
      <c r="C142" s="245"/>
      <c r="D142" s="245"/>
      <c r="E142" s="245"/>
      <c r="F142" s="245"/>
      <c r="G142" s="300"/>
      <c r="H142" s="245"/>
      <c r="I142" s="245"/>
      <c r="J142" s="245"/>
      <c r="K142" s="245"/>
      <c r="L142" s="300"/>
      <c r="M142" s="245"/>
      <c r="N142" s="245"/>
      <c r="O142" s="245"/>
      <c r="P142" s="245"/>
      <c r="Q142" s="300"/>
      <c r="R142" s="245"/>
      <c r="S142" s="245"/>
      <c r="T142" s="245"/>
      <c r="U142" s="245"/>
      <c r="V142" s="300"/>
      <c r="W142" s="245"/>
      <c r="X142" s="245"/>
      <c r="Y142" s="245"/>
      <c r="Z142" s="245"/>
      <c r="AA142" s="300"/>
      <c r="AB142" s="245"/>
      <c r="AC142" s="245"/>
      <c r="AD142" s="245"/>
      <c r="AE142" s="245"/>
      <c r="AF142" s="300"/>
      <c r="AG142" s="245"/>
      <c r="AH142" s="245"/>
      <c r="AI142" s="245"/>
      <c r="AJ142" s="1422"/>
      <c r="AK142" s="99"/>
      <c r="AL142" s="245"/>
      <c r="AM142" s="245"/>
      <c r="AN142" s="245"/>
      <c r="AO142" s="245"/>
      <c r="AP142" s="300"/>
      <c r="AQ142" s="245"/>
      <c r="AR142" s="245"/>
      <c r="AS142" s="245"/>
      <c r="AT142" s="245"/>
      <c r="AU142" s="278"/>
      <c r="AV142" s="32"/>
      <c r="AW142" s="278">
        <v>6.2E-2</v>
      </c>
      <c r="AX142" s="245">
        <v>6.4000000000000001E-2</v>
      </c>
      <c r="AY142" s="245">
        <v>7.5999999999999998E-2</v>
      </c>
      <c r="AZ142" s="245">
        <v>8.4000000000000005E-2</v>
      </c>
      <c r="BA142" s="300">
        <v>7.1000000000000008E-2</v>
      </c>
      <c r="BB142" s="245">
        <v>7.9000000000000001E-2</v>
      </c>
      <c r="BC142" s="245">
        <v>9.7000000000000003E-2</v>
      </c>
      <c r="BD142" s="245">
        <v>9.6000000000000002E-2</v>
      </c>
      <c r="BE142" s="245">
        <v>0.13500000000000001</v>
      </c>
      <c r="BF142" s="607">
        <v>0.10150000000000001</v>
      </c>
      <c r="BG142" s="245">
        <v>0.13400000000000001</v>
      </c>
      <c r="BH142" s="245">
        <v>0.115</v>
      </c>
      <c r="BI142" s="245">
        <v>8.5999999999999993E-2</v>
      </c>
      <c r="BJ142" s="245">
        <v>0.104</v>
      </c>
      <c r="BK142" s="607">
        <v>0.1085</v>
      </c>
      <c r="BL142" s="245">
        <v>0.08</v>
      </c>
      <c r="BM142" s="245">
        <v>6.3E-2</v>
      </c>
      <c r="BN142" s="245">
        <v>5.2999999999999999E-2</v>
      </c>
      <c r="BO142" s="245">
        <v>6.3E-2</v>
      </c>
      <c r="BP142" s="607">
        <v>6.4000000000000001E-2</v>
      </c>
      <c r="BQ142" s="245">
        <v>1.3999999999999999E-2</v>
      </c>
      <c r="BR142" s="245">
        <v>7.2999999999999995E-2</v>
      </c>
      <c r="BS142" s="245">
        <v>9.8000000000000004E-2</v>
      </c>
      <c r="BT142" s="245">
        <v>8.199999999999999E-2</v>
      </c>
      <c r="BU142" s="300"/>
      <c r="BV142" s="1298">
        <v>1.3999999999999999E-2</v>
      </c>
      <c r="BW142" s="1298">
        <v>7.2999999999999995E-2</v>
      </c>
      <c r="BX142" s="1298">
        <v>9.8000000000000004E-2</v>
      </c>
      <c r="BY142" s="1298">
        <v>8.199999999999999E-2</v>
      </c>
      <c r="BZ142" s="300"/>
      <c r="CA142" s="245"/>
      <c r="CB142" s="245"/>
      <c r="CC142" s="245"/>
      <c r="CD142" s="245"/>
      <c r="CE142" s="607"/>
      <c r="CF142" s="245"/>
      <c r="CG142" s="245"/>
      <c r="CH142" s="245"/>
      <c r="CI142" s="245"/>
      <c r="CJ142" s="607"/>
      <c r="CK142" s="245"/>
      <c r="CL142" s="245"/>
      <c r="CM142" s="245"/>
      <c r="CN142" s="245"/>
      <c r="CO142" s="607"/>
      <c r="CP142" s="245"/>
      <c r="CQ142" s="245"/>
      <c r="CR142" s="245"/>
      <c r="CS142" s="245"/>
      <c r="CT142" s="607"/>
      <c r="CU142" s="245"/>
      <c r="CV142" s="245"/>
      <c r="CW142" s="245"/>
      <c r="CX142" s="245"/>
      <c r="CY142" s="607"/>
      <c r="CZ142" s="245"/>
      <c r="DA142" s="245"/>
      <c r="DB142" s="245"/>
      <c r="DC142" s="245"/>
      <c r="DD142" s="607"/>
      <c r="DE142" s="245"/>
      <c r="DF142" s="245"/>
      <c r="DG142" s="245"/>
      <c r="DH142" s="245"/>
      <c r="DI142" s="607"/>
      <c r="DJ142" s="245"/>
      <c r="DK142" s="245"/>
      <c r="DL142" s="245"/>
      <c r="DM142" s="245"/>
      <c r="DN142" s="607"/>
      <c r="DO142" s="245"/>
      <c r="DP142" s="245"/>
      <c r="DQ142" s="245"/>
      <c r="DR142" s="245"/>
      <c r="DS142" s="607"/>
      <c r="DT142" s="245"/>
      <c r="DU142" s="245"/>
      <c r="DV142" s="245"/>
      <c r="DW142" s="245"/>
      <c r="DX142" s="607"/>
      <c r="DY142" s="245"/>
      <c r="DZ142" s="245"/>
      <c r="EA142" s="245"/>
      <c r="EB142" s="245"/>
      <c r="EC142" s="607"/>
      <c r="ED142" s="295"/>
      <c r="EE142" s="245"/>
      <c r="EF142" s="245"/>
      <c r="EG142" s="245"/>
      <c r="EH142" s="245"/>
      <c r="EI142" s="245"/>
      <c r="EJ142" s="245">
        <f t="shared" ref="EJ142:EJ145" si="996">BA142</f>
        <v>7.1000000000000008E-2</v>
      </c>
      <c r="EK142" s="245">
        <f t="shared" ref="EK142:EK145" si="997">BF142</f>
        <v>0.10150000000000001</v>
      </c>
      <c r="EL142" s="245">
        <f t="shared" ref="EL142:EL145" si="998">BK142</f>
        <v>0.1085</v>
      </c>
      <c r="EM142" s="245">
        <f t="shared" ref="EM142:EM145" si="999">BP142</f>
        <v>6.4000000000000001E-2</v>
      </c>
      <c r="EN142" s="245">
        <f t="shared" ref="EN142:EN145" si="1000">BU142</f>
        <v>0</v>
      </c>
      <c r="EO142" s="245">
        <f t="shared" ref="EO142:EO145" si="1001">CE142</f>
        <v>0</v>
      </c>
      <c r="EP142" s="245">
        <f t="shared" ref="EP142:EP145" si="1002">CJ142</f>
        <v>0</v>
      </c>
      <c r="EQ142" s="245">
        <f t="shared" ref="EQ142:EQ145" si="1003">CO142</f>
        <v>0</v>
      </c>
      <c r="ER142" s="99">
        <f t="shared" ref="ER142:ER145" si="1004">CT142</f>
        <v>0</v>
      </c>
      <c r="ES142" s="295"/>
      <c r="ET142" s="295"/>
      <c r="EU142" s="295"/>
      <c r="EX142" s="1423" t="s">
        <v>699</v>
      </c>
      <c r="EY142" s="1019">
        <f>CP142</f>
        <v>0</v>
      </c>
      <c r="EZ142" s="1019">
        <v>0</v>
      </c>
      <c r="FA142" s="1019">
        <f t="shared" ref="FA142" si="1005">EY142-EZ142</f>
        <v>0</v>
      </c>
      <c r="FB142" s="1019">
        <f>CK142</f>
        <v>0</v>
      </c>
      <c r="FC142" s="1020">
        <f t="shared" ref="FC142" si="1006">EY142-FB142</f>
        <v>0</v>
      </c>
      <c r="FD142" s="295"/>
      <c r="FE142"/>
      <c r="FF142"/>
      <c r="FG142"/>
      <c r="FH142"/>
      <c r="FI142"/>
      <c r="FJ142"/>
    </row>
    <row r="143" spans="1:166" x14ac:dyDescent="0.2">
      <c r="A143" s="123" t="s">
        <v>805</v>
      </c>
      <c r="B143" s="22"/>
      <c r="C143" s="22"/>
      <c r="D143" s="22"/>
      <c r="E143" s="22"/>
      <c r="F143" s="22"/>
      <c r="G143" s="123"/>
      <c r="H143" s="22"/>
      <c r="I143" s="22"/>
      <c r="J143" s="22"/>
      <c r="K143" s="22"/>
      <c r="L143" s="123"/>
      <c r="M143" s="22"/>
      <c r="N143" s="22"/>
      <c r="O143" s="22"/>
      <c r="P143" s="22"/>
      <c r="Q143" s="123"/>
      <c r="R143" s="22"/>
      <c r="S143" s="22"/>
      <c r="T143" s="22"/>
      <c r="U143" s="22"/>
      <c r="V143" s="123"/>
      <c r="W143" s="22"/>
      <c r="X143" s="22"/>
      <c r="Y143" s="22"/>
      <c r="Z143" s="22"/>
      <c r="AA143" s="123"/>
      <c r="AB143" s="22"/>
      <c r="AC143" s="22"/>
      <c r="AD143" s="22"/>
      <c r="AE143" s="22"/>
      <c r="AF143" s="123"/>
      <c r="AG143" s="22"/>
      <c r="AH143" s="22"/>
      <c r="AI143" s="22"/>
      <c r="AJ143" s="548"/>
      <c r="AK143" s="88"/>
      <c r="AL143" s="22"/>
      <c r="AM143" s="22"/>
      <c r="AN143" s="22"/>
      <c r="AO143" s="22"/>
      <c r="AP143" s="123"/>
      <c r="AQ143" s="22"/>
      <c r="AR143" s="22"/>
      <c r="AS143" s="22"/>
      <c r="AT143" s="22"/>
      <c r="AU143" s="122"/>
      <c r="AV143" s="19"/>
      <c r="AW143" s="122"/>
      <c r="AX143" s="22"/>
      <c r="AY143" s="22"/>
      <c r="AZ143" s="22"/>
      <c r="BA143" s="123"/>
      <c r="BB143" s="22"/>
      <c r="BC143" s="22"/>
      <c r="BD143" s="22"/>
      <c r="BE143" s="22"/>
      <c r="BF143" s="577"/>
      <c r="BG143" s="22"/>
      <c r="BH143" s="22"/>
      <c r="BI143" s="22"/>
      <c r="BJ143" s="22"/>
      <c r="BK143" s="577"/>
      <c r="BL143" s="22"/>
      <c r="BM143" s="22"/>
      <c r="BN143" s="22"/>
      <c r="BO143" s="22"/>
      <c r="BP143" s="577"/>
      <c r="BQ143" s="22"/>
      <c r="BR143" s="22"/>
      <c r="BS143" s="22"/>
      <c r="BT143" s="22"/>
      <c r="BU143" s="123"/>
      <c r="BV143" s="1196">
        <v>0</v>
      </c>
      <c r="BW143" s="1196">
        <v>0</v>
      </c>
      <c r="BX143" s="1196">
        <v>0</v>
      </c>
      <c r="BY143" s="1196">
        <v>0</v>
      </c>
      <c r="BZ143" s="123">
        <v>5.7000000000000002E-2</v>
      </c>
      <c r="CA143" s="22">
        <v>0.01</v>
      </c>
      <c r="CB143" s="22">
        <v>2.3E-2</v>
      </c>
      <c r="CC143" s="22">
        <v>-0.01</v>
      </c>
      <c r="CD143" s="22">
        <v>-3.1E-2</v>
      </c>
      <c r="CE143" s="577">
        <v>-4.0000000000000001E-3</v>
      </c>
      <c r="CF143" s="22">
        <v>-2.4E-2</v>
      </c>
      <c r="CG143" s="22">
        <v>-4.2999999999999997E-2</v>
      </c>
      <c r="CH143" s="22">
        <v>-0.02</v>
      </c>
      <c r="CI143" s="22">
        <v>-7.0000000000000001E-3</v>
      </c>
      <c r="CJ143" s="577">
        <v>-2.4E-2</v>
      </c>
      <c r="CK143" s="22">
        <v>-4.0000000000000001E-3</v>
      </c>
      <c r="CL143" s="22">
        <v>-3.3000000000000002E-2</v>
      </c>
      <c r="CM143" s="22">
        <v>-3.4000000000000002E-2</v>
      </c>
      <c r="CN143" s="22">
        <v>-0.03</v>
      </c>
      <c r="CO143" s="577">
        <v>-2.5250000000000002E-2</v>
      </c>
      <c r="CP143" s="22">
        <v>0.02</v>
      </c>
      <c r="CQ143" s="22">
        <v>0.02</v>
      </c>
      <c r="CR143" s="22">
        <v>0.02</v>
      </c>
      <c r="CS143" s="22">
        <v>0.02</v>
      </c>
      <c r="CT143" s="577">
        <v>0.02</v>
      </c>
      <c r="CU143" s="22">
        <v>0.02</v>
      </c>
      <c r="CV143" s="22">
        <v>0.02</v>
      </c>
      <c r="CW143" s="22">
        <v>0.02</v>
      </c>
      <c r="CX143" s="22">
        <v>0.02</v>
      </c>
      <c r="CY143" s="577">
        <v>0.02</v>
      </c>
      <c r="CZ143" s="22">
        <v>0.02</v>
      </c>
      <c r="DA143" s="22">
        <v>0.02</v>
      </c>
      <c r="DB143" s="22">
        <v>0.02</v>
      </c>
      <c r="DC143" s="22">
        <v>0.02</v>
      </c>
      <c r="DD143" s="577">
        <v>0.02</v>
      </c>
      <c r="DE143" s="22">
        <v>0.02</v>
      </c>
      <c r="DF143" s="22">
        <v>0.02</v>
      </c>
      <c r="DG143" s="22">
        <v>0.02</v>
      </c>
      <c r="DH143" s="22">
        <v>0.02</v>
      </c>
      <c r="DI143" s="577">
        <v>0.02</v>
      </c>
      <c r="DJ143" s="22">
        <v>0.02</v>
      </c>
      <c r="DK143" s="22">
        <v>0.02</v>
      </c>
      <c r="DL143" s="22">
        <v>0.02</v>
      </c>
      <c r="DM143" s="22">
        <v>0.02</v>
      </c>
      <c r="DN143" s="577">
        <v>0.02</v>
      </c>
      <c r="DO143" s="22">
        <v>0.02</v>
      </c>
      <c r="DP143" s="22">
        <v>0.02</v>
      </c>
      <c r="DQ143" s="22">
        <v>0.02</v>
      </c>
      <c r="DR143" s="22">
        <v>0.02</v>
      </c>
      <c r="DS143" s="577">
        <v>0.02</v>
      </c>
      <c r="DT143" s="22">
        <v>0.02</v>
      </c>
      <c r="DU143" s="22">
        <v>0.02</v>
      </c>
      <c r="DV143" s="22">
        <v>0.02</v>
      </c>
      <c r="DW143" s="22">
        <v>0.02</v>
      </c>
      <c r="DX143" s="577">
        <v>0.02</v>
      </c>
      <c r="DY143" s="22">
        <v>0.02</v>
      </c>
      <c r="DZ143" s="22">
        <v>0.02</v>
      </c>
      <c r="EA143" s="22">
        <v>0.02</v>
      </c>
      <c r="EB143" s="22">
        <v>0.02</v>
      </c>
      <c r="EC143" s="577">
        <v>0.02</v>
      </c>
      <c r="ED143" s="296"/>
      <c r="EE143" s="22"/>
      <c r="EF143" s="22"/>
      <c r="EG143" s="22"/>
      <c r="EH143" s="22"/>
      <c r="EI143" s="22"/>
      <c r="EJ143" s="22">
        <f t="shared" si="996"/>
        <v>0</v>
      </c>
      <c r="EK143" s="22">
        <f t="shared" si="997"/>
        <v>0</v>
      </c>
      <c r="EL143" s="22">
        <f t="shared" si="998"/>
        <v>0</v>
      </c>
      <c r="EM143" s="22">
        <f t="shared" si="999"/>
        <v>0</v>
      </c>
      <c r="EN143" s="22">
        <f t="shared" si="1000"/>
        <v>0</v>
      </c>
      <c r="EO143" s="22">
        <f t="shared" si="1001"/>
        <v>-4.0000000000000001E-3</v>
      </c>
      <c r="EP143" s="22">
        <f t="shared" si="1002"/>
        <v>-2.4E-2</v>
      </c>
      <c r="EQ143" s="22">
        <f t="shared" si="1003"/>
        <v>-2.5250000000000002E-2</v>
      </c>
      <c r="ER143" s="88">
        <f t="shared" si="1004"/>
        <v>0.02</v>
      </c>
      <c r="ES143" s="296"/>
      <c r="ET143" s="296"/>
      <c r="EU143" s="296"/>
      <c r="EX143" s="1423"/>
      <c r="EY143" s="1019"/>
      <c r="EZ143" s="1019"/>
      <c r="FA143" s="1019"/>
      <c r="FB143" s="1019"/>
      <c r="FC143" s="1020"/>
      <c r="FD143" s="296"/>
    </row>
    <row r="144" spans="1:166" x14ac:dyDescent="0.2">
      <c r="A144" s="1621" t="s">
        <v>806</v>
      </c>
      <c r="B144" s="22"/>
      <c r="C144" s="22"/>
      <c r="D144" s="22"/>
      <c r="E144" s="22"/>
      <c r="F144" s="22"/>
      <c r="G144" s="22"/>
      <c r="H144" s="22"/>
      <c r="I144" s="22"/>
      <c r="J144" s="22"/>
      <c r="K144" s="22"/>
      <c r="L144" s="22"/>
      <c r="M144" s="22"/>
      <c r="N144" s="22"/>
      <c r="O144" s="22"/>
      <c r="P144" s="22"/>
      <c r="Q144" s="22"/>
      <c r="R144" s="22"/>
      <c r="S144" s="22"/>
      <c r="T144" s="22"/>
      <c r="U144" s="22"/>
      <c r="V144" s="122"/>
      <c r="W144" s="22"/>
      <c r="X144" s="22"/>
      <c r="Y144" s="22"/>
      <c r="Z144" s="22"/>
      <c r="AA144" s="22"/>
      <c r="AB144" s="22"/>
      <c r="AC144" s="22"/>
      <c r="AD144" s="22"/>
      <c r="AE144" s="22"/>
      <c r="AF144" s="88"/>
      <c r="AG144" s="22"/>
      <c r="AH144" s="22"/>
      <c r="AI144" s="22"/>
      <c r="AJ144" s="548"/>
      <c r="AK144" s="88"/>
      <c r="AL144" s="22"/>
      <c r="AM144" s="22"/>
      <c r="AN144" s="22"/>
      <c r="AO144" s="22"/>
      <c r="AP144" s="88"/>
      <c r="AQ144" s="22"/>
      <c r="AR144" s="22"/>
      <c r="AS144" s="22"/>
      <c r="AT144" s="22"/>
      <c r="AU144" s="22"/>
      <c r="AV144" s="19"/>
      <c r="AW144" s="146"/>
      <c r="AX144" s="146"/>
      <c r="AY144" s="146"/>
      <c r="AZ144" s="146"/>
      <c r="BA144" s="146"/>
      <c r="BB144" s="245"/>
      <c r="BC144" s="245"/>
      <c r="BD144" s="245"/>
      <c r="BE144" s="245"/>
      <c r="BF144" s="1422"/>
      <c r="BG144" s="245"/>
      <c r="BH144" s="245"/>
      <c r="BI144" s="245"/>
      <c r="BJ144" s="245"/>
      <c r="BK144" s="1422"/>
      <c r="BL144" s="245"/>
      <c r="BM144" s="245"/>
      <c r="BN144" s="245"/>
      <c r="BO144" s="245"/>
      <c r="BP144" s="1422"/>
      <c r="BQ144" s="245"/>
      <c r="BR144" s="245"/>
      <c r="BS144" s="245"/>
      <c r="BT144" s="245"/>
      <c r="BU144" s="1425"/>
      <c r="BV144" s="22"/>
      <c r="BW144" s="22"/>
      <c r="BX144" s="22"/>
      <c r="BY144" s="22"/>
      <c r="BZ144" s="123">
        <v>6.4000000000000001E-2</v>
      </c>
      <c r="CA144" s="22">
        <v>7.3999999999999996E-2</v>
      </c>
      <c r="CB144" s="22">
        <v>8.1000000000000003E-2</v>
      </c>
      <c r="CC144" s="22">
        <v>5.8999999999999997E-2</v>
      </c>
      <c r="CD144" s="22">
        <v>2.1999999999999999E-2</v>
      </c>
      <c r="CE144" s="123">
        <v>0.06</v>
      </c>
      <c r="CF144" s="22">
        <v>1.2E-2</v>
      </c>
      <c r="CG144" s="22">
        <v>2E-3</v>
      </c>
      <c r="CH144" s="22">
        <v>1.7000000000000001E-2</v>
      </c>
      <c r="CI144" s="22">
        <v>3.1E-2</v>
      </c>
      <c r="CJ144" s="123">
        <v>1.4999999999999999E-2</v>
      </c>
      <c r="CK144" s="22">
        <v>2.1999999999999999E-2</v>
      </c>
      <c r="CL144" s="22">
        <v>-3.3000000000000002E-2</v>
      </c>
      <c r="CM144" s="22">
        <v>-2.4E-2</v>
      </c>
      <c r="CN144" s="22">
        <v>-0.02</v>
      </c>
      <c r="CO144" s="123">
        <v>-1.3750000000000002E-2</v>
      </c>
      <c r="CP144" s="22">
        <v>2.3E-2</v>
      </c>
      <c r="CQ144" s="22">
        <v>0.02</v>
      </c>
      <c r="CR144" s="22">
        <v>2.3E-2</v>
      </c>
      <c r="CS144" s="22">
        <v>2.7E-2</v>
      </c>
      <c r="CT144" s="123">
        <v>2.325E-2</v>
      </c>
      <c r="CU144" s="22">
        <v>2.3E-2</v>
      </c>
      <c r="CV144" s="22">
        <v>0.02</v>
      </c>
      <c r="CW144" s="22">
        <v>2.3E-2</v>
      </c>
      <c r="CX144" s="22">
        <v>2.7E-2</v>
      </c>
      <c r="CY144" s="123">
        <v>2.325E-2</v>
      </c>
      <c r="CZ144" s="22">
        <v>2.3E-2</v>
      </c>
      <c r="DA144" s="22">
        <v>0.02</v>
      </c>
      <c r="DB144" s="22">
        <v>2.3E-2</v>
      </c>
      <c r="DC144" s="22">
        <v>2.7E-2</v>
      </c>
      <c r="DD144" s="123">
        <v>2.325E-2</v>
      </c>
      <c r="DE144" s="22">
        <v>2.3E-2</v>
      </c>
      <c r="DF144" s="22">
        <v>0.02</v>
      </c>
      <c r="DG144" s="22">
        <v>2.3E-2</v>
      </c>
      <c r="DH144" s="22">
        <v>2.7E-2</v>
      </c>
      <c r="DI144" s="123">
        <v>2.325E-2</v>
      </c>
      <c r="DJ144" s="22">
        <v>2.3E-2</v>
      </c>
      <c r="DK144" s="22">
        <v>0.02</v>
      </c>
      <c r="DL144" s="22">
        <v>2.3E-2</v>
      </c>
      <c r="DM144" s="22">
        <v>2.7E-2</v>
      </c>
      <c r="DN144" s="123">
        <v>2.325E-2</v>
      </c>
      <c r="DO144" s="22">
        <v>2.3E-2</v>
      </c>
      <c r="DP144" s="22">
        <v>0.02</v>
      </c>
      <c r="DQ144" s="22">
        <v>2.3E-2</v>
      </c>
      <c r="DR144" s="22">
        <v>2.7E-2</v>
      </c>
      <c r="DS144" s="123">
        <v>2.325E-2</v>
      </c>
      <c r="DT144" s="22">
        <v>2.3E-2</v>
      </c>
      <c r="DU144" s="22">
        <v>0.02</v>
      </c>
      <c r="DV144" s="22">
        <v>2.3E-2</v>
      </c>
      <c r="DW144" s="22">
        <v>2.7E-2</v>
      </c>
      <c r="DX144" s="123">
        <v>2.325E-2</v>
      </c>
      <c r="DY144" s="22">
        <v>2.3E-2</v>
      </c>
      <c r="DZ144" s="22">
        <v>0.02</v>
      </c>
      <c r="EA144" s="22">
        <v>2.3E-2</v>
      </c>
      <c r="EB144" s="22">
        <v>2.7E-2</v>
      </c>
      <c r="EC144" s="123">
        <v>2.325E-2</v>
      </c>
      <c r="ED144" s="296"/>
      <c r="EE144" s="22"/>
      <c r="EF144" s="22"/>
      <c r="EG144" s="22"/>
      <c r="EH144" s="22"/>
      <c r="EI144" s="22"/>
      <c r="EJ144" s="22"/>
      <c r="EK144" s="22"/>
      <c r="EL144" s="22"/>
      <c r="EM144" s="22"/>
      <c r="EN144" s="22"/>
      <c r="EO144" s="22"/>
      <c r="EP144" s="22"/>
      <c r="EQ144" s="22"/>
      <c r="ER144" s="88"/>
      <c r="ES144" s="296"/>
      <c r="ET144" s="296"/>
      <c r="EU144" s="296"/>
      <c r="EX144" s="1423"/>
      <c r="EY144" s="1019"/>
      <c r="EZ144" s="1019"/>
      <c r="FA144" s="1019"/>
      <c r="FB144" s="1019"/>
      <c r="FC144" s="1020"/>
      <c r="FD144" s="296"/>
    </row>
    <row r="145" spans="1:160" x14ac:dyDescent="0.2">
      <c r="A145" s="1621" t="s">
        <v>807</v>
      </c>
      <c r="B145" s="22"/>
      <c r="C145" s="22"/>
      <c r="D145" s="22"/>
      <c r="E145" s="22"/>
      <c r="F145" s="22"/>
      <c r="G145" s="22"/>
      <c r="H145" s="22"/>
      <c r="I145" s="22"/>
      <c r="J145" s="22"/>
      <c r="K145" s="22"/>
      <c r="L145" s="22"/>
      <c r="M145" s="22"/>
      <c r="N145" s="22"/>
      <c r="O145" s="22"/>
      <c r="P145" s="22"/>
      <c r="Q145" s="22"/>
      <c r="R145" s="22"/>
      <c r="S145" s="22"/>
      <c r="T145" s="22"/>
      <c r="U145" s="22"/>
      <c r="V145" s="122"/>
      <c r="W145" s="22"/>
      <c r="X145" s="22"/>
      <c r="Y145" s="22"/>
      <c r="Z145" s="22"/>
      <c r="AA145" s="22"/>
      <c r="AB145" s="22"/>
      <c r="AC145" s="22"/>
      <c r="AD145" s="22"/>
      <c r="AE145" s="22"/>
      <c r="AF145" s="88"/>
      <c r="AG145" s="22"/>
      <c r="AH145" s="22"/>
      <c r="AI145" s="22"/>
      <c r="AJ145" s="548"/>
      <c r="AK145" s="88"/>
      <c r="AL145" s="22"/>
      <c r="AM145" s="22"/>
      <c r="AN145" s="22"/>
      <c r="AO145" s="22"/>
      <c r="AP145" s="88"/>
      <c r="AQ145" s="22"/>
      <c r="AR145" s="22"/>
      <c r="AS145" s="22"/>
      <c r="AT145" s="22"/>
      <c r="AU145" s="22"/>
      <c r="AV145" s="19"/>
      <c r="AW145" s="146"/>
      <c r="AX145" s="146"/>
      <c r="AY145" s="146"/>
      <c r="AZ145" s="146"/>
      <c r="BA145" s="146"/>
      <c r="BB145" s="245"/>
      <c r="BC145" s="245"/>
      <c r="BD145" s="245"/>
      <c r="BE145" s="245"/>
      <c r="BF145" s="1422"/>
      <c r="BG145" s="245"/>
      <c r="BH145" s="245"/>
      <c r="BI145" s="245"/>
      <c r="BJ145" s="245"/>
      <c r="BK145" s="1422"/>
      <c r="BL145" s="245"/>
      <c r="BM145" s="245"/>
      <c r="BN145" s="245"/>
      <c r="BO145" s="245"/>
      <c r="BP145" s="1422"/>
      <c r="BQ145" s="245"/>
      <c r="BR145" s="245"/>
      <c r="BS145" s="245"/>
      <c r="BT145" s="245"/>
      <c r="BU145" s="145"/>
      <c r="BV145" s="1196">
        <v>1.6299426028412708E-2</v>
      </c>
      <c r="BW145" s="1196">
        <v>2.9205738459333757E-2</v>
      </c>
      <c r="BX145" s="1196">
        <v>3.8157640257374122E-2</v>
      </c>
      <c r="BY145" s="1196">
        <v>4.1000000000000002E-2</v>
      </c>
      <c r="BZ145" s="123">
        <v>5.0999999999999997E-2</v>
      </c>
      <c r="CA145" s="22">
        <v>6.0999999999999999E-2</v>
      </c>
      <c r="CB145" s="22">
        <v>4.2999999999999997E-2</v>
      </c>
      <c r="CC145" s="22">
        <v>9.0999999999999998E-2</v>
      </c>
      <c r="CD145" s="22">
        <v>8.5000000000000006E-2</v>
      </c>
      <c r="CE145" s="152">
        <v>7.0000000000000007E-2</v>
      </c>
      <c r="CF145" s="22">
        <v>6.2E-2</v>
      </c>
      <c r="CG145" s="22">
        <v>6.4000000000000001E-2</v>
      </c>
      <c r="CH145" s="22">
        <v>3.6999999999999998E-2</v>
      </c>
      <c r="CI145" s="22">
        <v>1.6E-2</v>
      </c>
      <c r="CJ145" s="152">
        <v>4.3999999999999997E-2</v>
      </c>
      <c r="CK145" s="22">
        <v>3.3000000000000002E-2</v>
      </c>
      <c r="CL145" s="22">
        <v>-2.7E-2</v>
      </c>
      <c r="CM145" s="22">
        <v>-0.02</v>
      </c>
      <c r="CN145" s="22">
        <v>-0.02</v>
      </c>
      <c r="CO145" s="152">
        <v>-8.5000000000000006E-3</v>
      </c>
      <c r="CP145" s="22">
        <v>0.03</v>
      </c>
      <c r="CQ145" s="22">
        <v>0.03</v>
      </c>
      <c r="CR145" s="22">
        <v>0.03</v>
      </c>
      <c r="CS145" s="22">
        <v>0.03</v>
      </c>
      <c r="CT145" s="152">
        <v>0.03</v>
      </c>
      <c r="CU145" s="22">
        <v>0.03</v>
      </c>
      <c r="CV145" s="22">
        <v>0.03</v>
      </c>
      <c r="CW145" s="22">
        <v>0.03</v>
      </c>
      <c r="CX145" s="22">
        <v>0.03</v>
      </c>
      <c r="CY145" s="152">
        <v>0.03</v>
      </c>
      <c r="CZ145" s="22">
        <v>0.03</v>
      </c>
      <c r="DA145" s="22">
        <v>0.03</v>
      </c>
      <c r="DB145" s="22">
        <v>0.03</v>
      </c>
      <c r="DC145" s="22">
        <v>0.03</v>
      </c>
      <c r="DD145" s="152">
        <v>0.03</v>
      </c>
      <c r="DE145" s="22">
        <v>0.03</v>
      </c>
      <c r="DF145" s="22">
        <v>0.03</v>
      </c>
      <c r="DG145" s="22">
        <v>0.03</v>
      </c>
      <c r="DH145" s="22">
        <v>0.03</v>
      </c>
      <c r="DI145" s="152">
        <v>0.03</v>
      </c>
      <c r="DJ145" s="22">
        <v>0.03</v>
      </c>
      <c r="DK145" s="22">
        <v>0.03</v>
      </c>
      <c r="DL145" s="22">
        <v>0.03</v>
      </c>
      <c r="DM145" s="22">
        <v>0.03</v>
      </c>
      <c r="DN145" s="152">
        <v>0.03</v>
      </c>
      <c r="DO145" s="22">
        <v>0.03</v>
      </c>
      <c r="DP145" s="22">
        <v>0.03</v>
      </c>
      <c r="DQ145" s="22">
        <v>0.03</v>
      </c>
      <c r="DR145" s="22">
        <v>0.03</v>
      </c>
      <c r="DS145" s="152">
        <v>0.03</v>
      </c>
      <c r="DT145" s="22">
        <v>0.03</v>
      </c>
      <c r="DU145" s="22">
        <v>0.03</v>
      </c>
      <c r="DV145" s="22">
        <v>0.03</v>
      </c>
      <c r="DW145" s="22">
        <v>0.03</v>
      </c>
      <c r="DX145" s="152">
        <v>0.03</v>
      </c>
      <c r="DY145" s="22">
        <v>0.03</v>
      </c>
      <c r="DZ145" s="22">
        <v>0.03</v>
      </c>
      <c r="EA145" s="22">
        <v>0.03</v>
      </c>
      <c r="EB145" s="22">
        <v>0.03</v>
      </c>
      <c r="EC145" s="152">
        <v>0.03</v>
      </c>
      <c r="ED145" s="296"/>
      <c r="EE145" s="22"/>
      <c r="EF145" s="22"/>
      <c r="EG145" s="22"/>
      <c r="EH145" s="22"/>
      <c r="EI145" s="22"/>
      <c r="EJ145" s="22">
        <f t="shared" si="996"/>
        <v>0</v>
      </c>
      <c r="EK145" s="22">
        <f t="shared" si="997"/>
        <v>0</v>
      </c>
      <c r="EL145" s="22">
        <f t="shared" si="998"/>
        <v>0</v>
      </c>
      <c r="EM145" s="22">
        <f t="shared" si="999"/>
        <v>0</v>
      </c>
      <c r="EN145" s="22">
        <f t="shared" si="1000"/>
        <v>0</v>
      </c>
      <c r="EO145" s="22">
        <f t="shared" si="1001"/>
        <v>7.0000000000000007E-2</v>
      </c>
      <c r="EP145" s="22">
        <f t="shared" si="1002"/>
        <v>4.3999999999999997E-2</v>
      </c>
      <c r="EQ145" s="22">
        <f t="shared" si="1003"/>
        <v>-8.5000000000000006E-3</v>
      </c>
      <c r="ER145" s="88">
        <f t="shared" si="1004"/>
        <v>0.03</v>
      </c>
      <c r="ES145" s="296"/>
      <c r="ET145" s="296"/>
      <c r="EU145" s="296"/>
      <c r="EX145" s="1423"/>
      <c r="EY145" s="1019"/>
      <c r="EZ145" s="1019"/>
      <c r="FA145" s="1019"/>
      <c r="FB145" s="1019"/>
      <c r="FC145" s="1020"/>
      <c r="FD145" s="296"/>
    </row>
    <row r="146" spans="1:160" ht="11.25" customHeight="1" x14ac:dyDescent="0.2">
      <c r="A146" s="1608" t="s">
        <v>74</v>
      </c>
      <c r="B146" s="634"/>
      <c r="C146" s="634"/>
      <c r="D146" s="634"/>
      <c r="E146" s="634"/>
      <c r="F146" s="634"/>
      <c r="G146" s="634"/>
      <c r="H146" s="634"/>
      <c r="I146" s="634"/>
      <c r="J146" s="634"/>
      <c r="K146" s="634"/>
      <c r="L146" s="634"/>
      <c r="M146" s="634"/>
      <c r="N146" s="634"/>
      <c r="O146" s="634"/>
      <c r="P146" s="634"/>
      <c r="Q146" s="634"/>
      <c r="R146" s="634"/>
      <c r="S146" s="634"/>
      <c r="T146" s="634"/>
      <c r="U146" s="634"/>
      <c r="V146" s="635"/>
      <c r="W146" s="634"/>
      <c r="X146" s="634"/>
      <c r="Y146" s="634"/>
      <c r="Z146" s="634"/>
      <c r="AA146" s="634"/>
      <c r="AB146" s="634"/>
      <c r="AC146" s="634"/>
      <c r="AD146" s="634"/>
      <c r="AE146" s="634"/>
      <c r="AF146" s="636"/>
      <c r="AG146" s="634"/>
      <c r="AH146" s="634"/>
      <c r="AI146" s="634"/>
      <c r="AJ146" s="637"/>
      <c r="AK146" s="636"/>
      <c r="AL146" s="634"/>
      <c r="AM146" s="634"/>
      <c r="AN146" s="634"/>
      <c r="AO146" s="634"/>
      <c r="AP146" s="636"/>
      <c r="AQ146" s="634"/>
      <c r="AR146" s="634"/>
      <c r="AS146" s="634"/>
      <c r="AT146" s="634"/>
      <c r="AU146" s="634"/>
      <c r="AV146" s="45"/>
      <c r="AW146" s="634"/>
      <c r="AX146" s="634"/>
      <c r="AY146" s="634"/>
      <c r="AZ146" s="634"/>
      <c r="BA146" s="637"/>
      <c r="BB146" s="608"/>
      <c r="BC146" s="608"/>
      <c r="BD146" s="608"/>
      <c r="BE146" s="608"/>
      <c r="BF146" s="609"/>
      <c r="BG146" s="608"/>
      <c r="BH146" s="608"/>
      <c r="BI146" s="608"/>
      <c r="BJ146" s="608"/>
      <c r="BK146" s="609"/>
      <c r="BL146" s="608"/>
      <c r="BM146" s="608"/>
      <c r="BN146" s="608"/>
      <c r="BO146" s="608"/>
      <c r="BP146" s="609"/>
      <c r="BQ146" s="608"/>
      <c r="BR146" s="608"/>
      <c r="BS146" s="608"/>
      <c r="BT146" s="608"/>
      <c r="BU146" s="1592"/>
      <c r="BV146" s="1289"/>
      <c r="BW146" s="1289"/>
      <c r="BX146" s="1289"/>
      <c r="BY146" s="1289"/>
      <c r="BZ146" s="637"/>
      <c r="CA146" s="608"/>
      <c r="CB146" s="608"/>
      <c r="CC146" s="608"/>
      <c r="CD146" s="608"/>
      <c r="CE146" s="609"/>
      <c r="CF146" s="608"/>
      <c r="CG146" s="608"/>
      <c r="CH146" s="608"/>
      <c r="CI146" s="608"/>
      <c r="CJ146" s="609"/>
      <c r="CK146" s="608"/>
      <c r="CL146" s="608"/>
      <c r="CM146" s="608"/>
      <c r="CN146" s="608"/>
      <c r="CO146" s="609"/>
      <c r="CP146" s="608"/>
      <c r="CQ146" s="608"/>
      <c r="CR146" s="608"/>
      <c r="CS146" s="608"/>
      <c r="CT146" s="609"/>
      <c r="CU146" s="608"/>
      <c r="CV146" s="608"/>
      <c r="CW146" s="608"/>
      <c r="CX146" s="608"/>
      <c r="CY146" s="609"/>
      <c r="CZ146" s="608"/>
      <c r="DA146" s="608"/>
      <c r="DB146" s="608"/>
      <c r="DC146" s="608"/>
      <c r="DD146" s="609"/>
      <c r="DE146" s="608"/>
      <c r="DF146" s="608"/>
      <c r="DG146" s="608"/>
      <c r="DH146" s="608"/>
      <c r="DI146" s="609"/>
      <c r="DJ146" s="608"/>
      <c r="DK146" s="608"/>
      <c r="DL146" s="608"/>
      <c r="DM146" s="608"/>
      <c r="DN146" s="609"/>
      <c r="DO146" s="608"/>
      <c r="DP146" s="608"/>
      <c r="DQ146" s="608"/>
      <c r="DR146" s="608"/>
      <c r="DS146" s="609"/>
      <c r="DT146" s="608"/>
      <c r="DU146" s="608"/>
      <c r="DV146" s="608"/>
      <c r="DW146" s="608"/>
      <c r="DX146" s="609"/>
      <c r="DY146" s="608"/>
      <c r="DZ146" s="608"/>
      <c r="EA146" s="608"/>
      <c r="EB146" s="608"/>
      <c r="EC146" s="609"/>
      <c r="ED146" s="295"/>
      <c r="EE146" s="245"/>
      <c r="EF146" s="22"/>
      <c r="EG146" s="22"/>
      <c r="EH146" s="22"/>
      <c r="EI146" s="22"/>
      <c r="EJ146" s="22"/>
      <c r="EK146" s="22"/>
      <c r="EL146" s="22"/>
      <c r="EM146" s="22"/>
      <c r="EN146" s="22"/>
      <c r="EO146" s="22"/>
      <c r="EP146" s="22"/>
      <c r="EQ146" s="22"/>
      <c r="ER146" s="22"/>
      <c r="ES146" s="295"/>
      <c r="ET146" s="295"/>
      <c r="EU146" s="295"/>
      <c r="EX146" s="745" t="s">
        <v>74</v>
      </c>
      <c r="EY146" s="975"/>
      <c r="EZ146" s="976"/>
      <c r="FA146" s="976"/>
      <c r="FB146" s="976"/>
      <c r="FC146" s="977"/>
      <c r="FD146" s="295"/>
    </row>
    <row r="147" spans="1:160" ht="11.25" customHeight="1" x14ac:dyDescent="0.2">
      <c r="A147" s="1609" t="s">
        <v>75</v>
      </c>
      <c r="B147" s="245"/>
      <c r="C147" s="245"/>
      <c r="D147" s="245"/>
      <c r="E147" s="245"/>
      <c r="F147" s="245"/>
      <c r="G147" s="245"/>
      <c r="H147" s="245"/>
      <c r="I147" s="245"/>
      <c r="J147" s="245"/>
      <c r="K147" s="245"/>
      <c r="L147" s="245"/>
      <c r="M147" s="245"/>
      <c r="N147" s="245"/>
      <c r="O147" s="245"/>
      <c r="P147" s="245"/>
      <c r="Q147" s="85"/>
      <c r="R147" s="38"/>
      <c r="S147" s="38"/>
      <c r="T147" s="38"/>
      <c r="U147" s="38"/>
      <c r="V147" s="85"/>
      <c r="W147" s="38"/>
      <c r="X147" s="38"/>
      <c r="Y147" s="38"/>
      <c r="Z147" s="39"/>
      <c r="AA147" s="54">
        <f>BS!AA10</f>
        <v>259</v>
      </c>
      <c r="AB147" s="87">
        <f>BS!AB10</f>
        <v>146</v>
      </c>
      <c r="AC147" s="38">
        <f>BS!AC10</f>
        <v>135</v>
      </c>
      <c r="AD147" s="38">
        <f>BS!AD10</f>
        <v>142</v>
      </c>
      <c r="AE147" s="38">
        <f>BS!AE10</f>
        <v>170</v>
      </c>
      <c r="AF147" s="85">
        <f>BS!AF10</f>
        <v>170</v>
      </c>
      <c r="AG147" s="38">
        <f>BS!AG10</f>
        <v>162</v>
      </c>
      <c r="AH147" s="38">
        <f>BS!AH10</f>
        <v>183</v>
      </c>
      <c r="AI147" s="38">
        <f>BS!AI10</f>
        <v>167</v>
      </c>
      <c r="AJ147" s="546">
        <f>BS!AJ10</f>
        <v>166</v>
      </c>
      <c r="AK147" s="54">
        <f>BS!AK10</f>
        <v>166</v>
      </c>
      <c r="AL147" s="38">
        <f>BS!AL10</f>
        <v>118</v>
      </c>
      <c r="AM147" s="38">
        <f>BS!AM10</f>
        <v>124</v>
      </c>
      <c r="AN147" s="38">
        <f>BS!AN10</f>
        <v>140</v>
      </c>
      <c r="AO147" s="38">
        <f>BS!AO10</f>
        <v>121.7</v>
      </c>
      <c r="AP147" s="85">
        <f>BS!AP10</f>
        <v>121.7</v>
      </c>
      <c r="AQ147" s="38">
        <f>BS!AQ10</f>
        <v>132.5</v>
      </c>
      <c r="AR147" s="38">
        <f>BS!AR10</f>
        <v>139.9</v>
      </c>
      <c r="AS147" s="38">
        <f>BS!AS10</f>
        <v>158.1</v>
      </c>
      <c r="AT147" s="38">
        <f>BS!AT10</f>
        <v>187.6</v>
      </c>
      <c r="AU147" s="86">
        <f>BS!AU10</f>
        <v>187.6</v>
      </c>
      <c r="AV147" s="45"/>
      <c r="AW147" s="38">
        <f>BS!AW10</f>
        <v>158.1</v>
      </c>
      <c r="AX147" s="38">
        <f>BS!AX10</f>
        <v>187.6</v>
      </c>
      <c r="AY147" s="38">
        <f>BS!AY10</f>
        <v>247.9</v>
      </c>
      <c r="AZ147" s="38">
        <f>BS!AZ10</f>
        <v>207</v>
      </c>
      <c r="BA147" s="572">
        <f>BS!BA10</f>
        <v>207</v>
      </c>
      <c r="BB147" s="86">
        <f>BS!BB10</f>
        <v>267.10000000000002</v>
      </c>
      <c r="BC147" s="38">
        <f>BS!BC10</f>
        <v>676.4</v>
      </c>
      <c r="BD147" s="38">
        <f>BS!BD10</f>
        <v>862.6</v>
      </c>
      <c r="BE147" s="38">
        <f>BS!BE10</f>
        <v>459</v>
      </c>
      <c r="BF147" s="572">
        <f>BS!BF10</f>
        <v>459</v>
      </c>
      <c r="BG147" s="38">
        <f>BS!BG10</f>
        <v>429.8</v>
      </c>
      <c r="BH147" s="38">
        <f>BS!BH10</f>
        <v>377.7</v>
      </c>
      <c r="BI147" s="38">
        <f>BS!BI10</f>
        <v>482.8</v>
      </c>
      <c r="BJ147" s="38">
        <f>BS!BJ10</f>
        <v>546.70000000000005</v>
      </c>
      <c r="BK147" s="572">
        <f>BS!BK10</f>
        <v>546.70000000000005</v>
      </c>
      <c r="BL147" s="38">
        <f>BS!BL10</f>
        <v>598.79999999999995</v>
      </c>
      <c r="BM147" s="38">
        <f>BS!BM10</f>
        <v>654.1</v>
      </c>
      <c r="BN147" s="38">
        <f>BS!BN10</f>
        <v>764.3</v>
      </c>
      <c r="BO147" s="38">
        <f>BS!BO10</f>
        <v>786.9</v>
      </c>
      <c r="BP147" s="572">
        <f>BS!BP10</f>
        <v>786.9</v>
      </c>
      <c r="BQ147" s="38">
        <f>BS!BQ10</f>
        <v>863.1</v>
      </c>
      <c r="BR147" s="38">
        <f>BS!BR10</f>
        <v>904.7</v>
      </c>
      <c r="BS147" s="38">
        <f>BS!BS10</f>
        <v>1013.7</v>
      </c>
      <c r="BT147" s="38">
        <f>BS!BT10</f>
        <v>1803.2</v>
      </c>
      <c r="BU147" s="572">
        <f>BS!BU10</f>
        <v>1803.2</v>
      </c>
      <c r="BV147" s="1070">
        <f>BS!BV10</f>
        <v>1021.9</v>
      </c>
      <c r="BW147" s="1070">
        <f>BS!BW10</f>
        <v>688.9</v>
      </c>
      <c r="BX147" s="1070">
        <f>BS!BX10</f>
        <v>975.5</v>
      </c>
      <c r="BY147" s="1070">
        <f>BS!BY10</f>
        <v>757.8</v>
      </c>
      <c r="BZ147" s="572">
        <f>BS!BZ10</f>
        <v>757.8</v>
      </c>
      <c r="CA147" s="38">
        <f>BS!BV10</f>
        <v>1021.9</v>
      </c>
      <c r="CB147" s="38">
        <f>BS!BW10</f>
        <v>688.9</v>
      </c>
      <c r="CC147" s="38">
        <f>BS!BX10</f>
        <v>975.5</v>
      </c>
      <c r="CD147" s="38">
        <f>BS!BY10</f>
        <v>757.8</v>
      </c>
      <c r="CE147" s="572">
        <f>BS!BZ10</f>
        <v>757.8</v>
      </c>
      <c r="CF147" s="38">
        <f>BS!CA10</f>
        <v>825.9</v>
      </c>
      <c r="CG147" s="38">
        <f>BS!CB10</f>
        <v>998.1</v>
      </c>
      <c r="CH147" s="38">
        <f>BS!CC10</f>
        <v>1274.4000000000001</v>
      </c>
      <c r="CI147" s="38">
        <f>BS!CD10</f>
        <v>1460.4</v>
      </c>
      <c r="CJ147" s="572">
        <f>BS!CE10</f>
        <v>1460.4</v>
      </c>
      <c r="CK147" s="38">
        <f>BS!CF10</f>
        <v>923.9</v>
      </c>
      <c r="CL147" s="38">
        <f>BS!CG10</f>
        <v>3435.5</v>
      </c>
      <c r="CM147" s="38">
        <f>BS!CH10</f>
        <v>3607.1</v>
      </c>
      <c r="CN147" s="38">
        <f>BS!CI10</f>
        <v>1073.4000000000001</v>
      </c>
      <c r="CO147" s="572">
        <f>BS!CJ10</f>
        <v>1073.4000000000001</v>
      </c>
      <c r="CP147" s="38">
        <f>BS!CK10</f>
        <v>852.4</v>
      </c>
      <c r="CQ147" s="38">
        <f>BS!CL10</f>
        <v>935.38424829506721</v>
      </c>
      <c r="CR147" s="38">
        <f>BS!CM10</f>
        <v>1027.71809665518</v>
      </c>
      <c r="CS147" s="38">
        <f>BS!CN10</f>
        <v>1545.2036277047257</v>
      </c>
      <c r="CT147" s="572">
        <f>BS!CO10</f>
        <v>1545.2036277047257</v>
      </c>
      <c r="CU147" s="38">
        <f>BS!CP10</f>
        <v>1327.7932213713621</v>
      </c>
      <c r="CV147" s="38">
        <f>BS!CQ10</f>
        <v>1343.7520719715656</v>
      </c>
      <c r="CW147" s="38">
        <f>BS!CR10</f>
        <v>1471.0482325030589</v>
      </c>
      <c r="CX147" s="38">
        <f>BS!CS10</f>
        <v>2046.8802340869402</v>
      </c>
      <c r="CY147" s="572">
        <f>BS!CT10</f>
        <v>2046.8802340869402</v>
      </c>
      <c r="CZ147" s="38">
        <f>BS!CU10</f>
        <v>1821.5713381088854</v>
      </c>
      <c r="DA147" s="38">
        <f>BS!CV10</f>
        <v>1862.2164360808745</v>
      </c>
      <c r="DB147" s="38">
        <f>BS!CW10</f>
        <v>2024.3112114208122</v>
      </c>
      <c r="DC147" s="38">
        <f>BS!CX10</f>
        <v>2663.2723976584775</v>
      </c>
      <c r="DD147" s="572">
        <f>BS!CY10</f>
        <v>2663.2723976584775</v>
      </c>
      <c r="DE147" s="38">
        <f>BS!CZ10</f>
        <v>2452.2149585647617</v>
      </c>
      <c r="DF147" s="38">
        <f>BS!DA10</f>
        <v>2511.6738981101403</v>
      </c>
      <c r="DG147" s="38">
        <f>BS!DB10</f>
        <v>2708.6185114464729</v>
      </c>
      <c r="DH147" s="38">
        <f>BS!DC10</f>
        <v>2778.667863069224</v>
      </c>
      <c r="DI147" s="572">
        <f>BS!DD10</f>
        <v>2778.667863069224</v>
      </c>
      <c r="DJ147" s="38">
        <f>BS!DE10</f>
        <v>2583.4557657617265</v>
      </c>
      <c r="DK147" s="38">
        <f>BS!DF10</f>
        <v>2678.0120563957416</v>
      </c>
      <c r="DL147" s="38">
        <f>BS!DG10</f>
        <v>2919.2130399990237</v>
      </c>
      <c r="DM147" s="38">
        <f>BS!DH10</f>
        <v>3709.003451105159</v>
      </c>
      <c r="DN147" s="572">
        <f>BS!DI10</f>
        <v>3709.003451105159</v>
      </c>
      <c r="DO147" s="38">
        <f>BS!DJ10</f>
        <v>3504.8986228915442</v>
      </c>
      <c r="DP147" s="38">
        <f>BS!DK10</f>
        <v>3628.1014805667623</v>
      </c>
      <c r="DQ147" s="38">
        <f>BS!DL10</f>
        <v>3908.005116647003</v>
      </c>
      <c r="DR147" s="38">
        <f>BS!DM10</f>
        <v>4770.0973409518883</v>
      </c>
      <c r="DS147" s="572">
        <f>BS!DN10</f>
        <v>4770.0973409518883</v>
      </c>
      <c r="DT147" s="38">
        <f>BS!DO10</f>
        <v>4546.2661560677534</v>
      </c>
      <c r="DU147" s="38">
        <f>BS!DP10</f>
        <v>4656.1053747558653</v>
      </c>
      <c r="DV147" s="38">
        <f>BS!DQ10</f>
        <v>4944.065755233747</v>
      </c>
      <c r="DW147" s="38">
        <f>BS!DR10</f>
        <v>5862.2197670922296</v>
      </c>
      <c r="DX147" s="572">
        <f>BS!DS10</f>
        <v>5862.2197670922296</v>
      </c>
      <c r="DY147" s="38">
        <f>BS!DT10</f>
        <v>5638.0622162631307</v>
      </c>
      <c r="DZ147" s="38">
        <f>BS!DU10</f>
        <v>5770.3699817933812</v>
      </c>
      <c r="EA147" s="38">
        <f>BS!DV10</f>
        <v>6078.0303062797366</v>
      </c>
      <c r="EB147" s="38">
        <f>BS!DW10</f>
        <v>7054.9707667042403</v>
      </c>
      <c r="EC147" s="572">
        <f>BS!DX10</f>
        <v>7054.9707667042403</v>
      </c>
      <c r="ED147" s="295"/>
      <c r="EE147" s="245"/>
      <c r="EF147" s="22"/>
      <c r="EG147" s="22"/>
      <c r="EH147" s="22"/>
      <c r="EI147" s="22"/>
      <c r="EJ147" s="22"/>
      <c r="EK147" s="22"/>
      <c r="EL147" s="22"/>
      <c r="EM147" s="22"/>
      <c r="EN147" s="22"/>
      <c r="EO147" s="22"/>
      <c r="EP147" s="22"/>
      <c r="EQ147" s="22"/>
      <c r="ER147" s="22"/>
      <c r="ES147" s="295"/>
      <c r="ET147" s="295"/>
      <c r="EU147" s="295"/>
      <c r="EX147" s="600" t="s">
        <v>75</v>
      </c>
      <c r="EY147" s="978">
        <f>CP147</f>
        <v>852.4</v>
      </c>
      <c r="EZ147" s="760">
        <v>890.18673815881652</v>
      </c>
      <c r="FA147" s="760">
        <f>EY147-EZ147</f>
        <v>-37.786738158816547</v>
      </c>
      <c r="FB147" s="760">
        <f>CK147</f>
        <v>923.9</v>
      </c>
      <c r="FC147" s="979">
        <f>EY147-FB147</f>
        <v>-71.5</v>
      </c>
      <c r="FD147" s="295"/>
    </row>
    <row r="148" spans="1:160" ht="11.25" customHeight="1" x14ac:dyDescent="0.2">
      <c r="A148" s="1609" t="s">
        <v>76</v>
      </c>
      <c r="B148" s="245"/>
      <c r="C148" s="245"/>
      <c r="D148" s="245"/>
      <c r="E148" s="245"/>
      <c r="F148" s="245"/>
      <c r="G148" s="245"/>
      <c r="H148" s="245"/>
      <c r="I148" s="245"/>
      <c r="J148" s="245"/>
      <c r="K148" s="245"/>
      <c r="L148" s="245"/>
      <c r="M148" s="245"/>
      <c r="N148" s="245"/>
      <c r="O148" s="245"/>
      <c r="P148" s="245"/>
      <c r="Q148" s="85"/>
      <c r="R148" s="38"/>
      <c r="S148" s="38"/>
      <c r="T148" s="38"/>
      <c r="U148" s="38"/>
      <c r="V148" s="85"/>
      <c r="W148" s="38"/>
      <c r="X148" s="38"/>
      <c r="Y148" s="38"/>
      <c r="Z148" s="39"/>
      <c r="AA148" s="54">
        <f>BS!AA33</f>
        <v>997</v>
      </c>
      <c r="AB148" s="87">
        <f>BS!AB33</f>
        <v>946</v>
      </c>
      <c r="AC148" s="38">
        <f>BS!AC33</f>
        <v>896</v>
      </c>
      <c r="AD148" s="38">
        <f>BS!AD33</f>
        <v>871</v>
      </c>
      <c r="AE148" s="38">
        <f>BS!AE33</f>
        <v>871</v>
      </c>
      <c r="AF148" s="85">
        <f>BS!AF33</f>
        <v>871</v>
      </c>
      <c r="AG148" s="38">
        <f>BS!AG33</f>
        <v>846</v>
      </c>
      <c r="AH148" s="38">
        <f>BS!AH33</f>
        <v>821</v>
      </c>
      <c r="AI148" s="38">
        <f>BS!AI33</f>
        <v>821</v>
      </c>
      <c r="AJ148" s="546">
        <f>BS!AJ33</f>
        <v>869</v>
      </c>
      <c r="AK148" s="54">
        <f>BS!AK33</f>
        <v>869</v>
      </c>
      <c r="AL148" s="38">
        <f>BS!AL33</f>
        <v>882</v>
      </c>
      <c r="AM148" s="38">
        <f>BS!AM33</f>
        <v>867</v>
      </c>
      <c r="AN148" s="38">
        <f>BS!AN33</f>
        <v>811</v>
      </c>
      <c r="AO148" s="38">
        <f>BS!AO33</f>
        <v>755.6</v>
      </c>
      <c r="AP148" s="85">
        <f>BS!AP33</f>
        <v>755.6</v>
      </c>
      <c r="AQ148" s="38">
        <f>BS!AQ33</f>
        <v>748.5</v>
      </c>
      <c r="AR148" s="38">
        <f>BS!AR33</f>
        <v>711.8</v>
      </c>
      <c r="AS148" s="38">
        <f>BS!AS33</f>
        <v>689.8</v>
      </c>
      <c r="AT148" s="38">
        <f>BS!AT33</f>
        <v>667.7</v>
      </c>
      <c r="AU148" s="86">
        <f>BS!AU33</f>
        <v>667.7</v>
      </c>
      <c r="AV148" s="45"/>
      <c r="AW148" s="38">
        <f>BS!AW33</f>
        <v>689.8</v>
      </c>
      <c r="AX148" s="38">
        <f>BS!AX33</f>
        <v>667.7</v>
      </c>
      <c r="AY148" s="38">
        <f>BS!AY33</f>
        <v>667.4</v>
      </c>
      <c r="AZ148" s="38">
        <f>BS!AZ33</f>
        <v>2652</v>
      </c>
      <c r="BA148" s="572">
        <f>BS!BA33</f>
        <v>2652</v>
      </c>
      <c r="BB148" s="86">
        <f>BS!BB33</f>
        <v>2689.4</v>
      </c>
      <c r="BC148" s="38">
        <f>BS!BC33</f>
        <v>3086.5</v>
      </c>
      <c r="BD148" s="38">
        <f>BS!BD33</f>
        <v>3058.2</v>
      </c>
      <c r="BE148" s="38">
        <f>BS!BE33</f>
        <v>3010.3</v>
      </c>
      <c r="BF148" s="572">
        <f>BS!BF33</f>
        <v>3010.3</v>
      </c>
      <c r="BG148" s="38">
        <f>BS!BG33</f>
        <v>2547.8000000000002</v>
      </c>
      <c r="BH148" s="38">
        <f>BS!BH33</f>
        <v>2911.7</v>
      </c>
      <c r="BI148" s="38">
        <f>BS!BI33</f>
        <v>2910.5</v>
      </c>
      <c r="BJ148" s="38">
        <f>BS!BJ33</f>
        <v>2905.1</v>
      </c>
      <c r="BK148" s="572">
        <f>BS!BK33</f>
        <v>2905.1</v>
      </c>
      <c r="BL148" s="38">
        <f>BS!BL33</f>
        <v>2900</v>
      </c>
      <c r="BM148" s="38">
        <f>BS!BM33</f>
        <v>2895.3</v>
      </c>
      <c r="BN148" s="38">
        <f>BS!BN33</f>
        <v>2890.8</v>
      </c>
      <c r="BO148" s="38">
        <f>BS!BO33</f>
        <v>2880.2</v>
      </c>
      <c r="BP148" s="572">
        <f>BS!BP33</f>
        <v>2880.2</v>
      </c>
      <c r="BQ148" s="38">
        <f>BS!BQ33</f>
        <v>2869.9</v>
      </c>
      <c r="BR148" s="38">
        <f>BS!BR33</f>
        <v>2860</v>
      </c>
      <c r="BS148" s="38">
        <f>BS!BS33</f>
        <v>2850.3</v>
      </c>
      <c r="BT148" s="38">
        <f>BS!BT33</f>
        <v>8936.7000000000007</v>
      </c>
      <c r="BU148" s="572">
        <f>BS!BU33</f>
        <v>8936.7000000000007</v>
      </c>
      <c r="BV148" s="1070">
        <f>BS!BV33</f>
        <v>8961</v>
      </c>
      <c r="BW148" s="1070">
        <f>BS!BW33</f>
        <v>8651.7999999999993</v>
      </c>
      <c r="BX148" s="1070">
        <f>BS!BX33</f>
        <v>8471.7000000000007</v>
      </c>
      <c r="BY148" s="1070">
        <f>BS!BY33</f>
        <v>8462.2999999999993</v>
      </c>
      <c r="BZ148" s="572">
        <f>BS!BZ33</f>
        <v>8462.2999999999993</v>
      </c>
      <c r="CA148" s="38">
        <f>BS!BV33</f>
        <v>8961</v>
      </c>
      <c r="CB148" s="38">
        <f>BS!BW33</f>
        <v>8651.7999999999993</v>
      </c>
      <c r="CC148" s="38">
        <f>BS!BX33</f>
        <v>8471.7000000000007</v>
      </c>
      <c r="CD148" s="38">
        <f>BS!BY33</f>
        <v>8462.2999999999993</v>
      </c>
      <c r="CE148" s="572">
        <f>BS!BZ33</f>
        <v>8462.2999999999993</v>
      </c>
      <c r="CF148" s="38">
        <f>BS!CA33</f>
        <v>8465.6</v>
      </c>
      <c r="CG148" s="38">
        <f>BS!CB33</f>
        <v>8425.2000000000007</v>
      </c>
      <c r="CH148" s="38">
        <f>BS!CC33</f>
        <v>8421.2999999999993</v>
      </c>
      <c r="CI148" s="38">
        <f>BS!CD33</f>
        <v>8410.2000000000007</v>
      </c>
      <c r="CJ148" s="572">
        <f>BS!CE33</f>
        <v>8410.2000000000007</v>
      </c>
      <c r="CK148" s="38">
        <f>BS!CF33</f>
        <v>9531.5</v>
      </c>
      <c r="CL148" s="38">
        <f>BS!CG33</f>
        <v>11252.9</v>
      </c>
      <c r="CM148" s="38">
        <f>BS!CH33</f>
        <v>11303.6</v>
      </c>
      <c r="CN148" s="38">
        <f>BS!CI33</f>
        <v>11800.9</v>
      </c>
      <c r="CO148" s="572">
        <f>BS!CJ33</f>
        <v>11800.9</v>
      </c>
      <c r="CP148" s="38">
        <f>BS!CK33</f>
        <v>11788.1</v>
      </c>
      <c r="CQ148" s="38">
        <f>BS!CL33</f>
        <v>11770.325000000001</v>
      </c>
      <c r="CR148" s="38">
        <f>BS!CM33</f>
        <v>11753.45</v>
      </c>
      <c r="CS148" s="38">
        <f>BS!CN33</f>
        <v>11736.575000000001</v>
      </c>
      <c r="CT148" s="572">
        <f>BS!CO33</f>
        <v>11736.575000000001</v>
      </c>
      <c r="CU148" s="38">
        <f>BS!CP33</f>
        <v>11719.7</v>
      </c>
      <c r="CV148" s="38">
        <f>BS!CQ33</f>
        <v>11702.825000000001</v>
      </c>
      <c r="CW148" s="38">
        <f>BS!CR33</f>
        <v>11685.95</v>
      </c>
      <c r="CX148" s="38">
        <f>BS!CS33</f>
        <v>11669.075000000001</v>
      </c>
      <c r="CY148" s="572">
        <f>BS!CT33</f>
        <v>11669.075000000001</v>
      </c>
      <c r="CZ148" s="38">
        <f>BS!CU33</f>
        <v>11652.2</v>
      </c>
      <c r="DA148" s="38">
        <f>BS!CV33</f>
        <v>11635.325000000001</v>
      </c>
      <c r="DB148" s="38">
        <f>BS!CW33</f>
        <v>11618.45</v>
      </c>
      <c r="DC148" s="38">
        <f>BS!CX33</f>
        <v>5485.1</v>
      </c>
      <c r="DD148" s="572">
        <f>BS!CY33</f>
        <v>5485.1</v>
      </c>
      <c r="DE148" s="38">
        <f>BS!CZ33</f>
        <v>5485.1</v>
      </c>
      <c r="DF148" s="38">
        <f>BS!DA33</f>
        <v>5485.1</v>
      </c>
      <c r="DG148" s="38">
        <f>BS!DB33</f>
        <v>5485.1</v>
      </c>
      <c r="DH148" s="38">
        <f>BS!DC33</f>
        <v>10985.1</v>
      </c>
      <c r="DI148" s="572">
        <f>BS!DD33</f>
        <v>10985.1</v>
      </c>
      <c r="DJ148" s="38">
        <f>BS!DE33</f>
        <v>10971.35</v>
      </c>
      <c r="DK148" s="38">
        <f>BS!DF33</f>
        <v>10957.6</v>
      </c>
      <c r="DL148" s="38">
        <f>BS!DG33</f>
        <v>10943.85</v>
      </c>
      <c r="DM148" s="38">
        <f>BS!DH33</f>
        <v>10930.1</v>
      </c>
      <c r="DN148" s="572">
        <f>BS!DI33</f>
        <v>10930.1</v>
      </c>
      <c r="DO148" s="38">
        <f>BS!DJ33</f>
        <v>10916.35</v>
      </c>
      <c r="DP148" s="38">
        <f>BS!DK33</f>
        <v>10902.6</v>
      </c>
      <c r="DQ148" s="38">
        <f>BS!DL33</f>
        <v>10888.85</v>
      </c>
      <c r="DR148" s="38">
        <f>BS!DM33</f>
        <v>10875.1</v>
      </c>
      <c r="DS148" s="572">
        <f>BS!DN33</f>
        <v>10875.1</v>
      </c>
      <c r="DT148" s="38">
        <f>BS!DO33</f>
        <v>10861.35</v>
      </c>
      <c r="DU148" s="38">
        <f>BS!DP33</f>
        <v>10847.6</v>
      </c>
      <c r="DV148" s="38">
        <f>BS!DQ33</f>
        <v>10833.85</v>
      </c>
      <c r="DW148" s="38">
        <f>BS!DR33</f>
        <v>10820.1</v>
      </c>
      <c r="DX148" s="572">
        <f>BS!DS33</f>
        <v>10820.1</v>
      </c>
      <c r="DY148" s="38">
        <f>BS!DT33</f>
        <v>10806.35</v>
      </c>
      <c r="DZ148" s="38">
        <f>BS!DU33</f>
        <v>10792.6</v>
      </c>
      <c r="EA148" s="38">
        <f>BS!DV33</f>
        <v>10778.85</v>
      </c>
      <c r="EB148" s="38">
        <f>BS!DW33</f>
        <v>10765.1</v>
      </c>
      <c r="EC148" s="572">
        <f>BS!DX33</f>
        <v>10765.1</v>
      </c>
      <c r="ED148" s="295"/>
      <c r="EE148" s="245"/>
      <c r="EF148" s="22"/>
      <c r="EG148" s="22"/>
      <c r="EH148" s="22"/>
      <c r="EI148" s="22"/>
      <c r="EJ148" s="22"/>
      <c r="EK148" s="22"/>
      <c r="EL148" s="22"/>
      <c r="EM148" s="22"/>
      <c r="EN148" s="22"/>
      <c r="EO148" s="22"/>
      <c r="EP148" s="22"/>
      <c r="EQ148" s="22"/>
      <c r="ER148" s="22"/>
      <c r="ES148" s="295"/>
      <c r="ET148" s="295"/>
      <c r="EU148" s="295"/>
      <c r="EX148" s="600" t="s">
        <v>76</v>
      </c>
      <c r="EY148" s="978">
        <f>CP148</f>
        <v>11788.1</v>
      </c>
      <c r="EZ148" s="760">
        <v>11787.2</v>
      </c>
      <c r="FA148" s="760">
        <f>EY148-EZ148</f>
        <v>0.8999999999996362</v>
      </c>
      <c r="FB148" s="760">
        <f>CK148</f>
        <v>9531.5</v>
      </c>
      <c r="FC148" s="979">
        <f>EY148-FB148</f>
        <v>2256.6000000000004</v>
      </c>
      <c r="FD148" s="295"/>
    </row>
    <row r="149" spans="1:160" ht="11.25" customHeight="1" x14ac:dyDescent="0.2">
      <c r="A149" s="1604" t="s">
        <v>77</v>
      </c>
      <c r="B149" s="8"/>
      <c r="C149" s="8"/>
      <c r="D149" s="8"/>
      <c r="E149" s="8"/>
      <c r="F149" s="8"/>
      <c r="G149" s="8"/>
      <c r="H149" s="8"/>
      <c r="I149" s="8"/>
      <c r="J149" s="8"/>
      <c r="K149" s="8"/>
      <c r="L149" s="8"/>
      <c r="M149" s="8"/>
      <c r="N149" s="8"/>
      <c r="O149" s="8"/>
      <c r="P149" s="8"/>
      <c r="Q149" s="8"/>
      <c r="R149" s="8"/>
      <c r="S149" s="8"/>
      <c r="T149" s="8"/>
      <c r="U149" s="8"/>
      <c r="V149" s="459"/>
      <c r="W149" s="8"/>
      <c r="X149" s="8"/>
      <c r="Y149" s="8"/>
      <c r="Z149" s="8"/>
      <c r="AA149" s="8"/>
      <c r="AB149" s="8"/>
      <c r="AC149" s="8"/>
      <c r="AD149" s="8"/>
      <c r="AE149" s="8"/>
      <c r="AF149" s="9"/>
      <c r="AG149" s="610"/>
      <c r="AH149" s="8"/>
      <c r="AI149" s="8"/>
      <c r="AJ149" s="555"/>
      <c r="AK149" s="9"/>
      <c r="AL149" s="8"/>
      <c r="AM149" s="8"/>
      <c r="AN149" s="8"/>
      <c r="AO149" s="8"/>
      <c r="AP149" s="9"/>
      <c r="AQ149" s="8"/>
      <c r="AR149" s="8"/>
      <c r="AS149" s="8"/>
      <c r="AT149" s="8"/>
      <c r="AU149" s="8"/>
      <c r="AV149" s="45"/>
      <c r="AW149" s="8"/>
      <c r="AX149" s="8"/>
      <c r="AY149" s="8"/>
      <c r="AZ149" s="8"/>
      <c r="BA149" s="555"/>
      <c r="BB149" s="8"/>
      <c r="BC149" s="8"/>
      <c r="BD149" s="8"/>
      <c r="BE149" s="8"/>
      <c r="BF149" s="555"/>
      <c r="BG149" s="8"/>
      <c r="BH149" s="8"/>
      <c r="BI149" s="8"/>
      <c r="BJ149" s="8"/>
      <c r="BK149" s="555"/>
      <c r="BL149" s="8"/>
      <c r="BM149" s="8"/>
      <c r="BN149" s="8"/>
      <c r="BO149" s="8"/>
      <c r="BP149" s="555"/>
      <c r="BQ149" s="8"/>
      <c r="BR149" s="8"/>
      <c r="BS149" s="8"/>
      <c r="BT149" s="8"/>
      <c r="BU149" s="657"/>
      <c r="BV149" s="1293"/>
      <c r="BW149" s="1293"/>
      <c r="BX149" s="1293"/>
      <c r="BY149" s="1293"/>
      <c r="BZ149" s="555"/>
      <c r="CA149" s="8"/>
      <c r="CB149" s="8"/>
      <c r="CC149" s="8"/>
      <c r="CD149" s="8"/>
      <c r="CE149" s="555"/>
      <c r="CF149" s="8"/>
      <c r="CG149" s="8"/>
      <c r="CH149" s="8"/>
      <c r="CI149" s="8"/>
      <c r="CJ149" s="555"/>
      <c r="CK149" s="8"/>
      <c r="CL149" s="8"/>
      <c r="CM149" s="8"/>
      <c r="CN149" s="8"/>
      <c r="CO149" s="555"/>
      <c r="CP149" s="8"/>
      <c r="CQ149" s="8"/>
      <c r="CR149" s="8"/>
      <c r="CS149" s="8"/>
      <c r="CT149" s="555"/>
      <c r="CU149" s="8"/>
      <c r="CV149" s="8"/>
      <c r="CW149" s="8"/>
      <c r="CX149" s="8"/>
      <c r="CY149" s="555"/>
      <c r="CZ149" s="8"/>
      <c r="DA149" s="8"/>
      <c r="DB149" s="8"/>
      <c r="DC149" s="8"/>
      <c r="DD149" s="555"/>
      <c r="DE149" s="8"/>
      <c r="DF149" s="8"/>
      <c r="DG149" s="8"/>
      <c r="DH149" s="8"/>
      <c r="DI149" s="555"/>
      <c r="DJ149" s="8"/>
      <c r="DK149" s="8"/>
      <c r="DL149" s="8"/>
      <c r="DM149" s="8"/>
      <c r="DN149" s="555"/>
      <c r="DO149" s="8"/>
      <c r="DP149" s="8"/>
      <c r="DQ149" s="8"/>
      <c r="DR149" s="8"/>
      <c r="DS149" s="555"/>
      <c r="DT149" s="8"/>
      <c r="DU149" s="8"/>
      <c r="DV149" s="8"/>
      <c r="DW149" s="8"/>
      <c r="DX149" s="555"/>
      <c r="DY149" s="8"/>
      <c r="DZ149" s="8"/>
      <c r="EA149" s="8"/>
      <c r="EB149" s="8"/>
      <c r="EC149" s="555"/>
      <c r="ED149" s="295"/>
      <c r="EE149" s="245"/>
      <c r="EF149" s="22"/>
      <c r="EG149" s="22"/>
      <c r="EH149" s="22"/>
      <c r="EI149" s="22"/>
      <c r="EJ149" s="22"/>
      <c r="EK149" s="22"/>
      <c r="EL149" s="22"/>
      <c r="EM149" s="22"/>
      <c r="EN149" s="22"/>
      <c r="EO149" s="22"/>
      <c r="EP149" s="22"/>
      <c r="EQ149" s="22"/>
      <c r="ER149" s="22"/>
      <c r="ES149" s="295"/>
      <c r="ET149" s="295"/>
      <c r="EU149" s="295"/>
      <c r="EX149" s="747" t="s">
        <v>77</v>
      </c>
      <c r="EY149" s="980"/>
      <c r="EZ149" s="974"/>
      <c r="FA149" s="974"/>
      <c r="FB149" s="974"/>
      <c r="FC149" s="981"/>
      <c r="FD149" s="295"/>
    </row>
    <row r="150" spans="1:160" ht="11.25" customHeight="1" x14ac:dyDescent="0.2">
      <c r="A150" s="1609" t="s">
        <v>78</v>
      </c>
      <c r="B150" s="245"/>
      <c r="C150" s="245"/>
      <c r="D150" s="245"/>
      <c r="E150" s="245"/>
      <c r="F150" s="245"/>
      <c r="G150" s="245"/>
      <c r="H150" s="245"/>
      <c r="I150" s="245"/>
      <c r="J150" s="245"/>
      <c r="K150" s="245"/>
      <c r="L150" s="245"/>
      <c r="M150" s="245"/>
      <c r="N150" s="245"/>
      <c r="O150" s="245"/>
      <c r="P150" s="245"/>
      <c r="Q150" s="85"/>
      <c r="R150" s="38"/>
      <c r="S150" s="38"/>
      <c r="T150" s="38"/>
      <c r="U150" s="38"/>
      <c r="V150" s="85"/>
      <c r="W150" s="38"/>
      <c r="X150" s="38"/>
      <c r="Y150" s="38"/>
      <c r="Z150" s="39"/>
      <c r="AA150" s="54">
        <f>'CF '!AA38</f>
        <v>74</v>
      </c>
      <c r="AB150" s="87">
        <f>'CF '!AB38</f>
        <v>-47</v>
      </c>
      <c r="AC150" s="38">
        <f>'CF '!AC38</f>
        <v>45</v>
      </c>
      <c r="AD150" s="38">
        <f>'CF '!AD38</f>
        <v>48</v>
      </c>
      <c r="AE150" s="38">
        <f>'CF '!AE38</f>
        <v>71</v>
      </c>
      <c r="AF150" s="85">
        <f>'CF '!AF38</f>
        <v>117</v>
      </c>
      <c r="AG150" s="38">
        <f>'CF '!AG38</f>
        <v>41</v>
      </c>
      <c r="AH150" s="38">
        <f>'CF '!AH38</f>
        <v>78</v>
      </c>
      <c r="AI150" s="38">
        <f>'CF '!AI38</f>
        <v>31</v>
      </c>
      <c r="AJ150" s="546">
        <f>'CF '!AJ38</f>
        <v>93</v>
      </c>
      <c r="AK150" s="54">
        <f>'CF '!AK38</f>
        <v>243</v>
      </c>
      <c r="AL150" s="38">
        <f>'CF '!AL38</f>
        <v>52</v>
      </c>
      <c r="AM150" s="38">
        <f>'CF '!AM38</f>
        <v>77</v>
      </c>
      <c r="AN150" s="38">
        <f>'CF '!AN38</f>
        <v>82</v>
      </c>
      <c r="AO150" s="38">
        <f>'CF '!AO38</f>
        <v>99.8</v>
      </c>
      <c r="AP150" s="85">
        <f>'CF '!AP38</f>
        <v>310.8</v>
      </c>
      <c r="AQ150" s="38">
        <f>'CF '!AQ38</f>
        <v>48.000000000000021</v>
      </c>
      <c r="AR150" s="38">
        <f>'CF '!AR38</f>
        <v>74.099999999999994</v>
      </c>
      <c r="AS150" s="38">
        <f>'CF '!AS38</f>
        <v>77.200000000000017</v>
      </c>
      <c r="AT150" s="38">
        <f>'CF '!AT38</f>
        <v>111.09999999999998</v>
      </c>
      <c r="AU150" s="86">
        <f>'CF '!AY38</f>
        <v>82.100000000000009</v>
      </c>
      <c r="AV150" s="45"/>
      <c r="AW150" s="38">
        <f>'CF '!AS38</f>
        <v>77.200000000000017</v>
      </c>
      <c r="AX150" s="38">
        <f>'CF '!AT38</f>
        <v>111.09999999999998</v>
      </c>
      <c r="AY150" s="38">
        <f>'CF '!AY38</f>
        <v>82.100000000000009</v>
      </c>
      <c r="AZ150" s="38">
        <f>'CF '!AZ38</f>
        <v>-87.3</v>
      </c>
      <c r="BA150" s="572">
        <f>'CF '!BA38</f>
        <v>183.10000000000005</v>
      </c>
      <c r="BB150" s="86">
        <f>'CF '!BB38</f>
        <v>65.2</v>
      </c>
      <c r="BC150" s="38">
        <f>'CF '!BC38</f>
        <v>29.699999999999996</v>
      </c>
      <c r="BD150" s="38">
        <f>'CF '!BD38</f>
        <v>219.8</v>
      </c>
      <c r="BE150" s="38">
        <f>'CF '!BE38</f>
        <v>91.500000000000028</v>
      </c>
      <c r="BF150" s="572">
        <f>'CF '!BF38</f>
        <v>406.20000000000005</v>
      </c>
      <c r="BG150" s="38">
        <f>'CF '!BG38</f>
        <v>39.299999999999969</v>
      </c>
      <c r="BH150" s="38">
        <f>'CF '!BH38</f>
        <v>-2.3999999999999799</v>
      </c>
      <c r="BI150" s="38">
        <f>'CF '!BI38</f>
        <v>107.69999999999999</v>
      </c>
      <c r="BJ150" s="38">
        <f>'CF '!BJ38</f>
        <v>79.80000000000004</v>
      </c>
      <c r="BK150" s="572">
        <f>'CF '!BK38</f>
        <v>224.4</v>
      </c>
      <c r="BL150" s="38">
        <f>'CF '!BL38</f>
        <v>78.900000000000006</v>
      </c>
      <c r="BM150" s="38">
        <f>'CF '!BM38</f>
        <v>51.299999999999983</v>
      </c>
      <c r="BN150" s="38">
        <f>'CF '!BN38</f>
        <v>137.49999999999997</v>
      </c>
      <c r="BO150" s="38">
        <f>'CF '!BO38</f>
        <v>57.499999999999993</v>
      </c>
      <c r="BP150" s="572">
        <f>'CF '!BP38</f>
        <v>325.19999999999993</v>
      </c>
      <c r="BQ150" s="38">
        <f>'CF '!BQ38</f>
        <v>125.29999999999998</v>
      </c>
      <c r="BR150" s="38">
        <f>'CF '!BR38</f>
        <v>87.800000000000026</v>
      </c>
      <c r="BS150" s="38">
        <f>'CF '!BS38</f>
        <v>162.5</v>
      </c>
      <c r="BT150" s="38">
        <f>'CF '!BT38</f>
        <v>-116.29999999999994</v>
      </c>
      <c r="BU150" s="572">
        <f>'CF '!BU38</f>
        <v>259.30000000000007</v>
      </c>
      <c r="BV150" s="1070">
        <f>'CF '!BV38</f>
        <v>261.70000000000005</v>
      </c>
      <c r="BW150" s="1070">
        <f>'CF '!BW38</f>
        <v>246.5</v>
      </c>
      <c r="BX150" s="1070">
        <f>'CF '!BX38</f>
        <v>442.19999999999993</v>
      </c>
      <c r="BY150" s="1070">
        <f>'CF '!BY38</f>
        <v>254.39999999999998</v>
      </c>
      <c r="BZ150" s="572">
        <f>'CF '!BZ38</f>
        <v>1204.8</v>
      </c>
      <c r="CA150" s="38">
        <f>'CF '!BV38</f>
        <v>261.70000000000005</v>
      </c>
      <c r="CB150" s="38">
        <f>'CF '!BW38</f>
        <v>246.5</v>
      </c>
      <c r="CC150" s="38">
        <f>'CF '!BX38</f>
        <v>442.19999999999993</v>
      </c>
      <c r="CD150" s="38">
        <f>'CF '!BY38</f>
        <v>254.39999999999998</v>
      </c>
      <c r="CE150" s="572">
        <f>'CF '!BZ38</f>
        <v>1204.8</v>
      </c>
      <c r="CF150" s="38">
        <f>'CF '!CA38</f>
        <v>183.29999999999998</v>
      </c>
      <c r="CG150" s="38">
        <f>'CF '!CB38</f>
        <v>322.00000000000006</v>
      </c>
      <c r="CH150" s="38">
        <f>'CF '!CC38</f>
        <v>413.70000000000005</v>
      </c>
      <c r="CI150" s="38">
        <f>'CF '!CD38</f>
        <v>350</v>
      </c>
      <c r="CJ150" s="572">
        <f>'CF '!CE38</f>
        <v>1269</v>
      </c>
      <c r="CK150" s="38">
        <f>'CF '!CF38</f>
        <v>275.60000000000008</v>
      </c>
      <c r="CL150" s="38">
        <f>'CF '!CG38</f>
        <v>205.4</v>
      </c>
      <c r="CM150" s="38">
        <f>'CF '!CH38</f>
        <v>332.5</v>
      </c>
      <c r="CN150" s="38">
        <f>'CF '!CI38</f>
        <v>568.50000000000011</v>
      </c>
      <c r="CO150" s="572">
        <f>'CF '!CJ38</f>
        <v>1382.0000000000002</v>
      </c>
      <c r="CP150" s="38">
        <f>'CF '!CK38</f>
        <v>-111.00000000000001</v>
      </c>
      <c r="CQ150" s="38">
        <f>'CF '!CL38</f>
        <v>317.98328542113103</v>
      </c>
      <c r="CR150" s="38">
        <f>'CF '!CM38</f>
        <v>324.03247427041737</v>
      </c>
      <c r="CS150" s="38">
        <f>'CF '!CN38</f>
        <v>766.19494017585794</v>
      </c>
      <c r="CT150" s="572">
        <f>'CF '!CO38</f>
        <v>1297.2106998674062</v>
      </c>
      <c r="CU150" s="38">
        <f>'CF '!CP38</f>
        <v>22.329961491181109</v>
      </c>
      <c r="CV150" s="38">
        <f>'CF '!CQ38</f>
        <v>272.52464292842012</v>
      </c>
      <c r="CW150" s="38">
        <f>'CF '!CR38</f>
        <v>380.32006367897446</v>
      </c>
      <c r="CX150" s="38">
        <f>'CF '!CS38</f>
        <v>847.0021119626897</v>
      </c>
      <c r="CY150" s="572">
        <f>'CF '!CT38</f>
        <v>1522.1767800612654</v>
      </c>
      <c r="CZ150" s="38">
        <f>'CF '!CU38</f>
        <v>47.841672796762737</v>
      </c>
      <c r="DA150" s="38">
        <f>'CF '!CV38</f>
        <v>320.93735672124114</v>
      </c>
      <c r="DB150" s="38">
        <f>'CF '!CW38</f>
        <v>438.58226480340903</v>
      </c>
      <c r="DC150" s="38">
        <f>'CF '!CX38</f>
        <v>934.8331692038895</v>
      </c>
      <c r="DD150" s="572">
        <f>'CF '!CY38</f>
        <v>1742.1944635253026</v>
      </c>
      <c r="DE150" s="38">
        <f>'CF '!CZ38</f>
        <v>99.642597118439255</v>
      </c>
      <c r="DF150" s="38">
        <f>'CF '!DA38</f>
        <v>365.78879165278221</v>
      </c>
      <c r="DG150" s="38">
        <f>'CF '!DB38</f>
        <v>499.30902445854383</v>
      </c>
      <c r="DH150" s="38">
        <f>'CF '!DC38</f>
        <v>1009.7996217804264</v>
      </c>
      <c r="DI150" s="572">
        <f>'CF '!DD38</f>
        <v>1974.5400350101918</v>
      </c>
      <c r="DJ150" s="38">
        <f>'CF '!DE38</f>
        <v>137.20513808310363</v>
      </c>
      <c r="DK150" s="38">
        <f>'CF '!DF38</f>
        <v>426.40842673866842</v>
      </c>
      <c r="DL150" s="38">
        <f>'CF '!DG38</f>
        <v>568.78366366195019</v>
      </c>
      <c r="DM150" s="38">
        <f>'CF '!DH38</f>
        <v>1139.6478657208042</v>
      </c>
      <c r="DN150" s="572">
        <f>'CF '!DI38</f>
        <v>2272.0450942045263</v>
      </c>
      <c r="DO150" s="38">
        <f>'CF '!DJ38</f>
        <v>176.32668622562159</v>
      </c>
      <c r="DP150" s="38">
        <f>'CF '!DK38</f>
        <v>486.54992880829155</v>
      </c>
      <c r="DQ150" s="38">
        <f>'CF '!DL38</f>
        <v>638.63390382499017</v>
      </c>
      <c r="DR150" s="38">
        <f>'CF '!DM38</f>
        <v>1244.5208838785079</v>
      </c>
      <c r="DS150" s="572">
        <f>'CF '!DN38</f>
        <v>2546.0314027374111</v>
      </c>
      <c r="DT150" s="38">
        <f>'CF '!DO38</f>
        <v>195.96331223166834</v>
      </c>
      <c r="DU150" s="38">
        <f>'CF '!DP38</f>
        <v>507.78455304020468</v>
      </c>
      <c r="DV150" s="38">
        <f>'CF '!DQ38</f>
        <v>680.91099928241135</v>
      </c>
      <c r="DW150" s="38">
        <f>'CF '!DR38</f>
        <v>1336.2794082039338</v>
      </c>
      <c r="DX150" s="572">
        <f>'CF '!DS38</f>
        <v>2720.9382727582179</v>
      </c>
      <c r="DY150" s="38">
        <f>'CF '!DT38</f>
        <v>222.93584456837334</v>
      </c>
      <c r="DZ150" s="38">
        <f>'CF '!DU38</f>
        <v>568.26116808593099</v>
      </c>
      <c r="EA150" s="38">
        <f>'CF '!DV38</f>
        <v>738.20748772061552</v>
      </c>
      <c r="EB150" s="38">
        <f>'CF '!DW38</f>
        <v>1434.191136711243</v>
      </c>
      <c r="EC150" s="572">
        <f>'CF '!DX38</f>
        <v>2963.5956370861627</v>
      </c>
      <c r="ED150" s="295"/>
      <c r="EE150" s="245"/>
      <c r="EF150" s="22"/>
      <c r="EG150" s="22"/>
      <c r="EH150" s="22"/>
      <c r="EI150" s="22"/>
      <c r="EJ150" s="22"/>
      <c r="EK150" s="22"/>
      <c r="EL150" s="22"/>
      <c r="EM150" s="22"/>
      <c r="EN150" s="22"/>
      <c r="EO150" s="22"/>
      <c r="EP150" s="22"/>
      <c r="EQ150" s="22"/>
      <c r="ER150" s="22"/>
      <c r="ES150" s="295"/>
      <c r="ET150" s="295"/>
      <c r="EU150" s="295"/>
      <c r="EX150" s="600" t="s">
        <v>78</v>
      </c>
      <c r="EY150" s="978">
        <f>CP150</f>
        <v>-111.00000000000001</v>
      </c>
      <c r="EZ150" s="760">
        <v>29.538868555913723</v>
      </c>
      <c r="FA150" s="760">
        <f>EY150-EZ150</f>
        <v>-140.53886855591372</v>
      </c>
      <c r="FB150" s="760">
        <f>CK150</f>
        <v>275.60000000000008</v>
      </c>
      <c r="FC150" s="979">
        <f>EY150-FB150</f>
        <v>-386.60000000000008</v>
      </c>
      <c r="FD150" s="295"/>
    </row>
    <row r="151" spans="1:160" ht="11.25" customHeight="1" x14ac:dyDescent="0.2">
      <c r="A151" s="1609" t="s">
        <v>79</v>
      </c>
      <c r="B151" s="245"/>
      <c r="C151" s="245"/>
      <c r="D151" s="245"/>
      <c r="E151" s="245"/>
      <c r="F151" s="245"/>
      <c r="G151" s="245"/>
      <c r="H151" s="245"/>
      <c r="I151" s="245"/>
      <c r="J151" s="245"/>
      <c r="K151" s="245"/>
      <c r="L151" s="245"/>
      <c r="M151" s="245"/>
      <c r="N151" s="245"/>
      <c r="O151" s="245"/>
      <c r="P151" s="245"/>
      <c r="Q151" s="85"/>
      <c r="R151" s="38"/>
      <c r="S151" s="38"/>
      <c r="T151" s="38"/>
      <c r="U151" s="38"/>
      <c r="V151" s="85"/>
      <c r="W151" s="38"/>
      <c r="X151" s="38"/>
      <c r="Y151" s="38"/>
      <c r="Z151" s="39"/>
      <c r="AA151" s="54">
        <f>-'CF '!AA43</f>
        <v>85</v>
      </c>
      <c r="AB151" s="87">
        <f>-'CF '!AB43</f>
        <v>13</v>
      </c>
      <c r="AC151" s="38">
        <f>-'CF '!AC43</f>
        <v>18</v>
      </c>
      <c r="AD151" s="38">
        <f>-'CF '!AD43</f>
        <v>17</v>
      </c>
      <c r="AE151" s="38">
        <f>-'CF '!AE43</f>
        <v>39</v>
      </c>
      <c r="AF151" s="85">
        <f>-'CF '!AF43</f>
        <v>87</v>
      </c>
      <c r="AG151" s="38">
        <f>-'CF '!AG43</f>
        <v>23</v>
      </c>
      <c r="AH151" s="38">
        <f>-'CF '!AH43</f>
        <v>27</v>
      </c>
      <c r="AI151" s="38">
        <f>-'CF '!AI43</f>
        <v>38</v>
      </c>
      <c r="AJ151" s="546">
        <f>-'CF '!AJ43</f>
        <v>90</v>
      </c>
      <c r="AK151" s="54">
        <f>-'CF '!AK43</f>
        <v>178</v>
      </c>
      <c r="AL151" s="38">
        <f>-'CF '!AL43</f>
        <v>33</v>
      </c>
      <c r="AM151" s="38">
        <f>-'CF '!AM43</f>
        <v>50</v>
      </c>
      <c r="AN151" s="38">
        <f>-'CF '!AN43</f>
        <v>42</v>
      </c>
      <c r="AO151" s="38">
        <f>-'CF '!AO43</f>
        <v>79</v>
      </c>
      <c r="AP151" s="85">
        <f>-'CF '!AP43</f>
        <v>204</v>
      </c>
      <c r="AQ151" s="38">
        <f>-'CF '!AQ43</f>
        <v>31.2</v>
      </c>
      <c r="AR151" s="38">
        <f>-'CF '!AR43</f>
        <v>32.599999999999994</v>
      </c>
      <c r="AS151" s="38">
        <f>-'CF '!AS43</f>
        <v>26.3</v>
      </c>
      <c r="AT151" s="38">
        <f>-'CF '!AT43</f>
        <v>60.200000000000017</v>
      </c>
      <c r="AU151" s="86">
        <f>-'CF '!AY43</f>
        <v>14</v>
      </c>
      <c r="AV151" s="45"/>
      <c r="AW151" s="38">
        <f>-'CF '!AS43</f>
        <v>26.3</v>
      </c>
      <c r="AX151" s="38">
        <f>-'CF '!AT43</f>
        <v>60.200000000000017</v>
      </c>
      <c r="AY151" s="38">
        <f>-'CF '!AY43</f>
        <v>14</v>
      </c>
      <c r="AZ151" s="38">
        <f>-'CF '!AZ43</f>
        <v>32.6</v>
      </c>
      <c r="BA151" s="572">
        <f>-'CF '!BA43</f>
        <v>133.10000000000002</v>
      </c>
      <c r="BB151" s="86">
        <f>-'CF '!BB43</f>
        <v>9.6999999999999993</v>
      </c>
      <c r="BC151" s="38">
        <f>-'CF '!BC43</f>
        <v>13.8</v>
      </c>
      <c r="BD151" s="38">
        <f>-'CF '!BD43</f>
        <v>18.5</v>
      </c>
      <c r="BE151" s="38">
        <f>-'CF '!BE43</f>
        <v>40.099999999999994</v>
      </c>
      <c r="BF151" s="572">
        <f>-'CF '!BF43</f>
        <v>82.1</v>
      </c>
      <c r="BG151" s="38">
        <f>-'CF '!BG43</f>
        <v>16.600000000000001</v>
      </c>
      <c r="BH151" s="38">
        <f>-'CF '!BH43</f>
        <v>-2.8000000000000007</v>
      </c>
      <c r="BI151" s="38">
        <f>-'CF '!BI43</f>
        <v>23.900000000000002</v>
      </c>
      <c r="BJ151" s="38">
        <f>-'CF '!BJ43</f>
        <v>32.5</v>
      </c>
      <c r="BK151" s="572">
        <f>-'CF '!BK43</f>
        <v>70.2</v>
      </c>
      <c r="BL151" s="38">
        <f>-'CF '!BL43</f>
        <v>7.3</v>
      </c>
      <c r="BM151" s="38">
        <f>-'CF '!BM43</f>
        <v>1.2999999999999998</v>
      </c>
      <c r="BN151" s="38">
        <f>-'CF '!BN43</f>
        <v>2.2000000000000011</v>
      </c>
      <c r="BO151" s="38">
        <f>-'CF '!BO43</f>
        <v>14.7</v>
      </c>
      <c r="BP151" s="572">
        <f>-'CF '!BP43</f>
        <v>25.5</v>
      </c>
      <c r="BQ151" s="38">
        <f>-'CF '!BQ43</f>
        <v>3.4</v>
      </c>
      <c r="BR151" s="38">
        <f>-'CF '!BR43</f>
        <v>3.8000000000000003</v>
      </c>
      <c r="BS151" s="38">
        <f>-'CF '!BS43</f>
        <v>3.4999999999999987</v>
      </c>
      <c r="BT151" s="38">
        <f>-'CF '!BT43</f>
        <v>20.2</v>
      </c>
      <c r="BU151" s="572">
        <f>-'CF '!BU43</f>
        <v>30.9</v>
      </c>
      <c r="BV151" s="1070">
        <f>-'CF '!BV43</f>
        <v>29.4</v>
      </c>
      <c r="BW151" s="1070">
        <f>-'CF '!BW43</f>
        <v>27.6</v>
      </c>
      <c r="BX151" s="1070">
        <f>-'CF '!BX43</f>
        <v>25.900000000000006</v>
      </c>
      <c r="BY151" s="1070">
        <f>-'CF '!BY43</f>
        <v>32.399999999999991</v>
      </c>
      <c r="BZ151" s="572">
        <f>-'CF '!BZ43</f>
        <v>115.3</v>
      </c>
      <c r="CA151" s="38">
        <f>-'CF '!BV43</f>
        <v>29.4</v>
      </c>
      <c r="CB151" s="38">
        <f>-'CF '!BW43</f>
        <v>27.6</v>
      </c>
      <c r="CC151" s="38">
        <f>-'CF '!BX43</f>
        <v>25.900000000000006</v>
      </c>
      <c r="CD151" s="38">
        <f>-'CF '!BY43</f>
        <v>32.399999999999991</v>
      </c>
      <c r="CE151" s="572">
        <f>-'CF '!BZ43</f>
        <v>115.3</v>
      </c>
      <c r="CF151" s="38">
        <f>-'CF '!CA43</f>
        <v>5.6</v>
      </c>
      <c r="CG151" s="38">
        <f>-'CF '!CB43</f>
        <v>7.2000000000000011</v>
      </c>
      <c r="CH151" s="38">
        <f>-'CF '!CC43</f>
        <v>5.3999999999999986</v>
      </c>
      <c r="CI151" s="38">
        <f>-'CF '!CD43</f>
        <v>15.500000000000002</v>
      </c>
      <c r="CJ151" s="572">
        <f>-'CF '!CE43</f>
        <v>33.700000000000003</v>
      </c>
      <c r="CK151" s="38">
        <f>-'CF '!CF43</f>
        <v>4.0999999999999996</v>
      </c>
      <c r="CL151" s="38">
        <f>-'CF '!CG43</f>
        <v>7.6</v>
      </c>
      <c r="CM151" s="38">
        <f>-'CF '!CH43</f>
        <v>5.1999999999999993</v>
      </c>
      <c r="CN151" s="38">
        <f>-'CF '!CI43</f>
        <v>19.800000000000004</v>
      </c>
      <c r="CO151" s="572">
        <f>-'CF '!CJ43</f>
        <v>36.700000000000003</v>
      </c>
      <c r="CP151" s="38">
        <f>-'CF '!CK43</f>
        <v>7</v>
      </c>
      <c r="CQ151" s="38">
        <f>-'CF '!CL43</f>
        <v>9.1905064760637423</v>
      </c>
      <c r="CR151" s="38">
        <f>-'CF '!CM43</f>
        <v>6.1525352603045249</v>
      </c>
      <c r="CS151" s="38">
        <f>-'CF '!CN43</f>
        <v>23.425758476312211</v>
      </c>
      <c r="CT151" s="572">
        <f>-'CF '!CO43</f>
        <v>45.768800212680475</v>
      </c>
      <c r="CU151" s="38">
        <f>-'CF '!CP43</f>
        <v>5.4475050719530644</v>
      </c>
      <c r="CV151" s="38">
        <f>-'CF '!CQ43</f>
        <v>9.7754559732166264</v>
      </c>
      <c r="CW151" s="38">
        <f>-'CF '!CR43</f>
        <v>6.5453455124811537</v>
      </c>
      <c r="CX151" s="38">
        <f>-'CF '!CS43</f>
        <v>25.003331463808514</v>
      </c>
      <c r="CY151" s="572">
        <f>-'CF '!CT43</f>
        <v>46.77163802145936</v>
      </c>
      <c r="CZ151" s="38">
        <f>-'CF '!CU43</f>
        <v>5.8736801189142582</v>
      </c>
      <c r="DA151" s="38">
        <f>-'CF '!CV43</f>
        <v>10.424107022432043</v>
      </c>
      <c r="DB151" s="38">
        <f>-'CF '!CW43</f>
        <v>6.9897308560112013</v>
      </c>
      <c r="DC151" s="38">
        <f>-'CF '!CX43</f>
        <v>26.744617478124308</v>
      </c>
      <c r="DD151" s="572">
        <f>-'CF '!CY43</f>
        <v>50.032135475481809</v>
      </c>
      <c r="DE151" s="38">
        <f>-'CF '!CZ43</f>
        <v>6.3326312187712936</v>
      </c>
      <c r="DF151" s="38">
        <f>-'CF '!DA43</f>
        <v>11.078682505153202</v>
      </c>
      <c r="DG151" s="38">
        <f>-'CF '!DB43</f>
        <v>7.553268545760548</v>
      </c>
      <c r="DH151" s="38">
        <f>-'CF '!DC43</f>
        <v>28.904154607024246</v>
      </c>
      <c r="DI151" s="572">
        <f>-'CF '!DD43</f>
        <v>53.868736876709292</v>
      </c>
      <c r="DJ151" s="38">
        <f>-'CF '!DE43</f>
        <v>6.7445945252227411</v>
      </c>
      <c r="DK151" s="38">
        <f>-'CF '!DF43</f>
        <v>11.807710731313238</v>
      </c>
      <c r="DL151" s="38">
        <f>-'CF '!DG43</f>
        <v>8.061006791977805</v>
      </c>
      <c r="DM151" s="38">
        <f>-'CF '!DH43</f>
        <v>30.858533454629036</v>
      </c>
      <c r="DN151" s="572">
        <f>-'CF '!DI43</f>
        <v>57.471845503142816</v>
      </c>
      <c r="DO151" s="38">
        <f>-'CF '!DJ43</f>
        <v>7.2003163465998012</v>
      </c>
      <c r="DP151" s="38">
        <f>-'CF '!DK43</f>
        <v>12.596204315092022</v>
      </c>
      <c r="DQ151" s="38">
        <f>-'CF '!DL43</f>
        <v>8.6004304294684157</v>
      </c>
      <c r="DR151" s="38">
        <f>-'CF '!DM43</f>
        <v>32.9198517610415</v>
      </c>
      <c r="DS151" s="572">
        <f>-'CF '!DN43</f>
        <v>61.316802852201739</v>
      </c>
      <c r="DT151" s="38">
        <f>-'CF '!DO43</f>
        <v>7.7642821716410078</v>
      </c>
      <c r="DU151" s="38">
        <f>-'CF '!DP43</f>
        <v>13.421706150431895</v>
      </c>
      <c r="DV151" s="38">
        <f>-'CF '!DQ43</f>
        <v>9.164773652076315</v>
      </c>
      <c r="DW151" s="38">
        <f>-'CF '!DR43</f>
        <v>35.077334242206049</v>
      </c>
      <c r="DX151" s="572">
        <f>-'CF '!DS43</f>
        <v>65.428096216355272</v>
      </c>
      <c r="DY151" s="38">
        <f>-'CF '!DT43</f>
        <v>8.1797983219764543</v>
      </c>
      <c r="DZ151" s="38">
        <f>-'CF '!DU43</f>
        <v>14.28487398801842</v>
      </c>
      <c r="EA151" s="38">
        <f>-'CF '!DV43</f>
        <v>9.7551209290574672</v>
      </c>
      <c r="EB151" s="38">
        <f>-'CF '!DW43</f>
        <v>37.335120243995625</v>
      </c>
      <c r="EC151" s="572">
        <f>-'CF '!DX43</f>
        <v>69.554913483047969</v>
      </c>
      <c r="ED151" s="295"/>
      <c r="EE151" s="57"/>
      <c r="EF151" s="25"/>
      <c r="EG151" s="25"/>
      <c r="EH151" s="25"/>
      <c r="EI151" s="25"/>
      <c r="EJ151" s="25"/>
      <c r="EK151" s="25"/>
      <c r="EL151" s="25"/>
      <c r="EM151" s="25"/>
      <c r="EN151" s="25"/>
      <c r="EO151" s="25"/>
      <c r="EP151" s="25"/>
      <c r="EQ151" s="25"/>
      <c r="ER151" s="25"/>
      <c r="ES151" s="295"/>
      <c r="ET151" s="295"/>
      <c r="EU151" s="295"/>
      <c r="EX151" s="600" t="s">
        <v>79</v>
      </c>
      <c r="EY151" s="978">
        <f>CP151</f>
        <v>7</v>
      </c>
      <c r="EZ151" s="760">
        <v>4.6568127207059025</v>
      </c>
      <c r="FA151" s="760">
        <f>EY151-EZ151</f>
        <v>2.3431872792940975</v>
      </c>
      <c r="FB151" s="760">
        <f>CK151</f>
        <v>4.0999999999999996</v>
      </c>
      <c r="FC151" s="979">
        <f>EY151-FB151</f>
        <v>2.9000000000000004</v>
      </c>
      <c r="FD151" s="295"/>
    </row>
    <row r="152" spans="1:160" ht="11.25" customHeight="1" x14ac:dyDescent="0.2">
      <c r="A152" s="1610" t="s">
        <v>80</v>
      </c>
      <c r="B152" s="602"/>
      <c r="C152" s="602"/>
      <c r="D152" s="602"/>
      <c r="E152" s="602"/>
      <c r="F152" s="602"/>
      <c r="G152" s="602"/>
      <c r="H152" s="602"/>
      <c r="I152" s="602"/>
      <c r="J152" s="602"/>
      <c r="K152" s="602"/>
      <c r="L152" s="602"/>
      <c r="M152" s="602"/>
      <c r="N152" s="602"/>
      <c r="O152" s="602"/>
      <c r="P152" s="602"/>
      <c r="Q152" s="494"/>
      <c r="R152" s="492"/>
      <c r="S152" s="492"/>
      <c r="T152" s="492"/>
      <c r="U152" s="492"/>
      <c r="V152" s="494"/>
      <c r="W152" s="492"/>
      <c r="X152" s="492"/>
      <c r="Y152" s="492"/>
      <c r="Z152" s="603"/>
      <c r="AA152" s="495">
        <f>AA150-AA151</f>
        <v>-11</v>
      </c>
      <c r="AB152" s="604">
        <f t="shared" ref="AB152:AW152" si="1007">AB150-AB151</f>
        <v>-60</v>
      </c>
      <c r="AC152" s="492">
        <f t="shared" si="1007"/>
        <v>27</v>
      </c>
      <c r="AD152" s="492">
        <f t="shared" si="1007"/>
        <v>31</v>
      </c>
      <c r="AE152" s="492">
        <f t="shared" si="1007"/>
        <v>32</v>
      </c>
      <c r="AF152" s="494">
        <f t="shared" si="1007"/>
        <v>30</v>
      </c>
      <c r="AG152" s="492">
        <f t="shared" si="1007"/>
        <v>18</v>
      </c>
      <c r="AH152" s="492">
        <f t="shared" si="1007"/>
        <v>51</v>
      </c>
      <c r="AI152" s="492">
        <f t="shared" si="1007"/>
        <v>-7</v>
      </c>
      <c r="AJ152" s="605">
        <f t="shared" si="1007"/>
        <v>3</v>
      </c>
      <c r="AK152" s="495">
        <f t="shared" si="1007"/>
        <v>65</v>
      </c>
      <c r="AL152" s="492">
        <f t="shared" si="1007"/>
        <v>19</v>
      </c>
      <c r="AM152" s="492">
        <f t="shared" si="1007"/>
        <v>27</v>
      </c>
      <c r="AN152" s="492">
        <f t="shared" si="1007"/>
        <v>40</v>
      </c>
      <c r="AO152" s="492">
        <f t="shared" si="1007"/>
        <v>20.799999999999997</v>
      </c>
      <c r="AP152" s="494">
        <f t="shared" si="1007"/>
        <v>106.80000000000001</v>
      </c>
      <c r="AQ152" s="492">
        <f t="shared" si="1007"/>
        <v>16.800000000000022</v>
      </c>
      <c r="AR152" s="492">
        <f t="shared" si="1007"/>
        <v>41.5</v>
      </c>
      <c r="AS152" s="492">
        <f>AS150-AS151</f>
        <v>50.90000000000002</v>
      </c>
      <c r="AT152" s="492">
        <f>AT150-AT151</f>
        <v>50.899999999999963</v>
      </c>
      <c r="AU152" s="493">
        <f t="shared" si="1007"/>
        <v>68.100000000000009</v>
      </c>
      <c r="AV152" s="45"/>
      <c r="AW152" s="492">
        <f t="shared" si="1007"/>
        <v>50.90000000000002</v>
      </c>
      <c r="AX152" s="492">
        <f>AX150-AX151</f>
        <v>50.899999999999963</v>
      </c>
      <c r="AY152" s="492">
        <f>AY150-AY151</f>
        <v>68.100000000000009</v>
      </c>
      <c r="AZ152" s="492">
        <f>AZ150-AZ151</f>
        <v>-119.9</v>
      </c>
      <c r="BA152" s="606">
        <f t="shared" ref="BA152:BU152" si="1008">BA150-BA151</f>
        <v>50.000000000000028</v>
      </c>
      <c r="BB152" s="493">
        <f t="shared" si="1008"/>
        <v>55.5</v>
      </c>
      <c r="BC152" s="492">
        <f t="shared" si="1008"/>
        <v>15.899999999999995</v>
      </c>
      <c r="BD152" s="492">
        <f t="shared" si="1008"/>
        <v>201.3</v>
      </c>
      <c r="BE152" s="492">
        <f t="shared" si="1008"/>
        <v>51.400000000000034</v>
      </c>
      <c r="BF152" s="606">
        <f t="shared" si="1008"/>
        <v>324.10000000000002</v>
      </c>
      <c r="BG152" s="492">
        <f t="shared" si="1008"/>
        <v>22.699999999999967</v>
      </c>
      <c r="BH152" s="492">
        <f t="shared" si="1008"/>
        <v>0.40000000000002078</v>
      </c>
      <c r="BI152" s="492">
        <f t="shared" si="1008"/>
        <v>83.799999999999983</v>
      </c>
      <c r="BJ152" s="492">
        <f t="shared" si="1008"/>
        <v>47.30000000000004</v>
      </c>
      <c r="BK152" s="606">
        <f t="shared" si="1008"/>
        <v>154.19999999999999</v>
      </c>
      <c r="BL152" s="492">
        <f t="shared" si="1008"/>
        <v>71.600000000000009</v>
      </c>
      <c r="BM152" s="492">
        <f t="shared" si="1008"/>
        <v>49.999999999999986</v>
      </c>
      <c r="BN152" s="492">
        <f t="shared" si="1008"/>
        <v>135.29999999999998</v>
      </c>
      <c r="BO152" s="492">
        <f t="shared" si="1008"/>
        <v>42.8</v>
      </c>
      <c r="BP152" s="606">
        <f t="shared" si="1008"/>
        <v>299.69999999999993</v>
      </c>
      <c r="BQ152" s="492">
        <f t="shared" si="1008"/>
        <v>121.89999999999998</v>
      </c>
      <c r="BR152" s="492">
        <f t="shared" si="1008"/>
        <v>84.000000000000028</v>
      </c>
      <c r="BS152" s="492">
        <f t="shared" si="1008"/>
        <v>159</v>
      </c>
      <c r="BT152" s="492">
        <f t="shared" si="1008"/>
        <v>-136.49999999999994</v>
      </c>
      <c r="BU152" s="606">
        <f t="shared" si="1008"/>
        <v>228.40000000000006</v>
      </c>
      <c r="BV152" s="1299">
        <f t="shared" ref="BV152:BZ152" si="1009">BV150-BV151</f>
        <v>232.30000000000004</v>
      </c>
      <c r="BW152" s="1299">
        <f t="shared" si="1009"/>
        <v>218.9</v>
      </c>
      <c r="BX152" s="1299">
        <f t="shared" si="1009"/>
        <v>416.29999999999995</v>
      </c>
      <c r="BY152" s="1299">
        <f t="shared" si="1009"/>
        <v>222</v>
      </c>
      <c r="BZ152" s="606">
        <f t="shared" si="1009"/>
        <v>1089.5</v>
      </c>
      <c r="CA152" s="492">
        <f t="shared" ref="CA152:DF152" si="1010">CA150-CA151</f>
        <v>232.30000000000004</v>
      </c>
      <c r="CB152" s="492">
        <f t="shared" si="1010"/>
        <v>218.9</v>
      </c>
      <c r="CC152" s="492">
        <f t="shared" si="1010"/>
        <v>416.29999999999995</v>
      </c>
      <c r="CD152" s="492">
        <f t="shared" si="1010"/>
        <v>222</v>
      </c>
      <c r="CE152" s="606">
        <f t="shared" si="1010"/>
        <v>1089.5</v>
      </c>
      <c r="CF152" s="492">
        <f t="shared" si="1010"/>
        <v>177.7</v>
      </c>
      <c r="CG152" s="492">
        <f t="shared" si="1010"/>
        <v>314.80000000000007</v>
      </c>
      <c r="CH152" s="492">
        <f t="shared" si="1010"/>
        <v>408.30000000000007</v>
      </c>
      <c r="CI152" s="492">
        <f t="shared" si="1010"/>
        <v>334.5</v>
      </c>
      <c r="CJ152" s="606">
        <f t="shared" si="1010"/>
        <v>1235.3</v>
      </c>
      <c r="CK152" s="492">
        <f t="shared" si="1010"/>
        <v>271.50000000000006</v>
      </c>
      <c r="CL152" s="492">
        <f t="shared" si="1010"/>
        <v>197.8</v>
      </c>
      <c r="CM152" s="492">
        <f t="shared" si="1010"/>
        <v>327.3</v>
      </c>
      <c r="CN152" s="492">
        <f t="shared" si="1010"/>
        <v>548.70000000000016</v>
      </c>
      <c r="CO152" s="606">
        <f t="shared" si="1010"/>
        <v>1345.3000000000002</v>
      </c>
      <c r="CP152" s="492">
        <f t="shared" si="1010"/>
        <v>-118.00000000000001</v>
      </c>
      <c r="CQ152" s="492">
        <f t="shared" si="1010"/>
        <v>308.79277894506731</v>
      </c>
      <c r="CR152" s="492">
        <f t="shared" si="1010"/>
        <v>317.87993901011282</v>
      </c>
      <c r="CS152" s="492">
        <f t="shared" si="1010"/>
        <v>742.7691816995457</v>
      </c>
      <c r="CT152" s="606">
        <f t="shared" si="1010"/>
        <v>1251.4418996547258</v>
      </c>
      <c r="CU152" s="492">
        <f t="shared" si="1010"/>
        <v>16.882456419228046</v>
      </c>
      <c r="CV152" s="492">
        <f t="shared" si="1010"/>
        <v>262.74918695520347</v>
      </c>
      <c r="CW152" s="492">
        <f t="shared" si="1010"/>
        <v>373.7747181664933</v>
      </c>
      <c r="CX152" s="492">
        <f t="shared" si="1010"/>
        <v>821.99878049888116</v>
      </c>
      <c r="CY152" s="606">
        <f t="shared" si="1010"/>
        <v>1475.4051420398059</v>
      </c>
      <c r="CZ152" s="492">
        <f t="shared" si="1010"/>
        <v>41.967992677848478</v>
      </c>
      <c r="DA152" s="492">
        <f t="shared" si="1010"/>
        <v>310.51324969880909</v>
      </c>
      <c r="DB152" s="492">
        <f t="shared" si="1010"/>
        <v>431.59253394739784</v>
      </c>
      <c r="DC152" s="492">
        <f t="shared" si="1010"/>
        <v>908.08855172576523</v>
      </c>
      <c r="DD152" s="606">
        <f t="shared" si="1010"/>
        <v>1692.1623280498209</v>
      </c>
      <c r="DE152" s="492">
        <f t="shared" si="1010"/>
        <v>93.309965899667958</v>
      </c>
      <c r="DF152" s="492">
        <f t="shared" si="1010"/>
        <v>354.710109147629</v>
      </c>
      <c r="DG152" s="492">
        <f t="shared" ref="DG152:DX152" si="1011">DG150-DG151</f>
        <v>491.75575591278329</v>
      </c>
      <c r="DH152" s="492">
        <f t="shared" si="1011"/>
        <v>980.89546717340215</v>
      </c>
      <c r="DI152" s="606">
        <f t="shared" si="1011"/>
        <v>1920.6712981334824</v>
      </c>
      <c r="DJ152" s="492">
        <f t="shared" si="1011"/>
        <v>130.4605435578809</v>
      </c>
      <c r="DK152" s="492">
        <f t="shared" si="1011"/>
        <v>414.60071600735517</v>
      </c>
      <c r="DL152" s="492">
        <f t="shared" si="1011"/>
        <v>560.72265686997241</v>
      </c>
      <c r="DM152" s="492">
        <f t="shared" si="1011"/>
        <v>1108.7893322661753</v>
      </c>
      <c r="DN152" s="606">
        <f t="shared" si="1011"/>
        <v>2214.5732487013834</v>
      </c>
      <c r="DO152" s="492">
        <f t="shared" si="1011"/>
        <v>169.12636987902178</v>
      </c>
      <c r="DP152" s="492">
        <f t="shared" si="1011"/>
        <v>473.95372449319956</v>
      </c>
      <c r="DQ152" s="492">
        <f t="shared" si="1011"/>
        <v>630.03347339552181</v>
      </c>
      <c r="DR152" s="492">
        <f t="shared" si="1011"/>
        <v>1211.6010321174665</v>
      </c>
      <c r="DS152" s="606">
        <f t="shared" si="1011"/>
        <v>2484.7145998852093</v>
      </c>
      <c r="DT152" s="492">
        <f t="shared" si="1011"/>
        <v>188.19903006002733</v>
      </c>
      <c r="DU152" s="492">
        <f t="shared" si="1011"/>
        <v>494.36284688977281</v>
      </c>
      <c r="DV152" s="492">
        <f t="shared" si="1011"/>
        <v>671.74622563033506</v>
      </c>
      <c r="DW152" s="492">
        <f t="shared" si="1011"/>
        <v>1301.2020739617278</v>
      </c>
      <c r="DX152" s="606">
        <f t="shared" si="1011"/>
        <v>2655.5101765418626</v>
      </c>
      <c r="DY152" s="492">
        <f t="shared" ref="DY152:EC152" si="1012">DY150-DY151</f>
        <v>214.75604624639689</v>
      </c>
      <c r="DZ152" s="492">
        <f t="shared" si="1012"/>
        <v>553.97629409791261</v>
      </c>
      <c r="EA152" s="492">
        <f t="shared" si="1012"/>
        <v>728.45236679155801</v>
      </c>
      <c r="EB152" s="492">
        <f t="shared" si="1012"/>
        <v>1396.8560164672474</v>
      </c>
      <c r="EC152" s="606">
        <f t="shared" si="1012"/>
        <v>2894.0407236031147</v>
      </c>
      <c r="ED152" s="295"/>
      <c r="EE152" s="245"/>
      <c r="EF152" s="22"/>
      <c r="EG152" s="22"/>
      <c r="EH152" s="22"/>
      <c r="EI152" s="22"/>
      <c r="EJ152" s="22"/>
      <c r="EK152" s="22"/>
      <c r="EL152" s="22"/>
      <c r="EM152" s="22"/>
      <c r="EN152" s="22"/>
      <c r="EO152" s="22"/>
      <c r="EP152" s="22"/>
      <c r="EQ152" s="22"/>
      <c r="ER152" s="22"/>
      <c r="ES152" s="295"/>
      <c r="ET152" s="295"/>
      <c r="EU152" s="295"/>
      <c r="EX152" s="601" t="s">
        <v>80</v>
      </c>
      <c r="EY152" s="982">
        <f>CP152</f>
        <v>-118.00000000000001</v>
      </c>
      <c r="EZ152" s="983">
        <v>24.882055835207822</v>
      </c>
      <c r="FA152" s="983">
        <f>EY152-EZ152</f>
        <v>-142.88205583520784</v>
      </c>
      <c r="FB152" s="983">
        <f>CK152</f>
        <v>271.50000000000006</v>
      </c>
      <c r="FC152" s="984">
        <f>EY152-FB152</f>
        <v>-389.50000000000006</v>
      </c>
      <c r="FD152" s="295"/>
    </row>
    <row r="153" spans="1:160" ht="10.5" customHeight="1" x14ac:dyDescent="0.2">
      <c r="A153" s="815" t="s">
        <v>808</v>
      </c>
      <c r="B153" s="42"/>
      <c r="C153" s="42"/>
      <c r="D153" s="42"/>
      <c r="E153" s="42"/>
      <c r="F153" s="42"/>
      <c r="G153" s="42"/>
      <c r="H153" s="42"/>
      <c r="I153" s="42"/>
      <c r="J153" s="42"/>
      <c r="K153" s="42"/>
      <c r="L153" s="42"/>
      <c r="M153" s="42"/>
      <c r="N153" s="42"/>
      <c r="O153" s="42"/>
      <c r="P153" s="42"/>
      <c r="Q153" s="762"/>
      <c r="R153" s="440"/>
      <c r="S153" s="440"/>
      <c r="T153" s="440"/>
      <c r="U153" s="440"/>
      <c r="V153" s="762"/>
      <c r="W153" s="440"/>
      <c r="X153" s="440"/>
      <c r="Y153" s="440"/>
      <c r="Z153" s="440"/>
      <c r="AA153" s="762"/>
      <c r="AB153" s="440"/>
      <c r="AC153" s="440"/>
      <c r="AD153" s="440"/>
      <c r="AE153" s="440"/>
      <c r="AF153" s="762"/>
      <c r="AG153" s="440"/>
      <c r="AH153" s="440"/>
      <c r="AI153" s="440"/>
      <c r="AJ153" s="440"/>
      <c r="AK153" s="762"/>
      <c r="AL153" s="440"/>
      <c r="AM153" s="440"/>
      <c r="AN153" s="440"/>
      <c r="AO153" s="440"/>
      <c r="AP153" s="762"/>
      <c r="AQ153" s="440"/>
      <c r="AR153" s="440"/>
      <c r="AS153" s="440"/>
      <c r="AT153" s="440"/>
      <c r="AU153" s="762"/>
      <c r="AV153" s="45"/>
      <c r="AW153" s="440"/>
      <c r="AX153" s="440"/>
      <c r="AY153" s="440"/>
      <c r="AZ153" s="440"/>
      <c r="BA153" s="762"/>
      <c r="BB153" s="762"/>
      <c r="BC153" s="440"/>
      <c r="BD153" s="440"/>
      <c r="BE153" s="440"/>
      <c r="BF153" s="762"/>
      <c r="BG153" s="440"/>
      <c r="BH153" s="440"/>
      <c r="BI153" s="440"/>
      <c r="BJ153" s="816"/>
      <c r="BK153" s="762"/>
      <c r="BL153" s="816"/>
      <c r="BM153" s="816"/>
      <c r="BN153" s="816"/>
      <c r="BO153" s="816"/>
      <c r="BP153" s="762"/>
      <c r="BQ153" s="816"/>
      <c r="BR153" s="816"/>
      <c r="BS153" s="816"/>
      <c r="BT153" s="816"/>
      <c r="BU153" s="762"/>
      <c r="BV153" s="1300"/>
      <c r="BW153" s="1300"/>
      <c r="BX153" s="1300"/>
      <c r="BY153" s="1300"/>
      <c r="BZ153" s="762"/>
      <c r="CA153" s="816"/>
      <c r="CB153" s="816"/>
      <c r="CC153" s="816"/>
      <c r="CD153" s="816"/>
      <c r="CE153" s="762"/>
      <c r="CF153" s="816"/>
      <c r="CG153" s="816"/>
      <c r="CH153" s="816"/>
      <c r="CI153" s="816"/>
      <c r="CJ153" s="762"/>
      <c r="CK153" s="440"/>
      <c r="CL153" s="816"/>
      <c r="CM153" s="816"/>
      <c r="CN153" s="440"/>
      <c r="CO153" s="762"/>
      <c r="CP153" s="816"/>
      <c r="CQ153" s="816"/>
      <c r="CR153" s="816"/>
      <c r="CS153" s="816"/>
      <c r="CT153" s="762"/>
      <c r="CU153" s="816"/>
      <c r="CV153" s="816"/>
      <c r="CW153" s="816"/>
      <c r="CX153" s="816"/>
      <c r="CY153" s="762"/>
      <c r="CZ153" s="816"/>
      <c r="DA153" s="816"/>
      <c r="DB153" s="816"/>
      <c r="DC153" s="816"/>
      <c r="DD153" s="762"/>
      <c r="DE153" s="816"/>
      <c r="DF153" s="816"/>
      <c r="DG153" s="816"/>
      <c r="DH153" s="816"/>
      <c r="DI153" s="762"/>
      <c r="DJ153" s="816"/>
      <c r="DK153" s="816"/>
      <c r="DL153" s="816"/>
      <c r="DM153" s="816"/>
      <c r="DN153" s="762"/>
      <c r="DO153" s="816"/>
      <c r="DP153" s="816"/>
      <c r="DQ153" s="816"/>
      <c r="DR153" s="816"/>
      <c r="DS153" s="762"/>
      <c r="DT153" s="816"/>
      <c r="DU153" s="816"/>
      <c r="DV153" s="816"/>
      <c r="DW153" s="816"/>
      <c r="DX153" s="762"/>
      <c r="DY153" s="816"/>
      <c r="DZ153" s="816"/>
      <c r="EA153" s="816"/>
      <c r="EB153" s="816"/>
      <c r="EC153" s="762"/>
      <c r="ED153" s="805"/>
      <c r="EE153" s="42"/>
      <c r="EF153" s="242"/>
      <c r="EG153" s="242"/>
      <c r="EH153" s="242"/>
      <c r="EI153" s="242"/>
      <c r="EJ153" s="242"/>
      <c r="EK153" s="242"/>
      <c r="EL153" s="242"/>
      <c r="EM153" s="242"/>
      <c r="EN153" s="242"/>
      <c r="EO153" s="242"/>
      <c r="EP153" s="242"/>
      <c r="EQ153" s="242"/>
      <c r="ER153" s="242"/>
      <c r="ES153" s="805"/>
      <c r="ET153" s="805"/>
      <c r="EU153" s="805"/>
      <c r="EX153" s="815"/>
      <c r="EY153" s="814"/>
      <c r="EZ153" s="814"/>
      <c r="FA153" s="814"/>
      <c r="FB153" s="814"/>
      <c r="FC153" s="814"/>
      <c r="FD153" s="805"/>
    </row>
    <row r="154" spans="1:160" ht="10.5" customHeight="1" x14ac:dyDescent="0.2">
      <c r="A154" s="815"/>
      <c r="B154" s="42"/>
      <c r="C154" s="42"/>
      <c r="D154" s="42"/>
      <c r="E154" s="42"/>
      <c r="F154" s="42"/>
      <c r="G154" s="42"/>
      <c r="H154" s="42"/>
      <c r="I154" s="42"/>
      <c r="J154" s="42"/>
      <c r="K154" s="42"/>
      <c r="L154" s="42"/>
      <c r="M154" s="42"/>
      <c r="N154" s="42"/>
      <c r="O154" s="42"/>
      <c r="P154" s="42"/>
      <c r="Q154" s="762"/>
      <c r="R154" s="440"/>
      <c r="S154" s="440"/>
      <c r="T154" s="440"/>
      <c r="U154" s="440"/>
      <c r="V154" s="762"/>
      <c r="W154" s="440"/>
      <c r="X154" s="440"/>
      <c r="Y154" s="440"/>
      <c r="Z154" s="440"/>
      <c r="AA154" s="762"/>
      <c r="AB154" s="440"/>
      <c r="AC154" s="440"/>
      <c r="AD154" s="440"/>
      <c r="AE154" s="440"/>
      <c r="AF154" s="762"/>
      <c r="AG154" s="440"/>
      <c r="AH154" s="440"/>
      <c r="AI154" s="440"/>
      <c r="AJ154" s="440"/>
      <c r="AK154" s="762"/>
      <c r="AL154" s="440"/>
      <c r="AM154" s="440"/>
      <c r="AN154" s="440"/>
      <c r="AO154" s="440"/>
      <c r="AP154" s="762"/>
      <c r="AQ154" s="440"/>
      <c r="AR154" s="440"/>
      <c r="AS154" s="440"/>
      <c r="AT154" s="440"/>
      <c r="AU154" s="762"/>
      <c r="AV154" s="45"/>
      <c r="AW154" s="440"/>
      <c r="AX154" s="440"/>
      <c r="AY154" s="440"/>
      <c r="AZ154" s="440"/>
      <c r="BA154" s="762"/>
      <c r="BB154" s="762"/>
      <c r="BC154" s="440"/>
      <c r="BD154" s="440"/>
      <c r="BE154" s="440"/>
      <c r="BF154" s="762"/>
      <c r="BG154" s="440"/>
      <c r="BH154" s="440"/>
      <c r="BI154" s="440"/>
      <c r="BJ154" s="816"/>
      <c r="BK154" s="762"/>
      <c r="BL154" s="816"/>
      <c r="BM154" s="816"/>
      <c r="BN154" s="816"/>
      <c r="BO154" s="816"/>
      <c r="BP154" s="762"/>
      <c r="BQ154" s="816"/>
      <c r="BR154" s="816"/>
      <c r="BS154" s="816"/>
      <c r="BT154" s="816"/>
      <c r="BU154" s="762"/>
      <c r="BV154" s="1300"/>
      <c r="BW154" s="1300"/>
      <c r="BX154" s="1300"/>
      <c r="BY154" s="1300"/>
      <c r="BZ154" s="762"/>
      <c r="CA154" s="816"/>
      <c r="CB154" s="816"/>
      <c r="CC154" s="816"/>
      <c r="CD154" s="816"/>
      <c r="CE154" s="762"/>
      <c r="CF154" s="816"/>
      <c r="CG154" s="816"/>
      <c r="CH154" s="816"/>
      <c r="CI154" s="816"/>
      <c r="CJ154" s="762"/>
      <c r="CK154" s="440"/>
      <c r="CL154" s="816"/>
      <c r="CM154" s="816"/>
      <c r="CN154" s="440"/>
      <c r="CO154" s="762"/>
      <c r="CP154" s="816"/>
      <c r="CQ154" s="816"/>
      <c r="CR154" s="816"/>
      <c r="CS154" s="816"/>
      <c r="CT154" s="762"/>
      <c r="CU154" s="816"/>
      <c r="CV154" s="816"/>
      <c r="CW154" s="816"/>
      <c r="CX154" s="816"/>
      <c r="CY154" s="762"/>
      <c r="CZ154" s="816"/>
      <c r="DA154" s="816"/>
      <c r="DB154" s="816"/>
      <c r="DC154" s="816"/>
      <c r="DD154" s="762"/>
      <c r="DE154" s="816"/>
      <c r="DF154" s="816"/>
      <c r="DG154" s="816"/>
      <c r="DH154" s="816"/>
      <c r="DI154" s="762"/>
      <c r="DJ154" s="816"/>
      <c r="DK154" s="816"/>
      <c r="DL154" s="816"/>
      <c r="DM154" s="816"/>
      <c r="DN154" s="762"/>
      <c r="DO154" s="816"/>
      <c r="DP154" s="816"/>
      <c r="DQ154" s="816"/>
      <c r="DR154" s="816"/>
      <c r="DS154" s="762"/>
      <c r="DT154" s="816"/>
      <c r="DU154" s="816"/>
      <c r="DV154" s="816"/>
      <c r="DW154" s="816"/>
      <c r="DX154" s="762"/>
      <c r="DY154" s="816"/>
      <c r="DZ154" s="816"/>
      <c r="EA154" s="816"/>
      <c r="EB154" s="816"/>
      <c r="EC154" s="762"/>
      <c r="ED154" s="805"/>
      <c r="EE154" s="42"/>
      <c r="EF154" s="242"/>
      <c r="EG154" s="242"/>
      <c r="EH154" s="242"/>
      <c r="EI154" s="242"/>
      <c r="EJ154" s="242"/>
      <c r="EK154" s="242"/>
      <c r="EL154" s="242"/>
      <c r="EM154" s="242"/>
      <c r="EN154" s="242"/>
      <c r="EO154" s="242"/>
      <c r="EP154" s="242"/>
      <c r="EQ154" s="242"/>
      <c r="ER154" s="242"/>
      <c r="ES154" s="805"/>
      <c r="ET154" s="805"/>
      <c r="EU154" s="805"/>
      <c r="EX154" s="815"/>
      <c r="EY154" s="814"/>
      <c r="EZ154" s="814"/>
      <c r="FA154" s="814"/>
      <c r="FB154" s="814"/>
      <c r="FC154" s="814"/>
      <c r="FD154" s="805"/>
    </row>
    <row r="155" spans="1:160" ht="10.5" customHeight="1" x14ac:dyDescent="0.2">
      <c r="A155" s="815"/>
      <c r="B155" s="42"/>
      <c r="C155" s="42"/>
      <c r="D155" s="42"/>
      <c r="E155" s="42"/>
      <c r="F155" s="42"/>
      <c r="G155" s="42"/>
      <c r="H155" s="42"/>
      <c r="I155" s="42"/>
      <c r="J155" s="42"/>
      <c r="K155" s="42"/>
      <c r="L155" s="42"/>
      <c r="M155" s="42"/>
      <c r="N155" s="42"/>
      <c r="O155" s="42"/>
      <c r="P155" s="42"/>
      <c r="Q155" s="762"/>
      <c r="R155" s="440"/>
      <c r="S155" s="440"/>
      <c r="T155" s="440"/>
      <c r="U155" s="440"/>
      <c r="V155" s="762"/>
      <c r="W155" s="440"/>
      <c r="X155" s="440"/>
      <c r="Y155" s="440"/>
      <c r="Z155" s="440"/>
      <c r="AA155" s="762"/>
      <c r="AB155" s="440"/>
      <c r="AC155" s="440"/>
      <c r="AD155" s="440"/>
      <c r="AE155" s="440"/>
      <c r="AF155" s="762"/>
      <c r="AG155" s="440"/>
      <c r="AH155" s="440"/>
      <c r="AI155" s="440"/>
      <c r="AJ155" s="440"/>
      <c r="AK155" s="762"/>
      <c r="AL155" s="440"/>
      <c r="AM155" s="440"/>
      <c r="AN155" s="440"/>
      <c r="AO155" s="440"/>
      <c r="AP155" s="762"/>
      <c r="AQ155" s="440"/>
      <c r="AR155" s="440"/>
      <c r="AS155" s="440"/>
      <c r="AT155" s="440"/>
      <c r="AU155" s="762"/>
      <c r="AV155" s="45"/>
      <c r="AW155" s="440"/>
      <c r="AX155" s="440"/>
      <c r="AY155" s="440"/>
      <c r="AZ155" s="440"/>
      <c r="BA155" s="762"/>
      <c r="BB155" s="762"/>
      <c r="BC155" s="440"/>
      <c r="BD155" s="440"/>
      <c r="BE155" s="440"/>
      <c r="BF155" s="762"/>
      <c r="BG155" s="440"/>
      <c r="BH155" s="440"/>
      <c r="BI155" s="440"/>
      <c r="BJ155" s="816"/>
      <c r="BK155" s="762"/>
      <c r="BL155" s="816"/>
      <c r="BM155" s="816"/>
      <c r="BN155" s="816"/>
      <c r="BO155" s="816"/>
      <c r="BP155" s="762"/>
      <c r="BQ155" s="816"/>
      <c r="BR155" s="816"/>
      <c r="BS155" s="816"/>
      <c r="BT155" s="816"/>
      <c r="BU155" s="762"/>
      <c r="BV155" s="1300"/>
      <c r="BW155" s="1300"/>
      <c r="BX155" s="1300"/>
      <c r="BY155" s="1300"/>
      <c r="BZ155" s="762"/>
      <c r="CA155" s="816"/>
      <c r="CB155" s="816"/>
      <c r="CC155" s="816"/>
      <c r="CD155" s="816"/>
      <c r="CE155" s="762"/>
      <c r="CF155" s="816"/>
      <c r="CG155" s="816"/>
      <c r="CH155" s="816"/>
      <c r="CI155" s="816"/>
      <c r="CJ155" s="762"/>
      <c r="CK155" s="440"/>
      <c r="CL155" s="816"/>
      <c r="CM155" s="816"/>
      <c r="CN155" s="440"/>
      <c r="CO155" s="762"/>
      <c r="CP155" s="816"/>
      <c r="CQ155" s="816"/>
      <c r="CR155" s="816"/>
      <c r="CS155" s="816"/>
      <c r="CT155" s="762"/>
      <c r="CU155" s="816"/>
      <c r="CV155" s="816"/>
      <c r="CW155" s="816"/>
      <c r="CX155" s="816"/>
      <c r="CY155" s="762"/>
      <c r="CZ155" s="816"/>
      <c r="DA155" s="816"/>
      <c r="DB155" s="816"/>
      <c r="DC155" s="816"/>
      <c r="DD155" s="762"/>
      <c r="DE155" s="816"/>
      <c r="DF155" s="816"/>
      <c r="DG155" s="816"/>
      <c r="DH155" s="816"/>
      <c r="DI155" s="762"/>
      <c r="DJ155" s="816"/>
      <c r="DK155" s="816"/>
      <c r="DL155" s="816"/>
      <c r="DM155" s="816"/>
      <c r="DN155" s="762"/>
      <c r="DO155" s="816"/>
      <c r="DP155" s="816"/>
      <c r="DQ155" s="816"/>
      <c r="DR155" s="816"/>
      <c r="DS155" s="762"/>
      <c r="DT155" s="816"/>
      <c r="DU155" s="816"/>
      <c r="DV155" s="816"/>
      <c r="DW155" s="816"/>
      <c r="DX155" s="762"/>
      <c r="DY155" s="816"/>
      <c r="DZ155" s="816"/>
      <c r="EA155" s="816"/>
      <c r="EB155" s="816"/>
      <c r="EC155" s="762"/>
      <c r="ED155" s="805"/>
      <c r="EE155" s="42"/>
      <c r="EF155" s="242"/>
      <c r="EG155" s="242"/>
      <c r="EH155" s="242"/>
      <c r="EI155" s="242"/>
      <c r="EJ155" s="242"/>
      <c r="EK155" s="242"/>
      <c r="EL155" s="242"/>
      <c r="EM155" s="242"/>
      <c r="EN155" s="242"/>
      <c r="EO155" s="242"/>
      <c r="EP155" s="242"/>
      <c r="EQ155" s="242"/>
      <c r="ER155" s="242"/>
      <c r="ES155" s="805"/>
      <c r="ET155" s="805"/>
      <c r="EU155" s="805"/>
      <c r="EX155" s="815"/>
      <c r="EY155" s="814"/>
      <c r="EZ155" s="814"/>
      <c r="FA155" s="814"/>
      <c r="FB155" s="814"/>
      <c r="FC155" s="814"/>
      <c r="FD155" s="805"/>
    </row>
    <row r="156" spans="1:160" ht="10.5" customHeight="1" x14ac:dyDescent="0.2">
      <c r="A156" s="815"/>
      <c r="B156" s="42"/>
      <c r="C156" s="42"/>
      <c r="D156" s="42"/>
      <c r="E156" s="42"/>
      <c r="F156" s="42"/>
      <c r="G156" s="42"/>
      <c r="H156" s="42"/>
      <c r="I156" s="42"/>
      <c r="J156" s="42"/>
      <c r="K156" s="42"/>
      <c r="L156" s="42"/>
      <c r="M156" s="42"/>
      <c r="N156" s="42"/>
      <c r="O156" s="42"/>
      <c r="P156" s="42"/>
      <c r="Q156" s="762"/>
      <c r="R156" s="440"/>
      <c r="S156" s="440"/>
      <c r="T156" s="440"/>
      <c r="U156" s="440"/>
      <c r="V156" s="762"/>
      <c r="W156" s="440"/>
      <c r="X156" s="440"/>
      <c r="Y156" s="440"/>
      <c r="Z156" s="440"/>
      <c r="AA156" s="762"/>
      <c r="AB156" s="440"/>
      <c r="AC156" s="440"/>
      <c r="AD156" s="440"/>
      <c r="AE156" s="440"/>
      <c r="AF156" s="762"/>
      <c r="AG156" s="440"/>
      <c r="AH156" s="440"/>
      <c r="AI156" s="440"/>
      <c r="AJ156" s="440"/>
      <c r="AK156" s="762"/>
      <c r="AL156" s="440"/>
      <c r="AM156" s="440"/>
      <c r="AN156" s="440"/>
      <c r="AO156" s="440"/>
      <c r="AP156" s="762"/>
      <c r="AQ156" s="440"/>
      <c r="AR156" s="440"/>
      <c r="AS156" s="440"/>
      <c r="AT156" s="440"/>
      <c r="AU156" s="762"/>
      <c r="AV156" s="45"/>
      <c r="AW156" s="440"/>
      <c r="AX156" s="440"/>
      <c r="AY156" s="440"/>
      <c r="AZ156" s="440"/>
      <c r="BA156" s="762"/>
      <c r="BB156" s="762"/>
      <c r="BC156" s="440"/>
      <c r="BD156" s="440"/>
      <c r="BE156" s="440"/>
      <c r="BF156" s="762"/>
      <c r="BG156" s="440"/>
      <c r="BH156" s="440"/>
      <c r="BI156" s="440"/>
      <c r="BJ156" s="816"/>
      <c r="BK156" s="762"/>
      <c r="BL156" s="816"/>
      <c r="BM156" s="816"/>
      <c r="BN156" s="816"/>
      <c r="BO156" s="816"/>
      <c r="BP156" s="762"/>
      <c r="BQ156" s="816"/>
      <c r="BR156" s="816"/>
      <c r="BS156" s="816"/>
      <c r="BT156" s="816"/>
      <c r="BU156" s="762"/>
      <c r="BV156" s="1300"/>
      <c r="BW156" s="1300"/>
      <c r="BX156" s="1300"/>
      <c r="BY156" s="1300"/>
      <c r="BZ156" s="762"/>
      <c r="CA156" s="816"/>
      <c r="CB156" s="816"/>
      <c r="CC156" s="816"/>
      <c r="CD156" s="816"/>
      <c r="CE156" s="762"/>
      <c r="CF156" s="816"/>
      <c r="CG156" s="816"/>
      <c r="CH156" s="816"/>
      <c r="CI156" s="816"/>
      <c r="CJ156" s="762"/>
      <c r="CK156" s="440"/>
      <c r="CL156" s="816"/>
      <c r="CM156" s="816"/>
      <c r="CN156" s="440"/>
      <c r="CO156" s="762"/>
      <c r="CP156" s="816"/>
      <c r="CQ156" s="816"/>
      <c r="CR156" s="816"/>
      <c r="CS156" s="816"/>
      <c r="CT156" s="762"/>
      <c r="CU156" s="816"/>
      <c r="CV156" s="816"/>
      <c r="CW156" s="816"/>
      <c r="CX156" s="816"/>
      <c r="CY156" s="762"/>
      <c r="CZ156" s="816"/>
      <c r="DA156" s="816"/>
      <c r="DB156" s="816"/>
      <c r="DC156" s="816"/>
      <c r="DD156" s="762"/>
      <c r="DE156" s="816"/>
      <c r="DF156" s="816"/>
      <c r="DG156" s="816"/>
      <c r="DH156" s="816"/>
      <c r="DI156" s="762"/>
      <c r="DJ156" s="816"/>
      <c r="DK156" s="816"/>
      <c r="DL156" s="816"/>
      <c r="DM156" s="816"/>
      <c r="DN156" s="762"/>
      <c r="DO156" s="816"/>
      <c r="DP156" s="816"/>
      <c r="DQ156" s="816"/>
      <c r="DR156" s="816"/>
      <c r="DS156" s="762"/>
      <c r="DT156" s="816"/>
      <c r="DU156" s="816"/>
      <c r="DV156" s="816"/>
      <c r="DW156" s="816"/>
      <c r="DX156" s="762"/>
      <c r="DY156" s="816"/>
      <c r="DZ156" s="816"/>
      <c r="EA156" s="816"/>
      <c r="EB156" s="816"/>
      <c r="EC156" s="762"/>
      <c r="ED156" s="805"/>
      <c r="EE156" s="42"/>
      <c r="EF156" s="242"/>
      <c r="EG156" s="242"/>
      <c r="EH156" s="242"/>
      <c r="EI156" s="242"/>
      <c r="EJ156" s="242"/>
      <c r="EK156" s="242"/>
      <c r="EL156" s="242"/>
      <c r="EM156" s="242"/>
      <c r="EN156" s="242"/>
      <c r="EO156" s="242"/>
      <c r="EP156" s="242"/>
      <c r="EQ156" s="242"/>
      <c r="ER156" s="242"/>
      <c r="ES156" s="805"/>
      <c r="ET156" s="805"/>
      <c r="EU156" s="805"/>
      <c r="EX156" s="815"/>
      <c r="EY156" s="814"/>
      <c r="EZ156" s="814"/>
      <c r="FA156" s="814"/>
      <c r="FB156" s="814"/>
      <c r="FC156" s="814"/>
      <c r="FD156" s="805"/>
    </row>
    <row r="157" spans="1:160" ht="10.5" customHeight="1" x14ac:dyDescent="0.2">
      <c r="A157" s="815"/>
      <c r="B157" s="42"/>
      <c r="C157" s="42"/>
      <c r="D157" s="42"/>
      <c r="E157" s="42"/>
      <c r="F157" s="42"/>
      <c r="G157" s="42"/>
      <c r="H157" s="42"/>
      <c r="I157" s="42"/>
      <c r="J157" s="42"/>
      <c r="K157" s="42"/>
      <c r="L157" s="42"/>
      <c r="M157" s="42"/>
      <c r="N157" s="42"/>
      <c r="O157" s="42"/>
      <c r="P157" s="42"/>
      <c r="Q157" s="762"/>
      <c r="R157" s="440"/>
      <c r="S157" s="440"/>
      <c r="T157" s="440"/>
      <c r="U157" s="440"/>
      <c r="V157" s="762"/>
      <c r="W157" s="440"/>
      <c r="X157" s="440"/>
      <c r="Y157" s="440"/>
      <c r="Z157" s="440"/>
      <c r="AA157" s="762"/>
      <c r="AB157" s="440"/>
      <c r="AC157" s="440"/>
      <c r="AD157" s="440"/>
      <c r="AE157" s="440"/>
      <c r="AF157" s="762"/>
      <c r="AG157" s="440"/>
      <c r="AH157" s="440"/>
      <c r="AI157" s="440"/>
      <c r="AJ157" s="440"/>
      <c r="AK157" s="762"/>
      <c r="AL157" s="440"/>
      <c r="AM157" s="440"/>
      <c r="AN157" s="440"/>
      <c r="AO157" s="440"/>
      <c r="AP157" s="762"/>
      <c r="AQ157" s="440"/>
      <c r="AR157" s="440"/>
      <c r="AS157" s="440"/>
      <c r="AT157" s="440"/>
      <c r="AU157" s="762"/>
      <c r="AV157" s="45"/>
      <c r="AW157" s="440"/>
      <c r="AX157" s="440"/>
      <c r="AY157" s="440"/>
      <c r="AZ157" s="440"/>
      <c r="BA157" s="762"/>
      <c r="BB157" s="762"/>
      <c r="BC157" s="440"/>
      <c r="BD157" s="440"/>
      <c r="BE157" s="440"/>
      <c r="BF157" s="762"/>
      <c r="BG157" s="440"/>
      <c r="BH157" s="440"/>
      <c r="BI157" s="440"/>
      <c r="BJ157" s="816"/>
      <c r="BK157" s="762"/>
      <c r="BL157" s="816"/>
      <c r="BM157" s="816"/>
      <c r="BN157" s="816"/>
      <c r="BO157" s="816"/>
      <c r="BP157" s="762"/>
      <c r="BQ157" s="816"/>
      <c r="BR157" s="816"/>
      <c r="BS157" s="816"/>
      <c r="BT157" s="816"/>
      <c r="BU157" s="762"/>
      <c r="BV157" s="1300"/>
      <c r="BW157" s="1300"/>
      <c r="BX157" s="1300"/>
      <c r="BY157" s="1300"/>
      <c r="BZ157" s="762"/>
      <c r="CA157" s="816"/>
      <c r="CB157" s="816"/>
      <c r="CC157" s="816"/>
      <c r="CD157" s="816"/>
      <c r="CE157" s="762"/>
      <c r="CF157" s="816"/>
      <c r="CG157" s="816"/>
      <c r="CH157" s="816"/>
      <c r="CI157" s="816"/>
      <c r="CJ157" s="762"/>
      <c r="CK157" s="440"/>
      <c r="CL157" s="816"/>
      <c r="CM157" s="816"/>
      <c r="CN157" s="440"/>
      <c r="CO157" s="762"/>
      <c r="CP157" s="816"/>
      <c r="CQ157" s="816"/>
      <c r="CR157" s="816"/>
      <c r="CS157" s="816"/>
      <c r="CT157" s="762"/>
      <c r="CU157" s="816"/>
      <c r="CV157" s="816"/>
      <c r="CW157" s="816"/>
      <c r="CX157" s="816"/>
      <c r="CY157" s="762"/>
      <c r="CZ157" s="816"/>
      <c r="DA157" s="816"/>
      <c r="DB157" s="816"/>
      <c r="DC157" s="816"/>
      <c r="DD157" s="762"/>
      <c r="DE157" s="816"/>
      <c r="DF157" s="816"/>
      <c r="DG157" s="816"/>
      <c r="DH157" s="816"/>
      <c r="DI157" s="762"/>
      <c r="DJ157" s="816"/>
      <c r="DK157" s="816"/>
      <c r="DL157" s="816"/>
      <c r="DM157" s="816"/>
      <c r="DN157" s="762"/>
      <c r="DO157" s="816"/>
      <c r="DP157" s="816"/>
      <c r="DQ157" s="816"/>
      <c r="DR157" s="816"/>
      <c r="DS157" s="762"/>
      <c r="DT157" s="816"/>
      <c r="DU157" s="816"/>
      <c r="DV157" s="816"/>
      <c r="DW157" s="816"/>
      <c r="DX157" s="762"/>
      <c r="DY157" s="816"/>
      <c r="DZ157" s="816"/>
      <c r="EA157" s="816"/>
      <c r="EB157" s="816"/>
      <c r="EC157" s="762"/>
      <c r="ED157" s="805"/>
      <c r="EE157" s="42"/>
      <c r="EF157" s="242"/>
      <c r="EG157" s="242"/>
      <c r="EH157" s="242"/>
      <c r="EI157" s="242"/>
      <c r="EJ157" s="242"/>
      <c r="EK157" s="242"/>
      <c r="EL157" s="242"/>
      <c r="EM157" s="242"/>
      <c r="EN157" s="242"/>
      <c r="EO157" s="242"/>
      <c r="EP157" s="242"/>
      <c r="EQ157" s="242"/>
      <c r="ER157" s="242"/>
      <c r="ES157" s="805"/>
      <c r="ET157" s="805"/>
      <c r="EU157" s="805"/>
      <c r="EX157" s="16"/>
      <c r="EY157" s="228"/>
      <c r="EZ157" s="477"/>
      <c r="FA157" s="477"/>
      <c r="FB157" s="228"/>
      <c r="FC157" s="477"/>
      <c r="FD157" s="16"/>
    </row>
    <row r="158" spans="1:160" ht="11.25" customHeight="1" x14ac:dyDescent="0.2">
      <c r="A158" s="567" t="s">
        <v>35</v>
      </c>
      <c r="B158" s="8"/>
      <c r="C158" s="8"/>
      <c r="D158" s="8"/>
      <c r="E158" s="8"/>
      <c r="F158" s="8"/>
      <c r="G158" s="8"/>
      <c r="H158" s="8"/>
      <c r="I158" s="8"/>
      <c r="J158" s="8"/>
      <c r="K158" s="8"/>
      <c r="L158" s="8"/>
      <c r="M158" s="8"/>
      <c r="N158" s="8"/>
      <c r="O158" s="8"/>
      <c r="P158" s="8"/>
      <c r="Q158" s="8"/>
      <c r="R158" s="8"/>
      <c r="S158" s="8"/>
      <c r="T158" s="8"/>
      <c r="U158" s="8"/>
      <c r="V158" s="459"/>
      <c r="W158" s="8"/>
      <c r="X158" s="8"/>
      <c r="Y158" s="8"/>
      <c r="Z158" s="8"/>
      <c r="AA158" s="8"/>
      <c r="AB158" s="8"/>
      <c r="AC158" s="8"/>
      <c r="AD158" s="8"/>
      <c r="AE158" s="8"/>
      <c r="AF158" s="9"/>
      <c r="AG158" s="610"/>
      <c r="AH158" s="8"/>
      <c r="AI158" s="8"/>
      <c r="AJ158" s="555"/>
      <c r="AK158" s="9"/>
      <c r="AL158" s="8"/>
      <c r="AM158" s="8"/>
      <c r="AN158" s="8"/>
      <c r="AO158" s="8"/>
      <c r="AP158" s="9"/>
      <c r="AQ158" s="8"/>
      <c r="AR158" s="8"/>
      <c r="AS158" s="8"/>
      <c r="AT158" s="8"/>
      <c r="AU158" s="8"/>
      <c r="AV158" s="45"/>
      <c r="AW158" s="8"/>
      <c r="AX158" s="8"/>
      <c r="AY158" s="8"/>
      <c r="AZ158" s="8"/>
      <c r="BA158" s="555"/>
      <c r="BB158" s="8"/>
      <c r="BC158" s="8"/>
      <c r="BD158" s="8"/>
      <c r="BE158" s="8"/>
      <c r="BF158" s="555"/>
      <c r="BG158" s="8"/>
      <c r="BH158" s="8"/>
      <c r="BI158" s="8"/>
      <c r="BJ158" s="8"/>
      <c r="BK158" s="555"/>
      <c r="BL158" s="8"/>
      <c r="BM158" s="8"/>
      <c r="BN158" s="8"/>
      <c r="BO158" s="8"/>
      <c r="BP158" s="555"/>
      <c r="BQ158" s="8"/>
      <c r="BR158" s="8"/>
      <c r="BS158" s="8"/>
      <c r="BT158" s="8"/>
      <c r="BU158" s="555"/>
      <c r="BV158" s="1293"/>
      <c r="BW158" s="1293"/>
      <c r="BX158" s="1293"/>
      <c r="BY158" s="1293"/>
      <c r="BZ158" s="555"/>
      <c r="CA158" s="8"/>
      <c r="CB158" s="8"/>
      <c r="CC158" s="8"/>
      <c r="CD158" s="8"/>
      <c r="CE158" s="555"/>
      <c r="CF158" s="8"/>
      <c r="CG158" s="8"/>
      <c r="CH158" s="8"/>
      <c r="CI158" s="8"/>
      <c r="CJ158" s="555"/>
      <c r="CK158" s="8"/>
      <c r="CL158" s="8"/>
      <c r="CM158" s="8"/>
      <c r="CN158" s="8"/>
      <c r="CO158" s="555"/>
      <c r="CP158" s="8"/>
      <c r="CQ158" s="8"/>
      <c r="CR158" s="8"/>
      <c r="CS158" s="8"/>
      <c r="CT158" s="555"/>
      <c r="CU158" s="8"/>
      <c r="CV158" s="8"/>
      <c r="CW158" s="8"/>
      <c r="CX158" s="8"/>
      <c r="CY158" s="555"/>
      <c r="CZ158" s="8"/>
      <c r="DA158" s="8"/>
      <c r="DB158" s="8"/>
      <c r="DC158" s="8"/>
      <c r="DD158" s="555"/>
      <c r="DE158" s="8"/>
      <c r="DF158" s="8"/>
      <c r="DG158" s="8"/>
      <c r="DH158" s="8"/>
      <c r="DI158" s="555"/>
      <c r="DJ158" s="8"/>
      <c r="DK158" s="8"/>
      <c r="DL158" s="8"/>
      <c r="DM158" s="8"/>
      <c r="DN158" s="555"/>
      <c r="DO158" s="8"/>
      <c r="DP158" s="8"/>
      <c r="DQ158" s="8"/>
      <c r="DR158" s="8"/>
      <c r="DS158" s="555"/>
      <c r="DT158" s="8"/>
      <c r="DU158" s="8"/>
      <c r="DV158" s="8"/>
      <c r="DW158" s="8"/>
      <c r="DX158" s="555"/>
      <c r="DY158" s="8"/>
      <c r="DZ158" s="8"/>
      <c r="EA158" s="8"/>
      <c r="EB158" s="8"/>
      <c r="EC158" s="555"/>
      <c r="ED158" s="295"/>
      <c r="EE158" s="245"/>
      <c r="EF158" s="22"/>
      <c r="EG158" s="22"/>
      <c r="EH158" s="22"/>
      <c r="EI158" s="22"/>
      <c r="EJ158" s="22"/>
      <c r="EK158" s="22"/>
      <c r="EL158" s="22"/>
      <c r="EM158" s="22"/>
      <c r="EN158" s="22"/>
      <c r="EO158" s="22"/>
      <c r="EP158" s="22"/>
      <c r="EQ158" s="22"/>
      <c r="ER158" s="22"/>
      <c r="ES158" s="295"/>
      <c r="ET158" s="295"/>
      <c r="EU158" s="295"/>
      <c r="EX158" s="16"/>
      <c r="EY158" s="228"/>
      <c r="EZ158" s="477"/>
      <c r="FA158" s="477"/>
      <c r="FB158" s="228"/>
      <c r="FC158" s="477"/>
      <c r="FD158" s="16"/>
    </row>
    <row r="159" spans="1:160" ht="12.75" customHeight="1" x14ac:dyDescent="0.2">
      <c r="A159" s="276" t="s">
        <v>422</v>
      </c>
      <c r="B159" s="361"/>
      <c r="C159" s="363"/>
      <c r="D159" s="360"/>
      <c r="E159" s="360"/>
      <c r="F159" s="362"/>
      <c r="G159" s="361"/>
      <c r="H159" s="363"/>
      <c r="I159" s="360"/>
      <c r="J159" s="360"/>
      <c r="K159" s="360"/>
      <c r="L159" s="361"/>
      <c r="M159" s="360"/>
      <c r="N159" s="360"/>
      <c r="O159" s="360"/>
      <c r="P159" s="360"/>
      <c r="Q159" s="361"/>
      <c r="R159" s="360"/>
      <c r="S159" s="360"/>
      <c r="T159" s="360"/>
      <c r="U159" s="360"/>
      <c r="V159" s="361"/>
      <c r="W159" s="360"/>
      <c r="X159" s="360"/>
      <c r="Y159" s="360"/>
      <c r="Z159" s="362"/>
      <c r="AA159" s="362"/>
      <c r="AB159" s="360"/>
      <c r="AC159" s="360"/>
      <c r="AD159" s="360"/>
      <c r="AE159" s="360"/>
      <c r="AF159" s="361"/>
      <c r="AG159" s="360"/>
      <c r="AH159" s="360"/>
      <c r="AI159" s="360"/>
      <c r="AJ159" s="360"/>
      <c r="AK159" s="361"/>
      <c r="AL159" s="360"/>
      <c r="AM159" s="360"/>
      <c r="AN159" s="360"/>
      <c r="AO159" s="360"/>
      <c r="AP159" s="361"/>
      <c r="AQ159" s="360"/>
      <c r="AR159" s="360"/>
      <c r="AS159" s="360"/>
      <c r="AT159" s="360"/>
      <c r="AU159" s="363"/>
      <c r="AV159" s="45"/>
      <c r="AW159" s="360"/>
      <c r="AX159" s="360"/>
      <c r="AY159" s="360"/>
      <c r="AZ159" s="360"/>
      <c r="BA159" s="361"/>
      <c r="BB159" s="360"/>
      <c r="BC159" s="360"/>
      <c r="BD159" s="360"/>
      <c r="BE159" s="360"/>
      <c r="BF159" s="361"/>
      <c r="BG159" s="360"/>
      <c r="BH159" s="360"/>
      <c r="BI159" s="360"/>
      <c r="BJ159" s="360"/>
      <c r="BK159" s="361"/>
      <c r="BL159" s="360"/>
      <c r="BM159" s="360"/>
      <c r="BN159" s="360"/>
      <c r="BO159" s="360"/>
      <c r="BP159" s="361"/>
      <c r="BQ159" s="360"/>
      <c r="BR159" s="360"/>
      <c r="BS159" s="360"/>
      <c r="BT159" s="360"/>
      <c r="BU159" s="361"/>
      <c r="BV159" s="1301"/>
      <c r="BW159" s="1301"/>
      <c r="BX159" s="1301"/>
      <c r="BY159" s="1301"/>
      <c r="BZ159" s="361"/>
      <c r="CA159" s="360"/>
      <c r="CB159" s="360"/>
      <c r="CC159" s="360"/>
      <c r="CD159" s="360"/>
      <c r="CE159" s="361"/>
      <c r="CF159" s="360"/>
      <c r="CG159" s="360"/>
      <c r="CH159" s="360"/>
      <c r="CI159" s="360"/>
      <c r="CJ159" s="361"/>
      <c r="CK159" s="360"/>
      <c r="CL159" s="360"/>
      <c r="CM159" s="360"/>
      <c r="CN159" s="360"/>
      <c r="CO159" s="361"/>
      <c r="CP159" s="360"/>
      <c r="CQ159" s="360"/>
      <c r="CR159" s="360"/>
      <c r="CS159" s="360"/>
      <c r="CT159" s="361"/>
      <c r="CU159" s="360"/>
      <c r="CV159" s="360"/>
      <c r="CW159" s="360"/>
      <c r="CX159" s="360"/>
      <c r="CY159" s="361"/>
      <c r="CZ159" s="360"/>
      <c r="DA159" s="360"/>
      <c r="DB159" s="360"/>
      <c r="DC159" s="360"/>
      <c r="DD159" s="361"/>
      <c r="DE159" s="360"/>
      <c r="DF159" s="360"/>
      <c r="DG159" s="360"/>
      <c r="DH159" s="360"/>
      <c r="DI159" s="361"/>
      <c r="DJ159" s="360"/>
      <c r="DK159" s="360"/>
      <c r="DL159" s="360"/>
      <c r="DM159" s="360"/>
      <c r="DN159" s="361"/>
      <c r="DO159" s="360"/>
      <c r="DP159" s="360"/>
      <c r="DQ159" s="360"/>
      <c r="DR159" s="360"/>
      <c r="DS159" s="361"/>
      <c r="DT159" s="360"/>
      <c r="DU159" s="360"/>
      <c r="DV159" s="360"/>
      <c r="DW159" s="360"/>
      <c r="DX159" s="361"/>
      <c r="DY159" s="360"/>
      <c r="DZ159" s="360"/>
      <c r="EA159" s="360"/>
      <c r="EB159" s="360"/>
      <c r="EC159" s="361"/>
      <c r="ED159" s="53"/>
      <c r="EE159" s="21"/>
      <c r="EF159" s="373"/>
      <c r="EG159" s="16"/>
      <c r="EH159" s="16"/>
      <c r="EI159" s="16"/>
      <c r="EJ159" s="16"/>
      <c r="EK159" s="16"/>
      <c r="EL159" s="16"/>
      <c r="EM159" s="16"/>
      <c r="EN159" s="16"/>
      <c r="EO159" s="16"/>
      <c r="EP159" s="16"/>
      <c r="EQ159" s="16"/>
      <c r="ER159" s="16"/>
      <c r="ES159" s="16"/>
      <c r="ET159" s="16"/>
      <c r="EU159" s="16"/>
      <c r="EX159" s="16"/>
      <c r="EY159" s="228"/>
      <c r="EZ159" s="477"/>
      <c r="FA159" s="477"/>
      <c r="FB159" s="228"/>
      <c r="FC159" s="477"/>
      <c r="FD159" s="16"/>
    </row>
    <row r="160" spans="1:160" ht="12.75" customHeight="1" x14ac:dyDescent="0.2">
      <c r="A160" s="84" t="s">
        <v>133</v>
      </c>
      <c r="B160" s="85"/>
      <c r="C160" s="87"/>
      <c r="D160" s="38"/>
      <c r="E160" s="38"/>
      <c r="F160" s="39"/>
      <c r="G160" s="85"/>
      <c r="H160" s="86"/>
      <c r="I160" s="53"/>
      <c r="J160" s="53"/>
      <c r="K160" s="54"/>
      <c r="L160" s="85"/>
      <c r="M160" s="86"/>
      <c r="N160" s="53"/>
      <c r="O160" s="53"/>
      <c r="P160" s="54"/>
      <c r="Q160" s="85"/>
      <c r="R160" s="53"/>
      <c r="S160" s="38"/>
      <c r="T160" s="38"/>
      <c r="U160" s="39">
        <v>2</v>
      </c>
      <c r="V160" s="436">
        <v>47</v>
      </c>
      <c r="W160" s="53">
        <v>22</v>
      </c>
      <c r="X160" s="364">
        <v>27</v>
      </c>
      <c r="Y160" s="38">
        <v>-12</v>
      </c>
      <c r="Z160" s="39">
        <v>-9</v>
      </c>
      <c r="AA160" s="54">
        <v>27</v>
      </c>
      <c r="AB160" s="87">
        <v>40</v>
      </c>
      <c r="AC160" s="364">
        <v>38</v>
      </c>
      <c r="AD160" s="38">
        <v>34</v>
      </c>
      <c r="AE160" s="38">
        <v>36</v>
      </c>
      <c r="AF160" s="85">
        <f>SUM(AB160:AE160)</f>
        <v>148</v>
      </c>
      <c r="AG160" s="38"/>
      <c r="AH160" s="38">
        <v>49</v>
      </c>
      <c r="AI160" s="38"/>
      <c r="AJ160" s="38">
        <v>51</v>
      </c>
      <c r="AK160" s="85">
        <v>190</v>
      </c>
      <c r="AL160" s="38">
        <f>AL51</f>
        <v>-40</v>
      </c>
      <c r="AM160" s="38">
        <f>AM51</f>
        <v>-41.6</v>
      </c>
      <c r="AN160" s="38">
        <f>AN51</f>
        <v>-29</v>
      </c>
      <c r="AO160" s="38">
        <f>AO51</f>
        <v>-28.799999999999997</v>
      </c>
      <c r="AP160" s="85">
        <f>SUM(AL160:AO160)</f>
        <v>-139.39999999999998</v>
      </c>
      <c r="AQ160" s="38">
        <f>AQ51</f>
        <v>-36.4</v>
      </c>
      <c r="AR160" s="38">
        <f>AR51</f>
        <v>-38</v>
      </c>
      <c r="AS160" s="38">
        <f>AS51</f>
        <v>40.999999999999972</v>
      </c>
      <c r="AT160" s="38">
        <f>AT51</f>
        <v>48.999999999999957</v>
      </c>
      <c r="AU160" s="86">
        <f>SUM(AQ160:AT160)</f>
        <v>15.599999999999923</v>
      </c>
      <c r="AV160" s="45"/>
      <c r="AW160" s="38">
        <f>AW51</f>
        <v>40.999999999999972</v>
      </c>
      <c r="AX160" s="38">
        <f>AX51</f>
        <v>48.999999999999957</v>
      </c>
      <c r="AY160" s="38">
        <f>AY51</f>
        <v>63.399999999999956</v>
      </c>
      <c r="AZ160" s="38">
        <f>AZ51</f>
        <v>-108.00000000000003</v>
      </c>
      <c r="BA160" s="85">
        <f>SUM(AW160:AZ160)</f>
        <v>45.399999999999864</v>
      </c>
      <c r="BB160" s="38">
        <f>BB51</f>
        <v>-5.9000000000000039</v>
      </c>
      <c r="BC160" s="38">
        <f>BC51</f>
        <v>30.199999999999942</v>
      </c>
      <c r="BD160" s="38">
        <f>BD51</f>
        <v>38.800000000000026</v>
      </c>
      <c r="BE160" s="38">
        <f>BE51</f>
        <v>24.999999999999865</v>
      </c>
      <c r="BF160" s="85">
        <f>SUM(BB160:BE160)</f>
        <v>88.099999999999824</v>
      </c>
      <c r="BG160" s="38">
        <f>BG51</f>
        <v>14.299999999999965</v>
      </c>
      <c r="BH160" s="38">
        <f>BH51</f>
        <v>48.199999999999918</v>
      </c>
      <c r="BI160" s="38">
        <f>BI51</f>
        <v>6.599999999999957</v>
      </c>
      <c r="BJ160" s="38">
        <f>BJ51</f>
        <v>48.60000000000003</v>
      </c>
      <c r="BK160" s="85">
        <v>117.7</v>
      </c>
      <c r="BL160" s="38">
        <f>BL51</f>
        <v>35.799999999999976</v>
      </c>
      <c r="BM160" s="38">
        <f>BM51</f>
        <v>62.90000000000002</v>
      </c>
      <c r="BN160" s="38">
        <f>BN51</f>
        <v>68.200000000000017</v>
      </c>
      <c r="BO160" s="38">
        <f>BO51</f>
        <v>66.799999999999955</v>
      </c>
      <c r="BP160" s="85">
        <f>SUM(BL160:BO160)</f>
        <v>233.69999999999996</v>
      </c>
      <c r="BQ160" s="38">
        <f>BQ51</f>
        <v>60.400000000000013</v>
      </c>
      <c r="BR160" s="38">
        <f>BR51</f>
        <v>75.09999999999998</v>
      </c>
      <c r="BS160" s="38">
        <f>BS51</f>
        <v>-23.500000000000021</v>
      </c>
      <c r="BT160" s="38">
        <f>BT51</f>
        <v>-389.4</v>
      </c>
      <c r="BU160" s="85">
        <f>SUM(BQ160:BT160)</f>
        <v>-277.39999999999998</v>
      </c>
      <c r="BV160" s="38">
        <f>BV51</f>
        <v>91.499999999999872</v>
      </c>
      <c r="BW160" s="38">
        <f>BW51</f>
        <v>141.20000000000007</v>
      </c>
      <c r="BX160" s="38">
        <f>BX51</f>
        <v>161.59999999999991</v>
      </c>
      <c r="BY160" s="38">
        <f>BY51</f>
        <v>38.899999999999835</v>
      </c>
      <c r="BZ160" s="85">
        <f>SUM(BV160:BY160)</f>
        <v>433.1999999999997</v>
      </c>
      <c r="CA160" s="38">
        <f>CA51</f>
        <v>50.599999999999909</v>
      </c>
      <c r="CB160" s="38">
        <f>CB51</f>
        <v>93.799999999999855</v>
      </c>
      <c r="CC160" s="38">
        <f>CC51</f>
        <v>182.8600000000001</v>
      </c>
      <c r="CD160" s="38">
        <f>CD51</f>
        <v>184.46000000000012</v>
      </c>
      <c r="CE160" s="85">
        <f>SUM(CA160:CD160)</f>
        <v>511.72</v>
      </c>
      <c r="CF160" s="38">
        <f>CF51</f>
        <v>168.2999999999999</v>
      </c>
      <c r="CG160" s="38">
        <f>CG51</f>
        <v>247.59999999999991</v>
      </c>
      <c r="CH160" s="38">
        <f>CH51</f>
        <v>238.59999999999977</v>
      </c>
      <c r="CI160" s="38">
        <f>CI51</f>
        <v>301.38</v>
      </c>
      <c r="CJ160" s="85">
        <f>SUM(CF160:CI160)</f>
        <v>955.87999999999954</v>
      </c>
      <c r="CK160" s="38">
        <f>CK51</f>
        <v>166.60000000000002</v>
      </c>
      <c r="CL160" s="38">
        <f>CL51</f>
        <v>243.50000000000014</v>
      </c>
      <c r="CM160" s="38">
        <f>CM51</f>
        <v>246.79999999999995</v>
      </c>
      <c r="CN160" s="38">
        <f>CN51</f>
        <v>578.4000000000002</v>
      </c>
      <c r="CO160" s="85">
        <f>SUM(CK160:CN160)</f>
        <v>1235.3000000000002</v>
      </c>
      <c r="CP160" s="38">
        <f>CP51</f>
        <v>278.79999999999978</v>
      </c>
      <c r="CQ160" s="38">
        <f>CQ51</f>
        <v>251.07427814492911</v>
      </c>
      <c r="CR160" s="38">
        <f>CR51</f>
        <v>294.72715575565871</v>
      </c>
      <c r="CS160" s="38">
        <f>CS51</f>
        <v>315.07587473785748</v>
      </c>
      <c r="CT160" s="85">
        <f>SUM(CP160:CS160)</f>
        <v>1139.6773086384451</v>
      </c>
      <c r="CU160" s="38">
        <f>CU51</f>
        <v>259.98971601922165</v>
      </c>
      <c r="CV160" s="38">
        <f>CV51</f>
        <v>300.63052700052936</v>
      </c>
      <c r="CW160" s="38">
        <f>CW51</f>
        <v>345.42141486531398</v>
      </c>
      <c r="CX160" s="38">
        <f>CX51</f>
        <v>369.02815117067212</v>
      </c>
      <c r="CY160" s="85">
        <f>SUM(CU160:CX160)</f>
        <v>1275.0698090557371</v>
      </c>
      <c r="CZ160" s="38">
        <f>CZ51</f>
        <v>295.31856964007477</v>
      </c>
      <c r="DA160" s="38">
        <f>DA51</f>
        <v>352.39568354822802</v>
      </c>
      <c r="DB160" s="38">
        <f>DB51</f>
        <v>401.48723172181116</v>
      </c>
      <c r="DC160" s="38">
        <f>DC51</f>
        <v>427.90976965238963</v>
      </c>
      <c r="DD160" s="85">
        <f>SUM(CZ160:DC160)</f>
        <v>1477.1112545625037</v>
      </c>
      <c r="DE160" s="38">
        <f>DE51</f>
        <v>354.52519677190719</v>
      </c>
      <c r="DF160" s="38">
        <f>DF51</f>
        <v>399.39578986320424</v>
      </c>
      <c r="DG160" s="38">
        <f>DG51</f>
        <v>455.05282498216451</v>
      </c>
      <c r="DH160" s="38">
        <f>DH51</f>
        <v>456.09019219963255</v>
      </c>
      <c r="DI160" s="85">
        <f>SUM(DE160:DH160)</f>
        <v>1665.0640038169086</v>
      </c>
      <c r="DJ160" s="38">
        <f>DJ51</f>
        <v>408.69617630805391</v>
      </c>
      <c r="DK160" s="38">
        <f>DK51</f>
        <v>455.84389264053289</v>
      </c>
      <c r="DL160" s="38">
        <f>DL51</f>
        <v>519.26028225570587</v>
      </c>
      <c r="DM160" s="38">
        <f>DM51</f>
        <v>551.28064545851419</v>
      </c>
      <c r="DN160" s="85">
        <f>SUM(DJ160:DM160)</f>
        <v>1935.0809966628071</v>
      </c>
      <c r="DO160" s="38">
        <f>DO51</f>
        <v>463.82434178875161</v>
      </c>
      <c r="DP160" s="38">
        <f>DP51</f>
        <v>518.20911932933552</v>
      </c>
      <c r="DQ160" s="38">
        <f>DQ51</f>
        <v>586.81441163429304</v>
      </c>
      <c r="DR160" s="38">
        <f>DR51</f>
        <v>621.55325386093818</v>
      </c>
      <c r="DS160" s="85">
        <f>SUM(DO160:DR160)</f>
        <v>2190.4011266133184</v>
      </c>
      <c r="DT160" s="38">
        <f>DT51</f>
        <v>484.51258940836266</v>
      </c>
      <c r="DU160" s="38">
        <f>DU51</f>
        <v>533.9189622724216</v>
      </c>
      <c r="DV160" s="38">
        <f>DV51</f>
        <v>616.73096528012832</v>
      </c>
      <c r="DW160" s="38">
        <f>DW51</f>
        <v>658.36814756860917</v>
      </c>
      <c r="DX160" s="85">
        <f>SUM(DT160:DW160)</f>
        <v>2293.5306645295213</v>
      </c>
      <c r="DY160" s="38">
        <f>DY51</f>
        <v>554.82074716127477</v>
      </c>
      <c r="DZ160" s="38">
        <f>DZ51</f>
        <v>615.14542361321151</v>
      </c>
      <c r="EA160" s="38">
        <f>EA51</f>
        <v>690.89258304346879</v>
      </c>
      <c r="EB160" s="38">
        <f>EB51</f>
        <v>736.01656320651716</v>
      </c>
      <c r="EC160" s="85">
        <f>SUM(DY160:EB160)</f>
        <v>2596.8753170244722</v>
      </c>
      <c r="ED160" s="38"/>
      <c r="EE160" s="21"/>
      <c r="EF160" s="373"/>
      <c r="EG160" s="16"/>
      <c r="EH160" s="16"/>
      <c r="EI160" s="16"/>
      <c r="EJ160" s="16"/>
      <c r="EK160" s="16"/>
      <c r="EL160" s="16"/>
      <c r="EM160" s="16"/>
      <c r="EN160" s="16"/>
      <c r="EO160" s="16"/>
      <c r="EP160" s="16"/>
      <c r="EQ160" s="16"/>
      <c r="ER160" s="16"/>
      <c r="ES160" s="16"/>
      <c r="ET160" s="16"/>
      <c r="EU160" s="16"/>
      <c r="EX160" s="16"/>
      <c r="EY160" s="228"/>
      <c r="EZ160" s="477"/>
      <c r="FA160" s="477"/>
      <c r="FB160" s="228"/>
      <c r="FC160" s="477"/>
      <c r="FD160" s="16"/>
    </row>
    <row r="161" spans="1:160" x14ac:dyDescent="0.2">
      <c r="A161" s="283" t="s">
        <v>160</v>
      </c>
      <c r="B161" s="85"/>
      <c r="C161" s="87"/>
      <c r="D161" s="38"/>
      <c r="E161" s="38"/>
      <c r="F161" s="39"/>
      <c r="G161" s="85"/>
      <c r="H161" s="87"/>
      <c r="I161" s="38"/>
      <c r="J161" s="38"/>
      <c r="K161" s="38"/>
      <c r="L161" s="85"/>
      <c r="M161" s="38"/>
      <c r="N161" s="38"/>
      <c r="O161" s="38"/>
      <c r="P161" s="38"/>
      <c r="Q161" s="85"/>
      <c r="R161" s="38"/>
      <c r="S161" s="38"/>
      <c r="T161" s="38"/>
      <c r="U161" s="39">
        <v>20</v>
      </c>
      <c r="V161" s="85">
        <v>73</v>
      </c>
      <c r="W161" s="38">
        <v>17</v>
      </c>
      <c r="X161" s="38">
        <v>17</v>
      </c>
      <c r="Y161" s="38">
        <v>19</v>
      </c>
      <c r="Z161" s="39">
        <v>19</v>
      </c>
      <c r="AA161" s="54">
        <v>72</v>
      </c>
      <c r="AB161" s="87">
        <v>17</v>
      </c>
      <c r="AC161" s="38">
        <v>17</v>
      </c>
      <c r="AD161" s="38">
        <v>17</v>
      </c>
      <c r="AE161" s="38">
        <v>16</v>
      </c>
      <c r="AF161" s="85">
        <f>SUM(AB161:AE161)</f>
        <v>67</v>
      </c>
      <c r="AG161" s="38"/>
      <c r="AH161" s="38">
        <v>16</v>
      </c>
      <c r="AI161" s="38"/>
      <c r="AJ161" s="38">
        <v>13</v>
      </c>
      <c r="AK161" s="85">
        <v>61</v>
      </c>
      <c r="AL161" s="38">
        <f t="shared" ref="AL161:AO162" si="1013">AL46</f>
        <v>14</v>
      </c>
      <c r="AM161" s="38">
        <f t="shared" si="1013"/>
        <v>15</v>
      </c>
      <c r="AN161" s="38">
        <f t="shared" si="1013"/>
        <v>13</v>
      </c>
      <c r="AO161" s="38">
        <f t="shared" si="1013"/>
        <v>12.6</v>
      </c>
      <c r="AP161" s="85">
        <f>SUM(AL161:AO161)</f>
        <v>54.6</v>
      </c>
      <c r="AQ161" s="38">
        <f t="shared" ref="AQ161:AT162" si="1014">AQ46</f>
        <v>12.5</v>
      </c>
      <c r="AR161" s="38">
        <f t="shared" si="1014"/>
        <v>12.200000000000001</v>
      </c>
      <c r="AS161" s="38">
        <f t="shared" si="1014"/>
        <v>11.9</v>
      </c>
      <c r="AT161" s="38">
        <f t="shared" si="1014"/>
        <v>12</v>
      </c>
      <c r="AU161" s="86">
        <f>SUM(AQ161:AT161)</f>
        <v>48.6</v>
      </c>
      <c r="AV161" s="45"/>
      <c r="AW161" s="38">
        <f t="shared" ref="AW161:AZ162" si="1015">AW46</f>
        <v>11.899999999999999</v>
      </c>
      <c r="AX161" s="38">
        <f t="shared" si="1015"/>
        <v>12</v>
      </c>
      <c r="AY161" s="38">
        <f t="shared" si="1015"/>
        <v>12.3</v>
      </c>
      <c r="AZ161" s="38">
        <f t="shared" si="1015"/>
        <v>60.4</v>
      </c>
      <c r="BA161" s="85">
        <f>SUM(AW161:AZ161)</f>
        <v>96.6</v>
      </c>
      <c r="BB161" s="38">
        <f t="shared" ref="BB161:BE162" si="1016">BB46</f>
        <v>50.2</v>
      </c>
      <c r="BC161" s="38">
        <f t="shared" si="1016"/>
        <v>56.1</v>
      </c>
      <c r="BD161" s="38">
        <f t="shared" si="1016"/>
        <v>59.4</v>
      </c>
      <c r="BE161" s="38">
        <f t="shared" si="1016"/>
        <v>61</v>
      </c>
      <c r="BF161" s="85">
        <f>SUM(BB161:BE161)</f>
        <v>226.70000000000002</v>
      </c>
      <c r="BG161" s="38">
        <f t="shared" ref="BG161:BJ162" si="1017">BG46</f>
        <v>59.1</v>
      </c>
      <c r="BH161" s="38">
        <f t="shared" si="1017"/>
        <v>57.2</v>
      </c>
      <c r="BI161" s="38">
        <f t="shared" si="1017"/>
        <v>57.3</v>
      </c>
      <c r="BJ161" s="38">
        <f t="shared" si="1017"/>
        <v>50.2</v>
      </c>
      <c r="BK161" s="85">
        <v>223.8</v>
      </c>
      <c r="BL161" s="38">
        <f t="shared" ref="BL161:BO162" si="1018">BL46</f>
        <v>49.1</v>
      </c>
      <c r="BM161" s="38">
        <f t="shared" si="1018"/>
        <v>50</v>
      </c>
      <c r="BN161" s="38">
        <f t="shared" si="1018"/>
        <v>50.2</v>
      </c>
      <c r="BO161" s="38">
        <f t="shared" si="1018"/>
        <v>50.7</v>
      </c>
      <c r="BP161" s="85">
        <f>SUM(BL161:BO161)</f>
        <v>200</v>
      </c>
      <c r="BQ161" s="38">
        <f t="shared" ref="BQ161:BT162" si="1019">BQ46</f>
        <v>50</v>
      </c>
      <c r="BR161" s="38">
        <f t="shared" si="1019"/>
        <v>50.6</v>
      </c>
      <c r="BS161" s="38">
        <f t="shared" si="1019"/>
        <v>51.3</v>
      </c>
      <c r="BT161" s="38">
        <f t="shared" si="1019"/>
        <v>128.19999999999999</v>
      </c>
      <c r="BU161" s="85">
        <f>SUM(BQ161:BT161)</f>
        <v>280.09999999999997</v>
      </c>
      <c r="BV161" s="38">
        <f>BV46</f>
        <v>125.8</v>
      </c>
      <c r="BW161" s="38">
        <f>BW46</f>
        <v>125.9</v>
      </c>
      <c r="BX161" s="38">
        <f>BX46</f>
        <v>126.6</v>
      </c>
      <c r="BY161" s="38">
        <f>BY46</f>
        <v>123.8</v>
      </c>
      <c r="BZ161" s="85">
        <f>SUM(BV161:BY161)</f>
        <v>502.09999999999997</v>
      </c>
      <c r="CA161" s="38">
        <f>CA46</f>
        <v>123.1</v>
      </c>
      <c r="CB161" s="38">
        <f>CB46</f>
        <v>123.2</v>
      </c>
      <c r="CC161" s="38">
        <f>CC46</f>
        <v>116</v>
      </c>
      <c r="CD161" s="38">
        <f>CD46</f>
        <v>116</v>
      </c>
      <c r="CE161" s="85">
        <f>SUM(CA161:CD161)</f>
        <v>478.3</v>
      </c>
      <c r="CF161" s="38">
        <f t="shared" ref="CF161:CI162" si="1020">CF46</f>
        <v>115.1</v>
      </c>
      <c r="CG161" s="38">
        <f t="shared" si="1020"/>
        <v>117.2</v>
      </c>
      <c r="CH161" s="38">
        <f t="shared" si="1020"/>
        <v>117.3</v>
      </c>
      <c r="CI161" s="38">
        <f t="shared" si="1020"/>
        <v>117.3</v>
      </c>
      <c r="CJ161" s="85">
        <f>SUM(CF161:CI161)</f>
        <v>466.90000000000003</v>
      </c>
      <c r="CK161" s="38">
        <f t="shared" ref="CK161:CN162" si="1021">CK46</f>
        <v>111.4</v>
      </c>
      <c r="CL161" s="38">
        <f t="shared" si="1021"/>
        <v>128</v>
      </c>
      <c r="CM161" s="38">
        <f t="shared" si="1021"/>
        <v>136</v>
      </c>
      <c r="CN161" s="38">
        <f t="shared" si="1021"/>
        <v>136.80000000000001</v>
      </c>
      <c r="CO161" s="85">
        <f>SUM(CK161:CN161)</f>
        <v>512.20000000000005</v>
      </c>
      <c r="CP161" s="38">
        <f t="shared" ref="CP161:CS162" si="1022">CP46</f>
        <v>140.1</v>
      </c>
      <c r="CQ161" s="38">
        <f t="shared" si="1022"/>
        <v>142.06129062500003</v>
      </c>
      <c r="CR161" s="38">
        <f t="shared" si="1022"/>
        <v>142.388321875</v>
      </c>
      <c r="CS161" s="38">
        <f t="shared" si="1022"/>
        <v>141.915353125</v>
      </c>
      <c r="CT161" s="85">
        <f>SUM(CP161:CS161)</f>
        <v>566.46496562499999</v>
      </c>
      <c r="CU161" s="38">
        <f t="shared" ref="CU161:CX162" si="1023">CU46</f>
        <v>141.7693898344173</v>
      </c>
      <c r="CV161" s="38">
        <f t="shared" si="1023"/>
        <v>141.28009414429945</v>
      </c>
      <c r="CW161" s="38">
        <f t="shared" si="1023"/>
        <v>141.02462021662592</v>
      </c>
      <c r="CX161" s="38">
        <f t="shared" si="1023"/>
        <v>140.63380751529201</v>
      </c>
      <c r="CY161" s="85">
        <f>SUM(CU161:CX161)</f>
        <v>564.70791171063468</v>
      </c>
      <c r="CZ161" s="38">
        <f t="shared" ref="CZ161:DC162" si="1024">CZ46</f>
        <v>139.31210932291677</v>
      </c>
      <c r="DA161" s="38">
        <f t="shared" si="1024"/>
        <v>138.68106345314965</v>
      </c>
      <c r="DB161" s="38">
        <f t="shared" si="1024"/>
        <v>138.58753863590826</v>
      </c>
      <c r="DC161" s="38">
        <f t="shared" si="1024"/>
        <v>138.22365118692238</v>
      </c>
      <c r="DD161" s="85">
        <f>SUM(CZ161:DC161)</f>
        <v>554.80436259889711</v>
      </c>
      <c r="DE161" s="38">
        <f t="shared" ref="DE161:DH162" si="1025">DE46</f>
        <v>136.39361727887174</v>
      </c>
      <c r="DF161" s="38">
        <f t="shared" si="1025"/>
        <v>135.61337574477204</v>
      </c>
      <c r="DG161" s="38">
        <f t="shared" si="1025"/>
        <v>135.68974516978983</v>
      </c>
      <c r="DH161" s="38">
        <f t="shared" si="1025"/>
        <v>170.25061469644544</v>
      </c>
      <c r="DI161" s="85">
        <f>SUM(DE161:DH161)</f>
        <v>577.94735288987908</v>
      </c>
      <c r="DJ161" s="38">
        <f t="shared" ref="DJ161:DM162" si="1026">DJ46</f>
        <v>144.07687012182637</v>
      </c>
      <c r="DK161" s="38">
        <f t="shared" si="1026"/>
        <v>147.17258341922812</v>
      </c>
      <c r="DL161" s="38">
        <f t="shared" si="1026"/>
        <v>145.49984253529999</v>
      </c>
      <c r="DM161" s="38">
        <f t="shared" si="1026"/>
        <v>144.22722303670156</v>
      </c>
      <c r="DN161" s="85">
        <f>SUM(DJ161:DM161)</f>
        <v>580.97651911305604</v>
      </c>
      <c r="DO161" s="38">
        <f t="shared" ref="DO161:DR162" si="1027">DO46</f>
        <v>143.53608496118147</v>
      </c>
      <c r="DP161" s="38">
        <f t="shared" si="1027"/>
        <v>142.96113356505685</v>
      </c>
      <c r="DQ161" s="38">
        <f t="shared" si="1027"/>
        <v>141.54881197938241</v>
      </c>
      <c r="DR161" s="38">
        <f t="shared" si="1027"/>
        <v>140.32916904673661</v>
      </c>
      <c r="DS161" s="85">
        <f>SUM(DO161:DR161)</f>
        <v>568.37519955235734</v>
      </c>
      <c r="DT161" s="38">
        <f t="shared" ref="DT161:DW162" si="1028">DT46</f>
        <v>139.47858128066204</v>
      </c>
      <c r="DU161" s="38">
        <f t="shared" si="1028"/>
        <v>138.67021389410624</v>
      </c>
      <c r="DV161" s="38">
        <f t="shared" si="1028"/>
        <v>121.41313090658005</v>
      </c>
      <c r="DW161" s="38">
        <f t="shared" si="1028"/>
        <v>120.24914155556938</v>
      </c>
      <c r="DX161" s="85">
        <f>SUM(DT161:DW161)</f>
        <v>519.81106763691776</v>
      </c>
      <c r="DY161" s="38">
        <f t="shared" ref="DY161:EB162" si="1029">DY46</f>
        <v>118.59280464860032</v>
      </c>
      <c r="DZ161" s="38">
        <f t="shared" si="1029"/>
        <v>117.56235550926672</v>
      </c>
      <c r="EA161" s="38">
        <f t="shared" si="1029"/>
        <v>116.72333811499493</v>
      </c>
      <c r="EB161" s="38">
        <f t="shared" si="1029"/>
        <v>115.62340906866299</v>
      </c>
      <c r="EC161" s="85">
        <f>SUM(DY161:EB161)</f>
        <v>468.501907341525</v>
      </c>
      <c r="ED161" s="38"/>
      <c r="EE161" s="21"/>
      <c r="EF161" s="284"/>
      <c r="EG161" s="16"/>
      <c r="EH161" s="16"/>
      <c r="EI161" s="16"/>
      <c r="EJ161" s="16"/>
      <c r="EK161" s="16"/>
      <c r="EL161" s="16"/>
      <c r="EM161" s="16"/>
      <c r="EN161" s="16"/>
      <c r="EO161" s="16"/>
      <c r="EP161" s="16"/>
      <c r="EQ161" s="16"/>
      <c r="ER161" s="16"/>
      <c r="ES161" s="16"/>
      <c r="ET161" s="16"/>
      <c r="EU161" s="16"/>
      <c r="EX161" s="16"/>
      <c r="EY161" s="228"/>
      <c r="EZ161" s="477"/>
      <c r="FA161" s="477"/>
      <c r="FB161" s="228"/>
      <c r="FC161" s="477"/>
      <c r="FD161" s="16"/>
    </row>
    <row r="162" spans="1:160" x14ac:dyDescent="0.2">
      <c r="A162" s="283" t="s">
        <v>226</v>
      </c>
      <c r="B162" s="85"/>
      <c r="C162" s="95"/>
      <c r="D162" s="41"/>
      <c r="E162" s="41"/>
      <c r="F162" s="39"/>
      <c r="G162" s="85"/>
      <c r="H162" s="95"/>
      <c r="I162" s="41"/>
      <c r="J162" s="41"/>
      <c r="K162" s="39"/>
      <c r="L162" s="85"/>
      <c r="M162" s="95"/>
      <c r="N162" s="41"/>
      <c r="O162" s="41"/>
      <c r="P162" s="39"/>
      <c r="Q162" s="85"/>
      <c r="R162" s="38"/>
      <c r="S162" s="38"/>
      <c r="T162" s="38"/>
      <c r="U162" s="39">
        <v>0</v>
      </c>
      <c r="V162" s="85"/>
      <c r="W162" s="38">
        <v>13</v>
      </c>
      <c r="X162" s="38">
        <v>0</v>
      </c>
      <c r="Y162" s="38">
        <v>1</v>
      </c>
      <c r="Z162" s="39">
        <v>4</v>
      </c>
      <c r="AA162" s="54">
        <v>18</v>
      </c>
      <c r="AB162" s="87">
        <v>1</v>
      </c>
      <c r="AC162" s="38">
        <v>0</v>
      </c>
      <c r="AD162" s="38">
        <v>0</v>
      </c>
      <c r="AE162" s="38">
        <v>0</v>
      </c>
      <c r="AF162" s="85">
        <f>SUM(AB162:AE162)</f>
        <v>1</v>
      </c>
      <c r="AG162" s="38"/>
      <c r="AH162" s="38"/>
      <c r="AI162" s="38"/>
      <c r="AJ162" s="38">
        <v>0</v>
      </c>
      <c r="AK162" s="85">
        <v>0</v>
      </c>
      <c r="AL162" s="38">
        <f t="shared" si="1013"/>
        <v>0</v>
      </c>
      <c r="AM162" s="38">
        <f t="shared" si="1013"/>
        <v>0</v>
      </c>
      <c r="AN162" s="38">
        <f t="shared" si="1013"/>
        <v>0</v>
      </c>
      <c r="AO162" s="38">
        <f t="shared" si="1013"/>
        <v>0</v>
      </c>
      <c r="AP162" s="85">
        <f>SUM(AL162:AO162)</f>
        <v>0</v>
      </c>
      <c r="AQ162" s="38">
        <f t="shared" si="1014"/>
        <v>0</v>
      </c>
      <c r="AR162" s="38">
        <f t="shared" si="1014"/>
        <v>0</v>
      </c>
      <c r="AS162" s="38">
        <f t="shared" si="1014"/>
        <v>0</v>
      </c>
      <c r="AT162" s="38">
        <f t="shared" si="1014"/>
        <v>0</v>
      </c>
      <c r="AU162" s="86">
        <f>SUM(AQ162:AT162)</f>
        <v>0</v>
      </c>
      <c r="AV162" s="45"/>
      <c r="AW162" s="38">
        <f t="shared" si="1015"/>
        <v>0</v>
      </c>
      <c r="AX162" s="38">
        <f t="shared" si="1015"/>
        <v>0</v>
      </c>
      <c r="AY162" s="38">
        <f t="shared" si="1015"/>
        <v>0</v>
      </c>
      <c r="AZ162" s="38">
        <f t="shared" si="1015"/>
        <v>0</v>
      </c>
      <c r="BA162" s="85">
        <f>SUM(AW162:AZ162)</f>
        <v>0</v>
      </c>
      <c r="BB162" s="38">
        <f t="shared" si="1016"/>
        <v>19.600000000000001</v>
      </c>
      <c r="BC162" s="38">
        <f t="shared" si="1016"/>
        <v>0</v>
      </c>
      <c r="BD162" s="38">
        <f t="shared" si="1016"/>
        <v>0</v>
      </c>
      <c r="BE162" s="38">
        <f t="shared" si="1016"/>
        <v>1.5</v>
      </c>
      <c r="BF162" s="85">
        <f>SUM(BB162:BE162)</f>
        <v>21.1</v>
      </c>
      <c r="BG162" s="38">
        <f t="shared" si="1017"/>
        <v>3.5</v>
      </c>
      <c r="BH162" s="38">
        <f t="shared" si="1017"/>
        <v>7.7</v>
      </c>
      <c r="BI162" s="38">
        <f t="shared" si="1017"/>
        <v>23</v>
      </c>
      <c r="BJ162" s="38">
        <f t="shared" si="1017"/>
        <v>0</v>
      </c>
      <c r="BK162" s="85">
        <v>34.200000000000003</v>
      </c>
      <c r="BL162" s="38">
        <f t="shared" si="1018"/>
        <v>0</v>
      </c>
      <c r="BM162" s="38">
        <f t="shared" si="1018"/>
        <v>0</v>
      </c>
      <c r="BN162" s="38">
        <f t="shared" si="1018"/>
        <v>0</v>
      </c>
      <c r="BO162" s="38">
        <f t="shared" si="1018"/>
        <v>0</v>
      </c>
      <c r="BP162" s="85">
        <f>SUM(BL162:BO162)</f>
        <v>0</v>
      </c>
      <c r="BQ162" s="38">
        <f t="shared" si="1019"/>
        <v>0</v>
      </c>
      <c r="BR162" s="38">
        <f t="shared" si="1019"/>
        <v>0</v>
      </c>
      <c r="BS162" s="38">
        <f t="shared" si="1019"/>
        <v>0</v>
      </c>
      <c r="BT162" s="38">
        <f t="shared" si="1019"/>
        <v>155.4</v>
      </c>
      <c r="BU162" s="85">
        <f>SUM(BQ162:BT162)</f>
        <v>155.4</v>
      </c>
      <c r="BV162" s="38"/>
      <c r="BW162" s="38">
        <f>BW47</f>
        <v>0</v>
      </c>
      <c r="BX162" s="38">
        <f>BX47</f>
        <v>0</v>
      </c>
      <c r="BY162" s="38">
        <f>BY47</f>
        <v>0</v>
      </c>
      <c r="BZ162" s="85">
        <f>SUM(BV162:BY162)</f>
        <v>0</v>
      </c>
      <c r="CA162" s="38">
        <f>CA47</f>
        <v>-0.3</v>
      </c>
      <c r="CB162" s="38">
        <f>CB47</f>
        <v>39.9</v>
      </c>
      <c r="CC162" s="38">
        <v>0.4</v>
      </c>
      <c r="CD162" s="38">
        <f>CD47</f>
        <v>0</v>
      </c>
      <c r="CE162" s="85">
        <f>SUM(CA162:CD162)</f>
        <v>40</v>
      </c>
      <c r="CF162" s="38">
        <f t="shared" si="1020"/>
        <v>0</v>
      </c>
      <c r="CG162" s="38">
        <f t="shared" si="1020"/>
        <v>0</v>
      </c>
      <c r="CH162" s="38">
        <f t="shared" si="1020"/>
        <v>0</v>
      </c>
      <c r="CI162" s="38">
        <f t="shared" si="1020"/>
        <v>0</v>
      </c>
      <c r="CJ162" s="85">
        <f>SUM(CF162:CI162)</f>
        <v>0</v>
      </c>
      <c r="CK162" s="38">
        <f t="shared" si="1021"/>
        <v>20.399999999999999</v>
      </c>
      <c r="CL162" s="38">
        <f t="shared" si="1021"/>
        <v>0</v>
      </c>
      <c r="CM162" s="38">
        <f t="shared" si="1021"/>
        <v>58.2</v>
      </c>
      <c r="CN162" s="38">
        <f t="shared" si="1021"/>
        <v>43.4</v>
      </c>
      <c r="CO162" s="85">
        <f>SUM(CK162:CN162)</f>
        <v>122</v>
      </c>
      <c r="CP162" s="38">
        <f t="shared" si="1022"/>
        <v>0</v>
      </c>
      <c r="CQ162" s="38">
        <f t="shared" si="1022"/>
        <v>0</v>
      </c>
      <c r="CR162" s="38">
        <f t="shared" si="1022"/>
        <v>0</v>
      </c>
      <c r="CS162" s="38">
        <f t="shared" si="1022"/>
        <v>0</v>
      </c>
      <c r="CT162" s="85">
        <f>SUM(CP162:CS162)</f>
        <v>0</v>
      </c>
      <c r="CU162" s="38">
        <f t="shared" si="1023"/>
        <v>0</v>
      </c>
      <c r="CV162" s="38">
        <f t="shared" si="1023"/>
        <v>0</v>
      </c>
      <c r="CW162" s="38">
        <f t="shared" si="1023"/>
        <v>0</v>
      </c>
      <c r="CX162" s="38">
        <f t="shared" si="1023"/>
        <v>0</v>
      </c>
      <c r="CY162" s="85">
        <f>SUM(CU162:CX162)</f>
        <v>0</v>
      </c>
      <c r="CZ162" s="38">
        <f t="shared" si="1024"/>
        <v>0</v>
      </c>
      <c r="DA162" s="38">
        <f t="shared" si="1024"/>
        <v>0</v>
      </c>
      <c r="DB162" s="38">
        <f t="shared" si="1024"/>
        <v>0</v>
      </c>
      <c r="DC162" s="38">
        <f t="shared" si="1024"/>
        <v>0</v>
      </c>
      <c r="DD162" s="85">
        <f>SUM(CZ162:DC162)</f>
        <v>0</v>
      </c>
      <c r="DE162" s="38">
        <f t="shared" si="1025"/>
        <v>0</v>
      </c>
      <c r="DF162" s="38">
        <f t="shared" si="1025"/>
        <v>0</v>
      </c>
      <c r="DG162" s="38">
        <f t="shared" si="1025"/>
        <v>0</v>
      </c>
      <c r="DH162" s="38">
        <f t="shared" si="1025"/>
        <v>0</v>
      </c>
      <c r="DI162" s="85">
        <f>SUM(DE162:DH162)</f>
        <v>0</v>
      </c>
      <c r="DJ162" s="38">
        <f t="shared" si="1026"/>
        <v>0</v>
      </c>
      <c r="DK162" s="38">
        <f t="shared" si="1026"/>
        <v>0</v>
      </c>
      <c r="DL162" s="38">
        <f t="shared" si="1026"/>
        <v>0</v>
      </c>
      <c r="DM162" s="38">
        <f t="shared" si="1026"/>
        <v>0</v>
      </c>
      <c r="DN162" s="85">
        <f>SUM(DJ162:DM162)</f>
        <v>0</v>
      </c>
      <c r="DO162" s="38">
        <f t="shared" si="1027"/>
        <v>0</v>
      </c>
      <c r="DP162" s="38">
        <f t="shared" si="1027"/>
        <v>0</v>
      </c>
      <c r="DQ162" s="38">
        <f t="shared" si="1027"/>
        <v>0</v>
      </c>
      <c r="DR162" s="38">
        <f t="shared" si="1027"/>
        <v>0</v>
      </c>
      <c r="DS162" s="85">
        <f>SUM(DO162:DR162)</f>
        <v>0</v>
      </c>
      <c r="DT162" s="38">
        <f t="shared" si="1028"/>
        <v>0</v>
      </c>
      <c r="DU162" s="38">
        <f t="shared" si="1028"/>
        <v>0</v>
      </c>
      <c r="DV162" s="38">
        <f t="shared" si="1028"/>
        <v>0</v>
      </c>
      <c r="DW162" s="38">
        <f t="shared" si="1028"/>
        <v>0</v>
      </c>
      <c r="DX162" s="85">
        <f>SUM(DT162:DW162)</f>
        <v>0</v>
      </c>
      <c r="DY162" s="38">
        <f t="shared" si="1029"/>
        <v>0</v>
      </c>
      <c r="DZ162" s="38">
        <f t="shared" si="1029"/>
        <v>0</v>
      </c>
      <c r="EA162" s="38">
        <f t="shared" si="1029"/>
        <v>0</v>
      </c>
      <c r="EB162" s="38">
        <f t="shared" si="1029"/>
        <v>0</v>
      </c>
      <c r="EC162" s="85">
        <f>SUM(DY162:EB162)</f>
        <v>0</v>
      </c>
      <c r="ED162" s="38"/>
      <c r="EE162" s="21"/>
      <c r="EF162" s="373"/>
      <c r="EG162" s="16"/>
      <c r="EH162" s="16"/>
      <c r="EI162" s="16"/>
      <c r="EJ162" s="16"/>
      <c r="EK162" s="16"/>
      <c r="EL162" s="16"/>
      <c r="EM162" s="16"/>
      <c r="EN162" s="16"/>
      <c r="EO162" s="16"/>
      <c r="EP162" s="16"/>
      <c r="EQ162" s="16"/>
      <c r="ER162" s="16"/>
      <c r="ES162" s="16"/>
      <c r="ET162" s="16"/>
      <c r="EU162" s="16"/>
      <c r="EX162" s="16"/>
      <c r="EY162" s="228"/>
      <c r="EZ162" s="477"/>
      <c r="FA162" s="477"/>
      <c r="FB162" s="228"/>
      <c r="FC162" s="477"/>
      <c r="FD162" s="16"/>
    </row>
    <row r="163" spans="1:160" x14ac:dyDescent="0.2">
      <c r="A163" s="283" t="s">
        <v>423</v>
      </c>
      <c r="B163" s="85"/>
      <c r="C163" s="95"/>
      <c r="D163" s="41"/>
      <c r="E163" s="41"/>
      <c r="F163" s="39"/>
      <c r="G163" s="85"/>
      <c r="H163" s="95"/>
      <c r="I163" s="41"/>
      <c r="J163" s="41"/>
      <c r="K163" s="39"/>
      <c r="L163" s="85"/>
      <c r="M163" s="95"/>
      <c r="N163" s="41"/>
      <c r="O163" s="41"/>
      <c r="P163" s="39"/>
      <c r="Q163" s="85"/>
      <c r="R163" s="38"/>
      <c r="S163" s="38"/>
      <c r="T163" s="38"/>
      <c r="U163" s="39">
        <v>2</v>
      </c>
      <c r="V163" s="85">
        <v>31</v>
      </c>
      <c r="W163" s="38">
        <v>20</v>
      </c>
      <c r="X163" s="38">
        <v>26</v>
      </c>
      <c r="Y163" s="38">
        <v>6</v>
      </c>
      <c r="Z163" s="39">
        <v>0</v>
      </c>
      <c r="AA163" s="54">
        <v>53</v>
      </c>
      <c r="AB163" s="87">
        <v>24</v>
      </c>
      <c r="AC163" s="38">
        <v>20</v>
      </c>
      <c r="AD163" s="38">
        <v>11</v>
      </c>
      <c r="AE163" s="38">
        <v>20</v>
      </c>
      <c r="AF163" s="85">
        <f>SUM(AB163:AE163)</f>
        <v>75</v>
      </c>
      <c r="AG163" s="38"/>
      <c r="AH163" s="38">
        <v>30</v>
      </c>
      <c r="AI163" s="38"/>
      <c r="AJ163" s="38">
        <v>20</v>
      </c>
      <c r="AK163" s="85">
        <v>103</v>
      </c>
      <c r="AL163" s="38">
        <f>AL49</f>
        <v>26</v>
      </c>
      <c r="AM163" s="38">
        <f>AM49</f>
        <v>26.6</v>
      </c>
      <c r="AN163" s="38">
        <f>AN49</f>
        <v>16</v>
      </c>
      <c r="AO163" s="38">
        <f>AO49</f>
        <v>16.2</v>
      </c>
      <c r="AP163" s="85">
        <f>SUM(AL163:AO163)</f>
        <v>84.8</v>
      </c>
      <c r="AQ163" s="38">
        <f>AQ49</f>
        <v>23.9</v>
      </c>
      <c r="AR163" s="38">
        <f>AR49</f>
        <v>25.8</v>
      </c>
      <c r="AS163" s="38">
        <f>AS49</f>
        <v>26</v>
      </c>
      <c r="AT163" s="38">
        <f>AT49</f>
        <v>21.8</v>
      </c>
      <c r="AU163" s="86">
        <f>SUM(AQ163:AT163)</f>
        <v>97.5</v>
      </c>
      <c r="AV163" s="45"/>
      <c r="AW163" s="38">
        <f>AW49</f>
        <v>26</v>
      </c>
      <c r="AX163" s="38">
        <f>AX49</f>
        <v>21.8</v>
      </c>
      <c r="AY163" s="38">
        <f>AY49</f>
        <v>15.1</v>
      </c>
      <c r="AZ163" s="38">
        <f>AZ49</f>
        <v>-27.5</v>
      </c>
      <c r="BA163" s="85">
        <f>SUM(AW163:AZ163)</f>
        <v>35.4</v>
      </c>
      <c r="BB163" s="38">
        <f>BB49</f>
        <v>0.1</v>
      </c>
      <c r="BC163" s="38">
        <f>BC49</f>
        <v>12.7</v>
      </c>
      <c r="BD163" s="38">
        <f>BD49</f>
        <v>13.4</v>
      </c>
      <c r="BE163" s="38">
        <f>BE49</f>
        <v>0.4</v>
      </c>
      <c r="BF163" s="85">
        <f>SUM(BB163:BE163)</f>
        <v>26.599999999999998</v>
      </c>
      <c r="BG163" s="38">
        <f>BG49</f>
        <v>7.2</v>
      </c>
      <c r="BH163" s="38">
        <f>BH49</f>
        <v>14.8</v>
      </c>
      <c r="BI163" s="38">
        <f>BI49</f>
        <v>6.9</v>
      </c>
      <c r="BJ163" s="38">
        <f>BJ49</f>
        <v>13.1</v>
      </c>
      <c r="BK163" s="85">
        <v>42</v>
      </c>
      <c r="BL163" s="38">
        <f>BL49</f>
        <v>17.5</v>
      </c>
      <c r="BM163" s="38">
        <f>BM49</f>
        <v>20.3</v>
      </c>
      <c r="BN163" s="38">
        <f>BN49</f>
        <v>27.1</v>
      </c>
      <c r="BO163" s="38">
        <f>BO49</f>
        <v>23.6</v>
      </c>
      <c r="BP163" s="85">
        <f>SUM(BL163:BO163)</f>
        <v>88.5</v>
      </c>
      <c r="BQ163" s="38">
        <f>BQ49</f>
        <v>20.9</v>
      </c>
      <c r="BR163" s="38">
        <f>BR49</f>
        <v>25.8</v>
      </c>
      <c r="BS163" s="38">
        <f>BS49</f>
        <v>-26.9</v>
      </c>
      <c r="BT163" s="38">
        <f>BT49</f>
        <v>4.5</v>
      </c>
      <c r="BU163" s="85">
        <f>SUM(BQ163:BT163)</f>
        <v>24.300000000000004</v>
      </c>
      <c r="BV163" s="38">
        <f>BV49</f>
        <v>41.2</v>
      </c>
      <c r="BW163" s="38">
        <f>BW49</f>
        <v>57.5</v>
      </c>
      <c r="BX163" s="38">
        <f>BX49</f>
        <v>66.900000000000006</v>
      </c>
      <c r="BY163" s="38">
        <f>BY49</f>
        <v>126.1</v>
      </c>
      <c r="BZ163" s="85">
        <f>SUM(BV163:BY163)</f>
        <v>291.70000000000005</v>
      </c>
      <c r="CA163" s="38">
        <f>CA49</f>
        <v>50.7</v>
      </c>
      <c r="CB163" s="38">
        <f>CB49</f>
        <v>45.2</v>
      </c>
      <c r="CC163" s="38">
        <f>CC49</f>
        <v>44.74</v>
      </c>
      <c r="CD163" s="38">
        <f>CD49</f>
        <v>21.54</v>
      </c>
      <c r="CE163" s="85">
        <f>SUM(CA163:CD163)</f>
        <v>162.18</v>
      </c>
      <c r="CF163" s="38">
        <f>CF49</f>
        <v>47.2</v>
      </c>
      <c r="CG163" s="38">
        <f>CG49</f>
        <v>59.2</v>
      </c>
      <c r="CH163" s="38">
        <f>CH49</f>
        <v>64.599999999999994</v>
      </c>
      <c r="CI163" s="38">
        <f>CI49</f>
        <v>72.900000000000006</v>
      </c>
      <c r="CJ163" s="85">
        <f>SUM(CF163:CI163)</f>
        <v>243.9</v>
      </c>
      <c r="CK163" s="38">
        <f>CK49</f>
        <v>37.799999999999997</v>
      </c>
      <c r="CL163" s="38">
        <f>CL49</f>
        <v>42.9</v>
      </c>
      <c r="CM163" s="38">
        <f>CM49</f>
        <v>38.299999999999997</v>
      </c>
      <c r="CN163" s="38">
        <f>CN49</f>
        <v>-252.6</v>
      </c>
      <c r="CO163" s="85">
        <f>SUM(CK163:CN163)</f>
        <v>-133.60000000000002</v>
      </c>
      <c r="CP163" s="38">
        <f>CP49</f>
        <v>1.7</v>
      </c>
      <c r="CQ163" s="38">
        <f>CQ49</f>
        <v>66.741263810677353</v>
      </c>
      <c r="CR163" s="38">
        <f>CR49</f>
        <v>78.345193302137119</v>
      </c>
      <c r="CS163" s="38">
        <f>CS49</f>
        <v>83.754346449303881</v>
      </c>
      <c r="CT163" s="85">
        <f>SUM(CP163:CS163)</f>
        <v>230.54080356211836</v>
      </c>
      <c r="CU163" s="38">
        <f>CU49</f>
        <v>69.111190334223465</v>
      </c>
      <c r="CV163" s="38">
        <f>CV49</f>
        <v>79.91444388621666</v>
      </c>
      <c r="CW163" s="38">
        <f>CW49</f>
        <v>91.820882432551826</v>
      </c>
      <c r="CX163" s="38">
        <f>CX49</f>
        <v>98.096090817520434</v>
      </c>
      <c r="CY163" s="85">
        <f>SUM(CU163:CX163)</f>
        <v>338.94260747051237</v>
      </c>
      <c r="CZ163" s="38">
        <f>CZ49</f>
        <v>78.502404587867986</v>
      </c>
      <c r="DA163" s="38">
        <f>DA49</f>
        <v>93.674801955858072</v>
      </c>
      <c r="DB163" s="38">
        <f>DB49</f>
        <v>106.72445400200043</v>
      </c>
      <c r="DC163" s="38">
        <f>DC49</f>
        <v>113.74816661645799</v>
      </c>
      <c r="DD163" s="85">
        <f>SUM(CZ163:DC163)</f>
        <v>392.64982716218447</v>
      </c>
      <c r="DE163" s="38">
        <f>DE49</f>
        <v>94.240875091266474</v>
      </c>
      <c r="DF163" s="38">
        <f>DF49</f>
        <v>106.16850110287707</v>
      </c>
      <c r="DG163" s="38">
        <f>DG49</f>
        <v>120.9634091724741</v>
      </c>
      <c r="DH163" s="38">
        <f>DH49</f>
        <v>121.23916501509218</v>
      </c>
      <c r="DI163" s="85">
        <f>SUM(DE163:DH163)</f>
        <v>442.61195038170979</v>
      </c>
      <c r="DJ163" s="38">
        <f>DJ49</f>
        <v>108.64075572745736</v>
      </c>
      <c r="DK163" s="38">
        <f>DK49</f>
        <v>121.1736929803948</v>
      </c>
      <c r="DL163" s="38">
        <f>DL49</f>
        <v>138.03121427050408</v>
      </c>
      <c r="DM163" s="38">
        <f>DM49</f>
        <v>146.54295638770631</v>
      </c>
      <c r="DN163" s="85">
        <f>SUM(DJ163:DM163)</f>
        <v>514.38861936606258</v>
      </c>
      <c r="DO163" s="38">
        <f>DO49</f>
        <v>123.29507819700991</v>
      </c>
      <c r="DP163" s="38">
        <f>DP49</f>
        <v>137.75179121412717</v>
      </c>
      <c r="DQ163" s="38">
        <f>DQ49</f>
        <v>155.98864106734371</v>
      </c>
      <c r="DR163" s="38">
        <f>DR49</f>
        <v>165.22301684911014</v>
      </c>
      <c r="DS163" s="85">
        <f>SUM(DO163:DR163)</f>
        <v>582.25852732759085</v>
      </c>
      <c r="DT163" s="38">
        <f>DT49</f>
        <v>128.7944857920964</v>
      </c>
      <c r="DU163" s="38">
        <f>DU49</f>
        <v>141.92782541418802</v>
      </c>
      <c r="DV163" s="38">
        <f>DV49</f>
        <v>163.94114266940119</v>
      </c>
      <c r="DW163" s="38">
        <f>DW49</f>
        <v>175.00925441697206</v>
      </c>
      <c r="DX163" s="85">
        <f>SUM(DT163:DW163)</f>
        <v>609.67270829265772</v>
      </c>
      <c r="DY163" s="38">
        <f>DY49</f>
        <v>147.4839960808452</v>
      </c>
      <c r="DZ163" s="38">
        <f>DZ49</f>
        <v>163.51966956806885</v>
      </c>
      <c r="EA163" s="38">
        <f>EA49</f>
        <v>183.65499042927649</v>
      </c>
      <c r="EB163" s="38">
        <f>EB49</f>
        <v>195.64997249793495</v>
      </c>
      <c r="EC163" s="85">
        <f>SUM(DY163:EB163)</f>
        <v>690.30862857612556</v>
      </c>
      <c r="ED163" s="38"/>
      <c r="EE163" s="21"/>
      <c r="EF163" s="373"/>
      <c r="EG163" s="16"/>
      <c r="EH163" s="16"/>
      <c r="EI163" s="16"/>
      <c r="EJ163" s="16"/>
      <c r="EK163" s="16"/>
      <c r="EL163" s="16"/>
      <c r="EM163" s="16"/>
      <c r="EN163" s="16"/>
      <c r="EO163" s="16"/>
      <c r="EP163" s="16"/>
      <c r="EQ163" s="16"/>
      <c r="ER163" s="16"/>
      <c r="ES163" s="16"/>
      <c r="ET163" s="16"/>
      <c r="EU163" s="16"/>
      <c r="EX163" s="16"/>
      <c r="EY163" s="228"/>
      <c r="EZ163" s="477"/>
      <c r="FA163" s="477"/>
      <c r="FB163" s="228"/>
      <c r="FC163" s="477"/>
      <c r="FD163" s="16"/>
    </row>
    <row r="164" spans="1:160" ht="15" x14ac:dyDescent="0.35">
      <c r="A164" s="283" t="s">
        <v>424</v>
      </c>
      <c r="B164" s="91"/>
      <c r="C164" s="95"/>
      <c r="D164" s="41"/>
      <c r="E164" s="41"/>
      <c r="F164" s="39"/>
      <c r="G164" s="238"/>
      <c r="H164" s="95"/>
      <c r="I164" s="41"/>
      <c r="J164" s="41"/>
      <c r="K164" s="39"/>
      <c r="L164" s="238"/>
      <c r="M164" s="95"/>
      <c r="N164" s="41"/>
      <c r="O164" s="41"/>
      <c r="P164" s="39"/>
      <c r="Q164" s="238"/>
      <c r="R164" s="289"/>
      <c r="S164" s="289"/>
      <c r="T164" s="289"/>
      <c r="U164" s="238">
        <v>21</v>
      </c>
      <c r="V164" s="91">
        <v>74</v>
      </c>
      <c r="W164" s="289">
        <v>21</v>
      </c>
      <c r="X164" s="289">
        <v>21</v>
      </c>
      <c r="Y164" s="289">
        <v>21</v>
      </c>
      <c r="Z164" s="238">
        <v>25</v>
      </c>
      <c r="AA164" s="238">
        <v>88</v>
      </c>
      <c r="AB164" s="289">
        <v>22</v>
      </c>
      <c r="AC164" s="289">
        <v>21</v>
      </c>
      <c r="AD164" s="289">
        <v>22</v>
      </c>
      <c r="AE164" s="238">
        <v>24</v>
      </c>
      <c r="AF164" s="238">
        <f>SUM(AB164:AE164)</f>
        <v>89</v>
      </c>
      <c r="AG164" s="289"/>
      <c r="AH164" s="289">
        <v>23</v>
      </c>
      <c r="AI164" s="289"/>
      <c r="AJ164" s="238">
        <v>24</v>
      </c>
      <c r="AK164" s="238">
        <v>96</v>
      </c>
      <c r="AL164" s="289">
        <f>'CF '!AL11</f>
        <v>26</v>
      </c>
      <c r="AM164" s="289">
        <f>'CF '!AM11</f>
        <v>23</v>
      </c>
      <c r="AN164" s="289">
        <f>'CF '!AN11</f>
        <v>23</v>
      </c>
      <c r="AO164" s="238">
        <f>'CF '!AO11</f>
        <v>26.099999999999994</v>
      </c>
      <c r="AP164" s="238">
        <f>SUM(AL164:AO164)</f>
        <v>98.1</v>
      </c>
      <c r="AQ164" s="289">
        <f>'CF '!AQ11</f>
        <v>25.1</v>
      </c>
      <c r="AR164" s="289">
        <f>'CF '!AR11</f>
        <v>27.299999999999997</v>
      </c>
      <c r="AS164" s="289">
        <f>'CF '!AS11</f>
        <v>27.500000000000007</v>
      </c>
      <c r="AT164" s="238">
        <f>'CF '!AT11</f>
        <v>31.79999999999999</v>
      </c>
      <c r="AU164" s="289">
        <f>SUM(AQ164:AT164)</f>
        <v>111.69999999999999</v>
      </c>
      <c r="AV164" s="45"/>
      <c r="AW164" s="289">
        <f>'CF '!AW11</f>
        <v>27.500000000000007</v>
      </c>
      <c r="AX164" s="289">
        <f>'CF '!AX11</f>
        <v>31.79999999999999</v>
      </c>
      <c r="AY164" s="289">
        <f>'CF '!AY11</f>
        <v>25.6</v>
      </c>
      <c r="AZ164" s="238">
        <f>'CF '!AZ11</f>
        <v>33.200000000000003</v>
      </c>
      <c r="BA164" s="238">
        <f>SUM(AW164:AZ164)</f>
        <v>118.10000000000001</v>
      </c>
      <c r="BB164" s="289">
        <f>'CF '!BB11</f>
        <v>35</v>
      </c>
      <c r="BC164" s="289">
        <f>'CF '!BC11</f>
        <v>33.799999999999997</v>
      </c>
      <c r="BD164" s="289">
        <f>'CF '!BD11</f>
        <v>34.299999999999997</v>
      </c>
      <c r="BE164" s="238">
        <f>'CF '!BE11</f>
        <v>33.300000000000011</v>
      </c>
      <c r="BF164" s="238">
        <f>SUM(BB164:BE164)</f>
        <v>136.4</v>
      </c>
      <c r="BG164" s="289">
        <f>'CF '!BG11</f>
        <v>34</v>
      </c>
      <c r="BH164" s="289">
        <f>'CF '!BH11</f>
        <v>33.400000000000006</v>
      </c>
      <c r="BI164" s="289">
        <f>'CF '!BI11</f>
        <v>28.599999999999994</v>
      </c>
      <c r="BJ164" s="238">
        <v>17.7</v>
      </c>
      <c r="BK164" s="238">
        <f>SUM(BG164:BJ164)</f>
        <v>113.7</v>
      </c>
      <c r="BL164" s="289">
        <f>'CF '!BL11</f>
        <v>16.600000000000001</v>
      </c>
      <c r="BM164" s="289">
        <f>'CF '!BM11</f>
        <v>16</v>
      </c>
      <c r="BN164" s="289">
        <v>15.7</v>
      </c>
      <c r="BO164" s="238">
        <v>17.3</v>
      </c>
      <c r="BP164" s="238">
        <f>SUM(BL164:BO164)</f>
        <v>65.599999999999994</v>
      </c>
      <c r="BQ164" s="289">
        <f>'CF '!BQ11</f>
        <v>16.399999999999999</v>
      </c>
      <c r="BR164" s="289">
        <f>'CF '!BR11</f>
        <v>15.800000000000004</v>
      </c>
      <c r="BS164" s="289">
        <f>'CF '!BS11</f>
        <v>16.5</v>
      </c>
      <c r="BT164" s="238">
        <f>'CF '!BT11</f>
        <v>24.200000000000003</v>
      </c>
      <c r="BU164" s="238">
        <f>SUM(BQ164:BT164)</f>
        <v>72.900000000000006</v>
      </c>
      <c r="BV164" s="289">
        <v>55</v>
      </c>
      <c r="BW164" s="289">
        <v>55.5</v>
      </c>
      <c r="BX164" s="289">
        <v>57.4</v>
      </c>
      <c r="BY164" s="238">
        <v>59.1</v>
      </c>
      <c r="BZ164" s="238">
        <f>SUM(BV164:BY164)</f>
        <v>227</v>
      </c>
      <c r="CA164" s="289">
        <v>48.8</v>
      </c>
      <c r="CB164" s="289">
        <v>45.9</v>
      </c>
      <c r="CC164" s="289">
        <v>43.1</v>
      </c>
      <c r="CD164" s="238">
        <v>44</v>
      </c>
      <c r="CE164" s="238">
        <f>SUM(CA164:CD164)</f>
        <v>181.79999999999998</v>
      </c>
      <c r="CF164" s="289">
        <f>CJ164-CI164-CH164-CG164</f>
        <v>42.000000000000014</v>
      </c>
      <c r="CG164" s="289">
        <v>43.5</v>
      </c>
      <c r="CH164" s="289">
        <v>43.2</v>
      </c>
      <c r="CI164" s="238">
        <v>43.1</v>
      </c>
      <c r="CJ164" s="238">
        <v>171.8</v>
      </c>
      <c r="CK164" s="289">
        <f>'CF '!CF11</f>
        <v>43.4</v>
      </c>
      <c r="CL164" s="289">
        <f>'CF '!CG11</f>
        <v>45.300000000000004</v>
      </c>
      <c r="CM164" s="289">
        <f>'CF '!CH11</f>
        <v>46.2</v>
      </c>
      <c r="CN164" s="238">
        <f>'CF '!CI11</f>
        <v>46.199999999999967</v>
      </c>
      <c r="CO164" s="238">
        <f>SUM(CK164:CN164)</f>
        <v>181.09999999999997</v>
      </c>
      <c r="CP164" s="289">
        <f>'CF '!CK11</f>
        <v>47</v>
      </c>
      <c r="CQ164" s="289">
        <f>'CF '!CL11</f>
        <v>54.40251031041111</v>
      </c>
      <c r="CR164" s="289">
        <f>'CF '!CM11</f>
        <v>53.742002046448995</v>
      </c>
      <c r="CS164" s="238">
        <f>'CF '!CN11</f>
        <v>53.887610495135164</v>
      </c>
      <c r="CT164" s="238">
        <f>SUM(CP164:CS164)</f>
        <v>209.03212285199527</v>
      </c>
      <c r="CU164" s="289">
        <f>'CF '!CP11</f>
        <v>50.398301010244019</v>
      </c>
      <c r="CV164" s="289">
        <f>'CF '!CQ11</f>
        <v>56.306061999392234</v>
      </c>
      <c r="CW164" s="289">
        <f>'CF '!CR11</f>
        <v>55.585714757027056</v>
      </c>
      <c r="CX164" s="238">
        <f>'CF '!CS11</f>
        <v>56.007669710847033</v>
      </c>
      <c r="CY164" s="238">
        <f>SUM(CU164:CX164)</f>
        <v>218.29774747751034</v>
      </c>
      <c r="CZ164" s="289">
        <f>'CF '!CU11</f>
        <v>52.694006538201222</v>
      </c>
      <c r="DA164" s="289">
        <f>'CF '!CV11</f>
        <v>58.511040577400586</v>
      </c>
      <c r="DB164" s="289">
        <f>'CF '!CW11</f>
        <v>57.756009047035583</v>
      </c>
      <c r="DC164" s="238">
        <f>'CF '!CX11</f>
        <v>58.003656595432204</v>
      </c>
      <c r="DD164" s="238">
        <f>SUM(CZ164:DC164)</f>
        <v>226.9647127580696</v>
      </c>
      <c r="DE164" s="289">
        <f>'CF '!CZ11</f>
        <v>60.54137743178174</v>
      </c>
      <c r="DF164" s="289">
        <f>'CF '!DA11</f>
        <v>60.593531031894813</v>
      </c>
      <c r="DG164" s="289">
        <f>'CF '!DB11</f>
        <v>62.168871247166372</v>
      </c>
      <c r="DH164" s="238">
        <f>'CF '!DC11</f>
        <v>71.348787237412679</v>
      </c>
      <c r="DI164" s="238">
        <f>SUM(DE164:DH164)</f>
        <v>254.65256694825558</v>
      </c>
      <c r="DJ164" s="289">
        <f>'CF '!DE11</f>
        <v>63.090320380183108</v>
      </c>
      <c r="DK164" s="289">
        <f>'CF '!DF11</f>
        <v>63.215710422109495</v>
      </c>
      <c r="DL164" s="289">
        <f>'CF '!DG11</f>
        <v>64.968535657024489</v>
      </c>
      <c r="DM164" s="238">
        <f>'CF '!DH11</f>
        <v>74.819262566648973</v>
      </c>
      <c r="DN164" s="238">
        <f>SUM(DJ164:DM164)</f>
        <v>266.0938290259661</v>
      </c>
      <c r="DO164" s="289">
        <f>'CF '!DJ11</f>
        <v>65.971188152727422</v>
      </c>
      <c r="DP164" s="289">
        <f>'CF '!DK11</f>
        <v>64.873967790299375</v>
      </c>
      <c r="DQ164" s="289">
        <f>'CF '!DL11</f>
        <v>66.603728716464303</v>
      </c>
      <c r="DR164" s="238">
        <f>'CF '!DM11</f>
        <v>77.106777581354308</v>
      </c>
      <c r="DS164" s="238">
        <f>SUM(DO164:DR164)</f>
        <v>274.55566224084538</v>
      </c>
      <c r="DT164" s="289">
        <f>'CF '!DO11</f>
        <v>69.635932087753289</v>
      </c>
      <c r="DU164" s="289">
        <f>'CF '!DP11</f>
        <v>66.468997666667036</v>
      </c>
      <c r="DV164" s="289">
        <f>'CF '!DQ11</f>
        <v>68.167998379578023</v>
      </c>
      <c r="DW164" s="238">
        <f>'CF '!DR11</f>
        <v>79.33542089044208</v>
      </c>
      <c r="DX164" s="238">
        <f>SUM(DT164:DW164)</f>
        <v>283.60834902444043</v>
      </c>
      <c r="DY164" s="289">
        <f>'CF '!DT11</f>
        <v>71.977570753942317</v>
      </c>
      <c r="DZ164" s="289">
        <f>'CF '!DU11</f>
        <v>67.99255214915226</v>
      </c>
      <c r="EA164" s="289">
        <f>'CF '!DV11</f>
        <v>69.656781427461453</v>
      </c>
      <c r="EB164" s="238">
        <f>'CF '!DW11</f>
        <v>81.500706980026536</v>
      </c>
      <c r="EC164" s="238">
        <f>SUM(DY164:EB164)</f>
        <v>291.12761131058255</v>
      </c>
      <c r="ED164" s="51"/>
      <c r="EE164" s="21"/>
      <c r="EF164" s="373"/>
      <c r="EG164" s="16"/>
      <c r="EH164" s="16"/>
      <c r="EI164" s="16"/>
      <c r="EJ164" s="16"/>
      <c r="EK164" s="16"/>
      <c r="EL164" s="16"/>
      <c r="EM164" s="16"/>
      <c r="EN164" s="16"/>
      <c r="EO164" s="16"/>
      <c r="EP164" s="16"/>
      <c r="EQ164" s="16"/>
      <c r="ER164" s="16"/>
      <c r="ES164" s="16"/>
      <c r="ET164" s="16"/>
      <c r="EU164" s="16"/>
      <c r="EX164" s="16"/>
      <c r="EY164" s="228"/>
      <c r="EZ164" s="477"/>
      <c r="FA164" s="477"/>
      <c r="FB164" s="228"/>
      <c r="FC164" s="477"/>
      <c r="FD164" s="16"/>
    </row>
    <row r="165" spans="1:160" x14ac:dyDescent="0.2">
      <c r="A165" s="365" t="s">
        <v>134</v>
      </c>
      <c r="B165" s="50"/>
      <c r="C165" s="95"/>
      <c r="D165" s="41"/>
      <c r="E165" s="41"/>
      <c r="F165" s="39"/>
      <c r="G165" s="50"/>
      <c r="H165" s="95"/>
      <c r="I165" s="41"/>
      <c r="J165" s="41"/>
      <c r="K165" s="39"/>
      <c r="L165" s="50"/>
      <c r="M165" s="95"/>
      <c r="N165" s="41"/>
      <c r="O165" s="41"/>
      <c r="P165" s="39"/>
      <c r="Q165" s="50"/>
      <c r="R165" s="51"/>
      <c r="S165" s="51"/>
      <c r="T165" s="51"/>
      <c r="U165" s="52">
        <f t="shared" ref="U165:BK165" si="1030">SUM(U160:U164)</f>
        <v>45</v>
      </c>
      <c r="V165" s="50">
        <f t="shared" si="1030"/>
        <v>225</v>
      </c>
      <c r="W165" s="51">
        <f t="shared" si="1030"/>
        <v>93</v>
      </c>
      <c r="X165" s="51">
        <f t="shared" si="1030"/>
        <v>91</v>
      </c>
      <c r="Y165" s="51">
        <f t="shared" si="1030"/>
        <v>35</v>
      </c>
      <c r="Z165" s="52">
        <f t="shared" si="1030"/>
        <v>39</v>
      </c>
      <c r="AA165" s="52">
        <f t="shared" si="1030"/>
        <v>258</v>
      </c>
      <c r="AB165" s="81">
        <f t="shared" si="1030"/>
        <v>104</v>
      </c>
      <c r="AC165" s="51">
        <f t="shared" si="1030"/>
        <v>96</v>
      </c>
      <c r="AD165" s="51">
        <f t="shared" si="1030"/>
        <v>84</v>
      </c>
      <c r="AE165" s="51">
        <f t="shared" si="1030"/>
        <v>96</v>
      </c>
      <c r="AF165" s="50">
        <f t="shared" si="1030"/>
        <v>380</v>
      </c>
      <c r="AG165" s="51">
        <f t="shared" si="1030"/>
        <v>0</v>
      </c>
      <c r="AH165" s="51">
        <f t="shared" si="1030"/>
        <v>118</v>
      </c>
      <c r="AI165" s="51">
        <f t="shared" si="1030"/>
        <v>0</v>
      </c>
      <c r="AJ165" s="51">
        <f t="shared" si="1030"/>
        <v>108</v>
      </c>
      <c r="AK165" s="50">
        <f t="shared" si="1030"/>
        <v>450</v>
      </c>
      <c r="AL165" s="51">
        <f t="shared" ref="AL165:BA165" si="1031">SUM(AL160:AL164)</f>
        <v>26</v>
      </c>
      <c r="AM165" s="51">
        <f t="shared" si="1031"/>
        <v>23</v>
      </c>
      <c r="AN165" s="51">
        <f t="shared" si="1031"/>
        <v>23</v>
      </c>
      <c r="AO165" s="51">
        <f t="shared" si="1031"/>
        <v>26.099999999999998</v>
      </c>
      <c r="AP165" s="50">
        <f t="shared" si="1031"/>
        <v>98.100000000000009</v>
      </c>
      <c r="AQ165" s="51">
        <f t="shared" si="1031"/>
        <v>25.1</v>
      </c>
      <c r="AR165" s="51">
        <f t="shared" si="1031"/>
        <v>27.3</v>
      </c>
      <c r="AS165" s="51">
        <f t="shared" si="1031"/>
        <v>106.39999999999998</v>
      </c>
      <c r="AT165" s="51">
        <f t="shared" si="1031"/>
        <v>114.59999999999994</v>
      </c>
      <c r="AU165" s="81">
        <f t="shared" si="1031"/>
        <v>273.39999999999992</v>
      </c>
      <c r="AV165" s="45"/>
      <c r="AW165" s="51">
        <f t="shared" si="1031"/>
        <v>106.39999999999998</v>
      </c>
      <c r="AX165" s="51">
        <f t="shared" si="1031"/>
        <v>114.59999999999994</v>
      </c>
      <c r="AY165" s="51">
        <f t="shared" si="1031"/>
        <v>116.39999999999995</v>
      </c>
      <c r="AZ165" s="51">
        <f t="shared" si="1031"/>
        <v>-41.90000000000002</v>
      </c>
      <c r="BA165" s="50">
        <f t="shared" si="1031"/>
        <v>295.49999999999989</v>
      </c>
      <c r="BB165" s="51">
        <f t="shared" si="1030"/>
        <v>99</v>
      </c>
      <c r="BC165" s="51">
        <f t="shared" si="1030"/>
        <v>132.79999999999995</v>
      </c>
      <c r="BD165" s="51">
        <f t="shared" si="1030"/>
        <v>145.90000000000003</v>
      </c>
      <c r="BE165" s="51">
        <f t="shared" si="1030"/>
        <v>121.19999999999987</v>
      </c>
      <c r="BF165" s="50">
        <f t="shared" si="1030"/>
        <v>498.89999999999986</v>
      </c>
      <c r="BG165" s="51">
        <f t="shared" si="1030"/>
        <v>118.09999999999997</v>
      </c>
      <c r="BH165" s="51">
        <f t="shared" si="1030"/>
        <v>161.29999999999993</v>
      </c>
      <c r="BI165" s="51">
        <f t="shared" si="1030"/>
        <v>122.39999999999995</v>
      </c>
      <c r="BJ165" s="51">
        <f>SUM(BJ160:BJ164)</f>
        <v>129.60000000000002</v>
      </c>
      <c r="BK165" s="50">
        <f t="shared" si="1030"/>
        <v>531.4</v>
      </c>
      <c r="BL165" s="51">
        <f t="shared" ref="BL165:BU165" si="1032">SUM(BL160:BL164)</f>
        <v>118.99999999999997</v>
      </c>
      <c r="BM165" s="51">
        <f t="shared" si="1032"/>
        <v>149.20000000000002</v>
      </c>
      <c r="BN165" s="51">
        <f t="shared" si="1032"/>
        <v>161.20000000000002</v>
      </c>
      <c r="BO165" s="51">
        <f>SUM(BO160:BO164)</f>
        <v>158.39999999999998</v>
      </c>
      <c r="BP165" s="50">
        <f t="shared" si="1032"/>
        <v>587.79999999999995</v>
      </c>
      <c r="BQ165" s="51">
        <f t="shared" si="1032"/>
        <v>147.70000000000002</v>
      </c>
      <c r="BR165" s="51">
        <f t="shared" si="1032"/>
        <v>167.3</v>
      </c>
      <c r="BS165" s="51">
        <f t="shared" si="1032"/>
        <v>17.399999999999977</v>
      </c>
      <c r="BT165" s="51">
        <f t="shared" si="1032"/>
        <v>-77.09999999999998</v>
      </c>
      <c r="BU165" s="50">
        <f t="shared" si="1032"/>
        <v>255.3</v>
      </c>
      <c r="BV165" s="51">
        <f t="shared" ref="BV165:BZ165" si="1033">SUM(BV160:BV164)</f>
        <v>313.49999999999989</v>
      </c>
      <c r="BW165" s="51">
        <f t="shared" si="1033"/>
        <v>380.10000000000008</v>
      </c>
      <c r="BX165" s="51">
        <f t="shared" si="1033"/>
        <v>412.49999999999989</v>
      </c>
      <c r="BY165" s="51">
        <f t="shared" si="1033"/>
        <v>347.89999999999986</v>
      </c>
      <c r="BZ165" s="50">
        <f t="shared" si="1033"/>
        <v>1453.9999999999998</v>
      </c>
      <c r="CA165" s="51">
        <f t="shared" ref="CA165:DF165" si="1034">SUM(CA160:CA164)</f>
        <v>272.89999999999992</v>
      </c>
      <c r="CB165" s="51">
        <f>SUM(CB160:CB164)</f>
        <v>347.99999999999983</v>
      </c>
      <c r="CC165" s="51">
        <f t="shared" si="1034"/>
        <v>387.10000000000014</v>
      </c>
      <c r="CD165" s="51">
        <f t="shared" si="1034"/>
        <v>366.00000000000017</v>
      </c>
      <c r="CE165" s="50">
        <f t="shared" si="1034"/>
        <v>1374</v>
      </c>
      <c r="CF165" s="51">
        <f t="shared" si="1034"/>
        <v>372.59999999999985</v>
      </c>
      <c r="CG165" s="51">
        <f t="shared" si="1034"/>
        <v>467.49999999999989</v>
      </c>
      <c r="CH165" s="51">
        <f t="shared" si="1034"/>
        <v>463.69999999999976</v>
      </c>
      <c r="CI165" s="51">
        <f t="shared" si="1034"/>
        <v>534.68000000000006</v>
      </c>
      <c r="CJ165" s="50">
        <f t="shared" si="1034"/>
        <v>1838.4799999999996</v>
      </c>
      <c r="CK165" s="51">
        <f t="shared" si="1034"/>
        <v>379.59999999999997</v>
      </c>
      <c r="CL165" s="51">
        <f t="shared" si="1034"/>
        <v>459.7000000000001</v>
      </c>
      <c r="CM165" s="51">
        <f t="shared" si="1034"/>
        <v>525.5</v>
      </c>
      <c r="CN165" s="51">
        <f t="shared" si="1034"/>
        <v>552.20000000000016</v>
      </c>
      <c r="CO165" s="50">
        <f t="shared" si="1034"/>
        <v>1917</v>
      </c>
      <c r="CP165" s="51">
        <f t="shared" si="1034"/>
        <v>467.59999999999974</v>
      </c>
      <c r="CQ165" s="51">
        <f t="shared" si="1034"/>
        <v>514.27934289101756</v>
      </c>
      <c r="CR165" s="51">
        <f t="shared" si="1034"/>
        <v>569.20267297924477</v>
      </c>
      <c r="CS165" s="51">
        <f t="shared" si="1034"/>
        <v>594.63318480729652</v>
      </c>
      <c r="CT165" s="50">
        <f t="shared" si="1034"/>
        <v>2145.7152006775586</v>
      </c>
      <c r="CU165" s="51">
        <f t="shared" si="1034"/>
        <v>521.26859719810648</v>
      </c>
      <c r="CV165" s="51">
        <f t="shared" si="1034"/>
        <v>578.13112703043771</v>
      </c>
      <c r="CW165" s="51">
        <f t="shared" si="1034"/>
        <v>633.85263227151881</v>
      </c>
      <c r="CX165" s="51">
        <f t="shared" si="1034"/>
        <v>663.76571921433163</v>
      </c>
      <c r="CY165" s="50">
        <f t="shared" si="1034"/>
        <v>2397.0180757143944</v>
      </c>
      <c r="CZ165" s="51">
        <f t="shared" si="1034"/>
        <v>565.82709008906068</v>
      </c>
      <c r="DA165" s="51">
        <f t="shared" si="1034"/>
        <v>643.26258953463628</v>
      </c>
      <c r="DB165" s="51">
        <f t="shared" si="1034"/>
        <v>704.55523340675552</v>
      </c>
      <c r="DC165" s="51">
        <f t="shared" si="1034"/>
        <v>737.88524405120222</v>
      </c>
      <c r="DD165" s="50">
        <f t="shared" si="1034"/>
        <v>2651.530157081655</v>
      </c>
      <c r="DE165" s="51">
        <f t="shared" si="1034"/>
        <v>645.70106657382712</v>
      </c>
      <c r="DF165" s="51">
        <f t="shared" si="1034"/>
        <v>701.77119774274809</v>
      </c>
      <c r="DG165" s="51">
        <f t="shared" ref="DG165:DX165" si="1035">SUM(DG160:DG164)</f>
        <v>773.87485057159495</v>
      </c>
      <c r="DH165" s="51">
        <f t="shared" si="1035"/>
        <v>818.92875914858291</v>
      </c>
      <c r="DI165" s="50">
        <f t="shared" si="1035"/>
        <v>2940.2758740367531</v>
      </c>
      <c r="DJ165" s="51">
        <f t="shared" si="1035"/>
        <v>724.50412253752074</v>
      </c>
      <c r="DK165" s="51">
        <f t="shared" si="1035"/>
        <v>787.40587946226526</v>
      </c>
      <c r="DL165" s="51">
        <f t="shared" si="1035"/>
        <v>867.75987471853443</v>
      </c>
      <c r="DM165" s="51">
        <f t="shared" si="1035"/>
        <v>916.87008744957097</v>
      </c>
      <c r="DN165" s="50">
        <f t="shared" si="1035"/>
        <v>3296.5399641678919</v>
      </c>
      <c r="DO165" s="51">
        <f t="shared" si="1035"/>
        <v>796.62669309967055</v>
      </c>
      <c r="DP165" s="51">
        <f t="shared" si="1035"/>
        <v>863.79601189881896</v>
      </c>
      <c r="DQ165" s="51">
        <f t="shared" si="1035"/>
        <v>950.95559339748343</v>
      </c>
      <c r="DR165" s="51">
        <f t="shared" si="1035"/>
        <v>1004.2122173381393</v>
      </c>
      <c r="DS165" s="50">
        <f t="shared" si="1035"/>
        <v>3615.5905157341117</v>
      </c>
      <c r="DT165" s="51">
        <f t="shared" si="1035"/>
        <v>822.42158856887443</v>
      </c>
      <c r="DU165" s="51">
        <f t="shared" si="1035"/>
        <v>880.98599924738301</v>
      </c>
      <c r="DV165" s="51">
        <f t="shared" si="1035"/>
        <v>970.25323723568749</v>
      </c>
      <c r="DW165" s="51">
        <f t="shared" si="1035"/>
        <v>1032.9619644315926</v>
      </c>
      <c r="DX165" s="50">
        <f t="shared" si="1035"/>
        <v>3706.6227894835374</v>
      </c>
      <c r="DY165" s="51">
        <f t="shared" ref="DY165:EC165" si="1036">SUM(DY160:DY164)</f>
        <v>892.87511864466262</v>
      </c>
      <c r="DZ165" s="51">
        <f t="shared" si="1036"/>
        <v>964.22000083969931</v>
      </c>
      <c r="EA165" s="51">
        <f t="shared" si="1036"/>
        <v>1060.9276930152016</v>
      </c>
      <c r="EB165" s="51">
        <f t="shared" si="1036"/>
        <v>1128.7906517531417</v>
      </c>
      <c r="EC165" s="50">
        <f t="shared" si="1036"/>
        <v>4046.8134642527057</v>
      </c>
      <c r="ED165" s="53"/>
      <c r="EE165" s="21"/>
      <c r="EF165" s="373"/>
      <c r="EG165" s="16"/>
      <c r="EH165" s="16"/>
      <c r="EI165" s="16"/>
      <c r="EJ165" s="16"/>
      <c r="EK165" s="16"/>
      <c r="EL165" s="16"/>
      <c r="EM165" s="16"/>
      <c r="EN165" s="16"/>
      <c r="EO165" s="16"/>
      <c r="EP165" s="16"/>
      <c r="EQ165" s="16"/>
      <c r="ER165" s="16"/>
      <c r="ES165" s="16"/>
      <c r="ET165" s="16"/>
      <c r="EU165" s="16"/>
      <c r="EX165" s="16"/>
      <c r="EY165" s="228"/>
      <c r="EZ165" s="477"/>
      <c r="FA165" s="477"/>
      <c r="FB165" s="228"/>
      <c r="FC165" s="477"/>
      <c r="FD165" s="16"/>
    </row>
    <row r="166" spans="1:160" x14ac:dyDescent="0.2">
      <c r="A166" s="794" t="s">
        <v>820</v>
      </c>
      <c r="B166" s="85"/>
      <c r="C166" s="95"/>
      <c r="D166" s="41"/>
      <c r="E166" s="41"/>
      <c r="F166" s="39"/>
      <c r="G166" s="85"/>
      <c r="H166" s="87"/>
      <c r="I166" s="38"/>
      <c r="J166" s="38"/>
      <c r="K166" s="38"/>
      <c r="L166" s="85"/>
      <c r="M166" s="38"/>
      <c r="N166" s="38"/>
      <c r="O166" s="38"/>
      <c r="P166" s="38"/>
      <c r="Q166" s="85"/>
      <c r="R166" s="38"/>
      <c r="S166" s="38"/>
      <c r="T166" s="38"/>
      <c r="U166" s="39"/>
      <c r="V166" s="85"/>
      <c r="W166" s="38"/>
      <c r="X166" s="38"/>
      <c r="Y166" s="38"/>
      <c r="Z166" s="39"/>
      <c r="AA166" s="54"/>
      <c r="AB166" s="87"/>
      <c r="AC166" s="38"/>
      <c r="AD166" s="38"/>
      <c r="AE166" s="38"/>
      <c r="AF166" s="85"/>
      <c r="AG166" s="41"/>
      <c r="AH166" s="41"/>
      <c r="AI166" s="41"/>
      <c r="AJ166" s="41"/>
      <c r="AK166" s="85"/>
      <c r="AL166" s="41"/>
      <c r="AM166" s="41"/>
      <c r="AN166" s="41"/>
      <c r="AO166" s="41"/>
      <c r="AP166" s="85"/>
      <c r="AQ166" s="41"/>
      <c r="AR166" s="41"/>
      <c r="AS166" s="41"/>
      <c r="AT166" s="41"/>
      <c r="AU166" s="86"/>
      <c r="AV166" s="45"/>
      <c r="AW166" s="41"/>
      <c r="AX166" s="41"/>
      <c r="AY166" s="41"/>
      <c r="AZ166" s="41"/>
      <c r="BA166" s="85"/>
      <c r="BB166" s="41"/>
      <c r="BC166" s="41"/>
      <c r="BD166" s="41"/>
      <c r="BE166" s="38"/>
      <c r="BF166" s="85"/>
      <c r="BG166" s="41"/>
      <c r="BH166" s="41"/>
      <c r="BI166" s="41"/>
      <c r="BJ166" s="38"/>
      <c r="BK166" s="85"/>
      <c r="BL166" s="41"/>
      <c r="BM166" s="41"/>
      <c r="BN166" s="41"/>
      <c r="BO166" s="41"/>
      <c r="BP166" s="85"/>
      <c r="BQ166" s="41"/>
      <c r="BR166" s="41"/>
      <c r="BS166" s="41"/>
      <c r="BT166" s="41"/>
      <c r="BU166" s="85"/>
      <c r="BV166" s="38"/>
      <c r="BW166" s="38"/>
      <c r="BX166" s="38"/>
      <c r="BY166" s="38"/>
      <c r="BZ166" s="85"/>
      <c r="CA166" s="41"/>
      <c r="CB166" s="41"/>
      <c r="CC166" s="41"/>
      <c r="CD166" s="41"/>
      <c r="CE166" s="85"/>
      <c r="CF166" s="41"/>
      <c r="CG166" s="41"/>
      <c r="CH166" s="41"/>
      <c r="CI166" s="41"/>
      <c r="CJ166" s="85"/>
      <c r="CK166" s="38"/>
      <c r="CL166" s="41"/>
      <c r="CM166" s="41"/>
      <c r="CN166" s="38"/>
      <c r="CO166" s="85"/>
      <c r="CP166" s="41"/>
      <c r="CQ166" s="41"/>
      <c r="CR166" s="41"/>
      <c r="CS166" s="41"/>
      <c r="CT166" s="85"/>
      <c r="CU166" s="41"/>
      <c r="CV166" s="41"/>
      <c r="CW166" s="41"/>
      <c r="CX166" s="41"/>
      <c r="CY166" s="85"/>
      <c r="CZ166" s="41"/>
      <c r="DA166" s="41"/>
      <c r="DB166" s="41"/>
      <c r="DC166" s="41"/>
      <c r="DD166" s="85"/>
      <c r="DE166" s="41"/>
      <c r="DF166" s="41"/>
      <c r="DG166" s="41"/>
      <c r="DH166" s="41"/>
      <c r="DI166" s="85"/>
      <c r="DJ166" s="41"/>
      <c r="DK166" s="41"/>
      <c r="DL166" s="41"/>
      <c r="DM166" s="41"/>
      <c r="DN166" s="85"/>
      <c r="DO166" s="41"/>
      <c r="DP166" s="41"/>
      <c r="DQ166" s="41"/>
      <c r="DR166" s="41"/>
      <c r="DS166" s="85"/>
      <c r="DT166" s="41"/>
      <c r="DU166" s="41"/>
      <c r="DV166" s="41"/>
      <c r="DW166" s="41"/>
      <c r="DX166" s="85"/>
      <c r="DY166" s="41"/>
      <c r="DZ166" s="41"/>
      <c r="EA166" s="41"/>
      <c r="EB166" s="41"/>
      <c r="EC166" s="85"/>
      <c r="ED166" s="38"/>
      <c r="EE166" s="21"/>
      <c r="EF166" s="373"/>
      <c r="EG166" s="16"/>
      <c r="EH166" s="16"/>
      <c r="EI166" s="16"/>
      <c r="EJ166" s="16"/>
      <c r="EK166" s="16"/>
      <c r="EL166" s="16"/>
      <c r="EM166" s="16"/>
      <c r="EN166" s="16"/>
      <c r="EO166" s="16"/>
      <c r="EP166" s="16"/>
      <c r="EQ166" s="16"/>
      <c r="ER166" s="16"/>
      <c r="ES166" s="16"/>
      <c r="ET166" s="16"/>
      <c r="EU166" s="16"/>
      <c r="EX166" s="16"/>
      <c r="EY166" s="228"/>
      <c r="EZ166" s="477"/>
      <c r="FA166" s="477"/>
      <c r="FB166" s="228"/>
      <c r="FC166" s="477"/>
      <c r="FD166" s="16"/>
    </row>
    <row r="167" spans="1:160" x14ac:dyDescent="0.2">
      <c r="A167" s="283" t="s">
        <v>89</v>
      </c>
      <c r="B167" s="85"/>
      <c r="C167" s="87"/>
      <c r="D167" s="38"/>
      <c r="E167" s="38"/>
      <c r="F167" s="39"/>
      <c r="G167" s="85"/>
      <c r="H167" s="87"/>
      <c r="I167" s="38"/>
      <c r="J167" s="38"/>
      <c r="K167" s="38"/>
      <c r="L167" s="85"/>
      <c r="M167" s="38"/>
      <c r="N167" s="38"/>
      <c r="O167" s="38"/>
      <c r="P167" s="38"/>
      <c r="Q167" s="85"/>
      <c r="R167" s="38"/>
      <c r="S167" s="38"/>
      <c r="T167" s="38"/>
      <c r="U167" s="39"/>
      <c r="V167" s="85"/>
      <c r="W167" s="38"/>
      <c r="X167" s="38"/>
      <c r="Y167" s="38"/>
      <c r="Z167" s="39"/>
      <c r="AA167" s="54"/>
      <c r="AB167" s="87"/>
      <c r="AC167" s="38"/>
      <c r="AD167" s="38"/>
      <c r="AE167" s="38"/>
      <c r="AF167" s="85"/>
      <c r="AG167" s="38"/>
      <c r="AH167" s="38"/>
      <c r="AI167" s="38"/>
      <c r="AJ167" s="38"/>
      <c r="AK167" s="85"/>
      <c r="AL167" s="38"/>
      <c r="AM167" s="38"/>
      <c r="AN167" s="38"/>
      <c r="AO167" s="38"/>
      <c r="AP167" s="85"/>
      <c r="AQ167" s="38"/>
      <c r="AR167" s="38"/>
      <c r="AS167" s="38"/>
      <c r="AT167" s="38"/>
      <c r="AU167" s="86"/>
      <c r="AV167" s="45"/>
      <c r="AW167" s="38">
        <f>AW341</f>
        <v>4.3</v>
      </c>
      <c r="AX167" s="38">
        <f>AX341</f>
        <v>4</v>
      </c>
      <c r="AY167" s="38">
        <f>AY341</f>
        <v>5</v>
      </c>
      <c r="AZ167" s="38">
        <f>AZ341</f>
        <v>0.7</v>
      </c>
      <c r="BA167" s="85">
        <f t="shared" ref="BA167:BA187" si="1037">SUM(AW167:AZ167)</f>
        <v>14</v>
      </c>
      <c r="BB167" s="38">
        <f>BB341</f>
        <v>0.2</v>
      </c>
      <c r="BC167" s="38">
        <f>BC341</f>
        <v>0.39999999999999997</v>
      </c>
      <c r="BD167" s="38">
        <f>BD341</f>
        <v>0.3</v>
      </c>
      <c r="BE167" s="38">
        <f>BE341</f>
        <v>5.5</v>
      </c>
      <c r="BF167" s="85">
        <f t="shared" ref="BF167:BF187" si="1038">SUM(BB167:BE167)</f>
        <v>6.4</v>
      </c>
      <c r="BG167" s="38">
        <f>BG341</f>
        <v>2.2999999999999998</v>
      </c>
      <c r="BH167" s="38">
        <f>BH341</f>
        <v>1.2</v>
      </c>
      <c r="BI167" s="38">
        <f>BI341</f>
        <v>2.6</v>
      </c>
      <c r="BJ167" s="38">
        <f>BJ341</f>
        <v>4.0999999999999996</v>
      </c>
      <c r="BK167" s="85">
        <v>10.199999999999999</v>
      </c>
      <c r="BL167" s="38">
        <f>BL341</f>
        <v>2.7</v>
      </c>
      <c r="BM167" s="38">
        <f>BM341</f>
        <v>3.2</v>
      </c>
      <c r="BN167" s="38">
        <f>BN341</f>
        <v>3.5</v>
      </c>
      <c r="BO167" s="38">
        <f>BO341</f>
        <v>8.1999999999999993</v>
      </c>
      <c r="BP167" s="85">
        <v>17.600000000000001</v>
      </c>
      <c r="BQ167" s="38">
        <f>BQ341</f>
        <v>3.5</v>
      </c>
      <c r="BR167" s="38">
        <f>BR341</f>
        <v>4.2</v>
      </c>
      <c r="BS167" s="38">
        <f>BS341</f>
        <v>4.5</v>
      </c>
      <c r="BT167" s="38">
        <f>BT341</f>
        <v>25.1</v>
      </c>
      <c r="BU167" s="85">
        <f t="shared" ref="BU167:BU187" si="1039">SUM(BQ167:BT167)</f>
        <v>37.299999999999997</v>
      </c>
      <c r="BV167" s="38">
        <v>5.8</v>
      </c>
      <c r="BW167" s="38">
        <v>6.7</v>
      </c>
      <c r="BX167" s="38">
        <v>7.3</v>
      </c>
      <c r="BY167" s="38">
        <v>19.3</v>
      </c>
      <c r="BZ167" s="85">
        <f t="shared" ref="BZ167:BZ187" si="1040">SUM(BV167:BY167)</f>
        <v>39.1</v>
      </c>
      <c r="CA167" s="38">
        <f>CA341</f>
        <v>13.9</v>
      </c>
      <c r="CB167" s="38">
        <v>8.1</v>
      </c>
      <c r="CC167" s="38">
        <f>CC341</f>
        <v>15.5</v>
      </c>
      <c r="CD167" s="38">
        <f>CD341</f>
        <v>14.3</v>
      </c>
      <c r="CE167" s="85">
        <f t="shared" ref="CE167:CE172" si="1041">SUM(CA167:CD167)</f>
        <v>51.8</v>
      </c>
      <c r="CF167" s="38">
        <f>CF341</f>
        <v>7.9</v>
      </c>
      <c r="CG167" s="38">
        <f>CG341</f>
        <v>11.3</v>
      </c>
      <c r="CH167" s="38">
        <f>CH341</f>
        <v>11.8</v>
      </c>
      <c r="CI167" s="38">
        <f>CI341</f>
        <v>11</v>
      </c>
      <c r="CJ167" s="85">
        <f t="shared" ref="CJ167:CJ187" si="1042">SUM(CF167:CI167)</f>
        <v>42</v>
      </c>
      <c r="CK167" s="38">
        <f>CK341</f>
        <v>18.5</v>
      </c>
      <c r="CL167" s="38">
        <f>CL341</f>
        <v>11.9</v>
      </c>
      <c r="CM167" s="38">
        <f>CM341</f>
        <v>12.5</v>
      </c>
      <c r="CN167" s="38">
        <f>CN341</f>
        <v>12</v>
      </c>
      <c r="CO167" s="85">
        <f t="shared" ref="CO167:CO187" si="1043">SUM(CK167:CN167)</f>
        <v>54.9</v>
      </c>
      <c r="CP167" s="38">
        <f>CP341</f>
        <v>15.3</v>
      </c>
      <c r="CQ167" s="38">
        <f>CQ341</f>
        <v>13.090000000000002</v>
      </c>
      <c r="CR167" s="38">
        <f>CR341</f>
        <v>13.750000000000002</v>
      </c>
      <c r="CS167" s="38">
        <f>CS341</f>
        <v>13.200000000000001</v>
      </c>
      <c r="CT167" s="85">
        <f t="shared" ref="CT167:CT187" si="1044">SUM(CP167:CS167)</f>
        <v>55.34</v>
      </c>
      <c r="CU167" s="38">
        <f>CU341</f>
        <v>15.3</v>
      </c>
      <c r="CV167" s="38">
        <f>CV341</f>
        <v>13.090000000000002</v>
      </c>
      <c r="CW167" s="38">
        <f>CW341</f>
        <v>13.750000000000002</v>
      </c>
      <c r="CX167" s="38">
        <f>CX341</f>
        <v>13.200000000000001</v>
      </c>
      <c r="CY167" s="85">
        <f t="shared" ref="CY167:CY187" si="1045">SUM(CU167:CX167)</f>
        <v>55.34</v>
      </c>
      <c r="CZ167" s="38">
        <f>CZ341</f>
        <v>15.3</v>
      </c>
      <c r="DA167" s="38">
        <f>DA341</f>
        <v>13.090000000000002</v>
      </c>
      <c r="DB167" s="38">
        <f>DB341</f>
        <v>13.750000000000002</v>
      </c>
      <c r="DC167" s="38">
        <f>DC341</f>
        <v>13.200000000000001</v>
      </c>
      <c r="DD167" s="85">
        <f t="shared" ref="DD167:DD187" si="1046">SUM(CZ167:DC167)</f>
        <v>55.34</v>
      </c>
      <c r="DE167" s="38">
        <f>DE341</f>
        <v>15.3</v>
      </c>
      <c r="DF167" s="38">
        <f>DF341</f>
        <v>13.090000000000002</v>
      </c>
      <c r="DG167" s="38">
        <f>DG341</f>
        <v>13.750000000000002</v>
      </c>
      <c r="DH167" s="38">
        <f>DH341</f>
        <v>13.200000000000001</v>
      </c>
      <c r="DI167" s="85">
        <f t="shared" ref="DI167:DI187" si="1047">SUM(DE167:DH167)</f>
        <v>55.34</v>
      </c>
      <c r="DJ167" s="38">
        <f>DJ341</f>
        <v>15.3</v>
      </c>
      <c r="DK167" s="38">
        <f>DK341</f>
        <v>13.090000000000002</v>
      </c>
      <c r="DL167" s="38">
        <f>DL341</f>
        <v>13.750000000000002</v>
      </c>
      <c r="DM167" s="38">
        <f>DM341</f>
        <v>13.200000000000001</v>
      </c>
      <c r="DN167" s="85">
        <f t="shared" ref="DN167:DN187" si="1048">SUM(DJ167:DM167)</f>
        <v>55.34</v>
      </c>
      <c r="DO167" s="38">
        <f>DO341</f>
        <v>15.3</v>
      </c>
      <c r="DP167" s="38">
        <f>DP341</f>
        <v>13.090000000000002</v>
      </c>
      <c r="DQ167" s="38">
        <f>DQ341</f>
        <v>13.750000000000002</v>
      </c>
      <c r="DR167" s="38">
        <f>DR341</f>
        <v>13.200000000000001</v>
      </c>
      <c r="DS167" s="85">
        <f t="shared" ref="DS167:DS187" si="1049">SUM(DO167:DR167)</f>
        <v>55.34</v>
      </c>
      <c r="DT167" s="38">
        <f>DT341</f>
        <v>15.3</v>
      </c>
      <c r="DU167" s="38">
        <f>DU341</f>
        <v>13.090000000000002</v>
      </c>
      <c r="DV167" s="38">
        <f>DV341</f>
        <v>13.750000000000002</v>
      </c>
      <c r="DW167" s="38">
        <f>DW341</f>
        <v>13.200000000000001</v>
      </c>
      <c r="DX167" s="85">
        <f t="shared" ref="DX167:DX187" si="1050">SUM(DT167:DW167)</f>
        <v>55.34</v>
      </c>
      <c r="DY167" s="38">
        <f>DY341</f>
        <v>15.3</v>
      </c>
      <c r="DZ167" s="38">
        <f>DZ341</f>
        <v>13.090000000000002</v>
      </c>
      <c r="EA167" s="38">
        <f>EA341</f>
        <v>13.750000000000002</v>
      </c>
      <c r="EB167" s="38">
        <f>EB341</f>
        <v>13.200000000000001</v>
      </c>
      <c r="EC167" s="85">
        <f t="shared" ref="EC167:EC173" si="1051">SUM(DY167:EB167)</f>
        <v>55.34</v>
      </c>
      <c r="ED167" s="38"/>
      <c r="EE167" s="21"/>
      <c r="EF167" s="373"/>
      <c r="EG167" s="16"/>
      <c r="EH167" s="16"/>
      <c r="EI167" s="16"/>
      <c r="EJ167" s="16"/>
      <c r="EK167" s="16"/>
      <c r="EL167" s="16"/>
      <c r="EM167" s="16"/>
      <c r="EN167" s="16"/>
      <c r="EO167" s="16"/>
      <c r="EP167" s="16"/>
      <c r="EQ167" s="16"/>
      <c r="ER167" s="16"/>
      <c r="ES167" s="16"/>
      <c r="ET167" s="16"/>
      <c r="EU167" s="16"/>
      <c r="EX167" s="16"/>
      <c r="EY167" s="228"/>
      <c r="EZ167" s="477"/>
      <c r="FA167" s="477"/>
      <c r="FB167" s="228"/>
      <c r="FC167" s="477"/>
      <c r="FD167" s="16"/>
    </row>
    <row r="168" spans="1:160" x14ac:dyDescent="0.2">
      <c r="A168" s="283" t="s">
        <v>90</v>
      </c>
      <c r="B168" s="85"/>
      <c r="C168" s="87"/>
      <c r="D168" s="38"/>
      <c r="E168" s="38"/>
      <c r="F168" s="39"/>
      <c r="G168" s="85"/>
      <c r="H168" s="87"/>
      <c r="I168" s="38"/>
      <c r="J168" s="38"/>
      <c r="K168" s="38"/>
      <c r="L168" s="85"/>
      <c r="M168" s="38"/>
      <c r="N168" s="38"/>
      <c r="O168" s="38"/>
      <c r="P168" s="38"/>
      <c r="Q168" s="85"/>
      <c r="R168" s="38"/>
      <c r="S168" s="38"/>
      <c r="T168" s="38"/>
      <c r="U168" s="39"/>
      <c r="V168" s="85"/>
      <c r="W168" s="38"/>
      <c r="X168" s="38"/>
      <c r="Y168" s="38"/>
      <c r="Z168" s="39"/>
      <c r="AA168" s="54"/>
      <c r="AB168" s="87"/>
      <c r="AC168" s="38"/>
      <c r="AD168" s="38"/>
      <c r="AE168" s="38"/>
      <c r="AF168" s="85"/>
      <c r="AG168" s="38"/>
      <c r="AH168" s="38"/>
      <c r="AI168" s="38"/>
      <c r="AJ168" s="38"/>
      <c r="AK168" s="85"/>
      <c r="AL168" s="38"/>
      <c r="AM168" s="38"/>
      <c r="AN168" s="38"/>
      <c r="AO168" s="38"/>
      <c r="AP168" s="85"/>
      <c r="AQ168" s="38"/>
      <c r="AR168" s="38"/>
      <c r="AS168" s="38"/>
      <c r="AT168" s="38"/>
      <c r="AU168" s="86"/>
      <c r="AV168" s="45"/>
      <c r="AW168" s="38">
        <f t="shared" ref="AW168:AZ172" si="1052">AW345</f>
        <v>0</v>
      </c>
      <c r="AX168" s="38">
        <f t="shared" si="1052"/>
        <v>0</v>
      </c>
      <c r="AY168" s="38">
        <f t="shared" si="1052"/>
        <v>0</v>
      </c>
      <c r="AZ168" s="38">
        <f t="shared" si="1052"/>
        <v>94.9</v>
      </c>
      <c r="BA168" s="85">
        <f t="shared" si="1037"/>
        <v>94.9</v>
      </c>
      <c r="BB168" s="38">
        <f t="shared" ref="BB168:BE172" si="1053">BB345</f>
        <v>0.8</v>
      </c>
      <c r="BC168" s="38">
        <f t="shared" si="1053"/>
        <v>0.30000000000000004</v>
      </c>
      <c r="BD168" s="38">
        <f t="shared" si="1053"/>
        <v>1</v>
      </c>
      <c r="BE168" s="38">
        <f t="shared" si="1053"/>
        <v>1.6</v>
      </c>
      <c r="BF168" s="85">
        <f t="shared" si="1038"/>
        <v>3.7</v>
      </c>
      <c r="BG168" s="38">
        <f t="shared" ref="BG168:BJ172" si="1054">BG345</f>
        <v>0</v>
      </c>
      <c r="BH168" s="38">
        <f t="shared" si="1054"/>
        <v>0</v>
      </c>
      <c r="BI168" s="38">
        <f t="shared" si="1054"/>
        <v>0</v>
      </c>
      <c r="BJ168" s="38">
        <f t="shared" si="1054"/>
        <v>0</v>
      </c>
      <c r="BK168" s="85">
        <f t="shared" ref="BK168:BK186" si="1055">SUM(BG168:BJ168)</f>
        <v>0</v>
      </c>
      <c r="BL168" s="38">
        <f t="shared" ref="BL168:BO172" si="1056">BL345</f>
        <v>0</v>
      </c>
      <c r="BM168" s="38">
        <f t="shared" si="1056"/>
        <v>0</v>
      </c>
      <c r="BN168" s="38">
        <f t="shared" si="1056"/>
        <v>0</v>
      </c>
      <c r="BO168" s="38">
        <f t="shared" si="1056"/>
        <v>0</v>
      </c>
      <c r="BP168" s="85">
        <f t="shared" ref="BP168:BP186" si="1057">SUM(BL168:BO168)</f>
        <v>0</v>
      </c>
      <c r="BQ168" s="38">
        <f t="shared" ref="BQ168:BT172" si="1058">BQ345</f>
        <v>0</v>
      </c>
      <c r="BR168" s="38">
        <f t="shared" si="1058"/>
        <v>0</v>
      </c>
      <c r="BS168" s="38">
        <f t="shared" si="1058"/>
        <v>0</v>
      </c>
      <c r="BT168" s="38">
        <f t="shared" si="1058"/>
        <v>0</v>
      </c>
      <c r="BU168" s="85">
        <f t="shared" si="1039"/>
        <v>0</v>
      </c>
      <c r="BV168" s="38">
        <f t="shared" ref="BV168:BY168" si="1059">BV345</f>
        <v>0</v>
      </c>
      <c r="BW168" s="38">
        <f t="shared" si="1059"/>
        <v>0</v>
      </c>
      <c r="BX168" s="38">
        <f t="shared" si="1059"/>
        <v>0</v>
      </c>
      <c r="BY168" s="38">
        <f t="shared" si="1059"/>
        <v>0</v>
      </c>
      <c r="BZ168" s="85">
        <f t="shared" si="1040"/>
        <v>0</v>
      </c>
      <c r="CA168" s="38">
        <f t="shared" ref="CA168:CD172" si="1060">CA345</f>
        <v>28</v>
      </c>
      <c r="CB168" s="38">
        <v>27.4</v>
      </c>
      <c r="CC168" s="38">
        <f t="shared" si="1060"/>
        <v>24.3</v>
      </c>
      <c r="CD168" s="38">
        <f t="shared" si="1060"/>
        <v>37</v>
      </c>
      <c r="CE168" s="85">
        <f t="shared" si="1041"/>
        <v>116.7</v>
      </c>
      <c r="CF168" s="38">
        <f t="shared" ref="CF168:CI172" si="1061">CF345</f>
        <v>0</v>
      </c>
      <c r="CG168" s="38">
        <f t="shared" si="1061"/>
        <v>0</v>
      </c>
      <c r="CH168" s="38">
        <f t="shared" si="1061"/>
        <v>0</v>
      </c>
      <c r="CI168" s="38">
        <f t="shared" si="1061"/>
        <v>0</v>
      </c>
      <c r="CJ168" s="85">
        <f t="shared" si="1042"/>
        <v>0</v>
      </c>
      <c r="CK168" s="38">
        <f t="shared" ref="CK168:CN172" si="1062">CK345</f>
        <v>34.4</v>
      </c>
      <c r="CL168" s="38">
        <f t="shared" si="1062"/>
        <v>8.5</v>
      </c>
      <c r="CM168" s="38">
        <f t="shared" si="1062"/>
        <v>6.9</v>
      </c>
      <c r="CN168" s="38">
        <f t="shared" si="1062"/>
        <v>11.9</v>
      </c>
      <c r="CO168" s="85">
        <f t="shared" si="1043"/>
        <v>61.699999999999996</v>
      </c>
      <c r="CP168" s="38">
        <f t="shared" ref="CP168:CS168" si="1063">CP345</f>
        <v>5.0999999999999996</v>
      </c>
      <c r="CQ168" s="38">
        <f t="shared" si="1063"/>
        <v>0</v>
      </c>
      <c r="CR168" s="38">
        <f t="shared" si="1063"/>
        <v>0</v>
      </c>
      <c r="CS168" s="38">
        <f t="shared" si="1063"/>
        <v>0</v>
      </c>
      <c r="CT168" s="85">
        <f t="shared" si="1044"/>
        <v>5.0999999999999996</v>
      </c>
      <c r="CU168" s="38">
        <f t="shared" ref="CU168:CX172" si="1064">CU345</f>
        <v>0</v>
      </c>
      <c r="CV168" s="38">
        <f t="shared" si="1064"/>
        <v>0</v>
      </c>
      <c r="CW168" s="38">
        <f t="shared" si="1064"/>
        <v>0</v>
      </c>
      <c r="CX168" s="38">
        <f t="shared" si="1064"/>
        <v>0</v>
      </c>
      <c r="CY168" s="85">
        <f t="shared" si="1045"/>
        <v>0</v>
      </c>
      <c r="CZ168" s="38">
        <f t="shared" ref="CZ168:DC172" si="1065">CZ345</f>
        <v>0</v>
      </c>
      <c r="DA168" s="38">
        <f t="shared" si="1065"/>
        <v>0</v>
      </c>
      <c r="DB168" s="38">
        <f t="shared" si="1065"/>
        <v>0</v>
      </c>
      <c r="DC168" s="38">
        <f t="shared" si="1065"/>
        <v>0</v>
      </c>
      <c r="DD168" s="85">
        <f t="shared" si="1046"/>
        <v>0</v>
      </c>
      <c r="DE168" s="38">
        <f t="shared" ref="DE168:DH172" si="1066">DE345</f>
        <v>0</v>
      </c>
      <c r="DF168" s="38">
        <f t="shared" si="1066"/>
        <v>0</v>
      </c>
      <c r="DG168" s="38">
        <f t="shared" si="1066"/>
        <v>0</v>
      </c>
      <c r="DH168" s="38">
        <f t="shared" si="1066"/>
        <v>0</v>
      </c>
      <c r="DI168" s="85">
        <f t="shared" si="1047"/>
        <v>0</v>
      </c>
      <c r="DJ168" s="38">
        <f t="shared" ref="DJ168:DM172" si="1067">DJ345</f>
        <v>0</v>
      </c>
      <c r="DK168" s="38">
        <f t="shared" si="1067"/>
        <v>0</v>
      </c>
      <c r="DL168" s="38">
        <f t="shared" si="1067"/>
        <v>0</v>
      </c>
      <c r="DM168" s="38">
        <f t="shared" si="1067"/>
        <v>0</v>
      </c>
      <c r="DN168" s="85">
        <f t="shared" si="1048"/>
        <v>0</v>
      </c>
      <c r="DO168" s="38">
        <f t="shared" ref="DO168:DR172" si="1068">DO345</f>
        <v>0</v>
      </c>
      <c r="DP168" s="38">
        <f t="shared" si="1068"/>
        <v>0</v>
      </c>
      <c r="DQ168" s="38">
        <f t="shared" si="1068"/>
        <v>0</v>
      </c>
      <c r="DR168" s="38">
        <f t="shared" si="1068"/>
        <v>0</v>
      </c>
      <c r="DS168" s="85">
        <f t="shared" si="1049"/>
        <v>0</v>
      </c>
      <c r="DT168" s="38">
        <f t="shared" ref="DT168:DW172" si="1069">DT345</f>
        <v>0</v>
      </c>
      <c r="DU168" s="38">
        <f t="shared" si="1069"/>
        <v>0</v>
      </c>
      <c r="DV168" s="38">
        <f t="shared" si="1069"/>
        <v>0</v>
      </c>
      <c r="DW168" s="38">
        <f t="shared" si="1069"/>
        <v>0</v>
      </c>
      <c r="DX168" s="85">
        <f t="shared" si="1050"/>
        <v>0</v>
      </c>
      <c r="DY168" s="38">
        <f t="shared" ref="DY168:EB168" si="1070">DY345</f>
        <v>0</v>
      </c>
      <c r="DZ168" s="38">
        <f t="shared" si="1070"/>
        <v>0</v>
      </c>
      <c r="EA168" s="38">
        <f t="shared" si="1070"/>
        <v>0</v>
      </c>
      <c r="EB168" s="38">
        <f t="shared" si="1070"/>
        <v>0</v>
      </c>
      <c r="EC168" s="85">
        <f t="shared" si="1051"/>
        <v>0</v>
      </c>
      <c r="ED168" s="38"/>
      <c r="EE168" s="21"/>
      <c r="EF168" s="373"/>
      <c r="EG168" s="16"/>
      <c r="EH168" s="16"/>
      <c r="EI168" s="16"/>
      <c r="EJ168" s="16"/>
      <c r="EK168" s="16"/>
      <c r="EL168" s="16"/>
      <c r="EM168" s="16"/>
      <c r="EN168" s="16"/>
      <c r="EO168" s="16"/>
      <c r="EP168" s="16"/>
      <c r="EQ168" s="16"/>
      <c r="ER168" s="16"/>
      <c r="ES168" s="16"/>
      <c r="ET168" s="16"/>
      <c r="EU168" s="16"/>
      <c r="EX168" s="16"/>
      <c r="EY168" s="228"/>
      <c r="EZ168" s="477"/>
      <c r="FA168" s="477"/>
      <c r="FB168" s="228"/>
      <c r="FC168" s="477"/>
      <c r="FD168" s="16"/>
    </row>
    <row r="169" spans="1:160" x14ac:dyDescent="0.2">
      <c r="A169" s="283" t="s">
        <v>387</v>
      </c>
      <c r="B169" s="85"/>
      <c r="C169" s="87"/>
      <c r="D169" s="38"/>
      <c r="E169" s="38"/>
      <c r="F169" s="39"/>
      <c r="G169" s="85"/>
      <c r="H169" s="87"/>
      <c r="I169" s="38"/>
      <c r="J169" s="38"/>
      <c r="K169" s="38"/>
      <c r="L169" s="85"/>
      <c r="M169" s="38"/>
      <c r="N169" s="38"/>
      <c r="O169" s="38"/>
      <c r="P169" s="38"/>
      <c r="Q169" s="85"/>
      <c r="R169" s="38"/>
      <c r="S169" s="38"/>
      <c r="T169" s="38"/>
      <c r="U169" s="39">
        <v>7</v>
      </c>
      <c r="V169" s="85">
        <v>17</v>
      </c>
      <c r="W169" s="38">
        <v>3</v>
      </c>
      <c r="X169" s="38">
        <v>1</v>
      </c>
      <c r="Y169" s="38">
        <v>2</v>
      </c>
      <c r="Z169" s="39">
        <v>0</v>
      </c>
      <c r="AA169" s="85">
        <v>0</v>
      </c>
      <c r="AB169" s="87"/>
      <c r="AC169" s="38"/>
      <c r="AD169" s="38"/>
      <c r="AE169" s="38"/>
      <c r="AF169" s="85"/>
      <c r="AG169" s="38"/>
      <c r="AH169" s="38"/>
      <c r="AI169" s="38"/>
      <c r="AJ169" s="38"/>
      <c r="AK169" s="85"/>
      <c r="AL169" s="38"/>
      <c r="AM169" s="38"/>
      <c r="AN169" s="38"/>
      <c r="AO169" s="38"/>
      <c r="AP169" s="85"/>
      <c r="AQ169" s="38"/>
      <c r="AR169" s="38"/>
      <c r="AS169" s="38"/>
      <c r="AT169" s="38"/>
      <c r="AU169" s="86"/>
      <c r="AV169" s="45"/>
      <c r="AW169" s="38">
        <f t="shared" si="1052"/>
        <v>0</v>
      </c>
      <c r="AX169" s="38">
        <f t="shared" si="1052"/>
        <v>0</v>
      </c>
      <c r="AY169" s="38">
        <f t="shared" si="1052"/>
        <v>0</v>
      </c>
      <c r="AZ169" s="38">
        <f t="shared" si="1052"/>
        <v>67.2</v>
      </c>
      <c r="BA169" s="85">
        <f t="shared" si="1037"/>
        <v>67.2</v>
      </c>
      <c r="BB169" s="38">
        <f t="shared" si="1053"/>
        <v>12.2</v>
      </c>
      <c r="BC169" s="38">
        <f t="shared" si="1053"/>
        <v>10</v>
      </c>
      <c r="BD169" s="38">
        <f t="shared" si="1053"/>
        <v>10.5</v>
      </c>
      <c r="BE169" s="38">
        <f t="shared" si="1053"/>
        <v>13.8</v>
      </c>
      <c r="BF169" s="85">
        <f t="shared" si="1038"/>
        <v>46.5</v>
      </c>
      <c r="BG169" s="38">
        <f t="shared" si="1054"/>
        <v>0</v>
      </c>
      <c r="BH169" s="38">
        <f t="shared" si="1054"/>
        <v>0</v>
      </c>
      <c r="BI169" s="38">
        <f t="shared" si="1054"/>
        <v>0</v>
      </c>
      <c r="BJ169" s="38">
        <f t="shared" si="1054"/>
        <v>0</v>
      </c>
      <c r="BK169" s="85">
        <f t="shared" si="1055"/>
        <v>0</v>
      </c>
      <c r="BL169" s="38">
        <f t="shared" si="1056"/>
        <v>0</v>
      </c>
      <c r="BM169" s="38">
        <f t="shared" si="1056"/>
        <v>0</v>
      </c>
      <c r="BN169" s="38">
        <f t="shared" si="1056"/>
        <v>0</v>
      </c>
      <c r="BO169" s="38">
        <f t="shared" si="1056"/>
        <v>0</v>
      </c>
      <c r="BP169" s="85">
        <f t="shared" si="1057"/>
        <v>0</v>
      </c>
      <c r="BQ169" s="38">
        <f t="shared" si="1058"/>
        <v>0</v>
      </c>
      <c r="BR169" s="38">
        <f t="shared" si="1058"/>
        <v>0</v>
      </c>
      <c r="BS169" s="38">
        <f t="shared" si="1058"/>
        <v>0</v>
      </c>
      <c r="BT169" s="38">
        <f t="shared" si="1058"/>
        <v>0</v>
      </c>
      <c r="BU169" s="85">
        <f t="shared" si="1039"/>
        <v>0</v>
      </c>
      <c r="BV169" s="38">
        <f t="shared" ref="BV169:BY169" si="1071">BV346</f>
        <v>0</v>
      </c>
      <c r="BW169" s="38">
        <f t="shared" si="1071"/>
        <v>0</v>
      </c>
      <c r="BX169" s="38">
        <f t="shared" si="1071"/>
        <v>0</v>
      </c>
      <c r="BY169" s="38">
        <f t="shared" si="1071"/>
        <v>0</v>
      </c>
      <c r="BZ169" s="85">
        <f t="shared" si="1040"/>
        <v>0</v>
      </c>
      <c r="CA169" s="38">
        <v>1.8</v>
      </c>
      <c r="CB169" s="38">
        <v>-1</v>
      </c>
      <c r="CC169" s="38">
        <v>-0.3</v>
      </c>
      <c r="CD169" s="38">
        <f t="shared" si="1060"/>
        <v>0</v>
      </c>
      <c r="CE169" s="85">
        <f t="shared" si="1041"/>
        <v>0.5</v>
      </c>
      <c r="CF169" s="38">
        <f t="shared" si="1061"/>
        <v>2.2000000000000002</v>
      </c>
      <c r="CG169" s="38">
        <f t="shared" si="1061"/>
        <v>3.8</v>
      </c>
      <c r="CH169" s="38">
        <f t="shared" si="1061"/>
        <v>4.4000000000000004</v>
      </c>
      <c r="CI169" s="38">
        <f t="shared" ref="CI169" si="1072">CI346</f>
        <v>6</v>
      </c>
      <c r="CJ169" s="85">
        <f t="shared" si="1042"/>
        <v>16.399999999999999</v>
      </c>
      <c r="CK169" s="38"/>
      <c r="CL169" s="38"/>
      <c r="CM169" s="38"/>
      <c r="CN169" s="38">
        <v>1.9</v>
      </c>
      <c r="CO169" s="85"/>
      <c r="CP169" s="38"/>
      <c r="CQ169" s="38"/>
      <c r="CR169" s="38"/>
      <c r="CS169" s="38"/>
      <c r="CT169" s="85"/>
      <c r="CU169" s="38">
        <f t="shared" si="1064"/>
        <v>0</v>
      </c>
      <c r="CV169" s="38">
        <f t="shared" si="1064"/>
        <v>0</v>
      </c>
      <c r="CW169" s="38">
        <f t="shared" si="1064"/>
        <v>0</v>
      </c>
      <c r="CX169" s="38">
        <f t="shared" si="1064"/>
        <v>0</v>
      </c>
      <c r="CY169" s="85">
        <f t="shared" si="1045"/>
        <v>0</v>
      </c>
      <c r="CZ169" s="38">
        <f t="shared" si="1065"/>
        <v>0</v>
      </c>
      <c r="DA169" s="38">
        <f t="shared" si="1065"/>
        <v>0</v>
      </c>
      <c r="DB169" s="38">
        <f t="shared" si="1065"/>
        <v>0</v>
      </c>
      <c r="DC169" s="38">
        <f t="shared" si="1065"/>
        <v>0</v>
      </c>
      <c r="DD169" s="85">
        <f t="shared" si="1046"/>
        <v>0</v>
      </c>
      <c r="DE169" s="38">
        <f t="shared" si="1066"/>
        <v>0</v>
      </c>
      <c r="DF169" s="38">
        <f t="shared" si="1066"/>
        <v>0</v>
      </c>
      <c r="DG169" s="38">
        <f t="shared" si="1066"/>
        <v>0</v>
      </c>
      <c r="DH169" s="38">
        <f t="shared" si="1066"/>
        <v>0</v>
      </c>
      <c r="DI169" s="85">
        <f t="shared" si="1047"/>
        <v>0</v>
      </c>
      <c r="DJ169" s="38">
        <f t="shared" si="1067"/>
        <v>0</v>
      </c>
      <c r="DK169" s="38">
        <f t="shared" si="1067"/>
        <v>0</v>
      </c>
      <c r="DL169" s="38">
        <f t="shared" si="1067"/>
        <v>0</v>
      </c>
      <c r="DM169" s="38">
        <f t="shared" si="1067"/>
        <v>0</v>
      </c>
      <c r="DN169" s="85">
        <f t="shared" si="1048"/>
        <v>0</v>
      </c>
      <c r="DO169" s="38">
        <f t="shared" si="1068"/>
        <v>0</v>
      </c>
      <c r="DP169" s="38">
        <f t="shared" si="1068"/>
        <v>0</v>
      </c>
      <c r="DQ169" s="38">
        <f t="shared" si="1068"/>
        <v>0</v>
      </c>
      <c r="DR169" s="38">
        <f t="shared" si="1068"/>
        <v>0</v>
      </c>
      <c r="DS169" s="85">
        <f t="shared" si="1049"/>
        <v>0</v>
      </c>
      <c r="DT169" s="38">
        <f t="shared" si="1069"/>
        <v>0</v>
      </c>
      <c r="DU169" s="38">
        <f t="shared" si="1069"/>
        <v>0</v>
      </c>
      <c r="DV169" s="38">
        <f t="shared" si="1069"/>
        <v>0</v>
      </c>
      <c r="DW169" s="38">
        <f t="shared" si="1069"/>
        <v>0</v>
      </c>
      <c r="DX169" s="85">
        <f t="shared" si="1050"/>
        <v>0</v>
      </c>
      <c r="DY169" s="38">
        <f t="shared" ref="DY169:EB169" si="1073">DY346</f>
        <v>0</v>
      </c>
      <c r="DZ169" s="38">
        <f t="shared" si="1073"/>
        <v>0</v>
      </c>
      <c r="EA169" s="38">
        <f t="shared" si="1073"/>
        <v>0</v>
      </c>
      <c r="EB169" s="38">
        <f t="shared" si="1073"/>
        <v>0</v>
      </c>
      <c r="EC169" s="85">
        <f t="shared" si="1051"/>
        <v>0</v>
      </c>
      <c r="ED169" s="38"/>
      <c r="EE169" s="21"/>
      <c r="EF169" s="373"/>
      <c r="EG169" s="16"/>
      <c r="EH169" s="16"/>
      <c r="EI169" s="16"/>
      <c r="EJ169" s="16"/>
      <c r="EK169" s="16"/>
      <c r="EL169" s="16"/>
      <c r="EM169" s="16"/>
      <c r="EN169" s="16"/>
      <c r="EO169" s="16"/>
      <c r="EP169" s="16"/>
      <c r="EQ169" s="16"/>
      <c r="ER169" s="16"/>
      <c r="ES169" s="16"/>
      <c r="ET169" s="16"/>
      <c r="EU169" s="16"/>
      <c r="EX169" s="16"/>
      <c r="EY169" s="228"/>
      <c r="EZ169" s="477"/>
      <c r="FA169" s="477"/>
      <c r="FB169" s="228"/>
      <c r="FC169" s="477"/>
      <c r="FD169" s="16"/>
    </row>
    <row r="170" spans="1:160" x14ac:dyDescent="0.2">
      <c r="A170" s="283" t="s">
        <v>92</v>
      </c>
      <c r="B170" s="85"/>
      <c r="C170" s="87"/>
      <c r="D170" s="38"/>
      <c r="E170" s="38"/>
      <c r="F170" s="39"/>
      <c r="G170" s="85"/>
      <c r="H170" s="87"/>
      <c r="I170" s="38"/>
      <c r="J170" s="38"/>
      <c r="K170" s="38"/>
      <c r="L170" s="85"/>
      <c r="M170" s="38"/>
      <c r="N170" s="38"/>
      <c r="O170" s="38"/>
      <c r="P170" s="38"/>
      <c r="Q170" s="85"/>
      <c r="R170" s="38"/>
      <c r="S170" s="38"/>
      <c r="T170" s="38"/>
      <c r="U170" s="39"/>
      <c r="V170" s="85"/>
      <c r="W170" s="38"/>
      <c r="X170" s="38"/>
      <c r="Y170" s="38"/>
      <c r="Z170" s="39"/>
      <c r="AA170" s="85"/>
      <c r="AB170" s="87"/>
      <c r="AC170" s="38"/>
      <c r="AD170" s="38"/>
      <c r="AE170" s="38"/>
      <c r="AF170" s="85"/>
      <c r="AG170" s="38"/>
      <c r="AH170" s="38"/>
      <c r="AI170" s="38"/>
      <c r="AJ170" s="38"/>
      <c r="AK170" s="85"/>
      <c r="AL170" s="38"/>
      <c r="AM170" s="38"/>
      <c r="AN170" s="38"/>
      <c r="AO170" s="38"/>
      <c r="AP170" s="85"/>
      <c r="AQ170" s="38"/>
      <c r="AR170" s="38"/>
      <c r="AS170" s="38"/>
      <c r="AT170" s="38"/>
      <c r="AU170" s="86"/>
      <c r="AV170" s="45"/>
      <c r="AW170" s="38">
        <f t="shared" si="1052"/>
        <v>0</v>
      </c>
      <c r="AX170" s="38">
        <f t="shared" si="1052"/>
        <v>0</v>
      </c>
      <c r="AY170" s="38">
        <f t="shared" si="1052"/>
        <v>0</v>
      </c>
      <c r="AZ170" s="38">
        <f t="shared" si="1052"/>
        <v>0</v>
      </c>
      <c r="BA170" s="85">
        <f t="shared" si="1037"/>
        <v>0</v>
      </c>
      <c r="BB170" s="38">
        <f t="shared" si="1053"/>
        <v>0</v>
      </c>
      <c r="BC170" s="38">
        <f t="shared" si="1053"/>
        <v>1.7</v>
      </c>
      <c r="BD170" s="38">
        <f t="shared" si="1053"/>
        <v>5.5</v>
      </c>
      <c r="BE170" s="38">
        <f t="shared" si="1053"/>
        <v>3.4</v>
      </c>
      <c r="BF170" s="85">
        <f t="shared" si="1038"/>
        <v>10.6</v>
      </c>
      <c r="BG170" s="38">
        <f t="shared" si="1054"/>
        <v>0</v>
      </c>
      <c r="BH170" s="38">
        <f t="shared" si="1054"/>
        <v>0</v>
      </c>
      <c r="BI170" s="38">
        <f t="shared" si="1054"/>
        <v>0</v>
      </c>
      <c r="BJ170" s="38">
        <f t="shared" si="1054"/>
        <v>0</v>
      </c>
      <c r="BK170" s="85">
        <f t="shared" si="1055"/>
        <v>0</v>
      </c>
      <c r="BL170" s="38">
        <f t="shared" si="1056"/>
        <v>0</v>
      </c>
      <c r="BM170" s="38">
        <f t="shared" si="1056"/>
        <v>0</v>
      </c>
      <c r="BN170" s="38">
        <f t="shared" si="1056"/>
        <v>0</v>
      </c>
      <c r="BO170" s="38">
        <f t="shared" si="1056"/>
        <v>0</v>
      </c>
      <c r="BP170" s="85">
        <f t="shared" si="1057"/>
        <v>0</v>
      </c>
      <c r="BQ170" s="38">
        <f t="shared" si="1058"/>
        <v>0</v>
      </c>
      <c r="BR170" s="38">
        <f t="shared" si="1058"/>
        <v>0</v>
      </c>
      <c r="BS170" s="38">
        <f t="shared" si="1058"/>
        <v>30.7</v>
      </c>
      <c r="BT170" s="38">
        <f t="shared" si="1058"/>
        <v>94.3</v>
      </c>
      <c r="BU170" s="85">
        <f t="shared" si="1039"/>
        <v>125</v>
      </c>
      <c r="BV170" s="38">
        <f t="shared" ref="BV170:BW170" si="1074">BV347</f>
        <v>0</v>
      </c>
      <c r="BW170" s="38">
        <f t="shared" si="1074"/>
        <v>0</v>
      </c>
      <c r="BX170" s="38"/>
      <c r="BY170" s="38"/>
      <c r="BZ170" s="85">
        <f t="shared" si="1040"/>
        <v>0</v>
      </c>
      <c r="CA170" s="38">
        <f t="shared" si="1060"/>
        <v>0</v>
      </c>
      <c r="CB170" s="38">
        <f t="shared" si="1060"/>
        <v>0</v>
      </c>
      <c r="CC170" s="38">
        <f t="shared" si="1060"/>
        <v>0</v>
      </c>
      <c r="CD170" s="38">
        <f t="shared" si="1060"/>
        <v>0</v>
      </c>
      <c r="CE170" s="85">
        <f t="shared" si="1041"/>
        <v>0</v>
      </c>
      <c r="CF170" s="38">
        <f t="shared" si="1061"/>
        <v>0</v>
      </c>
      <c r="CG170" s="38">
        <f t="shared" si="1061"/>
        <v>0</v>
      </c>
      <c r="CH170" s="38">
        <f t="shared" si="1061"/>
        <v>0</v>
      </c>
      <c r="CI170" s="38">
        <f t="shared" si="1061"/>
        <v>0</v>
      </c>
      <c r="CJ170" s="85">
        <f t="shared" si="1042"/>
        <v>0</v>
      </c>
      <c r="CK170" s="38">
        <f t="shared" si="1062"/>
        <v>0</v>
      </c>
      <c r="CL170" s="38">
        <f t="shared" si="1062"/>
        <v>0</v>
      </c>
      <c r="CM170" s="38">
        <f t="shared" si="1062"/>
        <v>0</v>
      </c>
      <c r="CN170" s="38">
        <f t="shared" si="1062"/>
        <v>0</v>
      </c>
      <c r="CO170" s="85">
        <f t="shared" si="1043"/>
        <v>0</v>
      </c>
      <c r="CP170" s="38">
        <f t="shared" ref="CP170:CS172" si="1075">CP347</f>
        <v>0</v>
      </c>
      <c r="CQ170" s="38">
        <f t="shared" si="1075"/>
        <v>0</v>
      </c>
      <c r="CR170" s="38">
        <f t="shared" si="1075"/>
        <v>0</v>
      </c>
      <c r="CS170" s="38">
        <f t="shared" si="1075"/>
        <v>0</v>
      </c>
      <c r="CT170" s="85">
        <f t="shared" si="1044"/>
        <v>0</v>
      </c>
      <c r="CU170" s="38">
        <f t="shared" si="1064"/>
        <v>0</v>
      </c>
      <c r="CV170" s="38">
        <f t="shared" si="1064"/>
        <v>0</v>
      </c>
      <c r="CW170" s="38">
        <f t="shared" si="1064"/>
        <v>0</v>
      </c>
      <c r="CX170" s="38">
        <f t="shared" si="1064"/>
        <v>0</v>
      </c>
      <c r="CY170" s="85">
        <f t="shared" si="1045"/>
        <v>0</v>
      </c>
      <c r="CZ170" s="38">
        <f t="shared" si="1065"/>
        <v>0</v>
      </c>
      <c r="DA170" s="38">
        <f t="shared" si="1065"/>
        <v>0</v>
      </c>
      <c r="DB170" s="38">
        <f t="shared" si="1065"/>
        <v>0</v>
      </c>
      <c r="DC170" s="38">
        <f t="shared" si="1065"/>
        <v>0</v>
      </c>
      <c r="DD170" s="85">
        <f t="shared" si="1046"/>
        <v>0</v>
      </c>
      <c r="DE170" s="38">
        <f t="shared" si="1066"/>
        <v>0</v>
      </c>
      <c r="DF170" s="38">
        <f t="shared" si="1066"/>
        <v>0</v>
      </c>
      <c r="DG170" s="38">
        <f t="shared" si="1066"/>
        <v>0</v>
      </c>
      <c r="DH170" s="38">
        <f t="shared" si="1066"/>
        <v>0</v>
      </c>
      <c r="DI170" s="85">
        <f t="shared" si="1047"/>
        <v>0</v>
      </c>
      <c r="DJ170" s="38">
        <f t="shared" si="1067"/>
        <v>0</v>
      </c>
      <c r="DK170" s="38">
        <f t="shared" si="1067"/>
        <v>0</v>
      </c>
      <c r="DL170" s="38">
        <f t="shared" si="1067"/>
        <v>0</v>
      </c>
      <c r="DM170" s="38">
        <f t="shared" si="1067"/>
        <v>0</v>
      </c>
      <c r="DN170" s="85">
        <f t="shared" si="1048"/>
        <v>0</v>
      </c>
      <c r="DO170" s="38">
        <f t="shared" si="1068"/>
        <v>0</v>
      </c>
      <c r="DP170" s="38">
        <f t="shared" si="1068"/>
        <v>0</v>
      </c>
      <c r="DQ170" s="38">
        <f t="shared" si="1068"/>
        <v>0</v>
      </c>
      <c r="DR170" s="38">
        <f t="shared" si="1068"/>
        <v>0</v>
      </c>
      <c r="DS170" s="85">
        <f t="shared" si="1049"/>
        <v>0</v>
      </c>
      <c r="DT170" s="38">
        <f t="shared" si="1069"/>
        <v>0</v>
      </c>
      <c r="DU170" s="38">
        <f t="shared" si="1069"/>
        <v>0</v>
      </c>
      <c r="DV170" s="38">
        <f t="shared" si="1069"/>
        <v>0</v>
      </c>
      <c r="DW170" s="38">
        <f t="shared" si="1069"/>
        <v>0</v>
      </c>
      <c r="DX170" s="85">
        <f t="shared" si="1050"/>
        <v>0</v>
      </c>
      <c r="DY170" s="38">
        <f t="shared" ref="DY170:EB170" si="1076">DY347</f>
        <v>0</v>
      </c>
      <c r="DZ170" s="38">
        <f t="shared" si="1076"/>
        <v>0</v>
      </c>
      <c r="EA170" s="38">
        <f t="shared" si="1076"/>
        <v>0</v>
      </c>
      <c r="EB170" s="38">
        <f t="shared" si="1076"/>
        <v>0</v>
      </c>
      <c r="EC170" s="85">
        <f t="shared" si="1051"/>
        <v>0</v>
      </c>
      <c r="ED170" s="38"/>
      <c r="EE170" s="21"/>
      <c r="EF170" s="373"/>
      <c r="EG170" s="16"/>
      <c r="EH170" s="16"/>
      <c r="EI170" s="16"/>
      <c r="EJ170" s="16"/>
      <c r="EK170" s="16"/>
      <c r="EL170" s="16"/>
      <c r="EM170" s="16"/>
      <c r="EN170" s="16"/>
      <c r="EO170" s="16"/>
      <c r="EP170" s="16"/>
      <c r="EQ170" s="16"/>
      <c r="ER170" s="16"/>
      <c r="ES170" s="16"/>
      <c r="ET170" s="16"/>
      <c r="EU170" s="16"/>
      <c r="EX170" s="16"/>
      <c r="EY170" s="228"/>
      <c r="EZ170" s="477"/>
      <c r="FA170" s="477"/>
      <c r="FB170" s="228"/>
      <c r="FC170" s="477"/>
      <c r="FD170" s="16"/>
    </row>
    <row r="171" spans="1:160" x14ac:dyDescent="0.2">
      <c r="A171" s="283" t="s">
        <v>388</v>
      </c>
      <c r="B171" s="85"/>
      <c r="C171" s="87"/>
      <c r="D171" s="38"/>
      <c r="E171" s="38"/>
      <c r="F171" s="39"/>
      <c r="G171" s="85"/>
      <c r="H171" s="87"/>
      <c r="I171" s="38"/>
      <c r="J171" s="38"/>
      <c r="K171" s="38"/>
      <c r="L171" s="85"/>
      <c r="M171" s="38"/>
      <c r="N171" s="38"/>
      <c r="O171" s="38"/>
      <c r="P171" s="38"/>
      <c r="Q171" s="85"/>
      <c r="R171" s="38"/>
      <c r="S171" s="38"/>
      <c r="T171" s="38"/>
      <c r="U171" s="39"/>
      <c r="V171" s="85"/>
      <c r="W171" s="38"/>
      <c r="X171" s="38"/>
      <c r="Y171" s="38"/>
      <c r="Z171" s="39"/>
      <c r="AA171" s="85"/>
      <c r="AB171" s="87"/>
      <c r="AC171" s="38"/>
      <c r="AD171" s="38"/>
      <c r="AE171" s="38"/>
      <c r="AF171" s="85"/>
      <c r="AG171" s="38"/>
      <c r="AH171" s="38"/>
      <c r="AI171" s="38"/>
      <c r="AJ171" s="38"/>
      <c r="AK171" s="85"/>
      <c r="AL171" s="38"/>
      <c r="AM171" s="38"/>
      <c r="AN171" s="38"/>
      <c r="AO171" s="38"/>
      <c r="AP171" s="85"/>
      <c r="AQ171" s="38"/>
      <c r="AR171" s="38"/>
      <c r="AS171" s="38"/>
      <c r="AT171" s="38"/>
      <c r="AU171" s="86"/>
      <c r="AV171" s="45"/>
      <c r="AW171" s="38">
        <f t="shared" si="1052"/>
        <v>0</v>
      </c>
      <c r="AX171" s="38">
        <f t="shared" si="1052"/>
        <v>0</v>
      </c>
      <c r="AY171" s="38">
        <f t="shared" si="1052"/>
        <v>0</v>
      </c>
      <c r="AZ171" s="38">
        <f t="shared" si="1052"/>
        <v>0</v>
      </c>
      <c r="BA171" s="85">
        <f t="shared" si="1037"/>
        <v>0</v>
      </c>
      <c r="BB171" s="38">
        <f t="shared" si="1053"/>
        <v>0</v>
      </c>
      <c r="BC171" s="38">
        <f t="shared" si="1053"/>
        <v>0</v>
      </c>
      <c r="BD171" s="38">
        <f t="shared" si="1053"/>
        <v>0.5</v>
      </c>
      <c r="BE171" s="38">
        <f t="shared" si="1053"/>
        <v>7.1</v>
      </c>
      <c r="BF171" s="85">
        <f t="shared" si="1038"/>
        <v>7.6</v>
      </c>
      <c r="BG171" s="38">
        <f t="shared" si="1054"/>
        <v>3.7</v>
      </c>
      <c r="BH171" s="38">
        <f t="shared" si="1054"/>
        <v>9.3999999999999986</v>
      </c>
      <c r="BI171" s="38">
        <f t="shared" si="1054"/>
        <v>7</v>
      </c>
      <c r="BJ171" s="38">
        <f t="shared" si="1054"/>
        <v>10.1</v>
      </c>
      <c r="BK171" s="85">
        <f t="shared" si="1055"/>
        <v>30.199999999999996</v>
      </c>
      <c r="BL171" s="38">
        <f t="shared" si="1056"/>
        <v>9.1</v>
      </c>
      <c r="BM171" s="38">
        <f t="shared" si="1056"/>
        <v>9.8000000000000007</v>
      </c>
      <c r="BN171" s="38">
        <f t="shared" si="1056"/>
        <v>4.7</v>
      </c>
      <c r="BO171" s="38">
        <f t="shared" si="1056"/>
        <v>2.6</v>
      </c>
      <c r="BP171" s="85">
        <f t="shared" si="1057"/>
        <v>26.2</v>
      </c>
      <c r="BQ171" s="38">
        <f t="shared" si="1058"/>
        <v>0</v>
      </c>
      <c r="BR171" s="38">
        <f t="shared" si="1058"/>
        <v>0</v>
      </c>
      <c r="BS171" s="38">
        <f t="shared" si="1058"/>
        <v>0</v>
      </c>
      <c r="BT171" s="38">
        <f t="shared" si="1058"/>
        <v>0</v>
      </c>
      <c r="BU171" s="85">
        <f t="shared" si="1039"/>
        <v>0</v>
      </c>
      <c r="BV171" s="38">
        <f t="shared" ref="BV171:BY171" si="1077">BV348</f>
        <v>0</v>
      </c>
      <c r="BW171" s="38">
        <f t="shared" si="1077"/>
        <v>0</v>
      </c>
      <c r="BX171" s="38">
        <f t="shared" si="1077"/>
        <v>0</v>
      </c>
      <c r="BY171" s="38">
        <f t="shared" si="1077"/>
        <v>0</v>
      </c>
      <c r="BZ171" s="85">
        <f t="shared" si="1040"/>
        <v>0</v>
      </c>
      <c r="CA171" s="38">
        <f t="shared" si="1060"/>
        <v>0</v>
      </c>
      <c r="CB171" s="38">
        <f t="shared" si="1060"/>
        <v>0</v>
      </c>
      <c r="CC171" s="38">
        <f t="shared" si="1060"/>
        <v>0</v>
      </c>
      <c r="CD171" s="38">
        <f t="shared" si="1060"/>
        <v>0</v>
      </c>
      <c r="CE171" s="85">
        <f t="shared" si="1041"/>
        <v>0</v>
      </c>
      <c r="CF171" s="38">
        <f t="shared" si="1061"/>
        <v>0</v>
      </c>
      <c r="CG171" s="38">
        <f t="shared" si="1061"/>
        <v>0</v>
      </c>
      <c r="CH171" s="38">
        <f t="shared" si="1061"/>
        <v>0</v>
      </c>
      <c r="CI171" s="38">
        <f t="shared" si="1061"/>
        <v>0</v>
      </c>
      <c r="CJ171" s="85">
        <f t="shared" si="1042"/>
        <v>0</v>
      </c>
      <c r="CK171" s="38">
        <f t="shared" si="1062"/>
        <v>0</v>
      </c>
      <c r="CL171" s="38">
        <f t="shared" si="1062"/>
        <v>0</v>
      </c>
      <c r="CM171" s="38">
        <f t="shared" si="1062"/>
        <v>0</v>
      </c>
      <c r="CN171" s="38">
        <f t="shared" si="1062"/>
        <v>0</v>
      </c>
      <c r="CO171" s="85">
        <f t="shared" si="1043"/>
        <v>0</v>
      </c>
      <c r="CP171" s="38">
        <f t="shared" si="1075"/>
        <v>0</v>
      </c>
      <c r="CQ171" s="38">
        <f t="shared" si="1075"/>
        <v>0</v>
      </c>
      <c r="CR171" s="38">
        <f t="shared" si="1075"/>
        <v>0</v>
      </c>
      <c r="CS171" s="38">
        <f t="shared" si="1075"/>
        <v>0</v>
      </c>
      <c r="CT171" s="85">
        <f t="shared" si="1044"/>
        <v>0</v>
      </c>
      <c r="CU171" s="38">
        <f t="shared" si="1064"/>
        <v>0</v>
      </c>
      <c r="CV171" s="38">
        <f t="shared" si="1064"/>
        <v>0</v>
      </c>
      <c r="CW171" s="38">
        <f t="shared" si="1064"/>
        <v>0</v>
      </c>
      <c r="CX171" s="38">
        <f t="shared" si="1064"/>
        <v>0</v>
      </c>
      <c r="CY171" s="85">
        <f t="shared" si="1045"/>
        <v>0</v>
      </c>
      <c r="CZ171" s="38">
        <f t="shared" si="1065"/>
        <v>0</v>
      </c>
      <c r="DA171" s="38">
        <f t="shared" si="1065"/>
        <v>0</v>
      </c>
      <c r="DB171" s="38">
        <f t="shared" si="1065"/>
        <v>0</v>
      </c>
      <c r="DC171" s="38">
        <f t="shared" si="1065"/>
        <v>0</v>
      </c>
      <c r="DD171" s="85">
        <f t="shared" si="1046"/>
        <v>0</v>
      </c>
      <c r="DE171" s="38">
        <f t="shared" si="1066"/>
        <v>0</v>
      </c>
      <c r="DF171" s="38">
        <f t="shared" si="1066"/>
        <v>0</v>
      </c>
      <c r="DG171" s="38">
        <f t="shared" si="1066"/>
        <v>0</v>
      </c>
      <c r="DH171" s="38">
        <f t="shared" si="1066"/>
        <v>0</v>
      </c>
      <c r="DI171" s="85">
        <f t="shared" si="1047"/>
        <v>0</v>
      </c>
      <c r="DJ171" s="38">
        <f t="shared" si="1067"/>
        <v>0</v>
      </c>
      <c r="DK171" s="38">
        <f t="shared" si="1067"/>
        <v>0</v>
      </c>
      <c r="DL171" s="38">
        <f t="shared" si="1067"/>
        <v>0</v>
      </c>
      <c r="DM171" s="38">
        <f t="shared" si="1067"/>
        <v>0</v>
      </c>
      <c r="DN171" s="85">
        <f t="shared" si="1048"/>
        <v>0</v>
      </c>
      <c r="DO171" s="38">
        <f t="shared" si="1068"/>
        <v>0</v>
      </c>
      <c r="DP171" s="38">
        <f t="shared" si="1068"/>
        <v>0</v>
      </c>
      <c r="DQ171" s="38">
        <f t="shared" si="1068"/>
        <v>0</v>
      </c>
      <c r="DR171" s="38">
        <f t="shared" si="1068"/>
        <v>0</v>
      </c>
      <c r="DS171" s="85">
        <f t="shared" si="1049"/>
        <v>0</v>
      </c>
      <c r="DT171" s="38">
        <f t="shared" si="1069"/>
        <v>0</v>
      </c>
      <c r="DU171" s="38">
        <f t="shared" si="1069"/>
        <v>0</v>
      </c>
      <c r="DV171" s="38">
        <f t="shared" si="1069"/>
        <v>0</v>
      </c>
      <c r="DW171" s="38">
        <f t="shared" si="1069"/>
        <v>0</v>
      </c>
      <c r="DX171" s="85">
        <f t="shared" si="1050"/>
        <v>0</v>
      </c>
      <c r="DY171" s="38">
        <f t="shared" ref="DY171:EB171" si="1078">DY348</f>
        <v>0</v>
      </c>
      <c r="DZ171" s="38">
        <f t="shared" si="1078"/>
        <v>0</v>
      </c>
      <c r="EA171" s="38">
        <f t="shared" si="1078"/>
        <v>0</v>
      </c>
      <c r="EB171" s="38">
        <f t="shared" si="1078"/>
        <v>0</v>
      </c>
      <c r="EC171" s="85">
        <f t="shared" si="1051"/>
        <v>0</v>
      </c>
      <c r="ED171" s="38"/>
      <c r="EE171" s="21"/>
      <c r="EF171" s="373"/>
      <c r="EG171" s="16"/>
      <c r="EH171" s="16"/>
      <c r="EI171" s="16"/>
      <c r="EJ171" s="16"/>
      <c r="EK171" s="16"/>
      <c r="EL171" s="16"/>
      <c r="EM171" s="16"/>
      <c r="EN171" s="16"/>
      <c r="EO171" s="16"/>
      <c r="EP171" s="16"/>
      <c r="EQ171" s="16"/>
      <c r="ER171" s="16"/>
      <c r="ES171" s="16"/>
      <c r="ET171" s="16"/>
      <c r="EU171" s="16"/>
      <c r="EX171" s="16"/>
      <c r="EY171" s="228"/>
      <c r="EZ171" s="477"/>
      <c r="FA171" s="477"/>
      <c r="FB171" s="228"/>
      <c r="FC171" s="477"/>
      <c r="FD171" s="16"/>
    </row>
    <row r="172" spans="1:160" x14ac:dyDescent="0.2">
      <c r="A172" s="283" t="s">
        <v>379</v>
      </c>
      <c r="B172" s="85"/>
      <c r="C172" s="87"/>
      <c r="D172" s="38"/>
      <c r="E172" s="38"/>
      <c r="F172" s="39"/>
      <c r="G172" s="85"/>
      <c r="H172" s="87"/>
      <c r="I172" s="38"/>
      <c r="J172" s="38"/>
      <c r="K172" s="38"/>
      <c r="L172" s="85"/>
      <c r="M172" s="38"/>
      <c r="N172" s="38"/>
      <c r="O172" s="38"/>
      <c r="P172" s="38"/>
      <c r="Q172" s="85"/>
      <c r="R172" s="38"/>
      <c r="S172" s="38"/>
      <c r="T172" s="38"/>
      <c r="U172" s="39"/>
      <c r="V172" s="85"/>
      <c r="W172" s="38"/>
      <c r="X172" s="38"/>
      <c r="Y172" s="38"/>
      <c r="Z172" s="39"/>
      <c r="AA172" s="85"/>
      <c r="AB172" s="87"/>
      <c r="AC172" s="38"/>
      <c r="AD172" s="38"/>
      <c r="AE172" s="38"/>
      <c r="AF172" s="85"/>
      <c r="AG172" s="38"/>
      <c r="AH172" s="38"/>
      <c r="AI172" s="38"/>
      <c r="AJ172" s="38"/>
      <c r="AK172" s="85"/>
      <c r="AL172" s="38"/>
      <c r="AM172" s="38"/>
      <c r="AN172" s="38"/>
      <c r="AO172" s="38"/>
      <c r="AP172" s="85"/>
      <c r="AQ172" s="38"/>
      <c r="AR172" s="38"/>
      <c r="AS172" s="38"/>
      <c r="AT172" s="38"/>
      <c r="AU172" s="86"/>
      <c r="AV172" s="45"/>
      <c r="AW172" s="38">
        <f t="shared" si="1052"/>
        <v>0</v>
      </c>
      <c r="AX172" s="38">
        <f t="shared" si="1052"/>
        <v>0</v>
      </c>
      <c r="AY172" s="38">
        <f t="shared" si="1052"/>
        <v>0</v>
      </c>
      <c r="AZ172" s="38">
        <f t="shared" si="1052"/>
        <v>0</v>
      </c>
      <c r="BA172" s="85">
        <f t="shared" si="1037"/>
        <v>0</v>
      </c>
      <c r="BB172" s="38">
        <f t="shared" si="1053"/>
        <v>0</v>
      </c>
      <c r="BC172" s="38">
        <f t="shared" si="1053"/>
        <v>0</v>
      </c>
      <c r="BD172" s="38">
        <f t="shared" si="1053"/>
        <v>0</v>
      </c>
      <c r="BE172" s="38">
        <f t="shared" si="1053"/>
        <v>0</v>
      </c>
      <c r="BF172" s="85">
        <f t="shared" si="1038"/>
        <v>0</v>
      </c>
      <c r="BG172" s="38">
        <f t="shared" si="1054"/>
        <v>7</v>
      </c>
      <c r="BH172" s="38">
        <f t="shared" si="1054"/>
        <v>18.100000000000001</v>
      </c>
      <c r="BI172" s="38">
        <f t="shared" si="1054"/>
        <v>0.6</v>
      </c>
      <c r="BJ172" s="38">
        <f t="shared" si="1054"/>
        <v>1.3</v>
      </c>
      <c r="BK172" s="85">
        <f t="shared" si="1055"/>
        <v>27.000000000000004</v>
      </c>
      <c r="BL172" s="38">
        <f t="shared" si="1056"/>
        <v>0</v>
      </c>
      <c r="BM172" s="38">
        <f t="shared" si="1056"/>
        <v>0</v>
      </c>
      <c r="BN172" s="38">
        <f t="shared" si="1056"/>
        <v>0</v>
      </c>
      <c r="BO172" s="38">
        <f t="shared" si="1056"/>
        <v>0</v>
      </c>
      <c r="BP172" s="85">
        <f t="shared" si="1057"/>
        <v>0</v>
      </c>
      <c r="BQ172" s="38">
        <f t="shared" si="1058"/>
        <v>0</v>
      </c>
      <c r="BR172" s="38">
        <f t="shared" si="1058"/>
        <v>0</v>
      </c>
      <c r="BS172" s="38">
        <f t="shared" si="1058"/>
        <v>0</v>
      </c>
      <c r="BT172" s="38">
        <f t="shared" si="1058"/>
        <v>0</v>
      </c>
      <c r="BU172" s="85">
        <f t="shared" si="1039"/>
        <v>0</v>
      </c>
      <c r="BV172" s="38">
        <f t="shared" ref="BV172:BY172" si="1079">BV349</f>
        <v>0</v>
      </c>
      <c r="BW172" s="38">
        <f t="shared" si="1079"/>
        <v>0</v>
      </c>
      <c r="BX172" s="38">
        <f t="shared" si="1079"/>
        <v>0</v>
      </c>
      <c r="BY172" s="38">
        <f t="shared" si="1079"/>
        <v>0</v>
      </c>
      <c r="BZ172" s="85">
        <f t="shared" si="1040"/>
        <v>0</v>
      </c>
      <c r="CA172" s="38">
        <f t="shared" si="1060"/>
        <v>0</v>
      </c>
      <c r="CB172" s="38">
        <f t="shared" si="1060"/>
        <v>0</v>
      </c>
      <c r="CC172" s="38">
        <f t="shared" si="1060"/>
        <v>0</v>
      </c>
      <c r="CD172" s="38">
        <f t="shared" si="1060"/>
        <v>0</v>
      </c>
      <c r="CE172" s="85">
        <f t="shared" si="1041"/>
        <v>0</v>
      </c>
      <c r="CF172" s="38">
        <f t="shared" si="1061"/>
        <v>0</v>
      </c>
      <c r="CG172" s="38">
        <f t="shared" si="1061"/>
        <v>0</v>
      </c>
      <c r="CH172" s="38">
        <f t="shared" si="1061"/>
        <v>0</v>
      </c>
      <c r="CI172" s="38">
        <f t="shared" si="1061"/>
        <v>0</v>
      </c>
      <c r="CJ172" s="85">
        <f t="shared" si="1042"/>
        <v>0</v>
      </c>
      <c r="CK172" s="38">
        <f t="shared" si="1062"/>
        <v>0</v>
      </c>
      <c r="CL172" s="38">
        <f t="shared" si="1062"/>
        <v>0</v>
      </c>
      <c r="CM172" s="38">
        <f t="shared" si="1062"/>
        <v>0</v>
      </c>
      <c r="CN172" s="38">
        <f t="shared" si="1062"/>
        <v>0</v>
      </c>
      <c r="CO172" s="85">
        <f t="shared" si="1043"/>
        <v>0</v>
      </c>
      <c r="CP172" s="38">
        <f t="shared" si="1075"/>
        <v>0</v>
      </c>
      <c r="CQ172" s="38">
        <f t="shared" si="1075"/>
        <v>0</v>
      </c>
      <c r="CR172" s="38">
        <f t="shared" si="1075"/>
        <v>0</v>
      </c>
      <c r="CS172" s="38">
        <f t="shared" si="1075"/>
        <v>0</v>
      </c>
      <c r="CT172" s="85">
        <f t="shared" si="1044"/>
        <v>0</v>
      </c>
      <c r="CU172" s="38">
        <f t="shared" si="1064"/>
        <v>0</v>
      </c>
      <c r="CV172" s="38">
        <f t="shared" si="1064"/>
        <v>0</v>
      </c>
      <c r="CW172" s="38">
        <f t="shared" si="1064"/>
        <v>0</v>
      </c>
      <c r="CX172" s="38">
        <f t="shared" si="1064"/>
        <v>0</v>
      </c>
      <c r="CY172" s="85">
        <f t="shared" si="1045"/>
        <v>0</v>
      </c>
      <c r="CZ172" s="38">
        <f t="shared" si="1065"/>
        <v>0</v>
      </c>
      <c r="DA172" s="38">
        <f t="shared" si="1065"/>
        <v>0</v>
      </c>
      <c r="DB172" s="38">
        <f t="shared" si="1065"/>
        <v>0</v>
      </c>
      <c r="DC172" s="38">
        <f t="shared" si="1065"/>
        <v>0</v>
      </c>
      <c r="DD172" s="85">
        <f t="shared" si="1046"/>
        <v>0</v>
      </c>
      <c r="DE172" s="38">
        <f t="shared" si="1066"/>
        <v>0</v>
      </c>
      <c r="DF172" s="38">
        <f t="shared" si="1066"/>
        <v>0</v>
      </c>
      <c r="DG172" s="38">
        <f t="shared" si="1066"/>
        <v>0</v>
      </c>
      <c r="DH172" s="38">
        <f t="shared" si="1066"/>
        <v>0</v>
      </c>
      <c r="DI172" s="85">
        <f t="shared" si="1047"/>
        <v>0</v>
      </c>
      <c r="DJ172" s="38">
        <f t="shared" si="1067"/>
        <v>0</v>
      </c>
      <c r="DK172" s="38">
        <f t="shared" si="1067"/>
        <v>0</v>
      </c>
      <c r="DL172" s="38">
        <f t="shared" si="1067"/>
        <v>0</v>
      </c>
      <c r="DM172" s="38">
        <f t="shared" si="1067"/>
        <v>0</v>
      </c>
      <c r="DN172" s="85">
        <f t="shared" si="1048"/>
        <v>0</v>
      </c>
      <c r="DO172" s="38">
        <f t="shared" si="1068"/>
        <v>0</v>
      </c>
      <c r="DP172" s="38">
        <f t="shared" si="1068"/>
        <v>0</v>
      </c>
      <c r="DQ172" s="38">
        <f t="shared" si="1068"/>
        <v>0</v>
      </c>
      <c r="DR172" s="38">
        <f t="shared" si="1068"/>
        <v>0</v>
      </c>
      <c r="DS172" s="85">
        <f t="shared" si="1049"/>
        <v>0</v>
      </c>
      <c r="DT172" s="38">
        <f t="shared" si="1069"/>
        <v>0</v>
      </c>
      <c r="DU172" s="38">
        <f t="shared" si="1069"/>
        <v>0</v>
      </c>
      <c r="DV172" s="38">
        <f t="shared" si="1069"/>
        <v>0</v>
      </c>
      <c r="DW172" s="38">
        <f t="shared" si="1069"/>
        <v>0</v>
      </c>
      <c r="DX172" s="85">
        <f t="shared" si="1050"/>
        <v>0</v>
      </c>
      <c r="DY172" s="38">
        <f t="shared" ref="DY172:EB172" si="1080">DY349</f>
        <v>0</v>
      </c>
      <c r="DZ172" s="38">
        <f t="shared" si="1080"/>
        <v>0</v>
      </c>
      <c r="EA172" s="38">
        <f t="shared" si="1080"/>
        <v>0</v>
      </c>
      <c r="EB172" s="38">
        <f t="shared" si="1080"/>
        <v>0</v>
      </c>
      <c r="EC172" s="85">
        <f t="shared" si="1051"/>
        <v>0</v>
      </c>
      <c r="ED172" s="38"/>
      <c r="EE172" s="37"/>
      <c r="EF172" s="286"/>
      <c r="EG172" s="25"/>
      <c r="EH172" s="25"/>
      <c r="EI172" s="25"/>
      <c r="EJ172" s="25"/>
      <c r="EK172" s="25"/>
      <c r="EL172" s="25"/>
      <c r="EM172" s="25"/>
      <c r="EN172" s="25"/>
      <c r="EO172" s="25"/>
      <c r="EP172" s="25"/>
      <c r="EQ172" s="25"/>
      <c r="ER172" s="25"/>
      <c r="ES172" s="25"/>
      <c r="ET172" s="25"/>
      <c r="EU172" s="25"/>
      <c r="EX172" s="25"/>
      <c r="EY172" s="294"/>
      <c r="EZ172" s="985"/>
      <c r="FA172" s="985"/>
      <c r="FB172" s="294"/>
      <c r="FC172" s="985"/>
      <c r="FD172" s="25"/>
    </row>
    <row r="173" spans="1:160" x14ac:dyDescent="0.2">
      <c r="A173" s="283" t="s">
        <v>610</v>
      </c>
      <c r="B173" s="85"/>
      <c r="C173" s="87"/>
      <c r="D173" s="38"/>
      <c r="E173" s="38"/>
      <c r="F173" s="39"/>
      <c r="G173" s="85"/>
      <c r="H173" s="87"/>
      <c r="I173" s="38"/>
      <c r="J173" s="38"/>
      <c r="K173" s="38"/>
      <c r="L173" s="85"/>
      <c r="M173" s="38"/>
      <c r="N173" s="38"/>
      <c r="O173" s="38"/>
      <c r="P173" s="38"/>
      <c r="Q173" s="85"/>
      <c r="R173" s="38"/>
      <c r="S173" s="38"/>
      <c r="T173" s="38"/>
      <c r="U173" s="39"/>
      <c r="V173" s="85"/>
      <c r="W173" s="38"/>
      <c r="X173" s="38"/>
      <c r="Y173" s="38"/>
      <c r="Z173" s="39"/>
      <c r="AA173" s="85"/>
      <c r="AB173" s="87"/>
      <c r="AC173" s="38"/>
      <c r="AD173" s="38"/>
      <c r="AE173" s="38"/>
      <c r="AF173" s="85"/>
      <c r="AG173" s="38"/>
      <c r="AH173" s="38"/>
      <c r="AI173" s="38"/>
      <c r="AJ173" s="38"/>
      <c r="AK173" s="85"/>
      <c r="AL173" s="38"/>
      <c r="AM173" s="38"/>
      <c r="AN173" s="38"/>
      <c r="AO173" s="38"/>
      <c r="AP173" s="85"/>
      <c r="AQ173" s="38"/>
      <c r="AR173" s="38"/>
      <c r="AS173" s="38"/>
      <c r="AT173" s="38"/>
      <c r="AU173" s="86"/>
      <c r="AV173" s="45"/>
      <c r="AW173" s="38">
        <f>AW37</f>
        <v>0</v>
      </c>
      <c r="AX173" s="38">
        <f>AX37</f>
        <v>0</v>
      </c>
      <c r="AY173" s="38">
        <f>AY37</f>
        <v>0</v>
      </c>
      <c r="AZ173" s="38">
        <f>AZ37</f>
        <v>0</v>
      </c>
      <c r="BA173" s="85">
        <f t="shared" si="1037"/>
        <v>0</v>
      </c>
      <c r="BB173" s="38">
        <f>BB37</f>
        <v>0.4</v>
      </c>
      <c r="BC173" s="38">
        <f>BC37</f>
        <v>0.3</v>
      </c>
      <c r="BD173" s="38">
        <f>BD37</f>
        <v>0.2</v>
      </c>
      <c r="BE173" s="38">
        <f>BE37</f>
        <v>0.3</v>
      </c>
      <c r="BF173" s="85">
        <f t="shared" si="1038"/>
        <v>1.2</v>
      </c>
      <c r="BG173" s="38">
        <f>BG37</f>
        <v>1.2</v>
      </c>
      <c r="BH173" s="38">
        <f>BH37</f>
        <v>0.6</v>
      </c>
      <c r="BI173" s="38">
        <f>BI37</f>
        <v>-0.4</v>
      </c>
      <c r="BJ173" s="38">
        <f>BJ37</f>
        <v>2.7</v>
      </c>
      <c r="BK173" s="85">
        <f t="shared" si="1055"/>
        <v>4.0999999999999996</v>
      </c>
      <c r="BL173" s="38">
        <f>BL37</f>
        <v>5.2</v>
      </c>
      <c r="BM173" s="38">
        <f>BM37</f>
        <v>1.6</v>
      </c>
      <c r="BN173" s="38">
        <f>BN37</f>
        <v>2.9</v>
      </c>
      <c r="BO173" s="38">
        <f>BO37</f>
        <v>3</v>
      </c>
      <c r="BP173" s="85">
        <f t="shared" si="1057"/>
        <v>12.700000000000001</v>
      </c>
      <c r="BQ173" s="38">
        <f>BQ37</f>
        <v>4</v>
      </c>
      <c r="BR173" s="38">
        <f>BR37</f>
        <v>5.9</v>
      </c>
      <c r="BS173" s="38">
        <f>BS37</f>
        <v>-4.0999999999999996</v>
      </c>
      <c r="BT173" s="38">
        <f>BT37</f>
        <v>3.3999999999999986</v>
      </c>
      <c r="BU173" s="85">
        <f t="shared" si="1039"/>
        <v>9.1999999999999993</v>
      </c>
      <c r="BV173" s="38">
        <v>4.5</v>
      </c>
      <c r="BW173" s="38">
        <v>5.8</v>
      </c>
      <c r="BX173" s="38">
        <v>-4.7</v>
      </c>
      <c r="BY173" s="38">
        <v>4.5999999999999996</v>
      </c>
      <c r="BZ173" s="85">
        <f t="shared" si="1040"/>
        <v>10.199999999999999</v>
      </c>
      <c r="CA173" s="38">
        <v>0.9</v>
      </c>
      <c r="CB173" s="38">
        <v>10.1</v>
      </c>
      <c r="CC173" s="38">
        <v>4.7</v>
      </c>
      <c r="CD173" s="38">
        <v>2</v>
      </c>
      <c r="CE173" s="85">
        <f t="shared" ref="CE173" si="1081">SUM(CA173:CD173)</f>
        <v>17.7</v>
      </c>
      <c r="CF173" s="38">
        <v>-15.7</v>
      </c>
      <c r="CG173" s="38">
        <v>7.8</v>
      </c>
      <c r="CH173" s="38">
        <v>0.3</v>
      </c>
      <c r="CI173" s="38">
        <v>-0.4</v>
      </c>
      <c r="CJ173" s="85">
        <f>SUM(CF173:CI173)</f>
        <v>-8</v>
      </c>
      <c r="CK173" s="38">
        <v>-2.9</v>
      </c>
      <c r="CL173" s="38">
        <v>4.0999999999999996</v>
      </c>
      <c r="CM173" s="38">
        <v>-1.3</v>
      </c>
      <c r="CN173" s="38">
        <v>1.2</v>
      </c>
      <c r="CO173" s="85">
        <f t="shared" si="1043"/>
        <v>1.0999999999999996</v>
      </c>
      <c r="CP173" s="38">
        <v>-10</v>
      </c>
      <c r="CQ173" s="38">
        <v>4</v>
      </c>
      <c r="CR173" s="38">
        <f>CR37</f>
        <v>-5</v>
      </c>
      <c r="CS173" s="38">
        <f>CS37</f>
        <v>-4</v>
      </c>
      <c r="CT173" s="85">
        <f t="shared" si="1044"/>
        <v>-15</v>
      </c>
      <c r="CU173" s="38">
        <f>CU37</f>
        <v>-7</v>
      </c>
      <c r="CV173" s="38">
        <f>CV37</f>
        <v>-6</v>
      </c>
      <c r="CW173" s="38">
        <f>CW37</f>
        <v>-6</v>
      </c>
      <c r="CX173" s="38">
        <f>CX37</f>
        <v>-5</v>
      </c>
      <c r="CY173" s="85">
        <f t="shared" si="1045"/>
        <v>-24</v>
      </c>
      <c r="CZ173" s="38">
        <f>CZ37</f>
        <v>-8</v>
      </c>
      <c r="DA173" s="38">
        <f>DA37</f>
        <v>-7</v>
      </c>
      <c r="DB173" s="38">
        <f>DB37</f>
        <v>-7</v>
      </c>
      <c r="DC173" s="38">
        <f>DC37</f>
        <v>-6</v>
      </c>
      <c r="DD173" s="85">
        <f t="shared" si="1046"/>
        <v>-28</v>
      </c>
      <c r="DE173" s="38">
        <f>DE37</f>
        <v>-7</v>
      </c>
      <c r="DF173" s="38">
        <f>DF37</f>
        <v>-7</v>
      </c>
      <c r="DG173" s="38">
        <f>DG37</f>
        <v>-7</v>
      </c>
      <c r="DH173" s="38">
        <f>DH37</f>
        <v>-7</v>
      </c>
      <c r="DI173" s="85">
        <f t="shared" si="1047"/>
        <v>-28</v>
      </c>
      <c r="DJ173" s="38">
        <f>DJ37</f>
        <v>-8.5</v>
      </c>
      <c r="DK173" s="38">
        <f>DK37</f>
        <v>-8.5</v>
      </c>
      <c r="DL173" s="38">
        <f>DL37</f>
        <v>-8.5</v>
      </c>
      <c r="DM173" s="38">
        <f>DM37</f>
        <v>-8.5</v>
      </c>
      <c r="DN173" s="85">
        <f t="shared" si="1048"/>
        <v>-34</v>
      </c>
      <c r="DO173" s="38">
        <f>DO37</f>
        <v>-10</v>
      </c>
      <c r="DP173" s="38">
        <f>DP37</f>
        <v>-10</v>
      </c>
      <c r="DQ173" s="38">
        <f>DQ37</f>
        <v>-10</v>
      </c>
      <c r="DR173" s="38">
        <f>DR37</f>
        <v>-10</v>
      </c>
      <c r="DS173" s="85">
        <f t="shared" si="1049"/>
        <v>-40</v>
      </c>
      <c r="DT173" s="38">
        <f>DT37</f>
        <v>-11.5</v>
      </c>
      <c r="DU173" s="38">
        <f>DU37</f>
        <v>-11.5</v>
      </c>
      <c r="DV173" s="38">
        <f>DV37</f>
        <v>-11.5</v>
      </c>
      <c r="DW173" s="38">
        <f>DW37</f>
        <v>-11.5</v>
      </c>
      <c r="DX173" s="85">
        <f t="shared" si="1050"/>
        <v>-46</v>
      </c>
      <c r="DY173" s="38">
        <f>DY37</f>
        <v>-13</v>
      </c>
      <c r="DZ173" s="38">
        <f>DZ37</f>
        <v>-13</v>
      </c>
      <c r="EA173" s="38">
        <f>EA37</f>
        <v>-13</v>
      </c>
      <c r="EB173" s="38">
        <f>EB37</f>
        <v>-13</v>
      </c>
      <c r="EC173" s="85">
        <f t="shared" si="1051"/>
        <v>-52</v>
      </c>
      <c r="ED173" s="38"/>
      <c r="EE173" s="37"/>
      <c r="EF173" s="286"/>
      <c r="EG173" s="25"/>
      <c r="EH173" s="25"/>
      <c r="EI173" s="25"/>
      <c r="EJ173" s="25"/>
      <c r="EK173" s="25"/>
      <c r="EL173" s="25"/>
      <c r="EM173" s="25"/>
      <c r="EN173" s="25"/>
      <c r="EO173" s="25"/>
      <c r="EP173" s="25"/>
      <c r="EQ173" s="25"/>
      <c r="ER173" s="25"/>
      <c r="ES173" s="25"/>
      <c r="ET173" s="25"/>
      <c r="EU173" s="25"/>
      <c r="EX173" s="25"/>
      <c r="EY173" s="294"/>
      <c r="EZ173" s="985"/>
      <c r="FA173" s="985"/>
      <c r="FB173" s="294"/>
      <c r="FC173" s="985"/>
      <c r="FD173" s="25"/>
    </row>
    <row r="174" spans="1:160" x14ac:dyDescent="0.2">
      <c r="A174" s="283" t="s">
        <v>622</v>
      </c>
      <c r="B174" s="85"/>
      <c r="C174" s="87"/>
      <c r="D174" s="38"/>
      <c r="E174" s="38"/>
      <c r="F174" s="39"/>
      <c r="G174" s="85"/>
      <c r="H174" s="87"/>
      <c r="I174" s="38"/>
      <c r="J174" s="38"/>
      <c r="K174" s="38"/>
      <c r="L174" s="85"/>
      <c r="M174" s="38"/>
      <c r="N174" s="38"/>
      <c r="O174" s="38"/>
      <c r="P174" s="38"/>
      <c r="Q174" s="85"/>
      <c r="R174" s="38"/>
      <c r="S174" s="38"/>
      <c r="T174" s="38"/>
      <c r="U174" s="39"/>
      <c r="V174" s="85"/>
      <c r="W174" s="38"/>
      <c r="X174" s="38"/>
      <c r="Y174" s="38"/>
      <c r="Z174" s="39"/>
      <c r="AA174" s="85"/>
      <c r="AB174" s="87"/>
      <c r="AC174" s="38"/>
      <c r="AD174" s="38"/>
      <c r="AE174" s="38"/>
      <c r="AF174" s="85"/>
      <c r="AG174" s="38"/>
      <c r="AH174" s="38"/>
      <c r="AI174" s="38"/>
      <c r="AJ174" s="38"/>
      <c r="AK174" s="85"/>
      <c r="AL174" s="38"/>
      <c r="AM174" s="38"/>
      <c r="AN174" s="38"/>
      <c r="AO174" s="38"/>
      <c r="AP174" s="85"/>
      <c r="AQ174" s="38"/>
      <c r="AR174" s="38"/>
      <c r="AS174" s="38"/>
      <c r="AT174" s="38"/>
      <c r="AU174" s="86"/>
      <c r="AV174" s="45"/>
      <c r="AW174" s="38"/>
      <c r="AX174" s="38"/>
      <c r="AY174" s="38"/>
      <c r="AZ174" s="38"/>
      <c r="BA174" s="85"/>
      <c r="BB174" s="38"/>
      <c r="BC174" s="38"/>
      <c r="BD174" s="38"/>
      <c r="BE174" s="38"/>
      <c r="BF174" s="85"/>
      <c r="BG174" s="38"/>
      <c r="BH174" s="38"/>
      <c r="BI174" s="38"/>
      <c r="BJ174" s="38"/>
      <c r="BK174" s="85"/>
      <c r="BL174" s="38"/>
      <c r="BM174" s="38"/>
      <c r="BN174" s="38"/>
      <c r="BO174" s="38"/>
      <c r="BP174" s="85"/>
      <c r="BQ174" s="38"/>
      <c r="BR174" s="38"/>
      <c r="BS174" s="38"/>
      <c r="BT174" s="38">
        <v>7.4</v>
      </c>
      <c r="BU174" s="85">
        <f t="shared" si="1039"/>
        <v>7.4</v>
      </c>
      <c r="BV174" s="38"/>
      <c r="BW174" s="38"/>
      <c r="BX174" s="38"/>
      <c r="BY174" s="38"/>
      <c r="BZ174" s="85">
        <f t="shared" si="1040"/>
        <v>0</v>
      </c>
      <c r="CA174" s="38">
        <v>0</v>
      </c>
      <c r="CB174" s="38"/>
      <c r="CC174" s="38"/>
      <c r="CD174" s="38"/>
      <c r="CE174" s="85"/>
      <c r="CF174" s="38"/>
      <c r="CG174" s="38"/>
      <c r="CH174" s="38"/>
      <c r="CI174" s="38"/>
      <c r="CJ174" s="85"/>
      <c r="CK174" s="38"/>
      <c r="CL174" s="38">
        <v>0</v>
      </c>
      <c r="CM174" s="38"/>
      <c r="CN174" s="38"/>
      <c r="CO174" s="85"/>
      <c r="CP174" s="38"/>
      <c r="CQ174" s="38"/>
      <c r="CR174" s="38"/>
      <c r="CS174" s="38"/>
      <c r="CT174" s="85"/>
      <c r="CU174" s="38"/>
      <c r="CV174" s="38"/>
      <c r="CW174" s="38"/>
      <c r="CX174" s="38"/>
      <c r="CY174" s="85"/>
      <c r="CZ174" s="38"/>
      <c r="DA174" s="38"/>
      <c r="DB174" s="38"/>
      <c r="DC174" s="38"/>
      <c r="DD174" s="85"/>
      <c r="DE174" s="38"/>
      <c r="DF174" s="38"/>
      <c r="DG174" s="38"/>
      <c r="DH174" s="38"/>
      <c r="DI174" s="85"/>
      <c r="DJ174" s="38"/>
      <c r="DK174" s="38"/>
      <c r="DL174" s="38"/>
      <c r="DM174" s="38"/>
      <c r="DN174" s="85"/>
      <c r="DO174" s="38"/>
      <c r="DP174" s="38"/>
      <c r="DQ174" s="38"/>
      <c r="DR174" s="38"/>
      <c r="DS174" s="85"/>
      <c r="DT174" s="38"/>
      <c r="DU174" s="38"/>
      <c r="DV174" s="38"/>
      <c r="DW174" s="38"/>
      <c r="DX174" s="85"/>
      <c r="DY174" s="38"/>
      <c r="DZ174" s="38"/>
      <c r="EA174" s="38"/>
      <c r="EB174" s="38"/>
      <c r="EC174" s="85"/>
      <c r="ED174" s="38"/>
      <c r="EE174" s="37"/>
      <c r="EF174" s="286"/>
      <c r="EG174" s="25"/>
      <c r="EH174" s="25"/>
      <c r="EI174" s="25"/>
      <c r="EJ174" s="25"/>
      <c r="EK174" s="25"/>
      <c r="EL174" s="25"/>
      <c r="EM174" s="25"/>
      <c r="EN174" s="25"/>
      <c r="EO174" s="25"/>
      <c r="EP174" s="25"/>
      <c r="EQ174" s="25"/>
      <c r="ER174" s="25"/>
      <c r="ES174" s="25"/>
      <c r="ET174" s="25"/>
      <c r="EU174" s="25"/>
      <c r="EX174" s="25"/>
      <c r="EY174" s="294"/>
      <c r="EZ174" s="985"/>
      <c r="FA174" s="985"/>
      <c r="FB174" s="294"/>
      <c r="FC174" s="985"/>
      <c r="FD174" s="25"/>
    </row>
    <row r="175" spans="1:160" x14ac:dyDescent="0.2">
      <c r="A175" s="283" t="s">
        <v>855</v>
      </c>
      <c r="B175" s="85"/>
      <c r="C175" s="87"/>
      <c r="D175" s="38"/>
      <c r="E175" s="38"/>
      <c r="F175" s="39"/>
      <c r="G175" s="85"/>
      <c r="H175" s="87"/>
      <c r="I175" s="38"/>
      <c r="J175" s="38"/>
      <c r="K175" s="38"/>
      <c r="L175" s="85"/>
      <c r="M175" s="38"/>
      <c r="N175" s="38"/>
      <c r="O175" s="38"/>
      <c r="P175" s="38"/>
      <c r="Q175" s="85"/>
      <c r="R175" s="38"/>
      <c r="S175" s="38"/>
      <c r="T175" s="38"/>
      <c r="U175" s="39"/>
      <c r="V175" s="85"/>
      <c r="W175" s="38"/>
      <c r="X175" s="38"/>
      <c r="Y175" s="38"/>
      <c r="Z175" s="39"/>
      <c r="AA175" s="85"/>
      <c r="AB175" s="87"/>
      <c r="AC175" s="38"/>
      <c r="AD175" s="38"/>
      <c r="AE175" s="38"/>
      <c r="AF175" s="85"/>
      <c r="AG175" s="38"/>
      <c r="AH175" s="38"/>
      <c r="AI175" s="38"/>
      <c r="AJ175" s="38"/>
      <c r="AK175" s="85"/>
      <c r="AL175" s="38"/>
      <c r="AM175" s="38"/>
      <c r="AN175" s="38"/>
      <c r="AO175" s="38"/>
      <c r="AP175" s="85"/>
      <c r="AQ175" s="38"/>
      <c r="AR175" s="38"/>
      <c r="AS175" s="38"/>
      <c r="AT175" s="38"/>
      <c r="AU175" s="86"/>
      <c r="AV175" s="45"/>
      <c r="AW175" s="38"/>
      <c r="AX175" s="38"/>
      <c r="AY175" s="38"/>
      <c r="AZ175" s="38"/>
      <c r="BA175" s="85"/>
      <c r="BB175" s="38"/>
      <c r="BC175" s="38"/>
      <c r="BD175" s="38"/>
      <c r="BE175" s="38"/>
      <c r="BF175" s="85"/>
      <c r="BG175" s="38"/>
      <c r="BH175" s="38"/>
      <c r="BI175" s="38"/>
      <c r="BJ175" s="38"/>
      <c r="BK175" s="85"/>
      <c r="BL175" s="38"/>
      <c r="BM175" s="38"/>
      <c r="BN175" s="38"/>
      <c r="BO175" s="38"/>
      <c r="BP175" s="85"/>
      <c r="BQ175" s="38"/>
      <c r="BR175" s="38"/>
      <c r="BS175" s="38"/>
      <c r="BT175" s="38"/>
      <c r="BU175" s="85"/>
      <c r="BV175" s="38"/>
      <c r="BW175" s="38"/>
      <c r="BX175" s="38"/>
      <c r="BY175" s="38"/>
      <c r="BZ175" s="85"/>
      <c r="CA175" s="38"/>
      <c r="CB175" s="38"/>
      <c r="CC175" s="38"/>
      <c r="CD175" s="38"/>
      <c r="CE175" s="85"/>
      <c r="CF175" s="38"/>
      <c r="CG175" s="38"/>
      <c r="CH175" s="38"/>
      <c r="CI175" s="38"/>
      <c r="CJ175" s="85"/>
      <c r="CK175" s="38"/>
      <c r="CL175" s="38"/>
      <c r="CM175" s="38"/>
      <c r="CN175" s="38"/>
      <c r="CO175" s="85"/>
      <c r="CP175" s="38">
        <v>7.1</v>
      </c>
      <c r="CQ175" s="38"/>
      <c r="CR175" s="38"/>
      <c r="CS175" s="38"/>
      <c r="CT175" s="85"/>
      <c r="CU175" s="38"/>
      <c r="CV175" s="38"/>
      <c r="CW175" s="38"/>
      <c r="CX175" s="38"/>
      <c r="CY175" s="85"/>
      <c r="CZ175" s="38"/>
      <c r="DA175" s="38"/>
      <c r="DB175" s="38"/>
      <c r="DC175" s="38"/>
      <c r="DD175" s="85"/>
      <c r="DE175" s="38"/>
      <c r="DF175" s="38"/>
      <c r="DG175" s="38"/>
      <c r="DH175" s="38"/>
      <c r="DI175" s="85"/>
      <c r="DJ175" s="38"/>
      <c r="DK175" s="38"/>
      <c r="DL175" s="38"/>
      <c r="DM175" s="38"/>
      <c r="DN175" s="85"/>
      <c r="DO175" s="38"/>
      <c r="DP175" s="38"/>
      <c r="DQ175" s="38"/>
      <c r="DR175" s="38"/>
      <c r="DS175" s="85"/>
      <c r="DT175" s="38"/>
      <c r="DU175" s="38"/>
      <c r="DV175" s="38"/>
      <c r="DW175" s="38"/>
      <c r="DX175" s="85"/>
      <c r="DY175" s="38"/>
      <c r="DZ175" s="38"/>
      <c r="EA175" s="38"/>
      <c r="EB175" s="38"/>
      <c r="EC175" s="85"/>
      <c r="ED175" s="38"/>
      <c r="EE175" s="37"/>
      <c r="EF175" s="286"/>
      <c r="EG175" s="25"/>
      <c r="EH175" s="25"/>
      <c r="EI175" s="25"/>
      <c r="EJ175" s="25"/>
      <c r="EK175" s="25"/>
      <c r="EL175" s="25"/>
      <c r="EM175" s="25"/>
      <c r="EN175" s="25"/>
      <c r="EO175" s="25"/>
      <c r="EP175" s="25"/>
      <c r="EQ175" s="25"/>
      <c r="ER175" s="25"/>
      <c r="ES175" s="25"/>
      <c r="ET175" s="25"/>
      <c r="EU175" s="25"/>
      <c r="EX175" s="25"/>
      <c r="EY175" s="294"/>
      <c r="EZ175" s="985"/>
      <c r="FA175" s="985"/>
      <c r="FB175" s="294"/>
      <c r="FC175" s="985"/>
      <c r="FD175" s="25"/>
    </row>
    <row r="176" spans="1:160" ht="13.5" customHeight="1" x14ac:dyDescent="0.2">
      <c r="A176" s="283" t="s">
        <v>369</v>
      </c>
      <c r="B176" s="85"/>
      <c r="C176" s="87"/>
      <c r="D176" s="38"/>
      <c r="E176" s="38"/>
      <c r="F176" s="39"/>
      <c r="G176" s="85"/>
      <c r="H176" s="87"/>
      <c r="I176" s="38"/>
      <c r="J176" s="38"/>
      <c r="K176" s="38"/>
      <c r="L176" s="85"/>
      <c r="M176" s="38"/>
      <c r="N176" s="38"/>
      <c r="O176" s="38"/>
      <c r="P176" s="38"/>
      <c r="Q176" s="85"/>
      <c r="R176" s="297"/>
      <c r="S176" s="38"/>
      <c r="T176" s="38"/>
      <c r="U176" s="39"/>
      <c r="V176" s="85"/>
      <c r="W176" s="297"/>
      <c r="X176" s="38"/>
      <c r="Y176" s="38"/>
      <c r="Z176" s="39"/>
      <c r="AA176" s="85"/>
      <c r="AB176" s="87"/>
      <c r="AC176" s="38"/>
      <c r="AD176" s="38"/>
      <c r="AE176" s="38"/>
      <c r="AF176" s="85"/>
      <c r="AG176" s="38"/>
      <c r="AH176" s="38"/>
      <c r="AI176" s="38"/>
      <c r="AJ176" s="38"/>
      <c r="AK176" s="85"/>
      <c r="AL176" s="38"/>
      <c r="AM176" s="38"/>
      <c r="AN176" s="38"/>
      <c r="AO176" s="38"/>
      <c r="AP176" s="85"/>
      <c r="AQ176" s="38"/>
      <c r="AR176" s="38"/>
      <c r="AS176" s="38"/>
      <c r="AT176" s="38"/>
      <c r="AU176" s="86"/>
      <c r="AV176" s="45"/>
      <c r="AW176" s="38">
        <f>AW38</f>
        <v>-4.5</v>
      </c>
      <c r="AX176" s="38">
        <f>AX38</f>
        <v>-1.3</v>
      </c>
      <c r="AY176" s="38">
        <f>AY38</f>
        <v>-5.4</v>
      </c>
      <c r="AZ176" s="38">
        <f>AZ38</f>
        <v>-7</v>
      </c>
      <c r="BA176" s="85">
        <f t="shared" si="1037"/>
        <v>-18.2</v>
      </c>
      <c r="BB176" s="38">
        <f>BB38</f>
        <v>7.4</v>
      </c>
      <c r="BC176" s="38">
        <f>BC38</f>
        <v>4.4000000000000004</v>
      </c>
      <c r="BD176" s="38">
        <f>BD38</f>
        <v>-2.9000000000000004</v>
      </c>
      <c r="BE176" s="38">
        <f>BE38</f>
        <v>1.1999999999999993</v>
      </c>
      <c r="BF176" s="85">
        <f t="shared" si="1038"/>
        <v>10.1</v>
      </c>
      <c r="BG176" s="38">
        <f>BG38</f>
        <v>11.8</v>
      </c>
      <c r="BH176" s="38">
        <f>BH38</f>
        <v>-17.7</v>
      </c>
      <c r="BI176" s="38">
        <f>BI38</f>
        <v>30.699999999999996</v>
      </c>
      <c r="BJ176" s="38">
        <f>BJ38</f>
        <v>24.400000000000002</v>
      </c>
      <c r="BK176" s="85">
        <f t="shared" si="1055"/>
        <v>49.2</v>
      </c>
      <c r="BL176" s="38">
        <f>BL38</f>
        <v>9</v>
      </c>
      <c r="BM176" s="38">
        <f>BM38</f>
        <v>-1.3</v>
      </c>
      <c r="BN176" s="38">
        <f>BN38</f>
        <v>3.6999999999999997</v>
      </c>
      <c r="BO176" s="38">
        <f>BO38</f>
        <v>9.9</v>
      </c>
      <c r="BP176" s="85">
        <f t="shared" si="1057"/>
        <v>21.3</v>
      </c>
      <c r="BQ176" s="38">
        <f>BQ38</f>
        <v>4.5</v>
      </c>
      <c r="BR176" s="38">
        <f>BR38</f>
        <v>5.3999999999999986</v>
      </c>
      <c r="BS176" s="38">
        <f>BS38</f>
        <v>145.9</v>
      </c>
      <c r="BT176" s="38">
        <f>BT38</f>
        <v>171.1</v>
      </c>
      <c r="BU176" s="85">
        <f t="shared" si="1039"/>
        <v>326.89999999999998</v>
      </c>
      <c r="BV176" s="38">
        <f>BV38</f>
        <v>8.4</v>
      </c>
      <c r="BW176" s="38">
        <f>BW38</f>
        <v>5.4</v>
      </c>
      <c r="BX176" s="38">
        <f>BX38</f>
        <v>-0.8</v>
      </c>
      <c r="BY176" s="38">
        <f>BY38</f>
        <v>26.1</v>
      </c>
      <c r="BZ176" s="85">
        <f t="shared" si="1040"/>
        <v>39.1</v>
      </c>
      <c r="CA176" s="38">
        <f>CA38</f>
        <v>37.6</v>
      </c>
      <c r="CB176" s="38">
        <f>CB38</f>
        <v>35.200000000000003</v>
      </c>
      <c r="CC176" s="38">
        <f>CC38</f>
        <v>9.4</v>
      </c>
      <c r="CD176" s="38">
        <f>CD38</f>
        <v>23.300000000000004</v>
      </c>
      <c r="CE176" s="85">
        <f t="shared" ref="CE176:CE187" si="1082">SUM(CA176:CD176)</f>
        <v>105.50000000000003</v>
      </c>
      <c r="CF176" s="38">
        <f>CF38</f>
        <v>40.800000000000004</v>
      </c>
      <c r="CG176" s="38">
        <f>CG38</f>
        <v>-11.299999999999999</v>
      </c>
      <c r="CH176" s="38">
        <f>CH38</f>
        <v>8.6999999999999993</v>
      </c>
      <c r="CI176" s="38">
        <f>CI38</f>
        <v>-38.9</v>
      </c>
      <c r="CJ176" s="85">
        <f t="shared" si="1042"/>
        <v>-0.69999999999999574</v>
      </c>
      <c r="CK176" s="38">
        <f>CK38</f>
        <v>13.8</v>
      </c>
      <c r="CL176" s="38">
        <f>CL38</f>
        <v>46.8</v>
      </c>
      <c r="CM176" s="38">
        <f>CM38</f>
        <v>21.5</v>
      </c>
      <c r="CN176" s="38">
        <f>CN38</f>
        <v>27.1</v>
      </c>
      <c r="CO176" s="85">
        <f t="shared" si="1043"/>
        <v>109.19999999999999</v>
      </c>
      <c r="CP176" s="38">
        <f>CP38</f>
        <v>12.7</v>
      </c>
      <c r="CQ176" s="38">
        <f>CQ38</f>
        <v>30.255000000000003</v>
      </c>
      <c r="CR176" s="38">
        <f>CR38</f>
        <v>23.484999999999999</v>
      </c>
      <c r="CS176" s="38">
        <f>CS38</f>
        <v>25.374999999999996</v>
      </c>
      <c r="CT176" s="85">
        <f t="shared" si="1044"/>
        <v>91.814999999999998</v>
      </c>
      <c r="CU176" s="38">
        <f>CU38</f>
        <v>14.708749999999998</v>
      </c>
      <c r="CV176" s="38">
        <f>CV38</f>
        <v>30.070249999999998</v>
      </c>
      <c r="CW176" s="38">
        <f>CW38</f>
        <v>22.961749999999999</v>
      </c>
      <c r="CX176" s="38">
        <f>CX38</f>
        <v>24.946249999999999</v>
      </c>
      <c r="CY176" s="85">
        <f t="shared" si="1045"/>
        <v>92.686999999999983</v>
      </c>
      <c r="CZ176" s="38">
        <f>CZ38</f>
        <v>14.5145</v>
      </c>
      <c r="DA176" s="38">
        <f>DA38</f>
        <v>30.644075000000001</v>
      </c>
      <c r="DB176" s="38">
        <f>DB38</f>
        <v>23.180150000000001</v>
      </c>
      <c r="DC176" s="38">
        <f>DC38</f>
        <v>25.263874999999999</v>
      </c>
      <c r="DD176" s="85">
        <f t="shared" si="1046"/>
        <v>93.602599999999995</v>
      </c>
      <c r="DE176" s="38">
        <f>DE38</f>
        <v>-4.2832125000000003</v>
      </c>
      <c r="DF176" s="38">
        <f>DF38</f>
        <v>12.652841250000003</v>
      </c>
      <c r="DG176" s="38">
        <f>DG38</f>
        <v>4.8157200000000007</v>
      </c>
      <c r="DH176" s="38">
        <f>DH38</f>
        <v>7.0036312500000015</v>
      </c>
      <c r="DI176" s="85">
        <f t="shared" si="1047"/>
        <v>20.188980000000008</v>
      </c>
      <c r="DJ176" s="38">
        <f>DJ38</f>
        <v>-4.497373125000002</v>
      </c>
      <c r="DK176" s="38">
        <f>DK38</f>
        <v>13.285483312500004</v>
      </c>
      <c r="DL176" s="38">
        <f>DL38</f>
        <v>5.0565060000000006</v>
      </c>
      <c r="DM176" s="38">
        <f>DM38</f>
        <v>7.3538128125000011</v>
      </c>
      <c r="DN176" s="85">
        <f t="shared" si="1048"/>
        <v>21.198429000000004</v>
      </c>
      <c r="DO176" s="38">
        <f>DO38</f>
        <v>-4.7222417812500019</v>
      </c>
      <c r="DP176" s="38">
        <f>DP38</f>
        <v>13.949757478125004</v>
      </c>
      <c r="DQ176" s="38">
        <f>DQ38</f>
        <v>5.309331300000002</v>
      </c>
      <c r="DR176" s="38">
        <f>DR38</f>
        <v>7.7215034531250017</v>
      </c>
      <c r="DS176" s="85">
        <f t="shared" si="1049"/>
        <v>22.258350450000005</v>
      </c>
      <c r="DT176" s="38">
        <f>DT38</f>
        <v>-4.9583538703125019</v>
      </c>
      <c r="DU176" s="38">
        <f>DU38</f>
        <v>14.647245352031256</v>
      </c>
      <c r="DV176" s="38">
        <f>DV38</f>
        <v>5.5747978650000025</v>
      </c>
      <c r="DW176" s="38">
        <f>DW38</f>
        <v>8.1075786257812528</v>
      </c>
      <c r="DX176" s="85">
        <f t="shared" si="1050"/>
        <v>23.371267972500007</v>
      </c>
      <c r="DY176" s="38">
        <f>DY38</f>
        <v>-5.2062715638281265</v>
      </c>
      <c r="DZ176" s="38">
        <f>DZ38</f>
        <v>15.37960761963282</v>
      </c>
      <c r="EA176" s="38">
        <f>EA38</f>
        <v>5.8535377582500034</v>
      </c>
      <c r="EB176" s="38">
        <f>EB38</f>
        <v>8.5129575570703153</v>
      </c>
      <c r="EC176" s="85">
        <f t="shared" ref="EC176:EC187" si="1083">SUM(DY176:EB176)</f>
        <v>24.539831371125011</v>
      </c>
      <c r="ED176" s="38"/>
      <c r="EE176" s="37"/>
      <c r="EF176" s="286"/>
      <c r="EG176" s="25"/>
      <c r="EH176" s="25"/>
      <c r="EI176" s="25"/>
      <c r="EJ176" s="25"/>
      <c r="EK176" s="25"/>
      <c r="EL176" s="25"/>
      <c r="EM176" s="25"/>
      <c r="EN176" s="25"/>
      <c r="EO176" s="25"/>
      <c r="EP176" s="25"/>
      <c r="EQ176" s="25"/>
      <c r="ER176" s="25"/>
      <c r="ES176" s="25"/>
      <c r="ET176" s="25"/>
      <c r="EU176" s="25"/>
      <c r="EX176" s="25"/>
      <c r="EY176" s="294"/>
      <c r="EZ176" s="985"/>
      <c r="FA176" s="985"/>
      <c r="FB176" s="294"/>
      <c r="FC176" s="985"/>
      <c r="FD176" s="25"/>
    </row>
    <row r="177" spans="1:160" hidden="1" outlineLevel="1" x14ac:dyDescent="0.2">
      <c r="A177" s="283" t="s">
        <v>492</v>
      </c>
      <c r="B177" s="85"/>
      <c r="C177" s="87"/>
      <c r="D177" s="38"/>
      <c r="E177" s="38"/>
      <c r="F177" s="39"/>
      <c r="G177" s="85"/>
      <c r="H177" s="87"/>
      <c r="I177" s="38"/>
      <c r="J177" s="38"/>
      <c r="K177" s="38"/>
      <c r="L177" s="85"/>
      <c r="M177" s="38"/>
      <c r="N177" s="38"/>
      <c r="O177" s="38"/>
      <c r="P177" s="38"/>
      <c r="Q177" s="85"/>
      <c r="R177" s="38"/>
      <c r="S177" s="38"/>
      <c r="T177" s="38"/>
      <c r="U177" s="39"/>
      <c r="V177" s="85"/>
      <c r="W177" s="38"/>
      <c r="X177" s="38"/>
      <c r="Y177" s="38"/>
      <c r="Z177" s="39"/>
      <c r="AA177" s="54"/>
      <c r="AB177" s="87"/>
      <c r="AC177" s="38"/>
      <c r="AD177" s="38"/>
      <c r="AE177" s="38">
        <v>7</v>
      </c>
      <c r="AF177" s="85">
        <f>SUM(AB177:AE177)</f>
        <v>7</v>
      </c>
      <c r="AG177" s="38"/>
      <c r="AH177" s="38"/>
      <c r="AI177" s="38"/>
      <c r="AJ177" s="38"/>
      <c r="AK177" s="85"/>
      <c r="AL177" s="38"/>
      <c r="AM177" s="38"/>
      <c r="AN177" s="38"/>
      <c r="AO177" s="38"/>
      <c r="AP177" s="85"/>
      <c r="AQ177" s="38"/>
      <c r="AR177" s="38"/>
      <c r="AS177" s="38"/>
      <c r="AT177" s="38"/>
      <c r="AU177" s="86"/>
      <c r="AV177" s="45"/>
      <c r="AW177" s="38"/>
      <c r="AX177" s="38"/>
      <c r="AY177" s="38"/>
      <c r="AZ177" s="38"/>
      <c r="BA177" s="85">
        <f t="shared" si="1037"/>
        <v>0</v>
      </c>
      <c r="BB177" s="38"/>
      <c r="BC177" s="38"/>
      <c r="BD177" s="38"/>
      <c r="BE177" s="38"/>
      <c r="BF177" s="85">
        <f t="shared" si="1038"/>
        <v>0</v>
      </c>
      <c r="BG177" s="38"/>
      <c r="BH177" s="38"/>
      <c r="BI177" s="38"/>
      <c r="BJ177" s="38"/>
      <c r="BK177" s="85">
        <f t="shared" si="1055"/>
        <v>0</v>
      </c>
      <c r="BL177" s="38"/>
      <c r="BM177" s="38"/>
      <c r="BN177" s="38"/>
      <c r="BO177" s="38"/>
      <c r="BP177" s="85">
        <f t="shared" si="1057"/>
        <v>0</v>
      </c>
      <c r="BQ177" s="38"/>
      <c r="BR177" s="38"/>
      <c r="BS177" s="38"/>
      <c r="BT177" s="38"/>
      <c r="BU177" s="85">
        <f t="shared" si="1039"/>
        <v>0</v>
      </c>
      <c r="BV177" s="38"/>
      <c r="BW177" s="38"/>
      <c r="BX177" s="38"/>
      <c r="BY177" s="38"/>
      <c r="BZ177" s="85">
        <f t="shared" si="1040"/>
        <v>0</v>
      </c>
      <c r="CA177" s="38"/>
      <c r="CB177" s="38"/>
      <c r="CC177" s="38"/>
      <c r="CD177" s="38"/>
      <c r="CE177" s="85">
        <f t="shared" si="1082"/>
        <v>0</v>
      </c>
      <c r="CF177" s="38"/>
      <c r="CG177" s="38"/>
      <c r="CH177" s="38"/>
      <c r="CI177" s="38"/>
      <c r="CJ177" s="85">
        <f t="shared" si="1042"/>
        <v>0</v>
      </c>
      <c r="CK177" s="38"/>
      <c r="CL177" s="38"/>
      <c r="CM177" s="38"/>
      <c r="CN177" s="38"/>
      <c r="CO177" s="85">
        <f t="shared" si="1043"/>
        <v>0</v>
      </c>
      <c r="CP177" s="38"/>
      <c r="CQ177" s="38"/>
      <c r="CR177" s="38"/>
      <c r="CS177" s="38"/>
      <c r="CT177" s="85">
        <f t="shared" si="1044"/>
        <v>0</v>
      </c>
      <c r="CU177" s="38"/>
      <c r="CV177" s="38"/>
      <c r="CW177" s="38"/>
      <c r="CX177" s="38"/>
      <c r="CY177" s="85">
        <f t="shared" si="1045"/>
        <v>0</v>
      </c>
      <c r="CZ177" s="38"/>
      <c r="DA177" s="38"/>
      <c r="DB177" s="38"/>
      <c r="DC177" s="38"/>
      <c r="DD177" s="85">
        <f t="shared" si="1046"/>
        <v>0</v>
      </c>
      <c r="DE177" s="38"/>
      <c r="DF177" s="38"/>
      <c r="DG177" s="38"/>
      <c r="DH177" s="38"/>
      <c r="DI177" s="85">
        <f t="shared" si="1047"/>
        <v>0</v>
      </c>
      <c r="DJ177" s="38"/>
      <c r="DK177" s="38"/>
      <c r="DL177" s="38"/>
      <c r="DM177" s="38"/>
      <c r="DN177" s="85">
        <f t="shared" si="1048"/>
        <v>0</v>
      </c>
      <c r="DO177" s="38"/>
      <c r="DP177" s="38"/>
      <c r="DQ177" s="38"/>
      <c r="DR177" s="38"/>
      <c r="DS177" s="85">
        <f t="shared" si="1049"/>
        <v>0</v>
      </c>
      <c r="DT177" s="38"/>
      <c r="DU177" s="38"/>
      <c r="DV177" s="38"/>
      <c r="DW177" s="38"/>
      <c r="DX177" s="85">
        <f t="shared" si="1050"/>
        <v>0</v>
      </c>
      <c r="DY177" s="38"/>
      <c r="DZ177" s="38"/>
      <c r="EA177" s="38"/>
      <c r="EB177" s="38"/>
      <c r="EC177" s="85">
        <f t="shared" si="1083"/>
        <v>0</v>
      </c>
      <c r="ED177" s="38"/>
      <c r="EE177" s="21"/>
      <c r="EF177" s="284"/>
      <c r="EG177" s="16"/>
      <c r="EH177" s="16"/>
      <c r="EI177" s="16"/>
      <c r="EJ177" s="16"/>
      <c r="EK177" s="16"/>
      <c r="EL177" s="16"/>
      <c r="EM177" s="16"/>
      <c r="EN177" s="16"/>
      <c r="EO177" s="16"/>
      <c r="EP177" s="16"/>
      <c r="EQ177" s="16"/>
      <c r="ER177" s="16"/>
      <c r="ES177" s="16"/>
      <c r="ET177" s="16"/>
      <c r="EU177" s="16"/>
      <c r="EX177" s="16"/>
      <c r="EY177" s="228"/>
      <c r="EZ177" s="477"/>
      <c r="FA177" s="477"/>
      <c r="FB177" s="228"/>
      <c r="FC177" s="477"/>
      <c r="FD177" s="16"/>
    </row>
    <row r="178" spans="1:160" hidden="1" outlineLevel="1" x14ac:dyDescent="0.2">
      <c r="A178" s="283" t="s">
        <v>136</v>
      </c>
      <c r="B178" s="85"/>
      <c r="C178" s="87"/>
      <c r="D178" s="38"/>
      <c r="E178" s="38"/>
      <c r="F178" s="39"/>
      <c r="G178" s="85"/>
      <c r="H178" s="87"/>
      <c r="I178" s="38"/>
      <c r="J178" s="38"/>
      <c r="K178" s="38"/>
      <c r="L178" s="85"/>
      <c r="M178" s="38"/>
      <c r="N178" s="38"/>
      <c r="O178" s="38"/>
      <c r="P178" s="38"/>
      <c r="Q178" s="85"/>
      <c r="R178" s="38"/>
      <c r="S178" s="38"/>
      <c r="T178" s="38"/>
      <c r="U178" s="39"/>
      <c r="V178" s="85"/>
      <c r="W178" s="38"/>
      <c r="X178" s="38"/>
      <c r="Y178" s="38"/>
      <c r="Z178" s="39"/>
      <c r="AA178" s="54"/>
      <c r="AB178" s="87"/>
      <c r="AC178" s="38"/>
      <c r="AD178" s="38"/>
      <c r="AE178" s="38"/>
      <c r="AF178" s="85"/>
      <c r="AG178" s="38"/>
      <c r="AH178" s="38"/>
      <c r="AI178" s="38"/>
      <c r="AJ178" s="38"/>
      <c r="AK178" s="85">
        <v>0</v>
      </c>
      <c r="AL178" s="38">
        <v>2</v>
      </c>
      <c r="AM178" s="38"/>
      <c r="AN178" s="38"/>
      <c r="AO178" s="38"/>
      <c r="AP178" s="85"/>
      <c r="AQ178" s="38"/>
      <c r="AR178" s="38"/>
      <c r="AS178" s="38"/>
      <c r="AT178" s="38"/>
      <c r="AU178" s="86"/>
      <c r="AV178" s="45"/>
      <c r="AW178" s="38"/>
      <c r="AX178" s="38"/>
      <c r="AY178" s="38"/>
      <c r="AZ178" s="38"/>
      <c r="BA178" s="85">
        <f t="shared" si="1037"/>
        <v>0</v>
      </c>
      <c r="BB178" s="38"/>
      <c r="BC178" s="38"/>
      <c r="BD178" s="38"/>
      <c r="BE178" s="38"/>
      <c r="BF178" s="85">
        <f t="shared" si="1038"/>
        <v>0</v>
      </c>
      <c r="BG178" s="38"/>
      <c r="BH178" s="38"/>
      <c r="BI178" s="38"/>
      <c r="BJ178" s="38"/>
      <c r="BK178" s="85">
        <f t="shared" si="1055"/>
        <v>0</v>
      </c>
      <c r="BL178" s="38"/>
      <c r="BM178" s="38"/>
      <c r="BN178" s="38"/>
      <c r="BO178" s="38"/>
      <c r="BP178" s="85">
        <f t="shared" si="1057"/>
        <v>0</v>
      </c>
      <c r="BQ178" s="38"/>
      <c r="BR178" s="38"/>
      <c r="BS178" s="38"/>
      <c r="BT178" s="38"/>
      <c r="BU178" s="85">
        <f t="shared" si="1039"/>
        <v>0</v>
      </c>
      <c r="BV178" s="38"/>
      <c r="BW178" s="38"/>
      <c r="BX178" s="38"/>
      <c r="BY178" s="38"/>
      <c r="BZ178" s="85">
        <f t="shared" si="1040"/>
        <v>0</v>
      </c>
      <c r="CA178" s="38"/>
      <c r="CB178" s="38"/>
      <c r="CC178" s="38"/>
      <c r="CD178" s="38"/>
      <c r="CE178" s="85">
        <f t="shared" si="1082"/>
        <v>0</v>
      </c>
      <c r="CF178" s="38"/>
      <c r="CG178" s="38"/>
      <c r="CH178" s="38"/>
      <c r="CI178" s="38"/>
      <c r="CJ178" s="85">
        <f t="shared" si="1042"/>
        <v>0</v>
      </c>
      <c r="CK178" s="38"/>
      <c r="CL178" s="38"/>
      <c r="CM178" s="38"/>
      <c r="CN178" s="38"/>
      <c r="CO178" s="85">
        <f t="shared" si="1043"/>
        <v>0</v>
      </c>
      <c r="CP178" s="38"/>
      <c r="CQ178" s="38"/>
      <c r="CR178" s="38"/>
      <c r="CS178" s="38"/>
      <c r="CT178" s="85">
        <f t="shared" si="1044"/>
        <v>0</v>
      </c>
      <c r="CU178" s="38"/>
      <c r="CV178" s="38"/>
      <c r="CW178" s="38"/>
      <c r="CX178" s="38"/>
      <c r="CY178" s="85">
        <f t="shared" si="1045"/>
        <v>0</v>
      </c>
      <c r="CZ178" s="38"/>
      <c r="DA178" s="38"/>
      <c r="DB178" s="38"/>
      <c r="DC178" s="38"/>
      <c r="DD178" s="85">
        <f t="shared" si="1046"/>
        <v>0</v>
      </c>
      <c r="DE178" s="38"/>
      <c r="DF178" s="38"/>
      <c r="DG178" s="38"/>
      <c r="DH178" s="38"/>
      <c r="DI178" s="85">
        <f t="shared" si="1047"/>
        <v>0</v>
      </c>
      <c r="DJ178" s="38"/>
      <c r="DK178" s="38"/>
      <c r="DL178" s="38"/>
      <c r="DM178" s="38"/>
      <c r="DN178" s="85">
        <f t="shared" si="1048"/>
        <v>0</v>
      </c>
      <c r="DO178" s="38"/>
      <c r="DP178" s="38"/>
      <c r="DQ178" s="38"/>
      <c r="DR178" s="38"/>
      <c r="DS178" s="85">
        <f t="shared" si="1049"/>
        <v>0</v>
      </c>
      <c r="DT178" s="38"/>
      <c r="DU178" s="38"/>
      <c r="DV178" s="38"/>
      <c r="DW178" s="38"/>
      <c r="DX178" s="85">
        <f t="shared" si="1050"/>
        <v>0</v>
      </c>
      <c r="DY178" s="38"/>
      <c r="DZ178" s="38"/>
      <c r="EA178" s="38"/>
      <c r="EB178" s="38"/>
      <c r="EC178" s="85">
        <f t="shared" si="1083"/>
        <v>0</v>
      </c>
      <c r="ED178" s="38"/>
      <c r="EE178" s="61"/>
      <c r="EF178" s="285"/>
      <c r="EG178" s="118"/>
      <c r="EH178" s="118"/>
      <c r="EI178" s="118"/>
      <c r="EJ178" s="118"/>
      <c r="EK178" s="118"/>
      <c r="EL178" s="118"/>
      <c r="EM178" s="118"/>
      <c r="EN178" s="118"/>
      <c r="EO178" s="118"/>
      <c r="EP178" s="118"/>
      <c r="EQ178" s="118"/>
      <c r="ER178" s="118"/>
      <c r="ES178" s="118"/>
      <c r="ET178" s="118"/>
      <c r="EU178" s="118"/>
      <c r="EX178" s="118"/>
      <c r="EY178" s="986"/>
      <c r="EZ178" s="987"/>
      <c r="FA178" s="987"/>
      <c r="FB178" s="986"/>
      <c r="FC178" s="987"/>
      <c r="FD178" s="118"/>
    </row>
    <row r="179" spans="1:160" hidden="1" outlineLevel="1" x14ac:dyDescent="0.2">
      <c r="A179" s="283" t="s">
        <v>138</v>
      </c>
      <c r="B179" s="85"/>
      <c r="C179" s="87"/>
      <c r="D179" s="38"/>
      <c r="E179" s="38"/>
      <c r="F179" s="39"/>
      <c r="G179" s="85"/>
      <c r="H179" s="87"/>
      <c r="I179" s="38"/>
      <c r="J179" s="38"/>
      <c r="K179" s="38"/>
      <c r="L179" s="85"/>
      <c r="M179" s="38"/>
      <c r="N179" s="38"/>
      <c r="O179" s="38"/>
      <c r="P179" s="38"/>
      <c r="Q179" s="85"/>
      <c r="R179" s="38"/>
      <c r="S179" s="38"/>
      <c r="T179" s="38"/>
      <c r="U179" s="39"/>
      <c r="V179" s="85"/>
      <c r="W179" s="38"/>
      <c r="X179" s="38"/>
      <c r="Y179" s="38"/>
      <c r="Z179" s="39"/>
      <c r="AA179" s="54"/>
      <c r="AB179" s="87"/>
      <c r="AC179" s="38"/>
      <c r="AD179" s="38"/>
      <c r="AE179" s="38"/>
      <c r="AF179" s="85"/>
      <c r="AG179" s="38"/>
      <c r="AH179" s="38"/>
      <c r="AI179" s="38"/>
      <c r="AJ179" s="38"/>
      <c r="AK179" s="85">
        <v>0</v>
      </c>
      <c r="AL179" s="38">
        <v>1</v>
      </c>
      <c r="AM179" s="38">
        <v>1</v>
      </c>
      <c r="AN179" s="38"/>
      <c r="AO179" s="38"/>
      <c r="AP179" s="85"/>
      <c r="AQ179" s="38"/>
      <c r="AR179" s="38"/>
      <c r="AS179" s="38"/>
      <c r="AT179" s="38"/>
      <c r="AU179" s="86"/>
      <c r="AV179" s="45"/>
      <c r="AW179" s="38"/>
      <c r="AX179" s="38"/>
      <c r="AY179" s="38"/>
      <c r="AZ179" s="38"/>
      <c r="BA179" s="85">
        <f t="shared" si="1037"/>
        <v>0</v>
      </c>
      <c r="BB179" s="38"/>
      <c r="BC179" s="38"/>
      <c r="BD179" s="38"/>
      <c r="BE179" s="38"/>
      <c r="BF179" s="85">
        <f t="shared" si="1038"/>
        <v>0</v>
      </c>
      <c r="BG179" s="38"/>
      <c r="BH179" s="38"/>
      <c r="BI179" s="38"/>
      <c r="BJ179" s="38"/>
      <c r="BK179" s="85">
        <f t="shared" si="1055"/>
        <v>0</v>
      </c>
      <c r="BL179" s="38"/>
      <c r="BM179" s="38"/>
      <c r="BN179" s="38"/>
      <c r="BO179" s="38"/>
      <c r="BP179" s="85">
        <f t="shared" si="1057"/>
        <v>0</v>
      </c>
      <c r="BQ179" s="38"/>
      <c r="BR179" s="38"/>
      <c r="BS179" s="38"/>
      <c r="BT179" s="38"/>
      <c r="BU179" s="85">
        <f t="shared" si="1039"/>
        <v>0</v>
      </c>
      <c r="BV179" s="38"/>
      <c r="BW179" s="38"/>
      <c r="BX179" s="38"/>
      <c r="BY179" s="38"/>
      <c r="BZ179" s="85">
        <f t="shared" si="1040"/>
        <v>0</v>
      </c>
      <c r="CA179" s="38"/>
      <c r="CB179" s="38"/>
      <c r="CC179" s="38"/>
      <c r="CD179" s="38"/>
      <c r="CE179" s="85">
        <f t="shared" si="1082"/>
        <v>0</v>
      </c>
      <c r="CF179" s="38"/>
      <c r="CG179" s="38"/>
      <c r="CH179" s="38"/>
      <c r="CI179" s="38"/>
      <c r="CJ179" s="85">
        <f t="shared" si="1042"/>
        <v>0</v>
      </c>
      <c r="CK179" s="38"/>
      <c r="CL179" s="38"/>
      <c r="CM179" s="38"/>
      <c r="CN179" s="38"/>
      <c r="CO179" s="85">
        <f t="shared" si="1043"/>
        <v>0</v>
      </c>
      <c r="CP179" s="38"/>
      <c r="CQ179" s="38"/>
      <c r="CR179" s="38"/>
      <c r="CS179" s="38"/>
      <c r="CT179" s="85">
        <f t="shared" si="1044"/>
        <v>0</v>
      </c>
      <c r="CU179" s="38"/>
      <c r="CV179" s="38"/>
      <c r="CW179" s="38"/>
      <c r="CX179" s="38"/>
      <c r="CY179" s="85">
        <f t="shared" si="1045"/>
        <v>0</v>
      </c>
      <c r="CZ179" s="38"/>
      <c r="DA179" s="38"/>
      <c r="DB179" s="38"/>
      <c r="DC179" s="38"/>
      <c r="DD179" s="85">
        <f t="shared" si="1046"/>
        <v>0</v>
      </c>
      <c r="DE179" s="38"/>
      <c r="DF179" s="38"/>
      <c r="DG179" s="38"/>
      <c r="DH179" s="38"/>
      <c r="DI179" s="85">
        <f t="shared" si="1047"/>
        <v>0</v>
      </c>
      <c r="DJ179" s="38"/>
      <c r="DK179" s="38"/>
      <c r="DL179" s="38"/>
      <c r="DM179" s="38"/>
      <c r="DN179" s="85">
        <f t="shared" si="1048"/>
        <v>0</v>
      </c>
      <c r="DO179" s="38"/>
      <c r="DP179" s="38"/>
      <c r="DQ179" s="38"/>
      <c r="DR179" s="38"/>
      <c r="DS179" s="85">
        <f t="shared" si="1049"/>
        <v>0</v>
      </c>
      <c r="DT179" s="38"/>
      <c r="DU179" s="38"/>
      <c r="DV179" s="38"/>
      <c r="DW179" s="38"/>
      <c r="DX179" s="85">
        <f t="shared" si="1050"/>
        <v>0</v>
      </c>
      <c r="DY179" s="38"/>
      <c r="DZ179" s="38"/>
      <c r="EA179" s="38"/>
      <c r="EB179" s="38"/>
      <c r="EC179" s="85">
        <f t="shared" si="1083"/>
        <v>0</v>
      </c>
      <c r="ED179" s="38"/>
      <c r="EE179" s="21"/>
      <c r="EF179" s="284"/>
      <c r="EG179" s="16"/>
      <c r="EH179" s="16"/>
      <c r="EI179" s="16"/>
      <c r="EJ179" s="16"/>
      <c r="EK179" s="16"/>
      <c r="EL179" s="16"/>
      <c r="EM179" s="16"/>
      <c r="EN179" s="16"/>
      <c r="EO179" s="16"/>
      <c r="EP179" s="16"/>
      <c r="EQ179" s="16"/>
      <c r="ER179" s="16"/>
      <c r="ES179" s="16"/>
      <c r="ET179" s="16"/>
      <c r="EU179" s="16"/>
      <c r="EX179" s="16"/>
      <c r="EY179" s="228"/>
      <c r="EZ179" s="477"/>
      <c r="FA179" s="477"/>
      <c r="FB179" s="228"/>
      <c r="FC179" s="477"/>
      <c r="FD179" s="16"/>
    </row>
    <row r="180" spans="1:160" hidden="1" outlineLevel="1" x14ac:dyDescent="0.2">
      <c r="A180" s="283" t="s">
        <v>425</v>
      </c>
      <c r="B180" s="85"/>
      <c r="C180" s="87"/>
      <c r="D180" s="38"/>
      <c r="E180" s="38"/>
      <c r="F180" s="39"/>
      <c r="G180" s="85"/>
      <c r="H180" s="87"/>
      <c r="I180" s="38"/>
      <c r="J180" s="38"/>
      <c r="K180" s="38"/>
      <c r="L180" s="85"/>
      <c r="M180" s="38"/>
      <c r="N180" s="38"/>
      <c r="O180" s="38"/>
      <c r="P180" s="38"/>
      <c r="Q180" s="85"/>
      <c r="R180" s="38"/>
      <c r="S180" s="38"/>
      <c r="T180" s="38"/>
      <c r="U180" s="39">
        <v>-1</v>
      </c>
      <c r="V180" s="85">
        <v>33</v>
      </c>
      <c r="W180" s="38">
        <v>1</v>
      </c>
      <c r="X180" s="38">
        <v>1</v>
      </c>
      <c r="Y180" s="38">
        <f>AA180-Z180-X180-W180</f>
        <v>-2</v>
      </c>
      <c r="Z180" s="39">
        <v>0</v>
      </c>
      <c r="AA180" s="85">
        <v>0</v>
      </c>
      <c r="AB180" s="87"/>
      <c r="AC180" s="38"/>
      <c r="AD180" s="38"/>
      <c r="AE180" s="38"/>
      <c r="AF180" s="85"/>
      <c r="AG180" s="38"/>
      <c r="AH180" s="38"/>
      <c r="AI180" s="38"/>
      <c r="AJ180" s="38"/>
      <c r="AK180" s="85"/>
      <c r="AL180" s="38"/>
      <c r="AM180" s="38"/>
      <c r="AN180" s="38"/>
      <c r="AO180" s="38"/>
      <c r="AP180" s="85"/>
      <c r="AQ180" s="38"/>
      <c r="AR180" s="38"/>
      <c r="AS180" s="38"/>
      <c r="AT180" s="38"/>
      <c r="AU180" s="86"/>
      <c r="AV180" s="45"/>
      <c r="AW180" s="38"/>
      <c r="AX180" s="38"/>
      <c r="AY180" s="38"/>
      <c r="AZ180" s="38"/>
      <c r="BA180" s="85">
        <f t="shared" si="1037"/>
        <v>0</v>
      </c>
      <c r="BB180" s="38"/>
      <c r="BC180" s="38"/>
      <c r="BD180" s="38"/>
      <c r="BE180" s="38"/>
      <c r="BF180" s="85">
        <f t="shared" si="1038"/>
        <v>0</v>
      </c>
      <c r="BG180" s="38"/>
      <c r="BH180" s="38"/>
      <c r="BI180" s="38"/>
      <c r="BJ180" s="38"/>
      <c r="BK180" s="85">
        <f t="shared" si="1055"/>
        <v>0</v>
      </c>
      <c r="BL180" s="38"/>
      <c r="BM180" s="38"/>
      <c r="BN180" s="38"/>
      <c r="BO180" s="38"/>
      <c r="BP180" s="85">
        <f t="shared" si="1057"/>
        <v>0</v>
      </c>
      <c r="BQ180" s="38"/>
      <c r="BR180" s="38"/>
      <c r="BS180" s="38"/>
      <c r="BT180" s="38"/>
      <c r="BU180" s="85">
        <f t="shared" si="1039"/>
        <v>0</v>
      </c>
      <c r="BV180" s="38"/>
      <c r="BW180" s="38"/>
      <c r="BX180" s="38"/>
      <c r="BY180" s="38"/>
      <c r="BZ180" s="85">
        <f t="shared" si="1040"/>
        <v>0</v>
      </c>
      <c r="CA180" s="38"/>
      <c r="CB180" s="38"/>
      <c r="CC180" s="38"/>
      <c r="CD180" s="38"/>
      <c r="CE180" s="85">
        <f t="shared" si="1082"/>
        <v>0</v>
      </c>
      <c r="CF180" s="38"/>
      <c r="CG180" s="38"/>
      <c r="CH180" s="38"/>
      <c r="CI180" s="38"/>
      <c r="CJ180" s="85">
        <f t="shared" si="1042"/>
        <v>0</v>
      </c>
      <c r="CK180" s="38"/>
      <c r="CL180" s="38"/>
      <c r="CM180" s="38"/>
      <c r="CN180" s="38"/>
      <c r="CO180" s="85">
        <f t="shared" si="1043"/>
        <v>0</v>
      </c>
      <c r="CP180" s="38"/>
      <c r="CQ180" s="38"/>
      <c r="CR180" s="38"/>
      <c r="CS180" s="38"/>
      <c r="CT180" s="85">
        <f t="shared" si="1044"/>
        <v>0</v>
      </c>
      <c r="CU180" s="38"/>
      <c r="CV180" s="38"/>
      <c r="CW180" s="38"/>
      <c r="CX180" s="38"/>
      <c r="CY180" s="85">
        <f t="shared" si="1045"/>
        <v>0</v>
      </c>
      <c r="CZ180" s="38"/>
      <c r="DA180" s="38"/>
      <c r="DB180" s="38"/>
      <c r="DC180" s="38"/>
      <c r="DD180" s="85">
        <f t="shared" si="1046"/>
        <v>0</v>
      </c>
      <c r="DE180" s="38"/>
      <c r="DF180" s="38"/>
      <c r="DG180" s="38"/>
      <c r="DH180" s="38"/>
      <c r="DI180" s="85">
        <f t="shared" si="1047"/>
        <v>0</v>
      </c>
      <c r="DJ180" s="38"/>
      <c r="DK180" s="38"/>
      <c r="DL180" s="38"/>
      <c r="DM180" s="38"/>
      <c r="DN180" s="85">
        <f t="shared" si="1048"/>
        <v>0</v>
      </c>
      <c r="DO180" s="38"/>
      <c r="DP180" s="38"/>
      <c r="DQ180" s="38"/>
      <c r="DR180" s="38"/>
      <c r="DS180" s="85">
        <f t="shared" si="1049"/>
        <v>0</v>
      </c>
      <c r="DT180" s="38"/>
      <c r="DU180" s="38"/>
      <c r="DV180" s="38"/>
      <c r="DW180" s="38"/>
      <c r="DX180" s="85">
        <f t="shared" si="1050"/>
        <v>0</v>
      </c>
      <c r="DY180" s="38"/>
      <c r="DZ180" s="38"/>
      <c r="EA180" s="38"/>
      <c r="EB180" s="38"/>
      <c r="EC180" s="85">
        <f t="shared" si="1083"/>
        <v>0</v>
      </c>
      <c r="ED180" s="38"/>
      <c r="EE180" s="16"/>
      <c r="EF180" s="16"/>
      <c r="EG180" s="16"/>
      <c r="EH180" s="16"/>
      <c r="EI180" s="16"/>
      <c r="EJ180" s="16"/>
      <c r="EK180" s="16"/>
      <c r="EL180" s="16"/>
      <c r="EM180" s="16"/>
      <c r="EN180" s="16"/>
      <c r="EO180" s="16"/>
      <c r="EP180" s="16"/>
      <c r="EQ180" s="16"/>
      <c r="ER180" s="16"/>
      <c r="ES180" s="16"/>
      <c r="ET180" s="16"/>
      <c r="EU180" s="16"/>
      <c r="EX180" s="16"/>
      <c r="EY180" s="228"/>
      <c r="EZ180" s="945"/>
      <c r="FA180" s="477"/>
      <c r="FB180" s="228"/>
      <c r="FC180" s="477"/>
      <c r="FD180" s="16"/>
    </row>
    <row r="181" spans="1:160" hidden="1" outlineLevel="1" x14ac:dyDescent="0.2">
      <c r="A181" s="283" t="s">
        <v>426</v>
      </c>
      <c r="B181" s="85"/>
      <c r="C181" s="87"/>
      <c r="D181" s="38"/>
      <c r="E181" s="38"/>
      <c r="F181" s="39"/>
      <c r="G181" s="85"/>
      <c r="H181" s="87"/>
      <c r="I181" s="38"/>
      <c r="J181" s="38"/>
      <c r="K181" s="38"/>
      <c r="L181" s="85"/>
      <c r="M181" s="38"/>
      <c r="N181" s="38"/>
      <c r="O181" s="38"/>
      <c r="P181" s="38"/>
      <c r="Q181" s="85"/>
      <c r="R181" s="38"/>
      <c r="S181" s="38"/>
      <c r="T181" s="38"/>
      <c r="U181" s="39">
        <v>14</v>
      </c>
      <c r="V181" s="85">
        <v>18</v>
      </c>
      <c r="W181" s="38">
        <v>0</v>
      </c>
      <c r="X181" s="38">
        <v>0</v>
      </c>
      <c r="Y181" s="38">
        <f>AA181-Z181-X181-W181</f>
        <v>0</v>
      </c>
      <c r="Z181" s="39">
        <v>0</v>
      </c>
      <c r="AA181" s="85">
        <v>0</v>
      </c>
      <c r="AB181" s="87"/>
      <c r="AC181" s="38"/>
      <c r="AD181" s="38"/>
      <c r="AE181" s="38"/>
      <c r="AF181" s="85"/>
      <c r="AG181" s="38"/>
      <c r="AH181" s="38"/>
      <c r="AI181" s="38"/>
      <c r="AJ181" s="38"/>
      <c r="AK181" s="85"/>
      <c r="AL181" s="38"/>
      <c r="AM181" s="38"/>
      <c r="AN181" s="38"/>
      <c r="AO181" s="38"/>
      <c r="AP181" s="85"/>
      <c r="AQ181" s="38"/>
      <c r="AR181" s="38"/>
      <c r="AS181" s="38"/>
      <c r="AT181" s="38"/>
      <c r="AU181" s="86"/>
      <c r="AV181" s="45"/>
      <c r="AW181" s="38"/>
      <c r="AX181" s="38"/>
      <c r="AY181" s="38"/>
      <c r="AZ181" s="38"/>
      <c r="BA181" s="85">
        <f t="shared" si="1037"/>
        <v>0</v>
      </c>
      <c r="BB181" s="38"/>
      <c r="BC181" s="38"/>
      <c r="BD181" s="38"/>
      <c r="BE181" s="38"/>
      <c r="BF181" s="85">
        <f t="shared" si="1038"/>
        <v>0</v>
      </c>
      <c r="BG181" s="38"/>
      <c r="BH181" s="38"/>
      <c r="BI181" s="38"/>
      <c r="BJ181" s="38"/>
      <c r="BK181" s="85">
        <f t="shared" si="1055"/>
        <v>0</v>
      </c>
      <c r="BL181" s="38"/>
      <c r="BM181" s="38"/>
      <c r="BN181" s="38"/>
      <c r="BO181" s="38"/>
      <c r="BP181" s="85">
        <f t="shared" si="1057"/>
        <v>0</v>
      </c>
      <c r="BQ181" s="38"/>
      <c r="BR181" s="38"/>
      <c r="BS181" s="38"/>
      <c r="BT181" s="38"/>
      <c r="BU181" s="85">
        <f t="shared" si="1039"/>
        <v>0</v>
      </c>
      <c r="BV181" s="38"/>
      <c r="BW181" s="38"/>
      <c r="BX181" s="38"/>
      <c r="BY181" s="38"/>
      <c r="BZ181" s="85">
        <f t="shared" si="1040"/>
        <v>0</v>
      </c>
      <c r="CA181" s="38"/>
      <c r="CB181" s="38"/>
      <c r="CC181" s="38"/>
      <c r="CD181" s="38"/>
      <c r="CE181" s="85">
        <f t="shared" si="1082"/>
        <v>0</v>
      </c>
      <c r="CF181" s="38"/>
      <c r="CG181" s="38"/>
      <c r="CH181" s="38"/>
      <c r="CI181" s="38"/>
      <c r="CJ181" s="85">
        <f t="shared" si="1042"/>
        <v>0</v>
      </c>
      <c r="CK181" s="38"/>
      <c r="CL181" s="38"/>
      <c r="CM181" s="38"/>
      <c r="CN181" s="38"/>
      <c r="CO181" s="85">
        <f t="shared" si="1043"/>
        <v>0</v>
      </c>
      <c r="CP181" s="38"/>
      <c r="CQ181" s="38"/>
      <c r="CR181" s="38"/>
      <c r="CS181" s="38"/>
      <c r="CT181" s="85">
        <f t="shared" si="1044"/>
        <v>0</v>
      </c>
      <c r="CU181" s="38"/>
      <c r="CV181" s="38"/>
      <c r="CW181" s="38"/>
      <c r="CX181" s="38"/>
      <c r="CY181" s="85">
        <f t="shared" si="1045"/>
        <v>0</v>
      </c>
      <c r="CZ181" s="38"/>
      <c r="DA181" s="38"/>
      <c r="DB181" s="38"/>
      <c r="DC181" s="38"/>
      <c r="DD181" s="85">
        <f t="shared" si="1046"/>
        <v>0</v>
      </c>
      <c r="DE181" s="38"/>
      <c r="DF181" s="38"/>
      <c r="DG181" s="38"/>
      <c r="DH181" s="38"/>
      <c r="DI181" s="85">
        <f t="shared" si="1047"/>
        <v>0</v>
      </c>
      <c r="DJ181" s="38"/>
      <c r="DK181" s="38"/>
      <c r="DL181" s="38"/>
      <c r="DM181" s="38"/>
      <c r="DN181" s="85">
        <f t="shared" si="1048"/>
        <v>0</v>
      </c>
      <c r="DO181" s="38"/>
      <c r="DP181" s="38"/>
      <c r="DQ181" s="38"/>
      <c r="DR181" s="38"/>
      <c r="DS181" s="85">
        <f t="shared" si="1049"/>
        <v>0</v>
      </c>
      <c r="DT181" s="38"/>
      <c r="DU181" s="38"/>
      <c r="DV181" s="38"/>
      <c r="DW181" s="38"/>
      <c r="DX181" s="85">
        <f t="shared" si="1050"/>
        <v>0</v>
      </c>
      <c r="DY181" s="38"/>
      <c r="DZ181" s="38"/>
      <c r="EA181" s="38"/>
      <c r="EB181" s="38"/>
      <c r="EC181" s="85">
        <f t="shared" si="1083"/>
        <v>0</v>
      </c>
      <c r="ED181" s="38"/>
      <c r="EE181" s="21"/>
      <c r="EF181" s="284"/>
      <c r="EG181" s="16"/>
      <c r="EH181" s="16"/>
      <c r="EI181" s="16"/>
      <c r="EJ181" s="16"/>
      <c r="EK181" s="16"/>
      <c r="EL181" s="16"/>
      <c r="EM181" s="16"/>
      <c r="EN181" s="16"/>
      <c r="EO181" s="16"/>
      <c r="EP181" s="16"/>
      <c r="EQ181" s="16"/>
      <c r="ER181" s="16"/>
      <c r="ES181" s="16"/>
      <c r="ET181" s="16"/>
      <c r="EU181" s="16"/>
      <c r="EX181" s="16"/>
      <c r="EY181" s="228"/>
      <c r="EZ181" s="477"/>
      <c r="FA181" s="477"/>
      <c r="FB181" s="228"/>
      <c r="FC181" s="477"/>
      <c r="FD181" s="16"/>
    </row>
    <row r="182" spans="1:160" hidden="1" outlineLevel="1" x14ac:dyDescent="0.2">
      <c r="A182" s="283" t="s">
        <v>427</v>
      </c>
      <c r="B182" s="85"/>
      <c r="C182" s="87"/>
      <c r="D182" s="38"/>
      <c r="E182" s="38"/>
      <c r="F182" s="39"/>
      <c r="G182" s="85"/>
      <c r="H182" s="87"/>
      <c r="I182" s="38"/>
      <c r="J182" s="38"/>
      <c r="K182" s="38"/>
      <c r="L182" s="85"/>
      <c r="M182" s="38"/>
      <c r="N182" s="38"/>
      <c r="O182" s="38"/>
      <c r="P182" s="38"/>
      <c r="Q182" s="85"/>
      <c r="R182" s="38"/>
      <c r="S182" s="38"/>
      <c r="T182" s="38"/>
      <c r="U182" s="39">
        <v>0</v>
      </c>
      <c r="V182" s="85">
        <v>0</v>
      </c>
      <c r="W182" s="38">
        <v>0</v>
      </c>
      <c r="X182" s="38">
        <v>0</v>
      </c>
      <c r="Y182" s="38">
        <v>34</v>
      </c>
      <c r="Z182" s="39">
        <v>-1</v>
      </c>
      <c r="AA182" s="85">
        <v>34</v>
      </c>
      <c r="AB182" s="87"/>
      <c r="AC182" s="38"/>
      <c r="AD182" s="38"/>
      <c r="AE182" s="38"/>
      <c r="AF182" s="85"/>
      <c r="AG182" s="38"/>
      <c r="AH182" s="38"/>
      <c r="AI182" s="38"/>
      <c r="AJ182" s="38"/>
      <c r="AK182" s="85"/>
      <c r="AL182" s="38"/>
      <c r="AM182" s="38"/>
      <c r="AN182" s="38"/>
      <c r="AO182" s="38"/>
      <c r="AP182" s="85"/>
      <c r="AQ182" s="38"/>
      <c r="AR182" s="38"/>
      <c r="AS182" s="38"/>
      <c r="AT182" s="38"/>
      <c r="AU182" s="86"/>
      <c r="AV182" s="45"/>
      <c r="AW182" s="38"/>
      <c r="AX182" s="38"/>
      <c r="AY182" s="38"/>
      <c r="AZ182" s="38"/>
      <c r="BA182" s="85">
        <f t="shared" si="1037"/>
        <v>0</v>
      </c>
      <c r="BB182" s="38"/>
      <c r="BC182" s="38"/>
      <c r="BD182" s="38"/>
      <c r="BE182" s="38"/>
      <c r="BF182" s="85">
        <f t="shared" si="1038"/>
        <v>0</v>
      </c>
      <c r="BG182" s="38"/>
      <c r="BH182" s="38"/>
      <c r="BI182" s="38"/>
      <c r="BJ182" s="38"/>
      <c r="BK182" s="85">
        <f t="shared" si="1055"/>
        <v>0</v>
      </c>
      <c r="BL182" s="38"/>
      <c r="BM182" s="38"/>
      <c r="BN182" s="38"/>
      <c r="BO182" s="38"/>
      <c r="BP182" s="85">
        <f t="shared" si="1057"/>
        <v>0</v>
      </c>
      <c r="BQ182" s="38"/>
      <c r="BR182" s="38"/>
      <c r="BS182" s="38"/>
      <c r="BT182" s="38"/>
      <c r="BU182" s="85">
        <f t="shared" si="1039"/>
        <v>0</v>
      </c>
      <c r="BV182" s="38"/>
      <c r="BW182" s="38"/>
      <c r="BX182" s="38"/>
      <c r="BY182" s="38"/>
      <c r="BZ182" s="85">
        <f t="shared" si="1040"/>
        <v>0</v>
      </c>
      <c r="CA182" s="38"/>
      <c r="CB182" s="38"/>
      <c r="CC182" s="38"/>
      <c r="CD182" s="38"/>
      <c r="CE182" s="85">
        <f t="shared" si="1082"/>
        <v>0</v>
      </c>
      <c r="CF182" s="38"/>
      <c r="CG182" s="38"/>
      <c r="CH182" s="38"/>
      <c r="CI182" s="38"/>
      <c r="CJ182" s="85">
        <f t="shared" si="1042"/>
        <v>0</v>
      </c>
      <c r="CK182" s="38"/>
      <c r="CL182" s="38"/>
      <c r="CM182" s="38"/>
      <c r="CN182" s="38"/>
      <c r="CO182" s="85">
        <f t="shared" si="1043"/>
        <v>0</v>
      </c>
      <c r="CP182" s="38"/>
      <c r="CQ182" s="38"/>
      <c r="CR182" s="38"/>
      <c r="CS182" s="38"/>
      <c r="CT182" s="85">
        <f t="shared" si="1044"/>
        <v>0</v>
      </c>
      <c r="CU182" s="38"/>
      <c r="CV182" s="38"/>
      <c r="CW182" s="38"/>
      <c r="CX182" s="38"/>
      <c r="CY182" s="85">
        <f t="shared" si="1045"/>
        <v>0</v>
      </c>
      <c r="CZ182" s="38"/>
      <c r="DA182" s="38"/>
      <c r="DB182" s="38"/>
      <c r="DC182" s="38"/>
      <c r="DD182" s="85">
        <f t="shared" si="1046"/>
        <v>0</v>
      </c>
      <c r="DE182" s="38"/>
      <c r="DF182" s="38"/>
      <c r="DG182" s="38"/>
      <c r="DH182" s="38"/>
      <c r="DI182" s="85">
        <f t="shared" si="1047"/>
        <v>0</v>
      </c>
      <c r="DJ182" s="38"/>
      <c r="DK182" s="38"/>
      <c r="DL182" s="38"/>
      <c r="DM182" s="38"/>
      <c r="DN182" s="85">
        <f t="shared" si="1048"/>
        <v>0</v>
      </c>
      <c r="DO182" s="38"/>
      <c r="DP182" s="38"/>
      <c r="DQ182" s="38"/>
      <c r="DR182" s="38"/>
      <c r="DS182" s="85">
        <f t="shared" si="1049"/>
        <v>0</v>
      </c>
      <c r="DT182" s="38"/>
      <c r="DU182" s="38"/>
      <c r="DV182" s="38"/>
      <c r="DW182" s="38"/>
      <c r="DX182" s="85">
        <f t="shared" si="1050"/>
        <v>0</v>
      </c>
      <c r="DY182" s="38"/>
      <c r="DZ182" s="38"/>
      <c r="EA182" s="38"/>
      <c r="EB182" s="38"/>
      <c r="EC182" s="85">
        <f t="shared" si="1083"/>
        <v>0</v>
      </c>
      <c r="ED182" s="38"/>
      <c r="EE182" s="21"/>
      <c r="EF182" s="284"/>
      <c r="EG182" s="16"/>
      <c r="EH182" s="16"/>
      <c r="EI182" s="16"/>
      <c r="EJ182" s="16"/>
      <c r="EK182" s="16"/>
      <c r="EL182" s="16"/>
      <c r="EM182" s="16"/>
      <c r="EN182" s="16"/>
      <c r="EO182" s="16"/>
      <c r="EP182" s="16"/>
      <c r="EQ182" s="16"/>
      <c r="ER182" s="16"/>
      <c r="ES182" s="16"/>
      <c r="ET182" s="16"/>
      <c r="EU182" s="16"/>
      <c r="EX182" s="16"/>
      <c r="EY182" s="228"/>
      <c r="EZ182" s="477"/>
      <c r="FA182" s="477"/>
      <c r="FB182" s="228"/>
      <c r="FC182" s="477"/>
      <c r="FD182" s="16"/>
    </row>
    <row r="183" spans="1:160" hidden="1" outlineLevel="1" x14ac:dyDescent="0.2">
      <c r="A183" s="283" t="s">
        <v>428</v>
      </c>
      <c r="B183" s="85"/>
      <c r="C183" s="87"/>
      <c r="D183" s="38"/>
      <c r="E183" s="38"/>
      <c r="F183" s="39"/>
      <c r="G183" s="85"/>
      <c r="H183" s="87"/>
      <c r="I183" s="38"/>
      <c r="J183" s="38"/>
      <c r="K183" s="38"/>
      <c r="L183" s="85"/>
      <c r="M183" s="38"/>
      <c r="N183" s="38"/>
      <c r="O183" s="38"/>
      <c r="P183" s="38"/>
      <c r="Q183" s="85"/>
      <c r="R183" s="38"/>
      <c r="S183" s="38"/>
      <c r="T183" s="38"/>
      <c r="U183" s="39">
        <v>0</v>
      </c>
      <c r="V183" s="85">
        <v>0</v>
      </c>
      <c r="W183" s="38">
        <v>0</v>
      </c>
      <c r="X183" s="38">
        <v>0</v>
      </c>
      <c r="Y183" s="38">
        <f>AA183-Z183-X183-W183</f>
        <v>0</v>
      </c>
      <c r="Z183" s="39">
        <v>30</v>
      </c>
      <c r="AA183" s="85">
        <v>30</v>
      </c>
      <c r="AB183" s="87"/>
      <c r="AC183" s="38"/>
      <c r="AD183" s="38"/>
      <c r="AE183" s="38"/>
      <c r="AF183" s="85"/>
      <c r="AG183" s="38"/>
      <c r="AH183" s="38"/>
      <c r="AI183" s="38"/>
      <c r="AJ183" s="38"/>
      <c r="AK183" s="85"/>
      <c r="AL183" s="38"/>
      <c r="AM183" s="38"/>
      <c r="AN183" s="38"/>
      <c r="AO183" s="38"/>
      <c r="AP183" s="85"/>
      <c r="AQ183" s="38"/>
      <c r="AR183" s="38"/>
      <c r="AS183" s="38"/>
      <c r="AT183" s="38"/>
      <c r="AU183" s="86"/>
      <c r="AV183" s="45"/>
      <c r="AW183" s="38"/>
      <c r="AX183" s="38"/>
      <c r="AY183" s="38"/>
      <c r="AZ183" s="38"/>
      <c r="BA183" s="85">
        <f t="shared" si="1037"/>
        <v>0</v>
      </c>
      <c r="BB183" s="38"/>
      <c r="BC183" s="38"/>
      <c r="BD183" s="38"/>
      <c r="BE183" s="38"/>
      <c r="BF183" s="85">
        <f t="shared" si="1038"/>
        <v>0</v>
      </c>
      <c r="BG183" s="38"/>
      <c r="BH183" s="38"/>
      <c r="BI183" s="38"/>
      <c r="BJ183" s="38"/>
      <c r="BK183" s="85">
        <f t="shared" si="1055"/>
        <v>0</v>
      </c>
      <c r="BL183" s="38"/>
      <c r="BM183" s="38"/>
      <c r="BN183" s="38"/>
      <c r="BO183" s="38"/>
      <c r="BP183" s="85">
        <f t="shared" si="1057"/>
        <v>0</v>
      </c>
      <c r="BQ183" s="38"/>
      <c r="BR183" s="38"/>
      <c r="BS183" s="38"/>
      <c r="BT183" s="38"/>
      <c r="BU183" s="85">
        <f t="shared" si="1039"/>
        <v>0</v>
      </c>
      <c r="BV183" s="38"/>
      <c r="BW183" s="38"/>
      <c r="BX183" s="38"/>
      <c r="BY183" s="38"/>
      <c r="BZ183" s="85">
        <f t="shared" si="1040"/>
        <v>0</v>
      </c>
      <c r="CA183" s="38"/>
      <c r="CB183" s="38"/>
      <c r="CC183" s="38"/>
      <c r="CD183" s="38"/>
      <c r="CE183" s="85">
        <f t="shared" si="1082"/>
        <v>0</v>
      </c>
      <c r="CF183" s="38"/>
      <c r="CG183" s="38"/>
      <c r="CH183" s="38"/>
      <c r="CI183" s="38"/>
      <c r="CJ183" s="85">
        <f t="shared" si="1042"/>
        <v>0</v>
      </c>
      <c r="CK183" s="38"/>
      <c r="CL183" s="38"/>
      <c r="CM183" s="38"/>
      <c r="CN183" s="38"/>
      <c r="CO183" s="85">
        <f t="shared" si="1043"/>
        <v>0</v>
      </c>
      <c r="CP183" s="38"/>
      <c r="CQ183" s="38"/>
      <c r="CR183" s="38"/>
      <c r="CS183" s="38"/>
      <c r="CT183" s="85">
        <f t="shared" si="1044"/>
        <v>0</v>
      </c>
      <c r="CU183" s="38"/>
      <c r="CV183" s="38"/>
      <c r="CW183" s="38"/>
      <c r="CX183" s="38"/>
      <c r="CY183" s="85">
        <f t="shared" si="1045"/>
        <v>0</v>
      </c>
      <c r="CZ183" s="38"/>
      <c r="DA183" s="38"/>
      <c r="DB183" s="38"/>
      <c r="DC183" s="38"/>
      <c r="DD183" s="85">
        <f t="shared" si="1046"/>
        <v>0</v>
      </c>
      <c r="DE183" s="38"/>
      <c r="DF183" s="38"/>
      <c r="DG183" s="38"/>
      <c r="DH183" s="38"/>
      <c r="DI183" s="85">
        <f t="shared" si="1047"/>
        <v>0</v>
      </c>
      <c r="DJ183" s="38"/>
      <c r="DK183" s="38"/>
      <c r="DL183" s="38"/>
      <c r="DM183" s="38"/>
      <c r="DN183" s="85">
        <f t="shared" si="1048"/>
        <v>0</v>
      </c>
      <c r="DO183" s="38"/>
      <c r="DP183" s="38"/>
      <c r="DQ183" s="38"/>
      <c r="DR183" s="38"/>
      <c r="DS183" s="85">
        <f t="shared" si="1049"/>
        <v>0</v>
      </c>
      <c r="DT183" s="38"/>
      <c r="DU183" s="38"/>
      <c r="DV183" s="38"/>
      <c r="DW183" s="38"/>
      <c r="DX183" s="85">
        <f t="shared" si="1050"/>
        <v>0</v>
      </c>
      <c r="DY183" s="38"/>
      <c r="DZ183" s="38"/>
      <c r="EA183" s="38"/>
      <c r="EB183" s="38"/>
      <c r="EC183" s="85">
        <f t="shared" si="1083"/>
        <v>0</v>
      </c>
      <c r="ED183" s="38"/>
      <c r="EE183" s="21"/>
      <c r="EF183" s="373"/>
      <c r="EG183" s="16"/>
      <c r="EH183" s="16"/>
      <c r="EI183" s="16"/>
      <c r="EJ183" s="16"/>
      <c r="EK183" s="16"/>
      <c r="EL183" s="16"/>
      <c r="EM183" s="16"/>
      <c r="EN183" s="16"/>
      <c r="EO183" s="16"/>
      <c r="EP183" s="16"/>
      <c r="EQ183" s="16"/>
      <c r="ER183" s="16"/>
      <c r="ES183" s="16"/>
      <c r="ET183" s="16"/>
      <c r="EU183" s="16"/>
      <c r="EX183" s="16"/>
      <c r="EY183" s="228"/>
      <c r="EZ183" s="477"/>
      <c r="FA183" s="477"/>
      <c r="FB183" s="228"/>
      <c r="FC183" s="477"/>
      <c r="FD183" s="16"/>
    </row>
    <row r="184" spans="1:160" hidden="1" outlineLevel="1" x14ac:dyDescent="0.2">
      <c r="A184" s="283" t="s">
        <v>429</v>
      </c>
      <c r="B184" s="85"/>
      <c r="C184" s="87"/>
      <c r="D184" s="38"/>
      <c r="E184" s="38"/>
      <c r="F184" s="39"/>
      <c r="G184" s="85"/>
      <c r="H184" s="87"/>
      <c r="I184" s="38"/>
      <c r="J184" s="38"/>
      <c r="K184" s="38"/>
      <c r="L184" s="85"/>
      <c r="M184" s="38"/>
      <c r="N184" s="38"/>
      <c r="O184" s="38"/>
      <c r="P184" s="38"/>
      <c r="Q184" s="85"/>
      <c r="R184" s="38"/>
      <c r="S184" s="38"/>
      <c r="T184" s="38"/>
      <c r="U184" s="39">
        <v>4</v>
      </c>
      <c r="V184" s="85">
        <v>9</v>
      </c>
      <c r="W184" s="38">
        <v>0</v>
      </c>
      <c r="X184" s="38">
        <v>3</v>
      </c>
      <c r="Y184" s="38">
        <v>2</v>
      </c>
      <c r="Z184" s="39">
        <v>2</v>
      </c>
      <c r="AA184" s="85">
        <v>9</v>
      </c>
      <c r="AB184" s="87"/>
      <c r="AC184" s="38"/>
      <c r="AD184" s="38"/>
      <c r="AE184" s="38"/>
      <c r="AF184" s="85"/>
      <c r="AG184" s="38"/>
      <c r="AH184" s="38"/>
      <c r="AI184" s="38"/>
      <c r="AJ184" s="38"/>
      <c r="AK184" s="85"/>
      <c r="AL184" s="38"/>
      <c r="AM184" s="38"/>
      <c r="AN184" s="38"/>
      <c r="AO184" s="38"/>
      <c r="AP184" s="85"/>
      <c r="AQ184" s="38"/>
      <c r="AR184" s="38"/>
      <c r="AS184" s="38"/>
      <c r="AT184" s="38"/>
      <c r="AU184" s="86"/>
      <c r="AV184" s="45"/>
      <c r="AW184" s="38"/>
      <c r="AX184" s="38"/>
      <c r="AY184" s="38"/>
      <c r="AZ184" s="38"/>
      <c r="BA184" s="85">
        <f t="shared" si="1037"/>
        <v>0</v>
      </c>
      <c r="BB184" s="38"/>
      <c r="BC184" s="38"/>
      <c r="BD184" s="38"/>
      <c r="BE184" s="38"/>
      <c r="BF184" s="85">
        <f t="shared" si="1038"/>
        <v>0</v>
      </c>
      <c r="BG184" s="38"/>
      <c r="BH184" s="38"/>
      <c r="BI184" s="38"/>
      <c r="BJ184" s="38"/>
      <c r="BK184" s="85">
        <f t="shared" si="1055"/>
        <v>0</v>
      </c>
      <c r="BL184" s="38"/>
      <c r="BM184" s="38"/>
      <c r="BN184" s="38"/>
      <c r="BO184" s="38"/>
      <c r="BP184" s="85">
        <f t="shared" si="1057"/>
        <v>0</v>
      </c>
      <c r="BQ184" s="38"/>
      <c r="BR184" s="38"/>
      <c r="BS184" s="38"/>
      <c r="BT184" s="38"/>
      <c r="BU184" s="85">
        <f t="shared" si="1039"/>
        <v>0</v>
      </c>
      <c r="BV184" s="38"/>
      <c r="BW184" s="38"/>
      <c r="BX184" s="38"/>
      <c r="BY184" s="38"/>
      <c r="BZ184" s="85">
        <f t="shared" si="1040"/>
        <v>0</v>
      </c>
      <c r="CA184" s="38"/>
      <c r="CB184" s="38"/>
      <c r="CC184" s="38"/>
      <c r="CD184" s="38"/>
      <c r="CE184" s="85">
        <f t="shared" si="1082"/>
        <v>0</v>
      </c>
      <c r="CF184" s="38"/>
      <c r="CG184" s="38"/>
      <c r="CH184" s="38"/>
      <c r="CI184" s="38"/>
      <c r="CJ184" s="85">
        <f t="shared" si="1042"/>
        <v>0</v>
      </c>
      <c r="CK184" s="38"/>
      <c r="CL184" s="38"/>
      <c r="CM184" s="38"/>
      <c r="CN184" s="38"/>
      <c r="CO184" s="85">
        <f t="shared" si="1043"/>
        <v>0</v>
      </c>
      <c r="CP184" s="38"/>
      <c r="CQ184" s="38"/>
      <c r="CR184" s="38"/>
      <c r="CS184" s="38"/>
      <c r="CT184" s="85">
        <f t="shared" si="1044"/>
        <v>0</v>
      </c>
      <c r="CU184" s="38"/>
      <c r="CV184" s="38"/>
      <c r="CW184" s="38"/>
      <c r="CX184" s="38"/>
      <c r="CY184" s="85">
        <f t="shared" si="1045"/>
        <v>0</v>
      </c>
      <c r="CZ184" s="38"/>
      <c r="DA184" s="38"/>
      <c r="DB184" s="38"/>
      <c r="DC184" s="38"/>
      <c r="DD184" s="85">
        <f t="shared" si="1046"/>
        <v>0</v>
      </c>
      <c r="DE184" s="38"/>
      <c r="DF184" s="38"/>
      <c r="DG184" s="38"/>
      <c r="DH184" s="38"/>
      <c r="DI184" s="85">
        <f t="shared" si="1047"/>
        <v>0</v>
      </c>
      <c r="DJ184" s="38"/>
      <c r="DK184" s="38"/>
      <c r="DL184" s="38"/>
      <c r="DM184" s="38"/>
      <c r="DN184" s="85">
        <f t="shared" si="1048"/>
        <v>0</v>
      </c>
      <c r="DO184" s="38"/>
      <c r="DP184" s="38"/>
      <c r="DQ184" s="38"/>
      <c r="DR184" s="38"/>
      <c r="DS184" s="85">
        <f t="shared" si="1049"/>
        <v>0</v>
      </c>
      <c r="DT184" s="38"/>
      <c r="DU184" s="38"/>
      <c r="DV184" s="38"/>
      <c r="DW184" s="38"/>
      <c r="DX184" s="85">
        <f t="shared" si="1050"/>
        <v>0</v>
      </c>
      <c r="DY184" s="38"/>
      <c r="DZ184" s="38"/>
      <c r="EA184" s="38"/>
      <c r="EB184" s="38"/>
      <c r="EC184" s="85">
        <f t="shared" si="1083"/>
        <v>0</v>
      </c>
      <c r="ED184" s="38"/>
      <c r="EE184" s="21"/>
      <c r="EF184" s="373"/>
      <c r="EG184" s="16"/>
      <c r="EH184" s="16"/>
      <c r="EI184" s="16"/>
      <c r="EJ184" s="16"/>
      <c r="EK184" s="16"/>
      <c r="EL184" s="16"/>
      <c r="EM184" s="16"/>
      <c r="EN184" s="16"/>
      <c r="EO184" s="16"/>
      <c r="EP184" s="16"/>
      <c r="EQ184" s="16"/>
      <c r="ER184" s="16"/>
      <c r="ES184" s="16"/>
      <c r="ET184" s="16"/>
      <c r="EU184" s="16"/>
      <c r="EX184" s="16"/>
      <c r="EY184" s="228"/>
      <c r="EZ184" s="477"/>
      <c r="FA184" s="477"/>
      <c r="FB184" s="228"/>
      <c r="FC184" s="477"/>
      <c r="FD184" s="16"/>
    </row>
    <row r="185" spans="1:160" hidden="1" outlineLevel="1" x14ac:dyDescent="0.2">
      <c r="A185" s="283" t="s">
        <v>430</v>
      </c>
      <c r="B185" s="85"/>
      <c r="C185" s="87"/>
      <c r="D185" s="38"/>
      <c r="E185" s="38"/>
      <c r="F185" s="39"/>
      <c r="G185" s="85"/>
      <c r="H185" s="87"/>
      <c r="I185" s="38"/>
      <c r="J185" s="38"/>
      <c r="K185" s="38"/>
      <c r="L185" s="85"/>
      <c r="M185" s="38"/>
      <c r="N185" s="38"/>
      <c r="O185" s="38"/>
      <c r="P185" s="38"/>
      <c r="Q185" s="85"/>
      <c r="R185" s="38"/>
      <c r="S185" s="38"/>
      <c r="T185" s="38"/>
      <c r="U185" s="39">
        <v>0</v>
      </c>
      <c r="V185" s="85">
        <v>0</v>
      </c>
      <c r="W185" s="38">
        <v>0</v>
      </c>
      <c r="X185" s="38">
        <v>0</v>
      </c>
      <c r="Y185" s="38">
        <f>AA185-Z185-X185-W185</f>
        <v>0</v>
      </c>
      <c r="Z185" s="39">
        <v>5</v>
      </c>
      <c r="AA185" s="85">
        <v>5</v>
      </c>
      <c r="AB185" s="87"/>
      <c r="AC185" s="38"/>
      <c r="AD185" s="38"/>
      <c r="AE185" s="38"/>
      <c r="AF185" s="85"/>
      <c r="AG185" s="38"/>
      <c r="AH185" s="38"/>
      <c r="AI185" s="38"/>
      <c r="AJ185" s="38"/>
      <c r="AK185" s="85"/>
      <c r="AL185" s="38"/>
      <c r="AM185" s="38"/>
      <c r="AN185" s="38"/>
      <c r="AO185" s="38"/>
      <c r="AP185" s="85"/>
      <c r="AQ185" s="38"/>
      <c r="AR185" s="38"/>
      <c r="AS185" s="38"/>
      <c r="AT185" s="38"/>
      <c r="AU185" s="86"/>
      <c r="AV185" s="45"/>
      <c r="AW185" s="38"/>
      <c r="AX185" s="38"/>
      <c r="AY185" s="38"/>
      <c r="AZ185" s="38"/>
      <c r="BA185" s="85">
        <f t="shared" si="1037"/>
        <v>0</v>
      </c>
      <c r="BB185" s="38"/>
      <c r="BC185" s="38"/>
      <c r="BD185" s="38"/>
      <c r="BE185" s="38"/>
      <c r="BF185" s="85">
        <f t="shared" si="1038"/>
        <v>0</v>
      </c>
      <c r="BG185" s="38"/>
      <c r="BH185" s="38"/>
      <c r="BI185" s="38"/>
      <c r="BJ185" s="38"/>
      <c r="BK185" s="85">
        <f t="shared" si="1055"/>
        <v>0</v>
      </c>
      <c r="BL185" s="38"/>
      <c r="BM185" s="38"/>
      <c r="BN185" s="38"/>
      <c r="BO185" s="38"/>
      <c r="BP185" s="85">
        <f t="shared" si="1057"/>
        <v>0</v>
      </c>
      <c r="BQ185" s="38"/>
      <c r="BR185" s="38"/>
      <c r="BS185" s="38"/>
      <c r="BT185" s="38"/>
      <c r="BU185" s="85">
        <f t="shared" si="1039"/>
        <v>0</v>
      </c>
      <c r="BV185" s="38"/>
      <c r="BW185" s="38"/>
      <c r="BX185" s="38"/>
      <c r="BY185" s="38"/>
      <c r="BZ185" s="85">
        <f t="shared" si="1040"/>
        <v>0</v>
      </c>
      <c r="CA185" s="38"/>
      <c r="CB185" s="38"/>
      <c r="CC185" s="38"/>
      <c r="CD185" s="38"/>
      <c r="CE185" s="85">
        <f t="shared" si="1082"/>
        <v>0</v>
      </c>
      <c r="CF185" s="38"/>
      <c r="CG185" s="38"/>
      <c r="CH185" s="38"/>
      <c r="CI185" s="38"/>
      <c r="CJ185" s="85">
        <f t="shared" si="1042"/>
        <v>0</v>
      </c>
      <c r="CK185" s="38"/>
      <c r="CL185" s="38"/>
      <c r="CM185" s="38"/>
      <c r="CN185" s="38"/>
      <c r="CO185" s="85">
        <f t="shared" si="1043"/>
        <v>0</v>
      </c>
      <c r="CP185" s="38"/>
      <c r="CQ185" s="38"/>
      <c r="CR185" s="38"/>
      <c r="CS185" s="38"/>
      <c r="CT185" s="85">
        <f t="shared" si="1044"/>
        <v>0</v>
      </c>
      <c r="CU185" s="38"/>
      <c r="CV185" s="38"/>
      <c r="CW185" s="38"/>
      <c r="CX185" s="38"/>
      <c r="CY185" s="85">
        <f t="shared" si="1045"/>
        <v>0</v>
      </c>
      <c r="CZ185" s="38"/>
      <c r="DA185" s="38"/>
      <c r="DB185" s="38"/>
      <c r="DC185" s="38"/>
      <c r="DD185" s="85">
        <f t="shared" si="1046"/>
        <v>0</v>
      </c>
      <c r="DE185" s="38"/>
      <c r="DF185" s="38"/>
      <c r="DG185" s="38"/>
      <c r="DH185" s="38"/>
      <c r="DI185" s="85">
        <f t="shared" si="1047"/>
        <v>0</v>
      </c>
      <c r="DJ185" s="38"/>
      <c r="DK185" s="38"/>
      <c r="DL185" s="38"/>
      <c r="DM185" s="38"/>
      <c r="DN185" s="85">
        <f t="shared" si="1048"/>
        <v>0</v>
      </c>
      <c r="DO185" s="38"/>
      <c r="DP185" s="38"/>
      <c r="DQ185" s="38"/>
      <c r="DR185" s="38"/>
      <c r="DS185" s="85">
        <f t="shared" si="1049"/>
        <v>0</v>
      </c>
      <c r="DT185" s="38"/>
      <c r="DU185" s="38"/>
      <c r="DV185" s="38"/>
      <c r="DW185" s="38"/>
      <c r="DX185" s="85">
        <f t="shared" si="1050"/>
        <v>0</v>
      </c>
      <c r="DY185" s="38"/>
      <c r="DZ185" s="38"/>
      <c r="EA185" s="38"/>
      <c r="EB185" s="38"/>
      <c r="EC185" s="85">
        <f t="shared" si="1083"/>
        <v>0</v>
      </c>
      <c r="ED185" s="38"/>
      <c r="EE185" s="21"/>
      <c r="EF185" s="284"/>
      <c r="EG185" s="16"/>
      <c r="EH185" s="16"/>
      <c r="EI185" s="16"/>
      <c r="EJ185" s="16"/>
      <c r="EK185" s="16"/>
      <c r="EL185" s="16"/>
      <c r="EM185" s="16"/>
      <c r="EN185" s="16"/>
      <c r="EO185" s="16"/>
      <c r="EP185" s="16"/>
      <c r="EQ185" s="16"/>
      <c r="ER185" s="16"/>
      <c r="ES185" s="16"/>
      <c r="ET185" s="16"/>
      <c r="EU185" s="16"/>
      <c r="EX185" s="16"/>
      <c r="EY185" s="228"/>
      <c r="EZ185" s="477"/>
      <c r="FA185" s="477"/>
      <c r="FB185" s="228"/>
      <c r="FC185" s="477"/>
      <c r="FD185" s="16"/>
    </row>
    <row r="186" spans="1:160" ht="15" hidden="1" outlineLevel="1" x14ac:dyDescent="0.35">
      <c r="A186" s="283" t="s">
        <v>431</v>
      </c>
      <c r="B186" s="85"/>
      <c r="C186" s="87"/>
      <c r="D186" s="38"/>
      <c r="E186" s="38"/>
      <c r="F186" s="39"/>
      <c r="G186" s="85"/>
      <c r="H186" s="87"/>
      <c r="I186" s="38"/>
      <c r="J186" s="38"/>
      <c r="K186" s="38"/>
      <c r="L186" s="85"/>
      <c r="M186" s="38"/>
      <c r="N186" s="38"/>
      <c r="O186" s="38"/>
      <c r="P186" s="38"/>
      <c r="Q186" s="85"/>
      <c r="R186" s="297"/>
      <c r="S186" s="38"/>
      <c r="T186" s="38"/>
      <c r="U186" s="92">
        <v>0</v>
      </c>
      <c r="V186" s="91">
        <v>0</v>
      </c>
      <c r="W186" s="380">
        <v>0</v>
      </c>
      <c r="X186" s="90">
        <v>0</v>
      </c>
      <c r="Y186" s="90">
        <v>0</v>
      </c>
      <c r="Z186" s="92">
        <v>7</v>
      </c>
      <c r="AA186" s="91">
        <v>10</v>
      </c>
      <c r="AB186" s="89"/>
      <c r="AC186" s="90"/>
      <c r="AD186" s="90"/>
      <c r="AE186" s="90"/>
      <c r="AF186" s="91"/>
      <c r="AG186" s="90"/>
      <c r="AH186" s="90"/>
      <c r="AI186" s="90"/>
      <c r="AJ186" s="90"/>
      <c r="AK186" s="91"/>
      <c r="AL186" s="90"/>
      <c r="AM186" s="90"/>
      <c r="AN186" s="90"/>
      <c r="AO186" s="90"/>
      <c r="AP186" s="91"/>
      <c r="AQ186" s="90"/>
      <c r="AR186" s="90"/>
      <c r="AS186" s="90"/>
      <c r="AT186" s="90"/>
      <c r="AU186" s="884"/>
      <c r="AV186" s="45"/>
      <c r="AW186" s="38"/>
      <c r="AX186" s="38"/>
      <c r="AY186" s="38"/>
      <c r="AZ186" s="38"/>
      <c r="BA186" s="85">
        <f t="shared" si="1037"/>
        <v>0</v>
      </c>
      <c r="BB186" s="38"/>
      <c r="BC186" s="38"/>
      <c r="BD186" s="38"/>
      <c r="BE186" s="38"/>
      <c r="BF186" s="85">
        <f t="shared" si="1038"/>
        <v>0</v>
      </c>
      <c r="BG186" s="38"/>
      <c r="BH186" s="38"/>
      <c r="BI186" s="38"/>
      <c r="BJ186" s="38"/>
      <c r="BK186" s="85">
        <f t="shared" si="1055"/>
        <v>0</v>
      </c>
      <c r="BL186" s="38"/>
      <c r="BM186" s="38"/>
      <c r="BN186" s="38"/>
      <c r="BO186" s="38"/>
      <c r="BP186" s="85">
        <f t="shared" si="1057"/>
        <v>0</v>
      </c>
      <c r="BQ186" s="38"/>
      <c r="BR186" s="38"/>
      <c r="BS186" s="38"/>
      <c r="BT186" s="38"/>
      <c r="BU186" s="85">
        <f t="shared" si="1039"/>
        <v>0</v>
      </c>
      <c r="BV186" s="38"/>
      <c r="BW186" s="38"/>
      <c r="BX186" s="38"/>
      <c r="BY186" s="38"/>
      <c r="BZ186" s="85">
        <f t="shared" si="1040"/>
        <v>0</v>
      </c>
      <c r="CA186" s="38"/>
      <c r="CB186" s="38"/>
      <c r="CC186" s="38"/>
      <c r="CD186" s="38"/>
      <c r="CE186" s="85">
        <f t="shared" si="1082"/>
        <v>0</v>
      </c>
      <c r="CF186" s="38"/>
      <c r="CG186" s="38"/>
      <c r="CH186" s="38"/>
      <c r="CI186" s="38"/>
      <c r="CJ186" s="85">
        <f t="shared" si="1042"/>
        <v>0</v>
      </c>
      <c r="CK186" s="38"/>
      <c r="CL186" s="38"/>
      <c r="CM186" s="38"/>
      <c r="CN186" s="38"/>
      <c r="CO186" s="85">
        <f t="shared" si="1043"/>
        <v>0</v>
      </c>
      <c r="CP186" s="38"/>
      <c r="CQ186" s="38"/>
      <c r="CR186" s="38"/>
      <c r="CS186" s="38"/>
      <c r="CT186" s="85">
        <f t="shared" si="1044"/>
        <v>0</v>
      </c>
      <c r="CU186" s="38"/>
      <c r="CV186" s="38"/>
      <c r="CW186" s="38"/>
      <c r="CX186" s="38"/>
      <c r="CY186" s="85">
        <f t="shared" si="1045"/>
        <v>0</v>
      </c>
      <c r="CZ186" s="38"/>
      <c r="DA186" s="38"/>
      <c r="DB186" s="38"/>
      <c r="DC186" s="38"/>
      <c r="DD186" s="85">
        <f t="shared" si="1046"/>
        <v>0</v>
      </c>
      <c r="DE186" s="38"/>
      <c r="DF186" s="38"/>
      <c r="DG186" s="38"/>
      <c r="DH186" s="38"/>
      <c r="DI186" s="85">
        <f t="shared" si="1047"/>
        <v>0</v>
      </c>
      <c r="DJ186" s="38"/>
      <c r="DK186" s="38"/>
      <c r="DL186" s="38"/>
      <c r="DM186" s="38"/>
      <c r="DN186" s="85">
        <f t="shared" si="1048"/>
        <v>0</v>
      </c>
      <c r="DO186" s="38"/>
      <c r="DP186" s="38"/>
      <c r="DQ186" s="38"/>
      <c r="DR186" s="38"/>
      <c r="DS186" s="85">
        <f t="shared" si="1049"/>
        <v>0</v>
      </c>
      <c r="DT186" s="38"/>
      <c r="DU186" s="38"/>
      <c r="DV186" s="38"/>
      <c r="DW186" s="38"/>
      <c r="DX186" s="85">
        <f t="shared" si="1050"/>
        <v>0</v>
      </c>
      <c r="DY186" s="38"/>
      <c r="DZ186" s="38"/>
      <c r="EA186" s="38"/>
      <c r="EB186" s="38"/>
      <c r="EC186" s="85">
        <f t="shared" si="1083"/>
        <v>0</v>
      </c>
      <c r="ED186" s="38"/>
      <c r="EE186" s="21"/>
      <c r="EF186" s="284"/>
      <c r="EG186" s="16"/>
      <c r="EH186" s="16"/>
      <c r="EI186" s="16"/>
      <c r="EJ186" s="16"/>
      <c r="EK186" s="16"/>
      <c r="EL186" s="16"/>
      <c r="EM186" s="16"/>
      <c r="EN186" s="16"/>
      <c r="EO186" s="16"/>
      <c r="EP186" s="16"/>
      <c r="EQ186" s="16"/>
      <c r="ER186" s="16"/>
      <c r="ES186" s="16"/>
      <c r="ET186" s="16"/>
      <c r="EU186" s="16"/>
      <c r="EX186" s="16"/>
      <c r="EY186" s="228"/>
      <c r="EZ186" s="477"/>
      <c r="FA186" s="477"/>
      <c r="FB186" s="228"/>
      <c r="FC186" s="477"/>
      <c r="FD186" s="16"/>
    </row>
    <row r="187" spans="1:160" ht="15" collapsed="1" x14ac:dyDescent="0.35">
      <c r="A187" s="83" t="s">
        <v>432</v>
      </c>
      <c r="B187" s="825"/>
      <c r="C187" s="826"/>
      <c r="D187" s="827"/>
      <c r="E187" s="827"/>
      <c r="F187" s="828"/>
      <c r="G187" s="825"/>
      <c r="H187" s="826"/>
      <c r="I187" s="827"/>
      <c r="J187" s="827"/>
      <c r="K187" s="827"/>
      <c r="L187" s="825"/>
      <c r="M187" s="827"/>
      <c r="N187" s="827"/>
      <c r="O187" s="827"/>
      <c r="P187" s="827"/>
      <c r="Q187" s="825"/>
      <c r="R187" s="827"/>
      <c r="S187" s="827"/>
      <c r="T187" s="827"/>
      <c r="U187" s="828">
        <f t="shared" ref="U187:AA187" si="1084">SUM(U180:U186)</f>
        <v>17</v>
      </c>
      <c r="V187" s="825">
        <f t="shared" si="1084"/>
        <v>60</v>
      </c>
      <c r="W187" s="827">
        <f t="shared" si="1084"/>
        <v>1</v>
      </c>
      <c r="X187" s="827">
        <f t="shared" si="1084"/>
        <v>4</v>
      </c>
      <c r="Y187" s="827">
        <f t="shared" si="1084"/>
        <v>34</v>
      </c>
      <c r="Z187" s="828">
        <f t="shared" si="1084"/>
        <v>43</v>
      </c>
      <c r="AA187" s="825">
        <f t="shared" si="1084"/>
        <v>88</v>
      </c>
      <c r="AB187" s="826">
        <v>0</v>
      </c>
      <c r="AC187" s="827">
        <f>SUM(AC180:AC186)</f>
        <v>0</v>
      </c>
      <c r="AD187" s="827">
        <f>SUM(AD180:AD186)</f>
        <v>0</v>
      </c>
      <c r="AE187" s="827">
        <f>SUM(AE169:AE186)</f>
        <v>7</v>
      </c>
      <c r="AF187" s="825">
        <f>SUM(AF169:AF186)</f>
        <v>7</v>
      </c>
      <c r="AG187" s="827">
        <f>SUM(AG180:AG186)</f>
        <v>0</v>
      </c>
      <c r="AH187" s="827">
        <f>SUM(AH180:AH186)</f>
        <v>0</v>
      </c>
      <c r="AI187" s="827">
        <f>SUM(AI180:AI186)</f>
        <v>0</v>
      </c>
      <c r="AJ187" s="827">
        <f>SUM(AJ180:AJ186)</f>
        <v>0</v>
      </c>
      <c r="AK187" s="825">
        <f>SUM(AK180:AK186)</f>
        <v>0</v>
      </c>
      <c r="AL187" s="827">
        <f>SUM(AL169:AL186)</f>
        <v>3</v>
      </c>
      <c r="AM187" s="827">
        <v>0</v>
      </c>
      <c r="AN187" s="827">
        <f t="shared" ref="AN187:AU187" si="1085">SUM(AN180:AN186)</f>
        <v>0</v>
      </c>
      <c r="AO187" s="827">
        <f t="shared" si="1085"/>
        <v>0</v>
      </c>
      <c r="AP187" s="825">
        <f t="shared" si="1085"/>
        <v>0</v>
      </c>
      <c r="AQ187" s="827">
        <f t="shared" si="1085"/>
        <v>0</v>
      </c>
      <c r="AR187" s="827">
        <f t="shared" si="1085"/>
        <v>0</v>
      </c>
      <c r="AS187" s="827">
        <f>SUM(AS180:AS186)</f>
        <v>0</v>
      </c>
      <c r="AT187" s="827">
        <f>SUM(AT180:AT186)</f>
        <v>0</v>
      </c>
      <c r="AU187" s="885">
        <f t="shared" si="1085"/>
        <v>0</v>
      </c>
      <c r="AV187" s="45"/>
      <c r="AW187" s="827">
        <f>SUM(AW167:AW186)</f>
        <v>-0.20000000000000018</v>
      </c>
      <c r="AX187" s="827">
        <f>SUM(AX167:AX186)</f>
        <v>2.7</v>
      </c>
      <c r="AY187" s="827">
        <f>SUM(AY167:AY186)</f>
        <v>-0.40000000000000036</v>
      </c>
      <c r="AZ187" s="827">
        <f>SUM(AZ167:AZ186)</f>
        <v>155.80000000000001</v>
      </c>
      <c r="BA187" s="825">
        <f t="shared" si="1037"/>
        <v>157.9</v>
      </c>
      <c r="BB187" s="827">
        <f t="shared" ref="BB187:BT187" si="1086">SUM(BB167:BB186)</f>
        <v>21</v>
      </c>
      <c r="BC187" s="827">
        <f t="shared" si="1086"/>
        <v>17.100000000000001</v>
      </c>
      <c r="BD187" s="827">
        <f t="shared" si="1086"/>
        <v>15.1</v>
      </c>
      <c r="BE187" s="827">
        <f t="shared" si="1086"/>
        <v>32.9</v>
      </c>
      <c r="BF187" s="825">
        <f t="shared" si="1038"/>
        <v>86.1</v>
      </c>
      <c r="BG187" s="827">
        <f t="shared" si="1086"/>
        <v>26</v>
      </c>
      <c r="BH187" s="827">
        <f t="shared" si="1086"/>
        <v>11.600000000000001</v>
      </c>
      <c r="BI187" s="827">
        <f t="shared" si="1086"/>
        <v>40.499999999999993</v>
      </c>
      <c r="BJ187" s="827">
        <f t="shared" si="1086"/>
        <v>42.6</v>
      </c>
      <c r="BK187" s="825">
        <f>SUM(BK167:BK176)</f>
        <v>120.69999999999999</v>
      </c>
      <c r="BL187" s="827">
        <f t="shared" si="1086"/>
        <v>26</v>
      </c>
      <c r="BM187" s="827">
        <f t="shared" si="1086"/>
        <v>13.299999999999999</v>
      </c>
      <c r="BN187" s="827">
        <f t="shared" si="1086"/>
        <v>14.799999999999999</v>
      </c>
      <c r="BO187" s="827">
        <f t="shared" si="1086"/>
        <v>23.7</v>
      </c>
      <c r="BP187" s="825">
        <f>SUM(BP167:BP176)</f>
        <v>77.8</v>
      </c>
      <c r="BQ187" s="827">
        <f t="shared" si="1086"/>
        <v>12</v>
      </c>
      <c r="BR187" s="827">
        <f t="shared" si="1086"/>
        <v>15.5</v>
      </c>
      <c r="BS187" s="827">
        <f t="shared" si="1086"/>
        <v>177</v>
      </c>
      <c r="BT187" s="827">
        <f t="shared" si="1086"/>
        <v>301.3</v>
      </c>
      <c r="BU187" s="825">
        <f t="shared" si="1039"/>
        <v>505.8</v>
      </c>
      <c r="BV187" s="827">
        <f t="shared" ref="BV187:BY187" si="1087">SUM(BV167:BV186)</f>
        <v>18.700000000000003</v>
      </c>
      <c r="BW187" s="827">
        <f t="shared" si="1087"/>
        <v>17.899999999999999</v>
      </c>
      <c r="BX187" s="827">
        <f t="shared" si="1087"/>
        <v>1.7999999999999996</v>
      </c>
      <c r="BY187" s="827">
        <f t="shared" si="1087"/>
        <v>50</v>
      </c>
      <c r="BZ187" s="825">
        <f t="shared" si="1040"/>
        <v>88.4</v>
      </c>
      <c r="CA187" s="827">
        <f>SUM(CA167:CA186)</f>
        <v>82.199999999999989</v>
      </c>
      <c r="CB187" s="827">
        <f>SUM(CB167:CB186)</f>
        <v>79.800000000000011</v>
      </c>
      <c r="CC187" s="827">
        <f>SUM(CC167:CC186)</f>
        <v>53.6</v>
      </c>
      <c r="CD187" s="827">
        <f>SUM(CD167:CD186)</f>
        <v>76.599999999999994</v>
      </c>
      <c r="CE187" s="825">
        <f t="shared" si="1082"/>
        <v>292.2</v>
      </c>
      <c r="CF187" s="827">
        <f>SUM(CF167:CF186)</f>
        <v>35.200000000000003</v>
      </c>
      <c r="CG187" s="827">
        <f>SUM(CG167:CG186)</f>
        <v>11.600000000000003</v>
      </c>
      <c r="CH187" s="827">
        <f>SUM(CH167:CH186)</f>
        <v>25.200000000000003</v>
      </c>
      <c r="CI187" s="827">
        <f>SUM(CI167:CI186)</f>
        <v>-22.299999999999997</v>
      </c>
      <c r="CJ187" s="825">
        <f t="shared" si="1042"/>
        <v>49.7</v>
      </c>
      <c r="CK187" s="827">
        <f>SUM(CK167:CK186)</f>
        <v>63.8</v>
      </c>
      <c r="CL187" s="827">
        <f>SUM(CL167:CL186)</f>
        <v>71.3</v>
      </c>
      <c r="CM187" s="827">
        <f>SUM(CM167:CM186)</f>
        <v>39.599999999999994</v>
      </c>
      <c r="CN187" s="827">
        <f>SUM(CN167:CN186)</f>
        <v>54.099999999999994</v>
      </c>
      <c r="CO187" s="825">
        <f t="shared" si="1043"/>
        <v>228.79999999999998</v>
      </c>
      <c r="CP187" s="827">
        <f>SUM(CP167:CP186)</f>
        <v>30.2</v>
      </c>
      <c r="CQ187" s="827">
        <f>SUM(CQ167:CQ186)</f>
        <v>47.345000000000006</v>
      </c>
      <c r="CR187" s="827">
        <f>SUM(CR167:CR186)</f>
        <v>32.234999999999999</v>
      </c>
      <c r="CS187" s="827">
        <f>SUM(CS167:CS186)</f>
        <v>34.574999999999996</v>
      </c>
      <c r="CT187" s="825">
        <f t="shared" si="1044"/>
        <v>144.35499999999999</v>
      </c>
      <c r="CU187" s="827">
        <f>SUM(CU167:CU186)</f>
        <v>23.008749999999999</v>
      </c>
      <c r="CV187" s="827">
        <f>SUM(CV167:CV186)</f>
        <v>37.160249999999998</v>
      </c>
      <c r="CW187" s="827">
        <f>SUM(CW167:CW186)</f>
        <v>30.711750000000002</v>
      </c>
      <c r="CX187" s="827">
        <f>SUM(CX167:CX186)</f>
        <v>33.146250000000002</v>
      </c>
      <c r="CY187" s="825">
        <f t="shared" si="1045"/>
        <v>124.02700000000002</v>
      </c>
      <c r="CZ187" s="827">
        <f>SUM(CZ167:CZ186)</f>
        <v>21.814500000000002</v>
      </c>
      <c r="DA187" s="827">
        <f>SUM(DA167:DA186)</f>
        <v>36.734075000000004</v>
      </c>
      <c r="DB187" s="827">
        <f>SUM(DB167:DB186)</f>
        <v>29.930150000000005</v>
      </c>
      <c r="DC187" s="827">
        <f>SUM(DC167:DC186)</f>
        <v>32.463875000000002</v>
      </c>
      <c r="DD187" s="825">
        <f t="shared" si="1046"/>
        <v>120.94260000000001</v>
      </c>
      <c r="DE187" s="827">
        <f>SUM(DE167:DE186)</f>
        <v>4.0167875000000004</v>
      </c>
      <c r="DF187" s="827">
        <f>SUM(DF167:DF186)</f>
        <v>18.742841250000005</v>
      </c>
      <c r="DG187" s="827">
        <f>SUM(DG167:DG186)</f>
        <v>11.565720000000002</v>
      </c>
      <c r="DH187" s="827">
        <f>SUM(DH167:DH186)</f>
        <v>13.203631250000003</v>
      </c>
      <c r="DI187" s="825">
        <f t="shared" si="1047"/>
        <v>47.528980000000004</v>
      </c>
      <c r="DJ187" s="827">
        <f>SUM(DJ167:DJ186)</f>
        <v>2.3026268749999987</v>
      </c>
      <c r="DK187" s="827">
        <f>SUM(DK167:DK186)</f>
        <v>17.875483312500005</v>
      </c>
      <c r="DL187" s="827">
        <f>SUM(DL167:DL186)</f>
        <v>10.306506000000002</v>
      </c>
      <c r="DM187" s="827">
        <f>SUM(DM167:DM186)</f>
        <v>12.053812812500002</v>
      </c>
      <c r="DN187" s="825">
        <f t="shared" si="1048"/>
        <v>42.538429000000008</v>
      </c>
      <c r="DO187" s="827">
        <f>SUM(DO167:DO186)</f>
        <v>0.57775821874999878</v>
      </c>
      <c r="DP187" s="827">
        <f>SUM(DP167:DP186)</f>
        <v>17.039757478125004</v>
      </c>
      <c r="DQ187" s="827">
        <f>SUM(DQ167:DQ186)</f>
        <v>9.0593313000000038</v>
      </c>
      <c r="DR187" s="827">
        <f>SUM(DR167:DR186)</f>
        <v>10.921503453125002</v>
      </c>
      <c r="DS187" s="825">
        <f t="shared" si="1049"/>
        <v>37.598350450000012</v>
      </c>
      <c r="DT187" s="827">
        <f>SUM(DT167:DT186)</f>
        <v>-1.1583538703125011</v>
      </c>
      <c r="DU187" s="827">
        <f>SUM(DU167:DU186)</f>
        <v>16.237245352031259</v>
      </c>
      <c r="DV187" s="827">
        <f>SUM(DV167:DV186)</f>
        <v>7.8247978650000043</v>
      </c>
      <c r="DW187" s="827">
        <f>SUM(DW167:DW186)</f>
        <v>9.8075786257812538</v>
      </c>
      <c r="DX187" s="825">
        <f t="shared" si="1050"/>
        <v>32.711267972500018</v>
      </c>
      <c r="DY187" s="827">
        <f>SUM(DY167:DY186)</f>
        <v>-2.9062715638281258</v>
      </c>
      <c r="DZ187" s="827">
        <f>SUM(DZ167:DZ186)</f>
        <v>15.469607619632821</v>
      </c>
      <c r="EA187" s="827">
        <f>SUM(EA167:EA186)</f>
        <v>6.6035377582500052</v>
      </c>
      <c r="EB187" s="827">
        <f>SUM(EB167:EB186)</f>
        <v>8.7129575570703164</v>
      </c>
      <c r="EC187" s="825">
        <f t="shared" si="1083"/>
        <v>27.879831371125015</v>
      </c>
      <c r="ED187" s="827"/>
      <c r="EE187" s="21"/>
      <c r="EF187" s="284"/>
      <c r="EG187" s="16"/>
      <c r="EH187" s="16"/>
      <c r="EI187" s="16"/>
      <c r="EJ187" s="16"/>
      <c r="EK187" s="16"/>
      <c r="EL187" s="16"/>
      <c r="EM187" s="16"/>
      <c r="EN187" s="16"/>
      <c r="EO187" s="16"/>
      <c r="EP187" s="16"/>
      <c r="EQ187" s="16"/>
      <c r="ER187" s="16"/>
      <c r="ES187" s="16"/>
      <c r="ET187" s="16"/>
      <c r="EU187" s="16"/>
      <c r="EX187" s="16"/>
      <c r="EY187" s="228"/>
      <c r="EZ187" s="477"/>
      <c r="FA187" s="477"/>
      <c r="FB187" s="228"/>
      <c r="FC187" s="477"/>
      <c r="FD187" s="16"/>
    </row>
    <row r="188" spans="1:160" x14ac:dyDescent="0.2">
      <c r="A188" s="83"/>
      <c r="B188" s="50"/>
      <c r="C188" s="81"/>
      <c r="D188" s="51"/>
      <c r="E188" s="51"/>
      <c r="F188" s="52"/>
      <c r="G188" s="50"/>
      <c r="H188" s="81"/>
      <c r="I188" s="51"/>
      <c r="J188" s="51"/>
      <c r="K188" s="51"/>
      <c r="L188" s="50"/>
      <c r="M188" s="51"/>
      <c r="N188" s="51"/>
      <c r="O188" s="51"/>
      <c r="P188" s="51"/>
      <c r="Q188" s="50"/>
      <c r="R188" s="51"/>
      <c r="S188" s="51"/>
      <c r="T188" s="51"/>
      <c r="U188" s="52"/>
      <c r="V188" s="50"/>
      <c r="W188" s="51"/>
      <c r="X188" s="219"/>
      <c r="Y188" s="51"/>
      <c r="Z188" s="52"/>
      <c r="AA188" s="50"/>
      <c r="AB188" s="258"/>
      <c r="AC188" s="219"/>
      <c r="AD188" s="51"/>
      <c r="AE188" s="51"/>
      <c r="AF188" s="50"/>
      <c r="AG188" s="51"/>
      <c r="AH188" s="51"/>
      <c r="AI188" s="51"/>
      <c r="AJ188" s="51"/>
      <c r="AK188" s="50"/>
      <c r="AL188" s="51"/>
      <c r="AM188" s="51"/>
      <c r="AN188" s="51"/>
      <c r="AO188" s="51"/>
      <c r="AP188" s="50"/>
      <c r="AQ188" s="51"/>
      <c r="AR188" s="51"/>
      <c r="AS188" s="51"/>
      <c r="AT188" s="51"/>
      <c r="AU188" s="81"/>
      <c r="AV188" s="45"/>
      <c r="AW188" s="51"/>
      <c r="AX188" s="51"/>
      <c r="AY188" s="51"/>
      <c r="AZ188" s="51"/>
      <c r="BA188" s="50"/>
      <c r="BB188" s="51"/>
      <c r="BC188" s="51"/>
      <c r="BD188" s="51"/>
      <c r="BE188" s="51"/>
      <c r="BF188" s="50"/>
      <c r="BG188" s="51"/>
      <c r="BH188" s="51"/>
      <c r="BI188" s="51"/>
      <c r="BJ188" s="51"/>
      <c r="BK188" s="50"/>
      <c r="BL188" s="51"/>
      <c r="BM188" s="51"/>
      <c r="BN188" s="51"/>
      <c r="BO188" s="51"/>
      <c r="BP188" s="50"/>
      <c r="BQ188" s="51"/>
      <c r="BR188" s="51"/>
      <c r="BS188" s="51"/>
      <c r="BT188" s="51"/>
      <c r="BU188" s="50"/>
      <c r="BV188" s="51"/>
      <c r="BW188" s="51"/>
      <c r="BX188" s="51"/>
      <c r="BY188" s="51"/>
      <c r="BZ188" s="50"/>
      <c r="CA188" s="51"/>
      <c r="CB188" s="51"/>
      <c r="CC188" s="51"/>
      <c r="CD188" s="51"/>
      <c r="CE188" s="50"/>
      <c r="CF188" s="51"/>
      <c r="CG188" s="51"/>
      <c r="CH188" s="51"/>
      <c r="CI188" s="51"/>
      <c r="CJ188" s="50"/>
      <c r="CK188" s="51"/>
      <c r="CL188" s="51"/>
      <c r="CM188" s="51"/>
      <c r="CN188" s="51"/>
      <c r="CO188" s="50"/>
      <c r="CP188" s="51"/>
      <c r="CQ188" s="51"/>
      <c r="CR188" s="51"/>
      <c r="CS188" s="51"/>
      <c r="CT188" s="50"/>
      <c r="CU188" s="51"/>
      <c r="CV188" s="51"/>
      <c r="CW188" s="51"/>
      <c r="CX188" s="51"/>
      <c r="CY188" s="50"/>
      <c r="CZ188" s="51"/>
      <c r="DA188" s="51"/>
      <c r="DB188" s="51"/>
      <c r="DC188" s="51"/>
      <c r="DD188" s="50"/>
      <c r="DE188" s="51"/>
      <c r="DF188" s="51"/>
      <c r="DG188" s="51"/>
      <c r="DH188" s="51"/>
      <c r="DI188" s="50"/>
      <c r="DJ188" s="51"/>
      <c r="DK188" s="51"/>
      <c r="DL188" s="51"/>
      <c r="DM188" s="51"/>
      <c r="DN188" s="50"/>
      <c r="DO188" s="51"/>
      <c r="DP188" s="51"/>
      <c r="DQ188" s="51"/>
      <c r="DR188" s="51"/>
      <c r="DS188" s="50"/>
      <c r="DT188" s="51"/>
      <c r="DU188" s="51"/>
      <c r="DV188" s="51"/>
      <c r="DW188" s="51"/>
      <c r="DX188" s="50"/>
      <c r="DY188" s="51"/>
      <c r="DZ188" s="51"/>
      <c r="EA188" s="51"/>
      <c r="EB188" s="51"/>
      <c r="EC188" s="50"/>
      <c r="ED188" s="51"/>
      <c r="EE188" s="21"/>
      <c r="EF188" s="284"/>
      <c r="EG188" s="16"/>
      <c r="EH188" s="16"/>
      <c r="EI188" s="16"/>
      <c r="EJ188" s="16"/>
      <c r="EK188" s="16"/>
      <c r="EL188" s="16"/>
      <c r="EM188" s="16"/>
      <c r="EN188" s="16"/>
      <c r="EO188" s="16"/>
      <c r="EP188" s="16"/>
      <c r="EQ188" s="16"/>
      <c r="ER188" s="16"/>
      <c r="ES188" s="16"/>
      <c r="ET188" s="16"/>
      <c r="EU188" s="16"/>
      <c r="EX188" s="16"/>
      <c r="EY188" s="228"/>
      <c r="EZ188" s="477"/>
      <c r="FA188" s="477"/>
      <c r="FB188" s="228"/>
      <c r="FC188" s="477"/>
      <c r="FD188" s="16"/>
    </row>
    <row r="189" spans="1:160" x14ac:dyDescent="0.2">
      <c r="A189" s="83" t="s">
        <v>684</v>
      </c>
      <c r="B189" s="50"/>
      <c r="C189" s="81"/>
      <c r="D189" s="51"/>
      <c r="E189" s="51"/>
      <c r="F189" s="52"/>
      <c r="G189" s="50"/>
      <c r="H189" s="81"/>
      <c r="I189" s="51"/>
      <c r="J189" s="51"/>
      <c r="K189" s="51"/>
      <c r="L189" s="50"/>
      <c r="M189" s="51"/>
      <c r="N189" s="51"/>
      <c r="O189" s="51"/>
      <c r="P189" s="51"/>
      <c r="Q189" s="50"/>
      <c r="R189" s="51"/>
      <c r="S189" s="51"/>
      <c r="T189" s="51"/>
      <c r="U189" s="52">
        <f>IS!U41+U187</f>
        <v>17</v>
      </c>
      <c r="V189" s="50">
        <f>IS!V41+V187</f>
        <v>60</v>
      </c>
      <c r="W189" s="51">
        <f>IS!W41+W187</f>
        <v>1</v>
      </c>
      <c r="X189" s="51">
        <f>IS!X41+X187</f>
        <v>4</v>
      </c>
      <c r="Y189" s="51">
        <f>IS!Y41+Y187</f>
        <v>34</v>
      </c>
      <c r="Z189" s="52">
        <f>IS!Z41+Z187</f>
        <v>43</v>
      </c>
      <c r="AA189" s="50">
        <f>IS!AA41+AA187</f>
        <v>88</v>
      </c>
      <c r="AB189" s="81">
        <f>IS!AB41+AB187</f>
        <v>0</v>
      </c>
      <c r="AC189" s="51">
        <f>IS!AC41+AC187</f>
        <v>0</v>
      </c>
      <c r="AD189" s="51">
        <f>IS!AD41+AD187</f>
        <v>0</v>
      </c>
      <c r="AE189" s="51">
        <f>IS!AE41+AE187</f>
        <v>7</v>
      </c>
      <c r="AF189" s="50">
        <f>IS!AF41+AF187</f>
        <v>7</v>
      </c>
      <c r="AG189" s="51">
        <f>IS!AG41+AG187</f>
        <v>0</v>
      </c>
      <c r="AH189" s="51">
        <f>IS!AH41+AH187</f>
        <v>0</v>
      </c>
      <c r="AI189" s="51">
        <f>IS!AI41+AI187</f>
        <v>0</v>
      </c>
      <c r="AJ189" s="51">
        <f>IS!AJ41+AJ187</f>
        <v>0</v>
      </c>
      <c r="AK189" s="50">
        <f>IS!AK41+AK187</f>
        <v>0</v>
      </c>
      <c r="AL189" s="51">
        <f>IS!AL41+AL187</f>
        <v>3</v>
      </c>
      <c r="AM189" s="51">
        <f>IS!AM41+AM187</f>
        <v>0</v>
      </c>
      <c r="AN189" s="51">
        <f>IS!AN41+AN187</f>
        <v>0</v>
      </c>
      <c r="AO189" s="51">
        <f>IS!AO41+AO187</f>
        <v>0</v>
      </c>
      <c r="AP189" s="50">
        <f>IS!AP41+AP187</f>
        <v>0</v>
      </c>
      <c r="AQ189" s="51">
        <f>IS!AQ41+AQ187</f>
        <v>0</v>
      </c>
      <c r="AR189" s="51">
        <f>IS!AR41+AR187</f>
        <v>0</v>
      </c>
      <c r="AS189" s="51">
        <f>IS!AS41+AS187</f>
        <v>0</v>
      </c>
      <c r="AT189" s="51">
        <f>IS!AT41+AT187</f>
        <v>0</v>
      </c>
      <c r="AU189" s="81">
        <f>IS!AU41+AU187</f>
        <v>0</v>
      </c>
      <c r="AV189" s="45"/>
      <c r="AW189" s="51">
        <f t="shared" ref="AW189:CF189" si="1088">AW165+AW187</f>
        <v>106.19999999999997</v>
      </c>
      <c r="AX189" s="51">
        <f t="shared" si="1088"/>
        <v>117.29999999999994</v>
      </c>
      <c r="AY189" s="51">
        <f t="shared" si="1088"/>
        <v>115.99999999999994</v>
      </c>
      <c r="AZ189" s="51">
        <f t="shared" si="1088"/>
        <v>113.89999999999999</v>
      </c>
      <c r="BA189" s="50">
        <f t="shared" si="1088"/>
        <v>453.39999999999986</v>
      </c>
      <c r="BB189" s="51">
        <f t="shared" si="1088"/>
        <v>120</v>
      </c>
      <c r="BC189" s="51">
        <f t="shared" si="1088"/>
        <v>149.89999999999995</v>
      </c>
      <c r="BD189" s="51">
        <f t="shared" si="1088"/>
        <v>161.00000000000003</v>
      </c>
      <c r="BE189" s="51">
        <f t="shared" si="1088"/>
        <v>154.09999999999988</v>
      </c>
      <c r="BF189" s="50">
        <f t="shared" si="1088"/>
        <v>584.99999999999989</v>
      </c>
      <c r="BG189" s="51">
        <f>BG165+BG187</f>
        <v>144.09999999999997</v>
      </c>
      <c r="BH189" s="51">
        <f t="shared" si="1088"/>
        <v>172.89999999999992</v>
      </c>
      <c r="BI189" s="51">
        <f t="shared" si="1088"/>
        <v>162.89999999999995</v>
      </c>
      <c r="BJ189" s="51">
        <f t="shared" si="1088"/>
        <v>172.20000000000002</v>
      </c>
      <c r="BK189" s="50">
        <f t="shared" si="1088"/>
        <v>652.09999999999991</v>
      </c>
      <c r="BL189" s="51">
        <f t="shared" si="1088"/>
        <v>144.99999999999997</v>
      </c>
      <c r="BM189" s="51">
        <f t="shared" si="1088"/>
        <v>162.50000000000003</v>
      </c>
      <c r="BN189" s="51">
        <f t="shared" si="1088"/>
        <v>176.00000000000003</v>
      </c>
      <c r="BO189" s="51">
        <f>BO165+BO187</f>
        <v>182.09999999999997</v>
      </c>
      <c r="BP189" s="50">
        <f t="shared" si="1088"/>
        <v>665.59999999999991</v>
      </c>
      <c r="BQ189" s="51">
        <f t="shared" si="1088"/>
        <v>159.70000000000002</v>
      </c>
      <c r="BR189" s="51">
        <f t="shared" si="1088"/>
        <v>182.8</v>
      </c>
      <c r="BS189" s="51">
        <f t="shared" si="1088"/>
        <v>194.39999999999998</v>
      </c>
      <c r="BT189" s="51">
        <f t="shared" si="1088"/>
        <v>224.20000000000005</v>
      </c>
      <c r="BU189" s="50">
        <f t="shared" si="1088"/>
        <v>761.1</v>
      </c>
      <c r="BV189" s="51">
        <f t="shared" ref="BV189:BZ189" si="1089">BV165+BV187</f>
        <v>332.19999999999987</v>
      </c>
      <c r="BW189" s="51">
        <f t="shared" si="1089"/>
        <v>398.00000000000006</v>
      </c>
      <c r="BX189" s="51">
        <f t="shared" si="1089"/>
        <v>414.2999999999999</v>
      </c>
      <c r="BY189" s="51">
        <f t="shared" si="1089"/>
        <v>397.89999999999986</v>
      </c>
      <c r="BZ189" s="50">
        <f t="shared" si="1089"/>
        <v>1542.3999999999999</v>
      </c>
      <c r="CA189" s="51">
        <f>CA165+CA187</f>
        <v>355.09999999999991</v>
      </c>
      <c r="CB189" s="51">
        <f>CB165+CB187</f>
        <v>427.79999999999984</v>
      </c>
      <c r="CC189" s="51">
        <f t="shared" si="1088"/>
        <v>440.70000000000016</v>
      </c>
      <c r="CD189" s="51">
        <f>CD165+CD187</f>
        <v>442.60000000000014</v>
      </c>
      <c r="CE189" s="50">
        <f>CE165+CE187</f>
        <v>1666.2</v>
      </c>
      <c r="CF189" s="51">
        <f t="shared" si="1088"/>
        <v>407.79999999999984</v>
      </c>
      <c r="CG189" s="51">
        <f>CG165+CG187</f>
        <v>479.09999999999991</v>
      </c>
      <c r="CH189" s="51">
        <f>CH165+CH187</f>
        <v>488.89999999999975</v>
      </c>
      <c r="CI189" s="51">
        <f>CI165+CI187</f>
        <v>512.38000000000011</v>
      </c>
      <c r="CJ189" s="50">
        <f t="shared" ref="CJ189:DM189" si="1090">CJ165+CJ187</f>
        <v>1888.1799999999996</v>
      </c>
      <c r="CK189" s="51">
        <f t="shared" si="1090"/>
        <v>443.4</v>
      </c>
      <c r="CL189" s="51">
        <f t="shared" si="1090"/>
        <v>531.00000000000011</v>
      </c>
      <c r="CM189" s="51">
        <f t="shared" si="1090"/>
        <v>565.1</v>
      </c>
      <c r="CN189" s="51">
        <f t="shared" si="1090"/>
        <v>606.30000000000018</v>
      </c>
      <c r="CO189" s="50">
        <f t="shared" si="1090"/>
        <v>2145.8000000000002</v>
      </c>
      <c r="CP189" s="51">
        <f>CP165+CP187</f>
        <v>497.79999999999973</v>
      </c>
      <c r="CQ189" s="51">
        <f t="shared" si="1090"/>
        <v>561.62434289101759</v>
      </c>
      <c r="CR189" s="51">
        <f t="shared" si="1090"/>
        <v>601.43767297924478</v>
      </c>
      <c r="CS189" s="51">
        <f t="shared" si="1090"/>
        <v>629.20818480729656</v>
      </c>
      <c r="CT189" s="50">
        <f t="shared" si="1090"/>
        <v>2290.0702006775587</v>
      </c>
      <c r="CU189" s="51">
        <f t="shared" si="1090"/>
        <v>544.27734719810644</v>
      </c>
      <c r="CV189" s="51">
        <f t="shared" si="1090"/>
        <v>615.29137703043773</v>
      </c>
      <c r="CW189" s="51">
        <f t="shared" si="1090"/>
        <v>664.56438227151887</v>
      </c>
      <c r="CX189" s="51">
        <f t="shared" si="1090"/>
        <v>696.91196921433163</v>
      </c>
      <c r="CY189" s="50">
        <f t="shared" si="1090"/>
        <v>2521.0450757143944</v>
      </c>
      <c r="CZ189" s="51">
        <f t="shared" si="1090"/>
        <v>587.64159008906063</v>
      </c>
      <c r="DA189" s="51">
        <f t="shared" si="1090"/>
        <v>679.99666453463624</v>
      </c>
      <c r="DB189" s="51">
        <f t="shared" si="1090"/>
        <v>734.48538340675555</v>
      </c>
      <c r="DC189" s="51">
        <f t="shared" si="1090"/>
        <v>770.34911905120225</v>
      </c>
      <c r="DD189" s="50">
        <f t="shared" si="1090"/>
        <v>2772.4727570816549</v>
      </c>
      <c r="DE189" s="51">
        <f t="shared" si="1090"/>
        <v>649.71785407382708</v>
      </c>
      <c r="DF189" s="51">
        <f t="shared" si="1090"/>
        <v>720.51403899274806</v>
      </c>
      <c r="DG189" s="51">
        <f t="shared" si="1090"/>
        <v>785.440570571595</v>
      </c>
      <c r="DH189" s="51">
        <f t="shared" si="1090"/>
        <v>832.13239039858297</v>
      </c>
      <c r="DI189" s="50">
        <f t="shared" si="1090"/>
        <v>2987.8048540367531</v>
      </c>
      <c r="DJ189" s="51">
        <f t="shared" si="1090"/>
        <v>726.80674941252073</v>
      </c>
      <c r="DK189" s="51">
        <f t="shared" si="1090"/>
        <v>805.28136277476528</v>
      </c>
      <c r="DL189" s="51">
        <f t="shared" si="1090"/>
        <v>878.06638071853445</v>
      </c>
      <c r="DM189" s="51">
        <f t="shared" si="1090"/>
        <v>928.92390026207102</v>
      </c>
      <c r="DN189" s="50">
        <f t="shared" ref="DN189:DX189" si="1091">DN165+DN187</f>
        <v>3339.078393167892</v>
      </c>
      <c r="DO189" s="51">
        <f t="shared" si="1091"/>
        <v>797.20445131842052</v>
      </c>
      <c r="DP189" s="51">
        <f t="shared" si="1091"/>
        <v>880.83576937694397</v>
      </c>
      <c r="DQ189" s="51">
        <f t="shared" si="1091"/>
        <v>960.01492469748348</v>
      </c>
      <c r="DR189" s="51">
        <f t="shared" si="1091"/>
        <v>1015.1337207912643</v>
      </c>
      <c r="DS189" s="50">
        <f t="shared" si="1091"/>
        <v>3653.1888661841117</v>
      </c>
      <c r="DT189" s="51">
        <f t="shared" si="1091"/>
        <v>821.26323469856197</v>
      </c>
      <c r="DU189" s="51">
        <f t="shared" si="1091"/>
        <v>897.22324459941422</v>
      </c>
      <c r="DV189" s="51">
        <f t="shared" si="1091"/>
        <v>978.07803510068754</v>
      </c>
      <c r="DW189" s="51">
        <f t="shared" si="1091"/>
        <v>1042.7695430573738</v>
      </c>
      <c r="DX189" s="50">
        <f t="shared" si="1091"/>
        <v>3739.3340574560375</v>
      </c>
      <c r="DY189" s="51">
        <f t="shared" ref="DY189:EC189" si="1092">DY165+DY187</f>
        <v>889.96884708083451</v>
      </c>
      <c r="DZ189" s="51">
        <f t="shared" si="1092"/>
        <v>979.68960845933213</v>
      </c>
      <c r="EA189" s="51">
        <f t="shared" si="1092"/>
        <v>1067.5312307734516</v>
      </c>
      <c r="EB189" s="51">
        <f t="shared" si="1092"/>
        <v>1137.5036093102119</v>
      </c>
      <c r="EC189" s="50">
        <f t="shared" si="1092"/>
        <v>4074.6932956238306</v>
      </c>
      <c r="ED189" s="53"/>
      <c r="EE189" s="21"/>
      <c r="EF189" s="284"/>
      <c r="EG189" s="16"/>
      <c r="EH189" s="16"/>
      <c r="EI189" s="16"/>
      <c r="EJ189" s="16"/>
      <c r="EK189" s="16"/>
      <c r="EL189" s="16"/>
      <c r="EM189" s="16"/>
      <c r="EN189" s="16"/>
      <c r="EO189" s="16"/>
      <c r="EP189" s="16"/>
      <c r="EQ189" s="16"/>
      <c r="ER189" s="16"/>
      <c r="ES189" s="16"/>
      <c r="ET189" s="16"/>
      <c r="EU189" s="16"/>
      <c r="EX189" s="16"/>
      <c r="EY189" s="228"/>
      <c r="EZ189" s="477"/>
      <c r="FA189" s="477"/>
      <c r="FB189" s="228"/>
      <c r="FC189" s="477"/>
      <c r="FD189" s="16"/>
    </row>
    <row r="190" spans="1:160" x14ac:dyDescent="0.2">
      <c r="A190" s="270" t="s">
        <v>483</v>
      </c>
      <c r="B190" s="438"/>
      <c r="C190" s="439"/>
      <c r="D190" s="440"/>
      <c r="E190" s="440"/>
      <c r="F190" s="441"/>
      <c r="G190" s="438"/>
      <c r="H190" s="439"/>
      <c r="I190" s="440"/>
      <c r="J190" s="440"/>
      <c r="K190" s="440"/>
      <c r="L190" s="438"/>
      <c r="M190" s="440"/>
      <c r="N190" s="440"/>
      <c r="O190" s="440"/>
      <c r="P190" s="440"/>
      <c r="Q190" s="438"/>
      <c r="R190" s="440"/>
      <c r="S190" s="440"/>
      <c r="T190" s="440"/>
      <c r="U190" s="441"/>
      <c r="V190" s="438"/>
      <c r="W190" s="440"/>
      <c r="X190" s="440"/>
      <c r="Y190" s="440"/>
      <c r="Z190" s="441"/>
      <c r="AA190" s="442"/>
      <c r="AB190" s="443">
        <f t="shared" ref="AB190:AF190" si="1093">AB189/W189-1</f>
        <v>-1</v>
      </c>
      <c r="AC190" s="445">
        <f t="shared" si="1093"/>
        <v>-1</v>
      </c>
      <c r="AD190" s="445">
        <f t="shared" si="1093"/>
        <v>-1</v>
      </c>
      <c r="AE190" s="445">
        <f t="shared" si="1093"/>
        <v>-0.83720930232558133</v>
      </c>
      <c r="AF190" s="444">
        <f t="shared" si="1093"/>
        <v>-0.92045454545454541</v>
      </c>
      <c r="AG190" s="443"/>
      <c r="AH190" s="445"/>
      <c r="AI190" s="445"/>
      <c r="AJ190" s="445"/>
      <c r="AK190" s="243"/>
      <c r="AL190" s="443"/>
      <c r="AM190" s="445"/>
      <c r="AN190" s="445"/>
      <c r="AO190" s="445"/>
      <c r="AP190" s="444"/>
      <c r="AQ190" s="443"/>
      <c r="AR190" s="445"/>
      <c r="AS190" s="445"/>
      <c r="AT190" s="445"/>
      <c r="AU190" s="443"/>
      <c r="AV190" s="45"/>
      <c r="AW190" s="445"/>
      <c r="AX190" s="445"/>
      <c r="AY190" s="445"/>
      <c r="AZ190" s="445"/>
      <c r="BA190" s="444"/>
      <c r="BB190" s="445">
        <f t="shared" ref="BB190:CL190" si="1094">BB189/AW189-1</f>
        <v>0.129943502824859</v>
      </c>
      <c r="BC190" s="445">
        <f t="shared" si="1094"/>
        <v>0.27791986359761323</v>
      </c>
      <c r="BD190" s="445">
        <f t="shared" si="1094"/>
        <v>0.38793103448275956</v>
      </c>
      <c r="BE190" s="445">
        <f t="shared" si="1094"/>
        <v>0.3529411764705872</v>
      </c>
      <c r="BF190" s="444">
        <f t="shared" si="1094"/>
        <v>0.29025143361270422</v>
      </c>
      <c r="BG190" s="445">
        <f t="shared" si="1094"/>
        <v>0.20083333333333298</v>
      </c>
      <c r="BH190" s="445">
        <f t="shared" si="1094"/>
        <v>0.15343562374916608</v>
      </c>
      <c r="BI190" s="445">
        <f t="shared" si="1094"/>
        <v>1.1801242236024301E-2</v>
      </c>
      <c r="BJ190" s="445">
        <f t="shared" si="1094"/>
        <v>0.11745619727449808</v>
      </c>
      <c r="BK190" s="444">
        <f t="shared" si="1094"/>
        <v>0.11470085470085478</v>
      </c>
      <c r="BL190" s="445">
        <f t="shared" si="1094"/>
        <v>6.2456627342124538E-3</v>
      </c>
      <c r="BM190" s="445">
        <f t="shared" si="1094"/>
        <v>-6.0150375939849066E-2</v>
      </c>
      <c r="BN190" s="445">
        <f t="shared" si="1094"/>
        <v>8.0417434008594801E-2</v>
      </c>
      <c r="BO190" s="445">
        <f t="shared" si="1094"/>
        <v>5.749128919860591E-2</v>
      </c>
      <c r="BP190" s="444">
        <f t="shared" si="1094"/>
        <v>2.0702346265910165E-2</v>
      </c>
      <c r="BQ190" s="445">
        <f t="shared" si="1094"/>
        <v>0.10137931034482794</v>
      </c>
      <c r="BR190" s="445">
        <f t="shared" si="1094"/>
        <v>0.12492307692307669</v>
      </c>
      <c r="BS190" s="445">
        <f t="shared" si="1094"/>
        <v>0.10454545454545427</v>
      </c>
      <c r="BT190" s="445">
        <f t="shared" si="1094"/>
        <v>0.23119165293794675</v>
      </c>
      <c r="BU190" s="444">
        <f t="shared" si="1094"/>
        <v>0.14347956730769251</v>
      </c>
      <c r="BV190" s="445">
        <f t="shared" ref="BV190" si="1095">BV189/BQ189-1</f>
        <v>1.0801502817783333</v>
      </c>
      <c r="BW190" s="445">
        <f t="shared" ref="BW190" si="1096">BW189/BR189-1</f>
        <v>1.1772428884026258</v>
      </c>
      <c r="BX190" s="445">
        <f t="shared" ref="BX190" si="1097">BX189/BS189-1</f>
        <v>1.1311728395061724</v>
      </c>
      <c r="BY190" s="445">
        <f t="shared" ref="BY190" si="1098">BY189/BT189-1</f>
        <v>0.77475468331846464</v>
      </c>
      <c r="BZ190" s="444">
        <f t="shared" ref="BZ190" si="1099">BZ189/BU189-1</f>
        <v>1.0265405334384443</v>
      </c>
      <c r="CA190" s="445">
        <f>CA189/BQ189-1</f>
        <v>1.2235441452723848</v>
      </c>
      <c r="CB190" s="445">
        <f>CB189/BR189-1</f>
        <v>1.3402625820568916</v>
      </c>
      <c r="CC190" s="445">
        <f>CC189/BS189-1</f>
        <v>1.2669753086419764</v>
      </c>
      <c r="CD190" s="445">
        <f>CD189/BT189-1</f>
        <v>0.97413024085637834</v>
      </c>
      <c r="CE190" s="444">
        <f>CE189/BU189-1</f>
        <v>1.1891998423334647</v>
      </c>
      <c r="CF190" s="445">
        <f t="shared" ref="CF190:CG190" si="1100">CF189/CA189-1</f>
        <v>0.1484088989017176</v>
      </c>
      <c r="CG190" s="445">
        <f t="shared" si="1100"/>
        <v>0.11991584852734949</v>
      </c>
      <c r="CH190" s="445">
        <f t="shared" si="1094"/>
        <v>0.10937145450419683</v>
      </c>
      <c r="CI190" s="445">
        <f t="shared" si="1094"/>
        <v>0.15765928603705359</v>
      </c>
      <c r="CJ190" s="444">
        <f t="shared" si="1094"/>
        <v>0.13322530308486358</v>
      </c>
      <c r="CK190" s="445">
        <f t="shared" si="1094"/>
        <v>8.7297694948504478E-2</v>
      </c>
      <c r="CL190" s="445">
        <f t="shared" si="1094"/>
        <v>0.10832811521603047</v>
      </c>
      <c r="CM190" s="445">
        <f t="shared" ref="CM190:DR190" si="1101">CM189/CH189-1</f>
        <v>0.15586009408877133</v>
      </c>
      <c r="CN190" s="445">
        <f t="shared" si="1101"/>
        <v>0.18330145595066183</v>
      </c>
      <c r="CO190" s="444">
        <f t="shared" si="1101"/>
        <v>0.13643826330116871</v>
      </c>
      <c r="CP190" s="445">
        <f>CP189/CK189-1</f>
        <v>0.12268831754623299</v>
      </c>
      <c r="CQ190" s="445">
        <f t="shared" si="1101"/>
        <v>5.7672962129976302E-2</v>
      </c>
      <c r="CR190" s="445">
        <f t="shared" si="1101"/>
        <v>6.4303084373110497E-2</v>
      </c>
      <c r="CS190" s="445">
        <f t="shared" si="1101"/>
        <v>3.7783580417773965E-2</v>
      </c>
      <c r="CT190" s="444">
        <f t="shared" si="1101"/>
        <v>6.7233759286773553E-2</v>
      </c>
      <c r="CU190" s="445">
        <f t="shared" si="1101"/>
        <v>9.336550260768739E-2</v>
      </c>
      <c r="CV190" s="445">
        <f t="shared" si="1101"/>
        <v>9.5556816257578392E-2</v>
      </c>
      <c r="CW190" s="445">
        <f t="shared" si="1101"/>
        <v>0.10495968597971839</v>
      </c>
      <c r="CX190" s="445">
        <f t="shared" si="1101"/>
        <v>0.10760156342812088</v>
      </c>
      <c r="CY190" s="444">
        <f t="shared" si="1101"/>
        <v>0.10085929897192569</v>
      </c>
      <c r="CZ190" s="445">
        <f t="shared" si="1101"/>
        <v>7.9673062114728133E-2</v>
      </c>
      <c r="DA190" s="445">
        <f t="shared" si="1101"/>
        <v>0.1051620255373702</v>
      </c>
      <c r="DB190" s="445">
        <f t="shared" si="1101"/>
        <v>0.10521328407075137</v>
      </c>
      <c r="DC190" s="445">
        <f t="shared" si="1101"/>
        <v>0.10537507329607276</v>
      </c>
      <c r="DD190" s="444">
        <f t="shared" si="1101"/>
        <v>9.9731529511035255E-2</v>
      </c>
      <c r="DE190" s="445">
        <f t="shared" si="1101"/>
        <v>0.10563626712561036</v>
      </c>
      <c r="DF190" s="445">
        <f t="shared" si="1101"/>
        <v>5.9584666471622194E-2</v>
      </c>
      <c r="DG190" s="445">
        <f t="shared" si="1101"/>
        <v>6.9375359014626881E-2</v>
      </c>
      <c r="DH190" s="445">
        <f t="shared" si="1101"/>
        <v>8.0201651198713364E-2</v>
      </c>
      <c r="DI190" s="444">
        <f t="shared" si="1101"/>
        <v>7.7667885610446907E-2</v>
      </c>
      <c r="DJ190" s="445">
        <f t="shared" si="1101"/>
        <v>0.118649802918813</v>
      </c>
      <c r="DK190" s="445">
        <f t="shared" si="1101"/>
        <v>0.1176483998847806</v>
      </c>
      <c r="DL190" s="445">
        <f t="shared" si="1101"/>
        <v>0.11792847685412045</v>
      </c>
      <c r="DM190" s="445">
        <f t="shared" si="1101"/>
        <v>0.11631744056630922</v>
      </c>
      <c r="DN190" s="444">
        <f t="shared" si="1101"/>
        <v>0.117569103837736</v>
      </c>
      <c r="DO190" s="445">
        <f t="shared" si="1101"/>
        <v>9.6858899511874874E-2</v>
      </c>
      <c r="DP190" s="445">
        <f t="shared" si="1101"/>
        <v>9.3823612584103655E-2</v>
      </c>
      <c r="DQ190" s="445">
        <f t="shared" si="1101"/>
        <v>9.3328415457484271E-2</v>
      </c>
      <c r="DR190" s="445">
        <f t="shared" si="1101"/>
        <v>9.2806117384719444E-2</v>
      </c>
      <c r="DS190" s="444">
        <f t="shared" ref="DS190:DX190" si="1102">DS189/DN189-1</f>
        <v>9.4071008832533831E-2</v>
      </c>
      <c r="DT190" s="445">
        <f t="shared" si="1102"/>
        <v>3.0178937586654131E-2</v>
      </c>
      <c r="DU190" s="445">
        <f t="shared" si="1102"/>
        <v>1.8604461571834152E-2</v>
      </c>
      <c r="DV190" s="445">
        <f t="shared" si="1102"/>
        <v>1.8815447487856574E-2</v>
      </c>
      <c r="DW190" s="445">
        <f t="shared" si="1102"/>
        <v>2.7223824507147887E-2</v>
      </c>
      <c r="DX190" s="444">
        <f t="shared" si="1102"/>
        <v>2.358082060014266E-2</v>
      </c>
      <c r="DY190" s="445">
        <f t="shared" ref="DY190" si="1103">DY189/DT189-1</f>
        <v>8.3658453805606436E-2</v>
      </c>
      <c r="DZ190" s="445">
        <f t="shared" ref="DZ190" si="1104">DZ189/DU189-1</f>
        <v>9.1912870465963969E-2</v>
      </c>
      <c r="EA190" s="445">
        <f t="shared" ref="EA190" si="1105">EA189/DV189-1</f>
        <v>9.1458137758461566E-2</v>
      </c>
      <c r="EB190" s="445">
        <f t="shared" ref="EB190" si="1106">EB189/DW189-1</f>
        <v>9.0848516705887228E-2</v>
      </c>
      <c r="EC190" s="444">
        <f t="shared" ref="EC190" si="1107">EC189/DX189-1</f>
        <v>8.9684214626158942E-2</v>
      </c>
      <c r="ED190" s="440"/>
      <c r="EE190" s="21"/>
      <c r="EF190" s="284"/>
      <c r="EG190" s="16"/>
      <c r="EH190" s="16"/>
      <c r="EI190" s="16"/>
      <c r="EJ190" s="16"/>
      <c r="EK190" s="16"/>
      <c r="EL190" s="16"/>
      <c r="EM190" s="16"/>
      <c r="EN190" s="16"/>
      <c r="EO190" s="16"/>
      <c r="EP190" s="16"/>
      <c r="EQ190" s="16"/>
      <c r="ER190" s="16"/>
      <c r="ES190" s="16"/>
      <c r="ET190" s="16"/>
      <c r="EU190" s="16"/>
      <c r="EX190" s="16"/>
      <c r="EY190" s="228"/>
      <c r="EZ190" s="477"/>
      <c r="FA190" s="477"/>
      <c r="FB190" s="228"/>
      <c r="FC190" s="477"/>
      <c r="FD190" s="16"/>
    </row>
    <row r="191" spans="1:160" x14ac:dyDescent="0.2">
      <c r="A191" s="270"/>
      <c r="B191" s="438"/>
      <c r="C191" s="439"/>
      <c r="D191" s="440"/>
      <c r="E191" s="440"/>
      <c r="F191" s="441"/>
      <c r="G191" s="438"/>
      <c r="H191" s="439"/>
      <c r="I191" s="440"/>
      <c r="J191" s="440"/>
      <c r="K191" s="440"/>
      <c r="L191" s="438"/>
      <c r="M191" s="440"/>
      <c r="N191" s="440"/>
      <c r="O191" s="440"/>
      <c r="P191" s="440"/>
      <c r="Q191" s="438"/>
      <c r="R191" s="440"/>
      <c r="S191" s="440"/>
      <c r="T191" s="440"/>
      <c r="U191" s="441"/>
      <c r="V191" s="438"/>
      <c r="W191" s="440"/>
      <c r="X191" s="440"/>
      <c r="Y191" s="440"/>
      <c r="Z191" s="441"/>
      <c r="AA191" s="442"/>
      <c r="AB191" s="443"/>
      <c r="AC191" s="445"/>
      <c r="AD191" s="445"/>
      <c r="AE191" s="445"/>
      <c r="AF191" s="444"/>
      <c r="AG191" s="445"/>
      <c r="AH191" s="445"/>
      <c r="AI191" s="445"/>
      <c r="AJ191" s="445"/>
      <c r="AK191" s="243"/>
      <c r="AL191" s="445"/>
      <c r="AM191" s="445"/>
      <c r="AN191" s="445"/>
      <c r="AO191" s="445"/>
      <c r="AP191" s="444"/>
      <c r="AQ191" s="445"/>
      <c r="AR191" s="445"/>
      <c r="AS191" s="445"/>
      <c r="AT191" s="445"/>
      <c r="AU191" s="443"/>
      <c r="AV191" s="45"/>
      <c r="AW191" s="445"/>
      <c r="AX191" s="445"/>
      <c r="AY191" s="445"/>
      <c r="AZ191" s="445"/>
      <c r="BA191" s="444"/>
      <c r="BB191" s="445"/>
      <c r="BC191" s="445"/>
      <c r="BD191" s="445"/>
      <c r="BE191" s="445"/>
      <c r="BF191" s="444"/>
      <c r="BG191" s="445"/>
      <c r="BH191" s="445"/>
      <c r="BI191" s="445"/>
      <c r="BJ191" s="445"/>
      <c r="BK191" s="444"/>
      <c r="BL191" s="445"/>
      <c r="BM191" s="445"/>
      <c r="BN191" s="445"/>
      <c r="BO191" s="445"/>
      <c r="BP191" s="444"/>
      <c r="BQ191" s="445"/>
      <c r="BR191" s="445"/>
      <c r="BS191" s="445"/>
      <c r="BT191" s="445"/>
      <c r="BU191" s="444"/>
      <c r="BV191" s="445"/>
      <c r="BW191" s="445"/>
      <c r="BX191" s="445"/>
      <c r="BY191" s="445"/>
      <c r="BZ191" s="444"/>
      <c r="CA191" s="445"/>
      <c r="CB191" s="445"/>
      <c r="CC191" s="445"/>
      <c r="CD191" s="445"/>
      <c r="CE191" s="444"/>
      <c r="CF191" s="445"/>
      <c r="CG191" s="445"/>
      <c r="CH191" s="445"/>
      <c r="CI191" s="445"/>
      <c r="CJ191" s="444"/>
      <c r="CK191" s="445"/>
      <c r="CL191" s="445"/>
      <c r="CM191" s="445"/>
      <c r="CN191" s="445"/>
      <c r="CO191" s="444"/>
      <c r="CP191" s="445"/>
      <c r="CQ191" s="445"/>
      <c r="CR191" s="445"/>
      <c r="CS191" s="445"/>
      <c r="CT191" s="444"/>
      <c r="CU191" s="445"/>
      <c r="CV191" s="445"/>
      <c r="CW191" s="445"/>
      <c r="CX191" s="445"/>
      <c r="CY191" s="444"/>
      <c r="CZ191" s="445"/>
      <c r="DA191" s="445"/>
      <c r="DB191" s="445"/>
      <c r="DC191" s="445"/>
      <c r="DD191" s="444"/>
      <c r="DE191" s="445"/>
      <c r="DF191" s="445"/>
      <c r="DG191" s="445"/>
      <c r="DH191" s="445"/>
      <c r="DI191" s="444"/>
      <c r="DJ191" s="445"/>
      <c r="DK191" s="445"/>
      <c r="DL191" s="445"/>
      <c r="DM191" s="445"/>
      <c r="DN191" s="444"/>
      <c r="DO191" s="445"/>
      <c r="DP191" s="445"/>
      <c r="DQ191" s="445"/>
      <c r="DR191" s="445"/>
      <c r="DS191" s="444"/>
      <c r="DT191" s="445"/>
      <c r="DU191" s="445"/>
      <c r="DV191" s="445"/>
      <c r="DW191" s="445"/>
      <c r="DX191" s="444"/>
      <c r="DY191" s="445"/>
      <c r="DZ191" s="445"/>
      <c r="EA191" s="445"/>
      <c r="EB191" s="445"/>
      <c r="EC191" s="444"/>
      <c r="ED191" s="440"/>
      <c r="EE191" s="21"/>
      <c r="EF191" s="284"/>
      <c r="EG191" s="16"/>
      <c r="EH191" s="16"/>
      <c r="EI191" s="16"/>
      <c r="EJ191" s="16"/>
      <c r="EK191" s="16"/>
      <c r="EL191" s="16"/>
      <c r="EM191" s="16"/>
      <c r="EN191" s="16"/>
      <c r="EO191" s="16"/>
      <c r="EP191" s="16"/>
      <c r="EQ191" s="16"/>
      <c r="ER191" s="16"/>
      <c r="ES191" s="16"/>
      <c r="ET191" s="16"/>
      <c r="EU191" s="16"/>
      <c r="EX191" s="16"/>
      <c r="EY191" s="228"/>
      <c r="EZ191" s="477"/>
      <c r="FA191" s="477"/>
      <c r="FB191" s="228"/>
      <c r="FC191" s="477"/>
      <c r="FD191" s="16"/>
    </row>
    <row r="192" spans="1:160" x14ac:dyDescent="0.2">
      <c r="A192" s="83" t="s">
        <v>802</v>
      </c>
      <c r="B192" s="438"/>
      <c r="C192" s="439"/>
      <c r="D192" s="440"/>
      <c r="E192" s="440"/>
      <c r="F192" s="441"/>
      <c r="G192" s="438"/>
      <c r="H192" s="439"/>
      <c r="I192" s="440"/>
      <c r="J192" s="440"/>
      <c r="K192" s="440"/>
      <c r="L192" s="438"/>
      <c r="M192" s="440"/>
      <c r="N192" s="440"/>
      <c r="O192" s="440"/>
      <c r="P192" s="440"/>
      <c r="Q192" s="438"/>
      <c r="R192" s="440"/>
      <c r="S192" s="440"/>
      <c r="T192" s="440"/>
      <c r="U192" s="441"/>
      <c r="V192" s="438"/>
      <c r="W192" s="440"/>
      <c r="X192" s="440"/>
      <c r="Y192" s="440"/>
      <c r="Z192" s="441"/>
      <c r="AA192" s="442"/>
      <c r="AB192" s="443"/>
      <c r="AC192" s="445"/>
      <c r="AD192" s="445"/>
      <c r="AE192" s="445"/>
      <c r="AF192" s="444"/>
      <c r="AG192" s="445"/>
      <c r="AH192" s="445"/>
      <c r="AI192" s="445"/>
      <c r="AJ192" s="445"/>
      <c r="AK192" s="243"/>
      <c r="AL192" s="445"/>
      <c r="AM192" s="445"/>
      <c r="AN192" s="445"/>
      <c r="AO192" s="445"/>
      <c r="AP192" s="444"/>
      <c r="AQ192" s="445"/>
      <c r="AR192" s="445"/>
      <c r="AS192" s="445"/>
      <c r="AT192" s="445"/>
      <c r="AU192" s="443"/>
      <c r="AV192" s="45"/>
      <c r="AW192" s="851">
        <f>AW189-AW167-AW173</f>
        <v>101.89999999999998</v>
      </c>
      <c r="AX192" s="851">
        <f t="shared" ref="AX192:AZ192" si="1108">AX189-AX167-AX173</f>
        <v>113.29999999999994</v>
      </c>
      <c r="AY192" s="851">
        <f t="shared" si="1108"/>
        <v>110.99999999999994</v>
      </c>
      <c r="AZ192" s="851">
        <f t="shared" si="1108"/>
        <v>113.19999999999999</v>
      </c>
      <c r="BA192" s="764">
        <f>SUM(AW192:AZ192)</f>
        <v>439.39999999999986</v>
      </c>
      <c r="BB192" s="851">
        <f>BB189-BB167-BB173</f>
        <v>119.39999999999999</v>
      </c>
      <c r="BC192" s="851">
        <f t="shared" ref="BC192:BE192" si="1109">BC189-BC167-BC173</f>
        <v>149.19999999999993</v>
      </c>
      <c r="BD192" s="851">
        <f t="shared" si="1109"/>
        <v>160.50000000000003</v>
      </c>
      <c r="BE192" s="851">
        <f t="shared" si="1109"/>
        <v>148.29999999999987</v>
      </c>
      <c r="BF192" s="764">
        <f>SUM(BB192:BE192)</f>
        <v>577.39999999999975</v>
      </c>
      <c r="BG192" s="851">
        <f>BG189-BG167-BG173</f>
        <v>140.59999999999997</v>
      </c>
      <c r="BH192" s="851">
        <f t="shared" ref="BH192:BJ192" si="1110">BH189-BH167-BH173</f>
        <v>171.09999999999994</v>
      </c>
      <c r="BI192" s="851">
        <f t="shared" si="1110"/>
        <v>160.69999999999996</v>
      </c>
      <c r="BJ192" s="851">
        <f t="shared" si="1110"/>
        <v>165.40000000000003</v>
      </c>
      <c r="BK192" s="764">
        <f>SUM(BG192:BJ192)</f>
        <v>637.79999999999995</v>
      </c>
      <c r="BL192" s="851">
        <f>BL189-BL167-BL173</f>
        <v>137.1</v>
      </c>
      <c r="BM192" s="851">
        <f t="shared" ref="BM192:BO192" si="1111">BM189-BM167-BM173</f>
        <v>157.70000000000005</v>
      </c>
      <c r="BN192" s="851">
        <f t="shared" si="1111"/>
        <v>169.60000000000002</v>
      </c>
      <c r="BO192" s="851">
        <f t="shared" si="1111"/>
        <v>170.89999999999998</v>
      </c>
      <c r="BP192" s="764">
        <f>SUM(BL192:BO192)</f>
        <v>635.30000000000007</v>
      </c>
      <c r="BQ192" s="851">
        <f>BQ189-BQ167-BQ173</f>
        <v>152.20000000000002</v>
      </c>
      <c r="BR192" s="851">
        <f t="shared" ref="BR192:BT192" si="1112">BR189-BR167-BR173</f>
        <v>172.70000000000002</v>
      </c>
      <c r="BS192" s="851">
        <f t="shared" si="1112"/>
        <v>193.99999999999997</v>
      </c>
      <c r="BT192" s="851">
        <f t="shared" si="1112"/>
        <v>195.70000000000005</v>
      </c>
      <c r="BU192" s="764">
        <f>SUM(BQ192:BT192)</f>
        <v>714.6</v>
      </c>
      <c r="BV192" s="851">
        <f>BV189-BV167-BV173</f>
        <v>321.89999999999986</v>
      </c>
      <c r="BW192" s="851">
        <f t="shared" ref="BW192:BY192" si="1113">BW189-BW167-BW173</f>
        <v>385.50000000000006</v>
      </c>
      <c r="BX192" s="851">
        <f t="shared" si="1113"/>
        <v>411.69999999999987</v>
      </c>
      <c r="BY192" s="851">
        <f t="shared" si="1113"/>
        <v>373.99999999999983</v>
      </c>
      <c r="BZ192" s="764">
        <f>SUM(BV192:BY192)</f>
        <v>1493.0999999999995</v>
      </c>
      <c r="CA192" s="851">
        <f>CA189-CA167-CA173</f>
        <v>340.29999999999995</v>
      </c>
      <c r="CB192" s="851">
        <f>CB189-CB167-CB173</f>
        <v>409.5999999999998</v>
      </c>
      <c r="CC192" s="851">
        <f t="shared" ref="CC192" si="1114">CC189-CC167-CC173</f>
        <v>420.50000000000017</v>
      </c>
      <c r="CD192" s="851">
        <f>CD189-CD167-CD173-CD305</f>
        <v>424.7000000000001</v>
      </c>
      <c r="CE192" s="764">
        <f>SUM(CA192:CD192)</f>
        <v>1595.1</v>
      </c>
      <c r="CF192" s="851">
        <f>CF189-CF167-CF173</f>
        <v>415.59999999999985</v>
      </c>
      <c r="CG192" s="851">
        <f t="shared" ref="CG192" si="1115">CG189-CG167-CG173</f>
        <v>459.99999999999989</v>
      </c>
      <c r="CH192" s="851">
        <f>CH189-CH167-CH173</f>
        <v>476.79999999999973</v>
      </c>
      <c r="CI192" s="851">
        <f>CI189-CI167-CI173</f>
        <v>501.78000000000009</v>
      </c>
      <c r="CJ192" s="764">
        <f>SUM(CF192:CI192)</f>
        <v>1854.1799999999994</v>
      </c>
      <c r="CK192" s="851">
        <f>CK189-CK167-CK173</f>
        <v>427.79999999999995</v>
      </c>
      <c r="CL192" s="851">
        <f t="shared" ref="CL192:CN192" si="1116">CL189-CL167-CL173</f>
        <v>515.00000000000011</v>
      </c>
      <c r="CM192" s="851">
        <f>CM189-CM167-CM173</f>
        <v>553.9</v>
      </c>
      <c r="CN192" s="851">
        <f t="shared" si="1116"/>
        <v>593.10000000000014</v>
      </c>
      <c r="CO192" s="764">
        <f>SUM(CK192:CN192)</f>
        <v>2089.8000000000002</v>
      </c>
      <c r="CP192" s="851">
        <f>CP189-CP167-CP173</f>
        <v>492.49999999999972</v>
      </c>
      <c r="CQ192" s="851">
        <f t="shared" ref="CQ192:CS192" si="1117">CQ189-CQ167-CQ173</f>
        <v>544.53434289101756</v>
      </c>
      <c r="CR192" s="851">
        <f t="shared" si="1117"/>
        <v>592.68767297924478</v>
      </c>
      <c r="CS192" s="851">
        <f t="shared" si="1117"/>
        <v>620.00818480729652</v>
      </c>
      <c r="CT192" s="764">
        <f>SUM(CP192:CS192)</f>
        <v>2249.7302006775585</v>
      </c>
      <c r="CU192" s="851">
        <f>CU189-CU167-CU173</f>
        <v>535.97734719810649</v>
      </c>
      <c r="CV192" s="851">
        <f t="shared" ref="CV192:CX192" si="1118">CV189-CV167-CV173</f>
        <v>608.2013770304377</v>
      </c>
      <c r="CW192" s="851">
        <f t="shared" si="1118"/>
        <v>656.81438227151887</v>
      </c>
      <c r="CX192" s="851">
        <f t="shared" si="1118"/>
        <v>688.71196921433159</v>
      </c>
      <c r="CY192" s="764">
        <f>SUM(CU192:CX192)</f>
        <v>2489.7050757143943</v>
      </c>
      <c r="CZ192" s="851">
        <f>CZ189-CZ167-CZ173</f>
        <v>580.34159008906067</v>
      </c>
      <c r="DA192" s="851">
        <f t="shared" ref="DA192:DC192" si="1119">DA189-DA167-DA173</f>
        <v>673.90666453463621</v>
      </c>
      <c r="DB192" s="851">
        <f t="shared" si="1119"/>
        <v>727.73538340675555</v>
      </c>
      <c r="DC192" s="851">
        <f t="shared" si="1119"/>
        <v>763.14911905120221</v>
      </c>
      <c r="DD192" s="764">
        <f>SUM(CZ192:DC192)</f>
        <v>2745.1327570816547</v>
      </c>
      <c r="DE192" s="851">
        <f>DE189-DE167-DE173</f>
        <v>641.41785407382713</v>
      </c>
      <c r="DF192" s="851">
        <f t="shared" ref="DF192:DH192" si="1120">DF189-DF167-DF173</f>
        <v>714.42403899274802</v>
      </c>
      <c r="DG192" s="851">
        <f t="shared" si="1120"/>
        <v>778.690570571595</v>
      </c>
      <c r="DH192" s="851">
        <f t="shared" si="1120"/>
        <v>825.93239039858292</v>
      </c>
      <c r="DI192" s="764">
        <f>SUM(DE192:DH192)</f>
        <v>2960.464854036753</v>
      </c>
      <c r="DJ192" s="851">
        <f>DJ189-DJ167-DJ173</f>
        <v>720.00674941252078</v>
      </c>
      <c r="DK192" s="851">
        <f t="shared" ref="DK192:DM192" si="1121">DK189-DK167-DK173</f>
        <v>800.69136277476525</v>
      </c>
      <c r="DL192" s="851">
        <f t="shared" si="1121"/>
        <v>872.81638071853445</v>
      </c>
      <c r="DM192" s="851">
        <f t="shared" si="1121"/>
        <v>924.22390026207097</v>
      </c>
      <c r="DN192" s="764">
        <f>SUM(DJ192:DM192)</f>
        <v>3317.7383931678914</v>
      </c>
      <c r="DO192" s="851">
        <f>DO189-DO167-DO173</f>
        <v>791.90445131842057</v>
      </c>
      <c r="DP192" s="851">
        <f t="shared" ref="DP192:DR192" si="1122">DP189-DP167-DP173</f>
        <v>877.74576937694394</v>
      </c>
      <c r="DQ192" s="851">
        <f t="shared" si="1122"/>
        <v>956.26492469748348</v>
      </c>
      <c r="DR192" s="851">
        <f t="shared" si="1122"/>
        <v>1011.9337207912642</v>
      </c>
      <c r="DS192" s="764">
        <f>SUM(DO192:DR192)</f>
        <v>3637.848866184112</v>
      </c>
      <c r="DT192" s="851">
        <f>DT189-DT167-DT173</f>
        <v>817.46323469856202</v>
      </c>
      <c r="DU192" s="851">
        <f t="shared" ref="DU192:DW192" si="1123">DU189-DU167-DU173</f>
        <v>895.63324459941418</v>
      </c>
      <c r="DV192" s="851">
        <f t="shared" si="1123"/>
        <v>975.82803510068754</v>
      </c>
      <c r="DW192" s="851">
        <f t="shared" si="1123"/>
        <v>1041.0695430573737</v>
      </c>
      <c r="DX192" s="764">
        <f>SUM(DT192:DW192)</f>
        <v>3729.9940574560374</v>
      </c>
      <c r="DY192" s="851">
        <f>DY189-DY167-DY173</f>
        <v>887.66884708083455</v>
      </c>
      <c r="DZ192" s="851">
        <f t="shared" ref="DZ192:EB192" si="1124">DZ189-DZ167-DZ173</f>
        <v>979.5996084593321</v>
      </c>
      <c r="EA192" s="851">
        <f t="shared" si="1124"/>
        <v>1066.7812307734516</v>
      </c>
      <c r="EB192" s="851">
        <f t="shared" si="1124"/>
        <v>1137.3036093102119</v>
      </c>
      <c r="EC192" s="764">
        <f>SUM(DY192:EB192)</f>
        <v>4071.35329562383</v>
      </c>
      <c r="ED192" s="440"/>
      <c r="EE192" s="21"/>
      <c r="EF192" s="284"/>
      <c r="EG192" s="16"/>
      <c r="EH192" s="16"/>
      <c r="EI192" s="16"/>
      <c r="EJ192" s="16"/>
      <c r="EK192" s="16"/>
      <c r="EL192" s="16"/>
      <c r="EM192" s="16"/>
      <c r="EN192" s="16"/>
      <c r="EO192" s="16"/>
      <c r="EP192" s="16"/>
      <c r="EQ192" s="16"/>
      <c r="ER192" s="16"/>
      <c r="ES192" s="16"/>
      <c r="ET192" s="16"/>
      <c r="EU192" s="16"/>
      <c r="EX192" s="16"/>
      <c r="EY192" s="228"/>
      <c r="EZ192" s="477"/>
      <c r="FA192" s="477"/>
      <c r="FB192" s="228"/>
      <c r="FC192" s="477"/>
      <c r="FD192" s="16"/>
    </row>
    <row r="193" spans="1:166" x14ac:dyDescent="0.2">
      <c r="A193" s="270" t="s">
        <v>483</v>
      </c>
      <c r="B193" s="438"/>
      <c r="C193" s="439"/>
      <c r="D193" s="440"/>
      <c r="E193" s="440"/>
      <c r="F193" s="441"/>
      <c r="G193" s="438"/>
      <c r="H193" s="439"/>
      <c r="I193" s="440"/>
      <c r="J193" s="440"/>
      <c r="K193" s="440"/>
      <c r="L193" s="438"/>
      <c r="M193" s="440"/>
      <c r="N193" s="440"/>
      <c r="O193" s="440"/>
      <c r="P193" s="440"/>
      <c r="Q193" s="438"/>
      <c r="R193" s="440"/>
      <c r="S193" s="440"/>
      <c r="T193" s="440"/>
      <c r="U193" s="441"/>
      <c r="V193" s="438"/>
      <c r="W193" s="440"/>
      <c r="X193" s="440"/>
      <c r="Y193" s="440"/>
      <c r="Z193" s="441"/>
      <c r="AA193" s="442"/>
      <c r="AB193" s="443"/>
      <c r="AC193" s="445"/>
      <c r="AD193" s="445"/>
      <c r="AE193" s="445"/>
      <c r="AF193" s="444"/>
      <c r="AG193" s="445"/>
      <c r="AH193" s="445"/>
      <c r="AI193" s="445"/>
      <c r="AJ193" s="445"/>
      <c r="AK193" s="243"/>
      <c r="AL193" s="445"/>
      <c r="AM193" s="445"/>
      <c r="AN193" s="445"/>
      <c r="AO193" s="445"/>
      <c r="AP193" s="444"/>
      <c r="AQ193" s="445"/>
      <c r="AR193" s="445"/>
      <c r="AS193" s="445"/>
      <c r="AT193" s="445"/>
      <c r="AU193" s="443"/>
      <c r="AV193" s="45"/>
      <c r="AW193" s="445"/>
      <c r="AX193" s="445"/>
      <c r="AY193" s="445"/>
      <c r="AZ193" s="445"/>
      <c r="BA193" s="444"/>
      <c r="BB193" s="445">
        <f t="shared" ref="BB193:CL193" si="1125">BB192/AW192-1</f>
        <v>0.17173699705593748</v>
      </c>
      <c r="BC193" s="445">
        <f t="shared" si="1125"/>
        <v>0.31685789938217135</v>
      </c>
      <c r="BD193" s="445">
        <f t="shared" si="1125"/>
        <v>0.44594594594594694</v>
      </c>
      <c r="BE193" s="445">
        <f t="shared" si="1125"/>
        <v>0.31007067137809075</v>
      </c>
      <c r="BF193" s="444">
        <f t="shared" si="1125"/>
        <v>0.31406463359126069</v>
      </c>
      <c r="BG193" s="445">
        <f t="shared" si="1125"/>
        <v>0.17755443886097133</v>
      </c>
      <c r="BH193" s="445">
        <f t="shared" si="1125"/>
        <v>0.14678284182305634</v>
      </c>
      <c r="BI193" s="445">
        <f t="shared" si="1125"/>
        <v>1.2461059190027601E-3</v>
      </c>
      <c r="BJ193" s="445">
        <f t="shared" si="1125"/>
        <v>0.11530681051921898</v>
      </c>
      <c r="BK193" s="444">
        <f t="shared" si="1125"/>
        <v>0.10460685833044714</v>
      </c>
      <c r="BL193" s="445">
        <f t="shared" si="1125"/>
        <v>-2.4893314366998376E-2</v>
      </c>
      <c r="BM193" s="445">
        <f t="shared" si="1125"/>
        <v>-7.8316773816480945E-2</v>
      </c>
      <c r="BN193" s="445">
        <f t="shared" si="1125"/>
        <v>5.5382700684505792E-2</v>
      </c>
      <c r="BO193" s="445">
        <f t="shared" si="1125"/>
        <v>3.3252720677146019E-2</v>
      </c>
      <c r="BP193" s="444">
        <f t="shared" si="1125"/>
        <v>-3.9197240514265985E-3</v>
      </c>
      <c r="BQ193" s="445">
        <f t="shared" si="1125"/>
        <v>0.11013858497447138</v>
      </c>
      <c r="BR193" s="445">
        <f t="shared" si="1125"/>
        <v>9.511731135066559E-2</v>
      </c>
      <c r="BS193" s="445">
        <f t="shared" si="1125"/>
        <v>0.14386792452830166</v>
      </c>
      <c r="BT193" s="445">
        <f t="shared" si="1125"/>
        <v>0.14511410181392659</v>
      </c>
      <c r="BU193" s="444">
        <f t="shared" si="1125"/>
        <v>0.12482291830631187</v>
      </c>
      <c r="BV193" s="445">
        <f t="shared" ref="BV193" si="1126">BV192/BQ192-1</f>
        <v>1.1149802890932969</v>
      </c>
      <c r="BW193" s="445">
        <f t="shared" ref="BW193" si="1127">BW192/BR192-1</f>
        <v>1.2321945570353217</v>
      </c>
      <c r="BX193" s="445">
        <f t="shared" ref="BX193" si="1128">BX192/BS192-1</f>
        <v>1.1221649484536078</v>
      </c>
      <c r="BY193" s="445">
        <f t="shared" ref="BY193" si="1129">BY192/BT192-1</f>
        <v>0.91108840061318208</v>
      </c>
      <c r="BZ193" s="444">
        <f t="shared" ref="BZ193" si="1130">BZ192/BU192-1</f>
        <v>1.0894206549118381</v>
      </c>
      <c r="CA193" s="445">
        <f>CA192/BQ192-1</f>
        <v>1.2358738501971085</v>
      </c>
      <c r="CB193" s="445">
        <f>CB192/BR192-1</f>
        <v>1.3717429067747524</v>
      </c>
      <c r="CC193" s="445">
        <f>CC192/BS192-1</f>
        <v>1.1675257731958775</v>
      </c>
      <c r="CD193" s="445">
        <f>CD192/BT192-1</f>
        <v>1.1701584057230456</v>
      </c>
      <c r="CE193" s="444">
        <f>CE192/BU192-1</f>
        <v>1.2321578505457595</v>
      </c>
      <c r="CF193" s="445">
        <f t="shared" ref="CF193:CG193" si="1131">CF192/CA192-1</f>
        <v>0.22127534528357296</v>
      </c>
      <c r="CG193" s="445">
        <f t="shared" si="1131"/>
        <v>0.12304687500000022</v>
      </c>
      <c r="CH193" s="445">
        <f t="shared" si="1125"/>
        <v>0.13388822829964209</v>
      </c>
      <c r="CI193" s="445">
        <f t="shared" si="1125"/>
        <v>0.18149281846008947</v>
      </c>
      <c r="CJ193" s="444">
        <f t="shared" si="1125"/>
        <v>0.16242241865713725</v>
      </c>
      <c r="CK193" s="445">
        <f t="shared" si="1125"/>
        <v>2.935514918190596E-2</v>
      </c>
      <c r="CL193" s="445">
        <f t="shared" si="1125"/>
        <v>0.11956521739130488</v>
      </c>
      <c r="CM193" s="445">
        <f t="shared" ref="CM193:DR193" si="1132">CM192/CH192-1</f>
        <v>0.16170302013422888</v>
      </c>
      <c r="CN193" s="445">
        <f t="shared" si="1132"/>
        <v>0.18199210809518118</v>
      </c>
      <c r="CO193" s="444">
        <f t="shared" si="1132"/>
        <v>0.12707504125813074</v>
      </c>
      <c r="CP193" s="445">
        <f>CP192/CK192-1</f>
        <v>0.15123889668069146</v>
      </c>
      <c r="CQ193" s="445">
        <f t="shared" si="1132"/>
        <v>5.7348238623334824E-2</v>
      </c>
      <c r="CR193" s="445">
        <f t="shared" si="1132"/>
        <v>7.0026490303745748E-2</v>
      </c>
      <c r="CS193" s="445">
        <f t="shared" si="1132"/>
        <v>4.5368714900179352E-2</v>
      </c>
      <c r="CT193" s="444">
        <f t="shared" si="1132"/>
        <v>7.6528950462990908E-2</v>
      </c>
      <c r="CU193" s="445">
        <f t="shared" si="1132"/>
        <v>8.8278877559607727E-2</v>
      </c>
      <c r="CV193" s="445">
        <f t="shared" si="1132"/>
        <v>0.1169201446531396</v>
      </c>
      <c r="CW193" s="445">
        <f t="shared" si="1132"/>
        <v>0.10819646200827893</v>
      </c>
      <c r="CX193" s="445">
        <f t="shared" si="1132"/>
        <v>0.11081109264450872</v>
      </c>
      <c r="CY193" s="444">
        <f t="shared" si="1132"/>
        <v>0.10666829069750761</v>
      </c>
      <c r="CZ193" s="445">
        <f t="shared" si="1132"/>
        <v>8.2772608064266562E-2</v>
      </c>
      <c r="DA193" s="445">
        <f t="shared" si="1132"/>
        <v>0.10803212551902908</v>
      </c>
      <c r="DB193" s="445">
        <f t="shared" si="1132"/>
        <v>0.10797723534914749</v>
      </c>
      <c r="DC193" s="445">
        <f t="shared" si="1132"/>
        <v>0.10808168460000345</v>
      </c>
      <c r="DD193" s="444">
        <f t="shared" si="1132"/>
        <v>0.10259354967735224</v>
      </c>
      <c r="DE193" s="445">
        <f t="shared" si="1132"/>
        <v>0.10524192135771893</v>
      </c>
      <c r="DF193" s="445">
        <f t="shared" si="1132"/>
        <v>6.0123124744716705E-2</v>
      </c>
      <c r="DG193" s="445">
        <f t="shared" si="1132"/>
        <v>7.0018839713828829E-2</v>
      </c>
      <c r="DH193" s="445">
        <f t="shared" si="1132"/>
        <v>8.2268680890881463E-2</v>
      </c>
      <c r="DI193" s="444">
        <f t="shared" si="1132"/>
        <v>7.8441414681895916E-2</v>
      </c>
      <c r="DJ193" s="445">
        <f t="shared" si="1132"/>
        <v>0.12252371030764619</v>
      </c>
      <c r="DK193" s="445">
        <f t="shared" si="1132"/>
        <v>0.12075086933474943</v>
      </c>
      <c r="DL193" s="445">
        <f t="shared" si="1132"/>
        <v>0.12087703858780108</v>
      </c>
      <c r="DM193" s="445">
        <f t="shared" si="1132"/>
        <v>0.11900672622374575</v>
      </c>
      <c r="DN193" s="444">
        <f t="shared" si="1132"/>
        <v>0.12068156750585191</v>
      </c>
      <c r="DO193" s="445">
        <f t="shared" si="1132"/>
        <v>9.9856983236009444E-2</v>
      </c>
      <c r="DP193" s="445">
        <f t="shared" si="1132"/>
        <v>9.6234841768680468E-2</v>
      </c>
      <c r="DQ193" s="445">
        <f t="shared" si="1132"/>
        <v>9.5608361417611309E-2</v>
      </c>
      <c r="DR193" s="445">
        <f t="shared" si="1132"/>
        <v>9.4901052119862328E-2</v>
      </c>
      <c r="DS193" s="444">
        <f t="shared" ref="DS193:DX193" si="1133">DS192/DN192-1</f>
        <v>9.6484543107863363E-2</v>
      </c>
      <c r="DT193" s="445">
        <f t="shared" si="1133"/>
        <v>3.2275084876198568E-2</v>
      </c>
      <c r="DU193" s="445">
        <f t="shared" si="1133"/>
        <v>2.0378879450672072E-2</v>
      </c>
      <c r="DV193" s="445">
        <f t="shared" si="1133"/>
        <v>2.0457835373803857E-2</v>
      </c>
      <c r="DW193" s="445">
        <f t="shared" si="1133"/>
        <v>2.879222390506686E-2</v>
      </c>
      <c r="DX193" s="444">
        <f t="shared" si="1133"/>
        <v>2.53295820308721E-2</v>
      </c>
      <c r="DY193" s="445">
        <f t="shared" ref="DY193" si="1134">DY192/DT192-1</f>
        <v>8.5882287303306937E-2</v>
      </c>
      <c r="DZ193" s="445">
        <f t="shared" ref="DZ193" si="1135">DZ192/DU192-1</f>
        <v>9.3750834246302706E-2</v>
      </c>
      <c r="EA193" s="445">
        <f t="shared" ref="EA193" si="1136">EA192/DV192-1</f>
        <v>9.3206171990518172E-2</v>
      </c>
      <c r="EB193" s="445">
        <f t="shared" ref="EB193" si="1137">EB192/DW192-1</f>
        <v>9.2437692462139953E-2</v>
      </c>
      <c r="EC193" s="444">
        <f t="shared" ref="EC193" si="1138">EC192/DX192-1</f>
        <v>9.1517367832111063E-2</v>
      </c>
      <c r="ED193" s="440"/>
      <c r="EE193" s="21"/>
      <c r="EF193" s="284"/>
      <c r="EG193" s="16"/>
      <c r="EH193" s="16"/>
      <c r="EI193" s="16"/>
      <c r="EJ193" s="16"/>
      <c r="EK193" s="16"/>
      <c r="EL193" s="16"/>
      <c r="EM193" s="16"/>
      <c r="EN193" s="16"/>
      <c r="EO193" s="16"/>
      <c r="EP193" s="16"/>
      <c r="EQ193" s="16"/>
      <c r="ER193" s="16"/>
      <c r="ES193" s="16"/>
      <c r="ET193" s="16"/>
      <c r="EU193" s="16"/>
      <c r="EX193" s="16"/>
      <c r="EY193" s="228"/>
      <c r="EZ193" s="477"/>
      <c r="FA193" s="477"/>
      <c r="FB193" s="228"/>
      <c r="FC193" s="477"/>
      <c r="FD193" s="16"/>
    </row>
    <row r="194" spans="1:166" x14ac:dyDescent="0.2">
      <c r="A194" s="270"/>
      <c r="B194" s="438"/>
      <c r="C194" s="439"/>
      <c r="D194" s="440"/>
      <c r="E194" s="440"/>
      <c r="F194" s="441"/>
      <c r="G194" s="438"/>
      <c r="H194" s="439"/>
      <c r="I194" s="440"/>
      <c r="J194" s="440"/>
      <c r="K194" s="440"/>
      <c r="L194" s="438"/>
      <c r="M194" s="440"/>
      <c r="N194" s="440"/>
      <c r="O194" s="440"/>
      <c r="P194" s="440"/>
      <c r="Q194" s="438"/>
      <c r="R194" s="440"/>
      <c r="S194" s="440"/>
      <c r="T194" s="440"/>
      <c r="U194" s="441"/>
      <c r="V194" s="438"/>
      <c r="W194" s="440"/>
      <c r="X194" s="440"/>
      <c r="Y194" s="440"/>
      <c r="Z194" s="441"/>
      <c r="AA194" s="442"/>
      <c r="AB194" s="443"/>
      <c r="AC194" s="445"/>
      <c r="AD194" s="445"/>
      <c r="AE194" s="445"/>
      <c r="AF194" s="444"/>
      <c r="AG194" s="445"/>
      <c r="AH194" s="445"/>
      <c r="AI194" s="445"/>
      <c r="AJ194" s="445"/>
      <c r="AK194" s="243"/>
      <c r="AL194" s="445"/>
      <c r="AM194" s="445"/>
      <c r="AN194" s="445"/>
      <c r="AO194" s="445"/>
      <c r="AP194" s="444"/>
      <c r="AQ194" s="445"/>
      <c r="AR194" s="445"/>
      <c r="AS194" s="445"/>
      <c r="AT194" s="445"/>
      <c r="AU194" s="443"/>
      <c r="AV194" s="45"/>
      <c r="AW194" s="445"/>
      <c r="AX194" s="445"/>
      <c r="AY194" s="445"/>
      <c r="AZ194" s="445"/>
      <c r="BA194" s="444"/>
      <c r="BB194" s="445"/>
      <c r="BC194" s="445"/>
      <c r="BD194" s="445"/>
      <c r="BE194" s="445"/>
      <c r="BF194" s="444"/>
      <c r="BG194" s="445"/>
      <c r="BH194" s="445"/>
      <c r="BI194" s="445"/>
      <c r="BJ194" s="445"/>
      <c r="BK194" s="444"/>
      <c r="BL194" s="445"/>
      <c r="BM194" s="445"/>
      <c r="BN194" s="445"/>
      <c r="BO194" s="445"/>
      <c r="BP194" s="444"/>
      <c r="BQ194" s="445"/>
      <c r="BR194" s="445"/>
      <c r="BS194" s="445"/>
      <c r="BT194" s="445"/>
      <c r="BU194" s="444"/>
      <c r="BV194" s="445"/>
      <c r="BW194" s="445"/>
      <c r="BX194" s="445"/>
      <c r="BY194" s="445"/>
      <c r="BZ194" s="444"/>
      <c r="CA194" s="445"/>
      <c r="CB194" s="445"/>
      <c r="CC194" s="445"/>
      <c r="CD194" s="445"/>
      <c r="CE194" s="444"/>
      <c r="CF194" s="445"/>
      <c r="CG194" s="445"/>
      <c r="CH194" s="445"/>
      <c r="CI194" s="445"/>
      <c r="CJ194" s="444"/>
      <c r="CK194" s="445"/>
      <c r="CL194" s="445"/>
      <c r="CM194" s="445"/>
      <c r="CN194" s="445"/>
      <c r="CO194" s="444"/>
      <c r="CP194" s="445"/>
      <c r="CQ194" s="445"/>
      <c r="CR194" s="445"/>
      <c r="CS194" s="445"/>
      <c r="CT194" s="444"/>
      <c r="CU194" s="445"/>
      <c r="CV194" s="445"/>
      <c r="CW194" s="445"/>
      <c r="CX194" s="445"/>
      <c r="CY194" s="444"/>
      <c r="CZ194" s="445"/>
      <c r="DA194" s="445"/>
      <c r="DB194" s="445"/>
      <c r="DC194" s="445"/>
      <c r="DD194" s="444"/>
      <c r="DE194" s="445"/>
      <c r="DF194" s="445"/>
      <c r="DG194" s="445"/>
      <c r="DH194" s="445"/>
      <c r="DI194" s="444"/>
      <c r="DJ194" s="445"/>
      <c r="DK194" s="445"/>
      <c r="DL194" s="445"/>
      <c r="DM194" s="445"/>
      <c r="DN194" s="444"/>
      <c r="DO194" s="445"/>
      <c r="DP194" s="445"/>
      <c r="DQ194" s="445"/>
      <c r="DR194" s="445"/>
      <c r="DS194" s="444"/>
      <c r="DT194" s="445"/>
      <c r="DU194" s="445"/>
      <c r="DV194" s="445"/>
      <c r="DW194" s="445"/>
      <c r="DX194" s="444"/>
      <c r="DY194" s="445"/>
      <c r="DZ194" s="445"/>
      <c r="EA194" s="445"/>
      <c r="EB194" s="445"/>
      <c r="EC194" s="444"/>
      <c r="ED194" s="440"/>
      <c r="EE194" s="21"/>
      <c r="EF194" s="284"/>
      <c r="EG194" s="16"/>
      <c r="EH194" s="16"/>
      <c r="EI194" s="16"/>
      <c r="EJ194" s="16"/>
      <c r="EK194" s="16"/>
      <c r="EL194" s="16"/>
      <c r="EM194" s="16"/>
      <c r="EN194" s="16"/>
      <c r="EO194" s="16"/>
      <c r="EP194" s="16"/>
      <c r="EQ194" s="16"/>
      <c r="ER194" s="16"/>
      <c r="ES194" s="16"/>
      <c r="ET194" s="16"/>
      <c r="EU194" s="16"/>
      <c r="EX194" s="16"/>
      <c r="EY194" s="228"/>
      <c r="EZ194" s="477"/>
      <c r="FA194" s="477"/>
      <c r="FB194" s="228"/>
      <c r="FC194" s="477"/>
      <c r="FD194" s="16"/>
    </row>
    <row r="195" spans="1:166" x14ac:dyDescent="0.2">
      <c r="A195" s="276" t="s">
        <v>135</v>
      </c>
      <c r="B195" s="361"/>
      <c r="C195" s="366"/>
      <c r="D195" s="368"/>
      <c r="E195" s="367"/>
      <c r="F195" s="369"/>
      <c r="G195" s="361"/>
      <c r="H195" s="366"/>
      <c r="I195" s="367"/>
      <c r="J195" s="367"/>
      <c r="K195" s="367"/>
      <c r="L195" s="361"/>
      <c r="M195" s="367"/>
      <c r="N195" s="367"/>
      <c r="O195" s="367"/>
      <c r="P195" s="367"/>
      <c r="Q195" s="361"/>
      <c r="R195" s="367"/>
      <c r="S195" s="367"/>
      <c r="T195" s="367"/>
      <c r="U195" s="369"/>
      <c r="V195" s="361"/>
      <c r="W195" s="367"/>
      <c r="X195" s="367"/>
      <c r="Y195" s="367"/>
      <c r="Z195" s="369"/>
      <c r="AA195" s="362"/>
      <c r="AB195" s="366"/>
      <c r="AC195" s="367"/>
      <c r="AD195" s="367"/>
      <c r="AE195" s="367"/>
      <c r="AF195" s="361"/>
      <c r="AG195" s="370"/>
      <c r="AH195" s="370"/>
      <c r="AI195" s="370"/>
      <c r="AJ195" s="370"/>
      <c r="AK195" s="361"/>
      <c r="AL195" s="370"/>
      <c r="AM195" s="370"/>
      <c r="AN195" s="370"/>
      <c r="AO195" s="370"/>
      <c r="AP195" s="361"/>
      <c r="AQ195" s="370"/>
      <c r="AR195" s="370"/>
      <c r="AS195" s="370"/>
      <c r="AT195" s="370"/>
      <c r="AU195" s="363"/>
      <c r="AV195" s="45"/>
      <c r="AW195" s="370"/>
      <c r="AX195" s="370"/>
      <c r="AY195" s="370"/>
      <c r="AZ195" s="370"/>
      <c r="BA195" s="361"/>
      <c r="BB195" s="370"/>
      <c r="BC195" s="370"/>
      <c r="BD195" s="370"/>
      <c r="BE195" s="370"/>
      <c r="BF195" s="361"/>
      <c r="BG195" s="370"/>
      <c r="BH195" s="370"/>
      <c r="BI195" s="370"/>
      <c r="BJ195" s="370"/>
      <c r="BK195" s="361"/>
      <c r="BL195" s="370"/>
      <c r="BM195" s="370"/>
      <c r="BN195" s="370"/>
      <c r="BO195" s="370"/>
      <c r="BP195" s="361"/>
      <c r="BQ195" s="370"/>
      <c r="BR195" s="370"/>
      <c r="BS195" s="370"/>
      <c r="BT195" s="370"/>
      <c r="BU195" s="361"/>
      <c r="BV195" s="1302"/>
      <c r="BW195" s="1302"/>
      <c r="BX195" s="1302"/>
      <c r="BY195" s="1302"/>
      <c r="BZ195" s="361"/>
      <c r="CA195" s="370"/>
      <c r="CB195" s="370"/>
      <c r="CC195" s="370"/>
      <c r="CD195" s="370"/>
      <c r="CE195" s="361">
        <f>1606.924209-CE192</f>
        <v>11.82420900000011</v>
      </c>
      <c r="CF195" s="370"/>
      <c r="CG195" s="370"/>
      <c r="CH195" s="370"/>
      <c r="CI195" s="370"/>
      <c r="CJ195" s="361"/>
      <c r="CK195" s="367"/>
      <c r="CL195" s="370"/>
      <c r="CM195" s="370"/>
      <c r="CN195" s="367"/>
      <c r="CO195" s="361"/>
      <c r="CP195" s="370"/>
      <c r="CQ195" s="370"/>
      <c r="CR195" s="370"/>
      <c r="CS195" s="370"/>
      <c r="CT195" s="361"/>
      <c r="CU195" s="370"/>
      <c r="CV195" s="370"/>
      <c r="CW195" s="370"/>
      <c r="CX195" s="370"/>
      <c r="CY195" s="361"/>
      <c r="CZ195" s="370"/>
      <c r="DA195" s="370"/>
      <c r="DB195" s="370"/>
      <c r="DC195" s="370"/>
      <c r="DD195" s="361"/>
      <c r="DE195" s="370"/>
      <c r="DF195" s="370"/>
      <c r="DG195" s="370"/>
      <c r="DH195" s="370"/>
      <c r="DI195" s="361"/>
      <c r="DJ195" s="370"/>
      <c r="DK195" s="370"/>
      <c r="DL195" s="370"/>
      <c r="DM195" s="370"/>
      <c r="DN195" s="361"/>
      <c r="DO195" s="370"/>
      <c r="DP195" s="370"/>
      <c r="DQ195" s="370"/>
      <c r="DR195" s="370"/>
      <c r="DS195" s="361"/>
      <c r="DT195" s="370"/>
      <c r="DU195" s="370"/>
      <c r="DV195" s="370"/>
      <c r="DW195" s="370"/>
      <c r="DX195" s="361"/>
      <c r="DY195" s="370"/>
      <c r="DZ195" s="370"/>
      <c r="EA195" s="370"/>
      <c r="EB195" s="370"/>
      <c r="EC195" s="361"/>
      <c r="ED195" s="38"/>
      <c r="EE195" s="21"/>
      <c r="EF195" s="284"/>
      <c r="EG195" s="16"/>
      <c r="EH195" s="16"/>
      <c r="EI195" s="16"/>
      <c r="EJ195" s="16"/>
      <c r="EK195" s="16"/>
      <c r="EL195" s="16"/>
      <c r="EM195" s="16"/>
      <c r="EN195" s="16"/>
      <c r="EO195" s="16"/>
      <c r="EP195" s="16"/>
      <c r="EQ195" s="16"/>
      <c r="ER195" s="16"/>
      <c r="ES195" s="16"/>
      <c r="ET195" s="16"/>
      <c r="EU195" s="16"/>
      <c r="EX195" s="16"/>
      <c r="EY195" s="228"/>
      <c r="EZ195" s="477"/>
      <c r="FA195" s="477"/>
      <c r="FB195" s="228"/>
      <c r="FC195" s="477"/>
      <c r="FD195" s="16"/>
    </row>
    <row r="196" spans="1:166" x14ac:dyDescent="0.2">
      <c r="A196" s="84" t="s">
        <v>393</v>
      </c>
      <c r="B196" s="85"/>
      <c r="C196" s="86"/>
      <c r="D196" s="53"/>
      <c r="E196" s="53"/>
      <c r="F196" s="54"/>
      <c r="G196" s="85"/>
      <c r="H196" s="86"/>
      <c r="I196" s="53"/>
      <c r="J196" s="53"/>
      <c r="K196" s="53"/>
      <c r="L196" s="85"/>
      <c r="M196" s="53"/>
      <c r="N196" s="53"/>
      <c r="O196" s="53"/>
      <c r="P196" s="53"/>
      <c r="Q196" s="85"/>
      <c r="R196" s="21"/>
      <c r="S196" s="53"/>
      <c r="T196" s="53"/>
      <c r="U196" s="54">
        <v>2</v>
      </c>
      <c r="V196" s="85">
        <f>V160</f>
        <v>47</v>
      </c>
      <c r="W196" s="53">
        <f>W160</f>
        <v>22</v>
      </c>
      <c r="X196" s="53">
        <f>X160</f>
        <v>27</v>
      </c>
      <c r="Y196" s="53">
        <f>Y160</f>
        <v>-12</v>
      </c>
      <c r="Z196" s="54">
        <v>-9</v>
      </c>
      <c r="AA196" s="85">
        <f t="shared" ref="AA196:AU196" si="1139">AA160</f>
        <v>27</v>
      </c>
      <c r="AB196" s="86">
        <f t="shared" si="1139"/>
        <v>40</v>
      </c>
      <c r="AC196" s="53">
        <f t="shared" si="1139"/>
        <v>38</v>
      </c>
      <c r="AD196" s="53">
        <f t="shared" si="1139"/>
        <v>34</v>
      </c>
      <c r="AE196" s="53">
        <f t="shared" si="1139"/>
        <v>36</v>
      </c>
      <c r="AF196" s="85">
        <f t="shared" si="1139"/>
        <v>148</v>
      </c>
      <c r="AG196" s="53">
        <f t="shared" si="1139"/>
        <v>0</v>
      </c>
      <c r="AH196" s="53">
        <f t="shared" si="1139"/>
        <v>49</v>
      </c>
      <c r="AI196" s="53">
        <f t="shared" si="1139"/>
        <v>0</v>
      </c>
      <c r="AJ196" s="53">
        <f t="shared" si="1139"/>
        <v>51</v>
      </c>
      <c r="AK196" s="85">
        <f t="shared" si="1139"/>
        <v>190</v>
      </c>
      <c r="AL196" s="53">
        <f t="shared" si="1139"/>
        <v>-40</v>
      </c>
      <c r="AM196" s="53">
        <f t="shared" si="1139"/>
        <v>-41.6</v>
      </c>
      <c r="AN196" s="53">
        <f t="shared" si="1139"/>
        <v>-29</v>
      </c>
      <c r="AO196" s="53">
        <f t="shared" si="1139"/>
        <v>-28.799999999999997</v>
      </c>
      <c r="AP196" s="85">
        <f t="shared" si="1139"/>
        <v>-139.39999999999998</v>
      </c>
      <c r="AQ196" s="53">
        <f t="shared" si="1139"/>
        <v>-36.4</v>
      </c>
      <c r="AR196" s="53">
        <f t="shared" si="1139"/>
        <v>-38</v>
      </c>
      <c r="AS196" s="53">
        <f t="shared" si="1139"/>
        <v>40.999999999999972</v>
      </c>
      <c r="AT196" s="53">
        <f t="shared" si="1139"/>
        <v>48.999999999999957</v>
      </c>
      <c r="AU196" s="664">
        <f t="shared" si="1139"/>
        <v>15.599999999999923</v>
      </c>
      <c r="AV196" s="45"/>
      <c r="AW196" s="53">
        <f>AW51</f>
        <v>40.999999999999972</v>
      </c>
      <c r="AX196" s="53">
        <f>AX51</f>
        <v>48.999999999999957</v>
      </c>
      <c r="AY196" s="53">
        <f>AY51</f>
        <v>63.399999999999956</v>
      </c>
      <c r="AZ196" s="53">
        <f>AZ51</f>
        <v>-108.00000000000003</v>
      </c>
      <c r="BA196" s="85">
        <f>SUM(AW196:AZ196)</f>
        <v>45.399999999999864</v>
      </c>
      <c r="BB196" s="53">
        <f t="shared" ref="BB196:CL196" si="1140">BB160</f>
        <v>-5.9000000000000039</v>
      </c>
      <c r="BC196" s="53">
        <f t="shared" si="1140"/>
        <v>30.199999999999942</v>
      </c>
      <c r="BD196" s="53">
        <f t="shared" si="1140"/>
        <v>38.800000000000026</v>
      </c>
      <c r="BE196" s="53">
        <f t="shared" si="1140"/>
        <v>24.999999999999865</v>
      </c>
      <c r="BF196" s="85">
        <f t="shared" si="1140"/>
        <v>88.099999999999824</v>
      </c>
      <c r="BG196" s="53">
        <f t="shared" si="1140"/>
        <v>14.299999999999965</v>
      </c>
      <c r="BH196" s="53">
        <f t="shared" si="1140"/>
        <v>48.199999999999918</v>
      </c>
      <c r="BI196" s="53">
        <f t="shared" si="1140"/>
        <v>6.599999999999957</v>
      </c>
      <c r="BJ196" s="53">
        <f t="shared" si="1140"/>
        <v>48.60000000000003</v>
      </c>
      <c r="BK196" s="85">
        <f t="shared" si="1140"/>
        <v>117.7</v>
      </c>
      <c r="BL196" s="53">
        <f t="shared" si="1140"/>
        <v>35.799999999999976</v>
      </c>
      <c r="BM196" s="53">
        <f t="shared" si="1140"/>
        <v>62.90000000000002</v>
      </c>
      <c r="BN196" s="53">
        <f t="shared" si="1140"/>
        <v>68.200000000000017</v>
      </c>
      <c r="BO196" s="53">
        <f t="shared" si="1140"/>
        <v>66.799999999999955</v>
      </c>
      <c r="BP196" s="85">
        <f t="shared" si="1140"/>
        <v>233.69999999999996</v>
      </c>
      <c r="BQ196" s="53">
        <f t="shared" si="1140"/>
        <v>60.400000000000013</v>
      </c>
      <c r="BR196" s="53">
        <f t="shared" si="1140"/>
        <v>75.09999999999998</v>
      </c>
      <c r="BS196" s="53">
        <f t="shared" si="1140"/>
        <v>-23.500000000000021</v>
      </c>
      <c r="BT196" s="53">
        <f t="shared" si="1140"/>
        <v>-389.4</v>
      </c>
      <c r="BU196" s="85">
        <f t="shared" si="1140"/>
        <v>-277.39999999999998</v>
      </c>
      <c r="BV196" s="53">
        <f t="shared" ref="BV196:BZ196" si="1141">BV160</f>
        <v>91.499999999999872</v>
      </c>
      <c r="BW196" s="53">
        <f t="shared" si="1141"/>
        <v>141.20000000000007</v>
      </c>
      <c r="BX196" s="53">
        <f t="shared" si="1141"/>
        <v>161.59999999999991</v>
      </c>
      <c r="BY196" s="53">
        <f t="shared" si="1141"/>
        <v>38.899999999999835</v>
      </c>
      <c r="BZ196" s="85">
        <f t="shared" si="1141"/>
        <v>433.1999999999997</v>
      </c>
      <c r="CA196" s="53">
        <f t="shared" si="1140"/>
        <v>50.599999999999909</v>
      </c>
      <c r="CB196" s="53">
        <f t="shared" si="1140"/>
        <v>93.799999999999855</v>
      </c>
      <c r="CC196" s="53">
        <f t="shared" si="1140"/>
        <v>182.8600000000001</v>
      </c>
      <c r="CD196" s="53">
        <f t="shared" si="1140"/>
        <v>184.46000000000012</v>
      </c>
      <c r="CE196" s="85">
        <f t="shared" si="1140"/>
        <v>511.72</v>
      </c>
      <c r="CF196" s="53">
        <f t="shared" si="1140"/>
        <v>168.2999999999999</v>
      </c>
      <c r="CG196" s="53">
        <f t="shared" si="1140"/>
        <v>247.59999999999991</v>
      </c>
      <c r="CH196" s="53">
        <f t="shared" si="1140"/>
        <v>238.59999999999977</v>
      </c>
      <c r="CI196" s="53">
        <f t="shared" si="1140"/>
        <v>301.38</v>
      </c>
      <c r="CJ196" s="85">
        <f t="shared" si="1140"/>
        <v>955.87999999999954</v>
      </c>
      <c r="CK196" s="53">
        <f t="shared" si="1140"/>
        <v>166.60000000000002</v>
      </c>
      <c r="CL196" s="53">
        <f t="shared" si="1140"/>
        <v>243.50000000000014</v>
      </c>
      <c r="CM196" s="53">
        <f t="shared" ref="CM196:DR196" si="1142">CM160</f>
        <v>246.79999999999995</v>
      </c>
      <c r="CN196" s="53">
        <f t="shared" si="1142"/>
        <v>578.4000000000002</v>
      </c>
      <c r="CO196" s="85">
        <f t="shared" si="1142"/>
        <v>1235.3000000000002</v>
      </c>
      <c r="CP196" s="53">
        <f t="shared" si="1142"/>
        <v>278.79999999999978</v>
      </c>
      <c r="CQ196" s="53">
        <f t="shared" si="1142"/>
        <v>251.07427814492911</v>
      </c>
      <c r="CR196" s="53">
        <f t="shared" si="1142"/>
        <v>294.72715575565871</v>
      </c>
      <c r="CS196" s="53">
        <f t="shared" si="1142"/>
        <v>315.07587473785748</v>
      </c>
      <c r="CT196" s="85">
        <f t="shared" si="1142"/>
        <v>1139.6773086384451</v>
      </c>
      <c r="CU196" s="53">
        <f t="shared" si="1142"/>
        <v>259.98971601922165</v>
      </c>
      <c r="CV196" s="53">
        <f t="shared" si="1142"/>
        <v>300.63052700052936</v>
      </c>
      <c r="CW196" s="53">
        <f t="shared" si="1142"/>
        <v>345.42141486531398</v>
      </c>
      <c r="CX196" s="53">
        <f t="shared" si="1142"/>
        <v>369.02815117067212</v>
      </c>
      <c r="CY196" s="85">
        <f t="shared" si="1142"/>
        <v>1275.0698090557371</v>
      </c>
      <c r="CZ196" s="53">
        <f t="shared" si="1142"/>
        <v>295.31856964007477</v>
      </c>
      <c r="DA196" s="53">
        <f t="shared" si="1142"/>
        <v>352.39568354822802</v>
      </c>
      <c r="DB196" s="53">
        <f t="shared" si="1142"/>
        <v>401.48723172181116</v>
      </c>
      <c r="DC196" s="53">
        <f t="shared" si="1142"/>
        <v>427.90976965238963</v>
      </c>
      <c r="DD196" s="85">
        <f t="shared" si="1142"/>
        <v>1477.1112545625037</v>
      </c>
      <c r="DE196" s="53">
        <f t="shared" si="1142"/>
        <v>354.52519677190719</v>
      </c>
      <c r="DF196" s="53">
        <f t="shared" si="1142"/>
        <v>399.39578986320424</v>
      </c>
      <c r="DG196" s="53">
        <f t="shared" si="1142"/>
        <v>455.05282498216451</v>
      </c>
      <c r="DH196" s="53">
        <f t="shared" si="1142"/>
        <v>456.09019219963255</v>
      </c>
      <c r="DI196" s="85">
        <f t="shared" si="1142"/>
        <v>1665.0640038169086</v>
      </c>
      <c r="DJ196" s="53">
        <f t="shared" si="1142"/>
        <v>408.69617630805391</v>
      </c>
      <c r="DK196" s="53">
        <f t="shared" si="1142"/>
        <v>455.84389264053289</v>
      </c>
      <c r="DL196" s="53">
        <f t="shared" si="1142"/>
        <v>519.26028225570587</v>
      </c>
      <c r="DM196" s="53">
        <f t="shared" si="1142"/>
        <v>551.28064545851419</v>
      </c>
      <c r="DN196" s="85">
        <f t="shared" si="1142"/>
        <v>1935.0809966628071</v>
      </c>
      <c r="DO196" s="53">
        <f t="shared" si="1142"/>
        <v>463.82434178875161</v>
      </c>
      <c r="DP196" s="53">
        <f t="shared" si="1142"/>
        <v>518.20911932933552</v>
      </c>
      <c r="DQ196" s="53">
        <f t="shared" si="1142"/>
        <v>586.81441163429304</v>
      </c>
      <c r="DR196" s="53">
        <f t="shared" si="1142"/>
        <v>621.55325386093818</v>
      </c>
      <c r="DS196" s="85">
        <f t="shared" ref="DS196:DX196" si="1143">DS160</f>
        <v>2190.4011266133184</v>
      </c>
      <c r="DT196" s="53">
        <f t="shared" si="1143"/>
        <v>484.51258940836266</v>
      </c>
      <c r="DU196" s="53">
        <f t="shared" si="1143"/>
        <v>533.9189622724216</v>
      </c>
      <c r="DV196" s="53">
        <f t="shared" si="1143"/>
        <v>616.73096528012832</v>
      </c>
      <c r="DW196" s="53">
        <f t="shared" si="1143"/>
        <v>658.36814756860917</v>
      </c>
      <c r="DX196" s="85">
        <f t="shared" si="1143"/>
        <v>2293.5306645295213</v>
      </c>
      <c r="DY196" s="53">
        <f t="shared" ref="DY196:EC196" si="1144">DY160</f>
        <v>554.82074716127477</v>
      </c>
      <c r="DZ196" s="53">
        <f t="shared" si="1144"/>
        <v>615.14542361321151</v>
      </c>
      <c r="EA196" s="53">
        <f t="shared" si="1144"/>
        <v>690.89258304346879</v>
      </c>
      <c r="EB196" s="53">
        <f t="shared" si="1144"/>
        <v>736.01656320651716</v>
      </c>
      <c r="EC196" s="85">
        <f t="shared" si="1144"/>
        <v>2596.8753170244722</v>
      </c>
      <c r="ED196" s="53"/>
      <c r="EE196" s="21"/>
      <c r="EF196" s="284"/>
      <c r="EG196" s="16"/>
      <c r="EH196" s="16"/>
      <c r="EI196" s="16"/>
      <c r="EJ196" s="16"/>
      <c r="EK196" s="16"/>
      <c r="EL196" s="16"/>
      <c r="EM196" s="16"/>
      <c r="EN196" s="16"/>
      <c r="EO196" s="16"/>
      <c r="EP196" s="16"/>
      <c r="EQ196" s="16"/>
      <c r="ER196" s="16"/>
      <c r="ES196" s="16"/>
      <c r="ET196" s="16"/>
      <c r="EU196" s="16"/>
      <c r="EX196" s="16"/>
      <c r="EY196" s="228"/>
      <c r="EZ196" s="477"/>
      <c r="FA196" s="477"/>
      <c r="FB196" s="228"/>
      <c r="FC196" s="477"/>
      <c r="FD196" s="16"/>
    </row>
    <row r="197" spans="1:166" ht="15" x14ac:dyDescent="0.35">
      <c r="A197" s="84" t="s">
        <v>423</v>
      </c>
      <c r="B197" s="371"/>
      <c r="C197" s="89"/>
      <c r="D197" s="90"/>
      <c r="E197" s="90"/>
      <c r="F197" s="92"/>
      <c r="G197" s="371"/>
      <c r="H197" s="89"/>
      <c r="I197" s="90"/>
      <c r="J197" s="90"/>
      <c r="K197" s="90"/>
      <c r="L197" s="371"/>
      <c r="M197" s="90"/>
      <c r="N197" s="90"/>
      <c r="O197" s="90"/>
      <c r="P197" s="90"/>
      <c r="Q197" s="371"/>
      <c r="R197" s="372"/>
      <c r="S197" s="90"/>
      <c r="T197" s="90"/>
      <c r="U197" s="92">
        <v>2</v>
      </c>
      <c r="V197" s="371">
        <f>V163</f>
        <v>31</v>
      </c>
      <c r="W197" s="372">
        <f>W163</f>
        <v>20</v>
      </c>
      <c r="X197" s="372">
        <f>X163</f>
        <v>26</v>
      </c>
      <c r="Y197" s="90">
        <f>Y163</f>
        <v>6</v>
      </c>
      <c r="Z197" s="92">
        <v>0</v>
      </c>
      <c r="AA197" s="371">
        <v>53</v>
      </c>
      <c r="AB197" s="372">
        <f t="shared" ref="AB197:AU197" si="1145">AB163</f>
        <v>24</v>
      </c>
      <c r="AC197" s="372">
        <f t="shared" si="1145"/>
        <v>20</v>
      </c>
      <c r="AD197" s="90">
        <f t="shared" si="1145"/>
        <v>11</v>
      </c>
      <c r="AE197" s="90">
        <f t="shared" si="1145"/>
        <v>20</v>
      </c>
      <c r="AF197" s="371">
        <f t="shared" si="1145"/>
        <v>75</v>
      </c>
      <c r="AG197" s="90">
        <f t="shared" si="1145"/>
        <v>0</v>
      </c>
      <c r="AH197" s="90">
        <f t="shared" si="1145"/>
        <v>30</v>
      </c>
      <c r="AI197" s="90">
        <f t="shared" si="1145"/>
        <v>0</v>
      </c>
      <c r="AJ197" s="90">
        <f t="shared" si="1145"/>
        <v>20</v>
      </c>
      <c r="AK197" s="371">
        <f t="shared" si="1145"/>
        <v>103</v>
      </c>
      <c r="AL197" s="90">
        <f t="shared" si="1145"/>
        <v>26</v>
      </c>
      <c r="AM197" s="90">
        <f t="shared" si="1145"/>
        <v>26.6</v>
      </c>
      <c r="AN197" s="90">
        <f t="shared" si="1145"/>
        <v>16</v>
      </c>
      <c r="AO197" s="90">
        <f t="shared" si="1145"/>
        <v>16.2</v>
      </c>
      <c r="AP197" s="371">
        <f t="shared" si="1145"/>
        <v>84.8</v>
      </c>
      <c r="AQ197" s="90">
        <f t="shared" si="1145"/>
        <v>23.9</v>
      </c>
      <c r="AR197" s="90">
        <f t="shared" si="1145"/>
        <v>25.8</v>
      </c>
      <c r="AS197" s="90">
        <f t="shared" si="1145"/>
        <v>26</v>
      </c>
      <c r="AT197" s="90">
        <f t="shared" si="1145"/>
        <v>21.8</v>
      </c>
      <c r="AU197" s="89">
        <f t="shared" si="1145"/>
        <v>97.5</v>
      </c>
      <c r="AV197" s="45"/>
      <c r="AW197" s="90">
        <f>AW49</f>
        <v>26</v>
      </c>
      <c r="AX197" s="90">
        <f>AX49</f>
        <v>21.8</v>
      </c>
      <c r="AY197" s="90">
        <f>AY49</f>
        <v>15.1</v>
      </c>
      <c r="AZ197" s="90">
        <f>AZ49</f>
        <v>-27.5</v>
      </c>
      <c r="BA197" s="371">
        <f>SUM(AW197:AZ197)</f>
        <v>35.4</v>
      </c>
      <c r="BB197" s="90">
        <f t="shared" ref="BB197:CL197" si="1146">BB163</f>
        <v>0.1</v>
      </c>
      <c r="BC197" s="90">
        <f t="shared" si="1146"/>
        <v>12.7</v>
      </c>
      <c r="BD197" s="90">
        <f t="shared" si="1146"/>
        <v>13.4</v>
      </c>
      <c r="BE197" s="90">
        <f t="shared" si="1146"/>
        <v>0.4</v>
      </c>
      <c r="BF197" s="371">
        <f t="shared" si="1146"/>
        <v>26.599999999999998</v>
      </c>
      <c r="BG197" s="90">
        <f t="shared" si="1146"/>
        <v>7.2</v>
      </c>
      <c r="BH197" s="90">
        <f t="shared" si="1146"/>
        <v>14.8</v>
      </c>
      <c r="BI197" s="90">
        <f t="shared" si="1146"/>
        <v>6.9</v>
      </c>
      <c r="BJ197" s="90">
        <f t="shared" si="1146"/>
        <v>13.1</v>
      </c>
      <c r="BK197" s="371">
        <f t="shared" si="1146"/>
        <v>42</v>
      </c>
      <c r="BL197" s="90">
        <f t="shared" si="1146"/>
        <v>17.5</v>
      </c>
      <c r="BM197" s="90">
        <f t="shared" si="1146"/>
        <v>20.3</v>
      </c>
      <c r="BN197" s="90">
        <f t="shared" si="1146"/>
        <v>27.1</v>
      </c>
      <c r="BO197" s="90">
        <f t="shared" si="1146"/>
        <v>23.6</v>
      </c>
      <c r="BP197" s="371">
        <f t="shared" si="1146"/>
        <v>88.5</v>
      </c>
      <c r="BQ197" s="90">
        <f t="shared" si="1146"/>
        <v>20.9</v>
      </c>
      <c r="BR197" s="90">
        <f t="shared" si="1146"/>
        <v>25.8</v>
      </c>
      <c r="BS197" s="90">
        <f t="shared" si="1146"/>
        <v>-26.9</v>
      </c>
      <c r="BT197" s="90">
        <f t="shared" si="1146"/>
        <v>4.5</v>
      </c>
      <c r="BU197" s="371">
        <f t="shared" si="1146"/>
        <v>24.300000000000004</v>
      </c>
      <c r="BV197" s="90">
        <f t="shared" ref="BV197:BZ197" si="1147">BV163</f>
        <v>41.2</v>
      </c>
      <c r="BW197" s="90">
        <f t="shared" si="1147"/>
        <v>57.5</v>
      </c>
      <c r="BX197" s="90">
        <f t="shared" si="1147"/>
        <v>66.900000000000006</v>
      </c>
      <c r="BY197" s="90">
        <f t="shared" si="1147"/>
        <v>126.1</v>
      </c>
      <c r="BZ197" s="371">
        <f t="shared" si="1147"/>
        <v>291.70000000000005</v>
      </c>
      <c r="CA197" s="90">
        <f t="shared" si="1146"/>
        <v>50.7</v>
      </c>
      <c r="CB197" s="90">
        <f t="shared" si="1146"/>
        <v>45.2</v>
      </c>
      <c r="CC197" s="90">
        <f t="shared" si="1146"/>
        <v>44.74</v>
      </c>
      <c r="CD197" s="90">
        <f t="shared" si="1146"/>
        <v>21.54</v>
      </c>
      <c r="CE197" s="371">
        <f t="shared" si="1146"/>
        <v>162.18</v>
      </c>
      <c r="CF197" s="90">
        <f t="shared" si="1146"/>
        <v>47.2</v>
      </c>
      <c r="CG197" s="90">
        <f t="shared" si="1146"/>
        <v>59.2</v>
      </c>
      <c r="CH197" s="90">
        <f t="shared" si="1146"/>
        <v>64.599999999999994</v>
      </c>
      <c r="CI197" s="90">
        <f t="shared" si="1146"/>
        <v>72.900000000000006</v>
      </c>
      <c r="CJ197" s="371">
        <f t="shared" si="1146"/>
        <v>243.9</v>
      </c>
      <c r="CK197" s="90">
        <f t="shared" si="1146"/>
        <v>37.799999999999997</v>
      </c>
      <c r="CL197" s="90">
        <f t="shared" si="1146"/>
        <v>42.9</v>
      </c>
      <c r="CM197" s="90">
        <f t="shared" ref="CM197:DR197" si="1148">CM163</f>
        <v>38.299999999999997</v>
      </c>
      <c r="CN197" s="90">
        <f t="shared" si="1148"/>
        <v>-252.6</v>
      </c>
      <c r="CO197" s="371">
        <f t="shared" si="1148"/>
        <v>-133.60000000000002</v>
      </c>
      <c r="CP197" s="90">
        <f t="shared" si="1148"/>
        <v>1.7</v>
      </c>
      <c r="CQ197" s="90">
        <f t="shared" si="1148"/>
        <v>66.741263810677353</v>
      </c>
      <c r="CR197" s="90">
        <f t="shared" si="1148"/>
        <v>78.345193302137119</v>
      </c>
      <c r="CS197" s="90">
        <f t="shared" si="1148"/>
        <v>83.754346449303881</v>
      </c>
      <c r="CT197" s="371">
        <f t="shared" si="1148"/>
        <v>230.54080356211836</v>
      </c>
      <c r="CU197" s="90">
        <f t="shared" si="1148"/>
        <v>69.111190334223465</v>
      </c>
      <c r="CV197" s="90">
        <f t="shared" si="1148"/>
        <v>79.91444388621666</v>
      </c>
      <c r="CW197" s="90">
        <f t="shared" si="1148"/>
        <v>91.820882432551826</v>
      </c>
      <c r="CX197" s="90">
        <f t="shared" si="1148"/>
        <v>98.096090817520434</v>
      </c>
      <c r="CY197" s="371">
        <f t="shared" si="1148"/>
        <v>338.94260747051237</v>
      </c>
      <c r="CZ197" s="90">
        <f t="shared" si="1148"/>
        <v>78.502404587867986</v>
      </c>
      <c r="DA197" s="90">
        <f t="shared" si="1148"/>
        <v>93.674801955858072</v>
      </c>
      <c r="DB197" s="90">
        <f t="shared" si="1148"/>
        <v>106.72445400200043</v>
      </c>
      <c r="DC197" s="90">
        <f t="shared" si="1148"/>
        <v>113.74816661645799</v>
      </c>
      <c r="DD197" s="371">
        <f t="shared" si="1148"/>
        <v>392.64982716218447</v>
      </c>
      <c r="DE197" s="90">
        <f t="shared" si="1148"/>
        <v>94.240875091266474</v>
      </c>
      <c r="DF197" s="90">
        <f t="shared" si="1148"/>
        <v>106.16850110287707</v>
      </c>
      <c r="DG197" s="90">
        <f t="shared" si="1148"/>
        <v>120.9634091724741</v>
      </c>
      <c r="DH197" s="90">
        <f t="shared" si="1148"/>
        <v>121.23916501509218</v>
      </c>
      <c r="DI197" s="371">
        <f t="shared" si="1148"/>
        <v>442.61195038170979</v>
      </c>
      <c r="DJ197" s="90">
        <f t="shared" si="1148"/>
        <v>108.64075572745736</v>
      </c>
      <c r="DK197" s="90">
        <f t="shared" si="1148"/>
        <v>121.1736929803948</v>
      </c>
      <c r="DL197" s="90">
        <f t="shared" si="1148"/>
        <v>138.03121427050408</v>
      </c>
      <c r="DM197" s="90">
        <f t="shared" si="1148"/>
        <v>146.54295638770631</v>
      </c>
      <c r="DN197" s="371">
        <f t="shared" si="1148"/>
        <v>514.38861936606258</v>
      </c>
      <c r="DO197" s="90">
        <f t="shared" si="1148"/>
        <v>123.29507819700991</v>
      </c>
      <c r="DP197" s="90">
        <f t="shared" si="1148"/>
        <v>137.75179121412717</v>
      </c>
      <c r="DQ197" s="90">
        <f t="shared" si="1148"/>
        <v>155.98864106734371</v>
      </c>
      <c r="DR197" s="90">
        <f t="shared" si="1148"/>
        <v>165.22301684911014</v>
      </c>
      <c r="DS197" s="371">
        <f t="shared" ref="DS197:DX197" si="1149">DS163</f>
        <v>582.25852732759085</v>
      </c>
      <c r="DT197" s="90">
        <f t="shared" si="1149"/>
        <v>128.7944857920964</v>
      </c>
      <c r="DU197" s="90">
        <f t="shared" si="1149"/>
        <v>141.92782541418802</v>
      </c>
      <c r="DV197" s="90">
        <f t="shared" si="1149"/>
        <v>163.94114266940119</v>
      </c>
      <c r="DW197" s="90">
        <f t="shared" si="1149"/>
        <v>175.00925441697206</v>
      </c>
      <c r="DX197" s="371">
        <f t="shared" si="1149"/>
        <v>609.67270829265772</v>
      </c>
      <c r="DY197" s="90">
        <f t="shared" ref="DY197:EC197" si="1150">DY163</f>
        <v>147.4839960808452</v>
      </c>
      <c r="DZ197" s="90">
        <f t="shared" si="1150"/>
        <v>163.51966956806885</v>
      </c>
      <c r="EA197" s="90">
        <f t="shared" si="1150"/>
        <v>183.65499042927649</v>
      </c>
      <c r="EB197" s="90">
        <f t="shared" si="1150"/>
        <v>195.64997249793495</v>
      </c>
      <c r="EC197" s="371">
        <f t="shared" si="1150"/>
        <v>690.30862857612556</v>
      </c>
      <c r="ED197" s="38"/>
      <c r="EE197" s="21"/>
      <c r="EF197" s="284"/>
      <c r="EG197" s="16"/>
      <c r="EH197" s="16"/>
      <c r="EI197" s="16"/>
      <c r="EJ197" s="16"/>
      <c r="EK197" s="16"/>
      <c r="EL197" s="16"/>
      <c r="EM197" s="16"/>
      <c r="EN197" s="16"/>
      <c r="EO197" s="16"/>
      <c r="EP197" s="16"/>
      <c r="EQ197" s="16"/>
      <c r="ER197" s="16"/>
      <c r="ES197" s="16"/>
      <c r="ET197" s="16"/>
      <c r="EU197" s="16"/>
      <c r="EX197" s="16"/>
      <c r="EY197" s="228"/>
      <c r="EZ197" s="477"/>
      <c r="FA197" s="477"/>
      <c r="FB197" s="228"/>
      <c r="FC197" s="477"/>
      <c r="FD197" s="16"/>
    </row>
    <row r="198" spans="1:166" x14ac:dyDescent="0.2">
      <c r="A198" s="84" t="s">
        <v>433</v>
      </c>
      <c r="B198" s="100"/>
      <c r="C198" s="101"/>
      <c r="D198" s="102"/>
      <c r="E198" s="102"/>
      <c r="F198" s="103"/>
      <c r="G198" s="100"/>
      <c r="H198" s="101"/>
      <c r="I198" s="102"/>
      <c r="J198" s="102"/>
      <c r="K198" s="103"/>
      <c r="L198" s="100"/>
      <c r="M198" s="102"/>
      <c r="N198" s="102"/>
      <c r="O198" s="102"/>
      <c r="P198" s="102"/>
      <c r="Q198" s="100"/>
      <c r="R198" s="102"/>
      <c r="S198" s="102"/>
      <c r="T198" s="102"/>
      <c r="U198" s="53">
        <f t="shared" ref="U198:BK198" si="1151">U197+U196</f>
        <v>4</v>
      </c>
      <c r="V198" s="85">
        <f t="shared" si="1151"/>
        <v>78</v>
      </c>
      <c r="W198" s="53">
        <f t="shared" si="1151"/>
        <v>42</v>
      </c>
      <c r="X198" s="53">
        <f t="shared" si="1151"/>
        <v>53</v>
      </c>
      <c r="Y198" s="378">
        <f t="shared" si="1151"/>
        <v>-6</v>
      </c>
      <c r="Z198" s="65">
        <f t="shared" si="1151"/>
        <v>-9</v>
      </c>
      <c r="AA198" s="215">
        <f t="shared" si="1151"/>
        <v>80</v>
      </c>
      <c r="AB198" s="65">
        <f t="shared" si="1151"/>
        <v>64</v>
      </c>
      <c r="AC198" s="65">
        <f t="shared" si="1151"/>
        <v>58</v>
      </c>
      <c r="AD198" s="378">
        <f t="shared" si="1151"/>
        <v>45</v>
      </c>
      <c r="AE198" s="379">
        <f t="shared" si="1151"/>
        <v>56</v>
      </c>
      <c r="AF198" s="215">
        <f t="shared" si="1151"/>
        <v>223</v>
      </c>
      <c r="AG198" s="378">
        <f t="shared" si="1151"/>
        <v>0</v>
      </c>
      <c r="AH198" s="378">
        <f t="shared" si="1151"/>
        <v>79</v>
      </c>
      <c r="AI198" s="378">
        <f t="shared" si="1151"/>
        <v>0</v>
      </c>
      <c r="AJ198" s="379">
        <f t="shared" si="1151"/>
        <v>71</v>
      </c>
      <c r="AK198" s="708">
        <f t="shared" si="1151"/>
        <v>293</v>
      </c>
      <c r="AL198" s="378">
        <f t="shared" si="1151"/>
        <v>-14</v>
      </c>
      <c r="AM198" s="378">
        <f t="shared" si="1151"/>
        <v>-15</v>
      </c>
      <c r="AN198" s="378">
        <f t="shared" si="1151"/>
        <v>-13</v>
      </c>
      <c r="AO198" s="379">
        <f t="shared" si="1151"/>
        <v>-12.599999999999998</v>
      </c>
      <c r="AP198" s="708">
        <f t="shared" si="1151"/>
        <v>-54.59999999999998</v>
      </c>
      <c r="AQ198" s="378">
        <f t="shared" si="1151"/>
        <v>-12.5</v>
      </c>
      <c r="AR198" s="378">
        <f t="shared" si="1151"/>
        <v>-12.2</v>
      </c>
      <c r="AS198" s="378">
        <f>AS197+AS196</f>
        <v>66.999999999999972</v>
      </c>
      <c r="AT198" s="378">
        <f>AT197+AT196</f>
        <v>70.799999999999955</v>
      </c>
      <c r="AU198" s="886">
        <f>AU197+AU196</f>
        <v>113.09999999999992</v>
      </c>
      <c r="AV198" s="45"/>
      <c r="AW198" s="378">
        <f t="shared" si="1151"/>
        <v>66.999999999999972</v>
      </c>
      <c r="AX198" s="378">
        <f t="shared" si="1151"/>
        <v>70.799999999999955</v>
      </c>
      <c r="AY198" s="378">
        <f t="shared" si="1151"/>
        <v>78.499999999999957</v>
      </c>
      <c r="AZ198" s="379">
        <f t="shared" si="1151"/>
        <v>-135.50000000000003</v>
      </c>
      <c r="BA198" s="708">
        <f t="shared" si="1151"/>
        <v>80.799999999999869</v>
      </c>
      <c r="BB198" s="378">
        <f t="shared" si="1151"/>
        <v>-5.8000000000000043</v>
      </c>
      <c r="BC198" s="378">
        <f t="shared" si="1151"/>
        <v>42.899999999999942</v>
      </c>
      <c r="BD198" s="378">
        <f t="shared" si="1151"/>
        <v>52.200000000000024</v>
      </c>
      <c r="BE198" s="379">
        <f t="shared" si="1151"/>
        <v>25.399999999999864</v>
      </c>
      <c r="BF198" s="708">
        <f t="shared" si="1151"/>
        <v>114.69999999999982</v>
      </c>
      <c r="BG198" s="378">
        <f t="shared" si="1151"/>
        <v>21.499999999999964</v>
      </c>
      <c r="BH198" s="378">
        <f t="shared" si="1151"/>
        <v>62.999999999999915</v>
      </c>
      <c r="BI198" s="378">
        <f t="shared" si="1151"/>
        <v>13.499999999999957</v>
      </c>
      <c r="BJ198" s="379">
        <f t="shared" si="1151"/>
        <v>61.700000000000031</v>
      </c>
      <c r="BK198" s="708">
        <f t="shared" si="1151"/>
        <v>159.69999999999999</v>
      </c>
      <c r="BL198" s="378">
        <f t="shared" ref="BL198:BU198" si="1152">BL197+BL196</f>
        <v>53.299999999999976</v>
      </c>
      <c r="BM198" s="378">
        <f t="shared" si="1152"/>
        <v>83.200000000000017</v>
      </c>
      <c r="BN198" s="378">
        <f t="shared" si="1152"/>
        <v>95.300000000000011</v>
      </c>
      <c r="BO198" s="379">
        <f t="shared" si="1152"/>
        <v>90.399999999999949</v>
      </c>
      <c r="BP198" s="708">
        <f t="shared" si="1152"/>
        <v>322.19999999999993</v>
      </c>
      <c r="BQ198" s="378">
        <f t="shared" si="1152"/>
        <v>81.300000000000011</v>
      </c>
      <c r="BR198" s="378">
        <f t="shared" si="1152"/>
        <v>100.89999999999998</v>
      </c>
      <c r="BS198" s="378">
        <f t="shared" si="1152"/>
        <v>-50.40000000000002</v>
      </c>
      <c r="BT198" s="379">
        <f t="shared" si="1152"/>
        <v>-384.9</v>
      </c>
      <c r="BU198" s="708">
        <f t="shared" si="1152"/>
        <v>-253.09999999999997</v>
      </c>
      <c r="BV198" s="378">
        <f t="shared" ref="BV198:BZ198" si="1153">BV197+BV196</f>
        <v>132.69999999999987</v>
      </c>
      <c r="BW198" s="378">
        <f t="shared" si="1153"/>
        <v>198.70000000000007</v>
      </c>
      <c r="BX198" s="378">
        <f t="shared" si="1153"/>
        <v>228.49999999999991</v>
      </c>
      <c r="BY198" s="379">
        <f t="shared" si="1153"/>
        <v>164.99999999999983</v>
      </c>
      <c r="BZ198" s="708">
        <f t="shared" si="1153"/>
        <v>724.89999999999975</v>
      </c>
      <c r="CA198" s="378">
        <f t="shared" ref="CA198:DF198" si="1154">CA197+CA196</f>
        <v>101.29999999999991</v>
      </c>
      <c r="CB198" s="378">
        <f t="shared" si="1154"/>
        <v>138.99999999999986</v>
      </c>
      <c r="CC198" s="378">
        <f t="shared" si="1154"/>
        <v>227.60000000000011</v>
      </c>
      <c r="CD198" s="379">
        <f t="shared" si="1154"/>
        <v>206.00000000000011</v>
      </c>
      <c r="CE198" s="708">
        <f t="shared" si="1154"/>
        <v>673.90000000000009</v>
      </c>
      <c r="CF198" s="378">
        <f t="shared" si="1154"/>
        <v>215.49999999999989</v>
      </c>
      <c r="CG198" s="378">
        <f t="shared" si="1154"/>
        <v>306.7999999999999</v>
      </c>
      <c r="CH198" s="378">
        <f t="shared" si="1154"/>
        <v>303.19999999999976</v>
      </c>
      <c r="CI198" s="379">
        <f t="shared" si="1154"/>
        <v>374.28</v>
      </c>
      <c r="CJ198" s="708">
        <f t="shared" si="1154"/>
        <v>1199.7799999999995</v>
      </c>
      <c r="CK198" s="378">
        <f t="shared" si="1154"/>
        <v>204.40000000000003</v>
      </c>
      <c r="CL198" s="378">
        <f t="shared" si="1154"/>
        <v>286.40000000000015</v>
      </c>
      <c r="CM198" s="378">
        <f t="shared" si="1154"/>
        <v>285.09999999999997</v>
      </c>
      <c r="CN198" s="379">
        <f t="shared" si="1154"/>
        <v>325.80000000000018</v>
      </c>
      <c r="CO198" s="708">
        <f t="shared" si="1154"/>
        <v>1101.7000000000003</v>
      </c>
      <c r="CP198" s="378">
        <f t="shared" si="1154"/>
        <v>280.49999999999977</v>
      </c>
      <c r="CQ198" s="378">
        <f t="shared" si="1154"/>
        <v>317.81554195560648</v>
      </c>
      <c r="CR198" s="378">
        <f t="shared" si="1154"/>
        <v>373.0723490577958</v>
      </c>
      <c r="CS198" s="379">
        <f t="shared" si="1154"/>
        <v>398.83022118716133</v>
      </c>
      <c r="CT198" s="708">
        <f t="shared" si="1154"/>
        <v>1370.2181122005634</v>
      </c>
      <c r="CU198" s="378">
        <f t="shared" si="1154"/>
        <v>329.10090635344511</v>
      </c>
      <c r="CV198" s="378">
        <f t="shared" si="1154"/>
        <v>380.544970886746</v>
      </c>
      <c r="CW198" s="378">
        <f t="shared" si="1154"/>
        <v>437.24229729786578</v>
      </c>
      <c r="CX198" s="379">
        <f t="shared" si="1154"/>
        <v>467.12424198819258</v>
      </c>
      <c r="CY198" s="708">
        <f t="shared" si="1154"/>
        <v>1614.0124165262496</v>
      </c>
      <c r="CZ198" s="378">
        <f t="shared" si="1154"/>
        <v>373.82097422794277</v>
      </c>
      <c r="DA198" s="378">
        <f t="shared" si="1154"/>
        <v>446.07048550408609</v>
      </c>
      <c r="DB198" s="378">
        <f t="shared" si="1154"/>
        <v>508.21168572381157</v>
      </c>
      <c r="DC198" s="379">
        <f t="shared" si="1154"/>
        <v>541.65793626884761</v>
      </c>
      <c r="DD198" s="708">
        <f t="shared" si="1154"/>
        <v>1869.7610817246882</v>
      </c>
      <c r="DE198" s="378">
        <f t="shared" si="1154"/>
        <v>448.76607186317369</v>
      </c>
      <c r="DF198" s="378">
        <f t="shared" si="1154"/>
        <v>505.56429096608133</v>
      </c>
      <c r="DG198" s="378">
        <f t="shared" ref="DG198:DX198" si="1155">DG197+DG196</f>
        <v>576.0162341546386</v>
      </c>
      <c r="DH198" s="379">
        <f t="shared" si="1155"/>
        <v>577.32935721472472</v>
      </c>
      <c r="DI198" s="708">
        <f t="shared" si="1155"/>
        <v>2107.6759541986185</v>
      </c>
      <c r="DJ198" s="378">
        <f t="shared" si="1155"/>
        <v>517.33693203551127</v>
      </c>
      <c r="DK198" s="378">
        <f t="shared" si="1155"/>
        <v>577.01758562092766</v>
      </c>
      <c r="DL198" s="378">
        <f t="shared" si="1155"/>
        <v>657.29149652620993</v>
      </c>
      <c r="DM198" s="379">
        <f t="shared" si="1155"/>
        <v>697.82360184622053</v>
      </c>
      <c r="DN198" s="708">
        <f t="shared" si="1155"/>
        <v>2449.4696160288695</v>
      </c>
      <c r="DO198" s="378">
        <f t="shared" si="1155"/>
        <v>587.11941998576151</v>
      </c>
      <c r="DP198" s="378">
        <f t="shared" si="1155"/>
        <v>655.96091054346266</v>
      </c>
      <c r="DQ198" s="378">
        <f t="shared" si="1155"/>
        <v>742.80305270163672</v>
      </c>
      <c r="DR198" s="379">
        <f t="shared" si="1155"/>
        <v>786.77627071004827</v>
      </c>
      <c r="DS198" s="708">
        <f t="shared" si="1155"/>
        <v>2772.6596539409093</v>
      </c>
      <c r="DT198" s="378">
        <f t="shared" si="1155"/>
        <v>613.30707520045905</v>
      </c>
      <c r="DU198" s="378">
        <f t="shared" si="1155"/>
        <v>675.84678768660956</v>
      </c>
      <c r="DV198" s="378">
        <f t="shared" si="1155"/>
        <v>780.6721079495295</v>
      </c>
      <c r="DW198" s="379">
        <f t="shared" si="1155"/>
        <v>833.37740198558117</v>
      </c>
      <c r="DX198" s="708">
        <f t="shared" si="1155"/>
        <v>2903.2033728221791</v>
      </c>
      <c r="DY198" s="378">
        <f t="shared" ref="DY198:EC198" si="1156">DY197+DY196</f>
        <v>702.30474324211991</v>
      </c>
      <c r="DZ198" s="378">
        <f t="shared" si="1156"/>
        <v>778.66509318128033</v>
      </c>
      <c r="EA198" s="378">
        <f t="shared" si="1156"/>
        <v>874.54757347274528</v>
      </c>
      <c r="EB198" s="379">
        <f t="shared" si="1156"/>
        <v>931.66653570445214</v>
      </c>
      <c r="EC198" s="708">
        <f t="shared" si="1156"/>
        <v>3287.1839456005978</v>
      </c>
      <c r="ED198" s="102"/>
      <c r="EE198" s="21"/>
      <c r="EF198" s="284"/>
      <c r="EG198" s="16"/>
      <c r="EH198" s="16"/>
      <c r="EI198" s="16"/>
      <c r="EJ198" s="16"/>
      <c r="EK198" s="16"/>
      <c r="EL198" s="16"/>
      <c r="EM198" s="16"/>
      <c r="EN198" s="16"/>
      <c r="EO198" s="16"/>
      <c r="EP198" s="16"/>
      <c r="EQ198" s="16"/>
      <c r="ER198" s="16"/>
      <c r="ES198" s="16"/>
      <c r="ET198" s="16"/>
      <c r="EU198" s="16"/>
      <c r="EX198" s="16"/>
      <c r="EY198" s="228"/>
      <c r="EZ198" s="477"/>
      <c r="FA198" s="477"/>
      <c r="FB198" s="228"/>
      <c r="FC198" s="477"/>
      <c r="FD198" s="16"/>
    </row>
    <row r="199" spans="1:166" x14ac:dyDescent="0.2">
      <c r="A199" s="84"/>
      <c r="B199" s="106"/>
      <c r="C199" s="19"/>
      <c r="D199" s="21"/>
      <c r="E199" s="21"/>
      <c r="F199" s="23"/>
      <c r="G199" s="45"/>
      <c r="H199" s="19"/>
      <c r="I199" s="21"/>
      <c r="J199" s="21"/>
      <c r="K199" s="21"/>
      <c r="L199" s="45"/>
      <c r="M199" s="21"/>
      <c r="N199" s="21"/>
      <c r="O199" s="21"/>
      <c r="P199" s="21"/>
      <c r="Q199" s="45"/>
      <c r="R199" s="21"/>
      <c r="S199" s="21"/>
      <c r="T199" s="21"/>
      <c r="U199" s="23"/>
      <c r="V199" s="45"/>
      <c r="W199" s="21"/>
      <c r="X199" s="21"/>
      <c r="Y199" s="21"/>
      <c r="Z199" s="23"/>
      <c r="AA199" s="45"/>
      <c r="AB199" s="21"/>
      <c r="AC199" s="21"/>
      <c r="AD199" s="21"/>
      <c r="AE199" s="21"/>
      <c r="AF199" s="45"/>
      <c r="AG199" s="21"/>
      <c r="AH199" s="21"/>
      <c r="AI199" s="21"/>
      <c r="AJ199" s="21"/>
      <c r="AK199" s="45"/>
      <c r="AL199" s="21"/>
      <c r="AM199" s="21"/>
      <c r="AN199" s="21"/>
      <c r="AO199" s="21"/>
      <c r="AP199" s="45"/>
      <c r="AQ199" s="21"/>
      <c r="AR199" s="21"/>
      <c r="AS199" s="21"/>
      <c r="AT199" s="21"/>
      <c r="AU199" s="19"/>
      <c r="AV199" s="45"/>
      <c r="AW199" s="21"/>
      <c r="AX199" s="21"/>
      <c r="AY199" s="21"/>
      <c r="AZ199" s="21"/>
      <c r="BA199" s="45"/>
      <c r="BB199" s="21"/>
      <c r="BC199" s="21"/>
      <c r="BD199" s="21"/>
      <c r="BE199" s="21"/>
      <c r="BF199" s="45"/>
      <c r="BG199" s="21"/>
      <c r="BH199" s="21"/>
      <c r="BI199" s="21"/>
      <c r="BJ199" s="21"/>
      <c r="BK199" s="45"/>
      <c r="BL199" s="21"/>
      <c r="BM199" s="21"/>
      <c r="BN199" s="21"/>
      <c r="BO199" s="21"/>
      <c r="BP199" s="45"/>
      <c r="BQ199" s="21"/>
      <c r="BR199" s="21"/>
      <c r="BS199" s="21"/>
      <c r="BT199" s="21"/>
      <c r="BU199" s="45"/>
      <c r="BV199" s="21"/>
      <c r="BW199" s="21"/>
      <c r="BX199" s="21"/>
      <c r="BY199" s="21"/>
      <c r="BZ199" s="45"/>
      <c r="CA199" s="21"/>
      <c r="CB199" s="21"/>
      <c r="CC199" s="21"/>
      <c r="CD199" s="21"/>
      <c r="CE199" s="45"/>
      <c r="CF199" s="21"/>
      <c r="CG199" s="21"/>
      <c r="CH199" s="21"/>
      <c r="CI199" s="21"/>
      <c r="CJ199" s="45"/>
      <c r="CK199" s="21"/>
      <c r="CL199" s="21"/>
      <c r="CM199" s="21"/>
      <c r="CN199" s="21"/>
      <c r="CO199" s="45"/>
      <c r="CP199" s="21"/>
      <c r="CQ199" s="21"/>
      <c r="CR199" s="21"/>
      <c r="CS199" s="21"/>
      <c r="CT199" s="45"/>
      <c r="CU199" s="21"/>
      <c r="CV199" s="21"/>
      <c r="CW199" s="21"/>
      <c r="CX199" s="21"/>
      <c r="CY199" s="45"/>
      <c r="CZ199" s="21"/>
      <c r="DA199" s="21"/>
      <c r="DB199" s="21"/>
      <c r="DC199" s="21"/>
      <c r="DD199" s="45"/>
      <c r="DE199" s="21"/>
      <c r="DF199" s="21"/>
      <c r="DG199" s="21"/>
      <c r="DH199" s="21"/>
      <c r="DI199" s="45"/>
      <c r="DJ199" s="21"/>
      <c r="DK199" s="21"/>
      <c r="DL199" s="21"/>
      <c r="DM199" s="21"/>
      <c r="DN199" s="45"/>
      <c r="DO199" s="21"/>
      <c r="DP199" s="21"/>
      <c r="DQ199" s="21"/>
      <c r="DR199" s="21"/>
      <c r="DS199" s="45"/>
      <c r="DT199" s="21"/>
      <c r="DU199" s="21"/>
      <c r="DV199" s="21"/>
      <c r="DW199" s="21"/>
      <c r="DX199" s="45"/>
      <c r="DY199" s="21"/>
      <c r="DZ199" s="21"/>
      <c r="EA199" s="21"/>
      <c r="EB199" s="21"/>
      <c r="EC199" s="45"/>
      <c r="ED199" s="21"/>
      <c r="EE199" s="21"/>
      <c r="EF199" s="284"/>
      <c r="EG199" s="16"/>
      <c r="EH199" s="16"/>
      <c r="EI199" s="16"/>
      <c r="EJ199" s="16"/>
      <c r="EK199" s="16"/>
      <c r="EL199" s="16"/>
      <c r="EM199" s="16"/>
      <c r="EN199" s="16"/>
      <c r="EO199" s="16"/>
      <c r="EP199" s="16"/>
      <c r="EQ199" s="16"/>
      <c r="ER199" s="16"/>
      <c r="ES199" s="16"/>
      <c r="ET199" s="16"/>
      <c r="EU199" s="16"/>
      <c r="EX199" s="16"/>
      <c r="EY199" s="228"/>
      <c r="EZ199" s="477"/>
      <c r="FA199" s="477"/>
      <c r="FB199" s="228"/>
      <c r="FC199" s="477"/>
      <c r="FD199" s="16"/>
    </row>
    <row r="200" spans="1:166" x14ac:dyDescent="0.2">
      <c r="A200" s="1661" t="s">
        <v>820</v>
      </c>
      <c r="B200" s="109"/>
      <c r="C200" s="107"/>
      <c r="D200" s="108"/>
      <c r="E200" s="108"/>
      <c r="F200" s="39"/>
      <c r="G200" s="85"/>
      <c r="H200" s="107"/>
      <c r="I200" s="108"/>
      <c r="J200" s="108"/>
      <c r="K200" s="108"/>
      <c r="L200" s="85"/>
      <c r="M200" s="108"/>
      <c r="N200" s="108"/>
      <c r="O200" s="108"/>
      <c r="P200" s="108"/>
      <c r="Q200" s="85"/>
      <c r="R200" s="21"/>
      <c r="S200" s="21"/>
      <c r="T200" s="21"/>
      <c r="U200" s="23"/>
      <c r="V200" s="85"/>
      <c r="W200" s="21"/>
      <c r="X200" s="21"/>
      <c r="Y200" s="21"/>
      <c r="Z200" s="23"/>
      <c r="AA200" s="85"/>
      <c r="AB200" s="21"/>
      <c r="AC200" s="21"/>
      <c r="AD200" s="21"/>
      <c r="AE200" s="21"/>
      <c r="AF200" s="85"/>
      <c r="AG200" s="21"/>
      <c r="AH200" s="21"/>
      <c r="AI200" s="21"/>
      <c r="AJ200" s="21"/>
      <c r="AK200" s="45"/>
      <c r="AL200" s="21"/>
      <c r="AM200" s="21"/>
      <c r="AN200" s="21"/>
      <c r="AO200" s="21"/>
      <c r="AP200" s="45"/>
      <c r="AQ200" s="21"/>
      <c r="AR200" s="21"/>
      <c r="AS200" s="21"/>
      <c r="AT200" s="21"/>
      <c r="AU200" s="19"/>
      <c r="AV200" s="45"/>
      <c r="AW200" s="21"/>
      <c r="AX200" s="21"/>
      <c r="AY200" s="21"/>
      <c r="AZ200" s="21"/>
      <c r="BA200" s="45"/>
      <c r="BB200" s="21"/>
      <c r="BC200" s="21"/>
      <c r="BD200" s="21"/>
      <c r="BE200" s="21"/>
      <c r="BF200" s="45"/>
      <c r="BG200" s="21"/>
      <c r="BH200" s="21"/>
      <c r="BI200" s="21"/>
      <c r="BJ200" s="21"/>
      <c r="BK200" s="45"/>
      <c r="BL200" s="21"/>
      <c r="BM200" s="21"/>
      <c r="BN200" s="21"/>
      <c r="BO200" s="21"/>
      <c r="BP200" s="45"/>
      <c r="BQ200" s="21"/>
      <c r="BR200" s="21"/>
      <c r="BS200" s="21"/>
      <c r="BT200" s="21"/>
      <c r="BU200" s="45"/>
      <c r="BV200" s="21"/>
      <c r="BW200" s="21"/>
      <c r="BX200" s="21"/>
      <c r="BY200" s="21"/>
      <c r="BZ200" s="45"/>
      <c r="CA200" s="21"/>
      <c r="CB200" s="21"/>
      <c r="CC200" s="21"/>
      <c r="CD200" s="21"/>
      <c r="CE200" s="45"/>
      <c r="CF200" s="21"/>
      <c r="CG200" s="21"/>
      <c r="CH200" s="21"/>
      <c r="CI200" s="21"/>
      <c r="CJ200" s="45"/>
      <c r="CK200" s="21"/>
      <c r="CL200" s="21"/>
      <c r="CM200" s="21"/>
      <c r="CN200" s="21"/>
      <c r="CO200" s="45"/>
      <c r="CP200" s="21"/>
      <c r="CQ200" s="21"/>
      <c r="CR200" s="21"/>
      <c r="CS200" s="21"/>
      <c r="CT200" s="45"/>
      <c r="CU200" s="21"/>
      <c r="CV200" s="21"/>
      <c r="CW200" s="21"/>
      <c r="CX200" s="21"/>
      <c r="CY200" s="45"/>
      <c r="CZ200" s="21"/>
      <c r="DA200" s="21"/>
      <c r="DB200" s="21"/>
      <c r="DC200" s="21"/>
      <c r="DD200" s="45"/>
      <c r="DE200" s="21"/>
      <c r="DF200" s="21"/>
      <c r="DG200" s="21"/>
      <c r="DH200" s="21"/>
      <c r="DI200" s="45"/>
      <c r="DJ200" s="21"/>
      <c r="DK200" s="21"/>
      <c r="DL200" s="21"/>
      <c r="DM200" s="21"/>
      <c r="DN200" s="45"/>
      <c r="DO200" s="21"/>
      <c r="DP200" s="21"/>
      <c r="DQ200" s="21"/>
      <c r="DR200" s="21"/>
      <c r="DS200" s="45"/>
      <c r="DT200" s="21"/>
      <c r="DU200" s="21"/>
      <c r="DV200" s="21"/>
      <c r="DW200" s="21"/>
      <c r="DX200" s="45"/>
      <c r="DY200" s="21"/>
      <c r="DZ200" s="21"/>
      <c r="EA200" s="21"/>
      <c r="EB200" s="21"/>
      <c r="EC200" s="45"/>
      <c r="ED200" s="21"/>
      <c r="EE200" s="21"/>
      <c r="EF200" s="284"/>
      <c r="EG200" s="16"/>
      <c r="EH200" s="16"/>
      <c r="EI200" s="16"/>
      <c r="EJ200" s="16"/>
      <c r="EK200" s="16"/>
      <c r="EL200" s="16"/>
      <c r="EM200" s="16"/>
      <c r="EN200" s="16"/>
      <c r="EO200" s="16"/>
      <c r="EP200" s="16"/>
      <c r="EQ200" s="16"/>
      <c r="ER200" s="16"/>
      <c r="ES200" s="16"/>
      <c r="ET200" s="16"/>
      <c r="EU200" s="16"/>
      <c r="EX200" s="16"/>
      <c r="EY200" s="228"/>
      <c r="EZ200" s="477"/>
      <c r="FA200" s="477"/>
      <c r="FB200" s="228"/>
      <c r="FC200" s="477"/>
      <c r="FD200" s="16"/>
    </row>
    <row r="201" spans="1:166" x14ac:dyDescent="0.2">
      <c r="A201" s="283" t="s">
        <v>377</v>
      </c>
      <c r="B201" s="85"/>
      <c r="C201" s="95"/>
      <c r="D201" s="41"/>
      <c r="E201" s="41"/>
      <c r="F201" s="39"/>
      <c r="G201" s="85"/>
      <c r="H201" s="87"/>
      <c r="I201" s="38"/>
      <c r="J201" s="38"/>
      <c r="K201" s="38"/>
      <c r="L201" s="85"/>
      <c r="M201" s="38"/>
      <c r="N201" s="38"/>
      <c r="O201" s="38"/>
      <c r="P201" s="38"/>
      <c r="Q201" s="85"/>
      <c r="R201" s="38"/>
      <c r="S201" s="38"/>
      <c r="T201" s="38"/>
      <c r="U201" s="39"/>
      <c r="V201" s="85"/>
      <c r="W201" s="38"/>
      <c r="X201" s="38"/>
      <c r="Y201" s="38"/>
      <c r="Z201" s="39"/>
      <c r="AA201" s="54"/>
      <c r="AB201" s="87"/>
      <c r="AC201" s="38"/>
      <c r="AD201" s="38"/>
      <c r="AE201" s="38"/>
      <c r="AF201" s="85"/>
      <c r="AG201" s="41"/>
      <c r="AH201" s="41"/>
      <c r="AI201" s="41"/>
      <c r="AJ201" s="41"/>
      <c r="AK201" s="85"/>
      <c r="AL201" s="41"/>
      <c r="AM201" s="41"/>
      <c r="AN201" s="41"/>
      <c r="AO201" s="41"/>
      <c r="AP201" s="85"/>
      <c r="AQ201" s="41"/>
      <c r="AR201" s="41"/>
      <c r="AS201" s="38">
        <v>1.4</v>
      </c>
      <c r="AT201" s="38">
        <v>1.7</v>
      </c>
      <c r="AU201" s="86"/>
      <c r="AV201" s="45"/>
      <c r="AW201" s="38">
        <v>1.4</v>
      </c>
      <c r="AX201" s="38">
        <v>1.7</v>
      </c>
      <c r="AY201" s="38">
        <v>1.6</v>
      </c>
      <c r="AZ201" s="38">
        <v>4.7</v>
      </c>
      <c r="BA201" s="85">
        <f t="shared" ref="BA201:BA215" si="1157">SUM(AW201:AZ201)</f>
        <v>9.3999999999999986</v>
      </c>
      <c r="BB201" s="38">
        <v>5.5</v>
      </c>
      <c r="BC201" s="38">
        <v>5.6</v>
      </c>
      <c r="BD201" s="38">
        <v>5.3</v>
      </c>
      <c r="BE201" s="38">
        <v>5.4</v>
      </c>
      <c r="BF201" s="85">
        <f>SUM(BB201:BE201)</f>
        <v>21.799999999999997</v>
      </c>
      <c r="BG201" s="38">
        <v>5.2</v>
      </c>
      <c r="BH201" s="38">
        <v>5.0999999999999996</v>
      </c>
      <c r="BI201" s="38">
        <v>5.0999999999999996</v>
      </c>
      <c r="BJ201" s="38">
        <v>5.2</v>
      </c>
      <c r="BK201" s="85">
        <f>SUM(BG201:BJ201)</f>
        <v>20.6</v>
      </c>
      <c r="BL201" s="38">
        <v>5.2</v>
      </c>
      <c r="BM201" s="38">
        <v>5</v>
      </c>
      <c r="BN201" s="38">
        <v>5.2</v>
      </c>
      <c r="BO201" s="38">
        <v>5.3</v>
      </c>
      <c r="BP201" s="85">
        <f>SUM(BL201:BO201)</f>
        <v>20.7</v>
      </c>
      <c r="BQ201" s="38">
        <v>5.3</v>
      </c>
      <c r="BR201" s="38">
        <v>5.3</v>
      </c>
      <c r="BS201" s="38">
        <v>5.3</v>
      </c>
      <c r="BT201" s="41">
        <v>5.3</v>
      </c>
      <c r="BU201" s="85">
        <f>SUM(BQ201:BT201)</f>
        <v>21.2</v>
      </c>
      <c r="BV201" s="38">
        <f>BV167</f>
        <v>5.8</v>
      </c>
      <c r="BW201" s="38">
        <f t="shared" ref="BW201:BY201" si="1158">BW167</f>
        <v>6.7</v>
      </c>
      <c r="BX201" s="38">
        <f t="shared" si="1158"/>
        <v>7.3</v>
      </c>
      <c r="BY201" s="38">
        <f t="shared" si="1158"/>
        <v>19.3</v>
      </c>
      <c r="BZ201" s="85">
        <f>SUM(BV201:BY201)</f>
        <v>39.1</v>
      </c>
      <c r="CA201" s="38">
        <v>7.7</v>
      </c>
      <c r="CB201" s="1348">
        <v>6.8</v>
      </c>
      <c r="CC201" s="38">
        <v>6.8</v>
      </c>
      <c r="CD201" s="38">
        <v>7.3</v>
      </c>
      <c r="CE201" s="85">
        <f>SUM(CA201:CD201)</f>
        <v>28.6</v>
      </c>
      <c r="CF201" s="38">
        <v>6.7</v>
      </c>
      <c r="CG201" s="38">
        <v>6.8</v>
      </c>
      <c r="CH201" s="38">
        <v>6.9</v>
      </c>
      <c r="CI201" s="38">
        <f t="shared" ref="CI201:CI202" si="1159">CH201</f>
        <v>6.9</v>
      </c>
      <c r="CJ201" s="85">
        <f>SUM(CF201:CI201)</f>
        <v>27.299999999999997</v>
      </c>
      <c r="CK201" s="38">
        <v>6.9</v>
      </c>
      <c r="CL201" s="38">
        <v>7.6</v>
      </c>
      <c r="CM201" s="38">
        <v>7.7</v>
      </c>
      <c r="CN201" s="38">
        <v>7.8</v>
      </c>
      <c r="CO201" s="85">
        <f>SUM(CK201:CN201)</f>
        <v>30</v>
      </c>
      <c r="CP201" s="38">
        <v>7.8</v>
      </c>
      <c r="CQ201" s="41">
        <f t="shared" ref="CQ201:CS202" si="1160">CP201</f>
        <v>7.8</v>
      </c>
      <c r="CR201" s="41">
        <f t="shared" si="1160"/>
        <v>7.8</v>
      </c>
      <c r="CS201" s="41">
        <f t="shared" si="1160"/>
        <v>7.8</v>
      </c>
      <c r="CT201" s="85">
        <f>SUM(CP201:CS201)</f>
        <v>31.2</v>
      </c>
      <c r="CU201" s="41">
        <f>CS201</f>
        <v>7.8</v>
      </c>
      <c r="CV201" s="41">
        <f t="shared" ref="CV201:CX202" si="1161">CU201</f>
        <v>7.8</v>
      </c>
      <c r="CW201" s="41">
        <f t="shared" si="1161"/>
        <v>7.8</v>
      </c>
      <c r="CX201" s="41">
        <f t="shared" si="1161"/>
        <v>7.8</v>
      </c>
      <c r="CY201" s="85">
        <f>SUM(CU201:CX201)</f>
        <v>31.2</v>
      </c>
      <c r="CZ201" s="41">
        <f>CX201</f>
        <v>7.8</v>
      </c>
      <c r="DA201" s="41">
        <f t="shared" ref="DA201:DC202" si="1162">CZ201</f>
        <v>7.8</v>
      </c>
      <c r="DB201" s="41">
        <f t="shared" si="1162"/>
        <v>7.8</v>
      </c>
      <c r="DC201" s="41">
        <f t="shared" si="1162"/>
        <v>7.8</v>
      </c>
      <c r="DD201" s="85">
        <f>SUM(CZ201:DC201)</f>
        <v>31.2</v>
      </c>
      <c r="DE201" s="41">
        <f>DC201</f>
        <v>7.8</v>
      </c>
      <c r="DF201" s="41">
        <f t="shared" ref="DF201:DH202" si="1163">DE201</f>
        <v>7.8</v>
      </c>
      <c r="DG201" s="41">
        <f t="shared" si="1163"/>
        <v>7.8</v>
      </c>
      <c r="DH201" s="41">
        <f t="shared" si="1163"/>
        <v>7.8</v>
      </c>
      <c r="DI201" s="85">
        <f>SUM(DE201:DH201)</f>
        <v>31.2</v>
      </c>
      <c r="DJ201" s="41">
        <f>DH201</f>
        <v>7.8</v>
      </c>
      <c r="DK201" s="41">
        <f t="shared" ref="DK201:DM202" si="1164">DJ201</f>
        <v>7.8</v>
      </c>
      <c r="DL201" s="41">
        <f t="shared" si="1164"/>
        <v>7.8</v>
      </c>
      <c r="DM201" s="41">
        <f t="shared" si="1164"/>
        <v>7.8</v>
      </c>
      <c r="DN201" s="85">
        <f>SUM(DJ201:DM201)</f>
        <v>31.2</v>
      </c>
      <c r="DO201" s="41">
        <f>DM201</f>
        <v>7.8</v>
      </c>
      <c r="DP201" s="41">
        <f t="shared" ref="DP201:DR202" si="1165">DO201</f>
        <v>7.8</v>
      </c>
      <c r="DQ201" s="41">
        <f t="shared" si="1165"/>
        <v>7.8</v>
      </c>
      <c r="DR201" s="41">
        <f t="shared" si="1165"/>
        <v>7.8</v>
      </c>
      <c r="DS201" s="85">
        <f>SUM(DO201:DR201)</f>
        <v>31.2</v>
      </c>
      <c r="DT201" s="41">
        <f>DR201</f>
        <v>7.8</v>
      </c>
      <c r="DU201" s="41">
        <f t="shared" ref="DU201:DW202" si="1166">DT201</f>
        <v>7.8</v>
      </c>
      <c r="DV201" s="41">
        <f t="shared" si="1166"/>
        <v>7.8</v>
      </c>
      <c r="DW201" s="41">
        <f t="shared" si="1166"/>
        <v>7.8</v>
      </c>
      <c r="DX201" s="85">
        <f>SUM(DT201:DW201)</f>
        <v>31.2</v>
      </c>
      <c r="DY201" s="41">
        <f>DW201</f>
        <v>7.8</v>
      </c>
      <c r="DZ201" s="41">
        <f t="shared" ref="DZ201:DZ202" si="1167">DY201</f>
        <v>7.8</v>
      </c>
      <c r="EA201" s="41">
        <f t="shared" ref="EA201:EA202" si="1168">DZ201</f>
        <v>7.8</v>
      </c>
      <c r="EB201" s="41">
        <f t="shared" ref="EB201:EB202" si="1169">EA201</f>
        <v>7.8</v>
      </c>
      <c r="EC201" s="85">
        <f>SUM(DY201:EB201)</f>
        <v>31.2</v>
      </c>
      <c r="ED201" s="38"/>
      <c r="EE201" s="21"/>
      <c r="EF201" s="284"/>
      <c r="EG201" s="16"/>
      <c r="EH201" s="16"/>
      <c r="EI201" s="16"/>
      <c r="EJ201" s="16"/>
      <c r="EK201" s="16"/>
      <c r="EL201" s="16"/>
      <c r="EM201" s="16"/>
      <c r="EN201" s="16"/>
      <c r="EO201" s="16"/>
      <c r="EP201" s="16"/>
      <c r="EQ201" s="16"/>
      <c r="ER201" s="16"/>
      <c r="ES201" s="16"/>
      <c r="ET201" s="16"/>
      <c r="EU201" s="16"/>
      <c r="EX201" s="16"/>
      <c r="EY201" s="228"/>
      <c r="EZ201" s="477"/>
      <c r="FA201" s="477"/>
      <c r="FB201" s="228"/>
      <c r="FC201" s="477"/>
      <c r="FD201" s="16"/>
    </row>
    <row r="202" spans="1:166" x14ac:dyDescent="0.2">
      <c r="A202" s="283" t="s">
        <v>378</v>
      </c>
      <c r="B202" s="85"/>
      <c r="C202" s="95"/>
      <c r="D202" s="41"/>
      <c r="E202" s="41"/>
      <c r="F202" s="39"/>
      <c r="G202" s="85"/>
      <c r="H202" s="87"/>
      <c r="I202" s="38"/>
      <c r="J202" s="38"/>
      <c r="K202" s="38"/>
      <c r="L202" s="85"/>
      <c r="M202" s="38"/>
      <c r="N202" s="38"/>
      <c r="O202" s="38"/>
      <c r="P202" s="38"/>
      <c r="Q202" s="85"/>
      <c r="R202" s="38"/>
      <c r="S202" s="38"/>
      <c r="T202" s="38"/>
      <c r="U202" s="39"/>
      <c r="V202" s="85"/>
      <c r="W202" s="38"/>
      <c r="X202" s="38"/>
      <c r="Y202" s="38"/>
      <c r="Z202" s="39"/>
      <c r="AA202" s="54"/>
      <c r="AB202" s="87"/>
      <c r="AC202" s="38"/>
      <c r="AD202" s="38"/>
      <c r="AE202" s="38"/>
      <c r="AF202" s="85"/>
      <c r="AG202" s="41"/>
      <c r="AH202" s="41"/>
      <c r="AI202" s="41"/>
      <c r="AJ202" s="41"/>
      <c r="AK202" s="85"/>
      <c r="AL202" s="41"/>
      <c r="AM202" s="41"/>
      <c r="AN202" s="41"/>
      <c r="AO202" s="41"/>
      <c r="AP202" s="85"/>
      <c r="AQ202" s="41"/>
      <c r="AR202" s="41"/>
      <c r="AS202" s="38">
        <v>0.6</v>
      </c>
      <c r="AT202" s="38">
        <v>0.5</v>
      </c>
      <c r="AU202" s="86"/>
      <c r="AV202" s="45"/>
      <c r="AW202" s="38">
        <v>0.6</v>
      </c>
      <c r="AX202" s="38">
        <v>0.5</v>
      </c>
      <c r="AY202" s="38">
        <v>0.5</v>
      </c>
      <c r="AZ202" s="38">
        <v>2</v>
      </c>
      <c r="BA202" s="85">
        <f t="shared" si="1157"/>
        <v>3.6</v>
      </c>
      <c r="BB202" s="38">
        <v>3.4</v>
      </c>
      <c r="BC202" s="38">
        <v>3.5</v>
      </c>
      <c r="BD202" s="38">
        <v>3.6</v>
      </c>
      <c r="BE202" s="38">
        <v>4</v>
      </c>
      <c r="BF202" s="85">
        <f t="shared" ref="BF202:BF224" si="1170">SUM(BB202:BE202)</f>
        <v>14.5</v>
      </c>
      <c r="BG202" s="38">
        <v>3.5</v>
      </c>
      <c r="BH202" s="38">
        <v>3.5</v>
      </c>
      <c r="BI202" s="38">
        <v>3.6</v>
      </c>
      <c r="BJ202" s="38">
        <v>2.6</v>
      </c>
      <c r="BK202" s="85">
        <f>SUM(BG202:BJ202)</f>
        <v>13.2</v>
      </c>
      <c r="BL202" s="38">
        <v>2.5</v>
      </c>
      <c r="BM202" s="38">
        <v>2.7</v>
      </c>
      <c r="BN202" s="38">
        <v>2.5</v>
      </c>
      <c r="BO202" s="38">
        <v>2.6</v>
      </c>
      <c r="BP202" s="85">
        <f t="shared" ref="BP202:BP224" si="1171">SUM(BL202:BO202)</f>
        <v>10.3</v>
      </c>
      <c r="BQ202" s="38">
        <v>2.6</v>
      </c>
      <c r="BR202" s="38">
        <v>2.6</v>
      </c>
      <c r="BS202" s="38">
        <v>2.6</v>
      </c>
      <c r="BT202" s="41">
        <v>2.5</v>
      </c>
      <c r="BU202" s="85">
        <f t="shared" ref="BU202:BU215" si="1172">SUM(BQ202:BT202)</f>
        <v>10.3</v>
      </c>
      <c r="BV202" s="38">
        <v>16.399999999999999</v>
      </c>
      <c r="BW202" s="38">
        <v>16.600000000000001</v>
      </c>
      <c r="BX202" s="38">
        <v>16.7</v>
      </c>
      <c r="BY202" s="38">
        <v>16.5</v>
      </c>
      <c r="BZ202" s="85">
        <f t="shared" ref="BZ202:BZ203" si="1173">SUM(BV202:BY202)</f>
        <v>66.2</v>
      </c>
      <c r="CA202" s="38">
        <v>7</v>
      </c>
      <c r="CB202" s="1348">
        <v>8.3000000000000007</v>
      </c>
      <c r="CC202" s="38">
        <v>9.6999999999999993</v>
      </c>
      <c r="CD202" s="38">
        <v>9.9</v>
      </c>
      <c r="CE202" s="85">
        <f>SUM(CA202:CD202)</f>
        <v>34.9</v>
      </c>
      <c r="CF202" s="38">
        <v>9.6999999999999993</v>
      </c>
      <c r="CG202" s="38">
        <v>9.6</v>
      </c>
      <c r="CH202" s="38">
        <v>9.8000000000000007</v>
      </c>
      <c r="CI202" s="38">
        <f t="shared" si="1159"/>
        <v>9.8000000000000007</v>
      </c>
      <c r="CJ202" s="85">
        <f t="shared" ref="CJ202:CJ213" si="1174">SUM(CF202:CI202)</f>
        <v>38.9</v>
      </c>
      <c r="CK202" s="38">
        <v>8.5</v>
      </c>
      <c r="CL202" s="38">
        <v>8.1999999999999993</v>
      </c>
      <c r="CM202" s="38">
        <v>8.5</v>
      </c>
      <c r="CN202" s="38">
        <v>7.5</v>
      </c>
      <c r="CO202" s="85">
        <f t="shared" ref="CO202" si="1175">SUM(CK202:CN202)</f>
        <v>32.700000000000003</v>
      </c>
      <c r="CP202" s="38">
        <v>7.2</v>
      </c>
      <c r="CQ202" s="41">
        <f t="shared" si="1160"/>
        <v>7.2</v>
      </c>
      <c r="CR202" s="41">
        <f t="shared" si="1160"/>
        <v>7.2</v>
      </c>
      <c r="CS202" s="41">
        <f t="shared" si="1160"/>
        <v>7.2</v>
      </c>
      <c r="CT202" s="85">
        <f t="shared" ref="CT202" si="1176">SUM(CP202:CS202)</f>
        <v>28.8</v>
      </c>
      <c r="CU202" s="41">
        <f>CS202</f>
        <v>7.2</v>
      </c>
      <c r="CV202" s="41">
        <f t="shared" si="1161"/>
        <v>7.2</v>
      </c>
      <c r="CW202" s="41">
        <f t="shared" si="1161"/>
        <v>7.2</v>
      </c>
      <c r="CX202" s="41">
        <f t="shared" si="1161"/>
        <v>7.2</v>
      </c>
      <c r="CY202" s="85">
        <f t="shared" ref="CY202" si="1177">SUM(CU202:CX202)</f>
        <v>28.8</v>
      </c>
      <c r="CZ202" s="41">
        <f>CX202</f>
        <v>7.2</v>
      </c>
      <c r="DA202" s="41">
        <f t="shared" si="1162"/>
        <v>7.2</v>
      </c>
      <c r="DB202" s="41">
        <f t="shared" si="1162"/>
        <v>7.2</v>
      </c>
      <c r="DC202" s="41">
        <f t="shared" si="1162"/>
        <v>7.2</v>
      </c>
      <c r="DD202" s="85">
        <f t="shared" ref="DD202" si="1178">SUM(CZ202:DC202)</f>
        <v>28.8</v>
      </c>
      <c r="DE202" s="41">
        <f>DC202</f>
        <v>7.2</v>
      </c>
      <c r="DF202" s="41">
        <f t="shared" si="1163"/>
        <v>7.2</v>
      </c>
      <c r="DG202" s="41">
        <f t="shared" si="1163"/>
        <v>7.2</v>
      </c>
      <c r="DH202" s="41">
        <f t="shared" si="1163"/>
        <v>7.2</v>
      </c>
      <c r="DI202" s="85">
        <f t="shared" ref="DI202" si="1179">SUM(DE202:DH202)</f>
        <v>28.8</v>
      </c>
      <c r="DJ202" s="41">
        <f>DH202</f>
        <v>7.2</v>
      </c>
      <c r="DK202" s="41">
        <f t="shared" si="1164"/>
        <v>7.2</v>
      </c>
      <c r="DL202" s="41">
        <f t="shared" si="1164"/>
        <v>7.2</v>
      </c>
      <c r="DM202" s="41">
        <f t="shared" si="1164"/>
        <v>7.2</v>
      </c>
      <c r="DN202" s="85">
        <f t="shared" ref="DN202" si="1180">SUM(DJ202:DM202)</f>
        <v>28.8</v>
      </c>
      <c r="DO202" s="41">
        <f>DM202</f>
        <v>7.2</v>
      </c>
      <c r="DP202" s="41">
        <f t="shared" si="1165"/>
        <v>7.2</v>
      </c>
      <c r="DQ202" s="41">
        <f t="shared" si="1165"/>
        <v>7.2</v>
      </c>
      <c r="DR202" s="41">
        <f t="shared" si="1165"/>
        <v>7.2</v>
      </c>
      <c r="DS202" s="85">
        <f t="shared" ref="DS202" si="1181">SUM(DO202:DR202)</f>
        <v>28.8</v>
      </c>
      <c r="DT202" s="41">
        <f>DR202</f>
        <v>7.2</v>
      </c>
      <c r="DU202" s="41">
        <f t="shared" si="1166"/>
        <v>7.2</v>
      </c>
      <c r="DV202" s="41">
        <f t="shared" si="1166"/>
        <v>7.2</v>
      </c>
      <c r="DW202" s="41">
        <f t="shared" si="1166"/>
        <v>7.2</v>
      </c>
      <c r="DX202" s="85">
        <f t="shared" ref="DX202" si="1182">SUM(DT202:DW202)</f>
        <v>28.8</v>
      </c>
      <c r="DY202" s="41">
        <f>DW202</f>
        <v>7.2</v>
      </c>
      <c r="DZ202" s="41">
        <f t="shared" si="1167"/>
        <v>7.2</v>
      </c>
      <c r="EA202" s="41">
        <f t="shared" si="1168"/>
        <v>7.2</v>
      </c>
      <c r="EB202" s="41">
        <f t="shared" si="1169"/>
        <v>7.2</v>
      </c>
      <c r="EC202" s="85">
        <f t="shared" ref="EC202:EC203" si="1183">SUM(DY202:EB202)</f>
        <v>28.8</v>
      </c>
      <c r="ED202" s="38"/>
      <c r="EE202" s="21"/>
      <c r="EF202" s="284"/>
      <c r="EG202" s="16"/>
      <c r="EH202" s="16"/>
      <c r="EI202" s="16"/>
      <c r="EJ202" s="16"/>
      <c r="EK202" s="16"/>
      <c r="EL202" s="16"/>
      <c r="EM202" s="16"/>
      <c r="EN202" s="16"/>
      <c r="EO202" s="16"/>
      <c r="EP202" s="16"/>
      <c r="EQ202" s="16"/>
      <c r="ER202" s="16"/>
      <c r="ES202" s="16"/>
      <c r="ET202" s="16"/>
      <c r="EU202" s="16"/>
      <c r="EX202" s="16"/>
      <c r="EY202" s="228"/>
      <c r="EZ202" s="477"/>
      <c r="FA202" s="477"/>
      <c r="FB202" s="228"/>
      <c r="FC202" s="477"/>
      <c r="FD202" s="16"/>
    </row>
    <row r="203" spans="1:166" x14ac:dyDescent="0.2">
      <c r="A203" s="283" t="s">
        <v>611</v>
      </c>
      <c r="B203" s="85"/>
      <c r="C203" s="95"/>
      <c r="D203" s="41"/>
      <c r="E203" s="41"/>
      <c r="F203" s="39"/>
      <c r="G203" s="85"/>
      <c r="H203" s="87"/>
      <c r="I203" s="38"/>
      <c r="J203" s="38"/>
      <c r="K203" s="38"/>
      <c r="L203" s="85"/>
      <c r="M203" s="38"/>
      <c r="N203" s="38"/>
      <c r="O203" s="38"/>
      <c r="P203" s="38"/>
      <c r="Q203" s="85"/>
      <c r="R203" s="38"/>
      <c r="S203" s="38"/>
      <c r="T203" s="38"/>
      <c r="U203" s="39"/>
      <c r="V203" s="85"/>
      <c r="W203" s="38"/>
      <c r="X203" s="38"/>
      <c r="Y203" s="38"/>
      <c r="Z203" s="39"/>
      <c r="AA203" s="54"/>
      <c r="AB203" s="87"/>
      <c r="AC203" s="38"/>
      <c r="AD203" s="38"/>
      <c r="AE203" s="38"/>
      <c r="AF203" s="85"/>
      <c r="AG203" s="41"/>
      <c r="AH203" s="41"/>
      <c r="AI203" s="41"/>
      <c r="AJ203" s="41"/>
      <c r="AK203" s="85"/>
      <c r="AL203" s="41"/>
      <c r="AM203" s="41"/>
      <c r="AN203" s="41"/>
      <c r="AO203" s="41"/>
      <c r="AP203" s="85"/>
      <c r="AQ203" s="41"/>
      <c r="AR203" s="41"/>
      <c r="AS203" s="41"/>
      <c r="AT203" s="41"/>
      <c r="AU203" s="86"/>
      <c r="AV203" s="45"/>
      <c r="AW203" s="38">
        <v>0</v>
      </c>
      <c r="AX203" s="38">
        <v>0</v>
      </c>
      <c r="AY203" s="38">
        <v>0</v>
      </c>
      <c r="AZ203" s="38">
        <v>0</v>
      </c>
      <c r="BA203" s="85">
        <f t="shared" si="1157"/>
        <v>0</v>
      </c>
      <c r="BB203" s="38">
        <v>0</v>
      </c>
      <c r="BC203" s="38">
        <v>0</v>
      </c>
      <c r="BD203" s="38">
        <v>0</v>
      </c>
      <c r="BE203" s="38">
        <v>0</v>
      </c>
      <c r="BF203" s="85">
        <f t="shared" si="1170"/>
        <v>0</v>
      </c>
      <c r="BG203" s="38">
        <v>0</v>
      </c>
      <c r="BH203" s="38">
        <v>0</v>
      </c>
      <c r="BI203" s="38">
        <v>0</v>
      </c>
      <c r="BJ203" s="38">
        <v>0</v>
      </c>
      <c r="BK203" s="85">
        <f>SUM(BG203:BJ203)</f>
        <v>0</v>
      </c>
      <c r="BL203" s="38">
        <v>0</v>
      </c>
      <c r="BM203" s="38">
        <v>0</v>
      </c>
      <c r="BN203" s="38">
        <v>0</v>
      </c>
      <c r="BO203" s="38">
        <v>2.2999999999999998</v>
      </c>
      <c r="BP203" s="85">
        <f t="shared" si="1171"/>
        <v>2.2999999999999998</v>
      </c>
      <c r="BQ203" s="38">
        <v>0</v>
      </c>
      <c r="BR203" s="38">
        <v>0</v>
      </c>
      <c r="BS203" s="38">
        <v>0</v>
      </c>
      <c r="BT203" s="38">
        <v>0</v>
      </c>
      <c r="BU203" s="85">
        <f t="shared" si="1172"/>
        <v>0</v>
      </c>
      <c r="BV203" s="38">
        <v>0</v>
      </c>
      <c r="BW203" s="38">
        <v>0</v>
      </c>
      <c r="BX203" s="38">
        <v>0</v>
      </c>
      <c r="BY203" s="38">
        <v>0</v>
      </c>
      <c r="BZ203" s="85">
        <f t="shared" si="1173"/>
        <v>0</v>
      </c>
      <c r="CA203" s="38">
        <v>0</v>
      </c>
      <c r="CB203" s="1348">
        <v>0</v>
      </c>
      <c r="CC203" s="38">
        <v>0</v>
      </c>
      <c r="CD203" s="38">
        <v>0</v>
      </c>
      <c r="CE203" s="85">
        <f>SUM(CA203:CD203)</f>
        <v>0</v>
      </c>
      <c r="CF203" s="38">
        <v>0</v>
      </c>
      <c r="CG203" s="38">
        <v>0</v>
      </c>
      <c r="CH203" s="38">
        <v>0</v>
      </c>
      <c r="CI203" s="38">
        <v>0</v>
      </c>
      <c r="CJ203" s="85">
        <f t="shared" si="1174"/>
        <v>0</v>
      </c>
      <c r="CK203" s="38">
        <v>0</v>
      </c>
      <c r="CL203" s="38">
        <v>0</v>
      </c>
      <c r="CM203" s="38">
        <v>0</v>
      </c>
      <c r="CN203" s="38">
        <v>0</v>
      </c>
      <c r="CO203" s="85">
        <f t="shared" ref="CO203:CO215" si="1184">SUM(CK203:CN203)</f>
        <v>0</v>
      </c>
      <c r="CP203" s="38">
        <v>0</v>
      </c>
      <c r="CQ203" s="38">
        <v>0</v>
      </c>
      <c r="CR203" s="38">
        <v>0</v>
      </c>
      <c r="CS203" s="38">
        <v>0</v>
      </c>
      <c r="CT203" s="85">
        <f t="shared" ref="CT203:CT215" si="1185">SUM(CP203:CS203)</f>
        <v>0</v>
      </c>
      <c r="CU203" s="38">
        <v>0</v>
      </c>
      <c r="CV203" s="38">
        <v>0</v>
      </c>
      <c r="CW203" s="38">
        <v>0</v>
      </c>
      <c r="CX203" s="38">
        <v>0</v>
      </c>
      <c r="CY203" s="85">
        <f t="shared" ref="CY203:CY215" si="1186">SUM(CU203:CX203)</f>
        <v>0</v>
      </c>
      <c r="CZ203" s="38">
        <v>0</v>
      </c>
      <c r="DA203" s="38">
        <v>0</v>
      </c>
      <c r="DB203" s="38">
        <v>0</v>
      </c>
      <c r="DC203" s="38">
        <v>0</v>
      </c>
      <c r="DD203" s="85">
        <f t="shared" ref="DD203:DD215" si="1187">SUM(CZ203:DC203)</f>
        <v>0</v>
      </c>
      <c r="DE203" s="38">
        <v>0</v>
      </c>
      <c r="DF203" s="38">
        <v>0</v>
      </c>
      <c r="DG203" s="38">
        <v>0</v>
      </c>
      <c r="DH203" s="38">
        <v>0</v>
      </c>
      <c r="DI203" s="85">
        <f t="shared" ref="DI203:DI215" si="1188">SUM(DE203:DH203)</f>
        <v>0</v>
      </c>
      <c r="DJ203" s="38">
        <v>0</v>
      </c>
      <c r="DK203" s="38">
        <v>0</v>
      </c>
      <c r="DL203" s="38">
        <v>0</v>
      </c>
      <c r="DM203" s="38">
        <v>0</v>
      </c>
      <c r="DN203" s="85">
        <f t="shared" ref="DN203:DN215" si="1189">SUM(DJ203:DM203)</f>
        <v>0</v>
      </c>
      <c r="DO203" s="38">
        <v>0</v>
      </c>
      <c r="DP203" s="38">
        <v>0</v>
      </c>
      <c r="DQ203" s="38">
        <v>0</v>
      </c>
      <c r="DR203" s="38">
        <v>0</v>
      </c>
      <c r="DS203" s="85">
        <f t="shared" ref="DS203:DS215" si="1190">SUM(DO203:DR203)</f>
        <v>0</v>
      </c>
      <c r="DT203" s="38">
        <v>0</v>
      </c>
      <c r="DU203" s="38">
        <v>0</v>
      </c>
      <c r="DV203" s="38">
        <v>0</v>
      </c>
      <c r="DW203" s="38">
        <v>0</v>
      </c>
      <c r="DX203" s="85">
        <f t="shared" ref="DX203:DX215" si="1191">SUM(DT203:DW203)</f>
        <v>0</v>
      </c>
      <c r="DY203" s="38">
        <v>0</v>
      </c>
      <c r="DZ203" s="38">
        <v>0</v>
      </c>
      <c r="EA203" s="38">
        <v>0</v>
      </c>
      <c r="EB203" s="38">
        <v>0</v>
      </c>
      <c r="EC203" s="85">
        <f t="shared" si="1183"/>
        <v>0</v>
      </c>
      <c r="ED203" s="38"/>
      <c r="EE203" s="21"/>
      <c r="EF203" s="284"/>
      <c r="EG203" s="16"/>
      <c r="EH203" s="16"/>
      <c r="EI203" s="16"/>
      <c r="EJ203" s="16"/>
      <c r="EK203" s="16"/>
      <c r="EL203" s="16"/>
      <c r="EM203" s="16"/>
      <c r="EN203" s="16"/>
      <c r="EO203" s="16"/>
      <c r="EP203" s="16"/>
      <c r="EQ203" s="16"/>
      <c r="ER203" s="16"/>
      <c r="ES203" s="16"/>
      <c r="ET203" s="16"/>
      <c r="EU203" s="16"/>
      <c r="EX203" s="16"/>
      <c r="EY203" s="228"/>
      <c r="EZ203" s="477"/>
      <c r="FA203" s="477"/>
      <c r="FB203" s="228"/>
      <c r="FC203" s="477"/>
      <c r="FD203" s="16"/>
    </row>
    <row r="204" spans="1:166" s="1064" customFormat="1" x14ac:dyDescent="0.2">
      <c r="A204" s="1656" t="s">
        <v>750</v>
      </c>
      <c r="B204" s="1446"/>
      <c r="C204" s="1657"/>
      <c r="D204" s="1658"/>
      <c r="E204" s="1658"/>
      <c r="F204" s="1526"/>
      <c r="G204" s="1446"/>
      <c r="H204" s="1525"/>
      <c r="I204" s="1447"/>
      <c r="J204" s="1447"/>
      <c r="K204" s="1447"/>
      <c r="L204" s="1446"/>
      <c r="M204" s="1447"/>
      <c r="N204" s="1447"/>
      <c r="O204" s="1447"/>
      <c r="P204" s="1447"/>
      <c r="Q204" s="1446"/>
      <c r="R204" s="1447"/>
      <c r="S204" s="1447"/>
      <c r="T204" s="1447"/>
      <c r="U204" s="1526"/>
      <c r="V204" s="1446"/>
      <c r="W204" s="1447"/>
      <c r="X204" s="1447"/>
      <c r="Y204" s="1447"/>
      <c r="Z204" s="1526"/>
      <c r="AA204" s="1623"/>
      <c r="AB204" s="1525"/>
      <c r="AC204" s="1447"/>
      <c r="AD204" s="1447"/>
      <c r="AE204" s="1447"/>
      <c r="AF204" s="1446"/>
      <c r="AG204" s="1658"/>
      <c r="AH204" s="1658"/>
      <c r="AI204" s="1658"/>
      <c r="AJ204" s="1658"/>
      <c r="AK204" s="1446"/>
      <c r="AL204" s="1658"/>
      <c r="AM204" s="1658"/>
      <c r="AN204" s="1658"/>
      <c r="AO204" s="1658"/>
      <c r="AP204" s="1446"/>
      <c r="AQ204" s="1658"/>
      <c r="AR204" s="1658"/>
      <c r="AS204" s="1658"/>
      <c r="AT204" s="1658"/>
      <c r="AU204" s="1441"/>
      <c r="AV204" s="1217"/>
      <c r="AW204" s="1447"/>
      <c r="AX204" s="1447"/>
      <c r="AY204" s="1447"/>
      <c r="AZ204" s="1447"/>
      <c r="BA204" s="1446"/>
      <c r="BB204" s="1447"/>
      <c r="BC204" s="1447"/>
      <c r="BD204" s="1447"/>
      <c r="BE204" s="1447"/>
      <c r="BF204" s="1446">
        <f t="shared" ref="BF204:BU204" si="1192">BF341</f>
        <v>6.4</v>
      </c>
      <c r="BG204" s="1447">
        <f t="shared" si="1192"/>
        <v>2.2999999999999998</v>
      </c>
      <c r="BH204" s="1447">
        <f t="shared" si="1192"/>
        <v>1.2</v>
      </c>
      <c r="BI204" s="1447">
        <f t="shared" si="1192"/>
        <v>2.6</v>
      </c>
      <c r="BJ204" s="1447">
        <f t="shared" si="1192"/>
        <v>4.0999999999999996</v>
      </c>
      <c r="BK204" s="1446">
        <f t="shared" si="1192"/>
        <v>10.199999999999999</v>
      </c>
      <c r="BL204" s="1447">
        <f t="shared" si="1192"/>
        <v>2.7</v>
      </c>
      <c r="BM204" s="1447">
        <f t="shared" si="1192"/>
        <v>3.2</v>
      </c>
      <c r="BN204" s="1447">
        <f t="shared" si="1192"/>
        <v>3.5</v>
      </c>
      <c r="BO204" s="1447">
        <f t="shared" si="1192"/>
        <v>8.1999999999999993</v>
      </c>
      <c r="BP204" s="1446">
        <f t="shared" si="1192"/>
        <v>17.600000000000001</v>
      </c>
      <c r="BQ204" s="1447">
        <f t="shared" si="1192"/>
        <v>3.5</v>
      </c>
      <c r="BR204" s="1447">
        <f t="shared" si="1192"/>
        <v>4.2</v>
      </c>
      <c r="BS204" s="1447">
        <f t="shared" si="1192"/>
        <v>4.5</v>
      </c>
      <c r="BT204" s="1447">
        <f t="shared" si="1192"/>
        <v>25.1</v>
      </c>
      <c r="BU204" s="1446">
        <f t="shared" si="1192"/>
        <v>37.299999999999997</v>
      </c>
      <c r="BV204" s="1447"/>
      <c r="BW204" s="1447"/>
      <c r="BX204" s="1447"/>
      <c r="BY204" s="1447"/>
      <c r="BZ204" s="1446"/>
      <c r="CA204" s="1447"/>
      <c r="CB204" s="1659"/>
      <c r="CC204" s="1447"/>
      <c r="CD204" s="1447"/>
      <c r="CE204" s="1524"/>
      <c r="CF204" s="1447"/>
      <c r="CG204" s="1447"/>
      <c r="CH204" s="1447"/>
      <c r="CI204" s="1447"/>
      <c r="CJ204" s="1446">
        <v>0</v>
      </c>
      <c r="CK204" s="1447"/>
      <c r="CL204" s="1447"/>
      <c r="CM204" s="1447"/>
      <c r="CN204" s="1447"/>
      <c r="CO204" s="1446"/>
      <c r="CP204" s="1447"/>
      <c r="CQ204" s="1447"/>
      <c r="CR204" s="1447"/>
      <c r="CS204" s="1447"/>
      <c r="CT204" s="1446"/>
      <c r="CU204" s="1447"/>
      <c r="CV204" s="1447"/>
      <c r="CW204" s="1447"/>
      <c r="CX204" s="1447"/>
      <c r="CY204" s="1446"/>
      <c r="CZ204" s="1447"/>
      <c r="DA204" s="1447"/>
      <c r="DB204" s="1447"/>
      <c r="DC204" s="1447"/>
      <c r="DD204" s="1446"/>
      <c r="DE204" s="1447"/>
      <c r="DF204" s="1447"/>
      <c r="DG204" s="1447"/>
      <c r="DH204" s="1447"/>
      <c r="DI204" s="1446"/>
      <c r="DJ204" s="1447"/>
      <c r="DK204" s="1447"/>
      <c r="DL204" s="1447"/>
      <c r="DM204" s="1447"/>
      <c r="DN204" s="1446"/>
      <c r="DO204" s="1447"/>
      <c r="DP204" s="1447"/>
      <c r="DQ204" s="1447"/>
      <c r="DR204" s="1447"/>
      <c r="DS204" s="1446"/>
      <c r="DT204" s="1447"/>
      <c r="DU204" s="1447"/>
      <c r="DV204" s="1447"/>
      <c r="DW204" s="1447"/>
      <c r="DX204" s="1446"/>
      <c r="DY204" s="1447"/>
      <c r="DZ204" s="1447"/>
      <c r="EA204" s="1447"/>
      <c r="EB204" s="1447"/>
      <c r="EC204" s="1446"/>
      <c r="ED204" s="1447"/>
      <c r="EE204" s="1575"/>
      <c r="EF204" s="1660"/>
      <c r="EG204" s="1182"/>
      <c r="EH204" s="1182"/>
      <c r="EI204" s="1182"/>
      <c r="EJ204" s="1182"/>
      <c r="EK204" s="1182"/>
      <c r="EL204" s="1182"/>
      <c r="EM204" s="1182"/>
      <c r="EN204" s="1182"/>
      <c r="EO204" s="1182"/>
      <c r="EP204" s="1182"/>
      <c r="EQ204" s="1182"/>
      <c r="ER204" s="1182"/>
      <c r="ES204" s="1182"/>
      <c r="ET204" s="1182"/>
      <c r="EU204" s="1182"/>
      <c r="EX204" s="1182"/>
      <c r="EY204" s="1218"/>
      <c r="EZ204" s="1220"/>
      <c r="FA204" s="1220"/>
      <c r="FB204" s="1218"/>
      <c r="FC204" s="1220"/>
      <c r="FD204" s="1182"/>
      <c r="FE204"/>
      <c r="FF204"/>
      <c r="FG204"/>
      <c r="FH204"/>
      <c r="FI204"/>
      <c r="FJ204"/>
    </row>
    <row r="205" spans="1:166" s="1064" customFormat="1" x14ac:dyDescent="0.2">
      <c r="A205" s="1656" t="s">
        <v>226</v>
      </c>
      <c r="B205" s="1446"/>
      <c r="C205" s="1657"/>
      <c r="D205" s="1658"/>
      <c r="E205" s="1658"/>
      <c r="F205" s="1526"/>
      <c r="G205" s="1446"/>
      <c r="H205" s="1525"/>
      <c r="I205" s="1447"/>
      <c r="J205" s="1447"/>
      <c r="K205" s="1447"/>
      <c r="L205" s="1446"/>
      <c r="M205" s="1447"/>
      <c r="N205" s="1447"/>
      <c r="O205" s="1447"/>
      <c r="P205" s="1447"/>
      <c r="Q205" s="1446"/>
      <c r="R205" s="1447"/>
      <c r="S205" s="1447"/>
      <c r="T205" s="1447"/>
      <c r="U205" s="1526">
        <f>U162</f>
        <v>0</v>
      </c>
      <c r="V205" s="1446">
        <v>0</v>
      </c>
      <c r="W205" s="1447">
        <f>W162</f>
        <v>13</v>
      </c>
      <c r="X205" s="1447">
        <v>0</v>
      </c>
      <c r="Y205" s="1447">
        <v>1</v>
      </c>
      <c r="Z205" s="1526">
        <v>4</v>
      </c>
      <c r="AA205" s="1623">
        <v>18</v>
      </c>
      <c r="AB205" s="1525"/>
      <c r="AC205" s="1447"/>
      <c r="AD205" s="1447"/>
      <c r="AE205" s="1447"/>
      <c r="AF205" s="1446"/>
      <c r="AG205" s="1658"/>
      <c r="AH205" s="1658"/>
      <c r="AI205" s="1658"/>
      <c r="AJ205" s="1658"/>
      <c r="AK205" s="1446"/>
      <c r="AL205" s="1658"/>
      <c r="AM205" s="1658"/>
      <c r="AN205" s="1658"/>
      <c r="AO205" s="1658"/>
      <c r="AP205" s="1446"/>
      <c r="AQ205" s="1658"/>
      <c r="AR205" s="1658"/>
      <c r="AS205" s="1658"/>
      <c r="AT205" s="1658"/>
      <c r="AU205" s="1441"/>
      <c r="AV205" s="1217"/>
      <c r="AW205" s="1447">
        <v>0</v>
      </c>
      <c r="AX205" s="1447">
        <v>0</v>
      </c>
      <c r="AY205" s="1447">
        <v>0</v>
      </c>
      <c r="AZ205" s="1447">
        <v>0</v>
      </c>
      <c r="BA205" s="1446">
        <f t="shared" si="1157"/>
        <v>0</v>
      </c>
      <c r="BB205" s="1447">
        <f>BB47</f>
        <v>19.600000000000001</v>
      </c>
      <c r="BC205" s="1447">
        <f>BC47</f>
        <v>0</v>
      </c>
      <c r="BD205" s="1447">
        <f>BD47</f>
        <v>0</v>
      </c>
      <c r="BE205" s="1447">
        <f>BE47</f>
        <v>1.5</v>
      </c>
      <c r="BF205" s="1446">
        <f t="shared" si="1170"/>
        <v>21.1</v>
      </c>
      <c r="BG205" s="1447">
        <f>BG47</f>
        <v>3.5</v>
      </c>
      <c r="BH205" s="1447">
        <f>BH47</f>
        <v>7.7</v>
      </c>
      <c r="BI205" s="1447">
        <f>BI47</f>
        <v>23</v>
      </c>
      <c r="BJ205" s="1447">
        <f>BJ47</f>
        <v>0</v>
      </c>
      <c r="BK205" s="1446">
        <v>34.200000000000003</v>
      </c>
      <c r="BL205" s="1447">
        <f>BL47</f>
        <v>0</v>
      </c>
      <c r="BM205" s="1447">
        <v>0</v>
      </c>
      <c r="BN205" s="1447">
        <f>BN47</f>
        <v>0</v>
      </c>
      <c r="BO205" s="1447">
        <f>BO47</f>
        <v>0</v>
      </c>
      <c r="BP205" s="1446">
        <f t="shared" si="1171"/>
        <v>0</v>
      </c>
      <c r="BQ205" s="1447">
        <f>BQ47</f>
        <v>0</v>
      </c>
      <c r="BR205" s="1447">
        <f>BR47</f>
        <v>0</v>
      </c>
      <c r="BS205" s="1447">
        <f>BS47</f>
        <v>0</v>
      </c>
      <c r="BT205" s="1447">
        <f>BT47</f>
        <v>155.4</v>
      </c>
      <c r="BU205" s="1446">
        <f t="shared" si="1172"/>
        <v>155.4</v>
      </c>
      <c r="BV205" s="1447">
        <f>BV47</f>
        <v>0</v>
      </c>
      <c r="BW205" s="1447">
        <f>BW47</f>
        <v>0</v>
      </c>
      <c r="BX205" s="1447">
        <f>BX47</f>
        <v>0</v>
      </c>
      <c r="BY205" s="1447">
        <f>BY47</f>
        <v>0</v>
      </c>
      <c r="BZ205" s="1446">
        <f t="shared" ref="BZ205" si="1193">SUM(BV205:BY205)</f>
        <v>0</v>
      </c>
      <c r="CA205" s="1447">
        <v>1.6</v>
      </c>
      <c r="CB205" s="1659">
        <v>44.8</v>
      </c>
      <c r="CC205" s="1447">
        <v>3.6</v>
      </c>
      <c r="CD205" s="1447">
        <v>3.2</v>
      </c>
      <c r="CE205" s="1446">
        <f>SUM(CA205:CD205)</f>
        <v>53.2</v>
      </c>
      <c r="CF205" s="1447">
        <v>3.2</v>
      </c>
      <c r="CG205" s="1447">
        <v>3.1</v>
      </c>
      <c r="CH205" s="1447">
        <v>3.2</v>
      </c>
      <c r="CI205" s="1447">
        <v>3.1</v>
      </c>
      <c r="CJ205" s="1446">
        <f t="shared" si="1174"/>
        <v>12.6</v>
      </c>
      <c r="CK205" s="1447">
        <v>23.5</v>
      </c>
      <c r="CL205" s="1447">
        <v>3.1</v>
      </c>
      <c r="CM205" s="1447">
        <v>61.4</v>
      </c>
      <c r="CN205" s="1447">
        <v>46.5</v>
      </c>
      <c r="CO205" s="1446">
        <f>SUM(CK205:CN205)</f>
        <v>134.5</v>
      </c>
      <c r="CP205" s="1447">
        <v>3.1</v>
      </c>
      <c r="CQ205" s="1447"/>
      <c r="CR205" s="1447"/>
      <c r="CS205" s="1447"/>
      <c r="CT205" s="1446"/>
      <c r="CU205" s="1447"/>
      <c r="CV205" s="1447"/>
      <c r="CW205" s="1447"/>
      <c r="CX205" s="1447"/>
      <c r="CY205" s="1446"/>
      <c r="CZ205" s="1447"/>
      <c r="DA205" s="1447"/>
      <c r="DB205" s="1447"/>
      <c r="DC205" s="1447"/>
      <c r="DD205" s="1446"/>
      <c r="DE205" s="1447"/>
      <c r="DF205" s="1447"/>
      <c r="DG205" s="1447"/>
      <c r="DH205" s="1447"/>
      <c r="DI205" s="1446"/>
      <c r="DJ205" s="1447">
        <f>DJ47</f>
        <v>0</v>
      </c>
      <c r="DK205" s="1447">
        <f>DK47</f>
        <v>0</v>
      </c>
      <c r="DL205" s="1447">
        <f>DL47</f>
        <v>0</v>
      </c>
      <c r="DM205" s="1447">
        <f>DM47</f>
        <v>0</v>
      </c>
      <c r="DN205" s="1446">
        <f t="shared" si="1189"/>
        <v>0</v>
      </c>
      <c r="DO205" s="1447">
        <f>DO47</f>
        <v>0</v>
      </c>
      <c r="DP205" s="1447">
        <f>DP47</f>
        <v>0</v>
      </c>
      <c r="DQ205" s="1447">
        <f>DQ47</f>
        <v>0</v>
      </c>
      <c r="DR205" s="1447">
        <f>DR47</f>
        <v>0</v>
      </c>
      <c r="DS205" s="1446">
        <f t="shared" si="1190"/>
        <v>0</v>
      </c>
      <c r="DT205" s="1447">
        <f>DT47</f>
        <v>0</v>
      </c>
      <c r="DU205" s="1447">
        <f>DU47</f>
        <v>0</v>
      </c>
      <c r="DV205" s="1447">
        <f>DV47</f>
        <v>0</v>
      </c>
      <c r="DW205" s="1447">
        <f>DW47</f>
        <v>0</v>
      </c>
      <c r="DX205" s="1446">
        <f t="shared" si="1191"/>
        <v>0</v>
      </c>
      <c r="DY205" s="1447">
        <f>DY47</f>
        <v>0</v>
      </c>
      <c r="DZ205" s="1447">
        <f>DZ47</f>
        <v>0</v>
      </c>
      <c r="EA205" s="1447">
        <f>EA47</f>
        <v>0</v>
      </c>
      <c r="EB205" s="1447">
        <f>EB47</f>
        <v>0</v>
      </c>
      <c r="EC205" s="1446">
        <f t="shared" ref="EC205" si="1194">SUM(DY205:EB205)</f>
        <v>0</v>
      </c>
      <c r="ED205" s="1447"/>
      <c r="EE205" s="1575"/>
      <c r="EF205" s="1660"/>
      <c r="EG205" s="1182"/>
      <c r="EH205" s="1182"/>
      <c r="EI205" s="1182"/>
      <c r="EJ205" s="1182"/>
      <c r="EK205" s="1182"/>
      <c r="EL205" s="1182"/>
      <c r="EM205" s="1182"/>
      <c r="EN205" s="1182"/>
      <c r="EO205" s="1182"/>
      <c r="EP205" s="1182"/>
      <c r="EQ205" s="1182"/>
      <c r="ER205" s="1182"/>
      <c r="ES205" s="1182"/>
      <c r="ET205" s="1182"/>
      <c r="EU205" s="1182"/>
      <c r="EX205" s="1182"/>
      <c r="EY205" s="1218"/>
      <c r="EZ205" s="1220"/>
      <c r="FA205" s="1220"/>
      <c r="FB205" s="1218"/>
      <c r="FC205" s="1220"/>
      <c r="FD205" s="1182"/>
      <c r="FE205"/>
      <c r="FF205"/>
      <c r="FG205"/>
      <c r="FH205"/>
      <c r="FI205"/>
      <c r="FJ205"/>
    </row>
    <row r="206" spans="1:166" s="1064" customFormat="1" x14ac:dyDescent="0.2">
      <c r="A206" s="1656" t="s">
        <v>610</v>
      </c>
      <c r="B206" s="1446"/>
      <c r="C206" s="1657"/>
      <c r="D206" s="1658"/>
      <c r="E206" s="1658"/>
      <c r="F206" s="1526"/>
      <c r="G206" s="1446"/>
      <c r="H206" s="1525"/>
      <c r="I206" s="1447"/>
      <c r="J206" s="1447"/>
      <c r="K206" s="1447"/>
      <c r="L206" s="1446"/>
      <c r="M206" s="1447"/>
      <c r="N206" s="1447"/>
      <c r="O206" s="1447"/>
      <c r="P206" s="1447"/>
      <c r="Q206" s="1446"/>
      <c r="R206" s="1447"/>
      <c r="S206" s="1447"/>
      <c r="T206" s="1447"/>
      <c r="U206" s="1526"/>
      <c r="V206" s="1446"/>
      <c r="W206" s="1447"/>
      <c r="X206" s="1447"/>
      <c r="Y206" s="1447"/>
      <c r="Z206" s="1526"/>
      <c r="AA206" s="1623"/>
      <c r="AB206" s="1525"/>
      <c r="AC206" s="1447"/>
      <c r="AD206" s="1447"/>
      <c r="AE206" s="1447"/>
      <c r="AF206" s="1446"/>
      <c r="AG206" s="1658"/>
      <c r="AH206" s="1658"/>
      <c r="AI206" s="1658"/>
      <c r="AJ206" s="1658"/>
      <c r="AK206" s="1446"/>
      <c r="AL206" s="1658"/>
      <c r="AM206" s="1658"/>
      <c r="AN206" s="1658"/>
      <c r="AO206" s="1658"/>
      <c r="AP206" s="1446"/>
      <c r="AQ206" s="1658"/>
      <c r="AR206" s="1658"/>
      <c r="AS206" s="1658"/>
      <c r="AT206" s="1658"/>
      <c r="AU206" s="1441"/>
      <c r="AV206" s="1217"/>
      <c r="AW206" s="1447"/>
      <c r="AX206" s="1447"/>
      <c r="AY206" s="1447"/>
      <c r="AZ206" s="1447"/>
      <c r="BA206" s="1446"/>
      <c r="BB206" s="1447"/>
      <c r="BC206" s="1447"/>
      <c r="BD206" s="1447"/>
      <c r="BE206" s="1447"/>
      <c r="BF206" s="1446"/>
      <c r="BG206" s="1447"/>
      <c r="BH206" s="1447"/>
      <c r="BI206" s="1447"/>
      <c r="BJ206" s="1447"/>
      <c r="BK206" s="1446"/>
      <c r="BL206" s="1447"/>
      <c r="BM206" s="1447"/>
      <c r="BN206" s="1447"/>
      <c r="BO206" s="1447"/>
      <c r="BP206" s="1446"/>
      <c r="BQ206" s="1447"/>
      <c r="BR206" s="1447"/>
      <c r="BS206" s="1447"/>
      <c r="BT206" s="1447"/>
      <c r="BU206" s="1446"/>
      <c r="BV206" s="1447">
        <f>BV173</f>
        <v>4.5</v>
      </c>
      <c r="BW206" s="1447">
        <f t="shared" ref="BW206:BZ206" si="1195">BW173</f>
        <v>5.8</v>
      </c>
      <c r="BX206" s="1447">
        <f t="shared" si="1195"/>
        <v>-4.7</v>
      </c>
      <c r="BY206" s="1447">
        <f t="shared" si="1195"/>
        <v>4.5999999999999996</v>
      </c>
      <c r="BZ206" s="1524">
        <f t="shared" si="1195"/>
        <v>10.199999999999999</v>
      </c>
      <c r="CA206" s="1447">
        <v>-0.2</v>
      </c>
      <c r="CB206" s="1659">
        <v>10.1</v>
      </c>
      <c r="CC206" s="1447">
        <v>4.7</v>
      </c>
      <c r="CD206" s="1447">
        <v>2</v>
      </c>
      <c r="CE206" s="1446">
        <f>SUM(CA206:CD206)</f>
        <v>16.600000000000001</v>
      </c>
      <c r="CF206" s="1447">
        <v>-15.7</v>
      </c>
      <c r="CG206" s="1447">
        <v>7.8</v>
      </c>
      <c r="CH206" s="1447">
        <v>0.3</v>
      </c>
      <c r="CI206" s="1447">
        <v>-0.4</v>
      </c>
      <c r="CJ206" s="1446">
        <f>SUM(CF206:CI206)</f>
        <v>-8</v>
      </c>
      <c r="CK206" s="1447">
        <v>-2.9</v>
      </c>
      <c r="CL206" s="1447">
        <f>CL173</f>
        <v>4.0999999999999996</v>
      </c>
      <c r="CM206" s="1447">
        <v>-1.3</v>
      </c>
      <c r="CN206" s="1447">
        <v>1.2</v>
      </c>
      <c r="CO206" s="1446">
        <f>SUM(CK206:CN206)</f>
        <v>1.0999999999999996</v>
      </c>
      <c r="CP206" s="1447">
        <v>-10</v>
      </c>
      <c r="CQ206" s="1447"/>
      <c r="CR206" s="1447"/>
      <c r="CS206" s="1447"/>
      <c r="CT206" s="1446"/>
      <c r="CU206" s="1447"/>
      <c r="CV206" s="1447"/>
      <c r="CW206" s="1447"/>
      <c r="CX206" s="1447"/>
      <c r="CY206" s="1446"/>
      <c r="CZ206" s="1447"/>
      <c r="DA206" s="1447"/>
      <c r="DB206" s="1447"/>
      <c r="DC206" s="1447"/>
      <c r="DD206" s="1446"/>
      <c r="DE206" s="1447"/>
      <c r="DF206" s="1447"/>
      <c r="DG206" s="1447"/>
      <c r="DH206" s="1447"/>
      <c r="DI206" s="1446"/>
      <c r="DJ206" s="1447"/>
      <c r="DK206" s="1447"/>
      <c r="DL206" s="1447"/>
      <c r="DM206" s="1447"/>
      <c r="DN206" s="1446"/>
      <c r="DO206" s="1447"/>
      <c r="DP206" s="1447"/>
      <c r="DQ206" s="1447"/>
      <c r="DR206" s="1447"/>
      <c r="DS206" s="1446"/>
      <c r="DT206" s="1447"/>
      <c r="DU206" s="1447"/>
      <c r="DV206" s="1447"/>
      <c r="DW206" s="1447"/>
      <c r="DX206" s="1446"/>
      <c r="DY206" s="1447"/>
      <c r="DZ206" s="1447"/>
      <c r="EA206" s="1447"/>
      <c r="EB206" s="1447"/>
      <c r="EC206" s="1446"/>
      <c r="ED206" s="1447"/>
      <c r="EE206" s="1575"/>
      <c r="EF206" s="1660"/>
      <c r="EG206" s="1182"/>
      <c r="EH206" s="1182"/>
      <c r="EI206" s="1182"/>
      <c r="EJ206" s="1182"/>
      <c r="EK206" s="1182"/>
      <c r="EL206" s="1182"/>
      <c r="EM206" s="1182"/>
      <c r="EN206" s="1182"/>
      <c r="EO206" s="1182"/>
      <c r="EP206" s="1182"/>
      <c r="EQ206" s="1182"/>
      <c r="ER206" s="1182"/>
      <c r="ES206" s="1182"/>
      <c r="ET206" s="1182"/>
      <c r="EU206" s="1182"/>
      <c r="EX206" s="1182"/>
      <c r="EY206" s="1218"/>
      <c r="EZ206" s="1220"/>
      <c r="FA206" s="1220"/>
      <c r="FB206" s="1218"/>
      <c r="FC206" s="1220"/>
      <c r="FD206" s="1182"/>
      <c r="FE206"/>
      <c r="FF206"/>
      <c r="FG206"/>
      <c r="FH206"/>
      <c r="FI206"/>
      <c r="FJ206"/>
    </row>
    <row r="207" spans="1:166" x14ac:dyDescent="0.2">
      <c r="A207" s="283" t="s">
        <v>749</v>
      </c>
      <c r="B207" s="85"/>
      <c r="C207" s="95"/>
      <c r="D207" s="41"/>
      <c r="E207" s="41"/>
      <c r="F207" s="39"/>
      <c r="G207" s="85"/>
      <c r="H207" s="87"/>
      <c r="I207" s="38"/>
      <c r="J207" s="38"/>
      <c r="K207" s="38"/>
      <c r="L207" s="85"/>
      <c r="M207" s="38"/>
      <c r="N207" s="38"/>
      <c r="O207" s="38"/>
      <c r="P207" s="38"/>
      <c r="Q207" s="85"/>
      <c r="R207" s="38"/>
      <c r="S207" s="38"/>
      <c r="T207" s="38"/>
      <c r="U207" s="39"/>
      <c r="V207" s="85"/>
      <c r="W207" s="38"/>
      <c r="X207" s="38"/>
      <c r="Y207" s="38"/>
      <c r="Z207" s="39"/>
      <c r="AA207" s="54"/>
      <c r="AB207" s="87"/>
      <c r="AC207" s="38"/>
      <c r="AD207" s="38"/>
      <c r="AE207" s="38"/>
      <c r="AF207" s="85"/>
      <c r="AG207" s="41"/>
      <c r="AH207" s="41"/>
      <c r="AI207" s="41"/>
      <c r="AJ207" s="41"/>
      <c r="AK207" s="85"/>
      <c r="AL207" s="41"/>
      <c r="AM207" s="41"/>
      <c r="AN207" s="41"/>
      <c r="AO207" s="41"/>
      <c r="AP207" s="85"/>
      <c r="AQ207" s="41"/>
      <c r="AR207" s="41"/>
      <c r="AS207" s="41"/>
      <c r="AT207" s="41"/>
      <c r="AU207" s="86"/>
      <c r="AV207" s="45"/>
      <c r="AW207" s="38"/>
      <c r="AX207" s="38"/>
      <c r="AY207" s="38"/>
      <c r="AZ207" s="38"/>
      <c r="BA207" s="85"/>
      <c r="BB207" s="38"/>
      <c r="BC207" s="38"/>
      <c r="BD207" s="38"/>
      <c r="BE207" s="38"/>
      <c r="BF207" s="85"/>
      <c r="BG207" s="38"/>
      <c r="BH207" s="38"/>
      <c r="BI207" s="38"/>
      <c r="BJ207" s="38"/>
      <c r="BK207" s="85"/>
      <c r="BL207" s="38"/>
      <c r="BM207" s="38"/>
      <c r="BN207" s="38"/>
      <c r="BO207" s="38"/>
      <c r="BP207" s="85"/>
      <c r="BQ207" s="38"/>
      <c r="BR207" s="38"/>
      <c r="BS207" s="38"/>
      <c r="BT207" s="38"/>
      <c r="BU207" s="85"/>
      <c r="BV207" s="38"/>
      <c r="BW207" s="38"/>
      <c r="BX207" s="38"/>
      <c r="BY207" s="38"/>
      <c r="BZ207" s="85"/>
      <c r="CA207" s="38">
        <v>4.7</v>
      </c>
      <c r="CB207" s="38"/>
      <c r="CC207" s="38"/>
      <c r="CD207" s="38"/>
      <c r="CE207" s="85"/>
      <c r="CF207" s="38"/>
      <c r="CG207" s="38"/>
      <c r="CH207" s="38"/>
      <c r="CI207" s="38"/>
      <c r="CJ207" s="85">
        <f t="shared" si="1174"/>
        <v>0</v>
      </c>
      <c r="CK207" s="38"/>
      <c r="CL207" s="38"/>
      <c r="CM207" s="38"/>
      <c r="CN207" s="38"/>
      <c r="CO207" s="85"/>
      <c r="CP207" s="38"/>
      <c r="CQ207" s="38"/>
      <c r="CR207" s="38"/>
      <c r="CS207" s="38"/>
      <c r="CT207" s="85"/>
      <c r="CU207" s="38"/>
      <c r="CV207" s="38"/>
      <c r="CW207" s="38"/>
      <c r="CX207" s="38"/>
      <c r="CY207" s="85"/>
      <c r="CZ207" s="38"/>
      <c r="DA207" s="38"/>
      <c r="DB207" s="38"/>
      <c r="DC207" s="38"/>
      <c r="DD207" s="85"/>
      <c r="DE207" s="38"/>
      <c r="DF207" s="38"/>
      <c r="DG207" s="38"/>
      <c r="DH207" s="38"/>
      <c r="DI207" s="85"/>
      <c r="DJ207" s="38"/>
      <c r="DK207" s="38"/>
      <c r="DL207" s="38"/>
      <c r="DM207" s="38"/>
      <c r="DN207" s="85"/>
      <c r="DO207" s="38"/>
      <c r="DP207" s="38"/>
      <c r="DQ207" s="38"/>
      <c r="DR207" s="38"/>
      <c r="DS207" s="85"/>
      <c r="DT207" s="38"/>
      <c r="DU207" s="38"/>
      <c r="DV207" s="38"/>
      <c r="DW207" s="38"/>
      <c r="DX207" s="85"/>
      <c r="DY207" s="38"/>
      <c r="DZ207" s="38"/>
      <c r="EA207" s="38"/>
      <c r="EB207" s="38"/>
      <c r="EC207" s="85"/>
      <c r="ED207" s="38"/>
      <c r="EE207" s="21"/>
      <c r="EF207" s="284"/>
      <c r="EG207" s="16"/>
      <c r="EH207" s="16"/>
      <c r="EI207" s="16"/>
      <c r="EJ207" s="16"/>
      <c r="EK207" s="16"/>
      <c r="EL207" s="16"/>
      <c r="EM207" s="16"/>
      <c r="EN207" s="16"/>
      <c r="EO207" s="16"/>
      <c r="EP207" s="16"/>
      <c r="EQ207" s="16"/>
      <c r="ER207" s="16"/>
      <c r="ES207" s="16"/>
      <c r="ET207" s="16"/>
      <c r="EU207" s="16"/>
      <c r="EX207" s="16"/>
      <c r="EY207" s="228"/>
      <c r="EZ207" s="477"/>
      <c r="FA207" s="477"/>
      <c r="FB207" s="228"/>
      <c r="FC207" s="477"/>
      <c r="FD207" s="16"/>
    </row>
    <row r="208" spans="1:166" s="1064" customFormat="1" x14ac:dyDescent="0.2">
      <c r="A208" s="1656" t="s">
        <v>369</v>
      </c>
      <c r="B208" s="1446"/>
      <c r="C208" s="1657"/>
      <c r="D208" s="1658"/>
      <c r="E208" s="1658"/>
      <c r="F208" s="1526"/>
      <c r="G208" s="1446"/>
      <c r="H208" s="1525"/>
      <c r="I208" s="1447"/>
      <c r="J208" s="1447"/>
      <c r="K208" s="1447"/>
      <c r="L208" s="1446"/>
      <c r="M208" s="1447"/>
      <c r="N208" s="1447"/>
      <c r="O208" s="1447"/>
      <c r="P208" s="1447"/>
      <c r="Q208" s="1446"/>
      <c r="R208" s="1447"/>
      <c r="S208" s="1447"/>
      <c r="T208" s="1447"/>
      <c r="U208" s="1526"/>
      <c r="V208" s="1446"/>
      <c r="W208" s="1447"/>
      <c r="X208" s="1447"/>
      <c r="Y208" s="1447"/>
      <c r="Z208" s="1526"/>
      <c r="AA208" s="1623"/>
      <c r="AB208" s="1525"/>
      <c r="AC208" s="1447"/>
      <c r="AD208" s="1447"/>
      <c r="AE208" s="1447"/>
      <c r="AF208" s="1446"/>
      <c r="AG208" s="1658"/>
      <c r="AH208" s="1658"/>
      <c r="AI208" s="1658"/>
      <c r="AJ208" s="1658"/>
      <c r="AK208" s="1446"/>
      <c r="AL208" s="1658"/>
      <c r="AM208" s="1658"/>
      <c r="AN208" s="1658"/>
      <c r="AO208" s="1658"/>
      <c r="AP208" s="1446"/>
      <c r="AQ208" s="1658"/>
      <c r="AR208" s="1658"/>
      <c r="AS208" s="1447">
        <f>AS38</f>
        <v>-4.5</v>
      </c>
      <c r="AT208" s="1447">
        <f>AT38</f>
        <v>-1.3</v>
      </c>
      <c r="AU208" s="1441"/>
      <c r="AV208" s="1217"/>
      <c r="AW208" s="1447">
        <f>AW38</f>
        <v>-4.5</v>
      </c>
      <c r="AX208" s="1447">
        <f>AX38</f>
        <v>-1.3</v>
      </c>
      <c r="AY208" s="1447">
        <f>AY38</f>
        <v>-5.4</v>
      </c>
      <c r="AZ208" s="1447">
        <f>AZ38</f>
        <v>-7</v>
      </c>
      <c r="BA208" s="1446">
        <f t="shared" si="1157"/>
        <v>-18.2</v>
      </c>
      <c r="BB208" s="1447">
        <f>BB38</f>
        <v>7.4</v>
      </c>
      <c r="BC208" s="1447">
        <f>BC38</f>
        <v>4.4000000000000004</v>
      </c>
      <c r="BD208" s="1447">
        <f>BD38</f>
        <v>-2.9000000000000004</v>
      </c>
      <c r="BE208" s="1447">
        <f>BE38</f>
        <v>1.1999999999999993</v>
      </c>
      <c r="BF208" s="1446">
        <f t="shared" si="1170"/>
        <v>10.1</v>
      </c>
      <c r="BG208" s="1447">
        <f>BG38</f>
        <v>11.8</v>
      </c>
      <c r="BH208" s="1447">
        <f>BH38</f>
        <v>-17.7</v>
      </c>
      <c r="BI208" s="1447">
        <f>BI38</f>
        <v>30.699999999999996</v>
      </c>
      <c r="BJ208" s="1447">
        <f>BJ38</f>
        <v>24.400000000000002</v>
      </c>
      <c r="BK208" s="1446">
        <f t="shared" ref="BK208:BK215" si="1196">SUM(BG208:BJ208)</f>
        <v>49.2</v>
      </c>
      <c r="BL208" s="1447">
        <f>BL38</f>
        <v>9</v>
      </c>
      <c r="BM208" s="1447">
        <f>BM38</f>
        <v>-1.3</v>
      </c>
      <c r="BN208" s="1447">
        <f>BN38</f>
        <v>3.6999999999999997</v>
      </c>
      <c r="BO208" s="1447">
        <f>BO38</f>
        <v>9.9</v>
      </c>
      <c r="BP208" s="1446">
        <f t="shared" si="1171"/>
        <v>21.3</v>
      </c>
      <c r="BQ208" s="1447">
        <f>BQ38</f>
        <v>4.5</v>
      </c>
      <c r="BR208" s="1447">
        <f>BR38</f>
        <v>5.3999999999999986</v>
      </c>
      <c r="BS208" s="1447">
        <f>BS38</f>
        <v>145.9</v>
      </c>
      <c r="BT208" s="1447">
        <f>BT38</f>
        <v>171.1</v>
      </c>
      <c r="BU208" s="1446">
        <f t="shared" si="1172"/>
        <v>326.89999999999998</v>
      </c>
      <c r="BV208" s="1447">
        <f>BV38</f>
        <v>8.4</v>
      </c>
      <c r="BW208" s="1447">
        <f>BW38</f>
        <v>5.4</v>
      </c>
      <c r="BX208" s="1447">
        <f>BX38</f>
        <v>-0.8</v>
      </c>
      <c r="BY208" s="1447">
        <f>BY38</f>
        <v>26.1</v>
      </c>
      <c r="BZ208" s="1446">
        <f t="shared" ref="BZ208:BZ215" si="1197">SUM(BV208:BY208)</f>
        <v>39.1</v>
      </c>
      <c r="CA208" s="1447">
        <f>CA38</f>
        <v>37.6</v>
      </c>
      <c r="CB208" s="1447">
        <f>CB38</f>
        <v>35.200000000000003</v>
      </c>
      <c r="CC208" s="1447">
        <f>CC38</f>
        <v>9.4</v>
      </c>
      <c r="CD208" s="1447">
        <f>CD38</f>
        <v>23.300000000000004</v>
      </c>
      <c r="CE208" s="1446">
        <f t="shared" ref="CE208:CE215" si="1198">SUM(CA208:CD208)</f>
        <v>105.50000000000003</v>
      </c>
      <c r="CF208" s="1447">
        <f>CF38</f>
        <v>40.800000000000004</v>
      </c>
      <c r="CG208" s="1447">
        <f>CG308</f>
        <v>-11.299999999999999</v>
      </c>
      <c r="CH208" s="1447">
        <f>CH38</f>
        <v>8.6999999999999993</v>
      </c>
      <c r="CI208" s="1447">
        <f>CI38</f>
        <v>-38.9</v>
      </c>
      <c r="CJ208" s="1446">
        <f t="shared" si="1174"/>
        <v>-0.69999999999999574</v>
      </c>
      <c r="CK208" s="1447">
        <f>CK38</f>
        <v>13.8</v>
      </c>
      <c r="CL208" s="1447">
        <f>CL38</f>
        <v>46.8</v>
      </c>
      <c r="CM208" s="1447">
        <f>CM38</f>
        <v>21.5</v>
      </c>
      <c r="CN208" s="1447">
        <f>CN38</f>
        <v>27.1</v>
      </c>
      <c r="CO208" s="1446">
        <f t="shared" si="1184"/>
        <v>109.19999999999999</v>
      </c>
      <c r="CP208" s="1447">
        <f>CP38</f>
        <v>12.7</v>
      </c>
      <c r="CQ208" s="1447">
        <f>CQ38</f>
        <v>30.255000000000003</v>
      </c>
      <c r="CR208" s="1447">
        <f>CR38</f>
        <v>23.484999999999999</v>
      </c>
      <c r="CS208" s="1447">
        <f>CS38</f>
        <v>25.374999999999996</v>
      </c>
      <c r="CT208" s="1446">
        <f t="shared" ref="CT208" si="1199">SUM(CP208:CS208)</f>
        <v>91.814999999999998</v>
      </c>
      <c r="CU208" s="1447">
        <f>CU38</f>
        <v>14.708749999999998</v>
      </c>
      <c r="CV208" s="1447">
        <f>CV38</f>
        <v>30.070249999999998</v>
      </c>
      <c r="CW208" s="1447">
        <f>CW38</f>
        <v>22.961749999999999</v>
      </c>
      <c r="CX208" s="1447">
        <f>CX38</f>
        <v>24.946249999999999</v>
      </c>
      <c r="CY208" s="1446">
        <f t="shared" ref="CY208" si="1200">SUM(CU208:CX208)</f>
        <v>92.686999999999983</v>
      </c>
      <c r="CZ208" s="1447">
        <f>CZ38</f>
        <v>14.5145</v>
      </c>
      <c r="DA208" s="1447">
        <f>DA38</f>
        <v>30.644075000000001</v>
      </c>
      <c r="DB208" s="1447">
        <f>DB38</f>
        <v>23.180150000000001</v>
      </c>
      <c r="DC208" s="1447">
        <f>DC38</f>
        <v>25.263874999999999</v>
      </c>
      <c r="DD208" s="1446">
        <f t="shared" ref="DD208" si="1201">SUM(CZ208:DC208)</f>
        <v>93.602599999999995</v>
      </c>
      <c r="DE208" s="1447">
        <f>DE38</f>
        <v>-4.2832125000000003</v>
      </c>
      <c r="DF208" s="1447">
        <f>DF38</f>
        <v>12.652841250000003</v>
      </c>
      <c r="DG208" s="1447">
        <f>DG38</f>
        <v>4.8157200000000007</v>
      </c>
      <c r="DH208" s="1447">
        <f>DH38</f>
        <v>7.0036312500000015</v>
      </c>
      <c r="DI208" s="1446">
        <f t="shared" ref="DI208" si="1202">SUM(DE208:DH208)</f>
        <v>20.188980000000008</v>
      </c>
      <c r="DJ208" s="1447">
        <f>DJ38</f>
        <v>-4.497373125000002</v>
      </c>
      <c r="DK208" s="1447">
        <f>DK38</f>
        <v>13.285483312500004</v>
      </c>
      <c r="DL208" s="1447">
        <f>DL38</f>
        <v>5.0565060000000006</v>
      </c>
      <c r="DM208" s="1447">
        <f>DM38</f>
        <v>7.3538128125000011</v>
      </c>
      <c r="DN208" s="1446">
        <f t="shared" ref="DN208" si="1203">SUM(DJ208:DM208)</f>
        <v>21.198429000000004</v>
      </c>
      <c r="DO208" s="1447">
        <f>DO38</f>
        <v>-4.7222417812500019</v>
      </c>
      <c r="DP208" s="1447">
        <f>DP38</f>
        <v>13.949757478125004</v>
      </c>
      <c r="DQ208" s="1447">
        <f>DQ38</f>
        <v>5.309331300000002</v>
      </c>
      <c r="DR208" s="1447">
        <f>DR38</f>
        <v>7.7215034531250017</v>
      </c>
      <c r="DS208" s="1446">
        <f t="shared" ref="DS208" si="1204">SUM(DO208:DR208)</f>
        <v>22.258350450000005</v>
      </c>
      <c r="DT208" s="1447">
        <f>DT38</f>
        <v>-4.9583538703125019</v>
      </c>
      <c r="DU208" s="1447">
        <f>DU38</f>
        <v>14.647245352031256</v>
      </c>
      <c r="DV208" s="1447">
        <f>DV38</f>
        <v>5.5747978650000025</v>
      </c>
      <c r="DW208" s="1447">
        <f>DW38</f>
        <v>8.1075786257812528</v>
      </c>
      <c r="DX208" s="1446">
        <f t="shared" ref="DX208" si="1205">SUM(DT208:DW208)</f>
        <v>23.371267972500007</v>
      </c>
      <c r="DY208" s="1447">
        <f>DY38</f>
        <v>-5.2062715638281265</v>
      </c>
      <c r="DZ208" s="1447">
        <f>DZ38</f>
        <v>15.37960761963282</v>
      </c>
      <c r="EA208" s="1447">
        <f>EA38</f>
        <v>5.8535377582500034</v>
      </c>
      <c r="EB208" s="1447">
        <f>EB38</f>
        <v>8.5129575570703153</v>
      </c>
      <c r="EC208" s="1446">
        <f t="shared" ref="EC208:EC211" si="1206">SUM(DY208:EB208)</f>
        <v>24.539831371125011</v>
      </c>
      <c r="ED208" s="1447"/>
      <c r="EE208" s="1575"/>
      <c r="EF208" s="1660"/>
      <c r="EG208" s="1182"/>
      <c r="EH208" s="1182"/>
      <c r="EI208" s="1182"/>
      <c r="EJ208" s="1182"/>
      <c r="EK208" s="1182"/>
      <c r="EL208" s="1182"/>
      <c r="EM208" s="1182"/>
      <c r="EN208" s="1182"/>
      <c r="EO208" s="1182"/>
      <c r="EP208" s="1182"/>
      <c r="EQ208" s="1182"/>
      <c r="ER208" s="1182"/>
      <c r="ES208" s="1182"/>
      <c r="ET208" s="1182"/>
      <c r="EU208" s="1182"/>
      <c r="EX208" s="1182"/>
      <c r="EY208" s="1218"/>
      <c r="EZ208" s="1220"/>
      <c r="FA208" s="1220"/>
      <c r="FB208" s="1218"/>
      <c r="FC208" s="1220"/>
      <c r="FD208" s="1182"/>
      <c r="FE208"/>
      <c r="FF208"/>
      <c r="FG208"/>
      <c r="FH208"/>
      <c r="FI208"/>
      <c r="FJ208"/>
    </row>
    <row r="209" spans="1:166" s="1064" customFormat="1" ht="12.75" customHeight="1" x14ac:dyDescent="0.2">
      <c r="A209" s="1656" t="s">
        <v>90</v>
      </c>
      <c r="B209" s="1446"/>
      <c r="C209" s="1657"/>
      <c r="D209" s="1658"/>
      <c r="E209" s="1658"/>
      <c r="F209" s="1526"/>
      <c r="G209" s="1446"/>
      <c r="H209" s="1525"/>
      <c r="I209" s="1447"/>
      <c r="J209" s="1447"/>
      <c r="K209" s="1447"/>
      <c r="L209" s="1446"/>
      <c r="M209" s="1447"/>
      <c r="N209" s="1447"/>
      <c r="O209" s="1447"/>
      <c r="P209" s="1447"/>
      <c r="Q209" s="1446"/>
      <c r="R209" s="1447"/>
      <c r="S209" s="1447"/>
      <c r="T209" s="1447"/>
      <c r="U209" s="1526"/>
      <c r="V209" s="1446"/>
      <c r="W209" s="1447"/>
      <c r="X209" s="1447"/>
      <c r="Y209" s="1447"/>
      <c r="Z209" s="1526"/>
      <c r="AA209" s="1623"/>
      <c r="AB209" s="1525"/>
      <c r="AC209" s="1447"/>
      <c r="AD209" s="1447"/>
      <c r="AE209" s="1447"/>
      <c r="AF209" s="1446"/>
      <c r="AG209" s="1658"/>
      <c r="AH209" s="1658"/>
      <c r="AI209" s="1658"/>
      <c r="AJ209" s="1658"/>
      <c r="AK209" s="1446"/>
      <c r="AL209" s="1658"/>
      <c r="AM209" s="1658"/>
      <c r="AN209" s="1658"/>
      <c r="AO209" s="1658"/>
      <c r="AP209" s="1446"/>
      <c r="AQ209" s="1658"/>
      <c r="AR209" s="1658"/>
      <c r="AS209" s="1447">
        <f>AS345</f>
        <v>0</v>
      </c>
      <c r="AT209" s="1447">
        <f>AT345</f>
        <v>0</v>
      </c>
      <c r="AU209" s="1441"/>
      <c r="AV209" s="1217"/>
      <c r="AW209" s="1447">
        <f t="shared" ref="AW209:AZ210" si="1207">AW345</f>
        <v>0</v>
      </c>
      <c r="AX209" s="1447">
        <f t="shared" si="1207"/>
        <v>0</v>
      </c>
      <c r="AY209" s="1447">
        <f t="shared" si="1207"/>
        <v>0</v>
      </c>
      <c r="AZ209" s="1447">
        <f t="shared" si="1207"/>
        <v>94.9</v>
      </c>
      <c r="BA209" s="1446">
        <f t="shared" si="1157"/>
        <v>94.9</v>
      </c>
      <c r="BB209" s="1447">
        <f t="shared" ref="BB209:BE211" si="1208">BB345</f>
        <v>0.8</v>
      </c>
      <c r="BC209" s="1447">
        <f t="shared" si="1208"/>
        <v>0.30000000000000004</v>
      </c>
      <c r="BD209" s="1447">
        <f t="shared" si="1208"/>
        <v>1</v>
      </c>
      <c r="BE209" s="1447">
        <f t="shared" si="1208"/>
        <v>1.6</v>
      </c>
      <c r="BF209" s="1446">
        <f t="shared" si="1170"/>
        <v>3.7</v>
      </c>
      <c r="BG209" s="1447">
        <f t="shared" ref="BG209:BJ211" si="1209">BG345</f>
        <v>0</v>
      </c>
      <c r="BH209" s="1447">
        <f t="shared" si="1209"/>
        <v>0</v>
      </c>
      <c r="BI209" s="1447">
        <f t="shared" si="1209"/>
        <v>0</v>
      </c>
      <c r="BJ209" s="1447">
        <f t="shared" si="1209"/>
        <v>0</v>
      </c>
      <c r="BK209" s="1446">
        <f t="shared" si="1196"/>
        <v>0</v>
      </c>
      <c r="BL209" s="1447">
        <f t="shared" ref="BL209:BO211" si="1210">BL345</f>
        <v>0</v>
      </c>
      <c r="BM209" s="1447">
        <f t="shared" si="1210"/>
        <v>0</v>
      </c>
      <c r="BN209" s="1447">
        <f t="shared" si="1210"/>
        <v>0</v>
      </c>
      <c r="BO209" s="1447">
        <f t="shared" si="1210"/>
        <v>0</v>
      </c>
      <c r="BP209" s="1446">
        <f t="shared" si="1171"/>
        <v>0</v>
      </c>
      <c r="BQ209" s="1447">
        <f t="shared" ref="BQ209:BT211" si="1211">BQ345</f>
        <v>0</v>
      </c>
      <c r="BR209" s="1447">
        <f t="shared" si="1211"/>
        <v>0</v>
      </c>
      <c r="BS209" s="1447">
        <f t="shared" si="1211"/>
        <v>0</v>
      </c>
      <c r="BT209" s="1447">
        <f t="shared" si="1211"/>
        <v>0</v>
      </c>
      <c r="BU209" s="1446">
        <f t="shared" si="1172"/>
        <v>0</v>
      </c>
      <c r="BV209" s="1447">
        <f t="shared" ref="BV209:BY209" si="1212">BV345</f>
        <v>0</v>
      </c>
      <c r="BW209" s="1447">
        <f t="shared" si="1212"/>
        <v>0</v>
      </c>
      <c r="BX209" s="1447">
        <f t="shared" si="1212"/>
        <v>0</v>
      </c>
      <c r="BY209" s="1447">
        <f t="shared" si="1212"/>
        <v>0</v>
      </c>
      <c r="BZ209" s="1446">
        <f t="shared" si="1197"/>
        <v>0</v>
      </c>
      <c r="CA209" s="1447">
        <f>CA345</f>
        <v>28</v>
      </c>
      <c r="CB209" s="1447">
        <f>CB345</f>
        <v>27.4</v>
      </c>
      <c r="CC209" s="1447">
        <f>CC345</f>
        <v>24.3</v>
      </c>
      <c r="CD209" s="1447">
        <f>CD345</f>
        <v>37</v>
      </c>
      <c r="CE209" s="1446">
        <f t="shared" si="1198"/>
        <v>116.7</v>
      </c>
      <c r="CF209" s="1447">
        <f t="shared" ref="CF209:CN211" si="1213">CF345</f>
        <v>0</v>
      </c>
      <c r="CG209" s="1447">
        <f t="shared" si="1213"/>
        <v>0</v>
      </c>
      <c r="CH209" s="1447">
        <f t="shared" si="1213"/>
        <v>0</v>
      </c>
      <c r="CI209" s="1447">
        <f t="shared" si="1213"/>
        <v>0</v>
      </c>
      <c r="CJ209" s="1446">
        <f t="shared" si="1174"/>
        <v>0</v>
      </c>
      <c r="CK209" s="1447">
        <f t="shared" ref="CK209:CN211" si="1214">CK345</f>
        <v>34.4</v>
      </c>
      <c r="CL209" s="1447">
        <f t="shared" si="1214"/>
        <v>8.5</v>
      </c>
      <c r="CM209" s="1447">
        <f t="shared" si="1214"/>
        <v>6.9</v>
      </c>
      <c r="CN209" s="1447">
        <f t="shared" si="1214"/>
        <v>11.9</v>
      </c>
      <c r="CO209" s="1446">
        <f t="shared" si="1184"/>
        <v>61.699999999999996</v>
      </c>
      <c r="CP209" s="1447">
        <f t="shared" ref="CP209:CS211" si="1215">CP345</f>
        <v>5.0999999999999996</v>
      </c>
      <c r="CQ209" s="1447">
        <f t="shared" si="1215"/>
        <v>0</v>
      </c>
      <c r="CR209" s="1447">
        <f t="shared" si="1215"/>
        <v>0</v>
      </c>
      <c r="CS209" s="1447">
        <f t="shared" si="1215"/>
        <v>0</v>
      </c>
      <c r="CT209" s="1446">
        <f t="shared" si="1185"/>
        <v>5.0999999999999996</v>
      </c>
      <c r="CU209" s="1447">
        <f t="shared" ref="CU209:CX211" si="1216">CU345</f>
        <v>0</v>
      </c>
      <c r="CV209" s="1447">
        <f t="shared" si="1216"/>
        <v>0</v>
      </c>
      <c r="CW209" s="1447">
        <f t="shared" si="1216"/>
        <v>0</v>
      </c>
      <c r="CX209" s="1447">
        <f t="shared" si="1216"/>
        <v>0</v>
      </c>
      <c r="CY209" s="1446">
        <f t="shared" si="1186"/>
        <v>0</v>
      </c>
      <c r="CZ209" s="1447">
        <f t="shared" ref="CZ209:DC211" si="1217">CZ345</f>
        <v>0</v>
      </c>
      <c r="DA209" s="1447">
        <f t="shared" si="1217"/>
        <v>0</v>
      </c>
      <c r="DB209" s="1447">
        <f t="shared" si="1217"/>
        <v>0</v>
      </c>
      <c r="DC209" s="1447">
        <f t="shared" si="1217"/>
        <v>0</v>
      </c>
      <c r="DD209" s="1446">
        <f t="shared" si="1187"/>
        <v>0</v>
      </c>
      <c r="DE209" s="1447">
        <f t="shared" ref="DE209:DH211" si="1218">DE345</f>
        <v>0</v>
      </c>
      <c r="DF209" s="1447">
        <f t="shared" si="1218"/>
        <v>0</v>
      </c>
      <c r="DG209" s="1447">
        <f t="shared" si="1218"/>
        <v>0</v>
      </c>
      <c r="DH209" s="1447">
        <f t="shared" si="1218"/>
        <v>0</v>
      </c>
      <c r="DI209" s="1446">
        <f t="shared" si="1188"/>
        <v>0</v>
      </c>
      <c r="DJ209" s="1447">
        <f t="shared" ref="DJ209:DM211" si="1219">DJ345</f>
        <v>0</v>
      </c>
      <c r="DK209" s="1447">
        <f t="shared" si="1219"/>
        <v>0</v>
      </c>
      <c r="DL209" s="1447">
        <f t="shared" si="1219"/>
        <v>0</v>
      </c>
      <c r="DM209" s="1447">
        <f t="shared" si="1219"/>
        <v>0</v>
      </c>
      <c r="DN209" s="1446">
        <f t="shared" si="1189"/>
        <v>0</v>
      </c>
      <c r="DO209" s="1447">
        <f t="shared" ref="DO209:DR211" si="1220">DO345</f>
        <v>0</v>
      </c>
      <c r="DP209" s="1447">
        <f t="shared" si="1220"/>
        <v>0</v>
      </c>
      <c r="DQ209" s="1447">
        <f t="shared" si="1220"/>
        <v>0</v>
      </c>
      <c r="DR209" s="1447">
        <f t="shared" si="1220"/>
        <v>0</v>
      </c>
      <c r="DS209" s="1446">
        <f t="shared" si="1190"/>
        <v>0</v>
      </c>
      <c r="DT209" s="1447">
        <f t="shared" ref="DT209:DW211" si="1221">DT345</f>
        <v>0</v>
      </c>
      <c r="DU209" s="1447">
        <f t="shared" si="1221"/>
        <v>0</v>
      </c>
      <c r="DV209" s="1447">
        <f t="shared" si="1221"/>
        <v>0</v>
      </c>
      <c r="DW209" s="1447">
        <f t="shared" si="1221"/>
        <v>0</v>
      </c>
      <c r="DX209" s="1446">
        <f t="shared" si="1191"/>
        <v>0</v>
      </c>
      <c r="DY209" s="1447">
        <f t="shared" ref="DY209:EB209" si="1222">DY345</f>
        <v>0</v>
      </c>
      <c r="DZ209" s="1447">
        <f t="shared" si="1222"/>
        <v>0</v>
      </c>
      <c r="EA209" s="1447">
        <f t="shared" si="1222"/>
        <v>0</v>
      </c>
      <c r="EB209" s="1447">
        <f t="shared" si="1222"/>
        <v>0</v>
      </c>
      <c r="EC209" s="1446">
        <f t="shared" si="1206"/>
        <v>0</v>
      </c>
      <c r="ED209" s="1447"/>
      <c r="EE209" s="1575"/>
      <c r="EF209" s="1660"/>
      <c r="EG209" s="1182"/>
      <c r="EH209" s="1182"/>
      <c r="EI209" s="1182"/>
      <c r="EJ209" s="1182"/>
      <c r="EK209" s="1182"/>
      <c r="EL209" s="1182"/>
      <c r="EM209" s="1182"/>
      <c r="EN209" s="1182"/>
      <c r="EO209" s="1182"/>
      <c r="EP209" s="1182"/>
      <c r="EQ209" s="1182"/>
      <c r="ER209" s="1182"/>
      <c r="ES209" s="1182"/>
      <c r="ET209" s="1182"/>
      <c r="EU209" s="1182"/>
      <c r="EX209" s="1182"/>
      <c r="EY209" s="1218"/>
      <c r="EZ209" s="1220"/>
      <c r="FA209" s="1220"/>
      <c r="FB209" s="1218"/>
      <c r="FC209" s="1220"/>
      <c r="FD209" s="1182"/>
      <c r="FE209"/>
      <c r="FF209"/>
      <c r="FG209"/>
      <c r="FH209"/>
      <c r="FI209"/>
      <c r="FJ209"/>
    </row>
    <row r="210" spans="1:166" ht="12.75" customHeight="1" x14ac:dyDescent="0.2">
      <c r="A210" s="283" t="s">
        <v>387</v>
      </c>
      <c r="B210" s="85"/>
      <c r="C210" s="95"/>
      <c r="D210" s="41"/>
      <c r="E210" s="41"/>
      <c r="F210" s="39"/>
      <c r="G210" s="85"/>
      <c r="H210" s="87"/>
      <c r="I210" s="38"/>
      <c r="J210" s="38"/>
      <c r="K210" s="38"/>
      <c r="L210" s="85"/>
      <c r="M210" s="38"/>
      <c r="N210" s="38"/>
      <c r="O210" s="38"/>
      <c r="P210" s="38"/>
      <c r="Q210" s="85"/>
      <c r="R210" s="38">
        <f>R169</f>
        <v>0</v>
      </c>
      <c r="S210" s="38">
        <f>S169</f>
        <v>0</v>
      </c>
      <c r="T210" s="38">
        <f>T169</f>
        <v>0</v>
      </c>
      <c r="U210" s="39">
        <f>U169</f>
        <v>7</v>
      </c>
      <c r="V210" s="85">
        <v>17</v>
      </c>
      <c r="W210" s="38">
        <f>W169</f>
        <v>3</v>
      </c>
      <c r="X210" s="38">
        <f>X169</f>
        <v>1</v>
      </c>
      <c r="Y210" s="38">
        <v>2</v>
      </c>
      <c r="Z210" s="39">
        <f>Z169</f>
        <v>0</v>
      </c>
      <c r="AA210" s="54">
        <v>0</v>
      </c>
      <c r="AB210" s="87"/>
      <c r="AC210" s="38"/>
      <c r="AD210" s="38"/>
      <c r="AE210" s="38"/>
      <c r="AF210" s="85"/>
      <c r="AG210" s="41"/>
      <c r="AH210" s="41"/>
      <c r="AI210" s="41"/>
      <c r="AJ210" s="41"/>
      <c r="AK210" s="85"/>
      <c r="AL210" s="41"/>
      <c r="AM210" s="41"/>
      <c r="AN210" s="41"/>
      <c r="AO210" s="41"/>
      <c r="AP210" s="85"/>
      <c r="AQ210" s="41"/>
      <c r="AR210" s="41"/>
      <c r="AS210" s="38">
        <f>AS346</f>
        <v>0</v>
      </c>
      <c r="AT210" s="38">
        <f>AT346</f>
        <v>0</v>
      </c>
      <c r="AU210" s="86"/>
      <c r="AV210" s="45"/>
      <c r="AW210" s="38">
        <f t="shared" si="1207"/>
        <v>0</v>
      </c>
      <c r="AX210" s="38">
        <f t="shared" si="1207"/>
        <v>0</v>
      </c>
      <c r="AY210" s="38">
        <f t="shared" si="1207"/>
        <v>0</v>
      </c>
      <c r="AZ210" s="38">
        <f t="shared" si="1207"/>
        <v>67.2</v>
      </c>
      <c r="BA210" s="85">
        <f t="shared" si="1157"/>
        <v>67.2</v>
      </c>
      <c r="BB210" s="38">
        <f t="shared" si="1208"/>
        <v>12.2</v>
      </c>
      <c r="BC210" s="38">
        <f t="shared" si="1208"/>
        <v>10</v>
      </c>
      <c r="BD210" s="38">
        <f t="shared" si="1208"/>
        <v>10.5</v>
      </c>
      <c r="BE210" s="38">
        <f t="shared" si="1208"/>
        <v>13.8</v>
      </c>
      <c r="BF210" s="85">
        <f t="shared" si="1170"/>
        <v>46.5</v>
      </c>
      <c r="BG210" s="38">
        <f t="shared" si="1209"/>
        <v>0</v>
      </c>
      <c r="BH210" s="38">
        <f t="shared" si="1209"/>
        <v>0</v>
      </c>
      <c r="BI210" s="38">
        <f t="shared" si="1209"/>
        <v>0</v>
      </c>
      <c r="BJ210" s="38">
        <f t="shared" si="1209"/>
        <v>0</v>
      </c>
      <c r="BK210" s="85">
        <f t="shared" si="1196"/>
        <v>0</v>
      </c>
      <c r="BL210" s="38">
        <f t="shared" si="1210"/>
        <v>0</v>
      </c>
      <c r="BM210" s="38">
        <f t="shared" si="1210"/>
        <v>0</v>
      </c>
      <c r="BN210" s="38">
        <f t="shared" si="1210"/>
        <v>0</v>
      </c>
      <c r="BO210" s="38">
        <f t="shared" si="1210"/>
        <v>0</v>
      </c>
      <c r="BP210" s="85">
        <f t="shared" si="1171"/>
        <v>0</v>
      </c>
      <c r="BQ210" s="38">
        <f t="shared" si="1211"/>
        <v>0</v>
      </c>
      <c r="BR210" s="38">
        <f t="shared" si="1211"/>
        <v>0</v>
      </c>
      <c r="BS210" s="38">
        <f t="shared" si="1211"/>
        <v>0</v>
      </c>
      <c r="BT210" s="38">
        <f t="shared" si="1211"/>
        <v>0</v>
      </c>
      <c r="BU210" s="85">
        <f t="shared" si="1172"/>
        <v>0</v>
      </c>
      <c r="BV210" s="38">
        <f t="shared" ref="BV210:BY210" si="1223">BV346</f>
        <v>0</v>
      </c>
      <c r="BW210" s="38">
        <f t="shared" si="1223"/>
        <v>0</v>
      </c>
      <c r="BX210" s="38">
        <f t="shared" si="1223"/>
        <v>0</v>
      </c>
      <c r="BY210" s="38">
        <f t="shared" si="1223"/>
        <v>0</v>
      </c>
      <c r="BZ210" s="85">
        <f t="shared" si="1197"/>
        <v>0</v>
      </c>
      <c r="CA210" s="38">
        <f>CA346</f>
        <v>0</v>
      </c>
      <c r="CB210" s="38">
        <f>CB169</f>
        <v>-1</v>
      </c>
      <c r="CC210" s="38">
        <f>CC346</f>
        <v>0</v>
      </c>
      <c r="CD210" s="38">
        <f>CD346</f>
        <v>0</v>
      </c>
      <c r="CE210" s="85">
        <f t="shared" si="1198"/>
        <v>-1</v>
      </c>
      <c r="CF210" s="38">
        <f t="shared" si="1213"/>
        <v>2.2000000000000002</v>
      </c>
      <c r="CG210" s="38">
        <f t="shared" si="1213"/>
        <v>3.8</v>
      </c>
      <c r="CH210" s="38">
        <f t="shared" si="1213"/>
        <v>4.4000000000000004</v>
      </c>
      <c r="CI210" s="38">
        <f t="shared" si="1213"/>
        <v>6</v>
      </c>
      <c r="CJ210" s="85">
        <f t="shared" si="1174"/>
        <v>16.399999999999999</v>
      </c>
      <c r="CK210" s="38">
        <f t="shared" si="1213"/>
        <v>0</v>
      </c>
      <c r="CL210" s="38">
        <f t="shared" si="1213"/>
        <v>0</v>
      </c>
      <c r="CM210" s="38">
        <f t="shared" si="1213"/>
        <v>0</v>
      </c>
      <c r="CN210" s="38">
        <f t="shared" si="1213"/>
        <v>1.9</v>
      </c>
      <c r="CO210" s="85">
        <f t="shared" si="1184"/>
        <v>1.9</v>
      </c>
      <c r="CP210" s="38">
        <f t="shared" si="1215"/>
        <v>0</v>
      </c>
      <c r="CQ210" s="38">
        <f t="shared" si="1215"/>
        <v>0</v>
      </c>
      <c r="CR210" s="38">
        <f t="shared" si="1215"/>
        <v>0</v>
      </c>
      <c r="CS210" s="38">
        <f t="shared" si="1215"/>
        <v>0</v>
      </c>
      <c r="CT210" s="85">
        <f t="shared" si="1185"/>
        <v>0</v>
      </c>
      <c r="CU210" s="38">
        <f t="shared" si="1216"/>
        <v>0</v>
      </c>
      <c r="CV210" s="38">
        <f t="shared" si="1216"/>
        <v>0</v>
      </c>
      <c r="CW210" s="38">
        <f t="shared" si="1216"/>
        <v>0</v>
      </c>
      <c r="CX210" s="38">
        <f t="shared" si="1216"/>
        <v>0</v>
      </c>
      <c r="CY210" s="85">
        <f t="shared" si="1186"/>
        <v>0</v>
      </c>
      <c r="CZ210" s="38">
        <f t="shared" si="1217"/>
        <v>0</v>
      </c>
      <c r="DA210" s="38">
        <f t="shared" si="1217"/>
        <v>0</v>
      </c>
      <c r="DB210" s="38">
        <f t="shared" si="1217"/>
        <v>0</v>
      </c>
      <c r="DC210" s="38">
        <f t="shared" si="1217"/>
        <v>0</v>
      </c>
      <c r="DD210" s="85">
        <f t="shared" si="1187"/>
        <v>0</v>
      </c>
      <c r="DE210" s="38">
        <f t="shared" si="1218"/>
        <v>0</v>
      </c>
      <c r="DF210" s="38">
        <f t="shared" si="1218"/>
        <v>0</v>
      </c>
      <c r="DG210" s="38">
        <f t="shared" si="1218"/>
        <v>0</v>
      </c>
      <c r="DH210" s="38">
        <f t="shared" si="1218"/>
        <v>0</v>
      </c>
      <c r="DI210" s="85">
        <f t="shared" si="1188"/>
        <v>0</v>
      </c>
      <c r="DJ210" s="38">
        <f t="shared" si="1219"/>
        <v>0</v>
      </c>
      <c r="DK210" s="38">
        <f t="shared" si="1219"/>
        <v>0</v>
      </c>
      <c r="DL210" s="38">
        <f t="shared" si="1219"/>
        <v>0</v>
      </c>
      <c r="DM210" s="38">
        <f t="shared" si="1219"/>
        <v>0</v>
      </c>
      <c r="DN210" s="85">
        <f t="shared" si="1189"/>
        <v>0</v>
      </c>
      <c r="DO210" s="38">
        <f t="shared" si="1220"/>
        <v>0</v>
      </c>
      <c r="DP210" s="38">
        <f t="shared" si="1220"/>
        <v>0</v>
      </c>
      <c r="DQ210" s="38">
        <f t="shared" si="1220"/>
        <v>0</v>
      </c>
      <c r="DR210" s="38">
        <f t="shared" si="1220"/>
        <v>0</v>
      </c>
      <c r="DS210" s="85">
        <f t="shared" si="1190"/>
        <v>0</v>
      </c>
      <c r="DT210" s="38">
        <f t="shared" si="1221"/>
        <v>0</v>
      </c>
      <c r="DU210" s="38">
        <f t="shared" si="1221"/>
        <v>0</v>
      </c>
      <c r="DV210" s="38">
        <f t="shared" si="1221"/>
        <v>0</v>
      </c>
      <c r="DW210" s="38">
        <f t="shared" si="1221"/>
        <v>0</v>
      </c>
      <c r="DX210" s="85">
        <f t="shared" si="1191"/>
        <v>0</v>
      </c>
      <c r="DY210" s="38">
        <f t="shared" ref="DY210:EB210" si="1224">DY346</f>
        <v>0</v>
      </c>
      <c r="DZ210" s="38">
        <f t="shared" si="1224"/>
        <v>0</v>
      </c>
      <c r="EA210" s="38">
        <f t="shared" si="1224"/>
        <v>0</v>
      </c>
      <c r="EB210" s="38">
        <f t="shared" si="1224"/>
        <v>0</v>
      </c>
      <c r="EC210" s="85">
        <f t="shared" si="1206"/>
        <v>0</v>
      </c>
      <c r="ED210" s="38"/>
      <c r="EE210" s="20"/>
      <c r="EF210" s="770"/>
      <c r="EG210" s="20"/>
      <c r="EH210" s="20"/>
      <c r="EI210" s="20"/>
      <c r="EJ210" s="20"/>
      <c r="EK210" s="20"/>
      <c r="EL210" s="20"/>
      <c r="EM210" s="20"/>
      <c r="EN210" s="20"/>
      <c r="EO210" s="20"/>
      <c r="EP210" s="20"/>
      <c r="EQ210" s="20"/>
      <c r="ER210" s="20"/>
      <c r="ES210" s="20"/>
      <c r="ET210" s="20"/>
      <c r="EU210" s="20"/>
      <c r="EX210" s="20"/>
      <c r="EY210" s="988"/>
      <c r="EZ210" s="988"/>
      <c r="FA210" s="988"/>
      <c r="FB210" s="988"/>
      <c r="FC210" s="988"/>
      <c r="FD210" s="20"/>
    </row>
    <row r="211" spans="1:166" ht="12.75" customHeight="1" x14ac:dyDescent="0.2">
      <c r="A211" s="283" t="s">
        <v>92</v>
      </c>
      <c r="B211" s="85"/>
      <c r="C211" s="95"/>
      <c r="D211" s="41"/>
      <c r="E211" s="41"/>
      <c r="F211" s="39"/>
      <c r="G211" s="85"/>
      <c r="H211" s="87"/>
      <c r="I211" s="38"/>
      <c r="J211" s="38"/>
      <c r="K211" s="38"/>
      <c r="L211" s="85"/>
      <c r="M211" s="38"/>
      <c r="N211" s="38"/>
      <c r="O211" s="38"/>
      <c r="P211" s="38"/>
      <c r="Q211" s="85"/>
      <c r="R211" s="38"/>
      <c r="S211" s="38"/>
      <c r="T211" s="38"/>
      <c r="U211" s="39"/>
      <c r="V211" s="85"/>
      <c r="W211" s="38"/>
      <c r="X211" s="38"/>
      <c r="Y211" s="38"/>
      <c r="Z211" s="39"/>
      <c r="AA211" s="54"/>
      <c r="AB211" s="87"/>
      <c r="AC211" s="38"/>
      <c r="AD211" s="38"/>
      <c r="AE211" s="38"/>
      <c r="AF211" s="85"/>
      <c r="AG211" s="41"/>
      <c r="AH211" s="41"/>
      <c r="AI211" s="41"/>
      <c r="AJ211" s="41"/>
      <c r="AK211" s="85"/>
      <c r="AL211" s="41"/>
      <c r="AM211" s="41"/>
      <c r="AN211" s="41"/>
      <c r="AO211" s="41"/>
      <c r="AP211" s="85"/>
      <c r="AQ211" s="38">
        <v>0</v>
      </c>
      <c r="AR211" s="38">
        <v>0</v>
      </c>
      <c r="AS211" s="38">
        <v>0</v>
      </c>
      <c r="AT211" s="38">
        <v>0</v>
      </c>
      <c r="AU211" s="86">
        <f>SUM(AQ211:AT211)</f>
        <v>0</v>
      </c>
      <c r="AV211" s="45"/>
      <c r="AW211" s="38">
        <v>0</v>
      </c>
      <c r="AX211" s="38">
        <v>0</v>
      </c>
      <c r="AY211" s="38">
        <v>0</v>
      </c>
      <c r="AZ211" s="38">
        <v>0</v>
      </c>
      <c r="BA211" s="85">
        <f t="shared" si="1157"/>
        <v>0</v>
      </c>
      <c r="BB211" s="38">
        <f t="shared" si="1208"/>
        <v>0</v>
      </c>
      <c r="BC211" s="38">
        <f t="shared" si="1208"/>
        <v>1.7</v>
      </c>
      <c r="BD211" s="38">
        <f t="shared" si="1208"/>
        <v>5.5</v>
      </c>
      <c r="BE211" s="38">
        <f t="shared" si="1208"/>
        <v>3.4</v>
      </c>
      <c r="BF211" s="85">
        <f t="shared" si="1170"/>
        <v>10.6</v>
      </c>
      <c r="BG211" s="38">
        <f t="shared" si="1209"/>
        <v>0</v>
      </c>
      <c r="BH211" s="38">
        <f t="shared" si="1209"/>
        <v>0</v>
      </c>
      <c r="BI211" s="38">
        <f t="shared" si="1209"/>
        <v>0</v>
      </c>
      <c r="BJ211" s="38">
        <f t="shared" si="1209"/>
        <v>0</v>
      </c>
      <c r="BK211" s="85">
        <f t="shared" si="1196"/>
        <v>0</v>
      </c>
      <c r="BL211" s="38">
        <f t="shared" si="1210"/>
        <v>0</v>
      </c>
      <c r="BM211" s="38">
        <f t="shared" si="1210"/>
        <v>0</v>
      </c>
      <c r="BN211" s="38">
        <f t="shared" si="1210"/>
        <v>0</v>
      </c>
      <c r="BO211" s="38">
        <f t="shared" si="1210"/>
        <v>0</v>
      </c>
      <c r="BP211" s="85">
        <f t="shared" si="1171"/>
        <v>0</v>
      </c>
      <c r="BQ211" s="38">
        <f t="shared" si="1211"/>
        <v>0</v>
      </c>
      <c r="BR211" s="38">
        <f t="shared" si="1211"/>
        <v>0</v>
      </c>
      <c r="BS211" s="38">
        <f t="shared" si="1211"/>
        <v>30.7</v>
      </c>
      <c r="BT211" s="38">
        <f t="shared" si="1211"/>
        <v>94.3</v>
      </c>
      <c r="BU211" s="85">
        <f t="shared" si="1172"/>
        <v>125</v>
      </c>
      <c r="BV211" s="38">
        <f t="shared" ref="BV211:BW211" si="1225">BV347</f>
        <v>0</v>
      </c>
      <c r="BW211" s="38">
        <f t="shared" si="1225"/>
        <v>0</v>
      </c>
      <c r="BX211" s="38"/>
      <c r="BY211" s="38"/>
      <c r="BZ211" s="85"/>
      <c r="CA211" s="38">
        <f>CA347</f>
        <v>0</v>
      </c>
      <c r="CB211" s="38">
        <f>CB347</f>
        <v>0</v>
      </c>
      <c r="CC211" s="38">
        <f>CC347</f>
        <v>0</v>
      </c>
      <c r="CD211" s="38">
        <f>CD347</f>
        <v>0</v>
      </c>
      <c r="CE211" s="85">
        <f t="shared" si="1198"/>
        <v>0</v>
      </c>
      <c r="CF211" s="38">
        <f t="shared" si="1213"/>
        <v>0</v>
      </c>
      <c r="CG211" s="38">
        <f t="shared" si="1213"/>
        <v>0</v>
      </c>
      <c r="CH211" s="38">
        <f t="shared" si="1213"/>
        <v>0</v>
      </c>
      <c r="CI211" s="38">
        <f t="shared" si="1213"/>
        <v>0</v>
      </c>
      <c r="CJ211" s="85">
        <f t="shared" si="1174"/>
        <v>0</v>
      </c>
      <c r="CK211" s="38">
        <f t="shared" si="1214"/>
        <v>0</v>
      </c>
      <c r="CL211" s="38">
        <f t="shared" si="1214"/>
        <v>0</v>
      </c>
      <c r="CM211" s="38">
        <f t="shared" si="1214"/>
        <v>0</v>
      </c>
      <c r="CN211" s="38">
        <f t="shared" si="1214"/>
        <v>0</v>
      </c>
      <c r="CO211" s="85">
        <f t="shared" si="1184"/>
        <v>0</v>
      </c>
      <c r="CP211" s="38">
        <f t="shared" si="1215"/>
        <v>0</v>
      </c>
      <c r="CQ211" s="38">
        <f t="shared" si="1215"/>
        <v>0</v>
      </c>
      <c r="CR211" s="38">
        <f t="shared" si="1215"/>
        <v>0</v>
      </c>
      <c r="CS211" s="38">
        <f t="shared" si="1215"/>
        <v>0</v>
      </c>
      <c r="CT211" s="85">
        <f t="shared" si="1185"/>
        <v>0</v>
      </c>
      <c r="CU211" s="38">
        <f t="shared" si="1216"/>
        <v>0</v>
      </c>
      <c r="CV211" s="38">
        <f t="shared" si="1216"/>
        <v>0</v>
      </c>
      <c r="CW211" s="38">
        <f t="shared" si="1216"/>
        <v>0</v>
      </c>
      <c r="CX211" s="38">
        <f t="shared" si="1216"/>
        <v>0</v>
      </c>
      <c r="CY211" s="85">
        <f t="shared" si="1186"/>
        <v>0</v>
      </c>
      <c r="CZ211" s="38">
        <f t="shared" si="1217"/>
        <v>0</v>
      </c>
      <c r="DA211" s="38">
        <f t="shared" si="1217"/>
        <v>0</v>
      </c>
      <c r="DB211" s="38">
        <f t="shared" si="1217"/>
        <v>0</v>
      </c>
      <c r="DC211" s="38">
        <f t="shared" si="1217"/>
        <v>0</v>
      </c>
      <c r="DD211" s="85">
        <f t="shared" si="1187"/>
        <v>0</v>
      </c>
      <c r="DE211" s="38">
        <f t="shared" si="1218"/>
        <v>0</v>
      </c>
      <c r="DF211" s="38">
        <f t="shared" si="1218"/>
        <v>0</v>
      </c>
      <c r="DG211" s="38">
        <f t="shared" si="1218"/>
        <v>0</v>
      </c>
      <c r="DH211" s="38">
        <f t="shared" si="1218"/>
        <v>0</v>
      </c>
      <c r="DI211" s="85">
        <f t="shared" si="1188"/>
        <v>0</v>
      </c>
      <c r="DJ211" s="38">
        <f t="shared" si="1219"/>
        <v>0</v>
      </c>
      <c r="DK211" s="38">
        <f t="shared" si="1219"/>
        <v>0</v>
      </c>
      <c r="DL211" s="38">
        <f t="shared" si="1219"/>
        <v>0</v>
      </c>
      <c r="DM211" s="38">
        <f t="shared" si="1219"/>
        <v>0</v>
      </c>
      <c r="DN211" s="85">
        <f t="shared" si="1189"/>
        <v>0</v>
      </c>
      <c r="DO211" s="38">
        <f t="shared" si="1220"/>
        <v>0</v>
      </c>
      <c r="DP211" s="38">
        <f t="shared" si="1220"/>
        <v>0</v>
      </c>
      <c r="DQ211" s="38">
        <f t="shared" si="1220"/>
        <v>0</v>
      </c>
      <c r="DR211" s="38">
        <f t="shared" si="1220"/>
        <v>0</v>
      </c>
      <c r="DS211" s="85">
        <f t="shared" si="1190"/>
        <v>0</v>
      </c>
      <c r="DT211" s="38">
        <f t="shared" si="1221"/>
        <v>0</v>
      </c>
      <c r="DU211" s="38">
        <f t="shared" si="1221"/>
        <v>0</v>
      </c>
      <c r="DV211" s="38">
        <f t="shared" si="1221"/>
        <v>0</v>
      </c>
      <c r="DW211" s="38">
        <f t="shared" si="1221"/>
        <v>0</v>
      </c>
      <c r="DX211" s="85">
        <f t="shared" si="1191"/>
        <v>0</v>
      </c>
      <c r="DY211" s="38">
        <f t="shared" ref="DY211:EB211" si="1226">DY347</f>
        <v>0</v>
      </c>
      <c r="DZ211" s="38">
        <f t="shared" si="1226"/>
        <v>0</v>
      </c>
      <c r="EA211" s="38">
        <f t="shared" si="1226"/>
        <v>0</v>
      </c>
      <c r="EB211" s="38">
        <f t="shared" si="1226"/>
        <v>0</v>
      </c>
      <c r="EC211" s="85">
        <f t="shared" si="1206"/>
        <v>0</v>
      </c>
      <c r="ED211" s="38"/>
      <c r="EE211" s="21"/>
      <c r="EF211" s="284"/>
      <c r="EG211" s="21"/>
      <c r="EH211" s="21"/>
      <c r="EI211" s="21"/>
      <c r="EJ211" s="21"/>
      <c r="EK211" s="21"/>
      <c r="EL211" s="21"/>
      <c r="EM211" s="21"/>
      <c r="EN211" s="21"/>
      <c r="EO211" s="21"/>
      <c r="EP211" s="21"/>
      <c r="EQ211" s="21"/>
      <c r="ER211" s="21"/>
      <c r="ES211" s="21"/>
      <c r="ET211" s="21"/>
      <c r="EU211" s="21"/>
      <c r="EX211" s="21"/>
      <c r="EY211" s="228"/>
      <c r="EZ211" s="228"/>
      <c r="FA211" s="228"/>
      <c r="FB211" s="228"/>
      <c r="FC211" s="228"/>
      <c r="FD211" s="21"/>
    </row>
    <row r="212" spans="1:166" s="1064" customFormat="1" ht="12.75" customHeight="1" x14ac:dyDescent="0.2">
      <c r="A212" s="1656" t="s">
        <v>770</v>
      </c>
      <c r="B212" s="1446"/>
      <c r="C212" s="1657"/>
      <c r="D212" s="1658"/>
      <c r="E212" s="1658"/>
      <c r="F212" s="1526"/>
      <c r="G212" s="1446"/>
      <c r="H212" s="1525"/>
      <c r="I212" s="1447"/>
      <c r="J212" s="1447"/>
      <c r="K212" s="1447"/>
      <c r="L212" s="1446"/>
      <c r="M212" s="1447"/>
      <c r="N212" s="1447"/>
      <c r="O212" s="1447"/>
      <c r="P212" s="1447"/>
      <c r="Q212" s="1446"/>
      <c r="R212" s="1447"/>
      <c r="S212" s="1447"/>
      <c r="T212" s="1447"/>
      <c r="U212" s="1526"/>
      <c r="V212" s="1446"/>
      <c r="W212" s="1447"/>
      <c r="X212" s="1447"/>
      <c r="Y212" s="1447"/>
      <c r="Z212" s="1526"/>
      <c r="AA212" s="1623"/>
      <c r="AB212" s="1525"/>
      <c r="AC212" s="1447"/>
      <c r="AD212" s="1447"/>
      <c r="AE212" s="1447"/>
      <c r="AF212" s="1446"/>
      <c r="AG212" s="1658"/>
      <c r="AH212" s="1658"/>
      <c r="AI212" s="1658"/>
      <c r="AJ212" s="1658"/>
      <c r="AK212" s="1446"/>
      <c r="AL212" s="1658"/>
      <c r="AM212" s="1658"/>
      <c r="AN212" s="1658"/>
      <c r="AO212" s="1658"/>
      <c r="AP212" s="1446"/>
      <c r="AQ212" s="1447"/>
      <c r="AR212" s="1447"/>
      <c r="AS212" s="1447"/>
      <c r="AT212" s="1447"/>
      <c r="AU212" s="1441"/>
      <c r="AV212" s="1217"/>
      <c r="AW212" s="1447"/>
      <c r="AX212" s="1447"/>
      <c r="AY212" s="1447"/>
      <c r="AZ212" s="1447"/>
      <c r="BA212" s="1446"/>
      <c r="BB212" s="1447"/>
      <c r="BC212" s="1447"/>
      <c r="BD212" s="1447"/>
      <c r="BE212" s="1447"/>
      <c r="BF212" s="1446"/>
      <c r="BG212" s="1447"/>
      <c r="BH212" s="1447"/>
      <c r="BI212" s="1447"/>
      <c r="BJ212" s="1447"/>
      <c r="BK212" s="1446"/>
      <c r="BL212" s="1447"/>
      <c r="BM212" s="1447"/>
      <c r="BN212" s="1447"/>
      <c r="BO212" s="1447"/>
      <c r="BP212" s="1446"/>
      <c r="BQ212" s="1447"/>
      <c r="BR212" s="1447"/>
      <c r="BS212" s="1447"/>
      <c r="BT212" s="1447"/>
      <c r="BU212" s="1446"/>
      <c r="BV212" s="1447"/>
      <c r="BW212" s="1447"/>
      <c r="BX212" s="1447"/>
      <c r="BY212" s="1447"/>
      <c r="BZ212" s="1446"/>
      <c r="CA212" s="1447"/>
      <c r="CB212" s="1447"/>
      <c r="CC212" s="1447">
        <v>-0.3</v>
      </c>
      <c r="CD212" s="1447"/>
      <c r="CE212" s="1446"/>
      <c r="CF212" s="1447"/>
      <c r="CG212" s="1447"/>
      <c r="CH212" s="1447"/>
      <c r="CI212" s="1447"/>
      <c r="CJ212" s="1446">
        <f t="shared" si="1174"/>
        <v>0</v>
      </c>
      <c r="CK212" s="1447"/>
      <c r="CL212" s="1447"/>
      <c r="CM212" s="1447"/>
      <c r="CN212" s="1447"/>
      <c r="CO212" s="1446"/>
      <c r="CP212" s="1447"/>
      <c r="CQ212" s="1447"/>
      <c r="CR212" s="1447"/>
      <c r="CS212" s="1447"/>
      <c r="CT212" s="1446"/>
      <c r="CU212" s="1447"/>
      <c r="CV212" s="1447"/>
      <c r="CW212" s="1447"/>
      <c r="CX212" s="1447"/>
      <c r="CY212" s="1446"/>
      <c r="CZ212" s="1447"/>
      <c r="DA212" s="1447"/>
      <c r="DB212" s="1447"/>
      <c r="DC212" s="1447"/>
      <c r="DD212" s="1446"/>
      <c r="DE212" s="1447"/>
      <c r="DF212" s="1447"/>
      <c r="DG212" s="1447"/>
      <c r="DH212" s="1447"/>
      <c r="DI212" s="1446"/>
      <c r="DJ212" s="1447"/>
      <c r="DK212" s="1447"/>
      <c r="DL212" s="1447"/>
      <c r="DM212" s="1447"/>
      <c r="DN212" s="1446"/>
      <c r="DO212" s="1447"/>
      <c r="DP212" s="1447"/>
      <c r="DQ212" s="1447"/>
      <c r="DR212" s="1447"/>
      <c r="DS212" s="1446"/>
      <c r="DT212" s="1447"/>
      <c r="DU212" s="1447"/>
      <c r="DV212" s="1447"/>
      <c r="DW212" s="1447"/>
      <c r="DX212" s="1446"/>
      <c r="DY212" s="1447"/>
      <c r="DZ212" s="1447"/>
      <c r="EA212" s="1447"/>
      <c r="EB212" s="1447"/>
      <c r="EC212" s="1446"/>
      <c r="ED212" s="1447"/>
      <c r="EE212" s="1575"/>
      <c r="EF212" s="1660"/>
      <c r="EG212" s="1575"/>
      <c r="EH212" s="1575"/>
      <c r="EI212" s="1575"/>
      <c r="EJ212" s="1575"/>
      <c r="EK212" s="1575"/>
      <c r="EL212" s="1575"/>
      <c r="EM212" s="1575"/>
      <c r="EN212" s="1575"/>
      <c r="EO212" s="1575"/>
      <c r="EP212" s="1575"/>
      <c r="EQ212" s="1575"/>
      <c r="ER212" s="1575"/>
      <c r="ES212" s="1575"/>
      <c r="ET212" s="1575"/>
      <c r="EU212" s="1575"/>
      <c r="EX212" s="1575"/>
      <c r="EY212" s="1218"/>
      <c r="EZ212" s="1218"/>
      <c r="FA212" s="1218"/>
      <c r="FB212" s="1218"/>
      <c r="FC212" s="1218"/>
      <c r="FD212" s="1575"/>
      <c r="FE212"/>
      <c r="FF212"/>
      <c r="FG212"/>
      <c r="FH212"/>
      <c r="FI212"/>
      <c r="FJ212"/>
    </row>
    <row r="213" spans="1:166" ht="12.75" customHeight="1" x14ac:dyDescent="0.2">
      <c r="A213" s="283" t="s">
        <v>388</v>
      </c>
      <c r="B213" s="85"/>
      <c r="C213" s="95"/>
      <c r="D213" s="41"/>
      <c r="E213" s="41"/>
      <c r="F213" s="39"/>
      <c r="G213" s="85"/>
      <c r="H213" s="87"/>
      <c r="I213" s="38"/>
      <c r="J213" s="38"/>
      <c r="K213" s="38"/>
      <c r="L213" s="85"/>
      <c r="M213" s="38"/>
      <c r="N213" s="38"/>
      <c r="O213" s="38"/>
      <c r="P213" s="38"/>
      <c r="Q213" s="85"/>
      <c r="R213" s="38"/>
      <c r="S213" s="38"/>
      <c r="T213" s="38"/>
      <c r="U213" s="39"/>
      <c r="V213" s="85"/>
      <c r="W213" s="38"/>
      <c r="X213" s="38"/>
      <c r="Y213" s="38"/>
      <c r="Z213" s="39"/>
      <c r="AA213" s="54"/>
      <c r="AB213" s="87"/>
      <c r="AC213" s="38"/>
      <c r="AD213" s="38"/>
      <c r="AE213" s="38"/>
      <c r="AF213" s="85"/>
      <c r="AG213" s="41"/>
      <c r="AH213" s="41"/>
      <c r="AI213" s="41"/>
      <c r="AJ213" s="41"/>
      <c r="AK213" s="85"/>
      <c r="AL213" s="41"/>
      <c r="AM213" s="41"/>
      <c r="AN213" s="41"/>
      <c r="AO213" s="41"/>
      <c r="AP213" s="85"/>
      <c r="AQ213" s="38">
        <v>0</v>
      </c>
      <c r="AR213" s="38">
        <v>0</v>
      </c>
      <c r="AS213" s="38">
        <v>0</v>
      </c>
      <c r="AT213" s="38">
        <v>0</v>
      </c>
      <c r="AU213" s="86">
        <f>SUM(AQ213:AT213)</f>
        <v>0</v>
      </c>
      <c r="AV213" s="45"/>
      <c r="AW213" s="38">
        <v>0</v>
      </c>
      <c r="AX213" s="38">
        <v>0</v>
      </c>
      <c r="AY213" s="38">
        <v>0</v>
      </c>
      <c r="AZ213" s="38">
        <v>0</v>
      </c>
      <c r="BA213" s="85">
        <f t="shared" si="1157"/>
        <v>0</v>
      </c>
      <c r="BB213" s="38">
        <f>BB348</f>
        <v>0</v>
      </c>
      <c r="BC213" s="38">
        <f>BC348</f>
        <v>0</v>
      </c>
      <c r="BD213" s="38">
        <f>BD348</f>
        <v>0.5</v>
      </c>
      <c r="BE213" s="38">
        <f>BE348</f>
        <v>7.1</v>
      </c>
      <c r="BF213" s="85">
        <f t="shared" si="1170"/>
        <v>7.6</v>
      </c>
      <c r="BG213" s="38">
        <f>BG348</f>
        <v>3.7</v>
      </c>
      <c r="BH213" s="38">
        <f>BH348</f>
        <v>9.3999999999999986</v>
      </c>
      <c r="BI213" s="38">
        <f>BI348</f>
        <v>7</v>
      </c>
      <c r="BJ213" s="38">
        <f>BJ348</f>
        <v>10.1</v>
      </c>
      <c r="BK213" s="85">
        <f t="shared" si="1196"/>
        <v>30.199999999999996</v>
      </c>
      <c r="BL213" s="38">
        <f>BL348</f>
        <v>9.1</v>
      </c>
      <c r="BM213" s="38">
        <f>BM348</f>
        <v>9.8000000000000007</v>
      </c>
      <c r="BN213" s="38">
        <f>BN348</f>
        <v>4.7</v>
      </c>
      <c r="BO213" s="38">
        <f>BO348</f>
        <v>2.6</v>
      </c>
      <c r="BP213" s="85">
        <f t="shared" si="1171"/>
        <v>26.2</v>
      </c>
      <c r="BQ213" s="38">
        <v>0</v>
      </c>
      <c r="BR213" s="38">
        <v>0</v>
      </c>
      <c r="BS213" s="38">
        <v>30.7</v>
      </c>
      <c r="BT213" s="41">
        <f>BT348</f>
        <v>0</v>
      </c>
      <c r="BU213" s="85">
        <f t="shared" si="1172"/>
        <v>30.7</v>
      </c>
      <c r="BV213" s="38">
        <v>0</v>
      </c>
      <c r="BW213" s="38">
        <v>0</v>
      </c>
      <c r="BX213" s="38"/>
      <c r="BY213" s="38"/>
      <c r="BZ213" s="85"/>
      <c r="CA213" s="38">
        <f>CA348</f>
        <v>0</v>
      </c>
      <c r="CB213" s="38">
        <f>CB348</f>
        <v>0</v>
      </c>
      <c r="CC213" s="38">
        <f>CC348</f>
        <v>0</v>
      </c>
      <c r="CD213" s="38">
        <f>CD348</f>
        <v>0</v>
      </c>
      <c r="CE213" s="85">
        <f t="shared" si="1198"/>
        <v>0</v>
      </c>
      <c r="CF213" s="38">
        <f>CF348</f>
        <v>0</v>
      </c>
      <c r="CG213" s="38">
        <f>CG348</f>
        <v>0</v>
      </c>
      <c r="CH213" s="38">
        <f>CH348</f>
        <v>0</v>
      </c>
      <c r="CI213" s="38">
        <v>0</v>
      </c>
      <c r="CJ213" s="85">
        <f t="shared" si="1174"/>
        <v>0</v>
      </c>
      <c r="CK213" s="38">
        <f>CK348</f>
        <v>0</v>
      </c>
      <c r="CL213" s="38">
        <f>CL348</f>
        <v>0</v>
      </c>
      <c r="CM213" s="38">
        <f>CM348</f>
        <v>0</v>
      </c>
      <c r="CN213" s="38">
        <f>CN348</f>
        <v>0</v>
      </c>
      <c r="CO213" s="85">
        <f t="shared" si="1184"/>
        <v>0</v>
      </c>
      <c r="CP213" s="38">
        <f>CP348</f>
        <v>0</v>
      </c>
      <c r="CQ213" s="38">
        <f>CQ348</f>
        <v>0</v>
      </c>
      <c r="CR213" s="38">
        <f>CR348</f>
        <v>0</v>
      </c>
      <c r="CS213" s="38">
        <f>CS348</f>
        <v>0</v>
      </c>
      <c r="CT213" s="85">
        <f t="shared" si="1185"/>
        <v>0</v>
      </c>
      <c r="CU213" s="38">
        <f>CU348</f>
        <v>0</v>
      </c>
      <c r="CV213" s="38">
        <f>CV348</f>
        <v>0</v>
      </c>
      <c r="CW213" s="38">
        <f>CW348</f>
        <v>0</v>
      </c>
      <c r="CX213" s="38">
        <f>CX348</f>
        <v>0</v>
      </c>
      <c r="CY213" s="85">
        <f t="shared" si="1186"/>
        <v>0</v>
      </c>
      <c r="CZ213" s="38">
        <f>CZ348</f>
        <v>0</v>
      </c>
      <c r="DA213" s="38">
        <f>DA348</f>
        <v>0</v>
      </c>
      <c r="DB213" s="38">
        <f>DB348</f>
        <v>0</v>
      </c>
      <c r="DC213" s="38">
        <f>DC348</f>
        <v>0</v>
      </c>
      <c r="DD213" s="85">
        <f t="shared" si="1187"/>
        <v>0</v>
      </c>
      <c r="DE213" s="38">
        <f>DE348</f>
        <v>0</v>
      </c>
      <c r="DF213" s="38">
        <f>DF348</f>
        <v>0</v>
      </c>
      <c r="DG213" s="38">
        <f>DG348</f>
        <v>0</v>
      </c>
      <c r="DH213" s="38">
        <f>DH348</f>
        <v>0</v>
      </c>
      <c r="DI213" s="85">
        <f t="shared" si="1188"/>
        <v>0</v>
      </c>
      <c r="DJ213" s="38">
        <f>DJ348</f>
        <v>0</v>
      </c>
      <c r="DK213" s="38">
        <f>DK348</f>
        <v>0</v>
      </c>
      <c r="DL213" s="38">
        <f>DL348</f>
        <v>0</v>
      </c>
      <c r="DM213" s="38">
        <f>DM348</f>
        <v>0</v>
      </c>
      <c r="DN213" s="85">
        <f t="shared" si="1189"/>
        <v>0</v>
      </c>
      <c r="DO213" s="38">
        <f>DO348</f>
        <v>0</v>
      </c>
      <c r="DP213" s="38">
        <f>DP348</f>
        <v>0</v>
      </c>
      <c r="DQ213" s="38">
        <f>DQ348</f>
        <v>0</v>
      </c>
      <c r="DR213" s="38">
        <f>DR348</f>
        <v>0</v>
      </c>
      <c r="DS213" s="85">
        <f t="shared" si="1190"/>
        <v>0</v>
      </c>
      <c r="DT213" s="38">
        <f>DT348</f>
        <v>0</v>
      </c>
      <c r="DU213" s="38">
        <f>DU348</f>
        <v>0</v>
      </c>
      <c r="DV213" s="38">
        <f>DV348</f>
        <v>0</v>
      </c>
      <c r="DW213" s="38">
        <f>DW348</f>
        <v>0</v>
      </c>
      <c r="DX213" s="85">
        <f t="shared" si="1191"/>
        <v>0</v>
      </c>
      <c r="DY213" s="38">
        <f t="shared" ref="DY213:EB213" si="1227">DY348</f>
        <v>0</v>
      </c>
      <c r="DZ213" s="38">
        <f t="shared" si="1227"/>
        <v>0</v>
      </c>
      <c r="EA213" s="38">
        <f t="shared" si="1227"/>
        <v>0</v>
      </c>
      <c r="EB213" s="38">
        <f t="shared" si="1227"/>
        <v>0</v>
      </c>
      <c r="EC213" s="85">
        <f t="shared" ref="EC213:EC215" si="1228">SUM(DY213:EB213)</f>
        <v>0</v>
      </c>
      <c r="ED213" s="38"/>
      <c r="EE213" s="21"/>
      <c r="EF213" s="284"/>
      <c r="EG213" s="21"/>
      <c r="EH213" s="21"/>
      <c r="EI213" s="21"/>
      <c r="EJ213" s="21"/>
      <c r="EK213" s="21"/>
      <c r="EL213" s="21"/>
      <c r="EM213" s="21"/>
      <c r="EN213" s="21"/>
      <c r="EO213" s="21"/>
      <c r="EP213" s="21"/>
      <c r="EQ213" s="21"/>
      <c r="ER213" s="21"/>
      <c r="ES213" s="21"/>
      <c r="ET213" s="21"/>
      <c r="EU213" s="21"/>
      <c r="EX213" s="21"/>
      <c r="EY213" s="228"/>
      <c r="EZ213" s="228"/>
      <c r="FA213" s="228"/>
      <c r="FB213" s="228"/>
      <c r="FC213" s="228"/>
      <c r="FD213" s="21"/>
    </row>
    <row r="214" spans="1:166" ht="12.75" customHeight="1" x14ac:dyDescent="0.2">
      <c r="A214" s="283" t="s">
        <v>855</v>
      </c>
      <c r="B214" s="85"/>
      <c r="C214" s="95"/>
      <c r="D214" s="41"/>
      <c r="E214" s="41"/>
      <c r="F214" s="39"/>
      <c r="G214" s="85"/>
      <c r="H214" s="87"/>
      <c r="I214" s="38"/>
      <c r="J214" s="38"/>
      <c r="K214" s="38"/>
      <c r="L214" s="85"/>
      <c r="M214" s="38"/>
      <c r="N214" s="38"/>
      <c r="O214" s="38"/>
      <c r="P214" s="38"/>
      <c r="Q214" s="85"/>
      <c r="R214" s="38"/>
      <c r="S214" s="38"/>
      <c r="T214" s="38"/>
      <c r="U214" s="39"/>
      <c r="V214" s="85"/>
      <c r="W214" s="38"/>
      <c r="X214" s="38"/>
      <c r="Y214" s="38"/>
      <c r="Z214" s="39"/>
      <c r="AA214" s="54"/>
      <c r="AB214" s="87"/>
      <c r="AC214" s="38"/>
      <c r="AD214" s="38"/>
      <c r="AE214" s="38"/>
      <c r="AF214" s="85"/>
      <c r="AG214" s="41"/>
      <c r="AH214" s="41"/>
      <c r="AI214" s="41"/>
      <c r="AJ214" s="41"/>
      <c r="AK214" s="85"/>
      <c r="AL214" s="41"/>
      <c r="AM214" s="41"/>
      <c r="AN214" s="41"/>
      <c r="AO214" s="41"/>
      <c r="AP214" s="85"/>
      <c r="AQ214" s="38"/>
      <c r="AR214" s="38"/>
      <c r="AS214" s="38"/>
      <c r="AT214" s="38"/>
      <c r="AU214" s="86"/>
      <c r="AV214" s="45"/>
      <c r="AW214" s="38"/>
      <c r="AX214" s="38"/>
      <c r="AY214" s="38"/>
      <c r="AZ214" s="38"/>
      <c r="BA214" s="85"/>
      <c r="BB214" s="38"/>
      <c r="BC214" s="38"/>
      <c r="BD214" s="38"/>
      <c r="BE214" s="38"/>
      <c r="BF214" s="85"/>
      <c r="BG214" s="38"/>
      <c r="BH214" s="38"/>
      <c r="BI214" s="38"/>
      <c r="BJ214" s="38"/>
      <c r="BK214" s="85"/>
      <c r="BL214" s="38"/>
      <c r="BM214" s="38"/>
      <c r="BN214" s="38"/>
      <c r="BO214" s="38"/>
      <c r="BP214" s="85"/>
      <c r="BQ214" s="38"/>
      <c r="BR214" s="38"/>
      <c r="BS214" s="38"/>
      <c r="BT214" s="41"/>
      <c r="BU214" s="85"/>
      <c r="BV214" s="38"/>
      <c r="BW214" s="38"/>
      <c r="BX214" s="38"/>
      <c r="BY214" s="38"/>
      <c r="BZ214" s="85"/>
      <c r="CA214" s="38"/>
      <c r="CB214" s="38"/>
      <c r="CC214" s="38"/>
      <c r="CD214" s="38"/>
      <c r="CE214" s="85"/>
      <c r="CF214" s="38"/>
      <c r="CG214" s="38"/>
      <c r="CH214" s="38"/>
      <c r="CI214" s="38"/>
      <c r="CJ214" s="85"/>
      <c r="CK214" s="38"/>
      <c r="CL214" s="38"/>
      <c r="CM214" s="38"/>
      <c r="CN214" s="38"/>
      <c r="CO214" s="85"/>
      <c r="CP214" s="38">
        <v>7.1</v>
      </c>
      <c r="CQ214" s="38"/>
      <c r="CR214" s="38"/>
      <c r="CS214" s="38"/>
      <c r="CT214" s="85"/>
      <c r="CU214" s="38"/>
      <c r="CV214" s="38"/>
      <c r="CW214" s="38"/>
      <c r="CX214" s="38"/>
      <c r="CY214" s="85"/>
      <c r="CZ214" s="38"/>
      <c r="DA214" s="38"/>
      <c r="DB214" s="38"/>
      <c r="DC214" s="38"/>
      <c r="DD214" s="85"/>
      <c r="DE214" s="38"/>
      <c r="DF214" s="38"/>
      <c r="DG214" s="38"/>
      <c r="DH214" s="38"/>
      <c r="DI214" s="85"/>
      <c r="DJ214" s="38"/>
      <c r="DK214" s="38"/>
      <c r="DL214" s="38"/>
      <c r="DM214" s="38"/>
      <c r="DN214" s="85"/>
      <c r="DO214" s="38"/>
      <c r="DP214" s="38"/>
      <c r="DQ214" s="38"/>
      <c r="DR214" s="38"/>
      <c r="DS214" s="85"/>
      <c r="DT214" s="38"/>
      <c r="DU214" s="38"/>
      <c r="DV214" s="38"/>
      <c r="DW214" s="38"/>
      <c r="DX214" s="85"/>
      <c r="DY214" s="38"/>
      <c r="DZ214" s="38"/>
      <c r="EA214" s="38"/>
      <c r="EB214" s="38"/>
      <c r="EC214" s="85"/>
      <c r="ED214" s="38"/>
      <c r="EE214" s="21"/>
      <c r="EF214" s="284"/>
      <c r="EG214" s="21"/>
      <c r="EH214" s="21"/>
      <c r="EI214" s="21"/>
      <c r="EJ214" s="21"/>
      <c r="EK214" s="21"/>
      <c r="EL214" s="21"/>
      <c r="EM214" s="21"/>
      <c r="EN214" s="21"/>
      <c r="EO214" s="21"/>
      <c r="EP214" s="21"/>
      <c r="EQ214" s="21"/>
      <c r="ER214" s="21"/>
      <c r="ES214" s="21"/>
      <c r="ET214" s="21"/>
      <c r="EU214" s="21"/>
      <c r="EX214" s="21"/>
      <c r="EY214" s="228"/>
      <c r="EZ214" s="228"/>
      <c r="FA214" s="228"/>
      <c r="FB214" s="228"/>
      <c r="FC214" s="228"/>
      <c r="FD214" s="21"/>
    </row>
    <row r="215" spans="1:166" ht="15" x14ac:dyDescent="0.35">
      <c r="A215" s="283" t="s">
        <v>379</v>
      </c>
      <c r="B215" s="85"/>
      <c r="C215" s="95"/>
      <c r="D215" s="41"/>
      <c r="E215" s="41"/>
      <c r="F215" s="39"/>
      <c r="G215" s="85"/>
      <c r="H215" s="87"/>
      <c r="I215" s="38"/>
      <c r="J215" s="38"/>
      <c r="K215" s="38"/>
      <c r="L215" s="85"/>
      <c r="M215" s="38"/>
      <c r="N215" s="38"/>
      <c r="O215" s="38"/>
      <c r="P215" s="38"/>
      <c r="Q215" s="85"/>
      <c r="R215" s="38"/>
      <c r="S215" s="38"/>
      <c r="T215" s="38"/>
      <c r="U215" s="39"/>
      <c r="V215" s="85"/>
      <c r="W215" s="38"/>
      <c r="X215" s="38"/>
      <c r="Y215" s="38"/>
      <c r="Z215" s="39"/>
      <c r="AA215" s="54"/>
      <c r="AB215" s="87"/>
      <c r="AC215" s="38"/>
      <c r="AD215" s="38"/>
      <c r="AE215" s="38"/>
      <c r="AF215" s="85"/>
      <c r="AG215" s="41"/>
      <c r="AH215" s="41"/>
      <c r="AI215" s="41"/>
      <c r="AJ215" s="41"/>
      <c r="AK215" s="91"/>
      <c r="AL215" s="97"/>
      <c r="AM215" s="97"/>
      <c r="AN215" s="97"/>
      <c r="AO215" s="97"/>
      <c r="AP215" s="91"/>
      <c r="AQ215" s="90">
        <v>0</v>
      </c>
      <c r="AR215" s="90">
        <v>0</v>
      </c>
      <c r="AS215" s="90">
        <v>0</v>
      </c>
      <c r="AT215" s="90">
        <v>0</v>
      </c>
      <c r="AU215" s="884">
        <f>SUM(AQ215:AT215)</f>
        <v>0</v>
      </c>
      <c r="AV215" s="45"/>
      <c r="AW215" s="90">
        <v>0</v>
      </c>
      <c r="AX215" s="90">
        <v>0</v>
      </c>
      <c r="AY215" s="90">
        <v>0</v>
      </c>
      <c r="AZ215" s="90">
        <v>0</v>
      </c>
      <c r="BA215" s="91">
        <f t="shared" si="1157"/>
        <v>0</v>
      </c>
      <c r="BB215" s="90">
        <f t="shared" ref="BB215:BE215" si="1229">BB349</f>
        <v>0</v>
      </c>
      <c r="BC215" s="90">
        <f t="shared" si="1229"/>
        <v>0</v>
      </c>
      <c r="BD215" s="90">
        <f t="shared" si="1229"/>
        <v>0</v>
      </c>
      <c r="BE215" s="90">
        <f t="shared" si="1229"/>
        <v>0</v>
      </c>
      <c r="BF215" s="91">
        <f t="shared" si="1170"/>
        <v>0</v>
      </c>
      <c r="BG215" s="90">
        <f t="shared" ref="BG215:BJ215" si="1230">BG349</f>
        <v>7</v>
      </c>
      <c r="BH215" s="90">
        <f t="shared" si="1230"/>
        <v>18.100000000000001</v>
      </c>
      <c r="BI215" s="90">
        <f t="shared" si="1230"/>
        <v>0.6</v>
      </c>
      <c r="BJ215" s="90">
        <f t="shared" si="1230"/>
        <v>1.3</v>
      </c>
      <c r="BK215" s="91">
        <f t="shared" si="1196"/>
        <v>27.000000000000004</v>
      </c>
      <c r="BL215" s="90">
        <f t="shared" ref="BL215:BO215" si="1231">BL349</f>
        <v>0</v>
      </c>
      <c r="BM215" s="90">
        <f t="shared" si="1231"/>
        <v>0</v>
      </c>
      <c r="BN215" s="90">
        <f t="shared" si="1231"/>
        <v>0</v>
      </c>
      <c r="BO215" s="90">
        <f t="shared" si="1231"/>
        <v>0</v>
      </c>
      <c r="BP215" s="91">
        <f t="shared" si="1171"/>
        <v>0</v>
      </c>
      <c r="BQ215" s="90">
        <f>BQ349</f>
        <v>0</v>
      </c>
      <c r="BR215" s="90">
        <f>BR349</f>
        <v>0</v>
      </c>
      <c r="BS215" s="90">
        <f>BS349</f>
        <v>0</v>
      </c>
      <c r="BT215" s="90">
        <f>BT349</f>
        <v>0</v>
      </c>
      <c r="BU215" s="91">
        <f t="shared" si="1172"/>
        <v>0</v>
      </c>
      <c r="BV215" s="90">
        <f>BV349</f>
        <v>0</v>
      </c>
      <c r="BW215" s="90">
        <f>BW349</f>
        <v>0</v>
      </c>
      <c r="BX215" s="90">
        <f>BX349</f>
        <v>0</v>
      </c>
      <c r="BY215" s="90">
        <f>BY349</f>
        <v>0</v>
      </c>
      <c r="BZ215" s="91">
        <f t="shared" si="1197"/>
        <v>0</v>
      </c>
      <c r="CA215" s="90">
        <f t="shared" ref="CA215:CD215" si="1232">CA349</f>
        <v>0</v>
      </c>
      <c r="CB215" s="90">
        <f t="shared" si="1232"/>
        <v>0</v>
      </c>
      <c r="CC215" s="90">
        <f t="shared" si="1232"/>
        <v>0</v>
      </c>
      <c r="CD215" s="90">
        <f t="shared" si="1232"/>
        <v>0</v>
      </c>
      <c r="CE215" s="91">
        <f t="shared" si="1198"/>
        <v>0</v>
      </c>
      <c r="CF215" s="90">
        <f t="shared" ref="CF215:CI215" si="1233">CF349</f>
        <v>0</v>
      </c>
      <c r="CG215" s="90">
        <f t="shared" si="1233"/>
        <v>0</v>
      </c>
      <c r="CH215" s="90">
        <f t="shared" si="1233"/>
        <v>0</v>
      </c>
      <c r="CI215" s="90">
        <f t="shared" si="1233"/>
        <v>0</v>
      </c>
      <c r="CJ215" s="91">
        <f t="shared" ref="CJ215" si="1234">SUM(CF215:CI215)</f>
        <v>0</v>
      </c>
      <c r="CK215" s="90">
        <f t="shared" ref="CK215:CN215" si="1235">CK349</f>
        <v>0</v>
      </c>
      <c r="CL215" s="90">
        <f t="shared" si="1235"/>
        <v>0</v>
      </c>
      <c r="CM215" s="90">
        <f t="shared" si="1235"/>
        <v>0</v>
      </c>
      <c r="CN215" s="90">
        <f t="shared" si="1235"/>
        <v>0</v>
      </c>
      <c r="CO215" s="91">
        <f t="shared" si="1184"/>
        <v>0</v>
      </c>
      <c r="CP215" s="90">
        <f t="shared" ref="CP215:CS215" si="1236">CP349</f>
        <v>0</v>
      </c>
      <c r="CQ215" s="90">
        <f t="shared" si="1236"/>
        <v>0</v>
      </c>
      <c r="CR215" s="90">
        <f t="shared" si="1236"/>
        <v>0</v>
      </c>
      <c r="CS215" s="90">
        <f t="shared" si="1236"/>
        <v>0</v>
      </c>
      <c r="CT215" s="91">
        <f t="shared" si="1185"/>
        <v>0</v>
      </c>
      <c r="CU215" s="90">
        <f t="shared" ref="CU215:CX215" si="1237">CU349</f>
        <v>0</v>
      </c>
      <c r="CV215" s="90">
        <f t="shared" si="1237"/>
        <v>0</v>
      </c>
      <c r="CW215" s="90">
        <f t="shared" si="1237"/>
        <v>0</v>
      </c>
      <c r="CX215" s="90">
        <f t="shared" si="1237"/>
        <v>0</v>
      </c>
      <c r="CY215" s="91">
        <f t="shared" si="1186"/>
        <v>0</v>
      </c>
      <c r="CZ215" s="90">
        <f t="shared" ref="CZ215:DC215" si="1238">CZ349</f>
        <v>0</v>
      </c>
      <c r="DA215" s="90">
        <f t="shared" si="1238"/>
        <v>0</v>
      </c>
      <c r="DB215" s="90">
        <f t="shared" si="1238"/>
        <v>0</v>
      </c>
      <c r="DC215" s="90">
        <f t="shared" si="1238"/>
        <v>0</v>
      </c>
      <c r="DD215" s="91">
        <f t="shared" si="1187"/>
        <v>0</v>
      </c>
      <c r="DE215" s="90">
        <f t="shared" ref="DE215:DH215" si="1239">DE349</f>
        <v>0</v>
      </c>
      <c r="DF215" s="90">
        <f t="shared" si="1239"/>
        <v>0</v>
      </c>
      <c r="DG215" s="90">
        <f t="shared" si="1239"/>
        <v>0</v>
      </c>
      <c r="DH215" s="90">
        <f t="shared" si="1239"/>
        <v>0</v>
      </c>
      <c r="DI215" s="91">
        <f t="shared" si="1188"/>
        <v>0</v>
      </c>
      <c r="DJ215" s="90">
        <f t="shared" ref="DJ215:DM215" si="1240">DJ349</f>
        <v>0</v>
      </c>
      <c r="DK215" s="90">
        <f t="shared" si="1240"/>
        <v>0</v>
      </c>
      <c r="DL215" s="90">
        <f t="shared" si="1240"/>
        <v>0</v>
      </c>
      <c r="DM215" s="90">
        <f t="shared" si="1240"/>
        <v>0</v>
      </c>
      <c r="DN215" s="91">
        <f t="shared" si="1189"/>
        <v>0</v>
      </c>
      <c r="DO215" s="90">
        <f t="shared" ref="DO215:DR215" si="1241">DO349</f>
        <v>0</v>
      </c>
      <c r="DP215" s="90">
        <f t="shared" si="1241"/>
        <v>0</v>
      </c>
      <c r="DQ215" s="90">
        <f t="shared" si="1241"/>
        <v>0</v>
      </c>
      <c r="DR215" s="90">
        <f t="shared" si="1241"/>
        <v>0</v>
      </c>
      <c r="DS215" s="91">
        <f t="shared" si="1190"/>
        <v>0</v>
      </c>
      <c r="DT215" s="90">
        <f t="shared" ref="DT215:DW215" si="1242">DT349</f>
        <v>0</v>
      </c>
      <c r="DU215" s="90">
        <f t="shared" si="1242"/>
        <v>0</v>
      </c>
      <c r="DV215" s="90">
        <f t="shared" si="1242"/>
        <v>0</v>
      </c>
      <c r="DW215" s="90">
        <f t="shared" si="1242"/>
        <v>0</v>
      </c>
      <c r="DX215" s="91">
        <f t="shared" si="1191"/>
        <v>0</v>
      </c>
      <c r="DY215" s="90">
        <f t="shared" ref="DY215:EB215" si="1243">DY349</f>
        <v>0</v>
      </c>
      <c r="DZ215" s="90">
        <f t="shared" si="1243"/>
        <v>0</v>
      </c>
      <c r="EA215" s="90">
        <f t="shared" si="1243"/>
        <v>0</v>
      </c>
      <c r="EB215" s="90">
        <f t="shared" si="1243"/>
        <v>0</v>
      </c>
      <c r="EC215" s="91">
        <f t="shared" si="1228"/>
        <v>0</v>
      </c>
      <c r="ED215" s="38"/>
      <c r="EE215" s="21"/>
      <c r="EF215" s="373"/>
      <c r="EG215" s="21"/>
      <c r="EH215" s="21"/>
      <c r="EI215" s="21"/>
      <c r="EJ215" s="21"/>
      <c r="EK215" s="21"/>
      <c r="EL215" s="21"/>
      <c r="EM215" s="21"/>
      <c r="EN215" s="21"/>
      <c r="EO215" s="21"/>
      <c r="EP215" s="21"/>
      <c r="EQ215" s="21"/>
      <c r="ER215" s="21"/>
      <c r="ES215" s="21"/>
      <c r="ET215" s="21"/>
      <c r="EU215" s="21"/>
      <c r="EX215" s="21"/>
      <c r="EY215" s="228"/>
      <c r="EZ215" s="228"/>
      <c r="FA215" s="228"/>
      <c r="FB215" s="228"/>
      <c r="FC215" s="228"/>
      <c r="FD215" s="21"/>
    </row>
    <row r="216" spans="1:166" hidden="1" outlineLevel="1" x14ac:dyDescent="0.2">
      <c r="A216" s="283" t="s">
        <v>425</v>
      </c>
      <c r="B216" s="85"/>
      <c r="C216" s="95"/>
      <c r="D216" s="41"/>
      <c r="E216" s="41"/>
      <c r="F216" s="39"/>
      <c r="G216" s="85"/>
      <c r="H216" s="87"/>
      <c r="I216" s="38"/>
      <c r="J216" s="38"/>
      <c r="K216" s="38"/>
      <c r="L216" s="85"/>
      <c r="M216" s="38"/>
      <c r="N216" s="38"/>
      <c r="O216" s="38"/>
      <c r="P216" s="38"/>
      <c r="Q216" s="85"/>
      <c r="R216" s="38">
        <f>R180</f>
        <v>0</v>
      </c>
      <c r="S216" s="38">
        <f>S180</f>
        <v>0</v>
      </c>
      <c r="T216" s="38">
        <f>T180</f>
        <v>0</v>
      </c>
      <c r="U216" s="39">
        <f>U180</f>
        <v>-1</v>
      </c>
      <c r="V216" s="85">
        <v>33</v>
      </c>
      <c r="W216" s="38">
        <f>W180</f>
        <v>1</v>
      </c>
      <c r="X216" s="38">
        <f>X180</f>
        <v>1</v>
      </c>
      <c r="Y216" s="38">
        <v>-2</v>
      </c>
      <c r="Z216" s="39">
        <f>Z180</f>
        <v>0</v>
      </c>
      <c r="AA216" s="54">
        <v>0</v>
      </c>
      <c r="AB216" s="87"/>
      <c r="AC216" s="38"/>
      <c r="AD216" s="38"/>
      <c r="AE216" s="38"/>
      <c r="AF216" s="85"/>
      <c r="AG216" s="41"/>
      <c r="AH216" s="41"/>
      <c r="AI216" s="41"/>
      <c r="AJ216" s="41"/>
      <c r="AK216" s="85"/>
      <c r="AL216" s="41"/>
      <c r="AM216" s="41"/>
      <c r="AN216" s="41"/>
      <c r="AO216" s="41"/>
      <c r="AP216" s="85"/>
      <c r="AQ216" s="41"/>
      <c r="AR216" s="41"/>
      <c r="AS216" s="41"/>
      <c r="AT216" s="41"/>
      <c r="AU216" s="86"/>
      <c r="AV216" s="45"/>
      <c r="AW216" s="41"/>
      <c r="AX216" s="41"/>
      <c r="AY216" s="41"/>
      <c r="AZ216" s="41"/>
      <c r="BA216" s="85"/>
      <c r="BB216" s="38"/>
      <c r="BC216" s="38"/>
      <c r="BD216" s="38"/>
      <c r="BE216" s="38"/>
      <c r="BF216" s="85"/>
      <c r="BG216" s="38"/>
      <c r="BH216" s="38"/>
      <c r="BI216" s="38"/>
      <c r="BJ216" s="38"/>
      <c r="BK216" s="85"/>
      <c r="BL216" s="38"/>
      <c r="BM216" s="38"/>
      <c r="BN216" s="38"/>
      <c r="BO216" s="38"/>
      <c r="BP216" s="85"/>
      <c r="BQ216" s="38"/>
      <c r="BR216" s="38"/>
      <c r="BS216" s="38"/>
      <c r="BT216" s="38"/>
      <c r="BU216" s="85"/>
      <c r="BV216" s="38"/>
      <c r="BW216" s="38"/>
      <c r="BX216" s="38"/>
      <c r="BY216" s="38"/>
      <c r="BZ216" s="85"/>
      <c r="CA216" s="38"/>
      <c r="CB216" s="38"/>
      <c r="CC216" s="38"/>
      <c r="CD216" s="38"/>
      <c r="CE216" s="85"/>
      <c r="CF216" s="38"/>
      <c r="CG216" s="38"/>
      <c r="CH216" s="38"/>
      <c r="CI216" s="38"/>
      <c r="CJ216" s="85"/>
      <c r="CK216" s="38"/>
      <c r="CL216" s="38"/>
      <c r="CM216" s="38"/>
      <c r="CN216" s="38"/>
      <c r="CO216" s="85"/>
      <c r="CP216" s="38"/>
      <c r="CQ216" s="38"/>
      <c r="CR216" s="38"/>
      <c r="CS216" s="38"/>
      <c r="CT216" s="85"/>
      <c r="CU216" s="38"/>
      <c r="CV216" s="38"/>
      <c r="CW216" s="38"/>
      <c r="CX216" s="38"/>
      <c r="CY216" s="85"/>
      <c r="CZ216" s="38"/>
      <c r="DA216" s="38"/>
      <c r="DB216" s="38"/>
      <c r="DC216" s="38"/>
      <c r="DD216" s="85"/>
      <c r="DE216" s="38"/>
      <c r="DF216" s="38"/>
      <c r="DG216" s="38"/>
      <c r="DH216" s="38"/>
      <c r="DI216" s="85"/>
      <c r="DJ216" s="38"/>
      <c r="DK216" s="38"/>
      <c r="DL216" s="38"/>
      <c r="DM216" s="38"/>
      <c r="DN216" s="85"/>
      <c r="DO216" s="38"/>
      <c r="DP216" s="38"/>
      <c r="DQ216" s="38"/>
      <c r="DR216" s="38"/>
      <c r="DS216" s="85"/>
      <c r="DT216" s="38"/>
      <c r="DU216" s="38"/>
      <c r="DV216" s="38"/>
      <c r="DW216" s="38"/>
      <c r="DX216" s="85"/>
      <c r="DY216" s="38"/>
      <c r="DZ216" s="38"/>
      <c r="EA216" s="38"/>
      <c r="EB216" s="38"/>
      <c r="EC216" s="85"/>
      <c r="ED216" s="38"/>
      <c r="EE216" s="22"/>
      <c r="EF216" s="769"/>
      <c r="EG216" s="22"/>
      <c r="EH216" s="22"/>
      <c r="EI216" s="22"/>
      <c r="EJ216" s="22"/>
      <c r="EK216" s="22"/>
      <c r="EL216" s="22"/>
      <c r="EM216" s="22"/>
      <c r="EN216" s="22"/>
      <c r="EO216" s="22"/>
      <c r="EP216" s="22"/>
      <c r="EQ216" s="22"/>
      <c r="ER216" s="22"/>
      <c r="ES216" s="22"/>
      <c r="ET216" s="22"/>
      <c r="EU216" s="22"/>
      <c r="EX216" s="22"/>
      <c r="EY216" s="126"/>
      <c r="EZ216" s="126"/>
      <c r="FA216" s="126"/>
      <c r="FB216" s="126"/>
      <c r="FC216" s="126"/>
      <c r="FD216" s="22"/>
    </row>
    <row r="217" spans="1:166" hidden="1" outlineLevel="1" x14ac:dyDescent="0.2">
      <c r="A217" s="283" t="s">
        <v>426</v>
      </c>
      <c r="B217" s="85"/>
      <c r="C217" s="95"/>
      <c r="D217" s="41"/>
      <c r="E217" s="41"/>
      <c r="F217" s="39"/>
      <c r="G217" s="85"/>
      <c r="H217" s="87"/>
      <c r="I217" s="38"/>
      <c r="J217" s="38"/>
      <c r="K217" s="38"/>
      <c r="L217" s="85"/>
      <c r="M217" s="38"/>
      <c r="N217" s="38"/>
      <c r="O217" s="38"/>
      <c r="P217" s="38"/>
      <c r="Q217" s="85"/>
      <c r="R217" s="38"/>
      <c r="S217" s="38"/>
      <c r="T217" s="38"/>
      <c r="U217" s="39">
        <v>14</v>
      </c>
      <c r="V217" s="85">
        <v>18</v>
      </c>
      <c r="W217" s="38">
        <v>0</v>
      </c>
      <c r="X217" s="38">
        <v>0</v>
      </c>
      <c r="Y217" s="38">
        <v>0</v>
      </c>
      <c r="Z217" s="39">
        <v>0</v>
      </c>
      <c r="AA217" s="54">
        <v>0</v>
      </c>
      <c r="AB217" s="87"/>
      <c r="AC217" s="38"/>
      <c r="AD217" s="38"/>
      <c r="AE217" s="38"/>
      <c r="AF217" s="85"/>
      <c r="AG217" s="41"/>
      <c r="AH217" s="41"/>
      <c r="AI217" s="41"/>
      <c r="AJ217" s="41"/>
      <c r="AK217" s="85"/>
      <c r="AL217" s="41"/>
      <c r="AM217" s="41"/>
      <c r="AN217" s="41"/>
      <c r="AO217" s="41"/>
      <c r="AP217" s="85"/>
      <c r="AQ217" s="41"/>
      <c r="AR217" s="41"/>
      <c r="AS217" s="41"/>
      <c r="AT217" s="41"/>
      <c r="AU217" s="86"/>
      <c r="AV217" s="45"/>
      <c r="AW217" s="41"/>
      <c r="AX217" s="41"/>
      <c r="AY217" s="41"/>
      <c r="AZ217" s="41"/>
      <c r="BA217" s="85"/>
      <c r="BB217" s="38"/>
      <c r="BC217" s="38"/>
      <c r="BD217" s="38"/>
      <c r="BE217" s="38"/>
      <c r="BF217" s="85"/>
      <c r="BG217" s="38"/>
      <c r="BH217" s="38"/>
      <c r="BI217" s="38"/>
      <c r="BJ217" s="38"/>
      <c r="BK217" s="85"/>
      <c r="BL217" s="38"/>
      <c r="BM217" s="38"/>
      <c r="BN217" s="38"/>
      <c r="BO217" s="38"/>
      <c r="BP217" s="85"/>
      <c r="BQ217" s="38"/>
      <c r="BR217" s="38"/>
      <c r="BS217" s="38"/>
      <c r="BT217" s="38"/>
      <c r="BU217" s="85"/>
      <c r="BV217" s="38"/>
      <c r="BW217" s="38"/>
      <c r="BX217" s="38"/>
      <c r="BY217" s="38"/>
      <c r="BZ217" s="85"/>
      <c r="CA217" s="38"/>
      <c r="CB217" s="38"/>
      <c r="CC217" s="38"/>
      <c r="CD217" s="38"/>
      <c r="CE217" s="85"/>
      <c r="CF217" s="38"/>
      <c r="CG217" s="38"/>
      <c r="CH217" s="38"/>
      <c r="CI217" s="38"/>
      <c r="CJ217" s="85"/>
      <c r="CK217" s="38"/>
      <c r="CL217" s="38"/>
      <c r="CM217" s="38"/>
      <c r="CN217" s="38"/>
      <c r="CO217" s="85"/>
      <c r="CP217" s="38"/>
      <c r="CQ217" s="38"/>
      <c r="CR217" s="38"/>
      <c r="CS217" s="38"/>
      <c r="CT217" s="85"/>
      <c r="CU217" s="38"/>
      <c r="CV217" s="38"/>
      <c r="CW217" s="38"/>
      <c r="CX217" s="38"/>
      <c r="CY217" s="85"/>
      <c r="CZ217" s="38"/>
      <c r="DA217" s="38"/>
      <c r="DB217" s="38"/>
      <c r="DC217" s="38"/>
      <c r="DD217" s="85"/>
      <c r="DE217" s="38"/>
      <c r="DF217" s="38"/>
      <c r="DG217" s="38"/>
      <c r="DH217" s="38"/>
      <c r="DI217" s="85"/>
      <c r="DJ217" s="38"/>
      <c r="DK217" s="38"/>
      <c r="DL217" s="38"/>
      <c r="DM217" s="38"/>
      <c r="DN217" s="85"/>
      <c r="DO217" s="38"/>
      <c r="DP217" s="38"/>
      <c r="DQ217" s="38"/>
      <c r="DR217" s="38"/>
      <c r="DS217" s="85"/>
      <c r="DT217" s="38"/>
      <c r="DU217" s="38"/>
      <c r="DV217" s="38"/>
      <c r="DW217" s="38"/>
      <c r="DX217" s="85"/>
      <c r="DY217" s="38"/>
      <c r="DZ217" s="38"/>
      <c r="EA217" s="38"/>
      <c r="EB217" s="38"/>
      <c r="EC217" s="85"/>
      <c r="ED217" s="38"/>
      <c r="EE217" s="21"/>
      <c r="EF217" s="373"/>
      <c r="EG217" s="21"/>
      <c r="EH217" s="21"/>
      <c r="EI217" s="21"/>
      <c r="EJ217" s="21"/>
      <c r="EK217" s="21"/>
      <c r="EL217" s="21"/>
      <c r="EM217" s="21"/>
      <c r="EN217" s="21"/>
      <c r="EO217" s="21"/>
      <c r="EP217" s="21"/>
      <c r="EQ217" s="21"/>
      <c r="ER217" s="21"/>
      <c r="ES217" s="21"/>
      <c r="ET217" s="21"/>
      <c r="EU217" s="21"/>
      <c r="EX217" s="21"/>
      <c r="EY217" s="228"/>
      <c r="EZ217" s="228"/>
      <c r="FA217" s="228"/>
      <c r="FB217" s="228"/>
      <c r="FC217" s="228"/>
      <c r="FD217" s="21"/>
    </row>
    <row r="218" spans="1:166" ht="12" hidden="1" customHeight="1" outlineLevel="1" x14ac:dyDescent="0.2">
      <c r="A218" s="283" t="s">
        <v>427</v>
      </c>
      <c r="B218" s="85"/>
      <c r="C218" s="95"/>
      <c r="D218" s="41"/>
      <c r="E218" s="41"/>
      <c r="F218" s="39"/>
      <c r="G218" s="85"/>
      <c r="H218" s="87"/>
      <c r="I218" s="38"/>
      <c r="J218" s="38"/>
      <c r="K218" s="38"/>
      <c r="L218" s="85"/>
      <c r="M218" s="38"/>
      <c r="N218" s="38"/>
      <c r="O218" s="38"/>
      <c r="P218" s="38"/>
      <c r="Q218" s="85"/>
      <c r="R218" s="38"/>
      <c r="S218" s="38"/>
      <c r="T218" s="38"/>
      <c r="U218" s="39">
        <v>0</v>
      </c>
      <c r="V218" s="85">
        <v>0</v>
      </c>
      <c r="W218" s="38">
        <v>0</v>
      </c>
      <c r="X218" s="38">
        <v>0</v>
      </c>
      <c r="Y218" s="38">
        <v>34</v>
      </c>
      <c r="Z218" s="39">
        <v>-1</v>
      </c>
      <c r="AA218" s="54">
        <v>34</v>
      </c>
      <c r="AB218" s="87"/>
      <c r="AC218" s="38"/>
      <c r="AD218" s="38"/>
      <c r="AE218" s="38"/>
      <c r="AF218" s="85"/>
      <c r="AG218" s="41"/>
      <c r="AH218" s="41"/>
      <c r="AI218" s="41"/>
      <c r="AJ218" s="41"/>
      <c r="AK218" s="85"/>
      <c r="AL218" s="41"/>
      <c r="AM218" s="41"/>
      <c r="AN218" s="41"/>
      <c r="AO218" s="41"/>
      <c r="AP218" s="85"/>
      <c r="AQ218" s="41"/>
      <c r="AR218" s="41"/>
      <c r="AS218" s="41"/>
      <c r="AT218" s="41"/>
      <c r="AU218" s="86"/>
      <c r="AV218" s="45"/>
      <c r="AW218" s="41"/>
      <c r="AX218" s="41"/>
      <c r="AY218" s="41"/>
      <c r="AZ218" s="41"/>
      <c r="BA218" s="85"/>
      <c r="BB218" s="38"/>
      <c r="BC218" s="38"/>
      <c r="BD218" s="38"/>
      <c r="BE218" s="38"/>
      <c r="BF218" s="85"/>
      <c r="BG218" s="38"/>
      <c r="BH218" s="38"/>
      <c r="BI218" s="38"/>
      <c r="BJ218" s="38"/>
      <c r="BK218" s="85"/>
      <c r="BL218" s="38"/>
      <c r="BM218" s="38"/>
      <c r="BN218" s="38"/>
      <c r="BO218" s="38"/>
      <c r="BP218" s="85"/>
      <c r="BQ218" s="38"/>
      <c r="BR218" s="38"/>
      <c r="BS218" s="38"/>
      <c r="BT218" s="38"/>
      <c r="BU218" s="85"/>
      <c r="BV218" s="38"/>
      <c r="BW218" s="38"/>
      <c r="BX218" s="38"/>
      <c r="BY218" s="38"/>
      <c r="BZ218" s="85"/>
      <c r="CA218" s="38"/>
      <c r="CB218" s="38"/>
      <c r="CC218" s="38"/>
      <c r="CD218" s="38"/>
      <c r="CE218" s="85"/>
      <c r="CF218" s="38"/>
      <c r="CG218" s="38"/>
      <c r="CH218" s="38"/>
      <c r="CI218" s="38"/>
      <c r="CJ218" s="85"/>
      <c r="CK218" s="38"/>
      <c r="CL218" s="38"/>
      <c r="CM218" s="38"/>
      <c r="CN218" s="38"/>
      <c r="CO218" s="85"/>
      <c r="CP218" s="38"/>
      <c r="CQ218" s="38"/>
      <c r="CR218" s="38"/>
      <c r="CS218" s="38"/>
      <c r="CT218" s="85"/>
      <c r="CU218" s="38"/>
      <c r="CV218" s="38"/>
      <c r="CW218" s="38"/>
      <c r="CX218" s="38"/>
      <c r="CY218" s="85"/>
      <c r="CZ218" s="38"/>
      <c r="DA218" s="38"/>
      <c r="DB218" s="38"/>
      <c r="DC218" s="38"/>
      <c r="DD218" s="85"/>
      <c r="DE218" s="38"/>
      <c r="DF218" s="38"/>
      <c r="DG218" s="38"/>
      <c r="DH218" s="38"/>
      <c r="DI218" s="85"/>
      <c r="DJ218" s="38"/>
      <c r="DK218" s="38"/>
      <c r="DL218" s="38"/>
      <c r="DM218" s="38"/>
      <c r="DN218" s="85"/>
      <c r="DO218" s="38"/>
      <c r="DP218" s="38"/>
      <c r="DQ218" s="38"/>
      <c r="DR218" s="38"/>
      <c r="DS218" s="85"/>
      <c r="DT218" s="38"/>
      <c r="DU218" s="38"/>
      <c r="DV218" s="38"/>
      <c r="DW218" s="38"/>
      <c r="DX218" s="85"/>
      <c r="DY218" s="38"/>
      <c r="DZ218" s="38"/>
      <c r="EA218" s="38"/>
      <c r="EB218" s="38"/>
      <c r="EC218" s="85"/>
      <c r="ED218" s="38"/>
      <c r="EE218" s="21"/>
      <c r="EF218" s="284"/>
      <c r="EG218" s="21"/>
      <c r="EH218" s="21"/>
      <c r="EI218" s="21"/>
      <c r="EJ218" s="21"/>
      <c r="EK218" s="21"/>
      <c r="EL218" s="21"/>
      <c r="EM218" s="21"/>
      <c r="EN218" s="21"/>
      <c r="EO218" s="21"/>
      <c r="EP218" s="21"/>
      <c r="EQ218" s="21"/>
      <c r="ER218" s="21"/>
      <c r="ES218" s="21"/>
      <c r="ET218" s="21"/>
      <c r="EU218" s="21"/>
      <c r="EX218" s="21"/>
      <c r="EY218" s="228"/>
      <c r="EZ218" s="228"/>
      <c r="FA218" s="228"/>
      <c r="FB218" s="228"/>
      <c r="FC218" s="228"/>
      <c r="FD218" s="21"/>
    </row>
    <row r="219" spans="1:166" hidden="1" outlineLevel="1" x14ac:dyDescent="0.2">
      <c r="A219" s="283" t="s">
        <v>428</v>
      </c>
      <c r="B219" s="85"/>
      <c r="C219" s="95"/>
      <c r="D219" s="41"/>
      <c r="E219" s="41"/>
      <c r="F219" s="39"/>
      <c r="G219" s="85"/>
      <c r="H219" s="87"/>
      <c r="I219" s="38"/>
      <c r="J219" s="38"/>
      <c r="K219" s="38"/>
      <c r="L219" s="85"/>
      <c r="M219" s="38"/>
      <c r="N219" s="38"/>
      <c r="O219" s="38"/>
      <c r="P219" s="38"/>
      <c r="Q219" s="85"/>
      <c r="R219" s="38"/>
      <c r="S219" s="38"/>
      <c r="T219" s="38"/>
      <c r="U219" s="39">
        <v>0</v>
      </c>
      <c r="V219" s="85">
        <v>0</v>
      </c>
      <c r="W219" s="38">
        <v>0</v>
      </c>
      <c r="X219" s="38">
        <v>0</v>
      </c>
      <c r="Y219" s="38">
        <f>AA219-Z219-X219-W219</f>
        <v>0</v>
      </c>
      <c r="Z219" s="39">
        <v>30</v>
      </c>
      <c r="AA219" s="54">
        <v>30</v>
      </c>
      <c r="AB219" s="87"/>
      <c r="AC219" s="38"/>
      <c r="AD219" s="38"/>
      <c r="AE219" s="38"/>
      <c r="AF219" s="85"/>
      <c r="AG219" s="41"/>
      <c r="AH219" s="41"/>
      <c r="AI219" s="41"/>
      <c r="AJ219" s="41"/>
      <c r="AK219" s="85"/>
      <c r="AL219" s="41"/>
      <c r="AM219" s="41"/>
      <c r="AN219" s="41"/>
      <c r="AO219" s="41"/>
      <c r="AP219" s="85"/>
      <c r="AQ219" s="41"/>
      <c r="AR219" s="41"/>
      <c r="AS219" s="41"/>
      <c r="AT219" s="41"/>
      <c r="AU219" s="86"/>
      <c r="AV219" s="45"/>
      <c r="AW219" s="41"/>
      <c r="AX219" s="41"/>
      <c r="AY219" s="41"/>
      <c r="AZ219" s="41"/>
      <c r="BA219" s="85"/>
      <c r="BB219" s="38"/>
      <c r="BC219" s="38"/>
      <c r="BD219" s="38"/>
      <c r="BE219" s="38"/>
      <c r="BF219" s="85"/>
      <c r="BG219" s="38"/>
      <c r="BH219" s="38"/>
      <c r="BI219" s="38"/>
      <c r="BJ219" s="38"/>
      <c r="BK219" s="85"/>
      <c r="BL219" s="38"/>
      <c r="BM219" s="38"/>
      <c r="BN219" s="38"/>
      <c r="BO219" s="38"/>
      <c r="BP219" s="85"/>
      <c r="BQ219" s="38"/>
      <c r="BR219" s="38"/>
      <c r="BS219" s="38"/>
      <c r="BT219" s="38"/>
      <c r="BU219" s="85"/>
      <c r="BV219" s="38"/>
      <c r="BW219" s="38"/>
      <c r="BX219" s="38"/>
      <c r="BY219" s="38"/>
      <c r="BZ219" s="85"/>
      <c r="CA219" s="38"/>
      <c r="CB219" s="38"/>
      <c r="CC219" s="38"/>
      <c r="CD219" s="38"/>
      <c r="CE219" s="85"/>
      <c r="CF219" s="38"/>
      <c r="CG219" s="38"/>
      <c r="CH219" s="38"/>
      <c r="CI219" s="38"/>
      <c r="CJ219" s="85"/>
      <c r="CK219" s="38"/>
      <c r="CL219" s="38"/>
      <c r="CM219" s="38"/>
      <c r="CN219" s="38"/>
      <c r="CO219" s="85"/>
      <c r="CP219" s="38"/>
      <c r="CQ219" s="38"/>
      <c r="CR219" s="38"/>
      <c r="CS219" s="38"/>
      <c r="CT219" s="85"/>
      <c r="CU219" s="38"/>
      <c r="CV219" s="38"/>
      <c r="CW219" s="38"/>
      <c r="CX219" s="38"/>
      <c r="CY219" s="85"/>
      <c r="CZ219" s="38"/>
      <c r="DA219" s="38"/>
      <c r="DB219" s="38"/>
      <c r="DC219" s="38"/>
      <c r="DD219" s="85"/>
      <c r="DE219" s="38"/>
      <c r="DF219" s="38"/>
      <c r="DG219" s="38"/>
      <c r="DH219" s="38"/>
      <c r="DI219" s="85"/>
      <c r="DJ219" s="38"/>
      <c r="DK219" s="38"/>
      <c r="DL219" s="38"/>
      <c r="DM219" s="38"/>
      <c r="DN219" s="85"/>
      <c r="DO219" s="38"/>
      <c r="DP219" s="38"/>
      <c r="DQ219" s="38"/>
      <c r="DR219" s="38"/>
      <c r="DS219" s="85"/>
      <c r="DT219" s="38"/>
      <c r="DU219" s="38"/>
      <c r="DV219" s="38"/>
      <c r="DW219" s="38"/>
      <c r="DX219" s="85"/>
      <c r="DY219" s="38"/>
      <c r="DZ219" s="38"/>
      <c r="EA219" s="38"/>
      <c r="EB219" s="38"/>
      <c r="EC219" s="85"/>
      <c r="ED219" s="38"/>
      <c r="EE219" s="21"/>
      <c r="EF219" s="284"/>
      <c r="EG219" s="21"/>
      <c r="EH219" s="21"/>
      <c r="EI219" s="21"/>
      <c r="EJ219" s="21"/>
      <c r="EK219" s="21"/>
      <c r="EL219" s="21"/>
      <c r="EM219" s="21"/>
      <c r="EN219" s="21"/>
      <c r="EO219" s="21"/>
      <c r="EP219" s="21"/>
      <c r="EQ219" s="21"/>
      <c r="ER219" s="21"/>
      <c r="ES219" s="21"/>
      <c r="ET219" s="21"/>
      <c r="EU219" s="21"/>
      <c r="EX219" s="21"/>
      <c r="EY219" s="228"/>
      <c r="EZ219" s="228"/>
      <c r="FA219" s="228"/>
      <c r="FB219" s="228"/>
      <c r="FC219" s="228"/>
      <c r="FD219" s="21"/>
    </row>
    <row r="220" spans="1:166" hidden="1" outlineLevel="1" x14ac:dyDescent="0.2">
      <c r="A220" s="283" t="s">
        <v>429</v>
      </c>
      <c r="B220" s="85"/>
      <c r="C220" s="95"/>
      <c r="D220" s="41"/>
      <c r="E220" s="41"/>
      <c r="F220" s="39"/>
      <c r="G220" s="85"/>
      <c r="H220" s="87"/>
      <c r="I220" s="38"/>
      <c r="J220" s="38"/>
      <c r="K220" s="38"/>
      <c r="L220" s="85"/>
      <c r="M220" s="38"/>
      <c r="N220" s="38"/>
      <c r="O220" s="38"/>
      <c r="P220" s="38"/>
      <c r="Q220" s="85"/>
      <c r="R220" s="38"/>
      <c r="S220" s="38"/>
      <c r="T220" s="38"/>
      <c r="U220" s="39">
        <f>U184</f>
        <v>4</v>
      </c>
      <c r="V220" s="85">
        <f>V184</f>
        <v>9</v>
      </c>
      <c r="W220" s="38">
        <f>W184</f>
        <v>0</v>
      </c>
      <c r="X220" s="38">
        <f>X184</f>
        <v>3</v>
      </c>
      <c r="Y220" s="38">
        <v>2</v>
      </c>
      <c r="Z220" s="39">
        <f>Z184</f>
        <v>2</v>
      </c>
      <c r="AA220" s="54">
        <v>9</v>
      </c>
      <c r="AB220" s="87"/>
      <c r="AC220" s="38"/>
      <c r="AD220" s="38"/>
      <c r="AE220" s="38"/>
      <c r="AF220" s="85"/>
      <c r="AG220" s="41"/>
      <c r="AH220" s="41"/>
      <c r="AI220" s="41"/>
      <c r="AJ220" s="41"/>
      <c r="AK220" s="85"/>
      <c r="AL220" s="41"/>
      <c r="AM220" s="41"/>
      <c r="AN220" s="41"/>
      <c r="AO220" s="41"/>
      <c r="AP220" s="85"/>
      <c r="AQ220" s="41"/>
      <c r="AR220" s="41"/>
      <c r="AS220" s="41"/>
      <c r="AT220" s="41"/>
      <c r="AU220" s="86"/>
      <c r="AV220" s="45"/>
      <c r="AW220" s="41"/>
      <c r="AX220" s="41"/>
      <c r="AY220" s="41"/>
      <c r="AZ220" s="41"/>
      <c r="BA220" s="85"/>
      <c r="BB220" s="38"/>
      <c r="BC220" s="38"/>
      <c r="BD220" s="38"/>
      <c r="BE220" s="38"/>
      <c r="BF220" s="85"/>
      <c r="BG220" s="38"/>
      <c r="BH220" s="38"/>
      <c r="BI220" s="38"/>
      <c r="BJ220" s="38"/>
      <c r="BK220" s="85"/>
      <c r="BL220" s="38"/>
      <c r="BM220" s="38"/>
      <c r="BN220" s="38"/>
      <c r="BO220" s="38"/>
      <c r="BP220" s="85"/>
      <c r="BQ220" s="38"/>
      <c r="BR220" s="38"/>
      <c r="BS220" s="38"/>
      <c r="BT220" s="38"/>
      <c r="BU220" s="85"/>
      <c r="BV220" s="38"/>
      <c r="BW220" s="38"/>
      <c r="BX220" s="38"/>
      <c r="BY220" s="38"/>
      <c r="BZ220" s="85"/>
      <c r="CA220" s="38"/>
      <c r="CB220" s="38"/>
      <c r="CC220" s="38"/>
      <c r="CD220" s="38"/>
      <c r="CE220" s="85"/>
      <c r="CF220" s="38"/>
      <c r="CG220" s="38"/>
      <c r="CH220" s="38"/>
      <c r="CI220" s="38"/>
      <c r="CJ220" s="85"/>
      <c r="CK220" s="38"/>
      <c r="CL220" s="38"/>
      <c r="CM220" s="38"/>
      <c r="CN220" s="38"/>
      <c r="CO220" s="85"/>
      <c r="CP220" s="38"/>
      <c r="CQ220" s="38"/>
      <c r="CR220" s="38"/>
      <c r="CS220" s="38"/>
      <c r="CT220" s="85"/>
      <c r="CU220" s="38"/>
      <c r="CV220" s="38"/>
      <c r="CW220" s="38"/>
      <c r="CX220" s="38"/>
      <c r="CY220" s="85"/>
      <c r="CZ220" s="38"/>
      <c r="DA220" s="38"/>
      <c r="DB220" s="38"/>
      <c r="DC220" s="38"/>
      <c r="DD220" s="85"/>
      <c r="DE220" s="38"/>
      <c r="DF220" s="38"/>
      <c r="DG220" s="38"/>
      <c r="DH220" s="38"/>
      <c r="DI220" s="85"/>
      <c r="DJ220" s="38"/>
      <c r="DK220" s="38"/>
      <c r="DL220" s="38"/>
      <c r="DM220" s="38"/>
      <c r="DN220" s="85"/>
      <c r="DO220" s="38"/>
      <c r="DP220" s="38"/>
      <c r="DQ220" s="38"/>
      <c r="DR220" s="38"/>
      <c r="DS220" s="85"/>
      <c r="DT220" s="38"/>
      <c r="DU220" s="38"/>
      <c r="DV220" s="38"/>
      <c r="DW220" s="38"/>
      <c r="DX220" s="85"/>
      <c r="DY220" s="38"/>
      <c r="DZ220" s="38"/>
      <c r="EA220" s="38"/>
      <c r="EB220" s="38"/>
      <c r="EC220" s="85"/>
      <c r="ED220" s="38"/>
      <c r="EE220" s="282"/>
      <c r="EF220" s="810"/>
      <c r="EG220" s="21"/>
      <c r="EH220" s="21"/>
      <c r="EI220" s="21"/>
      <c r="EJ220" s="21"/>
      <c r="EK220" s="21"/>
      <c r="EL220" s="21"/>
      <c r="EM220" s="21"/>
      <c r="EN220" s="21"/>
      <c r="EO220" s="21"/>
      <c r="EP220" s="21"/>
      <c r="EQ220" s="21"/>
      <c r="ER220" s="21"/>
      <c r="ES220" s="21"/>
      <c r="ET220" s="21"/>
      <c r="EU220" s="21"/>
      <c r="EX220" s="21"/>
      <c r="EY220" s="228"/>
      <c r="EZ220" s="228"/>
      <c r="FA220" s="228"/>
      <c r="FB220" s="228"/>
      <c r="FC220" s="228"/>
      <c r="FD220" s="21"/>
    </row>
    <row r="221" spans="1:166" hidden="1" outlineLevel="1" x14ac:dyDescent="0.2">
      <c r="A221" s="283" t="s">
        <v>434</v>
      </c>
      <c r="B221" s="85"/>
      <c r="C221" s="95"/>
      <c r="D221" s="41"/>
      <c r="E221" s="41"/>
      <c r="F221" s="39"/>
      <c r="G221" s="85"/>
      <c r="H221" s="87"/>
      <c r="I221" s="38"/>
      <c r="J221" s="38"/>
      <c r="K221" s="38"/>
      <c r="L221" s="85"/>
      <c r="M221" s="38"/>
      <c r="N221" s="38"/>
      <c r="O221" s="38"/>
      <c r="P221" s="38"/>
      <c r="Q221" s="85"/>
      <c r="R221" s="38"/>
      <c r="S221" s="38"/>
      <c r="T221" s="38"/>
      <c r="U221" s="39">
        <v>0</v>
      </c>
      <c r="V221" s="85">
        <v>0</v>
      </c>
      <c r="W221" s="38">
        <v>0</v>
      </c>
      <c r="X221" s="38">
        <v>0</v>
      </c>
      <c r="Y221" s="38">
        <v>3</v>
      </c>
      <c r="Z221" s="39">
        <v>3</v>
      </c>
      <c r="AA221" s="54">
        <v>6</v>
      </c>
      <c r="AB221" s="87"/>
      <c r="AC221" s="38"/>
      <c r="AD221" s="38"/>
      <c r="AE221" s="38"/>
      <c r="AF221" s="85"/>
      <c r="AG221" s="41"/>
      <c r="AH221" s="41"/>
      <c r="AI221" s="41"/>
      <c r="AJ221" s="41"/>
      <c r="AK221" s="85"/>
      <c r="AL221" s="41"/>
      <c r="AM221" s="41"/>
      <c r="AN221" s="41"/>
      <c r="AO221" s="41"/>
      <c r="AP221" s="85"/>
      <c r="AQ221" s="41"/>
      <c r="AR221" s="41"/>
      <c r="AS221" s="41"/>
      <c r="AT221" s="41"/>
      <c r="AU221" s="86"/>
      <c r="AV221" s="45"/>
      <c r="AW221" s="41"/>
      <c r="AX221" s="41"/>
      <c r="AY221" s="41"/>
      <c r="AZ221" s="41"/>
      <c r="BA221" s="85"/>
      <c r="BB221" s="38"/>
      <c r="BC221" s="38"/>
      <c r="BD221" s="38"/>
      <c r="BE221" s="38"/>
      <c r="BF221" s="85"/>
      <c r="BG221" s="38"/>
      <c r="BH221" s="38"/>
      <c r="BI221" s="38"/>
      <c r="BJ221" s="38"/>
      <c r="BK221" s="85"/>
      <c r="BL221" s="38"/>
      <c r="BM221" s="38"/>
      <c r="BN221" s="38"/>
      <c r="BO221" s="38"/>
      <c r="BP221" s="85"/>
      <c r="BQ221" s="38"/>
      <c r="BR221" s="38"/>
      <c r="BS221" s="38"/>
      <c r="BT221" s="38"/>
      <c r="BU221" s="85"/>
      <c r="BV221" s="38"/>
      <c r="BW221" s="38"/>
      <c r="BX221" s="38"/>
      <c r="BY221" s="38"/>
      <c r="BZ221" s="85"/>
      <c r="CA221" s="38"/>
      <c r="CB221" s="38"/>
      <c r="CC221" s="38"/>
      <c r="CD221" s="38"/>
      <c r="CE221" s="85"/>
      <c r="CF221" s="38"/>
      <c r="CG221" s="38"/>
      <c r="CH221" s="38"/>
      <c r="CI221" s="38"/>
      <c r="CJ221" s="85"/>
      <c r="CK221" s="38"/>
      <c r="CL221" s="38"/>
      <c r="CM221" s="38"/>
      <c r="CN221" s="38"/>
      <c r="CO221" s="85"/>
      <c r="CP221" s="38"/>
      <c r="CQ221" s="38"/>
      <c r="CR221" s="38"/>
      <c r="CS221" s="38"/>
      <c r="CT221" s="85"/>
      <c r="CU221" s="38"/>
      <c r="CV221" s="38"/>
      <c r="CW221" s="38"/>
      <c r="CX221" s="38"/>
      <c r="CY221" s="85"/>
      <c r="CZ221" s="38"/>
      <c r="DA221" s="38"/>
      <c r="DB221" s="38"/>
      <c r="DC221" s="38"/>
      <c r="DD221" s="85"/>
      <c r="DE221" s="38"/>
      <c r="DF221" s="38"/>
      <c r="DG221" s="38"/>
      <c r="DH221" s="38"/>
      <c r="DI221" s="85"/>
      <c r="DJ221" s="38"/>
      <c r="DK221" s="38"/>
      <c r="DL221" s="38"/>
      <c r="DM221" s="38"/>
      <c r="DN221" s="85"/>
      <c r="DO221" s="38"/>
      <c r="DP221" s="38"/>
      <c r="DQ221" s="38"/>
      <c r="DR221" s="38"/>
      <c r="DS221" s="85"/>
      <c r="DT221" s="38"/>
      <c r="DU221" s="38"/>
      <c r="DV221" s="38"/>
      <c r="DW221" s="38"/>
      <c r="DX221" s="85"/>
      <c r="DY221" s="38"/>
      <c r="DZ221" s="38"/>
      <c r="EA221" s="38"/>
      <c r="EB221" s="38"/>
      <c r="EC221" s="85"/>
      <c r="ED221" s="38"/>
      <c r="EE221" s="16"/>
      <c r="EF221" s="16"/>
      <c r="EG221" s="16"/>
      <c r="EH221" s="16"/>
      <c r="EI221" s="16"/>
      <c r="EJ221" s="16"/>
      <c r="EK221" s="16"/>
      <c r="EL221" s="16"/>
      <c r="EM221" s="16"/>
      <c r="EN221" s="16"/>
      <c r="EO221" s="16"/>
      <c r="EP221" s="16"/>
      <c r="EQ221" s="16"/>
      <c r="ER221" s="16"/>
      <c r="ES221" s="16"/>
      <c r="ET221" s="16"/>
      <c r="EU221" s="16"/>
      <c r="EX221" s="16"/>
      <c r="EY221" s="228"/>
      <c r="EZ221" s="945"/>
      <c r="FA221" s="477"/>
      <c r="FB221" s="228"/>
      <c r="FC221" s="477"/>
      <c r="FD221" s="16"/>
    </row>
    <row r="222" spans="1:166" hidden="1" outlineLevel="1" x14ac:dyDescent="0.2">
      <c r="A222" s="283" t="s">
        <v>430</v>
      </c>
      <c r="B222" s="85"/>
      <c r="C222" s="95"/>
      <c r="D222" s="41"/>
      <c r="E222" s="41"/>
      <c r="F222" s="39"/>
      <c r="G222" s="85"/>
      <c r="H222" s="87"/>
      <c r="I222" s="38"/>
      <c r="J222" s="38"/>
      <c r="K222" s="38"/>
      <c r="L222" s="85"/>
      <c r="M222" s="38"/>
      <c r="N222" s="38"/>
      <c r="O222" s="38"/>
      <c r="P222" s="38"/>
      <c r="Q222" s="85"/>
      <c r="R222" s="38"/>
      <c r="S222" s="38"/>
      <c r="T222" s="38"/>
      <c r="U222" s="39">
        <v>0</v>
      </c>
      <c r="V222" s="85">
        <v>0</v>
      </c>
      <c r="W222" s="38">
        <v>0</v>
      </c>
      <c r="X222" s="38">
        <v>0</v>
      </c>
      <c r="Y222" s="38">
        <f>AA222-Z222-X222-W222</f>
        <v>0</v>
      </c>
      <c r="Z222" s="39">
        <v>5</v>
      </c>
      <c r="AA222" s="54">
        <v>5</v>
      </c>
      <c r="AB222" s="87"/>
      <c r="AC222" s="38"/>
      <c r="AD222" s="38"/>
      <c r="AE222" s="38"/>
      <c r="AF222" s="85"/>
      <c r="AG222" s="41"/>
      <c r="AH222" s="41"/>
      <c r="AI222" s="41"/>
      <c r="AJ222" s="41"/>
      <c r="AK222" s="85"/>
      <c r="AL222" s="41"/>
      <c r="AM222" s="41"/>
      <c r="AN222" s="41"/>
      <c r="AO222" s="41"/>
      <c r="AP222" s="85"/>
      <c r="AQ222" s="41"/>
      <c r="AR222" s="41"/>
      <c r="AS222" s="41"/>
      <c r="AT222" s="41"/>
      <c r="AU222" s="86"/>
      <c r="AV222" s="45"/>
      <c r="AW222" s="41"/>
      <c r="AX222" s="41"/>
      <c r="AY222" s="41"/>
      <c r="AZ222" s="41"/>
      <c r="BA222" s="85"/>
      <c r="BB222" s="38"/>
      <c r="BC222" s="38"/>
      <c r="BD222" s="38"/>
      <c r="BE222" s="38"/>
      <c r="BF222" s="85"/>
      <c r="BG222" s="38"/>
      <c r="BH222" s="38"/>
      <c r="BI222" s="38"/>
      <c r="BJ222" s="38"/>
      <c r="BK222" s="85"/>
      <c r="BL222" s="38"/>
      <c r="BM222" s="38"/>
      <c r="BN222" s="38"/>
      <c r="BO222" s="38"/>
      <c r="BP222" s="85"/>
      <c r="BQ222" s="38"/>
      <c r="BR222" s="38"/>
      <c r="BS222" s="38"/>
      <c r="BT222" s="38"/>
      <c r="BU222" s="85"/>
      <c r="BV222" s="38"/>
      <c r="BW222" s="38"/>
      <c r="BX222" s="38"/>
      <c r="BY222" s="38"/>
      <c r="BZ222" s="85"/>
      <c r="CA222" s="38"/>
      <c r="CB222" s="38"/>
      <c r="CC222" s="38"/>
      <c r="CD222" s="38"/>
      <c r="CE222" s="85"/>
      <c r="CF222" s="38"/>
      <c r="CG222" s="38"/>
      <c r="CH222" s="38"/>
      <c r="CI222" s="38"/>
      <c r="CJ222" s="85"/>
      <c r="CK222" s="38"/>
      <c r="CL222" s="38"/>
      <c r="CM222" s="38"/>
      <c r="CN222" s="38"/>
      <c r="CO222" s="85"/>
      <c r="CP222" s="38"/>
      <c r="CQ222" s="38"/>
      <c r="CR222" s="38"/>
      <c r="CS222" s="38"/>
      <c r="CT222" s="85"/>
      <c r="CU222" s="38"/>
      <c r="CV222" s="38"/>
      <c r="CW222" s="38"/>
      <c r="CX222" s="38"/>
      <c r="CY222" s="85"/>
      <c r="CZ222" s="38"/>
      <c r="DA222" s="38"/>
      <c r="DB222" s="38"/>
      <c r="DC222" s="38"/>
      <c r="DD222" s="85"/>
      <c r="DE222" s="38"/>
      <c r="DF222" s="38"/>
      <c r="DG222" s="38"/>
      <c r="DH222" s="38"/>
      <c r="DI222" s="85"/>
      <c r="DJ222" s="38"/>
      <c r="DK222" s="38"/>
      <c r="DL222" s="38"/>
      <c r="DM222" s="38"/>
      <c r="DN222" s="85"/>
      <c r="DO222" s="38"/>
      <c r="DP222" s="38"/>
      <c r="DQ222" s="38"/>
      <c r="DR222" s="38"/>
      <c r="DS222" s="85"/>
      <c r="DT222" s="38"/>
      <c r="DU222" s="38"/>
      <c r="DV222" s="38"/>
      <c r="DW222" s="38"/>
      <c r="DX222" s="85"/>
      <c r="DY222" s="38"/>
      <c r="DZ222" s="38"/>
      <c r="EA222" s="38"/>
      <c r="EB222" s="38"/>
      <c r="EC222" s="85"/>
      <c r="ED222" s="38"/>
      <c r="EE222" s="16"/>
      <c r="EF222" s="16"/>
      <c r="EG222" s="16"/>
      <c r="EH222" s="16"/>
      <c r="EI222" s="16"/>
      <c r="EJ222" s="16"/>
      <c r="EK222" s="16"/>
      <c r="EL222" s="16"/>
      <c r="EM222" s="16"/>
      <c r="EN222" s="16"/>
      <c r="EO222" s="16"/>
      <c r="EP222" s="16"/>
      <c r="EQ222" s="16"/>
      <c r="ER222" s="16"/>
      <c r="ES222" s="16"/>
      <c r="ET222" s="16"/>
      <c r="EU222" s="16"/>
      <c r="EX222" s="16"/>
      <c r="EY222" s="228"/>
      <c r="EZ222" s="945"/>
      <c r="FA222" s="477"/>
      <c r="FB222" s="228"/>
      <c r="FC222" s="477"/>
      <c r="FD222" s="16"/>
    </row>
    <row r="223" spans="1:166" hidden="1" outlineLevel="1" x14ac:dyDescent="0.2">
      <c r="A223" s="283" t="s">
        <v>431</v>
      </c>
      <c r="B223" s="85"/>
      <c r="C223" s="95"/>
      <c r="D223" s="41"/>
      <c r="E223" s="41"/>
      <c r="F223" s="39"/>
      <c r="G223" s="85"/>
      <c r="H223" s="87"/>
      <c r="I223" s="38"/>
      <c r="J223" s="38"/>
      <c r="K223" s="38"/>
      <c r="L223" s="85"/>
      <c r="M223" s="38"/>
      <c r="N223" s="38"/>
      <c r="O223" s="38"/>
      <c r="P223" s="38"/>
      <c r="Q223" s="85"/>
      <c r="R223" s="38"/>
      <c r="S223" s="38"/>
      <c r="T223" s="38"/>
      <c r="U223" s="39">
        <v>0</v>
      </c>
      <c r="V223" s="85">
        <v>0</v>
      </c>
      <c r="W223" s="38">
        <v>0</v>
      </c>
      <c r="X223" s="38">
        <v>0</v>
      </c>
      <c r="Y223" s="38">
        <v>0</v>
      </c>
      <c r="Z223" s="39">
        <v>7</v>
      </c>
      <c r="AA223" s="54">
        <v>10</v>
      </c>
      <c r="AB223" s="87"/>
      <c r="AC223" s="38"/>
      <c r="AD223" s="38"/>
      <c r="AE223" s="38"/>
      <c r="AF223" s="85"/>
      <c r="AG223" s="41"/>
      <c r="AH223" s="41"/>
      <c r="AI223" s="41"/>
      <c r="AJ223" s="41"/>
      <c r="AK223" s="85"/>
      <c r="AL223" s="41"/>
      <c r="AM223" s="41"/>
      <c r="AN223" s="41"/>
      <c r="AO223" s="41"/>
      <c r="AP223" s="85"/>
      <c r="AQ223" s="41"/>
      <c r="AR223" s="41"/>
      <c r="AS223" s="41"/>
      <c r="AT223" s="41"/>
      <c r="AU223" s="86"/>
      <c r="AV223" s="45"/>
      <c r="AW223" s="41"/>
      <c r="AX223" s="41"/>
      <c r="AY223" s="41"/>
      <c r="AZ223" s="41"/>
      <c r="BA223" s="85"/>
      <c r="BB223" s="38"/>
      <c r="BC223" s="38"/>
      <c r="BD223" s="38"/>
      <c r="BE223" s="38"/>
      <c r="BF223" s="85"/>
      <c r="BG223" s="38"/>
      <c r="BH223" s="38"/>
      <c r="BI223" s="38"/>
      <c r="BJ223" s="38"/>
      <c r="BK223" s="85"/>
      <c r="BL223" s="38"/>
      <c r="BM223" s="38"/>
      <c r="BN223" s="38"/>
      <c r="BO223" s="38"/>
      <c r="BP223" s="85"/>
      <c r="BQ223" s="38"/>
      <c r="BR223" s="38"/>
      <c r="BS223" s="38"/>
      <c r="BT223" s="38"/>
      <c r="BU223" s="85"/>
      <c r="BV223" s="38"/>
      <c r="BW223" s="38"/>
      <c r="BX223" s="38"/>
      <c r="BY223" s="38"/>
      <c r="BZ223" s="85"/>
      <c r="CA223" s="38"/>
      <c r="CB223" s="38"/>
      <c r="CC223" s="38"/>
      <c r="CD223" s="38"/>
      <c r="CE223" s="85"/>
      <c r="CF223" s="38"/>
      <c r="CG223" s="38"/>
      <c r="CH223" s="38"/>
      <c r="CI223" s="38"/>
      <c r="CJ223" s="85"/>
      <c r="CK223" s="38"/>
      <c r="CL223" s="38"/>
      <c r="CM223" s="38"/>
      <c r="CN223" s="38"/>
      <c r="CO223" s="85"/>
      <c r="CP223" s="38"/>
      <c r="CQ223" s="38"/>
      <c r="CR223" s="38"/>
      <c r="CS223" s="38"/>
      <c r="CT223" s="85"/>
      <c r="CU223" s="38"/>
      <c r="CV223" s="38"/>
      <c r="CW223" s="38"/>
      <c r="CX223" s="38"/>
      <c r="CY223" s="85"/>
      <c r="CZ223" s="38"/>
      <c r="DA223" s="38"/>
      <c r="DB223" s="38"/>
      <c r="DC223" s="38"/>
      <c r="DD223" s="85"/>
      <c r="DE223" s="38"/>
      <c r="DF223" s="38"/>
      <c r="DG223" s="38"/>
      <c r="DH223" s="38"/>
      <c r="DI223" s="85"/>
      <c r="DJ223" s="38"/>
      <c r="DK223" s="38"/>
      <c r="DL223" s="38"/>
      <c r="DM223" s="38"/>
      <c r="DN223" s="85"/>
      <c r="DO223" s="38"/>
      <c r="DP223" s="38"/>
      <c r="DQ223" s="38"/>
      <c r="DR223" s="38"/>
      <c r="DS223" s="85"/>
      <c r="DT223" s="38"/>
      <c r="DU223" s="38"/>
      <c r="DV223" s="38"/>
      <c r="DW223" s="38"/>
      <c r="DX223" s="85"/>
      <c r="DY223" s="38"/>
      <c r="DZ223" s="38"/>
      <c r="EA223" s="38"/>
      <c r="EB223" s="38"/>
      <c r="EC223" s="85"/>
      <c r="ED223" s="38"/>
      <c r="EE223" s="16"/>
      <c r="EF223" s="16"/>
      <c r="EG223" s="16"/>
      <c r="EH223" s="16"/>
      <c r="EI223" s="16"/>
      <c r="EJ223" s="16"/>
      <c r="EK223" s="16"/>
      <c r="EL223" s="16"/>
      <c r="EM223" s="16"/>
      <c r="EN223" s="16"/>
      <c r="EO223" s="16"/>
      <c r="EP223" s="16"/>
      <c r="EQ223" s="16"/>
      <c r="ER223" s="16"/>
      <c r="ES223" s="16"/>
      <c r="ET223" s="16"/>
      <c r="EU223" s="16"/>
      <c r="EX223" s="16"/>
      <c r="EY223" s="228"/>
      <c r="EZ223" s="945"/>
      <c r="FA223" s="477"/>
      <c r="FB223" s="228"/>
      <c r="FC223" s="477"/>
      <c r="FD223" s="16"/>
    </row>
    <row r="224" spans="1:166" collapsed="1" x14ac:dyDescent="0.2">
      <c r="A224" s="771" t="s">
        <v>382</v>
      </c>
      <c r="B224" s="183"/>
      <c r="C224" s="771"/>
      <c r="D224" s="184"/>
      <c r="E224" s="184"/>
      <c r="F224" s="772"/>
      <c r="G224" s="183"/>
      <c r="H224" s="771"/>
      <c r="I224" s="184"/>
      <c r="J224" s="184"/>
      <c r="K224" s="184"/>
      <c r="L224" s="183"/>
      <c r="M224" s="184"/>
      <c r="N224" s="184"/>
      <c r="O224" s="184"/>
      <c r="P224" s="184"/>
      <c r="Q224" s="183"/>
      <c r="R224" s="184"/>
      <c r="S224" s="184"/>
      <c r="T224" s="184"/>
      <c r="U224" s="184">
        <f t="shared" ref="U224:AU224" si="1244">SUM(U201:U223)</f>
        <v>24</v>
      </c>
      <c r="V224" s="183">
        <f t="shared" si="1244"/>
        <v>77</v>
      </c>
      <c r="W224" s="184">
        <f t="shared" si="1244"/>
        <v>17</v>
      </c>
      <c r="X224" s="184">
        <f t="shared" si="1244"/>
        <v>5</v>
      </c>
      <c r="Y224" s="184">
        <f t="shared" si="1244"/>
        <v>40</v>
      </c>
      <c r="Z224" s="184">
        <f t="shared" si="1244"/>
        <v>50</v>
      </c>
      <c r="AA224" s="183">
        <f t="shared" si="1244"/>
        <v>112</v>
      </c>
      <c r="AB224" s="184">
        <f t="shared" si="1244"/>
        <v>0</v>
      </c>
      <c r="AC224" s="184">
        <f t="shared" si="1244"/>
        <v>0</v>
      </c>
      <c r="AD224" s="184">
        <f t="shared" si="1244"/>
        <v>0</v>
      </c>
      <c r="AE224" s="184">
        <f t="shared" si="1244"/>
        <v>0</v>
      </c>
      <c r="AF224" s="183">
        <f t="shared" si="1244"/>
        <v>0</v>
      </c>
      <c r="AG224" s="184">
        <f t="shared" si="1244"/>
        <v>0</v>
      </c>
      <c r="AH224" s="184">
        <f t="shared" si="1244"/>
        <v>0</v>
      </c>
      <c r="AI224" s="184">
        <f t="shared" si="1244"/>
        <v>0</v>
      </c>
      <c r="AJ224" s="184">
        <f t="shared" si="1244"/>
        <v>0</v>
      </c>
      <c r="AK224" s="183">
        <f t="shared" si="1244"/>
        <v>0</v>
      </c>
      <c r="AL224" s="184">
        <f t="shared" si="1244"/>
        <v>0</v>
      </c>
      <c r="AM224" s="184">
        <f t="shared" si="1244"/>
        <v>0</v>
      </c>
      <c r="AN224" s="184">
        <f t="shared" si="1244"/>
        <v>0</v>
      </c>
      <c r="AO224" s="184">
        <f t="shared" si="1244"/>
        <v>0</v>
      </c>
      <c r="AP224" s="183">
        <f t="shared" si="1244"/>
        <v>0</v>
      </c>
      <c r="AQ224" s="184">
        <f t="shared" si="1244"/>
        <v>0</v>
      </c>
      <c r="AR224" s="184">
        <f t="shared" si="1244"/>
        <v>0</v>
      </c>
      <c r="AS224" s="184">
        <f t="shared" si="1244"/>
        <v>-2.5</v>
      </c>
      <c r="AT224" s="184">
        <f t="shared" si="1244"/>
        <v>0.90000000000000013</v>
      </c>
      <c r="AU224" s="771">
        <f t="shared" si="1244"/>
        <v>0</v>
      </c>
      <c r="AV224" s="45"/>
      <c r="AW224" s="184">
        <f t="shared" ref="AW224:BE224" si="1245">SUM(AW201:AW223)</f>
        <v>-2.5</v>
      </c>
      <c r="AX224" s="184">
        <f t="shared" si="1245"/>
        <v>0.90000000000000013</v>
      </c>
      <c r="AY224" s="184">
        <f t="shared" si="1245"/>
        <v>-3.3000000000000003</v>
      </c>
      <c r="AZ224" s="184">
        <f t="shared" si="1245"/>
        <v>161.80000000000001</v>
      </c>
      <c r="BA224" s="183">
        <f t="shared" si="1245"/>
        <v>156.9</v>
      </c>
      <c r="BB224" s="184">
        <f t="shared" si="1245"/>
        <v>48.899999999999991</v>
      </c>
      <c r="BC224" s="184">
        <f t="shared" si="1245"/>
        <v>25.5</v>
      </c>
      <c r="BD224" s="184">
        <f t="shared" si="1245"/>
        <v>23.5</v>
      </c>
      <c r="BE224" s="184">
        <f t="shared" si="1245"/>
        <v>38</v>
      </c>
      <c r="BF224" s="183">
        <f t="shared" si="1170"/>
        <v>135.89999999999998</v>
      </c>
      <c r="BG224" s="184">
        <f>SUM(BG201:BG223)</f>
        <v>37</v>
      </c>
      <c r="BH224" s="184">
        <f>SUM(BH201:BH223)</f>
        <v>27.3</v>
      </c>
      <c r="BI224" s="184">
        <f>SUM(BI201:BI223)</f>
        <v>72.599999999999994</v>
      </c>
      <c r="BJ224" s="46">
        <f>SUM(BJ201:BJ223)</f>
        <v>47.7</v>
      </c>
      <c r="BK224" s="48">
        <f>SUM(BK201:BK215)</f>
        <v>184.6</v>
      </c>
      <c r="BL224" s="46">
        <f>SUM(BL201:BL223)</f>
        <v>28.5</v>
      </c>
      <c r="BM224" s="46">
        <f>SUM(BM201:BM223)</f>
        <v>19.399999999999999</v>
      </c>
      <c r="BN224" s="46">
        <f>SUM(BN201:BN223)</f>
        <v>19.599999999999998</v>
      </c>
      <c r="BO224" s="46">
        <f>SUM(BO201:BO223)</f>
        <v>30.9</v>
      </c>
      <c r="BP224" s="48">
        <f t="shared" si="1171"/>
        <v>98.4</v>
      </c>
      <c r="BQ224" s="46">
        <f>SUM(BQ201:BQ223)</f>
        <v>15.9</v>
      </c>
      <c r="BR224" s="46">
        <f>SUM(BR201:BR223)</f>
        <v>17.5</v>
      </c>
      <c r="BS224" s="46">
        <f>SUM(BS201:BS223)</f>
        <v>219.7</v>
      </c>
      <c r="BT224" s="46">
        <f>SUM(BT201:BT223)</f>
        <v>453.7</v>
      </c>
      <c r="BU224" s="48">
        <f>SUM(BQ224:BT224)</f>
        <v>706.8</v>
      </c>
      <c r="BV224" s="46">
        <f>SUM(BV201:BV223)</f>
        <v>35.1</v>
      </c>
      <c r="BW224" s="46">
        <f>SUM(BW201:BW223)</f>
        <v>34.5</v>
      </c>
      <c r="BX224" s="46">
        <f>SUM(BX201:BX223)</f>
        <v>18.5</v>
      </c>
      <c r="BY224" s="46">
        <f>SUM(BY201:BY223)</f>
        <v>66.5</v>
      </c>
      <c r="BZ224" s="48">
        <f>SUM(BV224:BY224)</f>
        <v>154.6</v>
      </c>
      <c r="CA224" s="184">
        <f>SUM(CA201:CA223)</f>
        <v>86.4</v>
      </c>
      <c r="CB224" s="184">
        <f>SUM(CB201:CB223)</f>
        <v>131.6</v>
      </c>
      <c r="CC224" s="184">
        <f>SUM(CC201:CC223)</f>
        <v>58.2</v>
      </c>
      <c r="CD224" s="184">
        <f>SUM(CD201:CD223)</f>
        <v>82.7</v>
      </c>
      <c r="CE224" s="183">
        <f>SUM(CA224:CD224)</f>
        <v>358.9</v>
      </c>
      <c r="CF224" s="184">
        <f t="shared" ref="CF224:CN224" si="1246">SUM(CF201:CF223)</f>
        <v>46.900000000000006</v>
      </c>
      <c r="CG224" s="184">
        <f t="shared" si="1246"/>
        <v>19.8</v>
      </c>
      <c r="CH224" s="184">
        <f t="shared" si="1246"/>
        <v>33.300000000000004</v>
      </c>
      <c r="CI224" s="184">
        <f t="shared" si="1246"/>
        <v>-13.499999999999993</v>
      </c>
      <c r="CJ224" s="183">
        <f t="shared" si="1246"/>
        <v>86.5</v>
      </c>
      <c r="CK224" s="184">
        <f t="shared" si="1246"/>
        <v>84.199999999999989</v>
      </c>
      <c r="CL224" s="184">
        <f t="shared" si="1246"/>
        <v>78.3</v>
      </c>
      <c r="CM224" s="184">
        <f t="shared" si="1246"/>
        <v>104.7</v>
      </c>
      <c r="CN224" s="184">
        <f t="shared" si="1246"/>
        <v>103.9</v>
      </c>
      <c r="CO224" s="183">
        <f>SUM(CK224:CN224)</f>
        <v>371.1</v>
      </c>
      <c r="CP224" s="184">
        <f>SUM(CP201:CP223)</f>
        <v>33</v>
      </c>
      <c r="CQ224" s="184">
        <f>SUM(CQ201:CQ223)</f>
        <v>45.255000000000003</v>
      </c>
      <c r="CR224" s="184">
        <f>SUM(CR201:CR223)</f>
        <v>38.484999999999999</v>
      </c>
      <c r="CS224" s="184">
        <f>SUM(CS201:CS223)</f>
        <v>40.375</v>
      </c>
      <c r="CT224" s="183">
        <f>SUM(CP224:CS224)</f>
        <v>157.11500000000001</v>
      </c>
      <c r="CU224" s="184">
        <f>SUM(CU201:CU223)</f>
        <v>29.708749999999998</v>
      </c>
      <c r="CV224" s="184">
        <f>SUM(CV201:CV223)</f>
        <v>45.070250000000001</v>
      </c>
      <c r="CW224" s="184">
        <f>SUM(CW201:CW223)</f>
        <v>37.961749999999995</v>
      </c>
      <c r="CX224" s="184">
        <f>SUM(CX201:CX223)</f>
        <v>39.946249999999999</v>
      </c>
      <c r="CY224" s="183">
        <f>SUM(CU224:CX224)</f>
        <v>152.68699999999998</v>
      </c>
      <c r="CZ224" s="184">
        <f>SUM(CZ201:CZ223)</f>
        <v>29.514499999999998</v>
      </c>
      <c r="DA224" s="184">
        <f>SUM(DA201:DA223)</f>
        <v>45.644075000000001</v>
      </c>
      <c r="DB224" s="184">
        <f>SUM(DB201:DB223)</f>
        <v>38.180149999999998</v>
      </c>
      <c r="DC224" s="184">
        <f>SUM(DC201:DC223)</f>
        <v>40.263874999999999</v>
      </c>
      <c r="DD224" s="183">
        <f>SUM(CZ224:DC224)</f>
        <v>153.6026</v>
      </c>
      <c r="DE224" s="184">
        <f>SUM(DE201:DE223)</f>
        <v>10.716787499999999</v>
      </c>
      <c r="DF224" s="184">
        <f>SUM(DF201:DF223)</f>
        <v>27.652841250000002</v>
      </c>
      <c r="DG224" s="184">
        <f>SUM(DG201:DG223)</f>
        <v>19.815719999999999</v>
      </c>
      <c r="DH224" s="184">
        <f>SUM(DH201:DH223)</f>
        <v>22.003631250000002</v>
      </c>
      <c r="DI224" s="183">
        <f>SUM(DE224:DH224)</f>
        <v>80.188980000000001</v>
      </c>
      <c r="DJ224" s="184">
        <f>SUM(DJ201:DJ223)</f>
        <v>10.502626874999997</v>
      </c>
      <c r="DK224" s="184">
        <f>SUM(DK201:DK223)</f>
        <v>28.285483312500006</v>
      </c>
      <c r="DL224" s="184">
        <f>SUM(DL201:DL223)</f>
        <v>20.056505999999999</v>
      </c>
      <c r="DM224" s="184">
        <f>SUM(DM201:DM223)</f>
        <v>22.353812812500003</v>
      </c>
      <c r="DN224" s="183">
        <f>SUM(DJ224:DM224)</f>
        <v>81.198429000000004</v>
      </c>
      <c r="DO224" s="184">
        <f>SUM(DO201:DO223)</f>
        <v>10.277758218749998</v>
      </c>
      <c r="DP224" s="184">
        <f>SUM(DP201:DP223)</f>
        <v>28.949757478125004</v>
      </c>
      <c r="DQ224" s="184">
        <f>SUM(DQ201:DQ223)</f>
        <v>20.309331300000004</v>
      </c>
      <c r="DR224" s="184">
        <f>SUM(DR201:DR223)</f>
        <v>22.721503453125003</v>
      </c>
      <c r="DS224" s="183">
        <f>SUM(DO224:DR224)</f>
        <v>82.258350450000009</v>
      </c>
      <c r="DT224" s="184">
        <f>SUM(DT201:DT223)</f>
        <v>10.041646129687498</v>
      </c>
      <c r="DU224" s="184">
        <f>SUM(DU201:DU223)</f>
        <v>29.647245352031256</v>
      </c>
      <c r="DV224" s="184">
        <f>SUM(DV201:DV223)</f>
        <v>20.574797865000001</v>
      </c>
      <c r="DW224" s="184">
        <f>SUM(DW201:DW223)</f>
        <v>23.107578625781251</v>
      </c>
      <c r="DX224" s="183">
        <f>SUM(DT224:DW224)</f>
        <v>83.371267972500007</v>
      </c>
      <c r="DY224" s="184">
        <f>SUM(DY201:DY223)</f>
        <v>9.7937284361718735</v>
      </c>
      <c r="DZ224" s="184">
        <f>SUM(DZ201:DZ223)</f>
        <v>30.379607619632822</v>
      </c>
      <c r="EA224" s="184">
        <f>SUM(EA201:EA223)</f>
        <v>20.853537758250003</v>
      </c>
      <c r="EB224" s="184">
        <f>SUM(EB201:EB223)</f>
        <v>23.512957557070315</v>
      </c>
      <c r="EC224" s="183">
        <f>SUM(DY224:EB224)</f>
        <v>84.539831371125018</v>
      </c>
      <c r="ED224" s="184"/>
      <c r="EE224" s="25"/>
      <c r="EF224" s="25"/>
      <c r="EG224" s="25"/>
      <c r="EH224" s="25"/>
      <c r="EI224" s="25"/>
      <c r="EJ224" s="25"/>
      <c r="EK224" s="25"/>
      <c r="EL224" s="25"/>
      <c r="EM224" s="25"/>
      <c r="EN224" s="25"/>
      <c r="EO224" s="25"/>
      <c r="EP224" s="25"/>
      <c r="EQ224" s="25"/>
      <c r="ER224" s="25"/>
      <c r="ES224" s="25"/>
      <c r="ET224" s="25"/>
      <c r="EU224" s="25"/>
      <c r="EX224" s="25"/>
      <c r="EY224" s="294"/>
      <c r="EZ224" s="989"/>
      <c r="FA224" s="985"/>
      <c r="FB224" s="294"/>
      <c r="FC224" s="985"/>
      <c r="FD224" s="25"/>
    </row>
    <row r="225" spans="1:166" x14ac:dyDescent="0.2">
      <c r="A225" s="83"/>
      <c r="B225" s="114"/>
      <c r="C225" s="111"/>
      <c r="D225" s="112"/>
      <c r="E225" s="112"/>
      <c r="F225" s="115"/>
      <c r="G225" s="114"/>
      <c r="H225" s="111"/>
      <c r="I225" s="112"/>
      <c r="J225" s="112"/>
      <c r="K225" s="112"/>
      <c r="L225" s="114"/>
      <c r="M225" s="112"/>
      <c r="N225" s="112"/>
      <c r="O225" s="112"/>
      <c r="P225" s="112"/>
      <c r="Q225" s="114"/>
      <c r="R225" s="112"/>
      <c r="S225" s="53"/>
      <c r="T225" s="53"/>
      <c r="U225" s="53"/>
      <c r="V225" s="114"/>
      <c r="W225" s="53"/>
      <c r="X225" s="53"/>
      <c r="Y225" s="53"/>
      <c r="Z225" s="53"/>
      <c r="AA225" s="114"/>
      <c r="AB225" s="53"/>
      <c r="AC225" s="53"/>
      <c r="AD225" s="53"/>
      <c r="AE225" s="53"/>
      <c r="AF225" s="114"/>
      <c r="AG225" s="53"/>
      <c r="AH225" s="53"/>
      <c r="AI225" s="53"/>
      <c r="AJ225" s="53"/>
      <c r="AK225" s="85"/>
      <c r="AL225" s="53"/>
      <c r="AM225" s="53"/>
      <c r="AN225" s="53"/>
      <c r="AO225" s="53"/>
      <c r="AP225" s="85"/>
      <c r="AQ225" s="53"/>
      <c r="AR225" s="53"/>
      <c r="AS225" s="53"/>
      <c r="AT225" s="53"/>
      <c r="AU225" s="86"/>
      <c r="AV225" s="45"/>
      <c r="AW225" s="53"/>
      <c r="AX225" s="53"/>
      <c r="AY225" s="53"/>
      <c r="AZ225" s="53"/>
      <c r="BA225" s="85"/>
      <c r="BB225" s="53"/>
      <c r="BC225" s="53"/>
      <c r="BD225" s="53"/>
      <c r="BE225" s="53"/>
      <c r="BF225" s="85"/>
      <c r="BG225" s="53"/>
      <c r="BH225" s="53"/>
      <c r="BI225" s="53"/>
      <c r="BJ225" s="53"/>
      <c r="BK225" s="85"/>
      <c r="BL225" s="53"/>
      <c r="BM225" s="53"/>
      <c r="BN225" s="53"/>
      <c r="BO225" s="53"/>
      <c r="BP225" s="85"/>
      <c r="BQ225" s="53"/>
      <c r="BR225" s="53"/>
      <c r="BS225" s="53"/>
      <c r="BT225" s="53"/>
      <c r="BU225" s="85"/>
      <c r="BV225" s="53"/>
      <c r="BW225" s="53"/>
      <c r="BX225" s="53"/>
      <c r="BY225" s="53"/>
      <c r="BZ225" s="85"/>
      <c r="CA225" s="53"/>
      <c r="CB225" s="53"/>
      <c r="CC225" s="53"/>
      <c r="CD225" s="53"/>
      <c r="CE225" s="85"/>
      <c r="CF225" s="53"/>
      <c r="CG225" s="53"/>
      <c r="CH225" s="53"/>
      <c r="CI225" s="53"/>
      <c r="CJ225" s="85"/>
      <c r="CK225" s="53"/>
      <c r="CL225" s="53"/>
      <c r="CM225" s="53"/>
      <c r="CN225" s="53"/>
      <c r="CO225" s="85"/>
      <c r="CP225" s="53"/>
      <c r="CQ225" s="53"/>
      <c r="CR225" s="53"/>
      <c r="CS225" s="53"/>
      <c r="CT225" s="85"/>
      <c r="CU225" s="53"/>
      <c r="CV225" s="53"/>
      <c r="CW225" s="53"/>
      <c r="CX225" s="53"/>
      <c r="CY225" s="85"/>
      <c r="CZ225" s="53"/>
      <c r="DA225" s="53"/>
      <c r="DB225" s="53"/>
      <c r="DC225" s="53"/>
      <c r="DD225" s="85"/>
      <c r="DE225" s="53"/>
      <c r="DF225" s="53"/>
      <c r="DG225" s="53"/>
      <c r="DH225" s="53"/>
      <c r="DI225" s="85"/>
      <c r="DJ225" s="53"/>
      <c r="DK225" s="53"/>
      <c r="DL225" s="53"/>
      <c r="DM225" s="53"/>
      <c r="DN225" s="85"/>
      <c r="DO225" s="53"/>
      <c r="DP225" s="53"/>
      <c r="DQ225" s="53"/>
      <c r="DR225" s="53"/>
      <c r="DS225" s="85"/>
      <c r="DT225" s="53"/>
      <c r="DU225" s="53"/>
      <c r="DV225" s="53"/>
      <c r="DW225" s="53"/>
      <c r="DX225" s="85"/>
      <c r="DY225" s="53"/>
      <c r="DZ225" s="53"/>
      <c r="EA225" s="53"/>
      <c r="EB225" s="53"/>
      <c r="EC225" s="85"/>
      <c r="ED225" s="21"/>
      <c r="EE225" s="16"/>
      <c r="EF225" s="16"/>
      <c r="EG225" s="16"/>
      <c r="EH225" s="16"/>
      <c r="EI225" s="16"/>
      <c r="EJ225" s="16"/>
      <c r="EK225" s="16"/>
      <c r="EL225" s="16"/>
      <c r="EM225" s="16"/>
      <c r="EN225" s="16"/>
      <c r="EO225" s="16"/>
      <c r="EP225" s="16"/>
      <c r="EQ225" s="16"/>
      <c r="ER225" s="16"/>
      <c r="ES225" s="16"/>
      <c r="ET225" s="16"/>
      <c r="EU225" s="16"/>
      <c r="EX225" s="16"/>
      <c r="EY225" s="228"/>
      <c r="EZ225" s="945"/>
      <c r="FA225" s="477"/>
      <c r="FB225" s="228"/>
      <c r="FC225" s="477"/>
      <c r="FD225" s="16"/>
    </row>
    <row r="226" spans="1:166" x14ac:dyDescent="0.2">
      <c r="A226" s="83" t="s">
        <v>751</v>
      </c>
      <c r="B226" s="114"/>
      <c r="C226" s="111"/>
      <c r="D226" s="112"/>
      <c r="E226" s="112"/>
      <c r="F226" s="115"/>
      <c r="G226" s="114"/>
      <c r="H226" s="111"/>
      <c r="I226" s="112"/>
      <c r="J226" s="112"/>
      <c r="K226" s="112"/>
      <c r="L226" s="114"/>
      <c r="M226" s="112"/>
      <c r="N226" s="112"/>
      <c r="O226" s="112"/>
      <c r="P226" s="112"/>
      <c r="Q226" s="114"/>
      <c r="R226" s="112"/>
      <c r="S226" s="51"/>
      <c r="T226" s="51"/>
      <c r="U226" s="51">
        <f t="shared" ref="U226:AU226" si="1247">U224+U198</f>
        <v>28</v>
      </c>
      <c r="V226" s="50">
        <f t="shared" si="1247"/>
        <v>155</v>
      </c>
      <c r="W226" s="51">
        <f t="shared" si="1247"/>
        <v>59</v>
      </c>
      <c r="X226" s="51">
        <f t="shared" si="1247"/>
        <v>58</v>
      </c>
      <c r="Y226" s="51">
        <f t="shared" si="1247"/>
        <v>34</v>
      </c>
      <c r="Z226" s="51">
        <f t="shared" si="1247"/>
        <v>41</v>
      </c>
      <c r="AA226" s="50">
        <f t="shared" si="1247"/>
        <v>192</v>
      </c>
      <c r="AB226" s="51">
        <f t="shared" si="1247"/>
        <v>64</v>
      </c>
      <c r="AC226" s="51">
        <f t="shared" si="1247"/>
        <v>58</v>
      </c>
      <c r="AD226" s="51">
        <f t="shared" si="1247"/>
        <v>45</v>
      </c>
      <c r="AE226" s="51">
        <f t="shared" si="1247"/>
        <v>56</v>
      </c>
      <c r="AF226" s="50">
        <f t="shared" si="1247"/>
        <v>223</v>
      </c>
      <c r="AG226" s="51">
        <f t="shared" si="1247"/>
        <v>0</v>
      </c>
      <c r="AH226" s="51">
        <f t="shared" si="1247"/>
        <v>79</v>
      </c>
      <c r="AI226" s="51">
        <f t="shared" si="1247"/>
        <v>0</v>
      </c>
      <c r="AJ226" s="51">
        <f t="shared" si="1247"/>
        <v>71</v>
      </c>
      <c r="AK226" s="50">
        <f t="shared" si="1247"/>
        <v>293</v>
      </c>
      <c r="AL226" s="51">
        <f t="shared" si="1247"/>
        <v>-14</v>
      </c>
      <c r="AM226" s="51">
        <f t="shared" si="1247"/>
        <v>-15</v>
      </c>
      <c r="AN226" s="51">
        <f t="shared" si="1247"/>
        <v>-13</v>
      </c>
      <c r="AO226" s="51">
        <f t="shared" si="1247"/>
        <v>-12.599999999999998</v>
      </c>
      <c r="AP226" s="50">
        <f t="shared" si="1247"/>
        <v>-54.59999999999998</v>
      </c>
      <c r="AQ226" s="51">
        <f t="shared" si="1247"/>
        <v>-12.5</v>
      </c>
      <c r="AR226" s="51">
        <f t="shared" si="1247"/>
        <v>-12.2</v>
      </c>
      <c r="AS226" s="51">
        <f t="shared" si="1247"/>
        <v>64.499999999999972</v>
      </c>
      <c r="AT226" s="51">
        <f t="shared" si="1247"/>
        <v>71.69999999999996</v>
      </c>
      <c r="AU226" s="81">
        <f t="shared" si="1247"/>
        <v>113.09999999999992</v>
      </c>
      <c r="AV226" s="45"/>
      <c r="AW226" s="51">
        <f t="shared" ref="AW226:CF226" si="1248">AW224+AW198</f>
        <v>64.499999999999972</v>
      </c>
      <c r="AX226" s="51">
        <f t="shared" si="1248"/>
        <v>71.69999999999996</v>
      </c>
      <c r="AY226" s="51">
        <f t="shared" si="1248"/>
        <v>75.19999999999996</v>
      </c>
      <c r="AZ226" s="51">
        <f t="shared" si="1248"/>
        <v>26.299999999999983</v>
      </c>
      <c r="BA226" s="50">
        <f t="shared" si="1248"/>
        <v>237.69999999999987</v>
      </c>
      <c r="BB226" s="51">
        <f t="shared" si="1248"/>
        <v>43.099999999999987</v>
      </c>
      <c r="BC226" s="51">
        <f t="shared" si="1248"/>
        <v>68.399999999999949</v>
      </c>
      <c r="BD226" s="51">
        <f t="shared" si="1248"/>
        <v>75.700000000000017</v>
      </c>
      <c r="BE226" s="51">
        <f t="shared" si="1248"/>
        <v>63.399999999999864</v>
      </c>
      <c r="BF226" s="50">
        <f t="shared" si="1248"/>
        <v>250.5999999999998</v>
      </c>
      <c r="BG226" s="51">
        <f t="shared" si="1248"/>
        <v>58.499999999999964</v>
      </c>
      <c r="BH226" s="51">
        <f t="shared" si="1248"/>
        <v>90.299999999999912</v>
      </c>
      <c r="BI226" s="51">
        <f t="shared" si="1248"/>
        <v>86.099999999999952</v>
      </c>
      <c r="BJ226" s="51">
        <f t="shared" si="1248"/>
        <v>109.40000000000003</v>
      </c>
      <c r="BK226" s="50">
        <f t="shared" si="1248"/>
        <v>344.29999999999995</v>
      </c>
      <c r="BL226" s="51">
        <f t="shared" si="1248"/>
        <v>81.799999999999983</v>
      </c>
      <c r="BM226" s="51">
        <f t="shared" si="1248"/>
        <v>102.60000000000002</v>
      </c>
      <c r="BN226" s="51">
        <f t="shared" si="1248"/>
        <v>114.9</v>
      </c>
      <c r="BO226" s="51">
        <f t="shared" si="1248"/>
        <v>121.29999999999995</v>
      </c>
      <c r="BP226" s="50">
        <f t="shared" si="1248"/>
        <v>420.59999999999991</v>
      </c>
      <c r="BQ226" s="51">
        <f t="shared" si="1248"/>
        <v>97.200000000000017</v>
      </c>
      <c r="BR226" s="51">
        <f t="shared" si="1248"/>
        <v>118.39999999999998</v>
      </c>
      <c r="BS226" s="51">
        <f t="shared" si="1248"/>
        <v>169.29999999999995</v>
      </c>
      <c r="BT226" s="51">
        <f t="shared" si="1248"/>
        <v>68.800000000000011</v>
      </c>
      <c r="BU226" s="50">
        <f t="shared" si="1248"/>
        <v>453.7</v>
      </c>
      <c r="BV226" s="51">
        <f t="shared" ref="BV226:BZ226" si="1249">BV224+BV198</f>
        <v>167.79999999999987</v>
      </c>
      <c r="BW226" s="51">
        <f t="shared" si="1249"/>
        <v>233.20000000000007</v>
      </c>
      <c r="BX226" s="51">
        <f t="shared" si="1249"/>
        <v>246.99999999999991</v>
      </c>
      <c r="BY226" s="51">
        <f t="shared" si="1249"/>
        <v>231.49999999999983</v>
      </c>
      <c r="BZ226" s="50">
        <f t="shared" si="1249"/>
        <v>879.49999999999977</v>
      </c>
      <c r="CA226" s="51">
        <f t="shared" si="1248"/>
        <v>187.69999999999993</v>
      </c>
      <c r="CB226" s="51">
        <f t="shared" si="1248"/>
        <v>270.59999999999985</v>
      </c>
      <c r="CC226" s="51">
        <f t="shared" si="1248"/>
        <v>285.80000000000013</v>
      </c>
      <c r="CD226" s="51">
        <f t="shared" si="1248"/>
        <v>288.7000000000001</v>
      </c>
      <c r="CE226" s="50">
        <f t="shared" si="1248"/>
        <v>1032.8000000000002</v>
      </c>
      <c r="CF226" s="51">
        <f t="shared" si="1248"/>
        <v>262.39999999999986</v>
      </c>
      <c r="CG226" s="51">
        <f>CG224+CG198</f>
        <v>326.59999999999991</v>
      </c>
      <c r="CH226" s="51">
        <f t="shared" ref="CH226:DM226" si="1250">CH224+CH198</f>
        <v>336.49999999999977</v>
      </c>
      <c r="CI226" s="51">
        <f t="shared" si="1250"/>
        <v>360.78</v>
      </c>
      <c r="CJ226" s="50">
        <f t="shared" si="1250"/>
        <v>1286.2799999999995</v>
      </c>
      <c r="CK226" s="51">
        <f t="shared" si="1250"/>
        <v>288.60000000000002</v>
      </c>
      <c r="CL226" s="51">
        <f t="shared" si="1250"/>
        <v>364.70000000000016</v>
      </c>
      <c r="CM226" s="51">
        <f t="shared" si="1250"/>
        <v>389.79999999999995</v>
      </c>
      <c r="CN226" s="51">
        <f t="shared" si="1250"/>
        <v>429.70000000000016</v>
      </c>
      <c r="CO226" s="50">
        <f t="shared" si="1250"/>
        <v>1472.8000000000002</v>
      </c>
      <c r="CP226" s="51">
        <f>CP224+CP198</f>
        <v>313.49999999999977</v>
      </c>
      <c r="CQ226" s="51">
        <f t="shared" si="1250"/>
        <v>363.07054195560647</v>
      </c>
      <c r="CR226" s="51">
        <f t="shared" si="1250"/>
        <v>411.55734905779582</v>
      </c>
      <c r="CS226" s="51">
        <f t="shared" si="1250"/>
        <v>439.20522118716133</v>
      </c>
      <c r="CT226" s="50">
        <f t="shared" si="1250"/>
        <v>1527.3331122005634</v>
      </c>
      <c r="CU226" s="51">
        <f t="shared" si="1250"/>
        <v>358.80965635344512</v>
      </c>
      <c r="CV226" s="51">
        <f t="shared" si="1250"/>
        <v>425.61522088674599</v>
      </c>
      <c r="CW226" s="51">
        <f t="shared" si="1250"/>
        <v>475.20404729786577</v>
      </c>
      <c r="CX226" s="51">
        <f t="shared" si="1250"/>
        <v>507.0704919881926</v>
      </c>
      <c r="CY226" s="50">
        <f t="shared" si="1250"/>
        <v>1766.6994165262495</v>
      </c>
      <c r="CZ226" s="51">
        <f t="shared" si="1250"/>
        <v>403.33547422794277</v>
      </c>
      <c r="DA226" s="51">
        <f t="shared" si="1250"/>
        <v>491.71456050408608</v>
      </c>
      <c r="DB226" s="51">
        <f t="shared" si="1250"/>
        <v>546.3918357238116</v>
      </c>
      <c r="DC226" s="51">
        <f t="shared" si="1250"/>
        <v>581.92181126884759</v>
      </c>
      <c r="DD226" s="50">
        <f t="shared" si="1250"/>
        <v>2023.3636817246881</v>
      </c>
      <c r="DE226" s="51">
        <f t="shared" si="1250"/>
        <v>459.4828593631737</v>
      </c>
      <c r="DF226" s="51">
        <f t="shared" si="1250"/>
        <v>533.21713221608138</v>
      </c>
      <c r="DG226" s="51">
        <f t="shared" si="1250"/>
        <v>595.83195415463865</v>
      </c>
      <c r="DH226" s="51">
        <f t="shared" si="1250"/>
        <v>599.33298846472474</v>
      </c>
      <c r="DI226" s="50">
        <f t="shared" si="1250"/>
        <v>2187.8649341986184</v>
      </c>
      <c r="DJ226" s="51">
        <f t="shared" si="1250"/>
        <v>527.8395589105113</v>
      </c>
      <c r="DK226" s="51">
        <f t="shared" si="1250"/>
        <v>605.30306893342765</v>
      </c>
      <c r="DL226" s="51">
        <f t="shared" si="1250"/>
        <v>677.34800252620994</v>
      </c>
      <c r="DM226" s="51">
        <f t="shared" si="1250"/>
        <v>720.17741465872052</v>
      </c>
      <c r="DN226" s="50">
        <f t="shared" ref="DN226:DX226" si="1251">DN224+DN198</f>
        <v>2530.6680450288695</v>
      </c>
      <c r="DO226" s="51">
        <f t="shared" si="1251"/>
        <v>597.39717820451153</v>
      </c>
      <c r="DP226" s="51">
        <f t="shared" si="1251"/>
        <v>684.91066802158764</v>
      </c>
      <c r="DQ226" s="51">
        <f t="shared" si="1251"/>
        <v>763.11238400163677</v>
      </c>
      <c r="DR226" s="51">
        <f t="shared" si="1251"/>
        <v>809.49777416317329</v>
      </c>
      <c r="DS226" s="50">
        <f t="shared" si="1251"/>
        <v>2854.9180043909091</v>
      </c>
      <c r="DT226" s="51">
        <f t="shared" si="1251"/>
        <v>623.34872133014653</v>
      </c>
      <c r="DU226" s="51">
        <f t="shared" si="1251"/>
        <v>705.49403303864085</v>
      </c>
      <c r="DV226" s="51">
        <f t="shared" si="1251"/>
        <v>801.24690581452955</v>
      </c>
      <c r="DW226" s="51">
        <f t="shared" si="1251"/>
        <v>856.4849806113624</v>
      </c>
      <c r="DX226" s="50">
        <f t="shared" si="1251"/>
        <v>2986.574640794679</v>
      </c>
      <c r="DY226" s="51">
        <f t="shared" ref="DY226:EC226" si="1252">DY224+DY198</f>
        <v>712.09847167829173</v>
      </c>
      <c r="DZ226" s="51">
        <f t="shared" si="1252"/>
        <v>809.04470080091312</v>
      </c>
      <c r="EA226" s="51">
        <f t="shared" si="1252"/>
        <v>895.4011112309953</v>
      </c>
      <c r="EB226" s="51">
        <f t="shared" si="1252"/>
        <v>955.17949326152245</v>
      </c>
      <c r="EC226" s="50">
        <f t="shared" si="1252"/>
        <v>3371.7237769717226</v>
      </c>
      <c r="ED226" s="22"/>
      <c r="EE226" s="16"/>
      <c r="EF226" s="16"/>
      <c r="EG226" s="16"/>
      <c r="EH226" s="16"/>
      <c r="EI226" s="16"/>
      <c r="EJ226" s="16"/>
      <c r="EK226" s="16"/>
      <c r="EL226" s="16"/>
      <c r="EM226" s="16"/>
      <c r="EN226" s="16"/>
      <c r="EO226" s="16"/>
      <c r="EP226" s="16"/>
      <c r="EQ226" s="16"/>
      <c r="ER226" s="16"/>
      <c r="ES226" s="16"/>
      <c r="ET226" s="16"/>
      <c r="EU226" s="16"/>
      <c r="EX226" s="16"/>
      <c r="EY226" s="228"/>
      <c r="EZ226" s="945"/>
      <c r="FA226" s="477"/>
      <c r="FB226" s="228"/>
      <c r="FC226" s="477"/>
      <c r="FD226" s="16"/>
    </row>
    <row r="227" spans="1:166" x14ac:dyDescent="0.2">
      <c r="A227" s="24" t="s">
        <v>380</v>
      </c>
      <c r="B227" s="374"/>
      <c r="C227" s="121"/>
      <c r="D227" s="282"/>
      <c r="E227" s="282"/>
      <c r="F227" s="381"/>
      <c r="G227" s="374"/>
      <c r="H227" s="121"/>
      <c r="I227" s="282"/>
      <c r="J227" s="282"/>
      <c r="K227" s="282"/>
      <c r="L227" s="374"/>
      <c r="M227" s="282"/>
      <c r="N227" s="282"/>
      <c r="O227" s="282"/>
      <c r="P227" s="282"/>
      <c r="Q227" s="374"/>
      <c r="R227" s="282"/>
      <c r="S227" s="53"/>
      <c r="T227" s="53"/>
      <c r="U227" s="53"/>
      <c r="V227" s="85"/>
      <c r="W227" s="53"/>
      <c r="X227" s="53"/>
      <c r="Y227" s="53"/>
      <c r="Z227" s="53"/>
      <c r="AA227" s="85"/>
      <c r="AB227" s="53"/>
      <c r="AC227" s="53"/>
      <c r="AD227" s="53"/>
      <c r="AE227" s="53"/>
      <c r="AF227" s="85"/>
      <c r="AG227" s="53"/>
      <c r="AH227" s="53"/>
      <c r="AI227" s="53"/>
      <c r="AJ227" s="53"/>
      <c r="AK227" s="85"/>
      <c r="AL227" s="53"/>
      <c r="AM227" s="53"/>
      <c r="AN227" s="53"/>
      <c r="AO227" s="53"/>
      <c r="AP227" s="85"/>
      <c r="AQ227" s="53"/>
      <c r="AR227" s="53"/>
      <c r="AS227" s="53">
        <v>24.9</v>
      </c>
      <c r="AT227" s="53">
        <v>21.9</v>
      </c>
      <c r="AU227" s="86"/>
      <c r="AV227" s="45"/>
      <c r="AW227" s="53">
        <v>24.9</v>
      </c>
      <c r="AX227" s="53">
        <v>21.9</v>
      </c>
      <c r="AY227" s="53">
        <v>22.4</v>
      </c>
      <c r="AZ227" s="53">
        <v>6.9</v>
      </c>
      <c r="BA227" s="174">
        <f>SUM(AW227:AZ227)</f>
        <v>76.099999999999994</v>
      </c>
      <c r="BB227" s="53">
        <v>15.9</v>
      </c>
      <c r="BC227" s="53">
        <v>22.2</v>
      </c>
      <c r="BD227" s="53">
        <v>21.7</v>
      </c>
      <c r="BE227" s="53">
        <v>13.4</v>
      </c>
      <c r="BF227" s="174">
        <f>SUM(BB227:BE227)</f>
        <v>73.2</v>
      </c>
      <c r="BG227" s="53">
        <v>17.600000000000001</v>
      </c>
      <c r="BH227" s="53">
        <v>28.4</v>
      </c>
      <c r="BI227" s="53">
        <v>22</v>
      </c>
      <c r="BJ227" s="53">
        <v>26.8</v>
      </c>
      <c r="BK227" s="174">
        <f>SUM(BG227:BJ227)</f>
        <v>94.8</v>
      </c>
      <c r="BL227" s="53">
        <v>24.2</v>
      </c>
      <c r="BM227" s="53">
        <v>26.6</v>
      </c>
      <c r="BN227" s="53">
        <v>33.200000000000003</v>
      </c>
      <c r="BO227" s="53">
        <v>30.8</v>
      </c>
      <c r="BP227" s="174">
        <f>SUM(BL227:BO227)</f>
        <v>114.8</v>
      </c>
      <c r="BQ227" s="53">
        <v>25.6</v>
      </c>
      <c r="BR227" s="53">
        <v>31.1</v>
      </c>
      <c r="BS227" s="53">
        <v>33.6</v>
      </c>
      <c r="BT227" s="765">
        <f>BT226*BT228</f>
        <v>17.888000000000005</v>
      </c>
      <c r="BU227" s="174">
        <f>SUM(BQ227:BT227)</f>
        <v>108.18800000000002</v>
      </c>
      <c r="BV227" s="53">
        <v>38.6</v>
      </c>
      <c r="BW227" s="53">
        <v>53.6</v>
      </c>
      <c r="BX227" s="53">
        <v>56.8</v>
      </c>
      <c r="BY227" s="53">
        <v>53.2</v>
      </c>
      <c r="BZ227" s="174">
        <v>202.2</v>
      </c>
      <c r="CA227" s="53">
        <v>44.1</v>
      </c>
      <c r="CB227" s="1351">
        <v>62.1</v>
      </c>
      <c r="CC227" s="53">
        <v>66.7</v>
      </c>
      <c r="CD227" s="765">
        <v>68.7</v>
      </c>
      <c r="CE227" s="174">
        <f>SUM(CA227:CD227)</f>
        <v>241.60000000000002</v>
      </c>
      <c r="CF227" s="53">
        <v>52.8</v>
      </c>
      <c r="CG227" s="53">
        <v>66.7</v>
      </c>
      <c r="CH227" s="53">
        <v>67.599999999999994</v>
      </c>
      <c r="CI227" s="53">
        <v>85</v>
      </c>
      <c r="CJ227" s="174">
        <f>SUM(CF227:CI227)</f>
        <v>272.10000000000002</v>
      </c>
      <c r="CK227" s="53">
        <v>50.5</v>
      </c>
      <c r="CL227" s="53">
        <v>55.5</v>
      </c>
      <c r="CM227" s="53">
        <v>46.7</v>
      </c>
      <c r="CN227" s="53">
        <v>62.2</v>
      </c>
      <c r="CO227" s="174">
        <f>SUM(CK227:CN227)</f>
        <v>214.89999999999998</v>
      </c>
      <c r="CP227" s="53">
        <v>0.2</v>
      </c>
      <c r="CQ227" s="765">
        <f>CQ226*CQ228</f>
        <v>76.244813810677357</v>
      </c>
      <c r="CR227" s="765">
        <f>CR226*CR228</f>
        <v>86.427043302137122</v>
      </c>
      <c r="CS227" s="765">
        <f>CS226*CS228</f>
        <v>92.233096449303872</v>
      </c>
      <c r="CT227" s="174">
        <f>SUM(CP227:CS227)</f>
        <v>255.10495356211837</v>
      </c>
      <c r="CU227" s="765">
        <f>CU197+CU228*CU224</f>
        <v>75.350027834223468</v>
      </c>
      <c r="CV227" s="765">
        <f>CV226*CV228</f>
        <v>89.379196386216648</v>
      </c>
      <c r="CW227" s="765">
        <f>CW226*CW228</f>
        <v>99.792849932551803</v>
      </c>
      <c r="CX227" s="765">
        <f>CX226*CX228</f>
        <v>106.48480331752044</v>
      </c>
      <c r="CY227" s="174">
        <f>SUM(CU227:CX227)</f>
        <v>371.00687747051239</v>
      </c>
      <c r="CZ227" s="765">
        <f>CZ197+CZ228*CZ224</f>
        <v>84.700449587867979</v>
      </c>
      <c r="DA227" s="765">
        <f>DA226*DA228</f>
        <v>103.26005770585807</v>
      </c>
      <c r="DB227" s="765">
        <f>DB226*DB228</f>
        <v>114.74228550200043</v>
      </c>
      <c r="DC227" s="765">
        <f>DC226*DC228</f>
        <v>122.20358036645798</v>
      </c>
      <c r="DD227" s="174">
        <f>SUM(CZ227:DC227)</f>
        <v>424.90637316218442</v>
      </c>
      <c r="DE227" s="765">
        <f>DE197+DE228*DE224</f>
        <v>96.491400466266469</v>
      </c>
      <c r="DF227" s="765">
        <f>DF226*DF228</f>
        <v>111.97559776537709</v>
      </c>
      <c r="DG227" s="765">
        <f>DG226*DG228</f>
        <v>125.12471037247411</v>
      </c>
      <c r="DH227" s="765">
        <f>DH226*DH228</f>
        <v>125.85992757759219</v>
      </c>
      <c r="DI227" s="174">
        <f>SUM(DE227:DH227)</f>
        <v>459.45163618170989</v>
      </c>
      <c r="DJ227" s="765">
        <f>DJ197+DJ228*DJ224</f>
        <v>110.84630737120736</v>
      </c>
      <c r="DK227" s="765">
        <f>DK197+DK228*DK224</f>
        <v>127.1136444760198</v>
      </c>
      <c r="DL227" s="765">
        <f>DL197+DL228*DL224</f>
        <v>142.24308053050407</v>
      </c>
      <c r="DM227" s="765">
        <f>DM197+DM228*DM224</f>
        <v>151.23725707833131</v>
      </c>
      <c r="DN227" s="174">
        <f>SUM(DJ227:DM227)</f>
        <v>531.4402894560626</v>
      </c>
      <c r="DO227" s="765">
        <f>DO197+DO228*DO224</f>
        <v>125.45340742294741</v>
      </c>
      <c r="DP227" s="765">
        <f>DP197+DP228*DP224</f>
        <v>143.83124028453341</v>
      </c>
      <c r="DQ227" s="765">
        <f>DQ197+DQ228*DQ224</f>
        <v>160.25360064034371</v>
      </c>
      <c r="DR227" s="765">
        <f>DR197+DR228*DR224</f>
        <v>169.9945325742664</v>
      </c>
      <c r="DS227" s="174">
        <f>SUM(DO227:DR227)</f>
        <v>599.53278092209086</v>
      </c>
      <c r="DT227" s="765">
        <f>DT197+DT228*DT224</f>
        <v>130.90323147933077</v>
      </c>
      <c r="DU227" s="765">
        <f>DU197+DU228*DU224</f>
        <v>148.15374693811458</v>
      </c>
      <c r="DV227" s="765">
        <f>DV197+DV228*DV224</f>
        <v>168.26185022105119</v>
      </c>
      <c r="DW227" s="765">
        <f>DW197+DW228*DW224</f>
        <v>179.86184592838612</v>
      </c>
      <c r="DX227" s="174">
        <f>SUM(DT227:DW227)</f>
        <v>627.18067456688266</v>
      </c>
      <c r="DY227" s="765">
        <f>DY197+DY228*DY224</f>
        <v>149.54067905244131</v>
      </c>
      <c r="DZ227" s="765">
        <f>DZ197+DZ228*DZ224</f>
        <v>169.89938716819174</v>
      </c>
      <c r="EA227" s="765">
        <f>EA197+EA228*EA224</f>
        <v>188.034233358509</v>
      </c>
      <c r="EB227" s="765">
        <f>EB197+EB228*EB224</f>
        <v>200.58769358491972</v>
      </c>
      <c r="EC227" s="174">
        <f>SUM(DY227:EB227)</f>
        <v>708.06199316406185</v>
      </c>
      <c r="ED227" s="22"/>
      <c r="EE227" s="16"/>
      <c r="EF227" s="16"/>
      <c r="EG227" s="16"/>
      <c r="EH227" s="16"/>
      <c r="EI227" s="16"/>
      <c r="EJ227" s="16"/>
      <c r="EK227" s="16"/>
      <c r="EL227" s="16"/>
      <c r="EM227" s="16"/>
      <c r="EN227" s="16"/>
      <c r="EO227" s="16"/>
      <c r="EP227" s="16"/>
      <c r="EQ227" s="16"/>
      <c r="ER227" s="16"/>
      <c r="ES227" s="16"/>
      <c r="ET227" s="16"/>
      <c r="EU227" s="16"/>
      <c r="EX227" s="16"/>
      <c r="EY227" s="228"/>
      <c r="EZ227" s="945"/>
      <c r="FA227" s="477"/>
      <c r="FB227" s="228"/>
      <c r="FC227" s="477"/>
      <c r="FD227" s="16"/>
    </row>
    <row r="228" spans="1:166" x14ac:dyDescent="0.2">
      <c r="A228" s="22" t="s">
        <v>381</v>
      </c>
      <c r="B228" s="123"/>
      <c r="C228" s="122"/>
      <c r="D228" s="22"/>
      <c r="E228" s="22"/>
      <c r="F228" s="88"/>
      <c r="G228" s="123"/>
      <c r="H228" s="122"/>
      <c r="I228" s="22"/>
      <c r="J228" s="22"/>
      <c r="K228" s="22"/>
      <c r="L228" s="123"/>
      <c r="M228" s="22"/>
      <c r="N228" s="22"/>
      <c r="O228" s="22"/>
      <c r="P228" s="22"/>
      <c r="Q228" s="123"/>
      <c r="R228" s="22"/>
      <c r="S228" s="22"/>
      <c r="T228" s="22"/>
      <c r="U228" s="22"/>
      <c r="V228" s="123"/>
      <c r="W228" s="22"/>
      <c r="X228" s="22"/>
      <c r="Y228" s="22"/>
      <c r="Z228" s="22"/>
      <c r="AA228" s="123"/>
      <c r="AB228" s="22"/>
      <c r="AC228" s="22"/>
      <c r="AD228" s="22"/>
      <c r="AE228" s="22"/>
      <c r="AF228" s="123"/>
      <c r="AG228" s="22"/>
      <c r="AH228" s="22"/>
      <c r="AI228" s="22"/>
      <c r="AJ228" s="22"/>
      <c r="AK228" s="123"/>
      <c r="AL228" s="22">
        <v>27</v>
      </c>
      <c r="AM228" s="22"/>
      <c r="AN228" s="22"/>
      <c r="AO228" s="22"/>
      <c r="AP228" s="123"/>
      <c r="AQ228" s="22"/>
      <c r="AR228" s="22"/>
      <c r="AS228" s="22">
        <f>AS227/AS226</f>
        <v>0.38604651162790715</v>
      </c>
      <c r="AT228" s="22">
        <f>AT227/AT226</f>
        <v>0.30543933054393319</v>
      </c>
      <c r="AU228" s="122"/>
      <c r="AV228" s="45"/>
      <c r="AW228" s="22">
        <f>AW227/AW226</f>
        <v>0.38604651162790715</v>
      </c>
      <c r="AX228" s="22">
        <f>AX227/AX226</f>
        <v>0.30543933054393319</v>
      </c>
      <c r="AY228" s="22">
        <f>AY227/AY226</f>
        <v>0.29787234042553207</v>
      </c>
      <c r="AZ228" s="22">
        <f>AZ227/AZ226</f>
        <v>0.26235741444866939</v>
      </c>
      <c r="BA228" s="123">
        <f>BA227/BA226</f>
        <v>0.32015145140933965</v>
      </c>
      <c r="BB228" s="22">
        <f t="shared" ref="BB228:BL228" si="1253">BB227/BB226</f>
        <v>0.36890951276102102</v>
      </c>
      <c r="BC228" s="22">
        <f t="shared" si="1253"/>
        <v>0.32456140350877216</v>
      </c>
      <c r="BD228" s="22">
        <f t="shared" si="1253"/>
        <v>0.28665785997357984</v>
      </c>
      <c r="BE228" s="22">
        <f t="shared" si="1253"/>
        <v>0.21135646687697207</v>
      </c>
      <c r="BF228" s="123">
        <f t="shared" si="1253"/>
        <v>0.29209896249002421</v>
      </c>
      <c r="BG228" s="22">
        <f t="shared" si="1253"/>
        <v>0.30085470085470106</v>
      </c>
      <c r="BH228" s="22">
        <f t="shared" si="1253"/>
        <v>0.31450719822812873</v>
      </c>
      <c r="BI228" s="22">
        <f t="shared" si="1253"/>
        <v>0.25551684088269466</v>
      </c>
      <c r="BJ228" s="22">
        <f t="shared" si="1253"/>
        <v>0.24497257769652644</v>
      </c>
      <c r="BK228" s="123">
        <f t="shared" si="1253"/>
        <v>0.27534127214638399</v>
      </c>
      <c r="BL228" s="22">
        <f t="shared" si="1253"/>
        <v>0.29584352078239612</v>
      </c>
      <c r="BM228" s="22">
        <f t="shared" ref="BM228:BS228" si="1254">BM227/BM226</f>
        <v>0.25925925925925919</v>
      </c>
      <c r="BN228" s="22">
        <f t="shared" si="1254"/>
        <v>0.28894691035683207</v>
      </c>
      <c r="BO228" s="22">
        <f t="shared" si="1254"/>
        <v>0.2539159109645508</v>
      </c>
      <c r="BP228" s="123">
        <f t="shared" si="1254"/>
        <v>0.27294341417023305</v>
      </c>
      <c r="BQ228" s="22">
        <f t="shared" si="1254"/>
        <v>0.26337448559670779</v>
      </c>
      <c r="BR228" s="22">
        <f t="shared" si="1254"/>
        <v>0.26266891891891897</v>
      </c>
      <c r="BS228" s="22">
        <f t="shared" si="1254"/>
        <v>0.19846426461901956</v>
      </c>
      <c r="BT228" s="130">
        <f>BT82</f>
        <v>0.26</v>
      </c>
      <c r="BU228" s="123">
        <f>BU227/BU226</f>
        <v>0.2384571302622879</v>
      </c>
      <c r="BV228" s="22">
        <f t="shared" ref="BV228:BZ228" si="1255">BV227/BV226</f>
        <v>0.23003575685339708</v>
      </c>
      <c r="BW228" s="22">
        <f t="shared" si="1255"/>
        <v>0.22984562607204109</v>
      </c>
      <c r="BX228" s="22">
        <f t="shared" si="1255"/>
        <v>0.22995951417004054</v>
      </c>
      <c r="BY228" s="22">
        <f t="shared" si="1255"/>
        <v>0.22980561555075613</v>
      </c>
      <c r="BZ228" s="123">
        <f t="shared" si="1255"/>
        <v>0.22990335417851057</v>
      </c>
      <c r="CA228" s="22">
        <f t="shared" ref="CA228" si="1256">CA227/CA226</f>
        <v>0.23494938732019188</v>
      </c>
      <c r="CB228" s="1350">
        <f t="shared" ref="CB228:CM228" si="1257">CB227/CB226</f>
        <v>0.22949002217294914</v>
      </c>
      <c r="CC228" s="1350">
        <f t="shared" si="1257"/>
        <v>0.23337998600419865</v>
      </c>
      <c r="CD228" s="1350">
        <f t="shared" si="1257"/>
        <v>0.23796328368548658</v>
      </c>
      <c r="CE228" s="123">
        <f t="shared" si="1257"/>
        <v>0.23392718822618125</v>
      </c>
      <c r="CF228" s="22">
        <f t="shared" si="1257"/>
        <v>0.20121951219512205</v>
      </c>
      <c r="CG228" s="22">
        <f t="shared" si="1257"/>
        <v>0.20422535211267612</v>
      </c>
      <c r="CH228" s="22">
        <f t="shared" si="1257"/>
        <v>0.20089153046062419</v>
      </c>
      <c r="CI228" s="22">
        <f t="shared" si="1257"/>
        <v>0.23560064305116693</v>
      </c>
      <c r="CJ228" s="123">
        <f>CJ227/CJ226</f>
        <v>0.21154025562086026</v>
      </c>
      <c r="CK228" s="22">
        <f t="shared" si="1257"/>
        <v>0.17498267498267497</v>
      </c>
      <c r="CL228" s="22">
        <f t="shared" si="1257"/>
        <v>0.15217987386893331</v>
      </c>
      <c r="CM228" s="22">
        <f t="shared" si="1257"/>
        <v>0.11980502821959982</v>
      </c>
      <c r="CN228" s="22">
        <f>CN227/CN226</f>
        <v>0.14475215266464972</v>
      </c>
      <c r="CO228" s="123">
        <f>CO227/CO226</f>
        <v>0.14591254752851707</v>
      </c>
      <c r="CP228" s="22">
        <f>CP227/CP226</f>
        <v>6.3795853269537533E-4</v>
      </c>
      <c r="CQ228" s="130">
        <f>CQ82</f>
        <v>0.21</v>
      </c>
      <c r="CR228" s="130">
        <f>CR82</f>
        <v>0.21</v>
      </c>
      <c r="CS228" s="130">
        <f>CS82</f>
        <v>0.21</v>
      </c>
      <c r="CT228" s="123">
        <f>CT227/CT226</f>
        <v>0.16702640146036393</v>
      </c>
      <c r="CU228" s="130">
        <f>CU82</f>
        <v>0.21</v>
      </c>
      <c r="CV228" s="130">
        <f>CV82</f>
        <v>0.21</v>
      </c>
      <c r="CW228" s="130">
        <f>CW82</f>
        <v>0.21</v>
      </c>
      <c r="CX228" s="130">
        <f>CX82</f>
        <v>0.21</v>
      </c>
      <c r="CY228" s="123">
        <f>CY227/CY226</f>
        <v>0.21</v>
      </c>
      <c r="CZ228" s="130">
        <f>CZ82</f>
        <v>0.21</v>
      </c>
      <c r="DA228" s="130">
        <f>DA82</f>
        <v>0.21</v>
      </c>
      <c r="DB228" s="130">
        <f>DB82</f>
        <v>0.21</v>
      </c>
      <c r="DC228" s="130">
        <f>DC82</f>
        <v>0.21</v>
      </c>
      <c r="DD228" s="123">
        <f>DD227/DD226</f>
        <v>0.20999999999999996</v>
      </c>
      <c r="DE228" s="130">
        <f>DE82</f>
        <v>0.21</v>
      </c>
      <c r="DF228" s="130">
        <f>DF82</f>
        <v>0.21</v>
      </c>
      <c r="DG228" s="130">
        <f>DG82</f>
        <v>0.21</v>
      </c>
      <c r="DH228" s="130">
        <f>DH82</f>
        <v>0.21</v>
      </c>
      <c r="DI228" s="123">
        <f>DI227/DI226</f>
        <v>0.21000000000000002</v>
      </c>
      <c r="DJ228" s="130">
        <f>DJ82</f>
        <v>0.21</v>
      </c>
      <c r="DK228" s="130">
        <f>DK82</f>
        <v>0.21</v>
      </c>
      <c r="DL228" s="130">
        <f>DL82</f>
        <v>0.21</v>
      </c>
      <c r="DM228" s="130">
        <f>DM82</f>
        <v>0.21</v>
      </c>
      <c r="DN228" s="123">
        <f>DN227/DN226</f>
        <v>0.21</v>
      </c>
      <c r="DO228" s="130">
        <f>DO82</f>
        <v>0.21</v>
      </c>
      <c r="DP228" s="130">
        <f>DP82</f>
        <v>0.21</v>
      </c>
      <c r="DQ228" s="130">
        <f>DQ82</f>
        <v>0.21</v>
      </c>
      <c r="DR228" s="130">
        <f>DR82</f>
        <v>0.21</v>
      </c>
      <c r="DS228" s="123">
        <f>DS227/DS226</f>
        <v>0.21</v>
      </c>
      <c r="DT228" s="130">
        <f>DT82</f>
        <v>0.21</v>
      </c>
      <c r="DU228" s="130">
        <f>DU82</f>
        <v>0.21</v>
      </c>
      <c r="DV228" s="130">
        <f>DV82</f>
        <v>0.21</v>
      </c>
      <c r="DW228" s="130">
        <f>DW82</f>
        <v>0.21</v>
      </c>
      <c r="DX228" s="123">
        <f>DX227/DX226</f>
        <v>0.21000000000000002</v>
      </c>
      <c r="DY228" s="130">
        <f>DY82</f>
        <v>0.21</v>
      </c>
      <c r="DZ228" s="130">
        <f>DZ82</f>
        <v>0.21</v>
      </c>
      <c r="EA228" s="130">
        <f>EA82</f>
        <v>0.21</v>
      </c>
      <c r="EB228" s="130">
        <f>EB82</f>
        <v>0.21</v>
      </c>
      <c r="EC228" s="123">
        <f>EC227/EC226</f>
        <v>0.21000000000000002</v>
      </c>
      <c r="ED228" s="126"/>
      <c r="EE228" s="16"/>
      <c r="EF228" s="16"/>
      <c r="EG228" s="16"/>
      <c r="EH228" s="16"/>
      <c r="EI228" s="16"/>
      <c r="EJ228" s="16"/>
      <c r="EK228" s="16"/>
      <c r="EL228" s="16"/>
      <c r="EM228" s="16"/>
      <c r="EN228" s="16"/>
      <c r="EO228" s="16"/>
      <c r="EP228" s="16"/>
      <c r="EQ228" s="16"/>
      <c r="ER228" s="16"/>
      <c r="ES228" s="16"/>
      <c r="ET228" s="16"/>
      <c r="EU228" s="16"/>
      <c r="EX228" s="16"/>
      <c r="EY228" s="228"/>
      <c r="EZ228" s="945"/>
      <c r="FA228" s="477"/>
      <c r="FB228" s="228"/>
      <c r="FC228" s="477"/>
      <c r="FD228" s="16"/>
    </row>
    <row r="229" spans="1:166" x14ac:dyDescent="0.2">
      <c r="A229" s="24" t="s">
        <v>33</v>
      </c>
      <c r="B229" s="374"/>
      <c r="C229" s="121"/>
      <c r="D229" s="282"/>
      <c r="E229" s="282"/>
      <c r="F229" s="381"/>
      <c r="G229" s="374"/>
      <c r="H229" s="121"/>
      <c r="I229" s="282"/>
      <c r="J229" s="282"/>
      <c r="K229" s="282"/>
      <c r="L229" s="374"/>
      <c r="M229" s="282"/>
      <c r="N229" s="282"/>
      <c r="O229" s="282"/>
      <c r="P229" s="282"/>
      <c r="Q229" s="374"/>
      <c r="R229" s="282"/>
      <c r="S229" s="53"/>
      <c r="T229" s="53"/>
      <c r="U229" s="53"/>
      <c r="V229" s="85"/>
      <c r="W229" s="53"/>
      <c r="X229" s="53"/>
      <c r="Y229" s="53"/>
      <c r="Z229" s="53"/>
      <c r="AA229" s="85"/>
      <c r="AB229" s="53"/>
      <c r="AC229" s="53"/>
      <c r="AD229" s="53"/>
      <c r="AE229" s="53"/>
      <c r="AF229" s="85"/>
      <c r="AG229" s="53"/>
      <c r="AH229" s="53"/>
      <c r="AI229" s="53"/>
      <c r="AJ229" s="53"/>
      <c r="AK229" s="85"/>
      <c r="AL229" s="53"/>
      <c r="AM229" s="53"/>
      <c r="AN229" s="53"/>
      <c r="AO229" s="53"/>
      <c r="AP229" s="85"/>
      <c r="AQ229" s="53"/>
      <c r="AR229" s="53"/>
      <c r="AS229" s="53">
        <f>AS226-AS227</f>
        <v>39.599999999999973</v>
      </c>
      <c r="AT229" s="53">
        <f>AT224-AT227</f>
        <v>-21</v>
      </c>
      <c r="AU229" s="86"/>
      <c r="AV229" s="45"/>
      <c r="AW229" s="53">
        <f>AW226-AW227</f>
        <v>39.599999999999973</v>
      </c>
      <c r="AX229" s="53">
        <f t="shared" ref="AX229:BF229" si="1258">AX224-AX227</f>
        <v>-21</v>
      </c>
      <c r="AY229" s="53">
        <f t="shared" si="1258"/>
        <v>-25.7</v>
      </c>
      <c r="AZ229" s="53">
        <f t="shared" si="1258"/>
        <v>154.9</v>
      </c>
      <c r="BA229" s="85">
        <f t="shared" si="1258"/>
        <v>80.800000000000011</v>
      </c>
      <c r="BB229" s="53">
        <f t="shared" si="1258"/>
        <v>32.999999999999993</v>
      </c>
      <c r="BC229" s="53">
        <f t="shared" si="1258"/>
        <v>3.3000000000000007</v>
      </c>
      <c r="BD229" s="53">
        <f t="shared" si="1258"/>
        <v>1.8000000000000007</v>
      </c>
      <c r="BE229" s="53">
        <f t="shared" si="1258"/>
        <v>24.6</v>
      </c>
      <c r="BF229" s="85">
        <f t="shared" si="1258"/>
        <v>62.699999999999974</v>
      </c>
      <c r="BG229" s="53">
        <f>-BG224*(1-BG228)</f>
        <v>-25.868376068376058</v>
      </c>
      <c r="BH229" s="53">
        <f>-BH224*(1-BH228)</f>
        <v>-18.713953488372088</v>
      </c>
      <c r="BI229" s="53">
        <f>-BI224*(1-BI228)</f>
        <v>-54.049477351916366</v>
      </c>
      <c r="BJ229" s="53">
        <f>-BJ224*(1-BJ228)</f>
        <v>-36.014808043875689</v>
      </c>
      <c r="BK229" s="85">
        <f>SUM(BG229:BJ229)</f>
        <v>-134.6466149525402</v>
      </c>
      <c r="BL229" s="53">
        <f>-BL224*(1-BL228)</f>
        <v>-20.068459657701709</v>
      </c>
      <c r="BM229" s="53">
        <f>-BM224*(1-BM228)</f>
        <v>-14.37037037037037</v>
      </c>
      <c r="BN229" s="53">
        <f>-BN224*(1-BN228)</f>
        <v>-13.93664055700609</v>
      </c>
      <c r="BO229" s="53">
        <f>-BO224*(1-BO228)</f>
        <v>-23.053998351195379</v>
      </c>
      <c r="BP229" s="85">
        <f>SUM(BL229:BO229)</f>
        <v>-71.429468936273537</v>
      </c>
      <c r="BQ229" s="53">
        <f>-BQ224*(1-BQ228)</f>
        <v>-11.712345679012348</v>
      </c>
      <c r="BR229" s="53">
        <f>-BR224*(1-BR228)</f>
        <v>-12.903293918918918</v>
      </c>
      <c r="BS229" s="53">
        <f>-BS224*(1-BS228)</f>
        <v>-176.0974010632014</v>
      </c>
      <c r="BT229" s="53">
        <f>-BT224*(1-BT228)</f>
        <v>-335.738</v>
      </c>
      <c r="BU229" s="85">
        <f>BU224-BU227</f>
        <v>598.61199999999997</v>
      </c>
      <c r="BV229" s="1303">
        <f>-BV224*(1-BV228)</f>
        <v>-27.025744934445765</v>
      </c>
      <c r="BW229" s="1303">
        <f>-BW224*(1-BW228)</f>
        <v>-26.570325900514582</v>
      </c>
      <c r="BX229" s="1303">
        <f>-BX224*(1-BX228)</f>
        <v>-14.245748987854249</v>
      </c>
      <c r="BY229" s="1303">
        <f>-BY224*(1-BY228)</f>
        <v>-51.217926565874713</v>
      </c>
      <c r="BZ229" s="85">
        <f>BZ224-BZ227</f>
        <v>-47.599999999999994</v>
      </c>
      <c r="CA229" s="53">
        <f>CA226-CA227</f>
        <v>143.59999999999994</v>
      </c>
      <c r="CB229" s="53">
        <f>CB226-CB227</f>
        <v>208.49999999999986</v>
      </c>
      <c r="CC229" s="53">
        <f>CC226-CC227</f>
        <v>219.10000000000014</v>
      </c>
      <c r="CD229" s="53">
        <f>CD226-CD227</f>
        <v>220.00000000000011</v>
      </c>
      <c r="CE229" s="85">
        <f>CE224-CE227</f>
        <v>117.29999999999995</v>
      </c>
      <c r="CF229" s="53">
        <f>CF226-CF227</f>
        <v>209.59999999999985</v>
      </c>
      <c r="CG229" s="53">
        <f>CG226-CG227</f>
        <v>259.89999999999992</v>
      </c>
      <c r="CH229" s="53">
        <f>-CH224*(1-CH228)</f>
        <v>-26.610312035661217</v>
      </c>
      <c r="CI229" s="53">
        <f>-CI224*(1-CI228)</f>
        <v>10.319391318809242</v>
      </c>
      <c r="CJ229" s="85">
        <f>CJ224-CJ227</f>
        <v>-185.60000000000002</v>
      </c>
      <c r="CK229" s="53">
        <f>-CK224*(1-CK228)</f>
        <v>-69.466458766458757</v>
      </c>
      <c r="CL229" s="53">
        <f>-CL224*(1-CL228)</f>
        <v>-66.384315876062516</v>
      </c>
      <c r="CM229" s="53">
        <f>-CM224*(1-CM228)</f>
        <v>-92.156413545407901</v>
      </c>
      <c r="CN229" s="53">
        <f>-CN224*(1-CN228)</f>
        <v>-88.860251338142902</v>
      </c>
      <c r="CO229" s="85">
        <f>CO224-CO227</f>
        <v>156.20000000000005</v>
      </c>
      <c r="CP229" s="53">
        <f>-CP224*(1-CP228)</f>
        <v>-32.978947368421053</v>
      </c>
      <c r="CQ229" s="53">
        <f>-CQ224*(1-CQ228)</f>
        <v>-35.751450000000006</v>
      </c>
      <c r="CR229" s="53">
        <f>-CR224*(1-CR228)</f>
        <v>-30.40315</v>
      </c>
      <c r="CS229" s="53">
        <f>-CS224*(1-CS228)</f>
        <v>-31.896250000000002</v>
      </c>
      <c r="CT229" s="85">
        <f>CT224-CT227</f>
        <v>-97.989953562118359</v>
      </c>
      <c r="CU229" s="53">
        <f>-CU224*(1-CU228)</f>
        <v>-23.4699125</v>
      </c>
      <c r="CV229" s="53">
        <f>-CV224*(1-CV228)</f>
        <v>-35.605497500000006</v>
      </c>
      <c r="CW229" s="53">
        <f>-CW224*(1-CW228)</f>
        <v>-29.989782499999997</v>
      </c>
      <c r="CX229" s="53">
        <f>-CX224*(1-CX228)</f>
        <v>-31.557537500000002</v>
      </c>
      <c r="CY229" s="85">
        <f>CY224-CY227</f>
        <v>-218.31987747051241</v>
      </c>
      <c r="CZ229" s="53">
        <f>-CZ224*(1-CZ228)</f>
        <v>-23.316455000000001</v>
      </c>
      <c r="DA229" s="53">
        <f>-DA224*(1-DA228)</f>
        <v>-36.058819249999999</v>
      </c>
      <c r="DB229" s="53">
        <f>-DB224*(1-DB228)</f>
        <v>-30.162318499999998</v>
      </c>
      <c r="DC229" s="53">
        <f>-DC224*(1-DC228)</f>
        <v>-31.808461250000001</v>
      </c>
      <c r="DD229" s="85">
        <f>DD224-DD227</f>
        <v>-271.30377316218443</v>
      </c>
      <c r="DE229" s="53">
        <f>-DE224*(1-DE228)</f>
        <v>-8.4662621250000001</v>
      </c>
      <c r="DF229" s="53">
        <f>-DF224*(1-DF228)</f>
        <v>-21.8457445875</v>
      </c>
      <c r="DG229" s="53">
        <f>-DG224*(1-DG228)</f>
        <v>-15.6544188</v>
      </c>
      <c r="DH229" s="53">
        <f>-DH224*(1-DH228)</f>
        <v>-17.3828686875</v>
      </c>
      <c r="DI229" s="85">
        <f>DI224-DI227</f>
        <v>-379.26265618170987</v>
      </c>
      <c r="DJ229" s="765">
        <f>DJ224*(1-DJ228)</f>
        <v>8.2970752312499982</v>
      </c>
      <c r="DK229" s="765">
        <f>DK224*(1-DK228)</f>
        <v>22.345531816875006</v>
      </c>
      <c r="DL229" s="765">
        <f>DL224*(1-DL228)</f>
        <v>15.84463974</v>
      </c>
      <c r="DM229" s="765">
        <f>DM224*(1-DM228)</f>
        <v>17.659512121875004</v>
      </c>
      <c r="DN229" s="85">
        <f>DN224-DN227</f>
        <v>-450.24186045606257</v>
      </c>
      <c r="DO229" s="765">
        <f>DO224*(1-DO228)</f>
        <v>8.1194289928124981</v>
      </c>
      <c r="DP229" s="765">
        <f>DP224*(1-DP228)</f>
        <v>22.870308407718756</v>
      </c>
      <c r="DQ229" s="765">
        <f>DQ224*(1-DQ228)</f>
        <v>16.044371727000005</v>
      </c>
      <c r="DR229" s="765">
        <f>DR224*(1-DR228)</f>
        <v>17.949987727968754</v>
      </c>
      <c r="DS229" s="85">
        <f>DS224-DS227</f>
        <v>-517.2744304720909</v>
      </c>
      <c r="DT229" s="765">
        <f>DT224*(1-DT228)</f>
        <v>7.932900442453124</v>
      </c>
      <c r="DU229" s="765">
        <f>DU224*(1-DU228)</f>
        <v>23.421323828104693</v>
      </c>
      <c r="DV229" s="765">
        <f>DV224*(1-DV228)</f>
        <v>16.254090313350002</v>
      </c>
      <c r="DW229" s="765">
        <f>DW224*(1-DW228)</f>
        <v>18.254987114367189</v>
      </c>
      <c r="DX229" s="85">
        <f>DX224-DX227</f>
        <v>-543.80940659438261</v>
      </c>
      <c r="DY229" s="765">
        <f>DY224*(1-DY228)</f>
        <v>7.7370454645757807</v>
      </c>
      <c r="DZ229" s="765">
        <f>DZ224*(1-DZ228)</f>
        <v>23.99989001950993</v>
      </c>
      <c r="EA229" s="765">
        <f>EA224*(1-EA228)</f>
        <v>16.474294829017502</v>
      </c>
      <c r="EB229" s="765">
        <f>EB224*(1-EB228)</f>
        <v>18.575236470085549</v>
      </c>
      <c r="EC229" s="85">
        <f>EC224-EC227</f>
        <v>-623.5221617929368</v>
      </c>
      <c r="ED229" s="22"/>
      <c r="EE229" s="16"/>
      <c r="EF229" s="16"/>
      <c r="EG229" s="16"/>
      <c r="EH229" s="16"/>
      <c r="EI229" s="16"/>
      <c r="EJ229" s="16"/>
      <c r="EK229" s="16"/>
      <c r="EL229" s="16"/>
      <c r="EM229" s="16"/>
      <c r="EN229" s="16"/>
      <c r="EO229" s="16"/>
      <c r="EP229" s="16"/>
      <c r="EQ229" s="16"/>
      <c r="ER229" s="16"/>
      <c r="ES229" s="16"/>
      <c r="ET229" s="16"/>
      <c r="EU229" s="16"/>
      <c r="EX229" s="16"/>
      <c r="EY229" s="228"/>
      <c r="EZ229" s="945"/>
      <c r="FA229" s="477"/>
      <c r="FB229" s="228"/>
      <c r="FC229" s="477"/>
      <c r="FD229" s="16"/>
    </row>
    <row r="230" spans="1:166" x14ac:dyDescent="0.2">
      <c r="A230" s="24"/>
      <c r="B230" s="374"/>
      <c r="C230" s="121"/>
      <c r="D230" s="282"/>
      <c r="E230" s="282"/>
      <c r="F230" s="381"/>
      <c r="G230" s="374"/>
      <c r="H230" s="121"/>
      <c r="I230" s="282"/>
      <c r="J230" s="282"/>
      <c r="K230" s="282"/>
      <c r="L230" s="374"/>
      <c r="M230" s="282"/>
      <c r="N230" s="282"/>
      <c r="O230" s="282"/>
      <c r="P230" s="282"/>
      <c r="Q230" s="374"/>
      <c r="R230" s="282"/>
      <c r="S230" s="53"/>
      <c r="T230" s="53"/>
      <c r="U230" s="53"/>
      <c r="V230" s="85"/>
      <c r="W230" s="53"/>
      <c r="X230" s="53"/>
      <c r="Y230" s="53"/>
      <c r="Z230" s="53"/>
      <c r="AA230" s="85"/>
      <c r="AB230" s="53"/>
      <c r="AC230" s="53"/>
      <c r="AD230" s="53"/>
      <c r="AE230" s="53"/>
      <c r="AF230" s="85"/>
      <c r="AG230" s="53"/>
      <c r="AH230" s="53"/>
      <c r="AI230" s="53"/>
      <c r="AJ230" s="53"/>
      <c r="AK230" s="85"/>
      <c r="AL230" s="53"/>
      <c r="AM230" s="53"/>
      <c r="AN230" s="53"/>
      <c r="AO230" s="53"/>
      <c r="AP230" s="85"/>
      <c r="AQ230" s="53"/>
      <c r="AR230" s="53"/>
      <c r="AS230" s="53"/>
      <c r="AT230" s="53"/>
      <c r="AU230" s="86"/>
      <c r="AV230" s="45"/>
      <c r="AW230" s="53"/>
      <c r="AX230" s="53"/>
      <c r="AY230" s="53"/>
      <c r="AZ230" s="53"/>
      <c r="BA230" s="85"/>
      <c r="BB230" s="53"/>
      <c r="BC230" s="53"/>
      <c r="BD230" s="53"/>
      <c r="BE230" s="53"/>
      <c r="BF230" s="85"/>
      <c r="BG230" s="53"/>
      <c r="BH230" s="53"/>
      <c r="BI230" s="53"/>
      <c r="BJ230" s="53"/>
      <c r="BK230" s="85"/>
      <c r="BL230" s="53"/>
      <c r="BM230" s="53"/>
      <c r="BN230" s="53"/>
      <c r="BO230" s="53"/>
      <c r="BP230" s="85"/>
      <c r="BQ230" s="53"/>
      <c r="BR230" s="53"/>
      <c r="BS230" s="53"/>
      <c r="BT230" s="53"/>
      <c r="BU230" s="85"/>
      <c r="BV230" s="1303"/>
      <c r="BW230" s="1303"/>
      <c r="BX230" s="1303"/>
      <c r="BY230" s="1303"/>
      <c r="BZ230" s="85"/>
      <c r="CA230" s="53"/>
      <c r="CB230" s="53"/>
      <c r="CC230" s="53"/>
      <c r="CD230" s="53"/>
      <c r="CE230" s="85"/>
      <c r="CF230" s="53"/>
      <c r="CG230" s="53"/>
      <c r="CH230" s="53"/>
      <c r="CI230" s="53"/>
      <c r="CJ230" s="85"/>
      <c r="CK230" s="53"/>
      <c r="CL230" s="53"/>
      <c r="CM230" s="53"/>
      <c r="CN230" s="53"/>
      <c r="CO230" s="85"/>
      <c r="CP230" s="53"/>
      <c r="CQ230" s="53"/>
      <c r="CR230" s="53"/>
      <c r="CS230" s="53"/>
      <c r="CT230" s="85"/>
      <c r="CU230" s="53"/>
      <c r="CV230" s="53"/>
      <c r="CW230" s="53"/>
      <c r="CX230" s="53"/>
      <c r="CY230" s="85"/>
      <c r="CZ230" s="53"/>
      <c r="DA230" s="53"/>
      <c r="DB230" s="53"/>
      <c r="DC230" s="53"/>
      <c r="DD230" s="85"/>
      <c r="DE230" s="53"/>
      <c r="DF230" s="53"/>
      <c r="DG230" s="53"/>
      <c r="DH230" s="53"/>
      <c r="DI230" s="85"/>
      <c r="DJ230" s="765"/>
      <c r="DK230" s="765"/>
      <c r="DL230" s="765"/>
      <c r="DM230" s="765"/>
      <c r="DN230" s="85"/>
      <c r="DO230" s="765"/>
      <c r="DP230" s="765"/>
      <c r="DQ230" s="765"/>
      <c r="DR230" s="765"/>
      <c r="DS230" s="85"/>
      <c r="DT230" s="765"/>
      <c r="DU230" s="765"/>
      <c r="DV230" s="765"/>
      <c r="DW230" s="765"/>
      <c r="DX230" s="85"/>
      <c r="DY230" s="765"/>
      <c r="DZ230" s="765"/>
      <c r="EA230" s="765"/>
      <c r="EB230" s="765"/>
      <c r="EC230" s="85"/>
      <c r="ED230" s="22"/>
      <c r="EE230" s="16"/>
      <c r="EF230" s="16"/>
      <c r="EG230" s="16"/>
      <c r="EH230" s="16"/>
      <c r="EI230" s="16"/>
      <c r="EJ230" s="16"/>
      <c r="EK230" s="16"/>
      <c r="EL230" s="16"/>
      <c r="EM230" s="16"/>
      <c r="EN230" s="16"/>
      <c r="EO230" s="16"/>
      <c r="EP230" s="16"/>
      <c r="EQ230" s="16"/>
      <c r="ER230" s="16"/>
      <c r="ES230" s="16"/>
      <c r="ET230" s="16"/>
      <c r="EU230" s="16"/>
      <c r="EX230" s="16"/>
      <c r="EY230" s="228"/>
      <c r="EZ230" s="945"/>
      <c r="FA230" s="477"/>
      <c r="FB230" s="228"/>
      <c r="FC230" s="477"/>
      <c r="FD230" s="16"/>
    </row>
    <row r="231" spans="1:166" s="1066" customFormat="1" x14ac:dyDescent="0.2">
      <c r="A231" s="84" t="s">
        <v>681</v>
      </c>
      <c r="B231" s="374"/>
      <c r="C231" s="121"/>
      <c r="D231" s="282"/>
      <c r="E231" s="282"/>
      <c r="F231" s="381"/>
      <c r="G231" s="374"/>
      <c r="H231" s="121"/>
      <c r="I231" s="282"/>
      <c r="J231" s="282"/>
      <c r="K231" s="282"/>
      <c r="L231" s="374"/>
      <c r="M231" s="282"/>
      <c r="N231" s="282"/>
      <c r="O231" s="282"/>
      <c r="P231" s="282"/>
      <c r="Q231" s="374"/>
      <c r="R231" s="282"/>
      <c r="S231" s="53"/>
      <c r="T231" s="53"/>
      <c r="U231" s="53"/>
      <c r="V231" s="374"/>
      <c r="W231" s="53"/>
      <c r="X231" s="53"/>
      <c r="Y231" s="53"/>
      <c r="Z231" s="53"/>
      <c r="AA231" s="374"/>
      <c r="AB231" s="53"/>
      <c r="AC231" s="53"/>
      <c r="AD231" s="53"/>
      <c r="AE231" s="53"/>
      <c r="AF231" s="374"/>
      <c r="AG231" s="53"/>
      <c r="AH231" s="53"/>
      <c r="AI231" s="53"/>
      <c r="AJ231" s="53"/>
      <c r="AK231" s="85"/>
      <c r="AL231" s="53"/>
      <c r="AM231" s="53"/>
      <c r="AN231" s="53"/>
      <c r="AO231" s="53"/>
      <c r="AP231" s="85"/>
      <c r="AQ231" s="53"/>
      <c r="AR231" s="53"/>
      <c r="AS231" s="53"/>
      <c r="AT231" s="53"/>
      <c r="AU231" s="86"/>
      <c r="AV231" s="45"/>
      <c r="AW231" s="53"/>
      <c r="AX231" s="53"/>
      <c r="AY231" s="53"/>
      <c r="AZ231" s="53"/>
      <c r="BA231" s="85"/>
      <c r="BB231" s="53"/>
      <c r="BC231" s="53"/>
      <c r="BD231" s="53"/>
      <c r="BE231" s="53"/>
      <c r="BF231" s="85"/>
      <c r="BG231" s="53"/>
      <c r="BH231" s="53"/>
      <c r="BI231" s="53"/>
      <c r="BJ231" s="53"/>
      <c r="BK231" s="85"/>
      <c r="BL231" s="53"/>
      <c r="BM231" s="53"/>
      <c r="BN231" s="53"/>
      <c r="BO231" s="53"/>
      <c r="BP231" s="85"/>
      <c r="BQ231" s="53"/>
      <c r="BR231" s="53"/>
      <c r="BS231" s="53"/>
      <c r="BT231" s="53">
        <f>-BT53</f>
        <v>-13.8</v>
      </c>
      <c r="BU231" s="85">
        <f>SUM(BQ231:BT231)</f>
        <v>-13.8</v>
      </c>
      <c r="BV231" s="1303">
        <f>-BV53</f>
        <v>-67.5</v>
      </c>
      <c r="BW231" s="1303">
        <f>-BW53</f>
        <v>-67.5</v>
      </c>
      <c r="BX231" s="1303">
        <f>-BX53</f>
        <v>-67.5</v>
      </c>
      <c r="BY231" s="1303">
        <f>-BY53</f>
        <v>-67.5</v>
      </c>
      <c r="BZ231" s="85">
        <f>SUM(BV231:BY231)</f>
        <v>-270</v>
      </c>
      <c r="CA231" s="53">
        <f>-CA53</f>
        <v>-68.7</v>
      </c>
      <c r="CB231" s="53">
        <f>-CB53</f>
        <v>-67.5</v>
      </c>
      <c r="CC231" s="53">
        <f>-CC53</f>
        <v>-67.5</v>
      </c>
      <c r="CD231" s="53">
        <f>-CD53</f>
        <v>-67.5</v>
      </c>
      <c r="CE231" s="85">
        <f>SUM(CA231:CD231)</f>
        <v>-271.2</v>
      </c>
      <c r="CF231" s="53">
        <f>-CF53</f>
        <v>-67.5</v>
      </c>
      <c r="CG231" s="53">
        <f>-CG53</f>
        <v>-67.5</v>
      </c>
      <c r="CH231" s="53">
        <f>-CH53</f>
        <v>-67.5</v>
      </c>
      <c r="CI231" s="53">
        <f>-CI53</f>
        <v>-67.5</v>
      </c>
      <c r="CJ231" s="85">
        <f>SUM(CF231:CI231)</f>
        <v>-270</v>
      </c>
      <c r="CK231" s="53">
        <f>-CK53</f>
        <v>-67.5</v>
      </c>
      <c r="CL231" s="53">
        <f>-CL53</f>
        <v>-67.5</v>
      </c>
      <c r="CM231" s="53">
        <f>-CM53</f>
        <v>-67.5</v>
      </c>
      <c r="CN231" s="53">
        <f>-CN53</f>
        <v>-54</v>
      </c>
      <c r="CO231" s="85">
        <f>SUM(CK231:CN231)</f>
        <v>-256.5</v>
      </c>
      <c r="CP231" s="53">
        <f>-CP53</f>
        <v>0</v>
      </c>
      <c r="CQ231" s="53">
        <f>-CQ53</f>
        <v>0</v>
      </c>
      <c r="CR231" s="53">
        <f>-CR53</f>
        <v>0</v>
      </c>
      <c r="CS231" s="53">
        <f>-CS53</f>
        <v>0</v>
      </c>
      <c r="CT231" s="85">
        <f>SUM(CP231:CS231)</f>
        <v>0</v>
      </c>
      <c r="CU231" s="53">
        <f>-CU53</f>
        <v>0</v>
      </c>
      <c r="CV231" s="53">
        <f>-CV53</f>
        <v>0</v>
      </c>
      <c r="CW231" s="53">
        <f>-CW53</f>
        <v>0</v>
      </c>
      <c r="CX231" s="53">
        <f>-CX53</f>
        <v>0</v>
      </c>
      <c r="CY231" s="85">
        <f>SUM(CU231:CX231)</f>
        <v>0</v>
      </c>
      <c r="CZ231" s="53">
        <f>-CZ53</f>
        <v>0</v>
      </c>
      <c r="DA231" s="53">
        <f>-DA53</f>
        <v>0</v>
      </c>
      <c r="DB231" s="53">
        <f>-DB53</f>
        <v>0</v>
      </c>
      <c r="DC231" s="53">
        <f>-DC53</f>
        <v>0</v>
      </c>
      <c r="DD231" s="85">
        <f>SUM(CZ231:DC231)</f>
        <v>0</v>
      </c>
      <c r="DE231" s="53">
        <f>-DE53</f>
        <v>0</v>
      </c>
      <c r="DF231" s="53">
        <f>-DF53</f>
        <v>0</v>
      </c>
      <c r="DG231" s="53">
        <f>-DG53</f>
        <v>0</v>
      </c>
      <c r="DH231" s="53">
        <f>-DH53</f>
        <v>0</v>
      </c>
      <c r="DI231" s="85">
        <f>SUM(DE231:DH231)</f>
        <v>0</v>
      </c>
      <c r="DJ231" s="53">
        <f>-DJ53</f>
        <v>0</v>
      </c>
      <c r="DK231" s="53">
        <f>-DK53</f>
        <v>0</v>
      </c>
      <c r="DL231" s="53">
        <f>-DL53</f>
        <v>0</v>
      </c>
      <c r="DM231" s="53">
        <f>-DM53</f>
        <v>0</v>
      </c>
      <c r="DN231" s="85">
        <f>SUM(DJ231:DM231)</f>
        <v>0</v>
      </c>
      <c r="DO231" s="53">
        <f>-DO53</f>
        <v>0</v>
      </c>
      <c r="DP231" s="53">
        <f>-DP53</f>
        <v>0</v>
      </c>
      <c r="DQ231" s="53">
        <f>-DQ53</f>
        <v>0</v>
      </c>
      <c r="DR231" s="53">
        <f>-DR53</f>
        <v>0</v>
      </c>
      <c r="DS231" s="85">
        <f>SUM(DO231:DR231)</f>
        <v>0</v>
      </c>
      <c r="DT231" s="53">
        <f>-DT53</f>
        <v>0</v>
      </c>
      <c r="DU231" s="53">
        <f>-DU53</f>
        <v>0</v>
      </c>
      <c r="DV231" s="53">
        <f>-DV53</f>
        <v>0</v>
      </c>
      <c r="DW231" s="53">
        <f>-DW53</f>
        <v>0</v>
      </c>
      <c r="DX231" s="85">
        <f>SUM(DT231:DW231)</f>
        <v>0</v>
      </c>
      <c r="DY231" s="53">
        <f>-DY53</f>
        <v>0</v>
      </c>
      <c r="DZ231" s="53">
        <f>-DZ53</f>
        <v>0</v>
      </c>
      <c r="EA231" s="53">
        <f>-EA53</f>
        <v>0</v>
      </c>
      <c r="EB231" s="53">
        <f>-EB53</f>
        <v>0</v>
      </c>
      <c r="EC231" s="85">
        <f>SUM(DY231:EB231)</f>
        <v>0</v>
      </c>
      <c r="ED231" s="21"/>
      <c r="EE231" s="16"/>
      <c r="EF231" s="16"/>
      <c r="EG231" s="16"/>
      <c r="EH231" s="16"/>
      <c r="EI231" s="16"/>
      <c r="EJ231" s="16"/>
      <c r="EK231" s="16"/>
      <c r="EL231" s="16"/>
      <c r="EM231" s="16"/>
      <c r="EN231" s="16"/>
      <c r="EO231" s="16"/>
      <c r="EP231" s="16"/>
      <c r="EQ231" s="16"/>
      <c r="ER231" s="16"/>
      <c r="ES231" s="16"/>
      <c r="ET231" s="16"/>
      <c r="EU231" s="16"/>
      <c r="EX231" s="16"/>
      <c r="EY231" s="228"/>
      <c r="EZ231" s="1085"/>
      <c r="FA231" s="477"/>
      <c r="FB231" s="228"/>
      <c r="FC231" s="477"/>
      <c r="FD231" s="16"/>
      <c r="FE231"/>
      <c r="FF231"/>
      <c r="FG231"/>
      <c r="FH231"/>
      <c r="FI231"/>
      <c r="FJ231"/>
    </row>
    <row r="232" spans="1:166" x14ac:dyDescent="0.2">
      <c r="A232" s="83"/>
      <c r="B232" s="114"/>
      <c r="C232" s="111"/>
      <c r="D232" s="112"/>
      <c r="E232" s="112"/>
      <c r="F232" s="115"/>
      <c r="G232" s="114"/>
      <c r="H232" s="111"/>
      <c r="I232" s="112"/>
      <c r="J232" s="112"/>
      <c r="K232" s="112"/>
      <c r="L232" s="114"/>
      <c r="M232" s="112"/>
      <c r="N232" s="112"/>
      <c r="O232" s="112"/>
      <c r="P232" s="112"/>
      <c r="Q232" s="114"/>
      <c r="R232" s="112"/>
      <c r="S232" s="53"/>
      <c r="T232" s="53"/>
      <c r="U232" s="53"/>
      <c r="V232" s="114"/>
      <c r="W232" s="53"/>
      <c r="X232" s="53"/>
      <c r="Y232" s="53"/>
      <c r="Z232" s="53"/>
      <c r="AA232" s="114"/>
      <c r="AB232" s="53"/>
      <c r="AC232" s="53"/>
      <c r="AD232" s="53"/>
      <c r="AE232" s="53"/>
      <c r="AF232" s="114"/>
      <c r="AG232" s="53"/>
      <c r="AH232" s="53"/>
      <c r="AI232" s="53"/>
      <c r="AJ232" s="53"/>
      <c r="AK232" s="85"/>
      <c r="AL232" s="53"/>
      <c r="AM232" s="53"/>
      <c r="AN232" s="53"/>
      <c r="AO232" s="53"/>
      <c r="AP232" s="85"/>
      <c r="AQ232" s="53"/>
      <c r="AR232" s="53"/>
      <c r="AS232" s="53"/>
      <c r="AT232" s="53"/>
      <c r="AU232" s="86"/>
      <c r="AV232" s="45"/>
      <c r="AW232" s="53"/>
      <c r="AX232" s="53"/>
      <c r="AY232" s="53"/>
      <c r="AZ232" s="53"/>
      <c r="BA232" s="85"/>
      <c r="BB232" s="53"/>
      <c r="BC232" s="53"/>
      <c r="BD232" s="53"/>
      <c r="BE232" s="53"/>
      <c r="BF232" s="85"/>
      <c r="BG232" s="53"/>
      <c r="BH232" s="53"/>
      <c r="BI232" s="53"/>
      <c r="BJ232" s="53"/>
      <c r="BK232" s="85"/>
      <c r="BL232" s="53"/>
      <c r="BM232" s="53"/>
      <c r="BN232" s="53"/>
      <c r="BO232" s="53"/>
      <c r="BP232" s="85"/>
      <c r="BQ232" s="53"/>
      <c r="BR232" s="53"/>
      <c r="BS232" s="53"/>
      <c r="BT232" s="53"/>
      <c r="BU232" s="85"/>
      <c r="BV232" s="1303"/>
      <c r="BW232" s="1303"/>
      <c r="BX232" s="1303"/>
      <c r="BY232" s="1303"/>
      <c r="BZ232" s="85"/>
      <c r="CA232" s="53"/>
      <c r="CB232" s="53"/>
      <c r="CC232" s="53"/>
      <c r="CD232" s="53"/>
      <c r="CE232" s="85"/>
      <c r="CF232" s="53"/>
      <c r="CG232" s="53"/>
      <c r="CH232" s="53"/>
      <c r="CI232" s="53"/>
      <c r="CJ232" s="85"/>
      <c r="CK232" s="53"/>
      <c r="CL232" s="53"/>
      <c r="CM232" s="53"/>
      <c r="CN232" s="53"/>
      <c r="CO232" s="85"/>
      <c r="CP232" s="53"/>
      <c r="CQ232" s="53"/>
      <c r="CR232" s="53"/>
      <c r="CS232" s="53"/>
      <c r="CT232" s="85"/>
      <c r="CU232" s="53"/>
      <c r="CV232" s="53"/>
      <c r="CW232" s="53"/>
      <c r="CX232" s="53"/>
      <c r="CY232" s="85"/>
      <c r="CZ232" s="53"/>
      <c r="DA232" s="53"/>
      <c r="DB232" s="53"/>
      <c r="DC232" s="53"/>
      <c r="DD232" s="85"/>
      <c r="DE232" s="53"/>
      <c r="DF232" s="53"/>
      <c r="DG232" s="53"/>
      <c r="DH232" s="53"/>
      <c r="DI232" s="85"/>
      <c r="DJ232" s="53"/>
      <c r="DK232" s="53"/>
      <c r="DL232" s="53"/>
      <c r="DM232" s="53"/>
      <c r="DN232" s="85"/>
      <c r="DO232" s="53"/>
      <c r="DP232" s="53"/>
      <c r="DQ232" s="53"/>
      <c r="DR232" s="53"/>
      <c r="DS232" s="85"/>
      <c r="DT232" s="53"/>
      <c r="DU232" s="53"/>
      <c r="DV232" s="53"/>
      <c r="DW232" s="53"/>
      <c r="DX232" s="85"/>
      <c r="DY232" s="53"/>
      <c r="DZ232" s="53"/>
      <c r="EA232" s="53"/>
      <c r="EB232" s="53"/>
      <c r="EC232" s="85"/>
      <c r="ED232" s="21"/>
      <c r="EE232" s="16"/>
      <c r="EF232" s="16"/>
      <c r="EG232" s="16"/>
      <c r="EH232" s="16"/>
      <c r="EI232" s="16"/>
      <c r="EJ232" s="16"/>
      <c r="EK232" s="16"/>
      <c r="EL232" s="16"/>
      <c r="EM232" s="16"/>
      <c r="EN232" s="16"/>
      <c r="EO232" s="16"/>
      <c r="EP232" s="16"/>
      <c r="EQ232" s="16"/>
      <c r="ER232" s="16"/>
      <c r="ES232" s="16"/>
      <c r="ET232" s="16"/>
      <c r="EU232" s="16"/>
      <c r="EX232" s="16"/>
      <c r="EY232" s="228"/>
      <c r="EZ232" s="945"/>
      <c r="FA232" s="477"/>
      <c r="FB232" s="228"/>
      <c r="FC232" s="477"/>
      <c r="FD232" s="16"/>
    </row>
    <row r="233" spans="1:166" x14ac:dyDescent="0.2">
      <c r="A233" s="276" t="s">
        <v>821</v>
      </c>
      <c r="B233" s="357"/>
      <c r="C233" s="355"/>
      <c r="D233" s="356"/>
      <c r="E233" s="356"/>
      <c r="F233" s="358"/>
      <c r="G233" s="357"/>
      <c r="H233" s="355"/>
      <c r="I233" s="356"/>
      <c r="J233" s="356"/>
      <c r="K233" s="356"/>
      <c r="L233" s="357"/>
      <c r="M233" s="356"/>
      <c r="N233" s="356"/>
      <c r="O233" s="356"/>
      <c r="P233" s="356"/>
      <c r="Q233" s="357"/>
      <c r="R233" s="356"/>
      <c r="S233" s="376"/>
      <c r="T233" s="376"/>
      <c r="U233" s="376">
        <f t="shared" ref="U233:AD233" si="1259">IF(U224=0,U198-U197,U226*(1-0.4))</f>
        <v>16.8</v>
      </c>
      <c r="V233" s="377">
        <f t="shared" si="1259"/>
        <v>93</v>
      </c>
      <c r="W233" s="376">
        <f t="shared" si="1259"/>
        <v>35.4</v>
      </c>
      <c r="X233" s="376">
        <f t="shared" si="1259"/>
        <v>34.799999999999997</v>
      </c>
      <c r="Y233" s="376">
        <f t="shared" si="1259"/>
        <v>20.399999999999999</v>
      </c>
      <c r="Z233" s="376">
        <f t="shared" si="1259"/>
        <v>24.599999999999998</v>
      </c>
      <c r="AA233" s="377">
        <f t="shared" si="1259"/>
        <v>115.19999999999999</v>
      </c>
      <c r="AB233" s="376">
        <f t="shared" si="1259"/>
        <v>40</v>
      </c>
      <c r="AC233" s="376">
        <f t="shared" si="1259"/>
        <v>38</v>
      </c>
      <c r="AD233" s="376">
        <f t="shared" si="1259"/>
        <v>34</v>
      </c>
      <c r="AE233" s="376">
        <v>40</v>
      </c>
      <c r="AF233" s="377">
        <f>SUM(AB233:AE233)</f>
        <v>152</v>
      </c>
      <c r="AG233" s="376">
        <f>IS!AG51</f>
        <v>-47.2</v>
      </c>
      <c r="AH233" s="376">
        <f>IS!AH51</f>
        <v>-46</v>
      </c>
      <c r="AI233" s="376">
        <f>IS!AI51</f>
        <v>-40</v>
      </c>
      <c r="AJ233" s="376">
        <f>IS!AJ51</f>
        <v>-31</v>
      </c>
      <c r="AK233" s="377">
        <f>IS!AK51</f>
        <v>-164.2</v>
      </c>
      <c r="AL233" s="376">
        <v>52</v>
      </c>
      <c r="AM233" s="376">
        <f>IS!AM51</f>
        <v>-41.6</v>
      </c>
      <c r="AN233" s="376">
        <f>IS!AN51</f>
        <v>-29</v>
      </c>
      <c r="AO233" s="376">
        <f>IS!AO51</f>
        <v>-28.799999999999997</v>
      </c>
      <c r="AP233" s="377">
        <f>IS!AP51</f>
        <v>-139.39999999999998</v>
      </c>
      <c r="AQ233" s="376">
        <f>IS!AQ51</f>
        <v>-36.4</v>
      </c>
      <c r="AR233" s="376">
        <f>IS!AR51</f>
        <v>-38</v>
      </c>
      <c r="AS233" s="376">
        <f>AS226-AS227</f>
        <v>39.599999999999973</v>
      </c>
      <c r="AT233" s="376">
        <f>AT226-AT227</f>
        <v>49.799999999999962</v>
      </c>
      <c r="AU233" s="766">
        <f>IS!AU51</f>
        <v>15.599999999999923</v>
      </c>
      <c r="AV233" s="45"/>
      <c r="AW233" s="376">
        <f>AW226-AW227</f>
        <v>39.599999999999973</v>
      </c>
      <c r="AX233" s="376">
        <f t="shared" ref="AX233:BS233" si="1260">AX226-AX227</f>
        <v>49.799999999999962</v>
      </c>
      <c r="AY233" s="376">
        <f t="shared" si="1260"/>
        <v>52.799999999999962</v>
      </c>
      <c r="AZ233" s="376">
        <f t="shared" si="1260"/>
        <v>19.399999999999984</v>
      </c>
      <c r="BA233" s="377">
        <f t="shared" si="1260"/>
        <v>161.59999999999988</v>
      </c>
      <c r="BB233" s="376">
        <f t="shared" si="1260"/>
        <v>27.199999999999989</v>
      </c>
      <c r="BC233" s="376">
        <f t="shared" si="1260"/>
        <v>46.199999999999946</v>
      </c>
      <c r="BD233" s="376">
        <f t="shared" si="1260"/>
        <v>54.000000000000014</v>
      </c>
      <c r="BE233" s="376">
        <f t="shared" si="1260"/>
        <v>49.999999999999865</v>
      </c>
      <c r="BF233" s="377">
        <f t="shared" si="1260"/>
        <v>177.39999999999981</v>
      </c>
      <c r="BG233" s="376">
        <f t="shared" si="1260"/>
        <v>40.899999999999963</v>
      </c>
      <c r="BH233" s="376">
        <f t="shared" si="1260"/>
        <v>61.899999999999913</v>
      </c>
      <c r="BI233" s="376">
        <f t="shared" si="1260"/>
        <v>64.099999999999952</v>
      </c>
      <c r="BJ233" s="376">
        <f t="shared" si="1260"/>
        <v>82.600000000000037</v>
      </c>
      <c r="BK233" s="377">
        <f t="shared" si="1260"/>
        <v>249.49999999999994</v>
      </c>
      <c r="BL233" s="376">
        <f t="shared" si="1260"/>
        <v>57.59999999999998</v>
      </c>
      <c r="BM233" s="376">
        <f t="shared" si="1260"/>
        <v>76.000000000000028</v>
      </c>
      <c r="BN233" s="376">
        <f t="shared" si="1260"/>
        <v>81.7</v>
      </c>
      <c r="BO233" s="376">
        <f t="shared" si="1260"/>
        <v>90.499999999999957</v>
      </c>
      <c r="BP233" s="377">
        <f t="shared" si="1260"/>
        <v>305.7999999999999</v>
      </c>
      <c r="BQ233" s="376">
        <f t="shared" si="1260"/>
        <v>71.600000000000023</v>
      </c>
      <c r="BR233" s="376">
        <f t="shared" si="1260"/>
        <v>87.299999999999983</v>
      </c>
      <c r="BS233" s="376">
        <f t="shared" si="1260"/>
        <v>135.69999999999996</v>
      </c>
      <c r="BT233" s="376">
        <f>BT226-BT227+BT231</f>
        <v>37.112000000000009</v>
      </c>
      <c r="BU233" s="377">
        <f>BU226-BU227+BU231</f>
        <v>331.71199999999993</v>
      </c>
      <c r="BV233" s="1306">
        <f>BV226-BV227+BV231</f>
        <v>61.699999999999875</v>
      </c>
      <c r="BW233" s="1306">
        <f t="shared" ref="BW233" si="1261">BW226-BW227+BW231</f>
        <v>112.10000000000008</v>
      </c>
      <c r="BX233" s="1306">
        <f>BX226-BX227+BX231</f>
        <v>122.69999999999993</v>
      </c>
      <c r="BY233" s="1306">
        <f>BY226-BY227+BY231</f>
        <v>110.79999999999984</v>
      </c>
      <c r="BZ233" s="377">
        <f>BZ226-BZ227+BZ231</f>
        <v>407.29999999999973</v>
      </c>
      <c r="CA233" s="376">
        <f>CA226-CA227+CA231</f>
        <v>74.899999999999935</v>
      </c>
      <c r="CB233" s="376">
        <f t="shared" ref="CB233:CE233" si="1262">CB226-CB227+CB231</f>
        <v>140.99999999999986</v>
      </c>
      <c r="CC233" s="376">
        <f t="shared" si="1262"/>
        <v>151.60000000000014</v>
      </c>
      <c r="CD233" s="376">
        <f t="shared" si="1262"/>
        <v>152.50000000000011</v>
      </c>
      <c r="CE233" s="377">
        <f t="shared" si="1262"/>
        <v>520.00000000000023</v>
      </c>
      <c r="CF233" s="376">
        <f>CF226-CF204-CF227+CF231</f>
        <v>142.09999999999985</v>
      </c>
      <c r="CG233" s="376">
        <f t="shared" ref="CG233:DX233" si="1263">CG226-CG204-CG227+CG231</f>
        <v>192.39999999999992</v>
      </c>
      <c r="CH233" s="376">
        <f t="shared" si="1263"/>
        <v>201.39999999999975</v>
      </c>
      <c r="CI233" s="376">
        <f t="shared" ref="CI233" si="1264">CI226-CI204-CI227+CI231</f>
        <v>208.27999999999997</v>
      </c>
      <c r="CJ233" s="377">
        <f t="shared" si="1263"/>
        <v>744.1799999999995</v>
      </c>
      <c r="CK233" s="376">
        <f t="shared" si="1263"/>
        <v>170.60000000000002</v>
      </c>
      <c r="CL233" s="376">
        <f t="shared" si="1263"/>
        <v>241.70000000000016</v>
      </c>
      <c r="CM233" s="376">
        <f t="shared" si="1263"/>
        <v>275.59999999999997</v>
      </c>
      <c r="CN233" s="376">
        <f t="shared" si="1263"/>
        <v>313.50000000000017</v>
      </c>
      <c r="CO233" s="377">
        <f>CO226-CO204-CO227+CO231</f>
        <v>1001.4000000000001</v>
      </c>
      <c r="CP233" s="376">
        <f t="shared" si="1263"/>
        <v>313.29999999999978</v>
      </c>
      <c r="CQ233" s="376">
        <f t="shared" si="1263"/>
        <v>286.82572814492914</v>
      </c>
      <c r="CR233" s="376">
        <f t="shared" si="1263"/>
        <v>325.1303057556587</v>
      </c>
      <c r="CS233" s="376">
        <f t="shared" si="1263"/>
        <v>346.97212473785748</v>
      </c>
      <c r="CT233" s="377">
        <f t="shared" si="1263"/>
        <v>1272.2281586384449</v>
      </c>
      <c r="CU233" s="376">
        <f t="shared" si="1263"/>
        <v>283.45962851922167</v>
      </c>
      <c r="CV233" s="376">
        <f t="shared" si="1263"/>
        <v>336.23602450052931</v>
      </c>
      <c r="CW233" s="376">
        <f t="shared" si="1263"/>
        <v>375.41119736531397</v>
      </c>
      <c r="CX233" s="376">
        <f t="shared" si="1263"/>
        <v>400.58568867067214</v>
      </c>
      <c r="CY233" s="377">
        <f t="shared" si="1263"/>
        <v>1395.6925390557371</v>
      </c>
      <c r="CZ233" s="376">
        <f t="shared" si="1263"/>
        <v>318.63502464007479</v>
      </c>
      <c r="DA233" s="376">
        <f t="shared" si="1263"/>
        <v>388.45450279822802</v>
      </c>
      <c r="DB233" s="376">
        <f t="shared" si="1263"/>
        <v>431.64955022181118</v>
      </c>
      <c r="DC233" s="376">
        <f t="shared" si="1263"/>
        <v>459.71823090238962</v>
      </c>
      <c r="DD233" s="377">
        <f t="shared" si="1263"/>
        <v>1598.4573085625038</v>
      </c>
      <c r="DE233" s="376">
        <f t="shared" si="1263"/>
        <v>362.99145889690726</v>
      </c>
      <c r="DF233" s="376">
        <f t="shared" si="1263"/>
        <v>421.24153445070431</v>
      </c>
      <c r="DG233" s="376">
        <f t="shared" si="1263"/>
        <v>470.70724378216454</v>
      </c>
      <c r="DH233" s="376">
        <f t="shared" si="1263"/>
        <v>473.47306088713253</v>
      </c>
      <c r="DI233" s="377">
        <f t="shared" si="1263"/>
        <v>1728.4132980169084</v>
      </c>
      <c r="DJ233" s="376">
        <f t="shared" si="1263"/>
        <v>416.99325153930397</v>
      </c>
      <c r="DK233" s="376">
        <f t="shared" si="1263"/>
        <v>478.18942445740788</v>
      </c>
      <c r="DL233" s="376">
        <f t="shared" si="1263"/>
        <v>535.10492199570581</v>
      </c>
      <c r="DM233" s="376">
        <f t="shared" si="1263"/>
        <v>568.94015758038927</v>
      </c>
      <c r="DN233" s="377">
        <f t="shared" si="1263"/>
        <v>1999.2277555728069</v>
      </c>
      <c r="DO233" s="376">
        <f t="shared" si="1263"/>
        <v>471.94377078156413</v>
      </c>
      <c r="DP233" s="376">
        <f t="shared" si="1263"/>
        <v>541.07942773705417</v>
      </c>
      <c r="DQ233" s="376">
        <f t="shared" si="1263"/>
        <v>602.85878336129304</v>
      </c>
      <c r="DR233" s="376">
        <f t="shared" si="1263"/>
        <v>639.50324158890692</v>
      </c>
      <c r="DS233" s="377">
        <f t="shared" si="1263"/>
        <v>2255.3852234688184</v>
      </c>
      <c r="DT233" s="376">
        <f t="shared" si="1263"/>
        <v>492.44548985081576</v>
      </c>
      <c r="DU233" s="376">
        <f t="shared" si="1263"/>
        <v>557.34028610052633</v>
      </c>
      <c r="DV233" s="376">
        <f t="shared" si="1263"/>
        <v>632.98505559347836</v>
      </c>
      <c r="DW233" s="376">
        <f t="shared" si="1263"/>
        <v>676.62313468297634</v>
      </c>
      <c r="DX233" s="377">
        <f t="shared" si="1263"/>
        <v>2359.3939662277962</v>
      </c>
      <c r="DY233" s="376">
        <f t="shared" ref="DY233:EC233" si="1265">DY226-DY204-DY227+DY231</f>
        <v>562.55779262585042</v>
      </c>
      <c r="DZ233" s="376">
        <f t="shared" si="1265"/>
        <v>639.14531363272135</v>
      </c>
      <c r="EA233" s="376">
        <f t="shared" si="1265"/>
        <v>707.36687787248627</v>
      </c>
      <c r="EB233" s="376">
        <f t="shared" si="1265"/>
        <v>754.5917996766027</v>
      </c>
      <c r="EC233" s="377">
        <f t="shared" si="1265"/>
        <v>2663.6617838076609</v>
      </c>
      <c r="ED233" s="126"/>
      <c r="EE233" s="16"/>
      <c r="EF233" s="16"/>
      <c r="EG233" s="16"/>
      <c r="EH233" s="16"/>
      <c r="EI233" s="16"/>
      <c r="EJ233" s="16"/>
      <c r="EK233" s="16"/>
      <c r="EL233" s="16"/>
      <c r="EM233" s="16"/>
      <c r="EN233" s="16"/>
      <c r="EO233" s="16"/>
      <c r="EP233" s="16"/>
      <c r="EQ233" s="16"/>
      <c r="ER233" s="16"/>
      <c r="ES233" s="16"/>
      <c r="ET233" s="16"/>
      <c r="EU233" s="16"/>
      <c r="EX233" s="16"/>
      <c r="EY233" s="228"/>
      <c r="EZ233" s="945"/>
      <c r="FA233" s="477"/>
      <c r="FB233" s="228"/>
      <c r="FC233" s="477"/>
      <c r="FD233" s="16"/>
    </row>
    <row r="234" spans="1:166" x14ac:dyDescent="0.2">
      <c r="A234" s="276" t="s">
        <v>822</v>
      </c>
      <c r="B234" s="357"/>
      <c r="C234" s="355"/>
      <c r="D234" s="356"/>
      <c r="E234" s="356"/>
      <c r="F234" s="358"/>
      <c r="G234" s="357"/>
      <c r="H234" s="355"/>
      <c r="I234" s="356"/>
      <c r="J234" s="356"/>
      <c r="K234" s="356"/>
      <c r="L234" s="357"/>
      <c r="M234" s="356"/>
      <c r="N234" s="356"/>
      <c r="O234" s="356"/>
      <c r="P234" s="356"/>
      <c r="Q234" s="357"/>
      <c r="R234" s="356"/>
      <c r="S234" s="356"/>
      <c r="T234" s="356"/>
      <c r="U234" s="356">
        <f t="shared" ref="U234:AU234" si="1266">U233/U67</f>
        <v>0.15671641791044777</v>
      </c>
      <c r="V234" s="357">
        <f t="shared" si="1266"/>
        <v>0.86997193638914871</v>
      </c>
      <c r="W234" s="356">
        <f t="shared" si="1266"/>
        <v>0.26144756277695713</v>
      </c>
      <c r="X234" s="356">
        <f t="shared" si="1266"/>
        <v>0.25682656826568262</v>
      </c>
      <c r="Y234" s="356">
        <f t="shared" si="1266"/>
        <v>0.15055350553505534</v>
      </c>
      <c r="Z234" s="356">
        <f t="shared" si="1266"/>
        <v>0.20429178846664894</v>
      </c>
      <c r="AA234" s="357">
        <f t="shared" si="1266"/>
        <v>1.0172544725641524</v>
      </c>
      <c r="AB234" s="356">
        <f t="shared" si="1266"/>
        <v>0.29433406916850624</v>
      </c>
      <c r="AC234" s="356">
        <f t="shared" si="1266"/>
        <v>0.2783882783882784</v>
      </c>
      <c r="AD234" s="356">
        <f t="shared" si="1266"/>
        <v>0.24781341107871721</v>
      </c>
      <c r="AE234" s="356">
        <f t="shared" si="1266"/>
        <v>0.29069767441860467</v>
      </c>
      <c r="AF234" s="357">
        <f t="shared" si="1266"/>
        <v>1.1111111111111109</v>
      </c>
      <c r="AG234" s="356">
        <f t="shared" si="1266"/>
        <v>-0.34277414669571538</v>
      </c>
      <c r="AH234" s="356">
        <f t="shared" si="1266"/>
        <v>-0.33357505438723711</v>
      </c>
      <c r="AI234" s="356">
        <f t="shared" si="1266"/>
        <v>-0.29090909090909089</v>
      </c>
      <c r="AJ234" s="356">
        <f t="shared" si="1266"/>
        <v>-0.22578295702840492</v>
      </c>
      <c r="AK234" s="357">
        <f t="shared" si="1266"/>
        <v>-1.1933139534883719</v>
      </c>
      <c r="AL234" s="356">
        <f t="shared" si="1266"/>
        <v>0.37873270211216309</v>
      </c>
      <c r="AM234" s="356">
        <f t="shared" si="1266"/>
        <v>-0.30481245896892745</v>
      </c>
      <c r="AN234" s="356">
        <f t="shared" si="1266"/>
        <v>-0.21214337966349672</v>
      </c>
      <c r="AO234" s="356">
        <f t="shared" si="1266"/>
        <v>-0.21068032187271396</v>
      </c>
      <c r="AP234" s="357">
        <f t="shared" si="1266"/>
        <v>-1.0190480084573525</v>
      </c>
      <c r="AQ234" s="356">
        <f t="shared" si="1266"/>
        <v>-0.2660818713450292</v>
      </c>
      <c r="AR234" s="356">
        <f t="shared" si="1266"/>
        <v>-0.27777777777777773</v>
      </c>
      <c r="AS234" s="356">
        <f t="shared" si="1266"/>
        <v>0.28862973760932925</v>
      </c>
      <c r="AT234" s="356">
        <f t="shared" si="1266"/>
        <v>0.36165577342047905</v>
      </c>
      <c r="AU234" s="355">
        <f t="shared" si="1266"/>
        <v>0.11376481312670865</v>
      </c>
      <c r="AV234" s="45"/>
      <c r="AW234" s="356">
        <f t="shared" ref="AW234:CB234" si="1267">AW233/AW67</f>
        <v>0.28862973760932925</v>
      </c>
      <c r="AX234" s="356">
        <f t="shared" si="1267"/>
        <v>0.36165577342047905</v>
      </c>
      <c r="AY234" s="356">
        <f t="shared" si="1267"/>
        <v>0.38288614938361104</v>
      </c>
      <c r="AZ234" s="356">
        <f t="shared" si="1267"/>
        <v>0.14088598402323882</v>
      </c>
      <c r="BA234" s="357">
        <f t="shared" si="1267"/>
        <v>1.1778425655976668</v>
      </c>
      <c r="BB234" s="356">
        <f t="shared" si="1267"/>
        <v>7.8093597473442397E-2</v>
      </c>
      <c r="BC234" s="356">
        <f t="shared" si="1267"/>
        <v>0.13264427217915575</v>
      </c>
      <c r="BD234" s="356">
        <f t="shared" si="1267"/>
        <v>0.15503875968992251</v>
      </c>
      <c r="BE234" s="356">
        <f t="shared" si="1267"/>
        <v>0.14359563469270495</v>
      </c>
      <c r="BF234" s="357">
        <f t="shared" si="1267"/>
        <v>0.50947731188971801</v>
      </c>
      <c r="BG234" s="356">
        <f t="shared" si="1267"/>
        <v>0.11622620062517751</v>
      </c>
      <c r="BH234" s="356">
        <f t="shared" si="1267"/>
        <v>0.17456288776085704</v>
      </c>
      <c r="BI234" s="356">
        <f t="shared" si="1267"/>
        <v>0.18056338028169</v>
      </c>
      <c r="BJ234" s="356">
        <f t="shared" si="1267"/>
        <v>0.23176206509539854</v>
      </c>
      <c r="BK234" s="357">
        <f t="shared" si="1267"/>
        <v>0.70460321942953952</v>
      </c>
      <c r="BL234" s="356">
        <f t="shared" si="1267"/>
        <v>0.16129935592271066</v>
      </c>
      <c r="BM234" s="356">
        <f t="shared" si="1267"/>
        <v>0.21246854906346108</v>
      </c>
      <c r="BN234" s="356">
        <f t="shared" si="1267"/>
        <v>0.22814856185423066</v>
      </c>
      <c r="BO234" s="356">
        <f t="shared" si="1267"/>
        <v>0.25251116071428559</v>
      </c>
      <c r="BP234" s="357">
        <f t="shared" si="1267"/>
        <v>0.85460769929434743</v>
      </c>
      <c r="BQ234" s="356">
        <f t="shared" si="1267"/>
        <v>0.1993318485523386</v>
      </c>
      <c r="BR234" s="356">
        <f t="shared" si="1267"/>
        <v>0.2429048414023372</v>
      </c>
      <c r="BS234" s="356">
        <f t="shared" si="1267"/>
        <v>0.37778396436525602</v>
      </c>
      <c r="BT234" s="356">
        <f t="shared" si="1267"/>
        <v>9.8518715157950645E-2</v>
      </c>
      <c r="BU234" s="357">
        <f t="shared" si="1267"/>
        <v>0.91223650739085582</v>
      </c>
      <c r="BV234" s="1276">
        <f t="shared" si="1267"/>
        <v>0.12959462297836563</v>
      </c>
      <c r="BW234" s="1276">
        <f t="shared" si="1267"/>
        <v>0.23545473639991615</v>
      </c>
      <c r="BX234" s="1276">
        <f t="shared" si="1267"/>
        <v>0.25771896660365456</v>
      </c>
      <c r="BY234" s="1276">
        <f t="shared" si="1267"/>
        <v>0.2327242176013439</v>
      </c>
      <c r="BZ234" s="357">
        <f t="shared" si="1267"/>
        <v>0.8554925435832802</v>
      </c>
      <c r="CA234" s="356">
        <f t="shared" si="1267"/>
        <v>0.16031678082191766</v>
      </c>
      <c r="CB234" s="356">
        <f t="shared" si="1267"/>
        <v>0.29596977329974783</v>
      </c>
      <c r="CC234" s="356">
        <f t="shared" ref="CC234:DH234" si="1268">CC233/CC67</f>
        <v>0.31815320041972744</v>
      </c>
      <c r="CD234" s="356">
        <f t="shared" si="1268"/>
        <v>0.32125552980830024</v>
      </c>
      <c r="CE234" s="357">
        <f t="shared" si="1268"/>
        <v>1.0924369747899165</v>
      </c>
      <c r="CF234" s="356">
        <f t="shared" si="1268"/>
        <v>0.3033731853116991</v>
      </c>
      <c r="CG234" s="356">
        <f t="shared" si="1268"/>
        <v>0.40927462242076135</v>
      </c>
      <c r="CH234" s="356">
        <f t="shared" si="1268"/>
        <v>0.42796430089247711</v>
      </c>
      <c r="CI234" s="356">
        <f t="shared" si="1268"/>
        <v>0.44239592183517412</v>
      </c>
      <c r="CJ234" s="357">
        <f t="shared" si="1268"/>
        <v>1.5834459279748914</v>
      </c>
      <c r="CK234" s="356">
        <f t="shared" si="1268"/>
        <v>0.3580272822665268</v>
      </c>
      <c r="CL234" s="356">
        <f t="shared" si="1268"/>
        <v>0.5056485355648539</v>
      </c>
      <c r="CM234" s="356">
        <f t="shared" si="1268"/>
        <v>0.5758462181362306</v>
      </c>
      <c r="CN234" s="356">
        <f t="shared" si="1268"/>
        <v>0.65833683326333514</v>
      </c>
      <c r="CO234" s="357">
        <f t="shared" si="1268"/>
        <v>2.0979416540093232</v>
      </c>
      <c r="CP234" s="356">
        <f t="shared" si="1268"/>
        <v>0.66110993880565483</v>
      </c>
      <c r="CQ234" s="356">
        <f t="shared" si="1268"/>
        <v>0.60154011063140078</v>
      </c>
      <c r="CR234" s="356">
        <f t="shared" si="1268"/>
        <v>0.6828521088275642</v>
      </c>
      <c r="CS234" s="356">
        <f t="shared" si="1268"/>
        <v>0.73007944855277751</v>
      </c>
      <c r="CT234" s="357">
        <f t="shared" si="1268"/>
        <v>2.6754078027777957</v>
      </c>
      <c r="CU234" s="356">
        <f t="shared" si="1268"/>
        <v>0.59558380380153197</v>
      </c>
      <c r="CV234" s="356">
        <f t="shared" si="1268"/>
        <v>0.70519946922694898</v>
      </c>
      <c r="CW234" s="356">
        <f t="shared" si="1268"/>
        <v>0.78857002258239217</v>
      </c>
      <c r="CX234" s="356">
        <f t="shared" si="1268"/>
        <v>0.84309704726168322</v>
      </c>
      <c r="CY234" s="357">
        <f t="shared" si="1268"/>
        <v>2.9322302483193732</v>
      </c>
      <c r="CZ234" s="356">
        <f t="shared" si="1268"/>
        <v>0.66959012965211684</v>
      </c>
      <c r="DA234" s="356">
        <f t="shared" si="1268"/>
        <v>0.81476214646944489</v>
      </c>
      <c r="DB234" s="356">
        <f t="shared" si="1268"/>
        <v>0.90684547504622814</v>
      </c>
      <c r="DC234" s="356">
        <f t="shared" si="1268"/>
        <v>0.9678075900666534</v>
      </c>
      <c r="DD234" s="357">
        <f t="shared" si="1268"/>
        <v>3.3587450959002152</v>
      </c>
      <c r="DE234" s="356">
        <f t="shared" si="1268"/>
        <v>0.76292337738886273</v>
      </c>
      <c r="DF234" s="356">
        <f t="shared" si="1268"/>
        <v>0.88358158517652574</v>
      </c>
      <c r="DG234" s="356">
        <f t="shared" si="1268"/>
        <v>0.98907076361489321</v>
      </c>
      <c r="DH234" s="356">
        <f t="shared" si="1268"/>
        <v>0.9970500884003094</v>
      </c>
      <c r="DI234" s="357">
        <f t="shared" ref="DI234:EC234" si="1269">DI233/DI67</f>
        <v>3.6324255420520197</v>
      </c>
      <c r="DJ234" s="356">
        <f t="shared" si="1269"/>
        <v>0.87657293935013825</v>
      </c>
      <c r="DK234" s="356">
        <f t="shared" si="1269"/>
        <v>1.0030953287260063</v>
      </c>
      <c r="DL234" s="356">
        <f t="shared" si="1269"/>
        <v>1.1245943229445399</v>
      </c>
      <c r="DM234" s="356">
        <f t="shared" si="1269"/>
        <v>1.1984576411483419</v>
      </c>
      <c r="DN234" s="357">
        <f t="shared" si="1269"/>
        <v>4.202332149762575</v>
      </c>
      <c r="DO234" s="356">
        <f t="shared" si="1269"/>
        <v>0.9922698217601581</v>
      </c>
      <c r="DP234" s="356">
        <f t="shared" si="1269"/>
        <v>1.1350949126854812</v>
      </c>
      <c r="DQ234" s="356">
        <f t="shared" si="1269"/>
        <v>1.2672416713607095</v>
      </c>
      <c r="DR234" s="356">
        <f t="shared" si="1269"/>
        <v>1.3475473878791278</v>
      </c>
      <c r="DS234" s="357">
        <f t="shared" si="1269"/>
        <v>4.7417008378315151</v>
      </c>
      <c r="DT234" s="356">
        <f t="shared" si="1269"/>
        <v>1.0355823444288106</v>
      </c>
      <c r="DU234" s="356">
        <f t="shared" si="1269"/>
        <v>1.1692915765358676</v>
      </c>
      <c r="DV234" s="356">
        <f t="shared" si="1269"/>
        <v>1.3308563888140115</v>
      </c>
      <c r="DW234" s="356">
        <f t="shared" si="1269"/>
        <v>1.4262807006167648</v>
      </c>
      <c r="DX234" s="357">
        <f t="shared" si="1269"/>
        <v>4.9614205827165412</v>
      </c>
      <c r="DY234" s="356">
        <f t="shared" si="1269"/>
        <v>1.1832800489318742</v>
      </c>
      <c r="DZ234" s="356">
        <f t="shared" si="1269"/>
        <v>1.3410214493604273</v>
      </c>
      <c r="EA234" s="356">
        <f t="shared" si="1269"/>
        <v>1.4875921405480257</v>
      </c>
      <c r="EB234" s="356">
        <f t="shared" si="1269"/>
        <v>1.5912547889813093</v>
      </c>
      <c r="EC234" s="357">
        <f t="shared" si="1269"/>
        <v>5.6025303051139765</v>
      </c>
      <c r="ED234" s="809"/>
      <c r="EE234" s="16"/>
      <c r="EF234" s="16"/>
      <c r="EG234" s="16"/>
      <c r="EH234" s="16"/>
      <c r="EI234" s="16"/>
      <c r="EJ234" s="16"/>
      <c r="EK234" s="16"/>
      <c r="EL234" s="16"/>
      <c r="EM234" s="16"/>
      <c r="EN234" s="16"/>
      <c r="EO234" s="16"/>
      <c r="EP234" s="16"/>
      <c r="EQ234" s="16"/>
      <c r="ER234" s="16"/>
      <c r="ES234" s="16"/>
      <c r="ET234" s="16"/>
      <c r="EU234" s="16"/>
      <c r="EX234" s="16"/>
      <c r="EY234" s="228"/>
      <c r="EZ234" s="945"/>
      <c r="FA234" s="477"/>
      <c r="FB234" s="228"/>
      <c r="FC234" s="477"/>
      <c r="FD234" s="16"/>
    </row>
    <row r="235" spans="1:166" s="1066" customFormat="1" x14ac:dyDescent="0.2">
      <c r="A235" s="1662" t="s">
        <v>823</v>
      </c>
      <c r="B235" s="1663"/>
      <c r="C235" s="1664"/>
      <c r="D235" s="1665"/>
      <c r="E235" s="1665"/>
      <c r="F235" s="1666"/>
      <c r="G235" s="1663"/>
      <c r="H235" s="1664"/>
      <c r="I235" s="1665"/>
      <c r="J235" s="1665"/>
      <c r="K235" s="1665"/>
      <c r="L235" s="1663"/>
      <c r="M235" s="1665"/>
      <c r="N235" s="1665"/>
      <c r="O235" s="1665"/>
      <c r="P235" s="1665"/>
      <c r="Q235" s="1663"/>
      <c r="R235" s="1665"/>
      <c r="S235" s="360"/>
      <c r="T235" s="360"/>
      <c r="U235" s="360">
        <f t="shared" ref="U235:AD235" si="1270">IF(U226=0,U200-U199,U228*(1-0.4))</f>
        <v>0</v>
      </c>
      <c r="V235" s="361">
        <f t="shared" si="1270"/>
        <v>0</v>
      </c>
      <c r="W235" s="360">
        <f t="shared" si="1270"/>
        <v>0</v>
      </c>
      <c r="X235" s="360">
        <f t="shared" si="1270"/>
        <v>0</v>
      </c>
      <c r="Y235" s="360">
        <f t="shared" si="1270"/>
        <v>0</v>
      </c>
      <c r="Z235" s="360">
        <f t="shared" si="1270"/>
        <v>0</v>
      </c>
      <c r="AA235" s="361">
        <f t="shared" si="1270"/>
        <v>0</v>
      </c>
      <c r="AB235" s="360">
        <f t="shared" si="1270"/>
        <v>0</v>
      </c>
      <c r="AC235" s="360">
        <f t="shared" si="1270"/>
        <v>0</v>
      </c>
      <c r="AD235" s="360">
        <f t="shared" si="1270"/>
        <v>0</v>
      </c>
      <c r="AE235" s="360">
        <v>40</v>
      </c>
      <c r="AF235" s="361">
        <f>SUM(AB235:AE235)</f>
        <v>40</v>
      </c>
      <c r="AG235" s="360">
        <f>IS!AG53</f>
        <v>0</v>
      </c>
      <c r="AH235" s="360">
        <f>IS!AH53</f>
        <v>0</v>
      </c>
      <c r="AI235" s="360">
        <f>IS!AI53</f>
        <v>0</v>
      </c>
      <c r="AJ235" s="360">
        <f>IS!AJ53</f>
        <v>0</v>
      </c>
      <c r="AK235" s="361">
        <f>IS!AK53</f>
        <v>0</v>
      </c>
      <c r="AL235" s="360">
        <v>52</v>
      </c>
      <c r="AM235" s="360">
        <f>IS!AM53</f>
        <v>0</v>
      </c>
      <c r="AN235" s="360">
        <f>IS!AN53</f>
        <v>0</v>
      </c>
      <c r="AO235" s="360">
        <f>IS!AO53</f>
        <v>0</v>
      </c>
      <c r="AP235" s="361">
        <f>IS!AP53</f>
        <v>0</v>
      </c>
      <c r="AQ235" s="360">
        <f>IS!AQ53</f>
        <v>0</v>
      </c>
      <c r="AR235" s="360">
        <f>IS!AR53</f>
        <v>0</v>
      </c>
      <c r="AS235" s="360">
        <f>AS228-AS229</f>
        <v>-39.213953488372063</v>
      </c>
      <c r="AT235" s="360">
        <f>AT228-AT229</f>
        <v>21.305439330543933</v>
      </c>
      <c r="AU235" s="363">
        <f>IS!AU53</f>
        <v>0</v>
      </c>
      <c r="AV235" s="45"/>
      <c r="AW235" s="360">
        <f>AW228-AW229</f>
        <v>-39.213953488372063</v>
      </c>
      <c r="AX235" s="360">
        <f t="shared" ref="AX235:BE235" si="1271">AX228-AX229</f>
        <v>21.305439330543933</v>
      </c>
      <c r="AY235" s="360">
        <f t="shared" si="1271"/>
        <v>25.997872340425531</v>
      </c>
      <c r="AZ235" s="360">
        <f t="shared" si="1271"/>
        <v>-154.63764258555133</v>
      </c>
      <c r="BA235" s="361">
        <f t="shared" si="1271"/>
        <v>-80.479848548590667</v>
      </c>
      <c r="BB235" s="360">
        <f t="shared" si="1271"/>
        <v>-32.631090487238971</v>
      </c>
      <c r="BC235" s="360">
        <f t="shared" si="1271"/>
        <v>-2.9754385964912284</v>
      </c>
      <c r="BD235" s="360">
        <f t="shared" si="1271"/>
        <v>-1.5133421400264209</v>
      </c>
      <c r="BE235" s="360">
        <f t="shared" si="1271"/>
        <v>-24.38864353312303</v>
      </c>
      <c r="BF235" s="361">
        <f t="shared" ref="BF235:BU235" si="1272">BF226-BF204-BF227+BF231</f>
        <v>170.99999999999977</v>
      </c>
      <c r="BG235" s="360">
        <f t="shared" si="1272"/>
        <v>38.599999999999966</v>
      </c>
      <c r="BH235" s="360">
        <f t="shared" si="1272"/>
        <v>60.69999999999991</v>
      </c>
      <c r="BI235" s="360">
        <f t="shared" si="1272"/>
        <v>61.499999999999957</v>
      </c>
      <c r="BJ235" s="360">
        <f t="shared" si="1272"/>
        <v>78.500000000000043</v>
      </c>
      <c r="BK235" s="361">
        <f t="shared" si="1272"/>
        <v>239.29999999999995</v>
      </c>
      <c r="BL235" s="360">
        <f t="shared" si="1272"/>
        <v>54.899999999999977</v>
      </c>
      <c r="BM235" s="360">
        <f t="shared" si="1272"/>
        <v>72.800000000000011</v>
      </c>
      <c r="BN235" s="360">
        <f t="shared" si="1272"/>
        <v>78.2</v>
      </c>
      <c r="BO235" s="360">
        <f t="shared" si="1272"/>
        <v>82.299999999999955</v>
      </c>
      <c r="BP235" s="361">
        <f t="shared" si="1272"/>
        <v>288.19999999999987</v>
      </c>
      <c r="BQ235" s="360">
        <f t="shared" si="1272"/>
        <v>68.100000000000023</v>
      </c>
      <c r="BR235" s="360">
        <f t="shared" si="1272"/>
        <v>83.099999999999966</v>
      </c>
      <c r="BS235" s="360">
        <f t="shared" si="1272"/>
        <v>131.19999999999996</v>
      </c>
      <c r="BT235" s="360">
        <f t="shared" si="1272"/>
        <v>12.012000000000004</v>
      </c>
      <c r="BU235" s="361">
        <f t="shared" si="1272"/>
        <v>294.41199999999998</v>
      </c>
      <c r="BV235" s="1301">
        <f t="shared" ref="BV235:DA235" si="1273">BV226-BV204-BV227+BV231-BV305</f>
        <v>61.299999999999876</v>
      </c>
      <c r="BW235" s="1301">
        <f t="shared" si="1273"/>
        <v>115.00000000000009</v>
      </c>
      <c r="BX235" s="1301">
        <f t="shared" si="1273"/>
        <v>141.59999999999994</v>
      </c>
      <c r="BY235" s="1301">
        <f t="shared" si="1273"/>
        <v>93.699999999999847</v>
      </c>
      <c r="BZ235" s="361">
        <f t="shared" si="1273"/>
        <v>411.59999999999974</v>
      </c>
      <c r="CA235" s="360">
        <f t="shared" si="1273"/>
        <v>52.399999999999935</v>
      </c>
      <c r="CB235" s="360">
        <f>CB226-CB204-CB227+CB231-CB305</f>
        <v>131.39999999999986</v>
      </c>
      <c r="CC235" s="360">
        <f t="shared" si="1273"/>
        <v>140.70000000000013</v>
      </c>
      <c r="CD235" s="360">
        <f t="shared" si="1273"/>
        <v>150.90000000000012</v>
      </c>
      <c r="CE235" s="361">
        <f t="shared" si="1273"/>
        <v>475.4000000000002</v>
      </c>
      <c r="CF235" s="360">
        <f t="shared" si="1273"/>
        <v>117.99999999999986</v>
      </c>
      <c r="CG235" s="360">
        <f t="shared" si="1273"/>
        <v>204.49999999999991</v>
      </c>
      <c r="CH235" s="360">
        <f>CH226-CH204-CH227+CH231-CH305</f>
        <v>197.29999999999976</v>
      </c>
      <c r="CI235" s="360">
        <f>CI226-CI204-CI227+CI231-CI305</f>
        <v>244.47999999999996</v>
      </c>
      <c r="CJ235" s="361">
        <f t="shared" si="1273"/>
        <v>764.27999999999952</v>
      </c>
      <c r="CK235" s="360">
        <f t="shared" si="1273"/>
        <v>160.20000000000002</v>
      </c>
      <c r="CL235" s="360">
        <f t="shared" si="1273"/>
        <v>204.90000000000015</v>
      </c>
      <c r="CM235" s="360">
        <f t="shared" si="1273"/>
        <v>257.89999999999998</v>
      </c>
      <c r="CN235" s="360">
        <f t="shared" si="1273"/>
        <v>301.10000000000019</v>
      </c>
      <c r="CO235" s="361">
        <f t="shared" si="1273"/>
        <v>924.10000000000014</v>
      </c>
      <c r="CP235" s="360">
        <f t="shared" si="1273"/>
        <v>296.89999999999981</v>
      </c>
      <c r="CQ235" s="360">
        <f t="shared" si="1273"/>
        <v>267.50072814492916</v>
      </c>
      <c r="CR235" s="360">
        <f t="shared" si="1273"/>
        <v>305.80530575565871</v>
      </c>
      <c r="CS235" s="360">
        <f t="shared" si="1273"/>
        <v>327.6471247378575</v>
      </c>
      <c r="CT235" s="361">
        <f t="shared" si="1273"/>
        <v>1197.8531586384449</v>
      </c>
      <c r="CU235" s="360">
        <f t="shared" si="1273"/>
        <v>264.86587851922167</v>
      </c>
      <c r="CV235" s="360">
        <f t="shared" si="1273"/>
        <v>317.64227450052931</v>
      </c>
      <c r="CW235" s="360">
        <f t="shared" si="1273"/>
        <v>356.81744736531397</v>
      </c>
      <c r="CX235" s="360">
        <f t="shared" si="1273"/>
        <v>381.99193867067214</v>
      </c>
      <c r="CY235" s="361">
        <f t="shared" si="1273"/>
        <v>1321.3175390557371</v>
      </c>
      <c r="CZ235" s="360">
        <f t="shared" si="1273"/>
        <v>300.04127464007479</v>
      </c>
      <c r="DA235" s="360">
        <f t="shared" si="1273"/>
        <v>369.86075279822802</v>
      </c>
      <c r="DB235" s="360">
        <f t="shared" ref="DB235:DX235" si="1274">DB226-DB204-DB227+DB231-DB305</f>
        <v>413.05580022181118</v>
      </c>
      <c r="DC235" s="360">
        <f t="shared" si="1274"/>
        <v>441.12448090238962</v>
      </c>
      <c r="DD235" s="361">
        <f t="shared" si="1274"/>
        <v>1524.0823085625038</v>
      </c>
      <c r="DE235" s="360">
        <f t="shared" si="1274"/>
        <v>362.99145889690726</v>
      </c>
      <c r="DF235" s="360">
        <f t="shared" si="1274"/>
        <v>421.24153445070431</v>
      </c>
      <c r="DG235" s="360">
        <f t="shared" si="1274"/>
        <v>470.70724378216454</v>
      </c>
      <c r="DH235" s="360">
        <f t="shared" si="1274"/>
        <v>473.47306088713253</v>
      </c>
      <c r="DI235" s="361">
        <f t="shared" si="1274"/>
        <v>1728.4132980169084</v>
      </c>
      <c r="DJ235" s="360">
        <f t="shared" si="1274"/>
        <v>416.99325153930397</v>
      </c>
      <c r="DK235" s="360">
        <f t="shared" si="1274"/>
        <v>478.18942445740788</v>
      </c>
      <c r="DL235" s="360">
        <f t="shared" si="1274"/>
        <v>535.10492199570581</v>
      </c>
      <c r="DM235" s="360">
        <f t="shared" si="1274"/>
        <v>568.94015758038927</v>
      </c>
      <c r="DN235" s="361">
        <f t="shared" si="1274"/>
        <v>1999.2277555728069</v>
      </c>
      <c r="DO235" s="360">
        <f t="shared" si="1274"/>
        <v>471.94377078156413</v>
      </c>
      <c r="DP235" s="360">
        <f t="shared" si="1274"/>
        <v>541.07942773705417</v>
      </c>
      <c r="DQ235" s="360">
        <f t="shared" si="1274"/>
        <v>602.85878336129304</v>
      </c>
      <c r="DR235" s="360">
        <f t="shared" si="1274"/>
        <v>639.50324158890692</v>
      </c>
      <c r="DS235" s="361">
        <f t="shared" si="1274"/>
        <v>2255.3852234688184</v>
      </c>
      <c r="DT235" s="360">
        <f t="shared" si="1274"/>
        <v>492.44548985081576</v>
      </c>
      <c r="DU235" s="360">
        <f t="shared" si="1274"/>
        <v>557.34028610052633</v>
      </c>
      <c r="DV235" s="360">
        <f t="shared" si="1274"/>
        <v>632.98505559347836</v>
      </c>
      <c r="DW235" s="360">
        <f t="shared" si="1274"/>
        <v>676.62313468297634</v>
      </c>
      <c r="DX235" s="361">
        <f t="shared" si="1274"/>
        <v>2359.3939662277962</v>
      </c>
      <c r="DY235" s="360">
        <f t="shared" ref="DY235:EC235" si="1275">DY226-DY204-DY227+DY231-DY305</f>
        <v>562.55779262585042</v>
      </c>
      <c r="DZ235" s="360">
        <f t="shared" si="1275"/>
        <v>639.14531363272135</v>
      </c>
      <c r="EA235" s="360">
        <f t="shared" si="1275"/>
        <v>707.36687787248627</v>
      </c>
      <c r="EB235" s="360">
        <f t="shared" si="1275"/>
        <v>754.5917996766027</v>
      </c>
      <c r="EC235" s="361">
        <f t="shared" si="1275"/>
        <v>2663.6617838076609</v>
      </c>
      <c r="ED235" s="126"/>
      <c r="EE235" s="16"/>
      <c r="EF235" s="16"/>
      <c r="EG235" s="16"/>
      <c r="EH235" s="16"/>
      <c r="EI235" s="16"/>
      <c r="EJ235" s="16"/>
      <c r="EK235" s="16"/>
      <c r="EL235" s="16"/>
      <c r="EM235" s="16"/>
      <c r="EN235" s="16"/>
      <c r="EO235" s="16"/>
      <c r="EP235" s="16"/>
      <c r="EQ235" s="16"/>
      <c r="ER235" s="16"/>
      <c r="ES235" s="16"/>
      <c r="ET235" s="16"/>
      <c r="EU235" s="16"/>
      <c r="EX235" s="16"/>
      <c r="EY235" s="228"/>
      <c r="EZ235" s="1085"/>
      <c r="FA235" s="477"/>
      <c r="FB235" s="228"/>
      <c r="FC235" s="477"/>
      <c r="FD235" s="16"/>
      <c r="FE235"/>
      <c r="FF235"/>
      <c r="FG235"/>
      <c r="FH235"/>
      <c r="FI235"/>
      <c r="FJ235"/>
    </row>
    <row r="236" spans="1:166" s="1066" customFormat="1" x14ac:dyDescent="0.2">
      <c r="A236" s="1662" t="s">
        <v>824</v>
      </c>
      <c r="B236" s="1663"/>
      <c r="C236" s="1664"/>
      <c r="D236" s="1665"/>
      <c r="E236" s="1665"/>
      <c r="F236" s="1666"/>
      <c r="G236" s="1663"/>
      <c r="H236" s="1664"/>
      <c r="I236" s="1665"/>
      <c r="J236" s="1665"/>
      <c r="K236" s="1665"/>
      <c r="L236" s="1663"/>
      <c r="M236" s="1665"/>
      <c r="N236" s="1665"/>
      <c r="O236" s="1665"/>
      <c r="P236" s="1665"/>
      <c r="Q236" s="1663"/>
      <c r="R236" s="1665"/>
      <c r="S236" s="1665"/>
      <c r="T236" s="1665"/>
      <c r="U236" s="1665">
        <f t="shared" ref="U236:AU236" si="1276">U235/U69</f>
        <v>0</v>
      </c>
      <c r="V236" s="1663">
        <f t="shared" si="1276"/>
        <v>0</v>
      </c>
      <c r="W236" s="1665">
        <f t="shared" si="1276"/>
        <v>0</v>
      </c>
      <c r="X236" s="1665">
        <f t="shared" si="1276"/>
        <v>0</v>
      </c>
      <c r="Y236" s="1665">
        <f t="shared" si="1276"/>
        <v>0</v>
      </c>
      <c r="Z236" s="1665">
        <f t="shared" si="1276"/>
        <v>0</v>
      </c>
      <c r="AA236" s="1663">
        <f t="shared" si="1276"/>
        <v>0</v>
      </c>
      <c r="AB236" s="1665">
        <f t="shared" si="1276"/>
        <v>0</v>
      </c>
      <c r="AC236" s="1665">
        <f t="shared" si="1276"/>
        <v>0</v>
      </c>
      <c r="AD236" s="1665">
        <f t="shared" si="1276"/>
        <v>0</v>
      </c>
      <c r="AE236" s="1665">
        <f t="shared" si="1276"/>
        <v>131.21212121212122</v>
      </c>
      <c r="AF236" s="1663">
        <f t="shared" si="1276"/>
        <v>132.90581162324651</v>
      </c>
      <c r="AG236" s="1665">
        <f t="shared" si="1276"/>
        <v>0</v>
      </c>
      <c r="AH236" s="1665">
        <f t="shared" si="1276"/>
        <v>0</v>
      </c>
      <c r="AI236" s="1665">
        <f t="shared" si="1276"/>
        <v>0</v>
      </c>
      <c r="AJ236" s="1665">
        <f t="shared" si="1276"/>
        <v>0</v>
      </c>
      <c r="AK236" s="1663">
        <f t="shared" si="1276"/>
        <v>0</v>
      </c>
      <c r="AL236" s="1665">
        <f t="shared" si="1276"/>
        <v>159.53086419753086</v>
      </c>
      <c r="AM236" s="1665">
        <f t="shared" si="1276"/>
        <v>0</v>
      </c>
      <c r="AN236" s="1665">
        <f t="shared" si="1276"/>
        <v>0</v>
      </c>
      <c r="AO236" s="1665">
        <f t="shared" si="1276"/>
        <v>0</v>
      </c>
      <c r="AP236" s="1663">
        <f t="shared" si="1276"/>
        <v>0</v>
      </c>
      <c r="AQ236" s="1665">
        <f t="shared" si="1276"/>
        <v>0</v>
      </c>
      <c r="AR236" s="1665">
        <f t="shared" si="1276"/>
        <v>0</v>
      </c>
      <c r="AS236" s="1665">
        <f t="shared" si="1276"/>
        <v>-124.80266936299282</v>
      </c>
      <c r="AT236" s="1665">
        <f t="shared" si="1276"/>
        <v>65.725543478260875</v>
      </c>
      <c r="AU236" s="1664">
        <f t="shared" si="1276"/>
        <v>0</v>
      </c>
      <c r="AV236" s="45"/>
      <c r="AW236" s="1665">
        <f t="shared" ref="AW236:BE236" si="1277">AW235/AW69</f>
        <v>-124.80266936299282</v>
      </c>
      <c r="AX236" s="1665">
        <f t="shared" si="1277"/>
        <v>65.725543478260875</v>
      </c>
      <c r="AY236" s="1665">
        <f t="shared" si="1277"/>
        <v>82.281925860934408</v>
      </c>
      <c r="AZ236" s="1665">
        <f t="shared" si="1277"/>
        <v>-496.84501830728067</v>
      </c>
      <c r="BA236" s="1663">
        <f t="shared" si="1277"/>
        <v>-254.25843906696963</v>
      </c>
      <c r="BB236" s="1665">
        <f t="shared" si="1277"/>
        <v>-100.84805524599446</v>
      </c>
      <c r="BC236" s="1665">
        <f t="shared" si="1277"/>
        <v>-9.2075980201611873</v>
      </c>
      <c r="BD236" s="1665">
        <f t="shared" si="1277"/>
        <v>-4.7430767739301025</v>
      </c>
      <c r="BE236" s="1665">
        <f t="shared" si="1277"/>
        <v>-77.415757023508263</v>
      </c>
      <c r="BF236" s="1663">
        <f t="shared" ref="BF236:CK236" si="1278">BF235/BF67</f>
        <v>0.49109707064905161</v>
      </c>
      <c r="BG236" s="1665">
        <f t="shared" si="1278"/>
        <v>0.10969025291275922</v>
      </c>
      <c r="BH236" s="1665">
        <f t="shared" si="1278"/>
        <v>0.17117879300620392</v>
      </c>
      <c r="BI236" s="1665">
        <f t="shared" si="1278"/>
        <v>0.17323943661971819</v>
      </c>
      <c r="BJ236" s="1665">
        <f t="shared" si="1278"/>
        <v>0.22025813692480373</v>
      </c>
      <c r="BK236" s="1663">
        <f t="shared" si="1278"/>
        <v>0.67579779723242006</v>
      </c>
      <c r="BL236" s="1665">
        <f t="shared" si="1278"/>
        <v>0.15373844861383359</v>
      </c>
      <c r="BM236" s="1665">
        <f t="shared" si="1278"/>
        <v>0.20352250489236795</v>
      </c>
      <c r="BN236" s="1665">
        <f t="shared" si="1278"/>
        <v>0.21837475565484502</v>
      </c>
      <c r="BO236" s="1665">
        <f t="shared" si="1278"/>
        <v>0.22963169642857131</v>
      </c>
      <c r="BP236" s="1663">
        <f t="shared" si="1278"/>
        <v>0.80542164465870147</v>
      </c>
      <c r="BQ236" s="1665">
        <f t="shared" si="1278"/>
        <v>0.18958797327394217</v>
      </c>
      <c r="BR236" s="1665">
        <f t="shared" si="1278"/>
        <v>0.2312186978297161</v>
      </c>
      <c r="BS236" s="1665">
        <f t="shared" si="1278"/>
        <v>0.36525612472160346</v>
      </c>
      <c r="BT236" s="1665">
        <f t="shared" si="1278"/>
        <v>3.1887443589062925E-2</v>
      </c>
      <c r="BU236" s="1663">
        <f t="shared" si="1278"/>
        <v>0.80965830182193188</v>
      </c>
      <c r="BV236" s="1667">
        <f t="shared" si="1278"/>
        <v>0.12875446334803586</v>
      </c>
      <c r="BW236" s="1667">
        <f t="shared" si="1278"/>
        <v>0.24154589371980692</v>
      </c>
      <c r="BX236" s="1667">
        <f t="shared" si="1278"/>
        <v>0.29741650913673584</v>
      </c>
      <c r="BY236" s="1667">
        <f t="shared" si="1278"/>
        <v>0.19680739340474657</v>
      </c>
      <c r="BZ236" s="1663">
        <f t="shared" si="1278"/>
        <v>0.86452425960932522</v>
      </c>
      <c r="CA236" s="1665">
        <f t="shared" si="1278"/>
        <v>0.11215753424657521</v>
      </c>
      <c r="CB236" s="1665">
        <f t="shared" si="1278"/>
        <v>0.27581863979848842</v>
      </c>
      <c r="CC236" s="1665">
        <f t="shared" si="1278"/>
        <v>0.29527806925498451</v>
      </c>
      <c r="CD236" s="1665">
        <f t="shared" si="1278"/>
        <v>0.31788497998736071</v>
      </c>
      <c r="CE236" s="1663">
        <f t="shared" si="1278"/>
        <v>0.99873949579831978</v>
      </c>
      <c r="CF236" s="1665">
        <f t="shared" si="1278"/>
        <v>0.25192143467122091</v>
      </c>
      <c r="CG236" s="1665">
        <f t="shared" si="1278"/>
        <v>0.43501382684535184</v>
      </c>
      <c r="CH236" s="1665">
        <f t="shared" si="1278"/>
        <v>0.41925201869953199</v>
      </c>
      <c r="CI236" s="1665">
        <f t="shared" si="1278"/>
        <v>0.5192863211554799</v>
      </c>
      <c r="CJ236" s="1663">
        <f t="shared" si="1278"/>
        <v>1.6262141603276761</v>
      </c>
      <c r="CK236" s="1665">
        <f t="shared" si="1278"/>
        <v>0.33620146904512072</v>
      </c>
      <c r="CL236" s="1665">
        <f t="shared" ref="CL236:DQ236" si="1279">CL235/CL67</f>
        <v>0.42866108786610907</v>
      </c>
      <c r="CM236" s="1665">
        <f t="shared" si="1279"/>
        <v>0.53886335144170494</v>
      </c>
      <c r="CN236" s="1665">
        <f t="shared" si="1279"/>
        <v>0.63229735405291931</v>
      </c>
      <c r="CO236" s="1663">
        <f t="shared" si="1279"/>
        <v>1.9359974859896301</v>
      </c>
      <c r="CP236" s="1665">
        <f t="shared" si="1279"/>
        <v>0.62650348174720372</v>
      </c>
      <c r="CQ236" s="1665">
        <f t="shared" si="1279"/>
        <v>0.56101110121116504</v>
      </c>
      <c r="CR236" s="1665">
        <f t="shared" si="1279"/>
        <v>0.64226494494438624</v>
      </c>
      <c r="CS236" s="1665">
        <f t="shared" si="1279"/>
        <v>0.68941685828290555</v>
      </c>
      <c r="CT236" s="1663">
        <f t="shared" si="1279"/>
        <v>2.519002323162761</v>
      </c>
      <c r="CU236" s="1665">
        <f t="shared" si="1279"/>
        <v>0.55651603104748781</v>
      </c>
      <c r="CV236" s="1665">
        <f t="shared" si="1279"/>
        <v>0.66620215283166806</v>
      </c>
      <c r="CW236" s="1665">
        <f t="shared" si="1279"/>
        <v>0.74951291943710896</v>
      </c>
      <c r="CX236" s="1665">
        <f t="shared" si="1279"/>
        <v>0.80396350813165784</v>
      </c>
      <c r="CY236" s="1663">
        <f t="shared" si="1279"/>
        <v>2.7759747560701276</v>
      </c>
      <c r="CZ236" s="1665">
        <f t="shared" si="1279"/>
        <v>0.63051661133038617</v>
      </c>
      <c r="DA236" s="1665">
        <f t="shared" si="1279"/>
        <v>0.77576276931771382</v>
      </c>
      <c r="DB236" s="1665">
        <f t="shared" si="1279"/>
        <v>0.86778217000403335</v>
      </c>
      <c r="DC236" s="1665">
        <f t="shared" si="1279"/>
        <v>0.92866367284048912</v>
      </c>
      <c r="DD236" s="1663">
        <f t="shared" si="1279"/>
        <v>3.2024652470925981</v>
      </c>
      <c r="DE236" s="1665">
        <f t="shared" si="1279"/>
        <v>0.76292337738886273</v>
      </c>
      <c r="DF236" s="1665">
        <f t="shared" si="1279"/>
        <v>0.88358158517652574</v>
      </c>
      <c r="DG236" s="1665">
        <f t="shared" si="1279"/>
        <v>0.98907076361489321</v>
      </c>
      <c r="DH236" s="1665">
        <f t="shared" si="1279"/>
        <v>0.9970500884003094</v>
      </c>
      <c r="DI236" s="1663">
        <f t="shared" si="1279"/>
        <v>3.6324255420520197</v>
      </c>
      <c r="DJ236" s="1665">
        <f t="shared" si="1279"/>
        <v>0.87657293935013825</v>
      </c>
      <c r="DK236" s="1665">
        <f t="shared" si="1279"/>
        <v>1.0030953287260063</v>
      </c>
      <c r="DL236" s="1665">
        <f t="shared" si="1279"/>
        <v>1.1245943229445399</v>
      </c>
      <c r="DM236" s="1665">
        <f t="shared" si="1279"/>
        <v>1.1984576411483419</v>
      </c>
      <c r="DN236" s="1663">
        <f t="shared" si="1279"/>
        <v>4.202332149762575</v>
      </c>
      <c r="DO236" s="1665">
        <f t="shared" si="1279"/>
        <v>0.9922698217601581</v>
      </c>
      <c r="DP236" s="1665">
        <f t="shared" si="1279"/>
        <v>1.1350949126854812</v>
      </c>
      <c r="DQ236" s="1665">
        <f t="shared" si="1279"/>
        <v>1.2672416713607095</v>
      </c>
      <c r="DR236" s="1665">
        <f t="shared" ref="DR236:EC236" si="1280">DR235/DR67</f>
        <v>1.3475473878791278</v>
      </c>
      <c r="DS236" s="1663">
        <f t="shared" si="1280"/>
        <v>4.7417008378315151</v>
      </c>
      <c r="DT236" s="1665">
        <f t="shared" si="1280"/>
        <v>1.0355823444288106</v>
      </c>
      <c r="DU236" s="1665">
        <f t="shared" si="1280"/>
        <v>1.1692915765358676</v>
      </c>
      <c r="DV236" s="1665">
        <f t="shared" si="1280"/>
        <v>1.3308563888140115</v>
      </c>
      <c r="DW236" s="1665">
        <f t="shared" si="1280"/>
        <v>1.4262807006167648</v>
      </c>
      <c r="DX236" s="1663">
        <f t="shared" si="1280"/>
        <v>4.9614205827165412</v>
      </c>
      <c r="DY236" s="1665">
        <f t="shared" si="1280"/>
        <v>1.1832800489318742</v>
      </c>
      <c r="DZ236" s="1665">
        <f t="shared" si="1280"/>
        <v>1.3410214493604273</v>
      </c>
      <c r="EA236" s="1665">
        <f t="shared" si="1280"/>
        <v>1.4875921405480257</v>
      </c>
      <c r="EB236" s="1665">
        <f t="shared" si="1280"/>
        <v>1.5912547889813093</v>
      </c>
      <c r="EC236" s="1663">
        <f t="shared" si="1280"/>
        <v>5.6025303051139765</v>
      </c>
      <c r="ED236" s="809"/>
      <c r="EE236" s="16"/>
      <c r="EF236" s="16"/>
      <c r="EG236" s="16"/>
      <c r="EH236" s="16"/>
      <c r="EI236" s="16"/>
      <c r="EJ236" s="16"/>
      <c r="EK236" s="16"/>
      <c r="EL236" s="16"/>
      <c r="EM236" s="16"/>
      <c r="EN236" s="16"/>
      <c r="EO236" s="16"/>
      <c r="EP236" s="16"/>
      <c r="EQ236" s="16"/>
      <c r="ER236" s="16"/>
      <c r="ES236" s="16"/>
      <c r="ET236" s="16"/>
      <c r="EU236" s="16"/>
      <c r="EX236" s="16"/>
      <c r="EY236" s="228"/>
      <c r="EZ236" s="1085"/>
      <c r="FA236" s="477"/>
      <c r="FB236" s="228"/>
      <c r="FC236" s="477"/>
      <c r="FD236" s="16"/>
      <c r="FE236"/>
      <c r="FF236"/>
      <c r="FG236"/>
      <c r="FH236"/>
      <c r="FI236"/>
      <c r="FJ236"/>
    </row>
    <row r="237" spans="1:166" ht="10.5" customHeight="1" x14ac:dyDescent="0.2">
      <c r="A237" s="815"/>
      <c r="B237" s="42"/>
      <c r="C237" s="42"/>
      <c r="D237" s="42"/>
      <c r="E237" s="42"/>
      <c r="F237" s="42"/>
      <c r="G237" s="42"/>
      <c r="H237" s="42"/>
      <c r="I237" s="42"/>
      <c r="J237" s="42"/>
      <c r="K237" s="42"/>
      <c r="L237" s="42"/>
      <c r="M237" s="42"/>
      <c r="N237" s="42"/>
      <c r="O237" s="42"/>
      <c r="P237" s="42"/>
      <c r="Q237" s="762"/>
      <c r="R237" s="440"/>
      <c r="S237" s="440"/>
      <c r="T237" s="440"/>
      <c r="U237" s="440"/>
      <c r="V237" s="762"/>
      <c r="W237" s="440"/>
      <c r="X237" s="440"/>
      <c r="Y237" s="440"/>
      <c r="Z237" s="440"/>
      <c r="AA237" s="762"/>
      <c r="AB237" s="440"/>
      <c r="AC237" s="440"/>
      <c r="AD237" s="440"/>
      <c r="AE237" s="440"/>
      <c r="AF237" s="762"/>
      <c r="AG237" s="440"/>
      <c r="AH237" s="440"/>
      <c r="AI237" s="440"/>
      <c r="AJ237" s="440"/>
      <c r="AK237" s="762"/>
      <c r="AL237" s="440"/>
      <c r="AM237" s="440"/>
      <c r="AN237" s="440"/>
      <c r="AO237" s="440"/>
      <c r="AP237" s="762"/>
      <c r="AQ237" s="440"/>
      <c r="AR237" s="440"/>
      <c r="AS237" s="440"/>
      <c r="AT237" s="440"/>
      <c r="AU237" s="762"/>
      <c r="AV237" s="45"/>
      <c r="AW237" s="440"/>
      <c r="AX237" s="440"/>
      <c r="AY237" s="440"/>
      <c r="AZ237" s="440"/>
      <c r="BA237" s="762"/>
      <c r="BB237" s="762"/>
      <c r="BC237" s="440"/>
      <c r="BD237" s="440"/>
      <c r="BE237" s="440"/>
      <c r="BF237" s="762"/>
      <c r="BG237" s="440"/>
      <c r="BH237" s="440"/>
      <c r="BI237" s="440"/>
      <c r="BJ237" s="816"/>
      <c r="BK237" s="762"/>
      <c r="BL237" s="816"/>
      <c r="BM237" s="816"/>
      <c r="BN237" s="816"/>
      <c r="BO237" s="816"/>
      <c r="BP237" s="762"/>
      <c r="BQ237" s="816"/>
      <c r="BR237" s="816"/>
      <c r="BS237" s="816"/>
      <c r="BT237" s="816"/>
      <c r="BU237" s="762"/>
      <c r="BV237" s="1300"/>
      <c r="BW237" s="1300"/>
      <c r="BX237" s="1300"/>
      <c r="BY237" s="1300"/>
      <c r="BZ237" s="762"/>
      <c r="CA237" s="816"/>
      <c r="CB237" s="816"/>
      <c r="CC237" s="816"/>
      <c r="CD237" s="816"/>
      <c r="CE237" s="762"/>
      <c r="CF237" s="816"/>
      <c r="CG237" s="816"/>
      <c r="CH237" s="816"/>
      <c r="CI237" s="816"/>
      <c r="CJ237" s="762"/>
      <c r="CK237" s="440"/>
      <c r="CL237" s="816"/>
      <c r="CM237" s="816"/>
      <c r="CN237" s="440"/>
      <c r="CO237" s="762"/>
      <c r="CP237" s="816"/>
      <c r="CQ237" s="816"/>
      <c r="CR237" s="816"/>
      <c r="CS237" s="816"/>
      <c r="CT237" s="762"/>
      <c r="CU237" s="816"/>
      <c r="CV237" s="816"/>
      <c r="CW237" s="816"/>
      <c r="CX237" s="816"/>
      <c r="CY237" s="762"/>
      <c r="CZ237" s="816"/>
      <c r="DA237" s="816"/>
      <c r="DB237" s="816"/>
      <c r="DC237" s="816"/>
      <c r="DD237" s="762"/>
      <c r="DE237" s="816"/>
      <c r="DF237" s="816"/>
      <c r="DG237" s="816"/>
      <c r="DH237" s="816"/>
      <c r="DI237" s="762"/>
      <c r="DJ237" s="816"/>
      <c r="DK237" s="816"/>
      <c r="DL237" s="816"/>
      <c r="DM237" s="816"/>
      <c r="DN237" s="762"/>
      <c r="DO237" s="816"/>
      <c r="DP237" s="816"/>
      <c r="DQ237" s="816"/>
      <c r="DR237" s="816"/>
      <c r="DS237" s="762"/>
      <c r="DT237" s="816"/>
      <c r="DU237" s="816"/>
      <c r="DV237" s="816"/>
      <c r="DW237" s="816"/>
      <c r="DX237" s="762"/>
      <c r="DY237" s="816"/>
      <c r="DZ237" s="816"/>
      <c r="EA237" s="816"/>
      <c r="EB237" s="816"/>
      <c r="EC237" s="762"/>
      <c r="ED237" s="805"/>
      <c r="EE237" s="42"/>
      <c r="EF237" s="242"/>
      <c r="EG237" s="242"/>
      <c r="EH237" s="242"/>
      <c r="EI237" s="242"/>
      <c r="EJ237" s="242"/>
      <c r="EK237" s="242"/>
      <c r="EL237" s="242"/>
      <c r="EM237" s="242"/>
      <c r="EN237" s="242"/>
      <c r="EO237" s="242"/>
      <c r="EP237" s="242"/>
      <c r="EQ237" s="242"/>
      <c r="ER237" s="242"/>
      <c r="ES237" s="805"/>
      <c r="ET237" s="805"/>
      <c r="EU237" s="805"/>
      <c r="EX237" s="815"/>
      <c r="EY237" s="814"/>
      <c r="EZ237" s="814"/>
      <c r="FA237" s="814"/>
      <c r="FB237" s="814"/>
      <c r="FC237" s="814"/>
      <c r="FD237" s="805"/>
    </row>
    <row r="238" spans="1:166" ht="11.25" customHeight="1" x14ac:dyDescent="0.2">
      <c r="A238" s="567" t="s">
        <v>652</v>
      </c>
      <c r="B238" s="8"/>
      <c r="C238" s="8"/>
      <c r="D238" s="8"/>
      <c r="E238" s="8"/>
      <c r="F238" s="8"/>
      <c r="G238" s="8"/>
      <c r="H238" s="8"/>
      <c r="I238" s="8"/>
      <c r="J238" s="8"/>
      <c r="K238" s="8"/>
      <c r="L238" s="8"/>
      <c r="M238" s="8"/>
      <c r="N238" s="8"/>
      <c r="O238" s="8"/>
      <c r="P238" s="8"/>
      <c r="Q238" s="8"/>
      <c r="R238" s="8"/>
      <c r="S238" s="8"/>
      <c r="T238" s="8"/>
      <c r="U238" s="8"/>
      <c r="V238" s="459"/>
      <c r="W238" s="8"/>
      <c r="X238" s="8"/>
      <c r="Y238" s="8"/>
      <c r="Z238" s="8"/>
      <c r="AA238" s="8"/>
      <c r="AB238" s="8"/>
      <c r="AC238" s="8"/>
      <c r="AD238" s="8"/>
      <c r="AE238" s="8"/>
      <c r="AF238" s="9"/>
      <c r="AG238" s="610"/>
      <c r="AH238" s="8"/>
      <c r="AI238" s="8"/>
      <c r="AJ238" s="555"/>
      <c r="AK238" s="9"/>
      <c r="AL238" s="8"/>
      <c r="AM238" s="8"/>
      <c r="AN238" s="8"/>
      <c r="AO238" s="8"/>
      <c r="AP238" s="9"/>
      <c r="AQ238" s="8"/>
      <c r="AR238" s="8"/>
      <c r="AS238" s="8"/>
      <c r="AT238" s="8"/>
      <c r="AU238" s="8"/>
      <c r="AV238" s="45"/>
      <c r="AW238" s="8"/>
      <c r="AX238" s="8"/>
      <c r="AY238" s="8"/>
      <c r="AZ238" s="8"/>
      <c r="BA238" s="555"/>
      <c r="BB238" s="8"/>
      <c r="BC238" s="8"/>
      <c r="BD238" s="8"/>
      <c r="BE238" s="8"/>
      <c r="BF238" s="555"/>
      <c r="BG238" s="8"/>
      <c r="BH238" s="8"/>
      <c r="BI238" s="8"/>
      <c r="BJ238" s="8"/>
      <c r="BK238" s="555"/>
      <c r="BL238" s="8"/>
      <c r="BM238" s="8"/>
      <c r="BN238" s="8"/>
      <c r="BO238" s="8"/>
      <c r="BP238" s="555"/>
      <c r="BQ238" s="8"/>
      <c r="BR238" s="8"/>
      <c r="BS238" s="8"/>
      <c r="BT238" s="8"/>
      <c r="BU238" s="555"/>
      <c r="BV238" s="1293"/>
      <c r="BW238" s="1293"/>
      <c r="BX238" s="1293"/>
      <c r="BY238" s="1293"/>
      <c r="BZ238" s="555"/>
      <c r="CA238" s="8"/>
      <c r="CB238" s="8"/>
      <c r="CC238" s="8"/>
      <c r="CD238" s="8"/>
      <c r="CE238" s="555"/>
      <c r="CF238" s="8"/>
      <c r="CG238" s="8"/>
      <c r="CH238" s="8"/>
      <c r="CI238" s="8"/>
      <c r="CJ238" s="555"/>
      <c r="CK238" s="8"/>
      <c r="CL238" s="8"/>
      <c r="CM238" s="8"/>
      <c r="CN238" s="8"/>
      <c r="CO238" s="555"/>
      <c r="CP238" s="8"/>
      <c r="CQ238" s="8"/>
      <c r="CR238" s="8"/>
      <c r="CS238" s="8"/>
      <c r="CT238" s="555"/>
      <c r="CU238" s="8"/>
      <c r="CV238" s="8"/>
      <c r="CW238" s="8"/>
      <c r="CX238" s="8"/>
      <c r="CY238" s="555"/>
      <c r="CZ238" s="8"/>
      <c r="DA238" s="8"/>
      <c r="DB238" s="8"/>
      <c r="DC238" s="8"/>
      <c r="DD238" s="555"/>
      <c r="DE238" s="8"/>
      <c r="DF238" s="8"/>
      <c r="DG238" s="8"/>
      <c r="DH238" s="8"/>
      <c r="DI238" s="555"/>
      <c r="DJ238" s="8"/>
      <c r="DK238" s="8"/>
      <c r="DL238" s="8"/>
      <c r="DM238" s="8"/>
      <c r="DN238" s="555"/>
      <c r="DO238" s="8"/>
      <c r="DP238" s="8"/>
      <c r="DQ238" s="8"/>
      <c r="DR238" s="8"/>
      <c r="DS238" s="555"/>
      <c r="DT238" s="8"/>
      <c r="DU238" s="8"/>
      <c r="DV238" s="8"/>
      <c r="DW238" s="8"/>
      <c r="DX238" s="555"/>
      <c r="DY238" s="8"/>
      <c r="DZ238" s="8"/>
      <c r="EA238" s="8"/>
      <c r="EB238" s="8"/>
      <c r="EC238" s="555"/>
      <c r="ED238" s="295"/>
      <c r="EE238" s="245"/>
      <c r="EF238" s="22"/>
      <c r="EG238" s="22"/>
      <c r="EH238" s="22"/>
      <c r="EI238" s="22"/>
      <c r="EJ238" s="22"/>
      <c r="EK238" s="22"/>
      <c r="EL238" s="22"/>
      <c r="EM238" s="22"/>
      <c r="EN238" s="22"/>
      <c r="EO238" s="22"/>
      <c r="EP238" s="22"/>
      <c r="EQ238" s="22"/>
      <c r="ER238" s="22"/>
      <c r="ES238" s="295"/>
      <c r="ET238" s="295"/>
      <c r="EU238" s="295"/>
      <c r="EX238" s="16"/>
      <c r="EY238" s="228"/>
      <c r="EZ238" s="477"/>
      <c r="FA238" s="477"/>
      <c r="FB238" s="228"/>
      <c r="FC238" s="477"/>
      <c r="FD238" s="16"/>
    </row>
    <row r="239" spans="1:166" ht="12.75" hidden="1" customHeight="1" outlineLevel="1" x14ac:dyDescent="0.35">
      <c r="A239" s="365"/>
      <c r="B239" s="85"/>
      <c r="C239" s="96"/>
      <c r="D239" s="97"/>
      <c r="E239" s="97"/>
      <c r="F239" s="92"/>
      <c r="G239" s="85"/>
      <c r="H239" s="96"/>
      <c r="I239" s="97"/>
      <c r="J239" s="97"/>
      <c r="K239" s="90"/>
      <c r="L239" s="85"/>
      <c r="M239" s="97"/>
      <c r="N239" s="97"/>
      <c r="O239" s="97"/>
      <c r="P239" s="90"/>
      <c r="Q239" s="85"/>
      <c r="R239" s="38"/>
      <c r="S239" s="38"/>
      <c r="T239" s="38"/>
      <c r="U239" s="39"/>
      <c r="V239" s="85"/>
      <c r="W239" s="38"/>
      <c r="X239" s="38"/>
      <c r="Y239" s="38"/>
      <c r="Z239" s="39"/>
      <c r="AA239" s="54"/>
      <c r="AB239" s="87"/>
      <c r="AC239" s="38"/>
      <c r="AD239" s="38"/>
      <c r="AE239" s="38"/>
      <c r="AF239" s="85"/>
      <c r="AG239" s="41"/>
      <c r="AH239" s="41"/>
      <c r="AI239" s="41"/>
      <c r="AJ239" s="41"/>
      <c r="AK239" s="85"/>
      <c r="AL239" s="41"/>
      <c r="AM239" s="41"/>
      <c r="AN239" s="41"/>
      <c r="AO239" s="41"/>
      <c r="AP239" s="85"/>
      <c r="AQ239" s="41"/>
      <c r="AR239" s="41"/>
      <c r="AS239" s="41"/>
      <c r="AT239" s="41"/>
      <c r="AU239" s="86"/>
      <c r="AV239" s="45"/>
      <c r="AW239" s="41"/>
      <c r="AX239" s="41"/>
      <c r="AY239" s="41"/>
      <c r="AZ239" s="41"/>
      <c r="BA239" s="85"/>
      <c r="BB239" s="41"/>
      <c r="BC239" s="41"/>
      <c r="BD239" s="41"/>
      <c r="BE239" s="38"/>
      <c r="BF239" s="85"/>
      <c r="BG239" s="41"/>
      <c r="BH239" s="41"/>
      <c r="BI239" s="41"/>
      <c r="BJ239" s="38"/>
      <c r="BK239" s="85"/>
      <c r="BL239" s="41"/>
      <c r="BM239" s="41"/>
      <c r="BN239" s="41"/>
      <c r="BO239" s="41"/>
      <c r="BP239" s="85"/>
      <c r="BQ239" s="41"/>
      <c r="BR239" s="41"/>
      <c r="BS239" s="41"/>
      <c r="BT239" s="41"/>
      <c r="BU239" s="85"/>
      <c r="BV239" s="1070"/>
      <c r="BW239" s="1070"/>
      <c r="BX239" s="1070"/>
      <c r="BY239" s="1070"/>
      <c r="BZ239" s="85"/>
      <c r="CA239" s="41"/>
      <c r="CB239" s="41"/>
      <c r="CC239" s="41"/>
      <c r="CD239" s="41"/>
      <c r="CE239" s="85"/>
      <c r="CF239" s="41"/>
      <c r="CG239" s="41"/>
      <c r="CH239" s="41"/>
      <c r="CI239" s="41"/>
      <c r="CJ239" s="85"/>
      <c r="CK239" s="38"/>
      <c r="CL239" s="41"/>
      <c r="CM239" s="41"/>
      <c r="CN239" s="38"/>
      <c r="CO239" s="85"/>
      <c r="CP239" s="41"/>
      <c r="CQ239" s="41"/>
      <c r="CR239" s="41"/>
      <c r="CS239" s="41"/>
      <c r="CT239" s="85"/>
      <c r="CU239" s="41"/>
      <c r="CV239" s="41"/>
      <c r="CW239" s="41"/>
      <c r="CX239" s="41"/>
      <c r="CY239" s="85"/>
      <c r="CZ239" s="41"/>
      <c r="DA239" s="41"/>
      <c r="DB239" s="41"/>
      <c r="DC239" s="41"/>
      <c r="DD239" s="85"/>
      <c r="DE239" s="41"/>
      <c r="DF239" s="41"/>
      <c r="DG239" s="41"/>
      <c r="DH239" s="41"/>
      <c r="DI239" s="85"/>
      <c r="DJ239" s="41"/>
      <c r="DK239" s="41"/>
      <c r="DL239" s="41"/>
      <c r="DM239" s="41"/>
      <c r="DN239" s="85"/>
      <c r="DO239" s="41"/>
      <c r="DP239" s="41"/>
      <c r="DQ239" s="41"/>
      <c r="DR239" s="41"/>
      <c r="DS239" s="85"/>
      <c r="DT239" s="41"/>
      <c r="DU239" s="41"/>
      <c r="DV239" s="41"/>
      <c r="DW239" s="41"/>
      <c r="DX239" s="85"/>
      <c r="DY239" s="41"/>
      <c r="DZ239" s="41"/>
      <c r="EA239" s="41"/>
      <c r="EB239" s="41"/>
      <c r="EC239" s="85"/>
      <c r="ED239" s="38"/>
      <c r="EE239" s="21"/>
      <c r="EF239" s="373"/>
      <c r="EG239" s="16"/>
      <c r="EH239" s="16"/>
      <c r="EI239" s="16"/>
      <c r="EJ239" s="16"/>
      <c r="EK239" s="16"/>
      <c r="EL239" s="16"/>
      <c r="EM239" s="16"/>
      <c r="EN239" s="16"/>
      <c r="EO239" s="16"/>
      <c r="EP239" s="16"/>
      <c r="EQ239" s="16"/>
      <c r="ER239" s="16"/>
      <c r="ES239" s="16"/>
      <c r="ET239" s="16"/>
      <c r="EU239" s="16"/>
      <c r="EX239" s="16"/>
      <c r="EY239" s="228"/>
      <c r="EZ239" s="477"/>
      <c r="FA239" s="477"/>
      <c r="FB239" s="228"/>
      <c r="FC239" s="477"/>
      <c r="FD239" s="16"/>
    </row>
    <row r="240" spans="1:166" ht="12.75" hidden="1" customHeight="1" outlineLevel="1" x14ac:dyDescent="0.35">
      <c r="A240" s="1124" t="s">
        <v>233</v>
      </c>
      <c r="B240" s="1125"/>
      <c r="C240" s="1126"/>
      <c r="D240" s="1127"/>
      <c r="E240" s="1127"/>
      <c r="F240" s="1128"/>
      <c r="G240" s="1125"/>
      <c r="H240" s="1126"/>
      <c r="I240" s="1127"/>
      <c r="J240" s="1127"/>
      <c r="K240" s="1129"/>
      <c r="L240" s="1125"/>
      <c r="M240" s="1127"/>
      <c r="N240" s="1127"/>
      <c r="O240" s="1127"/>
      <c r="P240" s="1129"/>
      <c r="Q240" s="1125"/>
      <c r="R240" s="1130"/>
      <c r="S240" s="1130"/>
      <c r="T240" s="1130"/>
      <c r="U240" s="1131"/>
      <c r="V240" s="1125"/>
      <c r="W240" s="1130"/>
      <c r="X240" s="1130"/>
      <c r="Y240" s="1130"/>
      <c r="Z240" s="1131"/>
      <c r="AA240" s="1132"/>
      <c r="AB240" s="1133"/>
      <c r="AC240" s="1130"/>
      <c r="AD240" s="1130"/>
      <c r="AE240" s="1130"/>
      <c r="AF240" s="1125"/>
      <c r="AG240" s="1134"/>
      <c r="AH240" s="1134"/>
      <c r="AI240" s="1134"/>
      <c r="AJ240" s="1134"/>
      <c r="AK240" s="1125"/>
      <c r="AL240" s="1134"/>
      <c r="AM240" s="1134"/>
      <c r="AN240" s="1134"/>
      <c r="AO240" s="1134"/>
      <c r="AP240" s="1125"/>
      <c r="AQ240" s="1134"/>
      <c r="AR240" s="1134"/>
      <c r="AS240" s="1134"/>
      <c r="AT240" s="1134"/>
      <c r="AU240" s="1135"/>
      <c r="AV240" s="1136"/>
      <c r="AW240" s="1134"/>
      <c r="AX240" s="1134"/>
      <c r="AY240" s="1134"/>
      <c r="AZ240" s="1134"/>
      <c r="BA240" s="1125"/>
      <c r="BB240" s="1134"/>
      <c r="BC240" s="1134"/>
      <c r="BD240" s="1134"/>
      <c r="BE240" s="1130"/>
      <c r="BF240" s="1125"/>
      <c r="BG240" s="1134"/>
      <c r="BH240" s="1134"/>
      <c r="BI240" s="1134"/>
      <c r="BJ240" s="1130"/>
      <c r="BK240" s="1125"/>
      <c r="BL240" s="1134"/>
      <c r="BM240" s="1134"/>
      <c r="BN240" s="1134"/>
      <c r="BO240" s="1134"/>
      <c r="BP240" s="1125"/>
      <c r="BQ240" s="1134"/>
      <c r="BR240" s="1134"/>
      <c r="BS240" s="1134"/>
      <c r="BT240" s="1134"/>
      <c r="BU240" s="1125"/>
      <c r="BV240" s="1307"/>
      <c r="BW240" s="1307"/>
      <c r="BX240" s="1307"/>
      <c r="BY240" s="1307"/>
      <c r="BZ240" s="1125"/>
      <c r="CA240" s="1134"/>
      <c r="CB240" s="1134"/>
      <c r="CC240" s="1134"/>
      <c r="CD240" s="1134"/>
      <c r="CE240" s="1125"/>
      <c r="CF240" s="1134"/>
      <c r="CG240" s="1134"/>
      <c r="CH240" s="1134"/>
      <c r="CI240" s="1134"/>
      <c r="CJ240" s="1125"/>
      <c r="CK240" s="1130"/>
      <c r="CL240" s="1134"/>
      <c r="CM240" s="1134"/>
      <c r="CN240" s="1130"/>
      <c r="CO240" s="1125"/>
      <c r="CP240" s="1134"/>
      <c r="CQ240" s="1134"/>
      <c r="CR240" s="1134"/>
      <c r="CS240" s="1134"/>
      <c r="CT240" s="1125"/>
      <c r="CU240" s="1134"/>
      <c r="CV240" s="1134"/>
      <c r="CW240" s="1134"/>
      <c r="CX240" s="1134"/>
      <c r="CY240" s="1125"/>
      <c r="CZ240" s="1134"/>
      <c r="DA240" s="1134"/>
      <c r="DB240" s="1134"/>
      <c r="DC240" s="1134"/>
      <c r="DD240" s="1125"/>
      <c r="DE240" s="1134"/>
      <c r="DF240" s="1134"/>
      <c r="DG240" s="1134"/>
      <c r="DH240" s="1134"/>
      <c r="DI240" s="1125"/>
      <c r="DJ240" s="1134"/>
      <c r="DK240" s="1134"/>
      <c r="DL240" s="1134"/>
      <c r="DM240" s="1134"/>
      <c r="DN240" s="1125"/>
      <c r="DO240" s="1134"/>
      <c r="DP240" s="1134"/>
      <c r="DQ240" s="1134"/>
      <c r="DR240" s="1134"/>
      <c r="DS240" s="1125"/>
      <c r="DT240" s="1134"/>
      <c r="DU240" s="1134"/>
      <c r="DV240" s="1134"/>
      <c r="DW240" s="1134"/>
      <c r="DX240" s="1125"/>
      <c r="DY240" s="1134"/>
      <c r="DZ240" s="1134"/>
      <c r="EA240" s="1134"/>
      <c r="EB240" s="1134"/>
      <c r="EC240" s="1125"/>
      <c r="ED240" s="38"/>
      <c r="EE240" s="21"/>
      <c r="EF240" s="373"/>
      <c r="EG240" s="16"/>
      <c r="EH240" s="16"/>
      <c r="EI240" s="16"/>
      <c r="EJ240" s="16"/>
      <c r="EK240" s="16"/>
      <c r="EL240" s="16"/>
      <c r="EM240" s="16"/>
      <c r="EN240" s="16"/>
      <c r="EO240" s="16"/>
      <c r="EP240" s="16"/>
      <c r="EQ240" s="16"/>
      <c r="ER240" s="16"/>
      <c r="ES240" s="16"/>
      <c r="ET240" s="16"/>
      <c r="EU240" s="16"/>
      <c r="EX240" s="16"/>
      <c r="EY240" s="228"/>
      <c r="EZ240" s="477"/>
      <c r="FA240" s="477"/>
      <c r="FB240" s="228"/>
      <c r="FC240" s="477"/>
      <c r="FD240" s="16"/>
    </row>
    <row r="241" spans="1:166" ht="3.75" hidden="1" customHeight="1" outlineLevel="1" x14ac:dyDescent="0.35">
      <c r="A241" s="1081"/>
      <c r="B241" s="85"/>
      <c r="C241" s="89"/>
      <c r="D241" s="90"/>
      <c r="E241" s="90"/>
      <c r="F241" s="92"/>
      <c r="G241" s="85"/>
      <c r="H241" s="89"/>
      <c r="I241" s="90"/>
      <c r="J241" s="90"/>
      <c r="K241" s="90"/>
      <c r="L241" s="85"/>
      <c r="M241" s="90"/>
      <c r="N241" s="90"/>
      <c r="O241" s="90"/>
      <c r="P241" s="90"/>
      <c r="Q241" s="85"/>
      <c r="R241" s="38"/>
      <c r="S241" s="38"/>
      <c r="T241" s="38"/>
      <c r="U241" s="39"/>
      <c r="V241" s="85"/>
      <c r="W241" s="38"/>
      <c r="X241" s="38"/>
      <c r="Y241" s="38"/>
      <c r="Z241" s="39"/>
      <c r="AA241" s="54"/>
      <c r="AB241" s="87"/>
      <c r="AC241" s="38"/>
      <c r="AD241" s="38"/>
      <c r="AE241" s="38"/>
      <c r="AF241" s="85"/>
      <c r="AG241" s="38"/>
      <c r="AH241" s="38"/>
      <c r="AI241" s="38"/>
      <c r="AJ241" s="38"/>
      <c r="AK241" s="85"/>
      <c r="AL241" s="38"/>
      <c r="AM241" s="38"/>
      <c r="AN241" s="38"/>
      <c r="AO241" s="38"/>
      <c r="AP241" s="85"/>
      <c r="AQ241" s="38"/>
      <c r="AR241" s="38"/>
      <c r="AS241" s="38"/>
      <c r="AT241" s="38"/>
      <c r="AU241" s="86"/>
      <c r="AV241" s="45"/>
      <c r="AW241" s="38"/>
      <c r="AX241" s="38"/>
      <c r="AY241" s="38"/>
      <c r="AZ241" s="38"/>
      <c r="BA241" s="85"/>
      <c r="BB241" s="38"/>
      <c r="BC241" s="38"/>
      <c r="BD241" s="38"/>
      <c r="BE241" s="38"/>
      <c r="BF241" s="85"/>
      <c r="BG241" s="38"/>
      <c r="BH241" s="38"/>
      <c r="BI241" s="38"/>
      <c r="BJ241" s="38"/>
      <c r="BK241" s="85"/>
      <c r="BL241" s="38"/>
      <c r="BM241" s="38"/>
      <c r="BN241" s="38"/>
      <c r="BO241" s="38"/>
      <c r="BP241" s="85"/>
      <c r="BQ241" s="38"/>
      <c r="BR241" s="38"/>
      <c r="BS241" s="38"/>
      <c r="BT241" s="38"/>
      <c r="BU241" s="85"/>
      <c r="BV241" s="1070"/>
      <c r="BW241" s="1070"/>
      <c r="BX241" s="1070"/>
      <c r="BY241" s="1070"/>
      <c r="BZ241" s="85"/>
      <c r="CA241" s="38"/>
      <c r="CB241" s="38"/>
      <c r="CC241" s="38"/>
      <c r="CD241" s="38"/>
      <c r="CE241" s="123">
        <f>CE243/CE242-1</f>
        <v>-5.8996741805039443E-2</v>
      </c>
      <c r="CF241" s="38"/>
      <c r="CG241" s="38"/>
      <c r="CH241" s="38"/>
      <c r="CI241" s="38"/>
      <c r="CJ241" s="85"/>
      <c r="CK241" s="38"/>
      <c r="CL241" s="38"/>
      <c r="CM241" s="38"/>
      <c r="CN241" s="38"/>
      <c r="CO241" s="85"/>
      <c r="CP241" s="38"/>
      <c r="CQ241" s="38"/>
      <c r="CR241" s="38"/>
      <c r="CS241" s="38"/>
      <c r="CT241" s="85"/>
      <c r="CU241" s="38"/>
      <c r="CV241" s="38"/>
      <c r="CW241" s="38"/>
      <c r="CX241" s="38"/>
      <c r="CY241" s="85"/>
      <c r="CZ241" s="38"/>
      <c r="DA241" s="38"/>
      <c r="DB241" s="38"/>
      <c r="DC241" s="38"/>
      <c r="DD241" s="85"/>
      <c r="DE241" s="38"/>
      <c r="DF241" s="38"/>
      <c r="DG241" s="38"/>
      <c r="DH241" s="38"/>
      <c r="DI241" s="85"/>
      <c r="DJ241" s="38"/>
      <c r="DK241" s="38"/>
      <c r="DL241" s="38"/>
      <c r="DM241" s="38"/>
      <c r="DN241" s="85"/>
      <c r="DO241" s="38"/>
      <c r="DP241" s="38"/>
      <c r="DQ241" s="38"/>
      <c r="DR241" s="38"/>
      <c r="DS241" s="85"/>
      <c r="DT241" s="38"/>
      <c r="DU241" s="38"/>
      <c r="DV241" s="38"/>
      <c r="DW241" s="38"/>
      <c r="DX241" s="85"/>
      <c r="DY241" s="38"/>
      <c r="DZ241" s="38"/>
      <c r="EA241" s="38"/>
      <c r="EB241" s="38"/>
      <c r="EC241" s="85"/>
      <c r="ED241" s="22"/>
      <c r="EE241" s="21"/>
      <c r="EF241" s="373"/>
      <c r="EG241" s="16"/>
      <c r="EH241" s="16"/>
      <c r="EI241" s="16"/>
      <c r="EJ241" s="16"/>
      <c r="EK241" s="16"/>
      <c r="EL241" s="16"/>
      <c r="EM241" s="16"/>
      <c r="EN241" s="16"/>
      <c r="EO241" s="16"/>
      <c r="EP241" s="16"/>
      <c r="EQ241" s="16"/>
      <c r="ER241" s="16"/>
      <c r="ES241" s="16"/>
      <c r="ET241" s="16"/>
      <c r="EU241" s="16"/>
      <c r="EX241" s="16"/>
      <c r="EY241" s="228"/>
      <c r="EZ241" s="477"/>
      <c r="FA241" s="477"/>
      <c r="FB241" s="228"/>
      <c r="FC241" s="477"/>
      <c r="FD241" s="16"/>
    </row>
    <row r="242" spans="1:166" ht="15.75" hidden="1" customHeight="1" outlineLevel="1" x14ac:dyDescent="0.35">
      <c r="A242" s="94" t="s">
        <v>654</v>
      </c>
      <c r="B242" s="85"/>
      <c r="C242" s="89"/>
      <c r="D242" s="90"/>
      <c r="E242" s="90"/>
      <c r="F242" s="92"/>
      <c r="G242" s="85"/>
      <c r="H242" s="89"/>
      <c r="I242" s="90"/>
      <c r="J242" s="90"/>
      <c r="K242" s="90"/>
      <c r="L242" s="85"/>
      <c r="M242" s="90"/>
      <c r="N242" s="90"/>
      <c r="O242" s="90"/>
      <c r="P242" s="90"/>
      <c r="Q242" s="85"/>
      <c r="R242" s="38"/>
      <c r="S242" s="38"/>
      <c r="T242" s="38"/>
      <c r="U242" s="39"/>
      <c r="V242" s="85"/>
      <c r="W242" s="38"/>
      <c r="X242" s="38"/>
      <c r="Y242" s="38"/>
      <c r="Z242" s="39"/>
      <c r="AA242" s="54"/>
      <c r="AB242" s="87"/>
      <c r="AC242" s="38"/>
      <c r="AD242" s="38"/>
      <c r="AE242" s="38"/>
      <c r="AF242" s="85"/>
      <c r="AG242" s="38"/>
      <c r="AH242" s="38"/>
      <c r="AI242" s="38"/>
      <c r="AJ242" s="38"/>
      <c r="AK242" s="85"/>
      <c r="AL242" s="38"/>
      <c r="AM242" s="38"/>
      <c r="AN242" s="38"/>
      <c r="AO242" s="38"/>
      <c r="AP242" s="85"/>
      <c r="AQ242" s="38"/>
      <c r="AR242" s="38"/>
      <c r="AS242" s="38"/>
      <c r="AT242" s="38"/>
      <c r="AU242" s="86"/>
      <c r="AV242" s="45"/>
      <c r="AW242" s="38"/>
      <c r="AX242" s="38"/>
      <c r="AY242" s="38"/>
      <c r="AZ242" s="38"/>
      <c r="BA242" s="85"/>
      <c r="BB242" s="38"/>
      <c r="BC242" s="38"/>
      <c r="BD242" s="38"/>
      <c r="BE242" s="38"/>
      <c r="BF242" s="85"/>
      <c r="BG242" s="38">
        <v>141.79999999999995</v>
      </c>
      <c r="BH242" s="38">
        <v>171.7</v>
      </c>
      <c r="BI242" s="38">
        <v>160.29999999999995</v>
      </c>
      <c r="BJ242" s="38">
        <v>168.09999999999997</v>
      </c>
      <c r="BK242" s="85">
        <v>641.89999999999986</v>
      </c>
      <c r="BL242" s="38">
        <v>142.29999999999998</v>
      </c>
      <c r="BM242" s="38">
        <v>159.30000000000001</v>
      </c>
      <c r="BN242" s="38">
        <v>172.50000000000003</v>
      </c>
      <c r="BO242" s="38">
        <v>173.89999999999998</v>
      </c>
      <c r="BP242" s="85">
        <v>647.99999999999989</v>
      </c>
      <c r="BQ242" s="38">
        <v>156.20000000000002</v>
      </c>
      <c r="BR242" s="38">
        <v>178.60000000000005</v>
      </c>
      <c r="BS242" s="38">
        <v>189.89999999999998</v>
      </c>
      <c r="BT242" s="38">
        <v>192.94944449674364</v>
      </c>
      <c r="BU242" s="85">
        <v>717.64944449674363</v>
      </c>
      <c r="BV242" s="1070">
        <v>174.28470068160837</v>
      </c>
      <c r="BW242" s="1070">
        <v>194.41099439312606</v>
      </c>
      <c r="BX242" s="1070">
        <v>208.52291148250376</v>
      </c>
      <c r="BY242" s="1070">
        <v>214.11823803120512</v>
      </c>
      <c r="BZ242" s="85">
        <v>791.33684458844323</v>
      </c>
      <c r="CA242" s="38">
        <v>174.28470068160837</v>
      </c>
      <c r="CB242" s="38">
        <v>194.41099439312606</v>
      </c>
      <c r="CC242" s="38">
        <v>208.52291148250376</v>
      </c>
      <c r="CD242" s="38">
        <v>214.11823803120512</v>
      </c>
      <c r="CE242" s="85">
        <v>791.33684458844323</v>
      </c>
      <c r="CF242" s="38">
        <v>191.459597999088</v>
      </c>
      <c r="CG242" s="38">
        <v>210.81425456952536</v>
      </c>
      <c r="CH242" s="38">
        <v>226.6046259728661</v>
      </c>
      <c r="CI242" s="38">
        <v>233.15256803946977</v>
      </c>
      <c r="CJ242" s="85">
        <v>862.03104658094935</v>
      </c>
      <c r="CK242" s="38">
        <v>202.63143214147578</v>
      </c>
      <c r="CL242" s="38">
        <v>225.97088824316157</v>
      </c>
      <c r="CM242" s="38">
        <v>243.30767656385225</v>
      </c>
      <c r="CN242" s="38">
        <v>250.57439776452588</v>
      </c>
      <c r="CO242" s="85">
        <v>922.48439471301549</v>
      </c>
      <c r="CP242" s="38">
        <v>218.60229384663106</v>
      </c>
      <c r="CQ242" s="38">
        <v>243.50976730111378</v>
      </c>
      <c r="CR242" s="38">
        <v>262.03491514040496</v>
      </c>
      <c r="CS242" s="38">
        <v>269.70299574710606</v>
      </c>
      <c r="CT242" s="85">
        <v>993.84997203525586</v>
      </c>
      <c r="CU242" s="38">
        <v>233.76790438770735</v>
      </c>
      <c r="CV242" s="38">
        <v>260.00302458291782</v>
      </c>
      <c r="CW242" s="38">
        <v>279.39450921534177</v>
      </c>
      <c r="CX242" s="38">
        <v>287.33386903864005</v>
      </c>
      <c r="CY242" s="85">
        <v>1060.4993072246068</v>
      </c>
      <c r="CZ242" s="38">
        <v>251.24995074482408</v>
      </c>
      <c r="DA242" s="38">
        <v>275.65917172603957</v>
      </c>
      <c r="DB242" s="38">
        <v>295.96062724423052</v>
      </c>
      <c r="DC242" s="38">
        <v>304.04808169421432</v>
      </c>
      <c r="DD242" s="85">
        <v>1126.9178314093083</v>
      </c>
      <c r="DE242" s="38">
        <v>261.65793828966162</v>
      </c>
      <c r="DF242" s="38">
        <v>290.34462103447072</v>
      </c>
      <c r="DG242" s="38">
        <v>311.19152683682171</v>
      </c>
      <c r="DH242" s="38">
        <v>319.25063743191799</v>
      </c>
      <c r="DI242" s="85">
        <v>1182.4447235928722</v>
      </c>
      <c r="DJ242" s="38">
        <v>273.9464769687952</v>
      </c>
      <c r="DK242" s="38">
        <v>303.73631765614931</v>
      </c>
      <c r="DL242" s="38">
        <v>325.21475730912817</v>
      </c>
      <c r="DM242" s="38">
        <v>333.30201476765848</v>
      </c>
      <c r="DN242" s="85">
        <v>1236.1995667017313</v>
      </c>
      <c r="DO242" s="38">
        <v>285.33426766310811</v>
      </c>
      <c r="DP242" s="38">
        <v>316.13087501794325</v>
      </c>
      <c r="DQ242" s="38">
        <v>338.1442221974927</v>
      </c>
      <c r="DR242" s="38">
        <v>346.28883894427548</v>
      </c>
      <c r="DS242" s="85">
        <v>1285.8982038228194</v>
      </c>
      <c r="DT242" s="38">
        <v>299.65640689637871</v>
      </c>
      <c r="DU242" s="38">
        <v>327.64746161576011</v>
      </c>
      <c r="DV242" s="38">
        <v>350.12165227694493</v>
      </c>
      <c r="DW242" s="38">
        <v>358.23031441397848</v>
      </c>
      <c r="DX242" s="85">
        <v>1335.655835203062</v>
      </c>
      <c r="DY242" s="38" t="e">
        <v>#REF!</v>
      </c>
      <c r="DZ242" s="38" t="e">
        <v>#REF!</v>
      </c>
      <c r="EA242" s="38" t="e">
        <v>#REF!</v>
      </c>
      <c r="EB242" s="38" t="e">
        <v>#REF!</v>
      </c>
      <c r="EC242" s="85" t="e">
        <v>#REF!</v>
      </c>
      <c r="ED242" s="38"/>
      <c r="EE242" s="21"/>
      <c r="EF242" s="373"/>
      <c r="EG242" s="16"/>
      <c r="EH242" s="16"/>
      <c r="EI242" s="16"/>
      <c r="EJ242" s="16"/>
      <c r="EK242" s="16"/>
      <c r="EL242" s="16"/>
      <c r="EM242" s="16"/>
      <c r="EN242" s="16"/>
      <c r="EO242" s="16"/>
      <c r="EP242" s="16"/>
      <c r="EQ242" s="16"/>
      <c r="ER242" s="16"/>
      <c r="ES242" s="16"/>
      <c r="ET242" s="16"/>
      <c r="EU242" s="16"/>
      <c r="EX242" s="16"/>
      <c r="EY242" s="228"/>
      <c r="EZ242" s="477"/>
      <c r="FA242" s="477"/>
      <c r="FB242" s="228"/>
      <c r="FC242" s="477"/>
      <c r="FD242" s="16"/>
    </row>
    <row r="243" spans="1:166" ht="15.75" hidden="1" customHeight="1" outlineLevel="1" x14ac:dyDescent="0.35">
      <c r="A243" s="94" t="s">
        <v>655</v>
      </c>
      <c r="B243" s="85"/>
      <c r="C243" s="89"/>
      <c r="D243" s="90"/>
      <c r="E243" s="90"/>
      <c r="F243" s="92"/>
      <c r="G243" s="85"/>
      <c r="H243" s="89"/>
      <c r="I243" s="90"/>
      <c r="J243" s="90"/>
      <c r="K243" s="90"/>
      <c r="L243" s="85"/>
      <c r="M243" s="90"/>
      <c r="N243" s="90"/>
      <c r="O243" s="90"/>
      <c r="P243" s="90"/>
      <c r="Q243" s="85"/>
      <c r="R243" s="38"/>
      <c r="S243" s="38"/>
      <c r="T243" s="38"/>
      <c r="U243" s="39"/>
      <c r="V243" s="85"/>
      <c r="W243" s="38"/>
      <c r="X243" s="38"/>
      <c r="Y243" s="38"/>
      <c r="Z243" s="39"/>
      <c r="AA243" s="54"/>
      <c r="AB243" s="87"/>
      <c r="AC243" s="38"/>
      <c r="AD243" s="38"/>
      <c r="AE243" s="38"/>
      <c r="AF243" s="85"/>
      <c r="AG243" s="38"/>
      <c r="AH243" s="38"/>
      <c r="AI243" s="38"/>
      <c r="AJ243" s="38"/>
      <c r="AK243" s="85"/>
      <c r="AL243" s="38"/>
      <c r="AM243" s="38"/>
      <c r="AN243" s="38"/>
      <c r="AO243" s="38"/>
      <c r="AP243" s="85"/>
      <c r="AQ243" s="38"/>
      <c r="AR243" s="38"/>
      <c r="AS243" s="38"/>
      <c r="AT243" s="38"/>
      <c r="AU243" s="86"/>
      <c r="AV243" s="45"/>
      <c r="AW243" s="38"/>
      <c r="AX243" s="38"/>
      <c r="AY243" s="38"/>
      <c r="AZ243" s="38"/>
      <c r="BA243" s="85"/>
      <c r="BB243" s="38"/>
      <c r="BC243" s="38"/>
      <c r="BD243" s="38"/>
      <c r="BE243" s="38"/>
      <c r="BF243" s="85"/>
      <c r="BG243" s="38">
        <v>145.64799824530616</v>
      </c>
      <c r="BH243" s="38">
        <v>175.95385295857992</v>
      </c>
      <c r="BI243" s="38">
        <v>165.34813096335307</v>
      </c>
      <c r="BJ243" s="38">
        <v>169.81319715698399</v>
      </c>
      <c r="BK243" s="85">
        <v>656.76317932422319</v>
      </c>
      <c r="BL243" s="38">
        <v>141.43428233140068</v>
      </c>
      <c r="BM243" s="38">
        <v>158.51315127560184</v>
      </c>
      <c r="BN243" s="38">
        <v>170.77524536532169</v>
      </c>
      <c r="BO243" s="38">
        <v>169.03898582202115</v>
      </c>
      <c r="BP243" s="85">
        <v>639.76166479434528</v>
      </c>
      <c r="BQ243" s="38">
        <v>152.38464092984643</v>
      </c>
      <c r="BR243" s="38">
        <v>172.79299387442572</v>
      </c>
      <c r="BS243" s="38">
        <v>194.55934026532807</v>
      </c>
      <c r="BT243" s="38">
        <v>160.5385</v>
      </c>
      <c r="BU243" s="85">
        <v>680.27547506960013</v>
      </c>
      <c r="BV243" s="1070">
        <v>170.70000000000002</v>
      </c>
      <c r="BW243" s="1070">
        <v>192.90000000000003</v>
      </c>
      <c r="BX243" s="1070">
        <v>196.70000000000002</v>
      </c>
      <c r="BY243" s="1070">
        <v>188.35054908744425</v>
      </c>
      <c r="BZ243" s="85">
        <v>744.65054908744423</v>
      </c>
      <c r="CA243" s="38">
        <v>170.70000000000002</v>
      </c>
      <c r="CB243" s="38">
        <v>192.90000000000003</v>
      </c>
      <c r="CC243" s="38">
        <v>196.70000000000002</v>
      </c>
      <c r="CD243" s="38">
        <v>188.35054908744425</v>
      </c>
      <c r="CE243" s="85">
        <v>744.65054908744423</v>
      </c>
      <c r="CF243" s="38">
        <v>181.70412514002476</v>
      </c>
      <c r="CG243" s="38">
        <v>203.06446569304913</v>
      </c>
      <c r="CH243" s="38">
        <v>215.91398092693859</v>
      </c>
      <c r="CI243" s="38">
        <v>203.61733768383266</v>
      </c>
      <c r="CJ243" s="85">
        <v>804.29990944384519</v>
      </c>
      <c r="CK243" s="38">
        <v>188.28237123772681</v>
      </c>
      <c r="CL243" s="38">
        <v>218.84994876365394</v>
      </c>
      <c r="CM243" s="38">
        <v>232.50881262177515</v>
      </c>
      <c r="CN243" s="38">
        <v>221.67310243030462</v>
      </c>
      <c r="CO243" s="85">
        <v>861.31423505346038</v>
      </c>
      <c r="CP243" s="38">
        <v>204.24811709922696</v>
      </c>
      <c r="CQ243" s="38">
        <v>235.44064705982177</v>
      </c>
      <c r="CR243" s="38">
        <v>250.46823640963828</v>
      </c>
      <c r="CS243" s="38">
        <v>239.4142526944415</v>
      </c>
      <c r="CT243" s="85">
        <v>929.57125326312848</v>
      </c>
      <c r="CU243" s="38">
        <v>221.32219909030638</v>
      </c>
      <c r="CV243" s="38">
        <v>255.0326706594245</v>
      </c>
      <c r="CW243" s="38">
        <v>271.61887869171505</v>
      </c>
      <c r="CX243" s="38">
        <v>259.85610579657811</v>
      </c>
      <c r="CY243" s="85">
        <v>1007.8298542380238</v>
      </c>
      <c r="CZ243" s="38">
        <v>243.06765295237682</v>
      </c>
      <c r="DA243" s="38">
        <v>277.07774940300283</v>
      </c>
      <c r="DB243" s="38">
        <v>295.21424031164963</v>
      </c>
      <c r="DC243" s="38">
        <v>282.02942660146454</v>
      </c>
      <c r="DD243" s="85">
        <v>1097.3890692684938</v>
      </c>
      <c r="DE243" s="38">
        <v>260.26857645006965</v>
      </c>
      <c r="DF243" s="38">
        <v>299.65308431726697</v>
      </c>
      <c r="DG243" s="38">
        <v>319.48713238842055</v>
      </c>
      <c r="DH243" s="38">
        <v>304.89826830171341</v>
      </c>
      <c r="DI243" s="85">
        <v>1184.3070614574708</v>
      </c>
      <c r="DJ243" s="38">
        <v>280.63758852061221</v>
      </c>
      <c r="DK243" s="38">
        <v>323.19696061884326</v>
      </c>
      <c r="DL243" s="38">
        <v>344.85072313743626</v>
      </c>
      <c r="DM243" s="38">
        <v>328.8562096243366</v>
      </c>
      <c r="DN243" s="85">
        <v>1277.5414819012285</v>
      </c>
      <c r="DO243" s="38">
        <v>302.07414270304184</v>
      </c>
      <c r="DP243" s="38">
        <v>347.94269707805182</v>
      </c>
      <c r="DQ243" s="38">
        <v>371.59965117650864</v>
      </c>
      <c r="DR243" s="38">
        <v>354.26899178319945</v>
      </c>
      <c r="DS243" s="85">
        <v>1375.8854827408015</v>
      </c>
      <c r="DT243" s="38">
        <v>328.22643286681608</v>
      </c>
      <c r="DU243" s="38">
        <v>374.26434171572146</v>
      </c>
      <c r="DV243" s="38">
        <v>400.06305195394236</v>
      </c>
      <c r="DW243" s="38">
        <v>381.29342945261442</v>
      </c>
      <c r="DX243" s="85">
        <v>1483.8472559890945</v>
      </c>
      <c r="DY243" s="38">
        <v>349.07525238088556</v>
      </c>
      <c r="DZ243" s="38">
        <v>402.24355886623107</v>
      </c>
      <c r="EA243" s="38">
        <v>430.3294565478817</v>
      </c>
      <c r="EB243" s="38">
        <v>410.01266646814872</v>
      </c>
      <c r="EC243" s="85">
        <v>1575.4697053545813</v>
      </c>
      <c r="ED243" s="38"/>
      <c r="EE243" s="21"/>
      <c r="EF243" s="373"/>
      <c r="EG243" s="16"/>
      <c r="EH243" s="16"/>
      <c r="EI243" s="16"/>
      <c r="EJ243" s="16"/>
      <c r="EK243" s="16"/>
      <c r="EL243" s="16"/>
      <c r="EM243" s="16"/>
      <c r="EN243" s="16"/>
      <c r="EO243" s="16"/>
      <c r="EP243" s="16"/>
      <c r="EQ243" s="16"/>
      <c r="ER243" s="16"/>
      <c r="ES243" s="16"/>
      <c r="ET243" s="16"/>
      <c r="EU243" s="16"/>
      <c r="EX243" s="16"/>
      <c r="EY243" s="228"/>
      <c r="EZ243" s="477"/>
      <c r="FA243" s="477"/>
      <c r="FB243" s="228"/>
      <c r="FC243" s="477"/>
      <c r="FD243" s="16"/>
    </row>
    <row r="244" spans="1:166" s="1069" customFormat="1" ht="12.75" hidden="1" customHeight="1" outlineLevel="1" x14ac:dyDescent="0.35">
      <c r="A244" s="365" t="s">
        <v>653</v>
      </c>
      <c r="B244" s="50"/>
      <c r="C244" s="826"/>
      <c r="D244" s="827"/>
      <c r="E244" s="827"/>
      <c r="F244" s="828"/>
      <c r="G244" s="50"/>
      <c r="H244" s="826"/>
      <c r="I244" s="827"/>
      <c r="J244" s="827"/>
      <c r="K244" s="827"/>
      <c r="L244" s="50"/>
      <c r="M244" s="827"/>
      <c r="N244" s="827"/>
      <c r="O244" s="827"/>
      <c r="P244" s="827"/>
      <c r="Q244" s="50"/>
      <c r="R244" s="46"/>
      <c r="S244" s="46"/>
      <c r="T244" s="46"/>
      <c r="U244" s="47"/>
      <c r="V244" s="50"/>
      <c r="W244" s="46"/>
      <c r="X244" s="46"/>
      <c r="Y244" s="46"/>
      <c r="Z244" s="47"/>
      <c r="AA244" s="52"/>
      <c r="AB244" s="82"/>
      <c r="AC244" s="46"/>
      <c r="AD244" s="46"/>
      <c r="AE244" s="46"/>
      <c r="AF244" s="50"/>
      <c r="AG244" s="46"/>
      <c r="AH244" s="46"/>
      <c r="AI244" s="46"/>
      <c r="AJ244" s="46"/>
      <c r="AK244" s="50"/>
      <c r="AL244" s="46"/>
      <c r="AM244" s="46"/>
      <c r="AN244" s="46"/>
      <c r="AO244" s="46"/>
      <c r="AP244" s="50"/>
      <c r="AQ244" s="46"/>
      <c r="AR244" s="46"/>
      <c r="AS244" s="46"/>
      <c r="AT244" s="46"/>
      <c r="AU244" s="81"/>
      <c r="AV244" s="49"/>
      <c r="AW244" s="46"/>
      <c r="AX244" s="46"/>
      <c r="AY244" s="46"/>
      <c r="AZ244" s="46"/>
      <c r="BA244" s="50"/>
      <c r="BB244" s="46"/>
      <c r="BC244" s="46"/>
      <c r="BD244" s="46"/>
      <c r="BE244" s="46"/>
      <c r="BF244" s="50"/>
      <c r="BG244" s="46">
        <f>BG243-BG242</f>
        <v>3.8479982453062007</v>
      </c>
      <c r="BH244" s="46">
        <f t="shared" ref="BH244:BK244" si="1281">BH243-BH242</f>
        <v>4.2538529585799267</v>
      </c>
      <c r="BI244" s="46">
        <f t="shared" si="1281"/>
        <v>5.0481309633531168</v>
      </c>
      <c r="BJ244" s="46">
        <f t="shared" si="1281"/>
        <v>1.7131971569840232</v>
      </c>
      <c r="BK244" s="50">
        <f t="shared" si="1281"/>
        <v>14.863179324223324</v>
      </c>
      <c r="BL244" s="46">
        <f>BL243-BL242</f>
        <v>-0.86571766859930221</v>
      </c>
      <c r="BM244" s="46">
        <f t="shared" ref="BM244" si="1282">BM243-BM242</f>
        <v>-0.786848724398169</v>
      </c>
      <c r="BN244" s="46">
        <f t="shared" ref="BN244" si="1283">BN243-BN242</f>
        <v>-1.7247546346783338</v>
      </c>
      <c r="BO244" s="46">
        <f t="shared" ref="BO244" si="1284">BO243-BO242</f>
        <v>-4.8610141779788307</v>
      </c>
      <c r="BP244" s="50">
        <f t="shared" ref="BP244" si="1285">BP243-BP242</f>
        <v>-8.2383352056546073</v>
      </c>
      <c r="BQ244" s="46">
        <f>BQ243-BQ242</f>
        <v>-3.8153590701535904</v>
      </c>
      <c r="BR244" s="46">
        <f t="shared" ref="BR244" si="1286">BR243-BR242</f>
        <v>-5.8070061255743326</v>
      </c>
      <c r="BS244" s="46">
        <f t="shared" ref="BS244" si="1287">BS243-BS242</f>
        <v>4.6593402653280975</v>
      </c>
      <c r="BT244" s="46">
        <f t="shared" ref="BT244" si="1288">BT243-BT242</f>
        <v>-32.410944496743639</v>
      </c>
      <c r="BU244" s="50">
        <f t="shared" ref="BU244" si="1289">BU243-BU242</f>
        <v>-37.373969427143493</v>
      </c>
      <c r="BV244" s="1071">
        <f>BV243-BV242</f>
        <v>-3.5847006816083535</v>
      </c>
      <c r="BW244" s="1071">
        <f t="shared" ref="BW244:BZ244" si="1290">BW243-BW242</f>
        <v>-1.5109943931260261</v>
      </c>
      <c r="BX244" s="1071">
        <f t="shared" si="1290"/>
        <v>-11.822911482503741</v>
      </c>
      <c r="BY244" s="1071">
        <f t="shared" si="1290"/>
        <v>-25.767688943760874</v>
      </c>
      <c r="BZ244" s="50">
        <f t="shared" si="1290"/>
        <v>-46.686295500998995</v>
      </c>
      <c r="CA244" s="46">
        <f>CA243-CA242</f>
        <v>-3.5847006816083535</v>
      </c>
      <c r="CB244" s="46">
        <f t="shared" ref="CB244" si="1291">CB243-CB242</f>
        <v>-1.5109943931260261</v>
      </c>
      <c r="CC244" s="46">
        <f t="shared" ref="CC244" si="1292">CC243-CC242</f>
        <v>-11.822911482503741</v>
      </c>
      <c r="CD244" s="46">
        <f t="shared" ref="CD244" si="1293">CD243-CD242</f>
        <v>-25.767688943760874</v>
      </c>
      <c r="CE244" s="50">
        <f t="shared" ref="CE244" si="1294">CE243-CE242</f>
        <v>-46.686295500998995</v>
      </c>
      <c r="CF244" s="46">
        <f>CF243-CF242</f>
        <v>-9.7554728590632465</v>
      </c>
      <c r="CG244" s="46">
        <f t="shared" ref="CG244" si="1295">CG243-CG242</f>
        <v>-7.7497888764762308</v>
      </c>
      <c r="CH244" s="46">
        <f t="shared" ref="CH244" si="1296">CH243-CH242</f>
        <v>-10.690645045927511</v>
      </c>
      <c r="CI244" s="46">
        <f t="shared" ref="CI244" si="1297">CI243-CI242</f>
        <v>-29.535230355637111</v>
      </c>
      <c r="CJ244" s="50">
        <f t="shared" ref="CJ244" si="1298">CJ243-CJ242</f>
        <v>-57.731137137104156</v>
      </c>
      <c r="CK244" s="46">
        <f>CK243-CK242</f>
        <v>-14.349060903748978</v>
      </c>
      <c r="CL244" s="46">
        <f t="shared" ref="CL244" si="1299">CL243-CL242</f>
        <v>-7.1209394795076264</v>
      </c>
      <c r="CM244" s="46">
        <f t="shared" ref="CM244" si="1300">CM243-CM242</f>
        <v>-10.798863942077105</v>
      </c>
      <c r="CN244" s="46">
        <f t="shared" ref="CN244" si="1301">CN243-CN242</f>
        <v>-28.90129533422126</v>
      </c>
      <c r="CO244" s="50">
        <f t="shared" ref="CO244" si="1302">CO243-CO242</f>
        <v>-61.170159659555111</v>
      </c>
      <c r="CP244" s="46">
        <f>CP243-CP242</f>
        <v>-14.354176747404097</v>
      </c>
      <c r="CQ244" s="46">
        <f t="shared" ref="CQ244" si="1303">CQ243-CQ242</f>
        <v>-8.069120241292012</v>
      </c>
      <c r="CR244" s="46">
        <f t="shared" ref="CR244" si="1304">CR243-CR242</f>
        <v>-11.566678730766682</v>
      </c>
      <c r="CS244" s="46">
        <f t="shared" ref="CS244" si="1305">CS243-CS242</f>
        <v>-30.288743052664557</v>
      </c>
      <c r="CT244" s="50">
        <f t="shared" ref="CT244" si="1306">CT243-CT242</f>
        <v>-64.278718772127377</v>
      </c>
      <c r="CU244" s="46">
        <f>CU243-CU242</f>
        <v>-12.445705297400963</v>
      </c>
      <c r="CV244" s="46">
        <f t="shared" ref="CV244" si="1307">CV243-CV242</f>
        <v>-4.9703539234933203</v>
      </c>
      <c r="CW244" s="46">
        <f t="shared" ref="CW244" si="1308">CW243-CW242</f>
        <v>-7.7756305236267167</v>
      </c>
      <c r="CX244" s="46">
        <f t="shared" ref="CX244" si="1309">CX243-CX242</f>
        <v>-27.47776324206194</v>
      </c>
      <c r="CY244" s="50">
        <f t="shared" ref="CY244" si="1310">CY243-CY242</f>
        <v>-52.669452986582996</v>
      </c>
      <c r="CZ244" s="46">
        <f>CZ243-CZ242</f>
        <v>-8.1822977924472582</v>
      </c>
      <c r="DA244" s="46">
        <f t="shared" ref="DA244" si="1311">DA243-DA242</f>
        <v>1.4185776769632525</v>
      </c>
      <c r="DB244" s="46">
        <f t="shared" ref="DB244" si="1312">DB243-DB242</f>
        <v>-0.74638693258089006</v>
      </c>
      <c r="DC244" s="46">
        <f t="shared" ref="DC244" si="1313">DC243-DC242</f>
        <v>-22.018655092749782</v>
      </c>
      <c r="DD244" s="50">
        <f t="shared" ref="DD244" si="1314">DD243-DD242</f>
        <v>-29.528762140814479</v>
      </c>
      <c r="DE244" s="46">
        <f>DE243-DE242</f>
        <v>-1.3893618395919702</v>
      </c>
      <c r="DF244" s="46">
        <f t="shared" ref="DF244" si="1315">DF243-DF242</f>
        <v>9.3084632827962537</v>
      </c>
      <c r="DG244" s="46">
        <f t="shared" ref="DG244" si="1316">DG243-DG242</f>
        <v>8.2956055515988396</v>
      </c>
      <c r="DH244" s="46">
        <f t="shared" ref="DH244" si="1317">DH243-DH242</f>
        <v>-14.352369130204579</v>
      </c>
      <c r="DI244" s="50">
        <f t="shared" ref="DI244" si="1318">DI243-DI242</f>
        <v>1.8623378645986577</v>
      </c>
      <c r="DJ244" s="46">
        <f>DJ243-DJ242</f>
        <v>6.6911115518170163</v>
      </c>
      <c r="DK244" s="46">
        <f t="shared" ref="DK244" si="1319">DK243-DK242</f>
        <v>19.460642962693953</v>
      </c>
      <c r="DL244" s="46">
        <f t="shared" ref="DL244" si="1320">DL243-DL242</f>
        <v>19.635965828308088</v>
      </c>
      <c r="DM244" s="46">
        <f t="shared" ref="DM244" si="1321">DM243-DM242</f>
        <v>-4.445805143321877</v>
      </c>
      <c r="DN244" s="50">
        <f t="shared" ref="DN244" si="1322">DN243-DN242</f>
        <v>41.34191519949718</v>
      </c>
      <c r="DO244" s="46">
        <f>DO243-DO242</f>
        <v>16.739875039933736</v>
      </c>
      <c r="DP244" s="46">
        <f t="shared" ref="DP244" si="1323">DP243-DP242</f>
        <v>31.811822060108568</v>
      </c>
      <c r="DQ244" s="46">
        <f t="shared" ref="DQ244" si="1324">DQ243-DQ242</f>
        <v>33.455428979015949</v>
      </c>
      <c r="DR244" s="46">
        <f t="shared" ref="DR244" si="1325">DR243-DR242</f>
        <v>7.9801528389239706</v>
      </c>
      <c r="DS244" s="50">
        <f t="shared" ref="DS244" si="1326">DS243-DS242</f>
        <v>89.987278917982167</v>
      </c>
      <c r="DT244" s="46">
        <f>DT243-DT242</f>
        <v>28.570025970437371</v>
      </c>
      <c r="DU244" s="46">
        <f t="shared" ref="DU244" si="1327">DU243-DU242</f>
        <v>46.61688009996135</v>
      </c>
      <c r="DV244" s="46">
        <f t="shared" ref="DV244" si="1328">DV243-DV242</f>
        <v>49.941399676997435</v>
      </c>
      <c r="DW244" s="46">
        <f t="shared" ref="DW244" si="1329">DW243-DW242</f>
        <v>23.063115038635942</v>
      </c>
      <c r="DX244" s="50">
        <f t="shared" ref="DX244" si="1330">DX243-DX242</f>
        <v>148.1914207860325</v>
      </c>
      <c r="DY244" s="46" t="e">
        <f>DY243-DY242</f>
        <v>#REF!</v>
      </c>
      <c r="DZ244" s="46" t="e">
        <f t="shared" ref="DZ244:EC244" si="1331">DZ243-DZ242</f>
        <v>#REF!</v>
      </c>
      <c r="EA244" s="46" t="e">
        <f t="shared" si="1331"/>
        <v>#REF!</v>
      </c>
      <c r="EB244" s="46" t="e">
        <f t="shared" si="1331"/>
        <v>#REF!</v>
      </c>
      <c r="EC244" s="50" t="e">
        <f t="shared" si="1331"/>
        <v>#REF!</v>
      </c>
      <c r="ED244" s="46"/>
      <c r="EE244" s="37"/>
      <c r="EF244" s="286"/>
      <c r="EG244" s="25"/>
      <c r="EH244" s="25"/>
      <c r="EI244" s="25"/>
      <c r="EJ244" s="25"/>
      <c r="EK244" s="25"/>
      <c r="EL244" s="25"/>
      <c r="EM244" s="25"/>
      <c r="EN244" s="25"/>
      <c r="EO244" s="25"/>
      <c r="EP244" s="25"/>
      <c r="EQ244" s="25"/>
      <c r="ER244" s="25"/>
      <c r="ES244" s="25"/>
      <c r="ET244" s="25"/>
      <c r="EU244" s="25"/>
      <c r="EX244" s="25"/>
      <c r="EY244" s="294"/>
      <c r="EZ244" s="985"/>
      <c r="FA244" s="985"/>
      <c r="FB244" s="294"/>
      <c r="FC244" s="985"/>
      <c r="FD244" s="25"/>
      <c r="FE244"/>
      <c r="FF244"/>
      <c r="FG244"/>
      <c r="FH244"/>
      <c r="FI244"/>
      <c r="FJ244"/>
    </row>
    <row r="245" spans="1:166" ht="6" hidden="1" customHeight="1" outlineLevel="1" x14ac:dyDescent="0.35">
      <c r="A245" s="94"/>
      <c r="B245" s="85"/>
      <c r="C245" s="89"/>
      <c r="D245" s="90"/>
      <c r="E245" s="90"/>
      <c r="F245" s="92"/>
      <c r="G245" s="85"/>
      <c r="H245" s="89"/>
      <c r="I245" s="90"/>
      <c r="J245" s="90"/>
      <c r="K245" s="90"/>
      <c r="L245" s="85"/>
      <c r="M245" s="90"/>
      <c r="N245" s="90"/>
      <c r="O245" s="90"/>
      <c r="P245" s="90"/>
      <c r="Q245" s="85"/>
      <c r="R245" s="38"/>
      <c r="S245" s="38"/>
      <c r="T245" s="38"/>
      <c r="U245" s="39"/>
      <c r="V245" s="85"/>
      <c r="W245" s="38"/>
      <c r="X245" s="38"/>
      <c r="Y245" s="38"/>
      <c r="Z245" s="39"/>
      <c r="AA245" s="54"/>
      <c r="AB245" s="87"/>
      <c r="AC245" s="38"/>
      <c r="AD245" s="38"/>
      <c r="AE245" s="38"/>
      <c r="AF245" s="85"/>
      <c r="AG245" s="38"/>
      <c r="AH245" s="38"/>
      <c r="AI245" s="38"/>
      <c r="AJ245" s="38"/>
      <c r="AK245" s="85"/>
      <c r="AL245" s="38"/>
      <c r="AM245" s="38"/>
      <c r="AN245" s="38"/>
      <c r="AO245" s="38"/>
      <c r="AP245" s="85"/>
      <c r="AQ245" s="38"/>
      <c r="AR245" s="38"/>
      <c r="AS245" s="38"/>
      <c r="AT245" s="38"/>
      <c r="AU245" s="86"/>
      <c r="AV245" s="45"/>
      <c r="AW245" s="38"/>
      <c r="AX245" s="38"/>
      <c r="AY245" s="38"/>
      <c r="AZ245" s="38"/>
      <c r="BA245" s="85"/>
      <c r="BB245" s="38"/>
      <c r="BC245" s="38"/>
      <c r="BD245" s="38"/>
      <c r="BE245" s="38"/>
      <c r="BF245" s="85"/>
      <c r="BG245" s="38"/>
      <c r="BH245" s="38"/>
      <c r="BI245" s="38"/>
      <c r="BJ245" s="38"/>
      <c r="BK245" s="85"/>
      <c r="BL245" s="38"/>
      <c r="BM245" s="38"/>
      <c r="BN245" s="38"/>
      <c r="BO245" s="38"/>
      <c r="BP245" s="85"/>
      <c r="BQ245" s="38"/>
      <c r="BR245" s="38"/>
      <c r="BS245" s="38"/>
      <c r="BT245" s="38"/>
      <c r="BU245" s="85"/>
      <c r="BV245" s="1070"/>
      <c r="BW245" s="1070"/>
      <c r="BX245" s="1070"/>
      <c r="BY245" s="1070"/>
      <c r="BZ245" s="85"/>
      <c r="CA245" s="38"/>
      <c r="CB245" s="38"/>
      <c r="CC245" s="38"/>
      <c r="CD245" s="38"/>
      <c r="CE245" s="85"/>
      <c r="CF245" s="38"/>
      <c r="CG245" s="38"/>
      <c r="CH245" s="38"/>
      <c r="CI245" s="38"/>
      <c r="CJ245" s="85"/>
      <c r="CK245" s="38"/>
      <c r="CL245" s="38"/>
      <c r="CM245" s="38"/>
      <c r="CN245" s="38"/>
      <c r="CO245" s="85"/>
      <c r="CP245" s="38"/>
      <c r="CQ245" s="38"/>
      <c r="CR245" s="38"/>
      <c r="CS245" s="38"/>
      <c r="CT245" s="85"/>
      <c r="CU245" s="38"/>
      <c r="CV245" s="38"/>
      <c r="CW245" s="38"/>
      <c r="CX245" s="38"/>
      <c r="CY245" s="85"/>
      <c r="CZ245" s="38"/>
      <c r="DA245" s="38"/>
      <c r="DB245" s="38"/>
      <c r="DC245" s="38"/>
      <c r="DD245" s="85"/>
      <c r="DE245" s="38"/>
      <c r="DF245" s="38"/>
      <c r="DG245" s="38"/>
      <c r="DH245" s="38"/>
      <c r="DI245" s="85"/>
      <c r="DJ245" s="38"/>
      <c r="DK245" s="38"/>
      <c r="DL245" s="38"/>
      <c r="DM245" s="38"/>
      <c r="DN245" s="85"/>
      <c r="DO245" s="38"/>
      <c r="DP245" s="38"/>
      <c r="DQ245" s="38"/>
      <c r="DR245" s="38"/>
      <c r="DS245" s="85"/>
      <c r="DT245" s="38"/>
      <c r="DU245" s="38"/>
      <c r="DV245" s="38"/>
      <c r="DW245" s="38"/>
      <c r="DX245" s="85"/>
      <c r="DY245" s="38"/>
      <c r="DZ245" s="38"/>
      <c r="EA245" s="38"/>
      <c r="EB245" s="38"/>
      <c r="EC245" s="85"/>
      <c r="ED245" s="38"/>
      <c r="EE245" s="21"/>
      <c r="EF245" s="373"/>
      <c r="EG245" s="16"/>
      <c r="EH245" s="16"/>
      <c r="EI245" s="16"/>
      <c r="EJ245" s="16"/>
      <c r="EK245" s="16"/>
      <c r="EL245" s="16"/>
      <c r="EM245" s="16"/>
      <c r="EN245" s="16"/>
      <c r="EO245" s="16"/>
      <c r="EP245" s="16"/>
      <c r="EQ245" s="16"/>
      <c r="ER245" s="16"/>
      <c r="ES245" s="16"/>
      <c r="ET245" s="16"/>
      <c r="EU245" s="16"/>
      <c r="EX245" s="16"/>
      <c r="EY245" s="228"/>
      <c r="EZ245" s="477"/>
      <c r="FA245" s="477"/>
      <c r="FB245" s="228"/>
      <c r="FC245" s="477"/>
      <c r="FD245" s="16"/>
    </row>
    <row r="246" spans="1:166" ht="15" hidden="1" customHeight="1" outlineLevel="1" x14ac:dyDescent="0.35">
      <c r="A246" s="94" t="s">
        <v>656</v>
      </c>
      <c r="B246" s="85"/>
      <c r="C246" s="89"/>
      <c r="D246" s="90"/>
      <c r="E246" s="90"/>
      <c r="F246" s="92"/>
      <c r="G246" s="85"/>
      <c r="H246" s="89"/>
      <c r="I246" s="90"/>
      <c r="J246" s="90"/>
      <c r="K246" s="90"/>
      <c r="L246" s="85"/>
      <c r="M246" s="90"/>
      <c r="N246" s="90"/>
      <c r="O246" s="90"/>
      <c r="P246" s="90"/>
      <c r="Q246" s="85"/>
      <c r="R246" s="38"/>
      <c r="S246" s="38"/>
      <c r="T246" s="38"/>
      <c r="U246" s="39"/>
      <c r="V246" s="85"/>
      <c r="W246" s="38"/>
      <c r="X246" s="38"/>
      <c r="Y246" s="38"/>
      <c r="Z246" s="39"/>
      <c r="AA246" s="54"/>
      <c r="AB246" s="87"/>
      <c r="AC246" s="38"/>
      <c r="AD246" s="38"/>
      <c r="AE246" s="38"/>
      <c r="AF246" s="85"/>
      <c r="AG246" s="38"/>
      <c r="AH246" s="38"/>
      <c r="AI246" s="38"/>
      <c r="AJ246" s="38"/>
      <c r="AK246" s="85"/>
      <c r="AL246" s="38"/>
      <c r="AM246" s="38"/>
      <c r="AN246" s="38"/>
      <c r="AO246" s="38"/>
      <c r="AP246" s="85"/>
      <c r="AQ246" s="38"/>
      <c r="AR246" s="38"/>
      <c r="AS246" s="38"/>
      <c r="AT246" s="38"/>
      <c r="AU246" s="86"/>
      <c r="AV246" s="45"/>
      <c r="AW246" s="38"/>
      <c r="AX246" s="38"/>
      <c r="AY246" s="38"/>
      <c r="AZ246" s="38"/>
      <c r="BA246" s="85"/>
      <c r="BB246" s="38"/>
      <c r="BC246" s="38"/>
      <c r="BD246" s="38"/>
      <c r="BE246" s="38"/>
      <c r="BF246" s="85"/>
      <c r="BG246" s="38"/>
      <c r="BH246" s="38"/>
      <c r="BI246" s="38"/>
      <c r="BJ246" s="38"/>
      <c r="BK246" s="85"/>
      <c r="BL246" s="38">
        <v>171.56875795619118</v>
      </c>
      <c r="BM246" s="38">
        <v>209.00612915992022</v>
      </c>
      <c r="BN246" s="38">
        <v>202.88270329723323</v>
      </c>
      <c r="BO246" s="38">
        <v>208.55727439262913</v>
      </c>
      <c r="BP246" s="85">
        <v>792.91662657567804</v>
      </c>
      <c r="BQ246" s="38">
        <v>167.75016853837965</v>
      </c>
      <c r="BR246" s="38">
        <v>213.18227025873398</v>
      </c>
      <c r="BS246" s="38">
        <v>218.24178660323085</v>
      </c>
      <c r="BT246" s="38">
        <v>209.29700419067794</v>
      </c>
      <c r="BU246" s="85">
        <v>808.60192053926403</v>
      </c>
      <c r="BV246" s="1070">
        <v>169.79403695316151</v>
      </c>
      <c r="BW246" s="1070">
        <v>203.18834797529894</v>
      </c>
      <c r="BX246" s="1070">
        <v>190.0101699781286</v>
      </c>
      <c r="BY246" s="1070">
        <v>199.11500063830019</v>
      </c>
      <c r="BZ246" s="85">
        <v>763.59733814770743</v>
      </c>
      <c r="CA246" s="38">
        <v>169.79403695316151</v>
      </c>
      <c r="CB246" s="38">
        <v>203.18834797529894</v>
      </c>
      <c r="CC246" s="38">
        <v>190.0101699781286</v>
      </c>
      <c r="CD246" s="38">
        <v>199.11500063830019</v>
      </c>
      <c r="CE246" s="85">
        <v>763.59733814770743</v>
      </c>
      <c r="CF246" s="38">
        <v>163.18795017972062</v>
      </c>
      <c r="CG246" s="38">
        <v>204.07817437791005</v>
      </c>
      <c r="CH246" s="38">
        <v>202.2837623424146</v>
      </c>
      <c r="CI246" s="38">
        <v>202.5315386533693</v>
      </c>
      <c r="CJ246" s="85">
        <v>770.86875961756857</v>
      </c>
      <c r="CK246" s="38">
        <v>181.15801286126487</v>
      </c>
      <c r="CL246" s="38">
        <v>211.8745594949564</v>
      </c>
      <c r="CM246" s="38">
        <v>212.32955617466567</v>
      </c>
      <c r="CN246" s="38">
        <v>213.50926174851139</v>
      </c>
      <c r="CO246" s="85">
        <v>818.87139027939827</v>
      </c>
      <c r="CP246" s="38">
        <v>192.7872960723351</v>
      </c>
      <c r="CQ246" s="38">
        <v>225.27923695786481</v>
      </c>
      <c r="CR246" s="38">
        <v>225.95106997890946</v>
      </c>
      <c r="CS246" s="38">
        <v>227.20260200734856</v>
      </c>
      <c r="CT246" s="85">
        <v>871.22020501645773</v>
      </c>
      <c r="CU246" s="38">
        <v>208.01877637749931</v>
      </c>
      <c r="CV246" s="38">
        <v>241.85363138908679</v>
      </c>
      <c r="CW246" s="38">
        <v>242.89971980490222</v>
      </c>
      <c r="CX246" s="38">
        <v>242.81181995271356</v>
      </c>
      <c r="CY246" s="85">
        <v>935.58394752420156</v>
      </c>
      <c r="CZ246" s="38">
        <v>222.49371021728152</v>
      </c>
      <c r="DA246" s="38">
        <v>258.5976370852693</v>
      </c>
      <c r="DB246" s="38">
        <v>259.62175614295006</v>
      </c>
      <c r="DC246" s="38">
        <v>259.07321964110571</v>
      </c>
      <c r="DD246" s="85">
        <v>999.78632308660667</v>
      </c>
      <c r="DE246" s="38">
        <v>237.4553943988121</v>
      </c>
      <c r="DF246" s="38">
        <v>275.84373437003853</v>
      </c>
      <c r="DG246" s="38">
        <v>276.85808572477362</v>
      </c>
      <c r="DH246" s="38">
        <v>275.63625285579894</v>
      </c>
      <c r="DI246" s="85">
        <v>1065.7934673494226</v>
      </c>
      <c r="DJ246" s="38">
        <v>252.45610107344572</v>
      </c>
      <c r="DK246" s="38">
        <v>293.19295413673342</v>
      </c>
      <c r="DL246" s="38">
        <v>294.47969443509191</v>
      </c>
      <c r="DM246" s="38">
        <v>293.12005306378433</v>
      </c>
      <c r="DN246" s="85">
        <v>1133.2488027090553</v>
      </c>
      <c r="DO246" s="38"/>
      <c r="DP246" s="38"/>
      <c r="DQ246" s="38"/>
      <c r="DR246" s="38"/>
      <c r="DS246" s="85"/>
      <c r="DT246" s="38"/>
      <c r="DU246" s="38"/>
      <c r="DV246" s="38"/>
      <c r="DW246" s="38"/>
      <c r="DX246" s="85"/>
      <c r="DY246" s="38"/>
      <c r="DZ246" s="38"/>
      <c r="EA246" s="38"/>
      <c r="EB246" s="38"/>
      <c r="EC246" s="85"/>
      <c r="ED246" s="38"/>
      <c r="EE246" s="21"/>
      <c r="EF246" s="373"/>
      <c r="EG246" s="16"/>
      <c r="EH246" s="16"/>
      <c r="EI246" s="16"/>
      <c r="EJ246" s="16"/>
      <c r="EK246" s="16"/>
      <c r="EL246" s="16"/>
      <c r="EM246" s="16"/>
      <c r="EN246" s="16"/>
      <c r="EO246" s="16"/>
      <c r="EP246" s="16"/>
      <c r="EQ246" s="16"/>
      <c r="ER246" s="16"/>
      <c r="ES246" s="16"/>
      <c r="ET246" s="16"/>
      <c r="EU246" s="16"/>
      <c r="EX246" s="16"/>
      <c r="EY246" s="228"/>
      <c r="EZ246" s="477"/>
      <c r="FA246" s="477"/>
      <c r="FB246" s="228"/>
      <c r="FC246" s="477"/>
      <c r="FD246" s="16"/>
    </row>
    <row r="247" spans="1:166" ht="15" hidden="1" customHeight="1" outlineLevel="1" x14ac:dyDescent="0.35">
      <c r="A247" s="94" t="s">
        <v>657</v>
      </c>
      <c r="B247" s="85"/>
      <c r="C247" s="89"/>
      <c r="D247" s="90"/>
      <c r="E247" s="90"/>
      <c r="F247" s="92"/>
      <c r="G247" s="85"/>
      <c r="H247" s="89"/>
      <c r="I247" s="90"/>
      <c r="J247" s="90"/>
      <c r="K247" s="90"/>
      <c r="L247" s="85"/>
      <c r="M247" s="90"/>
      <c r="N247" s="90"/>
      <c r="O247" s="90"/>
      <c r="P247" s="90"/>
      <c r="Q247" s="85"/>
      <c r="R247" s="38"/>
      <c r="S247" s="38"/>
      <c r="T247" s="38"/>
      <c r="U247" s="39"/>
      <c r="V247" s="85"/>
      <c r="W247" s="38"/>
      <c r="X247" s="38"/>
      <c r="Y247" s="38"/>
      <c r="Z247" s="39"/>
      <c r="AA247" s="54"/>
      <c r="AB247" s="87"/>
      <c r="AC247" s="38"/>
      <c r="AD247" s="38"/>
      <c r="AE247" s="38"/>
      <c r="AF247" s="85"/>
      <c r="AG247" s="38"/>
      <c r="AH247" s="38"/>
      <c r="AI247" s="38"/>
      <c r="AJ247" s="38"/>
      <c r="AK247" s="85"/>
      <c r="AL247" s="38"/>
      <c r="AM247" s="38"/>
      <c r="AN247" s="38"/>
      <c r="AO247" s="38"/>
      <c r="AP247" s="85"/>
      <c r="AQ247" s="38"/>
      <c r="AR247" s="38"/>
      <c r="AS247" s="38"/>
      <c r="AT247" s="38"/>
      <c r="AU247" s="86"/>
      <c r="AV247" s="45"/>
      <c r="AW247" s="38"/>
      <c r="AX247" s="38"/>
      <c r="AY247" s="38"/>
      <c r="AZ247" s="38"/>
      <c r="BA247" s="85"/>
      <c r="BB247" s="38"/>
      <c r="BC247" s="38"/>
      <c r="BD247" s="38"/>
      <c r="BE247" s="38"/>
      <c r="BF247" s="85"/>
      <c r="BG247" s="38"/>
      <c r="BH247" s="38"/>
      <c r="BI247" s="38"/>
      <c r="BJ247" s="38"/>
      <c r="BK247" s="85"/>
      <c r="BL247" s="38">
        <v>171.56875795619132</v>
      </c>
      <c r="BM247" s="38">
        <v>209.00612915992016</v>
      </c>
      <c r="BN247" s="38">
        <v>202.88270329723321</v>
      </c>
      <c r="BO247" s="38">
        <v>208.43268802392959</v>
      </c>
      <c r="BP247" s="85">
        <v>792.19363112383382</v>
      </c>
      <c r="BQ247" s="38">
        <v>167.73474665565914</v>
      </c>
      <c r="BR247" s="38">
        <v>213.18227025873392</v>
      </c>
      <c r="BS247" s="38">
        <v>218.24178660323099</v>
      </c>
      <c r="BT247" s="38">
        <v>208.6</v>
      </c>
      <c r="BU247" s="85">
        <v>804.65642966171993</v>
      </c>
      <c r="BV247" s="1070">
        <v>183.89999999999998</v>
      </c>
      <c r="BW247" s="1070">
        <v>234.3</v>
      </c>
      <c r="BX247" s="1070">
        <v>244.00000000000003</v>
      </c>
      <c r="BY247" s="1070">
        <v>238.34671218403201</v>
      </c>
      <c r="BZ247" s="85">
        <v>900.546712184032</v>
      </c>
      <c r="CA247" s="38">
        <v>183.89999999999998</v>
      </c>
      <c r="CB247" s="38">
        <v>234.3</v>
      </c>
      <c r="CC247" s="38">
        <v>244.00000000000003</v>
      </c>
      <c r="CD247" s="38">
        <v>238.34671218403201</v>
      </c>
      <c r="CE247" s="85">
        <v>900.546712184032</v>
      </c>
      <c r="CF247" s="38">
        <v>198.32711682379838</v>
      </c>
      <c r="CG247" s="38">
        <v>237.27048855702839</v>
      </c>
      <c r="CH247" s="38">
        <v>261.2901553880605</v>
      </c>
      <c r="CI247" s="38">
        <v>260.50575755059594</v>
      </c>
      <c r="CJ247" s="85">
        <v>957.39351831948318</v>
      </c>
      <c r="CK247" s="38">
        <v>213.48382198231323</v>
      </c>
      <c r="CL247" s="38">
        <v>239.87269467566844</v>
      </c>
      <c r="CM247" s="38">
        <v>269.80153236043179</v>
      </c>
      <c r="CN247" s="38">
        <v>268.253648568671</v>
      </c>
      <c r="CO247" s="85">
        <v>991.41169758708452</v>
      </c>
      <c r="CP247" s="38">
        <v>218.94186542840282</v>
      </c>
      <c r="CQ247" s="38">
        <v>248.56953344420569</v>
      </c>
      <c r="CR247" s="38">
        <v>279.55321692390112</v>
      </c>
      <c r="CS247" s="38">
        <v>274.77610774028722</v>
      </c>
      <c r="CT247" s="85">
        <v>1021.8407235367969</v>
      </c>
      <c r="CU247" s="38">
        <v>226.3986643824864</v>
      </c>
      <c r="CV247" s="38">
        <v>257.05816010760077</v>
      </c>
      <c r="CW247" s="38">
        <v>289.21677391002123</v>
      </c>
      <c r="CX247" s="38">
        <v>285.56018341801911</v>
      </c>
      <c r="CY247" s="85">
        <v>1058.2337818181275</v>
      </c>
      <c r="CZ247" s="38">
        <v>238.42217620859921</v>
      </c>
      <c r="DA247" s="38">
        <v>267.65707571576337</v>
      </c>
      <c r="DB247" s="38">
        <v>301.16925212334235</v>
      </c>
      <c r="DC247" s="38">
        <v>297.78708775864845</v>
      </c>
      <c r="DD247" s="85">
        <v>1105.0355918063533</v>
      </c>
      <c r="DE247" s="38">
        <v>245.80416552087146</v>
      </c>
      <c r="DF247" s="38">
        <v>278.02666507832112</v>
      </c>
      <c r="DG247" s="38">
        <v>312.8927053015089</v>
      </c>
      <c r="DH247" s="38">
        <v>309.61281333082246</v>
      </c>
      <c r="DI247" s="85">
        <v>1146.3363492315241</v>
      </c>
      <c r="DJ247" s="38">
        <v>257.00156198996774</v>
      </c>
      <c r="DK247" s="38">
        <v>290.29387343718548</v>
      </c>
      <c r="DL247" s="38">
        <v>327.24798883807017</v>
      </c>
      <c r="DM247" s="38">
        <v>323.96799870872758</v>
      </c>
      <c r="DN247" s="85">
        <v>1198.5114229739511</v>
      </c>
      <c r="DO247" s="38"/>
      <c r="DP247" s="38"/>
      <c r="DQ247" s="38"/>
      <c r="DR247" s="38"/>
      <c r="DS247" s="85"/>
      <c r="DT247" s="38"/>
      <c r="DU247" s="38"/>
      <c r="DV247" s="38"/>
      <c r="DW247" s="38"/>
      <c r="DX247" s="85"/>
      <c r="DY247" s="38"/>
      <c r="DZ247" s="38"/>
      <c r="EA247" s="38"/>
      <c r="EB247" s="38"/>
      <c r="EC247" s="85"/>
      <c r="ED247" s="38"/>
      <c r="EE247" s="21"/>
      <c r="EF247" s="373"/>
      <c r="EG247" s="16"/>
      <c r="EH247" s="16"/>
      <c r="EI247" s="16"/>
      <c r="EJ247" s="16"/>
      <c r="EK247" s="16"/>
      <c r="EL247" s="16"/>
      <c r="EM247" s="16"/>
      <c r="EN247" s="16"/>
      <c r="EO247" s="16"/>
      <c r="EP247" s="16"/>
      <c r="EQ247" s="16"/>
      <c r="ER247" s="16"/>
      <c r="ES247" s="16"/>
      <c r="ET247" s="16"/>
      <c r="EU247" s="16"/>
      <c r="EX247" s="16"/>
      <c r="EY247" s="228"/>
      <c r="EZ247" s="477"/>
      <c r="FA247" s="477"/>
      <c r="FB247" s="228"/>
      <c r="FC247" s="477"/>
      <c r="FD247" s="16"/>
    </row>
    <row r="248" spans="1:166" s="1069" customFormat="1" ht="12.75" hidden="1" customHeight="1" outlineLevel="1" x14ac:dyDescent="0.35">
      <c r="A248" s="365" t="s">
        <v>653</v>
      </c>
      <c r="B248" s="50"/>
      <c r="C248" s="826"/>
      <c r="D248" s="827"/>
      <c r="E248" s="827"/>
      <c r="F248" s="828"/>
      <c r="G248" s="50"/>
      <c r="H248" s="826"/>
      <c r="I248" s="827"/>
      <c r="J248" s="827"/>
      <c r="K248" s="827"/>
      <c r="L248" s="50"/>
      <c r="M248" s="827"/>
      <c r="N248" s="827"/>
      <c r="O248" s="827"/>
      <c r="P248" s="827"/>
      <c r="Q248" s="50"/>
      <c r="R248" s="46"/>
      <c r="S248" s="46"/>
      <c r="T248" s="46"/>
      <c r="U248" s="47"/>
      <c r="V248" s="50"/>
      <c r="W248" s="46"/>
      <c r="X248" s="46"/>
      <c r="Y248" s="46"/>
      <c r="Z248" s="47"/>
      <c r="AA248" s="52"/>
      <c r="AB248" s="82"/>
      <c r="AC248" s="46"/>
      <c r="AD248" s="46"/>
      <c r="AE248" s="46"/>
      <c r="AF248" s="50"/>
      <c r="AG248" s="46"/>
      <c r="AH248" s="46"/>
      <c r="AI248" s="46"/>
      <c r="AJ248" s="46"/>
      <c r="AK248" s="50"/>
      <c r="AL248" s="46"/>
      <c r="AM248" s="46"/>
      <c r="AN248" s="46"/>
      <c r="AO248" s="46"/>
      <c r="AP248" s="50"/>
      <c r="AQ248" s="46"/>
      <c r="AR248" s="46"/>
      <c r="AS248" s="46"/>
      <c r="AT248" s="46"/>
      <c r="AU248" s="81"/>
      <c r="AV248" s="49"/>
      <c r="AW248" s="46"/>
      <c r="AX248" s="46"/>
      <c r="AY248" s="46"/>
      <c r="AZ248" s="46"/>
      <c r="BA248" s="50"/>
      <c r="BB248" s="46"/>
      <c r="BC248" s="46"/>
      <c r="BD248" s="46"/>
      <c r="BE248" s="46"/>
      <c r="BF248" s="50"/>
      <c r="BG248" s="46"/>
      <c r="BH248" s="46"/>
      <c r="BI248" s="46"/>
      <c r="BJ248" s="46"/>
      <c r="BK248" s="50"/>
      <c r="BL248" s="46">
        <f>BL247-BL246</f>
        <v>0</v>
      </c>
      <c r="BM248" s="46">
        <f t="shared" ref="BM248:BP248" si="1332">BM247-BM246</f>
        <v>0</v>
      </c>
      <c r="BN248" s="46">
        <f t="shared" si="1332"/>
        <v>0</v>
      </c>
      <c r="BO248" s="46">
        <f t="shared" si="1332"/>
        <v>-0.12458636869953921</v>
      </c>
      <c r="BP248" s="48">
        <f t="shared" si="1332"/>
        <v>-0.72299545184421277</v>
      </c>
      <c r="BQ248" s="46">
        <f>BQ247-BQ246</f>
        <v>-1.5421882720517033E-2</v>
      </c>
      <c r="BR248" s="46">
        <f t="shared" ref="BR248:BU248" si="1333">BR247-BR246</f>
        <v>0</v>
      </c>
      <c r="BS248" s="46">
        <f t="shared" si="1333"/>
        <v>0</v>
      </c>
      <c r="BT248" s="46">
        <f t="shared" si="1333"/>
        <v>-0.69700419067794428</v>
      </c>
      <c r="BU248" s="48">
        <f t="shared" si="1333"/>
        <v>-3.9454908775441027</v>
      </c>
      <c r="BV248" s="1071">
        <f>BV247-BV246</f>
        <v>14.105963046838468</v>
      </c>
      <c r="BW248" s="1071">
        <f t="shared" ref="BW248:BZ248" si="1334">BW247-BW246</f>
        <v>31.111652024701073</v>
      </c>
      <c r="BX248" s="1071">
        <f t="shared" si="1334"/>
        <v>53.989830021871427</v>
      </c>
      <c r="BY248" s="1071">
        <f t="shared" si="1334"/>
        <v>39.231711545731827</v>
      </c>
      <c r="BZ248" s="48">
        <f t="shared" si="1334"/>
        <v>136.94937403632457</v>
      </c>
      <c r="CA248" s="46">
        <f>CA247-CA246</f>
        <v>14.105963046838468</v>
      </c>
      <c r="CB248" s="46">
        <f t="shared" ref="CB248:CE248" si="1335">CB247-CB246</f>
        <v>31.111652024701073</v>
      </c>
      <c r="CC248" s="46">
        <f t="shared" si="1335"/>
        <v>53.989830021871427</v>
      </c>
      <c r="CD248" s="46">
        <f t="shared" si="1335"/>
        <v>39.231711545731827</v>
      </c>
      <c r="CE248" s="48">
        <f t="shared" si="1335"/>
        <v>136.94937403632457</v>
      </c>
      <c r="CF248" s="46">
        <f>CF247-CF246</f>
        <v>35.139166644077761</v>
      </c>
      <c r="CG248" s="46">
        <f t="shared" ref="CG248:CJ248" si="1336">CG247-CG246</f>
        <v>33.192314179118341</v>
      </c>
      <c r="CH248" s="46">
        <f t="shared" si="1336"/>
        <v>59.006393045645893</v>
      </c>
      <c r="CI248" s="46">
        <f t="shared" si="1336"/>
        <v>57.974218897226649</v>
      </c>
      <c r="CJ248" s="48">
        <f t="shared" si="1336"/>
        <v>186.52475870191461</v>
      </c>
      <c r="CK248" s="46">
        <f>CK247-CK246</f>
        <v>32.325809121048366</v>
      </c>
      <c r="CL248" s="46">
        <f t="shared" ref="CL248:CO248" si="1337">CL247-CL246</f>
        <v>27.99813518071204</v>
      </c>
      <c r="CM248" s="46">
        <f t="shared" si="1337"/>
        <v>57.471976185766124</v>
      </c>
      <c r="CN248" s="46">
        <f t="shared" si="1337"/>
        <v>54.744386820159605</v>
      </c>
      <c r="CO248" s="48">
        <f t="shared" si="1337"/>
        <v>172.54030730768625</v>
      </c>
      <c r="CP248" s="46">
        <f>CP247-CP246</f>
        <v>26.154569356067725</v>
      </c>
      <c r="CQ248" s="46">
        <f t="shared" ref="CQ248:CT248" si="1338">CQ247-CQ246</f>
        <v>23.290296486340878</v>
      </c>
      <c r="CR248" s="46">
        <f t="shared" si="1338"/>
        <v>53.602146944991659</v>
      </c>
      <c r="CS248" s="46">
        <f t="shared" si="1338"/>
        <v>47.573505732938656</v>
      </c>
      <c r="CT248" s="48">
        <f t="shared" si="1338"/>
        <v>150.62051852033915</v>
      </c>
      <c r="CU248" s="46">
        <f>CU247-CU246</f>
        <v>18.379888004987095</v>
      </c>
      <c r="CV248" s="46">
        <f t="shared" ref="CV248:CY248" si="1339">CV247-CV246</f>
        <v>15.204528718513984</v>
      </c>
      <c r="CW248" s="46">
        <f t="shared" si="1339"/>
        <v>46.317054105119013</v>
      </c>
      <c r="CX248" s="46">
        <f t="shared" si="1339"/>
        <v>42.748363465305545</v>
      </c>
      <c r="CY248" s="48">
        <f t="shared" si="1339"/>
        <v>122.64983429392589</v>
      </c>
      <c r="CZ248" s="46">
        <f>CZ247-CZ246</f>
        <v>15.928465991317694</v>
      </c>
      <c r="DA248" s="46">
        <f t="shared" ref="DA248:DD248" si="1340">DA247-DA246</f>
        <v>9.0594386304940713</v>
      </c>
      <c r="DB248" s="46">
        <f t="shared" si="1340"/>
        <v>41.547495980392284</v>
      </c>
      <c r="DC248" s="46">
        <f t="shared" si="1340"/>
        <v>38.713868117542745</v>
      </c>
      <c r="DD248" s="48">
        <f t="shared" si="1340"/>
        <v>105.24926871974662</v>
      </c>
      <c r="DE248" s="46">
        <f>DE247-DE246</f>
        <v>8.348771122059361</v>
      </c>
      <c r="DF248" s="46">
        <f t="shared" ref="DF248:DI248" si="1341">DF247-DF246</f>
        <v>2.1829307082825835</v>
      </c>
      <c r="DG248" s="46">
        <f t="shared" si="1341"/>
        <v>36.034619576735281</v>
      </c>
      <c r="DH248" s="46">
        <f t="shared" si="1341"/>
        <v>33.976560475023518</v>
      </c>
      <c r="DI248" s="48">
        <f t="shared" si="1341"/>
        <v>80.542881882101483</v>
      </c>
      <c r="DJ248" s="46">
        <f>DJ247-DJ246</f>
        <v>4.5454609165220177</v>
      </c>
      <c r="DK248" s="46">
        <f t="shared" ref="DK248:DN248" si="1342">DK247-DK246</f>
        <v>-2.8990806995479375</v>
      </c>
      <c r="DL248" s="46">
        <f t="shared" si="1342"/>
        <v>32.768294402978256</v>
      </c>
      <c r="DM248" s="46">
        <f t="shared" si="1342"/>
        <v>30.847945644943252</v>
      </c>
      <c r="DN248" s="48">
        <f t="shared" si="1342"/>
        <v>65.262620264895759</v>
      </c>
      <c r="DO248" s="46"/>
      <c r="DP248" s="46"/>
      <c r="DQ248" s="46"/>
      <c r="DR248" s="46"/>
      <c r="DS248" s="48"/>
      <c r="DT248" s="46"/>
      <c r="DU248" s="46"/>
      <c r="DV248" s="46"/>
      <c r="DW248" s="46"/>
      <c r="DX248" s="50"/>
      <c r="DY248" s="46"/>
      <c r="DZ248" s="46"/>
      <c r="EA248" s="46"/>
      <c r="EB248" s="46"/>
      <c r="EC248" s="50"/>
      <c r="ED248" s="46"/>
      <c r="EE248" s="37"/>
      <c r="EF248" s="286"/>
      <c r="EG248" s="25"/>
      <c r="EH248" s="25"/>
      <c r="EI248" s="25"/>
      <c r="EJ248" s="25"/>
      <c r="EK248" s="25"/>
      <c r="EL248" s="25"/>
      <c r="EM248" s="25"/>
      <c r="EN248" s="25"/>
      <c r="EO248" s="25"/>
      <c r="EP248" s="25"/>
      <c r="EQ248" s="25"/>
      <c r="ER248" s="25"/>
      <c r="ES248" s="25"/>
      <c r="ET248" s="25"/>
      <c r="EU248" s="25"/>
      <c r="EX248" s="25"/>
      <c r="EY248" s="294"/>
      <c r="EZ248" s="985"/>
      <c r="FA248" s="985"/>
      <c r="FB248" s="294"/>
      <c r="FC248" s="985"/>
      <c r="FD248" s="25"/>
      <c r="FE248"/>
      <c r="FF248"/>
      <c r="FG248"/>
      <c r="FH248"/>
      <c r="FI248"/>
      <c r="FJ248"/>
    </row>
    <row r="249" spans="1:166" s="1069" customFormat="1" ht="12.75" hidden="1" customHeight="1" outlineLevel="1" x14ac:dyDescent="0.35">
      <c r="A249" s="365"/>
      <c r="B249" s="50"/>
      <c r="C249" s="826"/>
      <c r="D249" s="827"/>
      <c r="E249" s="827"/>
      <c r="F249" s="828"/>
      <c r="G249" s="50"/>
      <c r="H249" s="826"/>
      <c r="I249" s="827"/>
      <c r="J249" s="827"/>
      <c r="K249" s="827"/>
      <c r="L249" s="50"/>
      <c r="M249" s="827"/>
      <c r="N249" s="827"/>
      <c r="O249" s="827"/>
      <c r="P249" s="827"/>
      <c r="Q249" s="50"/>
      <c r="R249" s="46"/>
      <c r="S249" s="46"/>
      <c r="T249" s="46"/>
      <c r="U249" s="47"/>
      <c r="V249" s="50"/>
      <c r="W249" s="46"/>
      <c r="X249" s="46"/>
      <c r="Y249" s="46"/>
      <c r="Z249" s="47"/>
      <c r="AA249" s="52"/>
      <c r="AB249" s="82"/>
      <c r="AC249" s="46"/>
      <c r="AD249" s="46"/>
      <c r="AE249" s="46"/>
      <c r="AF249" s="50"/>
      <c r="AG249" s="46"/>
      <c r="AH249" s="46"/>
      <c r="AI249" s="46"/>
      <c r="AJ249" s="46"/>
      <c r="AK249" s="50"/>
      <c r="AL249" s="46"/>
      <c r="AM249" s="46"/>
      <c r="AN249" s="46"/>
      <c r="AO249" s="46"/>
      <c r="AP249" s="50"/>
      <c r="AQ249" s="46"/>
      <c r="AR249" s="46"/>
      <c r="AS249" s="46"/>
      <c r="AT249" s="46"/>
      <c r="AU249" s="81"/>
      <c r="AV249" s="49"/>
      <c r="AW249" s="46"/>
      <c r="AX249" s="46"/>
      <c r="AY249" s="46"/>
      <c r="AZ249" s="46"/>
      <c r="BA249" s="50"/>
      <c r="BB249" s="46"/>
      <c r="BC249" s="46"/>
      <c r="BD249" s="46"/>
      <c r="BE249" s="46"/>
      <c r="BF249" s="50"/>
      <c r="BG249" s="46"/>
      <c r="BH249" s="46"/>
      <c r="BI249" s="46"/>
      <c r="BJ249" s="46"/>
      <c r="BK249" s="50"/>
      <c r="BL249" s="46"/>
      <c r="BM249" s="46"/>
      <c r="BN249" s="46"/>
      <c r="BO249" s="46"/>
      <c r="BP249" s="48"/>
      <c r="BQ249" s="46"/>
      <c r="BR249" s="46"/>
      <c r="BS249" s="46"/>
      <c r="BT249" s="46"/>
      <c r="BU249" s="48"/>
      <c r="BV249" s="1071"/>
      <c r="BW249" s="1071"/>
      <c r="BX249" s="1071"/>
      <c r="BY249" s="1071"/>
      <c r="BZ249" s="48"/>
      <c r="CA249" s="46"/>
      <c r="CB249" s="46"/>
      <c r="CC249" s="46"/>
      <c r="CD249" s="46"/>
      <c r="CE249" s="48"/>
      <c r="CF249" s="46"/>
      <c r="CG249" s="46"/>
      <c r="CH249" s="46"/>
      <c r="CI249" s="46"/>
      <c r="CJ249" s="48"/>
      <c r="CK249" s="46"/>
      <c r="CL249" s="46"/>
      <c r="CM249" s="46"/>
      <c r="CN249" s="46"/>
      <c r="CO249" s="48"/>
      <c r="CP249" s="46"/>
      <c r="CQ249" s="46"/>
      <c r="CR249" s="46"/>
      <c r="CS249" s="46"/>
      <c r="CT249" s="48"/>
      <c r="CU249" s="46"/>
      <c r="CV249" s="46"/>
      <c r="CW249" s="46"/>
      <c r="CX249" s="46"/>
      <c r="CY249" s="48"/>
      <c r="CZ249" s="46"/>
      <c r="DA249" s="46"/>
      <c r="DB249" s="46"/>
      <c r="DC249" s="46"/>
      <c r="DD249" s="48"/>
      <c r="DE249" s="46"/>
      <c r="DF249" s="46"/>
      <c r="DG249" s="46"/>
      <c r="DH249" s="46"/>
      <c r="DI249" s="48"/>
      <c r="DJ249" s="46"/>
      <c r="DK249" s="46"/>
      <c r="DL249" s="46"/>
      <c r="DM249" s="46"/>
      <c r="DN249" s="48"/>
      <c r="DO249" s="46"/>
      <c r="DP249" s="46"/>
      <c r="DQ249" s="46"/>
      <c r="DR249" s="46"/>
      <c r="DS249" s="48"/>
      <c r="DT249" s="46"/>
      <c r="DU249" s="46"/>
      <c r="DV249" s="46"/>
      <c r="DW249" s="46"/>
      <c r="DX249" s="50"/>
      <c r="DY249" s="46"/>
      <c r="DZ249" s="46"/>
      <c r="EA249" s="46"/>
      <c r="EB249" s="46"/>
      <c r="EC249" s="50"/>
      <c r="ED249" s="46"/>
      <c r="EE249" s="37"/>
      <c r="EF249" s="286"/>
      <c r="EG249" s="25"/>
      <c r="EH249" s="25"/>
      <c r="EI249" s="25"/>
      <c r="EJ249" s="25"/>
      <c r="EK249" s="25"/>
      <c r="EL249" s="25"/>
      <c r="EM249" s="25"/>
      <c r="EN249" s="25"/>
      <c r="EO249" s="25"/>
      <c r="EP249" s="25"/>
      <c r="EQ249" s="25"/>
      <c r="ER249" s="25"/>
      <c r="ES249" s="25"/>
      <c r="ET249" s="25"/>
      <c r="EU249" s="25"/>
      <c r="EX249" s="25"/>
      <c r="EY249" s="294"/>
      <c r="EZ249" s="985"/>
      <c r="FA249" s="985"/>
      <c r="FB249" s="294"/>
      <c r="FC249" s="985"/>
      <c r="FD249" s="25"/>
      <c r="FE249"/>
      <c r="FF249"/>
      <c r="FG249"/>
      <c r="FH249"/>
      <c r="FI249"/>
      <c r="FJ249"/>
    </row>
    <row r="250" spans="1:166" ht="15" hidden="1" customHeight="1" outlineLevel="1" x14ac:dyDescent="0.35">
      <c r="A250" s="94" t="s">
        <v>700</v>
      </c>
      <c r="B250" s="85"/>
      <c r="C250" s="89"/>
      <c r="D250" s="90"/>
      <c r="E250" s="90"/>
      <c r="F250" s="92"/>
      <c r="G250" s="85"/>
      <c r="H250" s="89"/>
      <c r="I250" s="90"/>
      <c r="J250" s="90"/>
      <c r="K250" s="90"/>
      <c r="L250" s="85"/>
      <c r="M250" s="90"/>
      <c r="N250" s="90"/>
      <c r="O250" s="90"/>
      <c r="P250" s="90"/>
      <c r="Q250" s="85"/>
      <c r="R250" s="38"/>
      <c r="S250" s="38"/>
      <c r="T250" s="38"/>
      <c r="U250" s="39"/>
      <c r="V250" s="85"/>
      <c r="W250" s="38"/>
      <c r="X250" s="38"/>
      <c r="Y250" s="38"/>
      <c r="Z250" s="39"/>
      <c r="AA250" s="54"/>
      <c r="AB250" s="87"/>
      <c r="AC250" s="38"/>
      <c r="AD250" s="38"/>
      <c r="AE250" s="38"/>
      <c r="AF250" s="85"/>
      <c r="AG250" s="38"/>
      <c r="AH250" s="38"/>
      <c r="AI250" s="38"/>
      <c r="AJ250" s="38"/>
      <c r="AK250" s="85"/>
      <c r="AL250" s="38"/>
      <c r="AM250" s="38"/>
      <c r="AN250" s="38"/>
      <c r="AO250" s="38"/>
      <c r="AP250" s="85"/>
      <c r="AQ250" s="38"/>
      <c r="AR250" s="38"/>
      <c r="AS250" s="38"/>
      <c r="AT250" s="38"/>
      <c r="AU250" s="86"/>
      <c r="AV250" s="45"/>
      <c r="AW250" s="38"/>
      <c r="AX250" s="38"/>
      <c r="AY250" s="38"/>
      <c r="AZ250" s="38"/>
      <c r="BA250" s="85"/>
      <c r="BB250" s="38"/>
      <c r="BC250" s="38"/>
      <c r="BD250" s="38"/>
      <c r="BE250" s="38"/>
      <c r="BF250" s="85"/>
      <c r="BG250" s="38"/>
      <c r="BH250" s="38"/>
      <c r="BI250" s="38"/>
      <c r="BJ250" s="38"/>
      <c r="BK250" s="85"/>
      <c r="BL250" s="38">
        <f>BL242+BL246</f>
        <v>313.86875795619119</v>
      </c>
      <c r="BM250" s="38">
        <f t="shared" ref="BM250:BO250" si="1343">BM242+BM246</f>
        <v>368.30612915992026</v>
      </c>
      <c r="BN250" s="38">
        <f t="shared" si="1343"/>
        <v>375.38270329723326</v>
      </c>
      <c r="BO250" s="38">
        <f t="shared" si="1343"/>
        <v>382.45727439262907</v>
      </c>
      <c r="BP250" s="85">
        <f>SUM(BL250:BO250)</f>
        <v>1440.014864805974</v>
      </c>
      <c r="BQ250" s="38">
        <f>BQ242+BQ246</f>
        <v>323.95016853837967</v>
      </c>
      <c r="BR250" s="38">
        <f t="shared" ref="BR250:BT250" si="1344">BR242+BR246</f>
        <v>391.782270258734</v>
      </c>
      <c r="BS250" s="38">
        <f t="shared" si="1344"/>
        <v>408.1417866032308</v>
      </c>
      <c r="BT250" s="38">
        <f t="shared" si="1344"/>
        <v>402.24644868742155</v>
      </c>
      <c r="BU250" s="85">
        <f>SUM(BQ250:BT250)</f>
        <v>1526.120674087766</v>
      </c>
      <c r="BV250" s="1070">
        <f>BV242+BV246</f>
        <v>344.07873763476988</v>
      </c>
      <c r="BW250" s="1070">
        <f t="shared" ref="BW250:BY250" si="1345">BW242+BW246</f>
        <v>397.59934236842503</v>
      </c>
      <c r="BX250" s="1070">
        <f t="shared" si="1345"/>
        <v>398.53308146063239</v>
      </c>
      <c r="BY250" s="1070">
        <f t="shared" si="1345"/>
        <v>413.23323866950534</v>
      </c>
      <c r="BZ250" s="85">
        <f>SUM(BV250:BY250)</f>
        <v>1553.4444001333327</v>
      </c>
      <c r="CA250" s="38">
        <f>CA242+CA246</f>
        <v>344.07873763476988</v>
      </c>
      <c r="CB250" s="38">
        <f t="shared" ref="CB250:CD250" si="1346">CB242+CB246</f>
        <v>397.59934236842503</v>
      </c>
      <c r="CC250" s="38">
        <f t="shared" si="1346"/>
        <v>398.53308146063239</v>
      </c>
      <c r="CD250" s="38">
        <f t="shared" si="1346"/>
        <v>413.23323866950534</v>
      </c>
      <c r="CE250" s="85">
        <f>SUM(CA250:CD250)</f>
        <v>1553.4444001333327</v>
      </c>
      <c r="CF250" s="38">
        <f>CF242+CF246</f>
        <v>354.64754817880862</v>
      </c>
      <c r="CG250" s="38">
        <f t="shared" ref="CG250:CI250" si="1347">CG242+CG246</f>
        <v>414.89242894743541</v>
      </c>
      <c r="CH250" s="38">
        <f t="shared" si="1347"/>
        <v>428.88838831528074</v>
      </c>
      <c r="CI250" s="38">
        <f t="shared" si="1347"/>
        <v>435.68410669283907</v>
      </c>
      <c r="CJ250" s="85">
        <f>SUM(CF250:CI250)</f>
        <v>1634.112472134364</v>
      </c>
      <c r="CK250" s="38">
        <f>CK242+CK246</f>
        <v>383.78944500274065</v>
      </c>
      <c r="CL250" s="38">
        <f t="shared" ref="CL250:CN250" si="1348">CL242+CL246</f>
        <v>437.84544773811797</v>
      </c>
      <c r="CM250" s="38">
        <f t="shared" si="1348"/>
        <v>455.63723273851792</v>
      </c>
      <c r="CN250" s="38">
        <f t="shared" si="1348"/>
        <v>464.08365951303728</v>
      </c>
      <c r="CO250" s="85">
        <f>SUM(CK250:CN250)</f>
        <v>1741.3557849924136</v>
      </c>
      <c r="CP250" s="38">
        <f>CP242+CP246</f>
        <v>411.38958991896618</v>
      </c>
      <c r="CQ250" s="38">
        <f t="shared" ref="CQ250:CS250" si="1349">CQ242+CQ246</f>
        <v>468.78900425897859</v>
      </c>
      <c r="CR250" s="38">
        <f t="shared" si="1349"/>
        <v>487.98598511931442</v>
      </c>
      <c r="CS250" s="38">
        <f t="shared" si="1349"/>
        <v>496.90559775445462</v>
      </c>
      <c r="CT250" s="85">
        <f>SUM(CP250:CS250)</f>
        <v>1865.0701770517139</v>
      </c>
      <c r="CU250" s="38">
        <f>CU242+CU246</f>
        <v>441.78668076520665</v>
      </c>
      <c r="CV250" s="38">
        <f t="shared" ref="CV250:CX250" si="1350">CV242+CV246</f>
        <v>501.8566559720046</v>
      </c>
      <c r="CW250" s="38">
        <f t="shared" si="1350"/>
        <v>522.29422902024396</v>
      </c>
      <c r="CX250" s="38">
        <f t="shared" si="1350"/>
        <v>530.14568899135361</v>
      </c>
      <c r="CY250" s="85">
        <f>SUM(CU250:CX250)</f>
        <v>1996.0832547488087</v>
      </c>
      <c r="CZ250" s="38">
        <f>CZ242+CZ246</f>
        <v>473.74366096210559</v>
      </c>
      <c r="DA250" s="38">
        <f t="shared" ref="DA250:DC250" si="1351">DA242+DA246</f>
        <v>534.25680881130893</v>
      </c>
      <c r="DB250" s="38">
        <f t="shared" si="1351"/>
        <v>555.58238338718058</v>
      </c>
      <c r="DC250" s="38">
        <f t="shared" si="1351"/>
        <v>563.12130133532003</v>
      </c>
      <c r="DD250" s="85">
        <f>SUM(CZ250:DC250)</f>
        <v>2126.7041544959152</v>
      </c>
      <c r="DE250" s="38">
        <f>DE242+DE246</f>
        <v>499.11333268847375</v>
      </c>
      <c r="DF250" s="38">
        <f t="shared" ref="DF250:DH250" si="1352">DF242+DF246</f>
        <v>566.18835540450925</v>
      </c>
      <c r="DG250" s="38">
        <f t="shared" si="1352"/>
        <v>588.04961256159527</v>
      </c>
      <c r="DH250" s="38">
        <f t="shared" si="1352"/>
        <v>594.88689028771694</v>
      </c>
      <c r="DI250" s="85">
        <f>SUM(DE250:DH250)</f>
        <v>2248.2381909422952</v>
      </c>
      <c r="DJ250" s="38">
        <f>DJ242+DJ246</f>
        <v>526.40257804224098</v>
      </c>
      <c r="DK250" s="38">
        <f t="shared" ref="DK250:DM250" si="1353">DK242+DK246</f>
        <v>596.92927179288267</v>
      </c>
      <c r="DL250" s="38">
        <f t="shared" si="1353"/>
        <v>619.69445174422003</v>
      </c>
      <c r="DM250" s="38">
        <f t="shared" si="1353"/>
        <v>626.42206783144275</v>
      </c>
      <c r="DN250" s="85">
        <f>SUM(DJ250:DM250)</f>
        <v>2369.4483694107867</v>
      </c>
      <c r="DO250" s="38"/>
      <c r="DP250" s="38"/>
      <c r="DQ250" s="38"/>
      <c r="DR250" s="38"/>
      <c r="DS250" s="85"/>
      <c r="DT250" s="38"/>
      <c r="DU250" s="38"/>
      <c r="DV250" s="38"/>
      <c r="DW250" s="38"/>
      <c r="DX250" s="85"/>
      <c r="DY250" s="38"/>
      <c r="DZ250" s="38"/>
      <c r="EA250" s="38"/>
      <c r="EB250" s="38"/>
      <c r="EC250" s="85"/>
      <c r="ED250" s="38"/>
      <c r="EE250" s="21"/>
      <c r="EF250" s="373"/>
      <c r="EG250" s="16"/>
      <c r="EH250" s="16"/>
      <c r="EI250" s="16"/>
      <c r="EJ250" s="16"/>
      <c r="EK250" s="16"/>
      <c r="EL250" s="16"/>
      <c r="EM250" s="16"/>
      <c r="EN250" s="16"/>
      <c r="EO250" s="16"/>
      <c r="EP250" s="16"/>
      <c r="EQ250" s="16"/>
      <c r="ER250" s="16"/>
      <c r="ES250" s="16"/>
      <c r="ET250" s="16"/>
      <c r="EU250" s="16"/>
      <c r="EX250" s="16"/>
      <c r="EY250" s="228"/>
      <c r="EZ250" s="477"/>
      <c r="FA250" s="477"/>
      <c r="FB250" s="228"/>
      <c r="FC250" s="477"/>
      <c r="FD250" s="16"/>
    </row>
    <row r="251" spans="1:166" ht="15" hidden="1" customHeight="1" outlineLevel="1" x14ac:dyDescent="0.35">
      <c r="A251" s="94" t="s">
        <v>701</v>
      </c>
      <c r="B251" s="85"/>
      <c r="C251" s="89"/>
      <c r="D251" s="90"/>
      <c r="E251" s="90"/>
      <c r="F251" s="92"/>
      <c r="G251" s="85"/>
      <c r="H251" s="89"/>
      <c r="I251" s="90"/>
      <c r="J251" s="90"/>
      <c r="K251" s="90"/>
      <c r="L251" s="85"/>
      <c r="M251" s="90"/>
      <c r="N251" s="90"/>
      <c r="O251" s="90"/>
      <c r="P251" s="90"/>
      <c r="Q251" s="85"/>
      <c r="R251" s="38"/>
      <c r="S251" s="38"/>
      <c r="T251" s="38"/>
      <c r="U251" s="39"/>
      <c r="V251" s="85"/>
      <c r="W251" s="38"/>
      <c r="X251" s="38"/>
      <c r="Y251" s="38"/>
      <c r="Z251" s="39"/>
      <c r="AA251" s="54"/>
      <c r="AB251" s="87"/>
      <c r="AC251" s="38"/>
      <c r="AD251" s="38"/>
      <c r="AE251" s="38"/>
      <c r="AF251" s="85"/>
      <c r="AG251" s="38"/>
      <c r="AH251" s="38"/>
      <c r="AI251" s="38"/>
      <c r="AJ251" s="38"/>
      <c r="AK251" s="85"/>
      <c r="AL251" s="38"/>
      <c r="AM251" s="38"/>
      <c r="AN251" s="38"/>
      <c r="AO251" s="38"/>
      <c r="AP251" s="85"/>
      <c r="AQ251" s="38"/>
      <c r="AR251" s="38"/>
      <c r="AS251" s="38"/>
      <c r="AT251" s="38"/>
      <c r="AU251" s="86"/>
      <c r="AV251" s="45"/>
      <c r="AW251" s="38"/>
      <c r="AX251" s="38"/>
      <c r="AY251" s="38"/>
      <c r="AZ251" s="38"/>
      <c r="BA251" s="85"/>
      <c r="BB251" s="38"/>
      <c r="BC251" s="38"/>
      <c r="BD251" s="38"/>
      <c r="BE251" s="38"/>
      <c r="BF251" s="85"/>
      <c r="BG251" s="38"/>
      <c r="BH251" s="38"/>
      <c r="BI251" s="38"/>
      <c r="BJ251" s="38"/>
      <c r="BK251" s="85"/>
      <c r="BL251" s="38">
        <f t="shared" ref="BL251:BO251" si="1354">BL243+BL247</f>
        <v>313.003040287592</v>
      </c>
      <c r="BM251" s="38">
        <f t="shared" si="1354"/>
        <v>367.51928043552198</v>
      </c>
      <c r="BN251" s="38">
        <f t="shared" si="1354"/>
        <v>373.65794866255487</v>
      </c>
      <c r="BO251" s="38">
        <f t="shared" si="1354"/>
        <v>377.4716738459507</v>
      </c>
      <c r="BP251" s="85">
        <f t="shared" ref="BP251" si="1355">SUM(BL251:BO251)</f>
        <v>1431.6519432316195</v>
      </c>
      <c r="BQ251" s="38">
        <f t="shared" ref="BQ251:BT251" si="1356">BQ243+BQ247</f>
        <v>320.11938758550559</v>
      </c>
      <c r="BR251" s="38">
        <f t="shared" si="1356"/>
        <v>385.97526413315961</v>
      </c>
      <c r="BS251" s="38">
        <f t="shared" si="1356"/>
        <v>412.80112686855909</v>
      </c>
      <c r="BT251" s="38">
        <f t="shared" si="1356"/>
        <v>369.13850000000002</v>
      </c>
      <c r="BU251" s="85">
        <f t="shared" ref="BU251" si="1357">SUM(BQ251:BT251)</f>
        <v>1488.0342785872244</v>
      </c>
      <c r="BV251" s="1070">
        <f t="shared" ref="BV251:BY251" si="1358">BV243+BV247</f>
        <v>354.6</v>
      </c>
      <c r="BW251" s="1070">
        <f t="shared" si="1358"/>
        <v>427.20000000000005</v>
      </c>
      <c r="BX251" s="1070">
        <f t="shared" si="1358"/>
        <v>440.70000000000005</v>
      </c>
      <c r="BY251" s="1070">
        <f t="shared" si="1358"/>
        <v>426.69726127147624</v>
      </c>
      <c r="BZ251" s="85">
        <f t="shared" ref="BZ251" si="1359">SUM(BV251:BY251)</f>
        <v>1649.1972612714762</v>
      </c>
      <c r="CA251" s="38">
        <f t="shared" ref="CA251:CD251" si="1360">CA243+CA247</f>
        <v>354.6</v>
      </c>
      <c r="CB251" s="38">
        <f t="shared" si="1360"/>
        <v>427.20000000000005</v>
      </c>
      <c r="CC251" s="38">
        <f t="shared" si="1360"/>
        <v>440.70000000000005</v>
      </c>
      <c r="CD251" s="38">
        <f t="shared" si="1360"/>
        <v>426.69726127147624</v>
      </c>
      <c r="CE251" s="85">
        <f t="shared" ref="CE251" si="1361">SUM(CA251:CD251)</f>
        <v>1649.1972612714762</v>
      </c>
      <c r="CF251" s="38">
        <f t="shared" ref="CF251:CI251" si="1362">CF243+CF247</f>
        <v>380.03124196382316</v>
      </c>
      <c r="CG251" s="38">
        <f t="shared" si="1362"/>
        <v>440.33495425007754</v>
      </c>
      <c r="CH251" s="38">
        <f t="shared" si="1362"/>
        <v>477.20413631499912</v>
      </c>
      <c r="CI251" s="38">
        <f t="shared" si="1362"/>
        <v>464.1230952344286</v>
      </c>
      <c r="CJ251" s="85">
        <f t="shared" ref="CJ251" si="1363">SUM(CF251:CI251)</f>
        <v>1761.6934277633284</v>
      </c>
      <c r="CK251" s="38">
        <f t="shared" ref="CK251:CN251" si="1364">CK243+CK247</f>
        <v>401.76619322004001</v>
      </c>
      <c r="CL251" s="38">
        <f t="shared" si="1364"/>
        <v>458.72264343932238</v>
      </c>
      <c r="CM251" s="38">
        <f t="shared" si="1364"/>
        <v>502.31034498220697</v>
      </c>
      <c r="CN251" s="38">
        <f t="shared" si="1364"/>
        <v>489.92675099897565</v>
      </c>
      <c r="CO251" s="85">
        <f t="shared" ref="CO251" si="1365">SUM(CK251:CN251)</f>
        <v>1852.7259326405449</v>
      </c>
      <c r="CP251" s="38">
        <f t="shared" ref="CP251:CS251" si="1366">CP243+CP247</f>
        <v>423.18998252762981</v>
      </c>
      <c r="CQ251" s="38">
        <f t="shared" si="1366"/>
        <v>484.01018050402746</v>
      </c>
      <c r="CR251" s="38">
        <f t="shared" si="1366"/>
        <v>530.0214533335394</v>
      </c>
      <c r="CS251" s="38">
        <f t="shared" si="1366"/>
        <v>514.19036043472875</v>
      </c>
      <c r="CT251" s="85">
        <f t="shared" ref="CT251" si="1367">SUM(CP251:CS251)</f>
        <v>1951.4119767999252</v>
      </c>
      <c r="CU251" s="38">
        <f t="shared" ref="CU251:CX251" si="1368">CU243+CU247</f>
        <v>447.72086347279276</v>
      </c>
      <c r="CV251" s="38">
        <f t="shared" si="1368"/>
        <v>512.0908307670253</v>
      </c>
      <c r="CW251" s="38">
        <f t="shared" si="1368"/>
        <v>560.83565260173623</v>
      </c>
      <c r="CX251" s="38">
        <f t="shared" si="1368"/>
        <v>545.41628921459721</v>
      </c>
      <c r="CY251" s="85">
        <f t="shared" ref="CY251" si="1369">SUM(CU251:CX251)</f>
        <v>2066.0636360561516</v>
      </c>
      <c r="CZ251" s="38">
        <f t="shared" ref="CZ251:DC251" si="1370">CZ243+CZ247</f>
        <v>481.489829160976</v>
      </c>
      <c r="DA251" s="38">
        <f t="shared" si="1370"/>
        <v>544.73482511876614</v>
      </c>
      <c r="DB251" s="38">
        <f t="shared" si="1370"/>
        <v>596.38349243499192</v>
      </c>
      <c r="DC251" s="38">
        <f t="shared" si="1370"/>
        <v>579.81651436011293</v>
      </c>
      <c r="DD251" s="85">
        <f t="shared" ref="DD251" si="1371">SUM(CZ251:DC251)</f>
        <v>2202.4246610748469</v>
      </c>
      <c r="DE251" s="38">
        <f t="shared" ref="DE251:DH251" si="1372">DE243+DE247</f>
        <v>506.07274197094114</v>
      </c>
      <c r="DF251" s="38">
        <f t="shared" si="1372"/>
        <v>577.67974939558803</v>
      </c>
      <c r="DG251" s="38">
        <f t="shared" si="1372"/>
        <v>632.37983768992945</v>
      </c>
      <c r="DH251" s="38">
        <f t="shared" si="1372"/>
        <v>614.51108163253593</v>
      </c>
      <c r="DI251" s="85">
        <f t="shared" ref="DI251" si="1373">SUM(DE251:DH251)</f>
        <v>2330.6434106889947</v>
      </c>
      <c r="DJ251" s="38">
        <f t="shared" ref="DJ251:DM251" si="1374">DJ243+DJ247</f>
        <v>537.63915051057995</v>
      </c>
      <c r="DK251" s="38">
        <f t="shared" si="1374"/>
        <v>613.49083405602869</v>
      </c>
      <c r="DL251" s="38">
        <f t="shared" si="1374"/>
        <v>672.09871197550638</v>
      </c>
      <c r="DM251" s="38">
        <f t="shared" si="1374"/>
        <v>652.82420833306423</v>
      </c>
      <c r="DN251" s="85">
        <f t="shared" ref="DN251" si="1375">SUM(DJ251:DM251)</f>
        <v>2476.0529048751791</v>
      </c>
      <c r="DO251" s="38"/>
      <c r="DP251" s="38"/>
      <c r="DQ251" s="38"/>
      <c r="DR251" s="38"/>
      <c r="DS251" s="85"/>
      <c r="DT251" s="38"/>
      <c r="DU251" s="38"/>
      <c r="DV251" s="38"/>
      <c r="DW251" s="38"/>
      <c r="DX251" s="85"/>
      <c r="DY251" s="38"/>
      <c r="DZ251" s="38"/>
      <c r="EA251" s="38"/>
      <c r="EB251" s="38"/>
      <c r="EC251" s="85"/>
      <c r="ED251" s="38"/>
      <c r="EE251" s="21"/>
      <c r="EF251" s="373"/>
      <c r="EG251" s="16"/>
      <c r="EH251" s="16"/>
      <c r="EI251" s="16"/>
      <c r="EJ251" s="16"/>
      <c r="EK251" s="16"/>
      <c r="EL251" s="16"/>
      <c r="EM251" s="16"/>
      <c r="EN251" s="16"/>
      <c r="EO251" s="16"/>
      <c r="EP251" s="16"/>
      <c r="EQ251" s="16"/>
      <c r="ER251" s="16"/>
      <c r="ES251" s="16"/>
      <c r="ET251" s="16"/>
      <c r="EU251" s="16"/>
      <c r="EX251" s="16"/>
      <c r="EY251" s="228"/>
      <c r="EZ251" s="477"/>
      <c r="FA251" s="477"/>
      <c r="FB251" s="228"/>
      <c r="FC251" s="477"/>
      <c r="FD251" s="16"/>
    </row>
    <row r="252" spans="1:166" s="1069" customFormat="1" ht="12.75" hidden="1" customHeight="1" outlineLevel="1" x14ac:dyDescent="0.35">
      <c r="A252" s="1112" t="s">
        <v>653</v>
      </c>
      <c r="B252" s="1113"/>
      <c r="C252" s="1114"/>
      <c r="D252" s="1115"/>
      <c r="E252" s="1115"/>
      <c r="F252" s="1116"/>
      <c r="G252" s="1113"/>
      <c r="H252" s="1114"/>
      <c r="I252" s="1115"/>
      <c r="J252" s="1115"/>
      <c r="K252" s="1115"/>
      <c r="L252" s="1113"/>
      <c r="M252" s="1115"/>
      <c r="N252" s="1115"/>
      <c r="O252" s="1115"/>
      <c r="P252" s="1115"/>
      <c r="Q252" s="1113"/>
      <c r="R252" s="1117"/>
      <c r="S252" s="1117"/>
      <c r="T252" s="1117"/>
      <c r="U252" s="1118"/>
      <c r="V252" s="1113"/>
      <c r="W252" s="1117"/>
      <c r="X252" s="1117"/>
      <c r="Y252" s="1117"/>
      <c r="Z252" s="1118"/>
      <c r="AA252" s="1119"/>
      <c r="AB252" s="1120"/>
      <c r="AC252" s="1117"/>
      <c r="AD252" s="1117"/>
      <c r="AE252" s="1117"/>
      <c r="AF252" s="1113"/>
      <c r="AG252" s="1117"/>
      <c r="AH252" s="1117"/>
      <c r="AI252" s="1117"/>
      <c r="AJ252" s="1117"/>
      <c r="AK252" s="1113"/>
      <c r="AL252" s="1117"/>
      <c r="AM252" s="1117"/>
      <c r="AN252" s="1117"/>
      <c r="AO252" s="1117"/>
      <c r="AP252" s="1113"/>
      <c r="AQ252" s="1117"/>
      <c r="AR252" s="1117"/>
      <c r="AS252" s="1117"/>
      <c r="AT252" s="1117"/>
      <c r="AU252" s="1121"/>
      <c r="AV252" s="1122"/>
      <c r="AW252" s="1117"/>
      <c r="AX252" s="1117"/>
      <c r="AY252" s="1117"/>
      <c r="AZ252" s="1117"/>
      <c r="BA252" s="1113"/>
      <c r="BB252" s="1117"/>
      <c r="BC252" s="1117"/>
      <c r="BD252" s="1117"/>
      <c r="BE252" s="1117"/>
      <c r="BF252" s="1113"/>
      <c r="BG252" s="1117"/>
      <c r="BH252" s="1117"/>
      <c r="BI252" s="1117"/>
      <c r="BJ252" s="1117"/>
      <c r="BK252" s="1113"/>
      <c r="BL252" s="1117">
        <f>BL251-BL250</f>
        <v>-0.86571766859918853</v>
      </c>
      <c r="BM252" s="1117">
        <f t="shared" ref="BM252:BP252" si="1376">BM251-BM250</f>
        <v>-0.78684872439828268</v>
      </c>
      <c r="BN252" s="1117">
        <f t="shared" si="1376"/>
        <v>-1.7247546346783906</v>
      </c>
      <c r="BO252" s="1117">
        <f t="shared" si="1376"/>
        <v>-4.9856005466783699</v>
      </c>
      <c r="BP252" s="1123">
        <f t="shared" si="1376"/>
        <v>-8.3629215743544592</v>
      </c>
      <c r="BQ252" s="1117">
        <f>BQ251-BQ250</f>
        <v>-3.830780952874079</v>
      </c>
      <c r="BR252" s="1117">
        <f t="shared" ref="BR252:BU252" si="1377">BR251-BR250</f>
        <v>-5.8070061255743894</v>
      </c>
      <c r="BS252" s="1117">
        <f t="shared" si="1377"/>
        <v>4.6593402653282965</v>
      </c>
      <c r="BT252" s="1117">
        <f t="shared" si="1377"/>
        <v>-33.107948687421526</v>
      </c>
      <c r="BU252" s="1123">
        <f t="shared" si="1377"/>
        <v>-38.086395500541585</v>
      </c>
      <c r="BV252" s="1308">
        <f>BV251-BV250</f>
        <v>10.521262365230143</v>
      </c>
      <c r="BW252" s="1308">
        <f t="shared" ref="BW252:BZ252" si="1378">BW251-BW250</f>
        <v>29.600657631575018</v>
      </c>
      <c r="BX252" s="1308">
        <f t="shared" si="1378"/>
        <v>42.166918539367657</v>
      </c>
      <c r="BY252" s="1308">
        <f t="shared" si="1378"/>
        <v>13.464022601970896</v>
      </c>
      <c r="BZ252" s="1123">
        <f t="shared" si="1378"/>
        <v>95.752861138143544</v>
      </c>
      <c r="CA252" s="1117">
        <f>CA251-CA250</f>
        <v>10.521262365230143</v>
      </c>
      <c r="CB252" s="1117">
        <f t="shared" ref="CB252:CE252" si="1379">CB251-CB250</f>
        <v>29.600657631575018</v>
      </c>
      <c r="CC252" s="1117">
        <f t="shared" si="1379"/>
        <v>42.166918539367657</v>
      </c>
      <c r="CD252" s="1117">
        <f t="shared" si="1379"/>
        <v>13.464022601970896</v>
      </c>
      <c r="CE252" s="1123">
        <f t="shared" si="1379"/>
        <v>95.752861138143544</v>
      </c>
      <c r="CF252" s="1117">
        <f>CF251-CF250</f>
        <v>25.383693785014543</v>
      </c>
      <c r="CG252" s="1117">
        <f t="shared" ref="CG252:CJ252" si="1380">CG251-CG250</f>
        <v>25.442525302642139</v>
      </c>
      <c r="CH252" s="1117">
        <f t="shared" si="1380"/>
        <v>48.315747999718383</v>
      </c>
      <c r="CI252" s="1117">
        <f t="shared" si="1380"/>
        <v>28.438988541589538</v>
      </c>
      <c r="CJ252" s="1123">
        <f t="shared" si="1380"/>
        <v>127.58095562896438</v>
      </c>
      <c r="CK252" s="1117">
        <f>CK251-CK250</f>
        <v>17.97674821729936</v>
      </c>
      <c r="CL252" s="1117">
        <f t="shared" ref="CL252:CO252" si="1381">CL251-CL250</f>
        <v>20.877195701204414</v>
      </c>
      <c r="CM252" s="1117">
        <f t="shared" si="1381"/>
        <v>46.673112243689047</v>
      </c>
      <c r="CN252" s="1117">
        <f t="shared" si="1381"/>
        <v>25.843091485938373</v>
      </c>
      <c r="CO252" s="1123">
        <f t="shared" si="1381"/>
        <v>111.37014764813125</v>
      </c>
      <c r="CP252" s="1117">
        <f>CP251-CP250</f>
        <v>11.800392608663628</v>
      </c>
      <c r="CQ252" s="1117">
        <f t="shared" ref="CQ252:CT252" si="1382">CQ251-CQ250</f>
        <v>15.221176245048866</v>
      </c>
      <c r="CR252" s="1117">
        <f t="shared" si="1382"/>
        <v>42.035468214224977</v>
      </c>
      <c r="CS252" s="1117">
        <f t="shared" si="1382"/>
        <v>17.284762680274127</v>
      </c>
      <c r="CT252" s="1123">
        <f t="shared" si="1382"/>
        <v>86.341799748211315</v>
      </c>
      <c r="CU252" s="1117">
        <f>CU251-CU250</f>
        <v>5.9341827075861033</v>
      </c>
      <c r="CV252" s="1117">
        <f t="shared" ref="CV252:CY252" si="1383">CV251-CV250</f>
        <v>10.234174795020692</v>
      </c>
      <c r="CW252" s="1117">
        <f t="shared" si="1383"/>
        <v>38.541423581492268</v>
      </c>
      <c r="CX252" s="1117">
        <f t="shared" si="1383"/>
        <v>15.270600223243605</v>
      </c>
      <c r="CY252" s="1123">
        <f t="shared" si="1383"/>
        <v>69.980381307342896</v>
      </c>
      <c r="CZ252" s="1117">
        <f>CZ251-CZ250</f>
        <v>7.7461681988704072</v>
      </c>
      <c r="DA252" s="1117">
        <f t="shared" ref="DA252:DD252" si="1384">DA251-DA250</f>
        <v>10.47801630745721</v>
      </c>
      <c r="DB252" s="1117">
        <f t="shared" si="1384"/>
        <v>40.801109047811337</v>
      </c>
      <c r="DC252" s="1117">
        <f t="shared" si="1384"/>
        <v>16.695213024792906</v>
      </c>
      <c r="DD252" s="1123">
        <f t="shared" si="1384"/>
        <v>75.72050657893169</v>
      </c>
      <c r="DE252" s="1117">
        <f>DE251-DE250</f>
        <v>6.9594092824673908</v>
      </c>
      <c r="DF252" s="1117">
        <f t="shared" ref="DF252:DI252" si="1385">DF251-DF250</f>
        <v>11.49139399107878</v>
      </c>
      <c r="DG252" s="1117">
        <f t="shared" si="1385"/>
        <v>44.330225128334177</v>
      </c>
      <c r="DH252" s="1117">
        <f t="shared" si="1385"/>
        <v>19.624191344818996</v>
      </c>
      <c r="DI252" s="1123">
        <f t="shared" si="1385"/>
        <v>82.405219746699458</v>
      </c>
      <c r="DJ252" s="1117">
        <f>DJ251-DJ250</f>
        <v>11.236572468338977</v>
      </c>
      <c r="DK252" s="1117">
        <f t="shared" ref="DK252:DN252" si="1386">DK251-DK250</f>
        <v>16.561562263146016</v>
      </c>
      <c r="DL252" s="1117">
        <f t="shared" si="1386"/>
        <v>52.404260231286344</v>
      </c>
      <c r="DM252" s="1117">
        <f t="shared" si="1386"/>
        <v>26.402140501621489</v>
      </c>
      <c r="DN252" s="1123">
        <f t="shared" si="1386"/>
        <v>106.60453546439248</v>
      </c>
      <c r="DO252" s="46"/>
      <c r="DP252" s="46"/>
      <c r="DQ252" s="46"/>
      <c r="DR252" s="46"/>
      <c r="DS252" s="48"/>
      <c r="DT252" s="46"/>
      <c r="DU252" s="46"/>
      <c r="DV252" s="46"/>
      <c r="DW252" s="46"/>
      <c r="DX252" s="48"/>
      <c r="DY252" s="46"/>
      <c r="DZ252" s="46"/>
      <c r="EA252" s="46"/>
      <c r="EB252" s="46"/>
      <c r="EC252" s="48"/>
      <c r="ED252" s="46"/>
      <c r="EE252" s="37"/>
      <c r="EF252" s="286"/>
      <c r="EG252" s="25"/>
      <c r="EH252" s="25"/>
      <c r="EI252" s="25"/>
      <c r="EJ252" s="25"/>
      <c r="EK252" s="25"/>
      <c r="EL252" s="25"/>
      <c r="EM252" s="25"/>
      <c r="EN252" s="25"/>
      <c r="EO252" s="25"/>
      <c r="EP252" s="25"/>
      <c r="EQ252" s="25"/>
      <c r="ER252" s="25"/>
      <c r="ES252" s="25"/>
      <c r="ET252" s="25"/>
      <c r="EU252" s="25"/>
      <c r="EX252" s="25"/>
      <c r="EY252" s="294"/>
      <c r="EZ252" s="985"/>
      <c r="FA252" s="985"/>
      <c r="FB252" s="294"/>
      <c r="FC252" s="985"/>
      <c r="FD252" s="25"/>
      <c r="FE252"/>
      <c r="FF252"/>
      <c r="FG252"/>
      <c r="FH252"/>
      <c r="FI252"/>
      <c r="FJ252"/>
    </row>
    <row r="253" spans="1:166" s="1069" customFormat="1" ht="12.75" hidden="1" customHeight="1" outlineLevel="1" x14ac:dyDescent="0.35">
      <c r="A253" s="365"/>
      <c r="B253" s="50"/>
      <c r="C253" s="826"/>
      <c r="D253" s="827"/>
      <c r="E253" s="827"/>
      <c r="F253" s="828"/>
      <c r="G253" s="50"/>
      <c r="H253" s="826"/>
      <c r="I253" s="827"/>
      <c r="J253" s="827"/>
      <c r="K253" s="827"/>
      <c r="L253" s="50"/>
      <c r="M253" s="827"/>
      <c r="N253" s="827"/>
      <c r="O253" s="827"/>
      <c r="P253" s="827"/>
      <c r="Q253" s="50"/>
      <c r="R253" s="46"/>
      <c r="S253" s="46"/>
      <c r="T253" s="46"/>
      <c r="U253" s="47"/>
      <c r="V253" s="50"/>
      <c r="W253" s="46"/>
      <c r="X253" s="46"/>
      <c r="Y253" s="46"/>
      <c r="Z253" s="47"/>
      <c r="AA253" s="52"/>
      <c r="AB253" s="82"/>
      <c r="AC253" s="46"/>
      <c r="AD253" s="46"/>
      <c r="AE253" s="46"/>
      <c r="AF253" s="50"/>
      <c r="AG253" s="46"/>
      <c r="AH253" s="46"/>
      <c r="AI253" s="46"/>
      <c r="AJ253" s="46"/>
      <c r="AK253" s="50"/>
      <c r="AL253" s="46"/>
      <c r="AM253" s="46"/>
      <c r="AN253" s="46"/>
      <c r="AO253" s="46"/>
      <c r="AP253" s="50"/>
      <c r="AQ253" s="46"/>
      <c r="AR253" s="46"/>
      <c r="AS253" s="46"/>
      <c r="AT253" s="46"/>
      <c r="AU253" s="81"/>
      <c r="AV253" s="49"/>
      <c r="AW253" s="46"/>
      <c r="AX253" s="46"/>
      <c r="AY253" s="46"/>
      <c r="AZ253" s="46"/>
      <c r="BA253" s="50"/>
      <c r="BB253" s="46"/>
      <c r="BC253" s="46"/>
      <c r="BD253" s="46"/>
      <c r="BE253" s="46"/>
      <c r="BF253" s="50"/>
      <c r="BG253" s="46"/>
      <c r="BH253" s="46"/>
      <c r="BI253" s="46"/>
      <c r="BJ253" s="46"/>
      <c r="BK253" s="50"/>
      <c r="BL253" s="46"/>
      <c r="BM253" s="46"/>
      <c r="BN253" s="46"/>
      <c r="BO253" s="46"/>
      <c r="BP253" s="48"/>
      <c r="BQ253" s="440" t="s">
        <v>702</v>
      </c>
      <c r="BR253" s="46"/>
      <c r="BS253" s="46"/>
      <c r="BT253" s="46"/>
      <c r="BU253" s="48"/>
      <c r="BV253" s="1300" t="s">
        <v>702</v>
      </c>
      <c r="BW253" s="1071"/>
      <c r="BX253" s="1071"/>
      <c r="BY253" s="1071"/>
      <c r="BZ253" s="48"/>
      <c r="CA253" s="46"/>
      <c r="CB253" s="46"/>
      <c r="CC253" s="46"/>
      <c r="CD253" s="46"/>
      <c r="CE253" s="48"/>
      <c r="CF253" s="46"/>
      <c r="CG253" s="46"/>
      <c r="CH253" s="46"/>
      <c r="CI253" s="46"/>
      <c r="CJ253" s="48"/>
      <c r="CK253" s="46"/>
      <c r="CL253" s="46"/>
      <c r="CM253" s="46"/>
      <c r="CN253" s="46"/>
      <c r="CO253" s="48"/>
      <c r="CP253" s="46"/>
      <c r="CQ253" s="46"/>
      <c r="CR253" s="46"/>
      <c r="CS253" s="46"/>
      <c r="CT253" s="48"/>
      <c r="CU253" s="46"/>
      <c r="CV253" s="46"/>
      <c r="CW253" s="46"/>
      <c r="CX253" s="46"/>
      <c r="CY253" s="48"/>
      <c r="CZ253" s="46"/>
      <c r="DA253" s="46"/>
      <c r="DB253" s="46"/>
      <c r="DC253" s="46"/>
      <c r="DD253" s="48"/>
      <c r="DE253" s="46"/>
      <c r="DF253" s="46"/>
      <c r="DG253" s="46"/>
      <c r="DH253" s="46"/>
      <c r="DI253" s="48"/>
      <c r="DJ253" s="46"/>
      <c r="DK253" s="46"/>
      <c r="DL253" s="46"/>
      <c r="DM253" s="46"/>
      <c r="DN253" s="48"/>
      <c r="DO253" s="46"/>
      <c r="DP253" s="46"/>
      <c r="DQ253" s="46"/>
      <c r="DR253" s="46"/>
      <c r="DS253" s="48"/>
      <c r="DT253" s="46"/>
      <c r="DU253" s="46"/>
      <c r="DV253" s="46"/>
      <c r="DW253" s="46"/>
      <c r="DX253" s="50"/>
      <c r="DY253" s="46"/>
      <c r="DZ253" s="46"/>
      <c r="EA253" s="46"/>
      <c r="EB253" s="46"/>
      <c r="EC253" s="50"/>
      <c r="ED253" s="46"/>
      <c r="EE253" s="37"/>
      <c r="EF253" s="286"/>
      <c r="EG253" s="25"/>
      <c r="EH253" s="25"/>
      <c r="EI253" s="25"/>
      <c r="EJ253" s="25"/>
      <c r="EK253" s="25"/>
      <c r="EL253" s="25"/>
      <c r="EM253" s="25"/>
      <c r="EN253" s="25"/>
      <c r="EO253" s="25"/>
      <c r="EP253" s="25"/>
      <c r="EQ253" s="25"/>
      <c r="ER253" s="25"/>
      <c r="ES253" s="25"/>
      <c r="ET253" s="25"/>
      <c r="EU253" s="25"/>
      <c r="EX253" s="25"/>
      <c r="EY253" s="294"/>
      <c r="EZ253" s="985"/>
      <c r="FA253" s="985"/>
      <c r="FB253" s="294"/>
      <c r="FC253" s="985"/>
      <c r="FD253" s="25"/>
      <c r="FE253"/>
      <c r="FF253"/>
      <c r="FG253"/>
      <c r="FH253"/>
      <c r="FI253"/>
      <c r="FJ253"/>
    </row>
    <row r="254" spans="1:166" s="1069" customFormat="1" ht="12.75" hidden="1" customHeight="1" outlineLevel="1" x14ac:dyDescent="0.35">
      <c r="A254" s="365" t="s">
        <v>703</v>
      </c>
      <c r="B254" s="50"/>
      <c r="C254" s="826"/>
      <c r="D254" s="827"/>
      <c r="E254" s="827"/>
      <c r="F254" s="828"/>
      <c r="G254" s="50"/>
      <c r="H254" s="826"/>
      <c r="I254" s="827"/>
      <c r="J254" s="827"/>
      <c r="K254" s="827"/>
      <c r="L254" s="50"/>
      <c r="M254" s="827"/>
      <c r="N254" s="827"/>
      <c r="O254" s="827"/>
      <c r="P254" s="827"/>
      <c r="Q254" s="50"/>
      <c r="R254" s="46"/>
      <c r="S254" s="46"/>
      <c r="T254" s="46"/>
      <c r="U254" s="47"/>
      <c r="V254" s="50"/>
      <c r="W254" s="46"/>
      <c r="X254" s="46"/>
      <c r="Y254" s="46"/>
      <c r="Z254" s="47"/>
      <c r="AA254" s="52"/>
      <c r="AB254" s="82"/>
      <c r="AC254" s="46"/>
      <c r="AD254" s="46"/>
      <c r="AE254" s="46"/>
      <c r="AF254" s="50"/>
      <c r="AG254" s="46"/>
      <c r="AH254" s="46"/>
      <c r="AI254" s="46"/>
      <c r="AJ254" s="46"/>
      <c r="AK254" s="50"/>
      <c r="AL254" s="46"/>
      <c r="AM254" s="46"/>
      <c r="AN254" s="46"/>
      <c r="AO254" s="46"/>
      <c r="AP254" s="50"/>
      <c r="AQ254" s="46"/>
      <c r="AR254" s="46"/>
      <c r="AS254" s="46"/>
      <c r="AT254" s="46"/>
      <c r="AU254" s="81"/>
      <c r="AV254" s="49"/>
      <c r="AW254" s="46"/>
      <c r="AX254" s="46"/>
      <c r="AY254" s="46"/>
      <c r="AZ254" s="46"/>
      <c r="BA254" s="50"/>
      <c r="BB254" s="46"/>
      <c r="BC254" s="46"/>
      <c r="BD254" s="46"/>
      <c r="BE254" s="46"/>
      <c r="BF254" s="50"/>
      <c r="BG254" s="46"/>
      <c r="BH254" s="46"/>
      <c r="BI254" s="46"/>
      <c r="BJ254" s="46"/>
      <c r="BK254" s="50"/>
      <c r="BL254" s="46"/>
      <c r="BM254" s="46"/>
      <c r="BN254" s="46"/>
      <c r="BO254" s="46"/>
      <c r="BP254" s="48"/>
      <c r="BQ254" s="46"/>
      <c r="BR254" s="46"/>
      <c r="BS254" s="46"/>
      <c r="BT254" s="46"/>
      <c r="BU254" s="48"/>
      <c r="BV254" s="1071"/>
      <c r="BW254" s="1071"/>
      <c r="BX254" s="1071"/>
      <c r="BY254" s="1071"/>
      <c r="BZ254" s="48"/>
      <c r="CA254" s="46"/>
      <c r="CB254" s="46"/>
      <c r="CC254" s="46"/>
      <c r="CD254" s="46"/>
      <c r="CE254" s="48"/>
      <c r="CF254" s="46"/>
      <c r="CG254" s="46"/>
      <c r="CH254" s="46"/>
      <c r="CI254" s="46"/>
      <c r="CJ254" s="48"/>
      <c r="CK254" s="46"/>
      <c r="CL254" s="46"/>
      <c r="CM254" s="46"/>
      <c r="CN254" s="46"/>
      <c r="CO254" s="48"/>
      <c r="CP254" s="46"/>
      <c r="CQ254" s="46"/>
      <c r="CR254" s="46"/>
      <c r="CS254" s="46"/>
      <c r="CT254" s="48"/>
      <c r="CU254" s="46"/>
      <c r="CV254" s="46"/>
      <c r="CW254" s="46"/>
      <c r="CX254" s="46"/>
      <c r="CY254" s="48"/>
      <c r="CZ254" s="46"/>
      <c r="DA254" s="46"/>
      <c r="DB254" s="46"/>
      <c r="DC254" s="46"/>
      <c r="DD254" s="48"/>
      <c r="DE254" s="46"/>
      <c r="DF254" s="46"/>
      <c r="DG254" s="46"/>
      <c r="DH254" s="46"/>
      <c r="DI254" s="48"/>
      <c r="DJ254" s="46"/>
      <c r="DK254" s="46"/>
      <c r="DL254" s="46"/>
      <c r="DM254" s="46"/>
      <c r="DN254" s="48"/>
      <c r="DO254" s="46"/>
      <c r="DP254" s="46"/>
      <c r="DQ254" s="46"/>
      <c r="DR254" s="46"/>
      <c r="DS254" s="48"/>
      <c r="DT254" s="46"/>
      <c r="DU254" s="46"/>
      <c r="DV254" s="46"/>
      <c r="DW254" s="46"/>
      <c r="DX254" s="50"/>
      <c r="DY254" s="46"/>
      <c r="DZ254" s="46"/>
      <c r="EA254" s="46"/>
      <c r="EB254" s="46"/>
      <c r="EC254" s="50"/>
      <c r="ED254" s="46"/>
      <c r="EE254" s="37"/>
      <c r="EF254" s="286"/>
      <c r="EG254" s="25"/>
      <c r="EH254" s="25"/>
      <c r="EI254" s="25"/>
      <c r="EJ254" s="25"/>
      <c r="EK254" s="25"/>
      <c r="EL254" s="25"/>
      <c r="EM254" s="25"/>
      <c r="EN254" s="25"/>
      <c r="EO254" s="25"/>
      <c r="EP254" s="25"/>
      <c r="EQ254" s="25"/>
      <c r="ER254" s="25"/>
      <c r="ES254" s="25"/>
      <c r="ET254" s="25"/>
      <c r="EU254" s="25"/>
      <c r="EX254" s="25"/>
      <c r="EY254" s="294"/>
      <c r="EZ254" s="985"/>
      <c r="FA254" s="985"/>
      <c r="FB254" s="294"/>
      <c r="FC254" s="985"/>
      <c r="FD254" s="25"/>
      <c r="FE254"/>
      <c r="FF254"/>
      <c r="FG254"/>
      <c r="FH254"/>
      <c r="FI254"/>
      <c r="FJ254"/>
    </row>
    <row r="255" spans="1:166" ht="15" hidden="1" customHeight="1" outlineLevel="1" x14ac:dyDescent="0.35">
      <c r="A255" s="94" t="s">
        <v>662</v>
      </c>
      <c r="B255" s="85"/>
      <c r="C255" s="89"/>
      <c r="D255" s="90"/>
      <c r="E255" s="90"/>
      <c r="F255" s="92"/>
      <c r="G255" s="85"/>
      <c r="H255" s="89"/>
      <c r="I255" s="90"/>
      <c r="J255" s="90"/>
      <c r="K255" s="90"/>
      <c r="L255" s="85"/>
      <c r="M255" s="90"/>
      <c r="N255" s="90"/>
      <c r="O255" s="90"/>
      <c r="P255" s="90"/>
      <c r="Q255" s="85"/>
      <c r="R255" s="38"/>
      <c r="S255" s="38"/>
      <c r="T255" s="38"/>
      <c r="U255" s="39"/>
      <c r="V255" s="85"/>
      <c r="W255" s="38"/>
      <c r="X255" s="38"/>
      <c r="Y255" s="38"/>
      <c r="Z255" s="39"/>
      <c r="AA255" s="54"/>
      <c r="AB255" s="87"/>
      <c r="AC255" s="38"/>
      <c r="AD255" s="38"/>
      <c r="AE255" s="38"/>
      <c r="AF255" s="85"/>
      <c r="AG255" s="38"/>
      <c r="AH255" s="38"/>
      <c r="AI255" s="38"/>
      <c r="AJ255" s="38"/>
      <c r="AK255" s="85"/>
      <c r="AL255" s="38"/>
      <c r="AM255" s="38"/>
      <c r="AN255" s="38"/>
      <c r="AO255" s="38"/>
      <c r="AP255" s="85"/>
      <c r="AQ255" s="38"/>
      <c r="AR255" s="38"/>
      <c r="AS255" s="38"/>
      <c r="AT255" s="38"/>
      <c r="AU255" s="86"/>
      <c r="AV255" s="45"/>
      <c r="AW255" s="38"/>
      <c r="AX255" s="38"/>
      <c r="AY255" s="38"/>
      <c r="AZ255" s="38"/>
      <c r="BA255" s="85"/>
      <c r="BB255" s="38"/>
      <c r="BC255" s="38"/>
      <c r="BD255" s="38"/>
      <c r="BE255" s="38"/>
      <c r="BF255" s="85"/>
      <c r="BG255" s="38"/>
      <c r="BH255" s="38"/>
      <c r="BI255" s="38"/>
      <c r="BJ255" s="38"/>
      <c r="BK255" s="85"/>
      <c r="BL255" s="38">
        <v>173.02999999999992</v>
      </c>
      <c r="BM255" s="38">
        <v>213.90100000000001</v>
      </c>
      <c r="BN255" s="38">
        <v>210.79599999999999</v>
      </c>
      <c r="BO255" s="38">
        <v>218.84899999999993</v>
      </c>
      <c r="BP255" s="85">
        <v>816.57599999999979</v>
      </c>
      <c r="BQ255" s="38">
        <v>184.91599999999991</v>
      </c>
      <c r="BR255" s="38">
        <v>232.5120000000002</v>
      </c>
      <c r="BS255" s="38">
        <v>237.49499999999995</v>
      </c>
      <c r="BT255" s="38">
        <v>237.7292422825488</v>
      </c>
      <c r="BU255" s="85">
        <v>892.65224228254897</v>
      </c>
      <c r="BV255" s="1070">
        <v>210.26652779395141</v>
      </c>
      <c r="BW255" s="1070">
        <v>249.88062334923242</v>
      </c>
      <c r="BX255" s="1070">
        <v>248.70607553671712</v>
      </c>
      <c r="BY255" s="1070">
        <v>265.92825337540449</v>
      </c>
      <c r="BZ255" s="85">
        <v>974.78148005530534</v>
      </c>
      <c r="CA255" s="38">
        <v>210.26652779395141</v>
      </c>
      <c r="CB255" s="38">
        <v>249.88062334923242</v>
      </c>
      <c r="CC255" s="38">
        <v>248.70607553671712</v>
      </c>
      <c r="CD255" s="38">
        <v>265.92825337540449</v>
      </c>
      <c r="CE255" s="85">
        <v>974.78148005530534</v>
      </c>
      <c r="CF255" s="38">
        <v>223.87479694861881</v>
      </c>
      <c r="CG255" s="38">
        <v>263.06599337827504</v>
      </c>
      <c r="CH255" s="38">
        <v>263.83467997476515</v>
      </c>
      <c r="CI255" s="38">
        <v>264.15784967928846</v>
      </c>
      <c r="CJ255" s="85">
        <v>1014.9333199809473</v>
      </c>
      <c r="CK255" s="38">
        <v>236.28078593481078</v>
      </c>
      <c r="CL255" s="38">
        <v>276.34376556889436</v>
      </c>
      <c r="CM255" s="38">
        <v>276.93720867075575</v>
      </c>
      <c r="CN255" s="38">
        <v>278.47587514074741</v>
      </c>
      <c r="CO255" s="85">
        <v>1068.0376353152083</v>
      </c>
      <c r="CP255" s="38">
        <v>251.44862827074149</v>
      </c>
      <c r="CQ255" s="38">
        <v>293.82721924623303</v>
      </c>
      <c r="CR255" s="38">
        <v>294.70347766683602</v>
      </c>
      <c r="CS255" s="38">
        <v>296.33582595014735</v>
      </c>
      <c r="CT255" s="85">
        <v>1136.3151511339577</v>
      </c>
      <c r="CU255" s="38">
        <v>271.31474448946443</v>
      </c>
      <c r="CV255" s="38">
        <v>315.44487159706671</v>
      </c>
      <c r="CW255" s="38">
        <v>316.80926387065307</v>
      </c>
      <c r="CX255" s="38">
        <v>316.69461784517148</v>
      </c>
      <c r="CY255" s="85">
        <v>1220.2634978023552</v>
      </c>
      <c r="CZ255" s="38">
        <v>290.19411223036235</v>
      </c>
      <c r="DA255" s="38">
        <v>337.28374454065971</v>
      </c>
      <c r="DB255" s="38">
        <v>338.61948261825137</v>
      </c>
      <c r="DC255" s="38">
        <v>337.90403739050441</v>
      </c>
      <c r="DD255" s="85">
        <v>1304.001376779778</v>
      </c>
      <c r="DE255" s="38">
        <v>309.70833874171063</v>
      </c>
      <c r="DF255" s="38">
        <v>359.77748553722358</v>
      </c>
      <c r="DG255" s="38">
        <v>361.10048379452058</v>
      </c>
      <c r="DH255" s="38">
        <v>359.50687153303369</v>
      </c>
      <c r="DI255" s="85">
        <v>1390.0931796064879</v>
      </c>
      <c r="DJ255" s="38">
        <v>329.27346151314646</v>
      </c>
      <c r="DK255" s="38">
        <v>382.40572713186816</v>
      </c>
      <c r="DL255" s="38">
        <v>384.08399685998097</v>
      </c>
      <c r="DM255" s="38">
        <v>382.3106437152428</v>
      </c>
      <c r="DN255" s="85">
        <v>1478.0738292202384</v>
      </c>
      <c r="DO255" s="38"/>
      <c r="DP255" s="38"/>
      <c r="DQ255" s="38"/>
      <c r="DR255" s="38"/>
      <c r="DS255" s="85"/>
      <c r="DT255" s="38"/>
      <c r="DU255" s="38"/>
      <c r="DV255" s="38"/>
      <c r="DW255" s="38"/>
      <c r="DX255" s="85"/>
      <c r="DY255" s="38"/>
      <c r="DZ255" s="38"/>
      <c r="EA255" s="38"/>
      <c r="EB255" s="38"/>
      <c r="EC255" s="85"/>
      <c r="ED255" s="38"/>
      <c r="EE255" s="21"/>
      <c r="EF255" s="373"/>
      <c r="EG255" s="16"/>
      <c r="EH255" s="16"/>
      <c r="EI255" s="16"/>
      <c r="EJ255" s="16"/>
      <c r="EK255" s="16"/>
      <c r="EL255" s="16"/>
      <c r="EM255" s="16"/>
      <c r="EN255" s="16"/>
      <c r="EO255" s="16"/>
      <c r="EP255" s="16"/>
      <c r="EQ255" s="16"/>
      <c r="ER255" s="16"/>
      <c r="ES255" s="16"/>
      <c r="ET255" s="16"/>
      <c r="EU255" s="16"/>
      <c r="EX255" s="16"/>
      <c r="EY255" s="228"/>
      <c r="EZ255" s="477"/>
      <c r="FA255" s="477"/>
      <c r="FB255" s="228"/>
      <c r="FC255" s="477"/>
      <c r="FD255" s="16"/>
    </row>
    <row r="256" spans="1:166" ht="15" hidden="1" customHeight="1" outlineLevel="1" x14ac:dyDescent="0.35">
      <c r="A256" s="94" t="s">
        <v>663</v>
      </c>
      <c r="B256" s="85"/>
      <c r="C256" s="89"/>
      <c r="D256" s="90"/>
      <c r="E256" s="90"/>
      <c r="F256" s="92"/>
      <c r="G256" s="85"/>
      <c r="H256" s="89"/>
      <c r="I256" s="90"/>
      <c r="J256" s="90"/>
      <c r="K256" s="90"/>
      <c r="L256" s="85"/>
      <c r="M256" s="90"/>
      <c r="N256" s="90"/>
      <c r="O256" s="90"/>
      <c r="P256" s="90"/>
      <c r="Q256" s="85"/>
      <c r="R256" s="38"/>
      <c r="S256" s="38"/>
      <c r="T256" s="38"/>
      <c r="U256" s="39"/>
      <c r="V256" s="85"/>
      <c r="W256" s="38"/>
      <c r="X256" s="38"/>
      <c r="Y256" s="38"/>
      <c r="Z256" s="39"/>
      <c r="AA256" s="54"/>
      <c r="AB256" s="87"/>
      <c r="AC256" s="38"/>
      <c r="AD256" s="38"/>
      <c r="AE256" s="38"/>
      <c r="AF256" s="85"/>
      <c r="AG256" s="38"/>
      <c r="AH256" s="38"/>
      <c r="AI256" s="38"/>
      <c r="AJ256" s="38"/>
      <c r="AK256" s="85"/>
      <c r="AL256" s="38"/>
      <c r="AM256" s="38"/>
      <c r="AN256" s="38"/>
      <c r="AO256" s="38"/>
      <c r="AP256" s="85"/>
      <c r="AQ256" s="38"/>
      <c r="AR256" s="38"/>
      <c r="AS256" s="38"/>
      <c r="AT256" s="38"/>
      <c r="AU256" s="86"/>
      <c r="AV256" s="45"/>
      <c r="AW256" s="38"/>
      <c r="AX256" s="38"/>
      <c r="AY256" s="38"/>
      <c r="AZ256" s="38"/>
      <c r="BA256" s="85"/>
      <c r="BB256" s="38"/>
      <c r="BC256" s="38"/>
      <c r="BD256" s="38"/>
      <c r="BE256" s="38"/>
      <c r="BF256" s="85"/>
      <c r="BG256" s="38"/>
      <c r="BH256" s="38"/>
      <c r="BI256" s="38"/>
      <c r="BJ256" s="38"/>
      <c r="BK256" s="85"/>
      <c r="BL256" s="38">
        <v>173.03000000000006</v>
      </c>
      <c r="BM256" s="38">
        <v>213.90099999999995</v>
      </c>
      <c r="BN256" s="38">
        <v>210.79599999999996</v>
      </c>
      <c r="BO256" s="38">
        <v>218.71826563802225</v>
      </c>
      <c r="BP256" s="85">
        <v>815.83143151158913</v>
      </c>
      <c r="BQ256" s="38">
        <v>184.89899999999994</v>
      </c>
      <c r="BR256" s="38">
        <v>232.51200000000014</v>
      </c>
      <c r="BS256" s="38">
        <v>237.49500000000012</v>
      </c>
      <c r="BT256" s="38">
        <v>236.93755260328959</v>
      </c>
      <c r="BU256" s="85">
        <v>888.29663640370541</v>
      </c>
      <c r="BV256" s="1070">
        <v>227.73482011016921</v>
      </c>
      <c r="BW256" s="1070">
        <v>288.14167069187727</v>
      </c>
      <c r="BX256" s="1070">
        <v>319.37386529333736</v>
      </c>
      <c r="BY256" s="1070">
        <v>318.3242079485899</v>
      </c>
      <c r="BZ256" s="85">
        <v>1149.6062297586016</v>
      </c>
      <c r="CA256" s="38">
        <v>227.73482011016921</v>
      </c>
      <c r="CB256" s="38">
        <v>288.14167069187727</v>
      </c>
      <c r="CC256" s="38">
        <v>319.37386529333736</v>
      </c>
      <c r="CD256" s="38">
        <v>318.3242079485899</v>
      </c>
      <c r="CE256" s="85">
        <v>1149.6062297586016</v>
      </c>
      <c r="CF256" s="38">
        <v>272.08162710196547</v>
      </c>
      <c r="CG256" s="38">
        <v>305.852387017235</v>
      </c>
      <c r="CH256" s="38">
        <v>340.79554250465361</v>
      </c>
      <c r="CI256" s="38">
        <v>339.77246803726234</v>
      </c>
      <c r="CJ256" s="85">
        <v>1260.5136347181758</v>
      </c>
      <c r="CK256" s="38">
        <v>278.4426945606761</v>
      </c>
      <c r="CL256" s="38">
        <v>312.86117531920979</v>
      </c>
      <c r="CM256" s="38">
        <v>351.89676186920616</v>
      </c>
      <c r="CN256" s="38">
        <v>349.87788788689392</v>
      </c>
      <c r="CO256" s="85">
        <v>1293.0785196359861</v>
      </c>
      <c r="CP256" s="38">
        <v>285.5615118558074</v>
      </c>
      <c r="CQ256" s="38">
        <v>324.20428880849272</v>
      </c>
      <c r="CR256" s="38">
        <v>364.61568970713438</v>
      </c>
      <c r="CS256" s="38">
        <v>358.38500140042885</v>
      </c>
      <c r="CT256" s="85">
        <v>1332.7664917718635</v>
      </c>
      <c r="CU256" s="38">
        <v>295.28726612745561</v>
      </c>
      <c r="CV256" s="38">
        <v>335.2758353984313</v>
      </c>
      <c r="CW256" s="38">
        <v>377.21967450219228</v>
      </c>
      <c r="CX256" s="38">
        <v>372.45045639449711</v>
      </c>
      <c r="CY256" s="85">
        <v>1380.2332324225763</v>
      </c>
      <c r="CZ256" s="38">
        <v>310.96929298953029</v>
      </c>
      <c r="DA256" s="38">
        <v>349.09978980375621</v>
      </c>
      <c r="DB256" s="38">
        <v>392.80905363870892</v>
      </c>
      <c r="DC256" s="38">
        <v>388.39776405991131</v>
      </c>
      <c r="DD256" s="85">
        <v>1441.2759004919067</v>
      </c>
      <c r="DE256" s="38">
        <v>320.5974745362214</v>
      </c>
      <c r="DF256" s="38">
        <v>362.6246385571082</v>
      </c>
      <c r="DG256" s="38">
        <v>408.09971998604021</v>
      </c>
      <c r="DH256" s="38">
        <v>403.82182225259265</v>
      </c>
      <c r="DI256" s="85">
        <v>1495.1436553319627</v>
      </c>
      <c r="DJ256" s="38">
        <v>335.20201560152833</v>
      </c>
      <c r="DK256" s="38">
        <v>378.62451395030041</v>
      </c>
      <c r="DL256" s="38">
        <v>426.82303022091969</v>
      </c>
      <c r="DM256" s="38">
        <v>422.54500446109307</v>
      </c>
      <c r="DN256" s="85">
        <v>1563.1945642338417</v>
      </c>
      <c r="DO256" s="38"/>
      <c r="DP256" s="38"/>
      <c r="DQ256" s="38"/>
      <c r="DR256" s="38"/>
      <c r="DS256" s="85"/>
      <c r="DT256" s="38"/>
      <c r="DU256" s="38"/>
      <c r="DV256" s="38"/>
      <c r="DW256" s="38"/>
      <c r="DX256" s="85"/>
      <c r="DY256" s="38"/>
      <c r="DZ256" s="38"/>
      <c r="EA256" s="38"/>
      <c r="EB256" s="38"/>
      <c r="EC256" s="85"/>
      <c r="ED256" s="38"/>
      <c r="EE256" s="21"/>
      <c r="EF256" s="373"/>
      <c r="EG256" s="16"/>
      <c r="EH256" s="16"/>
      <c r="EI256" s="16"/>
      <c r="EJ256" s="16"/>
      <c r="EK256" s="16"/>
      <c r="EL256" s="16"/>
      <c r="EM256" s="16"/>
      <c r="EN256" s="16"/>
      <c r="EO256" s="16"/>
      <c r="EP256" s="16"/>
      <c r="EQ256" s="16"/>
      <c r="ER256" s="16"/>
      <c r="ES256" s="16"/>
      <c r="ET256" s="16"/>
      <c r="EU256" s="16"/>
      <c r="EX256" s="16"/>
      <c r="EY256" s="228"/>
      <c r="EZ256" s="477"/>
      <c r="FA256" s="477"/>
      <c r="FB256" s="228"/>
      <c r="FC256" s="477"/>
      <c r="FD256" s="16"/>
    </row>
    <row r="257" spans="1:166" s="1069" customFormat="1" ht="12.75" hidden="1" customHeight="1" outlineLevel="1" x14ac:dyDescent="0.35">
      <c r="A257" s="365" t="s">
        <v>653</v>
      </c>
      <c r="B257" s="50"/>
      <c r="C257" s="826"/>
      <c r="D257" s="827"/>
      <c r="E257" s="827"/>
      <c r="F257" s="828"/>
      <c r="G257" s="50"/>
      <c r="H257" s="826"/>
      <c r="I257" s="827"/>
      <c r="J257" s="827"/>
      <c r="K257" s="827"/>
      <c r="L257" s="50"/>
      <c r="M257" s="827"/>
      <c r="N257" s="827"/>
      <c r="O257" s="827"/>
      <c r="P257" s="827"/>
      <c r="Q257" s="50"/>
      <c r="R257" s="46"/>
      <c r="S257" s="46"/>
      <c r="T257" s="46"/>
      <c r="U257" s="47"/>
      <c r="V257" s="50"/>
      <c r="W257" s="46"/>
      <c r="X257" s="46"/>
      <c r="Y257" s="46"/>
      <c r="Z257" s="47"/>
      <c r="AA257" s="52"/>
      <c r="AB257" s="82"/>
      <c r="AC257" s="46"/>
      <c r="AD257" s="46"/>
      <c r="AE257" s="46"/>
      <c r="AF257" s="50"/>
      <c r="AG257" s="46"/>
      <c r="AH257" s="46"/>
      <c r="AI257" s="46"/>
      <c r="AJ257" s="46"/>
      <c r="AK257" s="50"/>
      <c r="AL257" s="46"/>
      <c r="AM257" s="46"/>
      <c r="AN257" s="46"/>
      <c r="AO257" s="46"/>
      <c r="AP257" s="50"/>
      <c r="AQ257" s="46"/>
      <c r="AR257" s="46"/>
      <c r="AS257" s="46"/>
      <c r="AT257" s="46"/>
      <c r="AU257" s="81"/>
      <c r="AV257" s="49"/>
      <c r="AW257" s="46"/>
      <c r="AX257" s="46"/>
      <c r="AY257" s="46"/>
      <c r="AZ257" s="46"/>
      <c r="BA257" s="50"/>
      <c r="BB257" s="46"/>
      <c r="BC257" s="46"/>
      <c r="BD257" s="46"/>
      <c r="BE257" s="46"/>
      <c r="BF257" s="50"/>
      <c r="BG257" s="46"/>
      <c r="BH257" s="46"/>
      <c r="BI257" s="46"/>
      <c r="BJ257" s="46"/>
      <c r="BK257" s="50"/>
      <c r="BL257" s="46">
        <f>BL256-BL255</f>
        <v>0</v>
      </c>
      <c r="BM257" s="46">
        <f t="shared" ref="BM257:BP257" si="1387">BM256-BM255</f>
        <v>0</v>
      </c>
      <c r="BN257" s="46">
        <f t="shared" si="1387"/>
        <v>0</v>
      </c>
      <c r="BO257" s="46">
        <f t="shared" si="1387"/>
        <v>-0.13073436197768729</v>
      </c>
      <c r="BP257" s="48">
        <f t="shared" si="1387"/>
        <v>-0.74456848841066403</v>
      </c>
      <c r="BQ257" s="46">
        <f>BQ256-BQ255</f>
        <v>-1.6999999999967486E-2</v>
      </c>
      <c r="BR257" s="46">
        <f t="shared" ref="BR257" si="1388">BR256-BR255</f>
        <v>0</v>
      </c>
      <c r="BS257" s="46">
        <f t="shared" ref="BS257" si="1389">BS256-BS255</f>
        <v>0</v>
      </c>
      <c r="BT257" s="46">
        <f t="shared" ref="BT257" si="1390">BT256-BT255</f>
        <v>-0.79168967925920697</v>
      </c>
      <c r="BU257" s="48">
        <f t="shared" ref="BU257" si="1391">BU256-BU255</f>
        <v>-4.3556058788435621</v>
      </c>
      <c r="BV257" s="1071">
        <f>BV256-BV255</f>
        <v>17.468292316217799</v>
      </c>
      <c r="BW257" s="1071">
        <f t="shared" ref="BW257:BZ257" si="1392">BW256-BW255</f>
        <v>38.261047342644844</v>
      </c>
      <c r="BX257" s="1071">
        <f t="shared" si="1392"/>
        <v>70.667789756620238</v>
      </c>
      <c r="BY257" s="1071">
        <f t="shared" si="1392"/>
        <v>52.395954573185406</v>
      </c>
      <c r="BZ257" s="48">
        <f t="shared" si="1392"/>
        <v>174.82474970329622</v>
      </c>
      <c r="CA257" s="46">
        <f>CA256-CA255</f>
        <v>17.468292316217799</v>
      </c>
      <c r="CB257" s="46">
        <f t="shared" ref="CB257" si="1393">CB256-CB255</f>
        <v>38.261047342644844</v>
      </c>
      <c r="CC257" s="46">
        <f t="shared" ref="CC257" si="1394">CC256-CC255</f>
        <v>70.667789756620238</v>
      </c>
      <c r="CD257" s="46">
        <f t="shared" ref="CD257" si="1395">CD256-CD255</f>
        <v>52.395954573185406</v>
      </c>
      <c r="CE257" s="48">
        <f t="shared" ref="CE257" si="1396">CE256-CE255</f>
        <v>174.82474970329622</v>
      </c>
      <c r="CF257" s="46">
        <f>CF256-CF255</f>
        <v>48.206830153346658</v>
      </c>
      <c r="CG257" s="46">
        <f t="shared" ref="CG257" si="1397">CG256-CG255</f>
        <v>42.786393638959964</v>
      </c>
      <c r="CH257" s="46">
        <f t="shared" ref="CH257" si="1398">CH256-CH255</f>
        <v>76.960862529888459</v>
      </c>
      <c r="CI257" s="46">
        <f t="shared" ref="CI257" si="1399">CI256-CI255</f>
        <v>75.614618357973882</v>
      </c>
      <c r="CJ257" s="48">
        <f t="shared" ref="CJ257" si="1400">CJ256-CJ255</f>
        <v>245.58031473722849</v>
      </c>
      <c r="CK257" s="46">
        <f>CK256-CK255</f>
        <v>42.161908625865323</v>
      </c>
      <c r="CL257" s="46">
        <f t="shared" ref="CL257" si="1401">CL256-CL255</f>
        <v>36.517409750315437</v>
      </c>
      <c r="CM257" s="46">
        <f t="shared" ref="CM257" si="1402">CM256-CM255</f>
        <v>74.959553198450408</v>
      </c>
      <c r="CN257" s="46">
        <f t="shared" ref="CN257" si="1403">CN256-CN255</f>
        <v>71.402012746146511</v>
      </c>
      <c r="CO257" s="48">
        <f t="shared" ref="CO257" si="1404">CO256-CO255</f>
        <v>225.04088432077788</v>
      </c>
      <c r="CP257" s="46">
        <f>CP256-CP255</f>
        <v>34.112883585065902</v>
      </c>
      <c r="CQ257" s="46">
        <f t="shared" ref="CQ257" si="1405">CQ256-CQ255</f>
        <v>30.377069562259692</v>
      </c>
      <c r="CR257" s="46">
        <f t="shared" ref="CR257" si="1406">CR256-CR255</f>
        <v>69.912212040298357</v>
      </c>
      <c r="CS257" s="46">
        <f t="shared" ref="CS257" si="1407">CS256-CS255</f>
        <v>62.049175450281496</v>
      </c>
      <c r="CT257" s="48">
        <f t="shared" ref="CT257" si="1408">CT256-CT255</f>
        <v>196.45134063790579</v>
      </c>
      <c r="CU257" s="46">
        <f>CU256-CU255</f>
        <v>23.972521637991179</v>
      </c>
      <c r="CV257" s="46">
        <f t="shared" ref="CV257" si="1409">CV256-CV255</f>
        <v>19.830963801364589</v>
      </c>
      <c r="CW257" s="46">
        <f t="shared" ref="CW257" si="1410">CW256-CW255</f>
        <v>60.410410631539207</v>
      </c>
      <c r="CX257" s="46">
        <f t="shared" ref="CX257" si="1411">CX256-CX255</f>
        <v>55.755838549325631</v>
      </c>
      <c r="CY257" s="48">
        <f t="shared" ref="CY257" si="1412">CY256-CY255</f>
        <v>159.96973462022106</v>
      </c>
      <c r="CZ257" s="46">
        <f>CZ256-CZ255</f>
        <v>20.775180759167938</v>
      </c>
      <c r="DA257" s="46">
        <f t="shared" ref="DA257" si="1413">DA256-DA255</f>
        <v>11.816045263096498</v>
      </c>
      <c r="DB257" s="46">
        <f t="shared" ref="DB257" si="1414">DB256-DB255</f>
        <v>54.189571020457549</v>
      </c>
      <c r="DC257" s="46">
        <f t="shared" ref="DC257" si="1415">DC256-DC255</f>
        <v>50.493726669406897</v>
      </c>
      <c r="DD257" s="48">
        <f t="shared" ref="DD257" si="1416">DD256-DD255</f>
        <v>137.27452371212871</v>
      </c>
      <c r="DE257" s="46">
        <f>DE256-DE255</f>
        <v>10.889135794510764</v>
      </c>
      <c r="DF257" s="46">
        <f t="shared" ref="DF257" si="1417">DF256-DF255</f>
        <v>2.8471530198846153</v>
      </c>
      <c r="DG257" s="46">
        <f t="shared" ref="DG257" si="1418">DG256-DG255</f>
        <v>46.999236191519628</v>
      </c>
      <c r="DH257" s="46">
        <f t="shared" ref="DH257" si="1419">DH256-DH255</f>
        <v>44.314950719558965</v>
      </c>
      <c r="DI257" s="48">
        <f t="shared" ref="DI257" si="1420">DI256-DI255</f>
        <v>105.05047572547483</v>
      </c>
      <c r="DJ257" s="46">
        <f>DJ256-DJ255</f>
        <v>5.9285540883818726</v>
      </c>
      <c r="DK257" s="46">
        <f t="shared" ref="DK257" si="1421">DK256-DK255</f>
        <v>-3.7812131815677503</v>
      </c>
      <c r="DL257" s="46">
        <f t="shared" ref="DL257" si="1422">DL256-DL255</f>
        <v>42.73903336093872</v>
      </c>
      <c r="DM257" s="46">
        <f t="shared" ref="DM257" si="1423">DM256-DM255</f>
        <v>40.234360745850267</v>
      </c>
      <c r="DN257" s="48">
        <f t="shared" ref="DN257" si="1424">DN256-DN255</f>
        <v>85.12073501360328</v>
      </c>
      <c r="DO257" s="46"/>
      <c r="DP257" s="46"/>
      <c r="DQ257" s="46"/>
      <c r="DR257" s="46"/>
      <c r="DS257" s="48"/>
      <c r="DT257" s="46"/>
      <c r="DU257" s="46"/>
      <c r="DV257" s="46"/>
      <c r="DW257" s="46"/>
      <c r="DX257" s="50"/>
      <c r="DY257" s="46"/>
      <c r="DZ257" s="46"/>
      <c r="EA257" s="46"/>
      <c r="EB257" s="46"/>
      <c r="EC257" s="50"/>
      <c r="ED257" s="46"/>
      <c r="EE257" s="37"/>
      <c r="EF257" s="286"/>
      <c r="EG257" s="25"/>
      <c r="EH257" s="25"/>
      <c r="EI257" s="25"/>
      <c r="EJ257" s="25"/>
      <c r="EK257" s="25"/>
      <c r="EL257" s="25"/>
      <c r="EM257" s="25"/>
      <c r="EN257" s="25"/>
      <c r="EO257" s="25"/>
      <c r="EP257" s="25"/>
      <c r="EQ257" s="25"/>
      <c r="ER257" s="25"/>
      <c r="ES257" s="25"/>
      <c r="ET257" s="25"/>
      <c r="EU257" s="25"/>
      <c r="EX257" s="25"/>
      <c r="EY257" s="294"/>
      <c r="EZ257" s="985"/>
      <c r="FA257" s="985"/>
      <c r="FB257" s="294"/>
      <c r="FC257" s="985"/>
      <c r="FD257" s="25"/>
      <c r="FE257"/>
      <c r="FF257"/>
      <c r="FG257"/>
      <c r="FH257"/>
      <c r="FI257"/>
      <c r="FJ257"/>
    </row>
    <row r="258" spans="1:166" s="1066" customFormat="1" ht="12.75" hidden="1" customHeight="1" outlineLevel="1" x14ac:dyDescent="0.35">
      <c r="A258" s="94" t="s">
        <v>712</v>
      </c>
      <c r="B258" s="85"/>
      <c r="C258" s="89"/>
      <c r="D258" s="90"/>
      <c r="E258" s="90"/>
      <c r="F258" s="92"/>
      <c r="G258" s="85"/>
      <c r="H258" s="89"/>
      <c r="I258" s="90"/>
      <c r="J258" s="90"/>
      <c r="K258" s="90"/>
      <c r="L258" s="85"/>
      <c r="M258" s="90"/>
      <c r="N258" s="90"/>
      <c r="O258" s="90"/>
      <c r="P258" s="90"/>
      <c r="Q258" s="85"/>
      <c r="R258" s="38"/>
      <c r="S258" s="38"/>
      <c r="T258" s="38"/>
      <c r="U258" s="39"/>
      <c r="V258" s="85"/>
      <c r="W258" s="38"/>
      <c r="X258" s="38"/>
      <c r="Y258" s="38"/>
      <c r="Z258" s="39"/>
      <c r="AA258" s="54"/>
      <c r="AB258" s="87"/>
      <c r="AC258" s="38"/>
      <c r="AD258" s="38"/>
      <c r="AE258" s="38"/>
      <c r="AF258" s="85"/>
      <c r="AG258" s="38"/>
      <c r="AH258" s="38"/>
      <c r="AI258" s="38"/>
      <c r="AJ258" s="38"/>
      <c r="AK258" s="85"/>
      <c r="AL258" s="38"/>
      <c r="AM258" s="38"/>
      <c r="AN258" s="38"/>
      <c r="AO258" s="38"/>
      <c r="AP258" s="85"/>
      <c r="AQ258" s="38"/>
      <c r="AR258" s="38"/>
      <c r="AS258" s="38"/>
      <c r="AT258" s="38"/>
      <c r="AU258" s="86"/>
      <c r="AV258" s="45"/>
      <c r="AW258" s="38"/>
      <c r="AX258" s="38"/>
      <c r="AY258" s="38"/>
      <c r="AZ258" s="38"/>
      <c r="BA258" s="85"/>
      <c r="BB258" s="38"/>
      <c r="BC258" s="38"/>
      <c r="BD258" s="38"/>
      <c r="BE258" s="38"/>
      <c r="BF258" s="85"/>
      <c r="BG258" s="38"/>
      <c r="BH258" s="38"/>
      <c r="BI258" s="38"/>
      <c r="BJ258" s="38"/>
      <c r="BK258" s="85"/>
      <c r="BL258" s="38"/>
      <c r="BM258" s="38"/>
      <c r="BN258" s="38"/>
      <c r="BO258" s="38"/>
      <c r="BP258" s="40"/>
      <c r="BQ258" s="38"/>
      <c r="BR258" s="38"/>
      <c r="BS258" s="38"/>
      <c r="BT258" s="38"/>
      <c r="BU258" s="40"/>
      <c r="BV258" s="1070"/>
      <c r="BW258" s="1070"/>
      <c r="BX258" s="1070"/>
      <c r="BY258" s="1070"/>
      <c r="BZ258" s="40"/>
      <c r="CA258" s="38"/>
      <c r="CB258" s="38"/>
      <c r="CC258" s="38"/>
      <c r="CD258" s="38"/>
      <c r="CE258" s="40">
        <f>-CE277</f>
        <v>179.7692364458764</v>
      </c>
      <c r="CF258" s="38"/>
      <c r="CG258" s="38"/>
      <c r="CH258" s="38"/>
      <c r="CI258" s="38"/>
      <c r="CJ258" s="40">
        <f>-CJ277</f>
        <v>183.90201266658715</v>
      </c>
      <c r="CK258" s="38"/>
      <c r="CL258" s="38"/>
      <c r="CM258" s="38"/>
      <c r="CN258" s="38"/>
      <c r="CO258" s="40">
        <f>-CO277</f>
        <v>188.08604351558611</v>
      </c>
      <c r="CP258" s="38"/>
      <c r="CQ258" s="38"/>
      <c r="CR258" s="38"/>
      <c r="CS258" s="38"/>
      <c r="CT258" s="40">
        <f>-CT277</f>
        <v>192.67893713329255</v>
      </c>
      <c r="CU258" s="38"/>
      <c r="CV258" s="38"/>
      <c r="CW258" s="38"/>
      <c r="CX258" s="38"/>
      <c r="CY258" s="40">
        <f>-CY277</f>
        <v>198.82417445081882</v>
      </c>
      <c r="CZ258" s="38"/>
      <c r="DA258" s="38"/>
      <c r="DB258" s="38"/>
      <c r="DC258" s="38"/>
      <c r="DD258" s="40">
        <f>-DD277</f>
        <v>204.67191238580932</v>
      </c>
      <c r="DE258" s="38"/>
      <c r="DF258" s="38"/>
      <c r="DG258" s="38"/>
      <c r="DH258" s="38"/>
      <c r="DI258" s="40">
        <f>-DI277</f>
        <v>209.91645721564302</v>
      </c>
      <c r="DJ258" s="38"/>
      <c r="DK258" s="38"/>
      <c r="DL258" s="38"/>
      <c r="DM258" s="38"/>
      <c r="DN258" s="40">
        <f>-DN277</f>
        <v>214.49826489691199</v>
      </c>
      <c r="DO258" s="38"/>
      <c r="DP258" s="38"/>
      <c r="DQ258" s="38"/>
      <c r="DR258" s="38"/>
      <c r="DS258" s="40"/>
      <c r="DT258" s="38"/>
      <c r="DU258" s="38"/>
      <c r="DV258" s="38"/>
      <c r="DW258" s="38"/>
      <c r="DX258" s="85"/>
      <c r="DY258" s="38"/>
      <c r="DZ258" s="38"/>
      <c r="EA258" s="38"/>
      <c r="EB258" s="38"/>
      <c r="EC258" s="85"/>
      <c r="ED258" s="38"/>
      <c r="EE258" s="21"/>
      <c r="EF258" s="398"/>
      <c r="EG258" s="16"/>
      <c r="EH258" s="16"/>
      <c r="EI258" s="16"/>
      <c r="EJ258" s="16"/>
      <c r="EK258" s="16"/>
      <c r="EL258" s="16"/>
      <c r="EM258" s="16"/>
      <c r="EN258" s="16"/>
      <c r="EO258" s="16"/>
      <c r="EP258" s="16"/>
      <c r="EQ258" s="16"/>
      <c r="ER258" s="16"/>
      <c r="ES258" s="16"/>
      <c r="ET258" s="16"/>
      <c r="EU258" s="16"/>
      <c r="EX258" s="16"/>
      <c r="EY258" s="228"/>
      <c r="EZ258" s="477"/>
      <c r="FA258" s="477"/>
      <c r="FB258" s="228"/>
      <c r="FC258" s="477"/>
      <c r="FD258" s="16"/>
      <c r="FE258"/>
      <c r="FF258"/>
      <c r="FG258"/>
      <c r="FH258"/>
      <c r="FI258"/>
      <c r="FJ258"/>
    </row>
    <row r="259" spans="1:166" s="1066" customFormat="1" ht="12.75" hidden="1" customHeight="1" outlineLevel="1" x14ac:dyDescent="0.35">
      <c r="A259" s="94" t="s">
        <v>713</v>
      </c>
      <c r="B259" s="85"/>
      <c r="C259" s="89"/>
      <c r="D259" s="90"/>
      <c r="E259" s="90"/>
      <c r="F259" s="92"/>
      <c r="G259" s="85"/>
      <c r="H259" s="89"/>
      <c r="I259" s="90"/>
      <c r="J259" s="90"/>
      <c r="K259" s="90"/>
      <c r="L259" s="85"/>
      <c r="M259" s="90"/>
      <c r="N259" s="90"/>
      <c r="O259" s="90"/>
      <c r="P259" s="90"/>
      <c r="Q259" s="85"/>
      <c r="R259" s="38"/>
      <c r="S259" s="38"/>
      <c r="T259" s="38"/>
      <c r="U259" s="39"/>
      <c r="V259" s="85"/>
      <c r="W259" s="38"/>
      <c r="X259" s="38"/>
      <c r="Y259" s="38"/>
      <c r="Z259" s="39"/>
      <c r="AA259" s="54"/>
      <c r="AB259" s="87"/>
      <c r="AC259" s="38"/>
      <c r="AD259" s="38"/>
      <c r="AE259" s="38"/>
      <c r="AF259" s="85"/>
      <c r="AG259" s="38"/>
      <c r="AH259" s="38"/>
      <c r="AI259" s="38"/>
      <c r="AJ259" s="38"/>
      <c r="AK259" s="85"/>
      <c r="AL259" s="38"/>
      <c r="AM259" s="38"/>
      <c r="AN259" s="38"/>
      <c r="AO259" s="38"/>
      <c r="AP259" s="85"/>
      <c r="AQ259" s="38"/>
      <c r="AR259" s="38"/>
      <c r="AS259" s="38"/>
      <c r="AT259" s="38"/>
      <c r="AU259" s="86"/>
      <c r="AV259" s="45"/>
      <c r="AW259" s="38"/>
      <c r="AX259" s="38"/>
      <c r="AY259" s="38"/>
      <c r="AZ259" s="38"/>
      <c r="BA259" s="85"/>
      <c r="BB259" s="38"/>
      <c r="BC259" s="38"/>
      <c r="BD259" s="38"/>
      <c r="BE259" s="38"/>
      <c r="BF259" s="85"/>
      <c r="BG259" s="38"/>
      <c r="BH259" s="38"/>
      <c r="BI259" s="38"/>
      <c r="BJ259" s="38"/>
      <c r="BK259" s="85"/>
      <c r="BL259" s="38"/>
      <c r="BM259" s="38"/>
      <c r="BN259" s="38"/>
      <c r="BO259" s="38"/>
      <c r="BP259" s="40"/>
      <c r="BQ259" s="38"/>
      <c r="BR259" s="38"/>
      <c r="BS259" s="38"/>
      <c r="BT259" s="38"/>
      <c r="BU259" s="40"/>
      <c r="BV259" s="1070"/>
      <c r="BW259" s="1070"/>
      <c r="BX259" s="1070"/>
      <c r="BY259" s="1070"/>
      <c r="BZ259" s="40"/>
      <c r="CA259" s="38"/>
      <c r="CB259" s="38"/>
      <c r="CC259" s="38"/>
      <c r="CD259" s="38"/>
      <c r="CE259" s="40">
        <f>CE293</f>
        <v>1817.3307688666198</v>
      </c>
      <c r="CF259" s="38"/>
      <c r="CG259" s="38"/>
      <c r="CH259" s="38"/>
      <c r="CI259" s="38"/>
      <c r="CJ259" s="40">
        <f>CJ293</f>
        <v>1930.2889590871844</v>
      </c>
      <c r="CK259" s="38"/>
      <c r="CL259" s="38"/>
      <c r="CM259" s="38"/>
      <c r="CN259" s="38"/>
      <c r="CO259" s="40">
        <f>CO293</f>
        <v>1986.2439753732319</v>
      </c>
      <c r="CP259" s="38"/>
      <c r="CQ259" s="38"/>
      <c r="CR259" s="38"/>
      <c r="CS259" s="38"/>
      <c r="CT259" s="40">
        <f>CT293</f>
        <v>2024.7844584952277</v>
      </c>
      <c r="CU259" s="38"/>
      <c r="CV259" s="38"/>
      <c r="CW259" s="38"/>
      <c r="CX259" s="38"/>
      <c r="CY259" s="40">
        <f>CY293</f>
        <v>2056.5122310304737</v>
      </c>
      <c r="CZ259" s="38"/>
      <c r="DA259" s="38"/>
      <c r="DB259" s="38"/>
      <c r="DC259" s="38"/>
      <c r="DD259" s="40">
        <f>DD293</f>
        <v>2109.5120414431481</v>
      </c>
      <c r="DE259" s="38"/>
      <c r="DF259" s="38"/>
      <c r="DG259" s="38"/>
      <c r="DH259" s="38"/>
      <c r="DI259" s="40">
        <f>DI293</f>
        <v>2159.5150103473952</v>
      </c>
      <c r="DJ259" s="38"/>
      <c r="DK259" s="38"/>
      <c r="DL259" s="38"/>
      <c r="DM259" s="38"/>
      <c r="DN259" s="40">
        <f>DN293</f>
        <v>2232.0178614941105</v>
      </c>
      <c r="DO259" s="38"/>
      <c r="DP259" s="38"/>
      <c r="DQ259" s="38"/>
      <c r="DR259" s="38"/>
      <c r="DS259" s="40"/>
      <c r="DT259" s="38"/>
      <c r="DU259" s="38"/>
      <c r="DV259" s="38"/>
      <c r="DW259" s="38"/>
      <c r="DX259" s="85"/>
      <c r="DY259" s="38"/>
      <c r="DZ259" s="38"/>
      <c r="EA259" s="38"/>
      <c r="EB259" s="38"/>
      <c r="EC259" s="85"/>
      <c r="ED259" s="38"/>
      <c r="EE259" s="21"/>
      <c r="EF259" s="398"/>
      <c r="EG259" s="16"/>
      <c r="EH259" s="16"/>
      <c r="EI259" s="16"/>
      <c r="EJ259" s="16"/>
      <c r="EK259" s="16"/>
      <c r="EL259" s="16"/>
      <c r="EM259" s="16"/>
      <c r="EN259" s="16"/>
      <c r="EO259" s="16"/>
      <c r="EP259" s="16"/>
      <c r="EQ259" s="16"/>
      <c r="ER259" s="16"/>
      <c r="ES259" s="16"/>
      <c r="ET259" s="16"/>
      <c r="EU259" s="16"/>
      <c r="EX259" s="16"/>
      <c r="EY259" s="228"/>
      <c r="EZ259" s="477"/>
      <c r="FA259" s="477"/>
      <c r="FB259" s="228"/>
      <c r="FC259" s="477"/>
      <c r="FD259" s="16"/>
      <c r="FE259"/>
      <c r="FF259"/>
      <c r="FG259"/>
      <c r="FH259"/>
      <c r="FI259"/>
      <c r="FJ259"/>
    </row>
    <row r="260" spans="1:166" s="1066" customFormat="1" ht="12.75" hidden="1" customHeight="1" outlineLevel="1" x14ac:dyDescent="0.35">
      <c r="A260" s="94" t="s">
        <v>714</v>
      </c>
      <c r="B260" s="85"/>
      <c r="C260" s="89"/>
      <c r="D260" s="90"/>
      <c r="E260" s="90"/>
      <c r="F260" s="92"/>
      <c r="G260" s="85"/>
      <c r="H260" s="89"/>
      <c r="I260" s="90"/>
      <c r="J260" s="90"/>
      <c r="K260" s="90"/>
      <c r="L260" s="85"/>
      <c r="M260" s="90"/>
      <c r="N260" s="90"/>
      <c r="O260" s="90"/>
      <c r="P260" s="90"/>
      <c r="Q260" s="85"/>
      <c r="R260" s="38"/>
      <c r="S260" s="38"/>
      <c r="T260" s="38"/>
      <c r="U260" s="39"/>
      <c r="V260" s="85"/>
      <c r="W260" s="38"/>
      <c r="X260" s="38"/>
      <c r="Y260" s="38"/>
      <c r="Z260" s="39"/>
      <c r="AA260" s="54"/>
      <c r="AB260" s="87"/>
      <c r="AC260" s="38"/>
      <c r="AD260" s="38"/>
      <c r="AE260" s="38"/>
      <c r="AF260" s="85"/>
      <c r="AG260" s="38"/>
      <c r="AH260" s="38"/>
      <c r="AI260" s="38"/>
      <c r="AJ260" s="38"/>
      <c r="AK260" s="85"/>
      <c r="AL260" s="38"/>
      <c r="AM260" s="38"/>
      <c r="AN260" s="38"/>
      <c r="AO260" s="38"/>
      <c r="AP260" s="85"/>
      <c r="AQ260" s="38"/>
      <c r="AR260" s="38"/>
      <c r="AS260" s="38"/>
      <c r="AT260" s="38"/>
      <c r="AU260" s="86"/>
      <c r="AV260" s="45"/>
      <c r="AW260" s="38"/>
      <c r="AX260" s="38"/>
      <c r="AY260" s="38"/>
      <c r="AZ260" s="38"/>
      <c r="BA260" s="85"/>
      <c r="BB260" s="38"/>
      <c r="BC260" s="38"/>
      <c r="BD260" s="38"/>
      <c r="BE260" s="38"/>
      <c r="BF260" s="85"/>
      <c r="BG260" s="38"/>
      <c r="BH260" s="38"/>
      <c r="BI260" s="38"/>
      <c r="BJ260" s="38"/>
      <c r="BK260" s="85"/>
      <c r="BL260" s="38"/>
      <c r="BM260" s="38"/>
      <c r="BN260" s="38"/>
      <c r="BO260" s="38"/>
      <c r="BP260" s="40"/>
      <c r="BQ260" s="38"/>
      <c r="BR260" s="38"/>
      <c r="BS260" s="38"/>
      <c r="BT260" s="38"/>
      <c r="BU260" s="40"/>
      <c r="BV260" s="1070"/>
      <c r="BW260" s="1070"/>
      <c r="BX260" s="1070"/>
      <c r="BY260" s="1070"/>
      <c r="BZ260" s="40"/>
      <c r="CA260" s="38"/>
      <c r="CB260" s="38"/>
      <c r="CC260" s="38"/>
      <c r="CD260" s="38"/>
      <c r="CE260" s="40">
        <f>CE257-SUM(CE258:CE259)</f>
        <v>-1822.2752556092</v>
      </c>
      <c r="CF260" s="38"/>
      <c r="CG260" s="38"/>
      <c r="CH260" s="38"/>
      <c r="CI260" s="38"/>
      <c r="CJ260" s="40">
        <f>CJ257-SUM(CJ258:CJ259)</f>
        <v>-1868.610657016543</v>
      </c>
      <c r="CK260" s="38"/>
      <c r="CL260" s="38"/>
      <c r="CM260" s="38"/>
      <c r="CN260" s="38"/>
      <c r="CO260" s="40">
        <f>CO257-SUM(CO258:CO259)</f>
        <v>-1949.28913456804</v>
      </c>
      <c r="CP260" s="38"/>
      <c r="CQ260" s="38"/>
      <c r="CR260" s="38"/>
      <c r="CS260" s="38"/>
      <c r="CT260" s="40">
        <f>CT257-SUM(CT258:CT259)</f>
        <v>-2021.0120549906144</v>
      </c>
      <c r="CU260" s="38"/>
      <c r="CV260" s="38"/>
      <c r="CW260" s="38"/>
      <c r="CX260" s="38"/>
      <c r="CY260" s="40">
        <f>CY257-SUM(CY258:CY259)</f>
        <v>-2095.3666708610713</v>
      </c>
      <c r="CZ260" s="38"/>
      <c r="DA260" s="38"/>
      <c r="DB260" s="38"/>
      <c r="DC260" s="38"/>
      <c r="DD260" s="40">
        <f>DD257-SUM(DD258:DD259)</f>
        <v>-2176.9094301168288</v>
      </c>
      <c r="DE260" s="38"/>
      <c r="DF260" s="38"/>
      <c r="DG260" s="38"/>
      <c r="DH260" s="38"/>
      <c r="DI260" s="40">
        <f>DI257-SUM(DI258:DI259)</f>
        <v>-2264.3809918375632</v>
      </c>
      <c r="DJ260" s="38"/>
      <c r="DK260" s="38"/>
      <c r="DL260" s="38"/>
      <c r="DM260" s="38"/>
      <c r="DN260" s="40">
        <f>DN257-SUM(DN258:DN259)</f>
        <v>-2361.3953913774194</v>
      </c>
      <c r="DO260" s="38"/>
      <c r="DP260" s="38"/>
      <c r="DQ260" s="38"/>
      <c r="DR260" s="38"/>
      <c r="DS260" s="40"/>
      <c r="DT260" s="38"/>
      <c r="DU260" s="38"/>
      <c r="DV260" s="38"/>
      <c r="DW260" s="38"/>
      <c r="DX260" s="85"/>
      <c r="DY260" s="38"/>
      <c r="DZ260" s="38"/>
      <c r="EA260" s="38"/>
      <c r="EB260" s="38"/>
      <c r="EC260" s="85"/>
      <c r="ED260" s="38"/>
      <c r="EE260" s="21"/>
      <c r="EF260" s="398"/>
      <c r="EG260" s="16"/>
      <c r="EH260" s="16"/>
      <c r="EI260" s="16"/>
      <c r="EJ260" s="16"/>
      <c r="EK260" s="16"/>
      <c r="EL260" s="16"/>
      <c r="EM260" s="16"/>
      <c r="EN260" s="16"/>
      <c r="EO260" s="16"/>
      <c r="EP260" s="16"/>
      <c r="EQ260" s="16"/>
      <c r="ER260" s="16"/>
      <c r="ES260" s="16"/>
      <c r="ET260" s="16"/>
      <c r="EU260" s="16"/>
      <c r="EX260" s="16"/>
      <c r="EY260" s="228"/>
      <c r="EZ260" s="477"/>
      <c r="FA260" s="477"/>
      <c r="FB260" s="228"/>
      <c r="FC260" s="477"/>
      <c r="FD260" s="16"/>
      <c r="FE260"/>
      <c r="FF260"/>
      <c r="FG260"/>
      <c r="FH260"/>
      <c r="FI260"/>
      <c r="FJ260"/>
    </row>
    <row r="261" spans="1:166" s="1069" customFormat="1" ht="12.75" hidden="1" customHeight="1" outlineLevel="1" x14ac:dyDescent="0.35">
      <c r="A261" s="365"/>
      <c r="B261" s="50"/>
      <c r="C261" s="826"/>
      <c r="D261" s="827"/>
      <c r="E261" s="827"/>
      <c r="F261" s="828"/>
      <c r="G261" s="50"/>
      <c r="H261" s="826"/>
      <c r="I261" s="827"/>
      <c r="J261" s="827"/>
      <c r="K261" s="827"/>
      <c r="L261" s="50"/>
      <c r="M261" s="827"/>
      <c r="N261" s="827"/>
      <c r="O261" s="827"/>
      <c r="P261" s="827"/>
      <c r="Q261" s="50"/>
      <c r="R261" s="46"/>
      <c r="S261" s="46"/>
      <c r="T261" s="46"/>
      <c r="U261" s="47"/>
      <c r="V261" s="50"/>
      <c r="W261" s="46"/>
      <c r="X261" s="46"/>
      <c r="Y261" s="46"/>
      <c r="Z261" s="47"/>
      <c r="AA261" s="52"/>
      <c r="AB261" s="82"/>
      <c r="AC261" s="46"/>
      <c r="AD261" s="46"/>
      <c r="AE261" s="46"/>
      <c r="AF261" s="50"/>
      <c r="AG261" s="46"/>
      <c r="AH261" s="46"/>
      <c r="AI261" s="46"/>
      <c r="AJ261" s="46"/>
      <c r="AK261" s="50"/>
      <c r="AL261" s="46"/>
      <c r="AM261" s="46"/>
      <c r="AN261" s="46"/>
      <c r="AO261" s="46"/>
      <c r="AP261" s="50"/>
      <c r="AQ261" s="46"/>
      <c r="AR261" s="46"/>
      <c r="AS261" s="46"/>
      <c r="AT261" s="46"/>
      <c r="AU261" s="81"/>
      <c r="AV261" s="49"/>
      <c r="AW261" s="46"/>
      <c r="AX261" s="46"/>
      <c r="AY261" s="46"/>
      <c r="AZ261" s="46"/>
      <c r="BA261" s="50"/>
      <c r="BB261" s="46"/>
      <c r="BC261" s="46"/>
      <c r="BD261" s="46"/>
      <c r="BE261" s="46"/>
      <c r="BF261" s="50"/>
      <c r="BG261" s="46"/>
      <c r="BH261" s="46"/>
      <c r="BI261" s="46"/>
      <c r="BJ261" s="46"/>
      <c r="BK261" s="50"/>
      <c r="BL261" s="46"/>
      <c r="BM261" s="46"/>
      <c r="BN261" s="46"/>
      <c r="BO261" s="46"/>
      <c r="BP261" s="48"/>
      <c r="BQ261" s="46"/>
      <c r="BR261" s="46"/>
      <c r="BS261" s="46"/>
      <c r="BT261" s="46"/>
      <c r="BU261" s="48"/>
      <c r="BV261" s="1071"/>
      <c r="BW261" s="1071"/>
      <c r="BX261" s="1071"/>
      <c r="BY261" s="1071"/>
      <c r="BZ261" s="48"/>
      <c r="CA261" s="46"/>
      <c r="CB261" s="46"/>
      <c r="CC261" s="46"/>
      <c r="CD261" s="46"/>
      <c r="CE261" s="48"/>
      <c r="CF261" s="46"/>
      <c r="CG261" s="46"/>
      <c r="CH261" s="46"/>
      <c r="CI261" s="46"/>
      <c r="CJ261" s="48"/>
      <c r="CK261" s="46"/>
      <c r="CL261" s="46"/>
      <c r="CM261" s="46"/>
      <c r="CN261" s="46"/>
      <c r="CO261" s="48"/>
      <c r="CP261" s="46"/>
      <c r="CQ261" s="46"/>
      <c r="CR261" s="46"/>
      <c r="CS261" s="46"/>
      <c r="CT261" s="48"/>
      <c r="CU261" s="46"/>
      <c r="CV261" s="46"/>
      <c r="CW261" s="46"/>
      <c r="CX261" s="46"/>
      <c r="CY261" s="48"/>
      <c r="CZ261" s="46"/>
      <c r="DA261" s="46"/>
      <c r="DB261" s="46"/>
      <c r="DC261" s="46"/>
      <c r="DD261" s="48"/>
      <c r="DE261" s="46"/>
      <c r="DF261" s="46"/>
      <c r="DG261" s="46"/>
      <c r="DH261" s="46"/>
      <c r="DI261" s="48"/>
      <c r="DJ261" s="46"/>
      <c r="DK261" s="46"/>
      <c r="DL261" s="46"/>
      <c r="DM261" s="46"/>
      <c r="DN261" s="48"/>
      <c r="DO261" s="46"/>
      <c r="DP261" s="46"/>
      <c r="DQ261" s="46"/>
      <c r="DR261" s="46"/>
      <c r="DS261" s="48"/>
      <c r="DT261" s="46"/>
      <c r="DU261" s="46"/>
      <c r="DV261" s="46"/>
      <c r="DW261" s="46"/>
      <c r="DX261" s="50"/>
      <c r="DY261" s="46"/>
      <c r="DZ261" s="46"/>
      <c r="EA261" s="46"/>
      <c r="EB261" s="46"/>
      <c r="EC261" s="50"/>
      <c r="ED261" s="46"/>
      <c r="EE261" s="37"/>
      <c r="EF261" s="286"/>
      <c r="EG261" s="25"/>
      <c r="EH261" s="25"/>
      <c r="EI261" s="25"/>
      <c r="EJ261" s="25"/>
      <c r="EK261" s="25"/>
      <c r="EL261" s="25"/>
      <c r="EM261" s="25"/>
      <c r="EN261" s="25"/>
      <c r="EO261" s="25"/>
      <c r="EP261" s="25"/>
      <c r="EQ261" s="25"/>
      <c r="ER261" s="25"/>
      <c r="ES261" s="25"/>
      <c r="ET261" s="25"/>
      <c r="EU261" s="25"/>
      <c r="EX261" s="25"/>
      <c r="EY261" s="294"/>
      <c r="EZ261" s="985"/>
      <c r="FA261" s="985"/>
      <c r="FB261" s="294"/>
      <c r="FC261" s="985"/>
      <c r="FD261" s="25"/>
      <c r="FE261"/>
      <c r="FF261"/>
      <c r="FG261"/>
      <c r="FH261"/>
      <c r="FI261"/>
      <c r="FJ261"/>
    </row>
    <row r="262" spans="1:166" ht="5.25" hidden="1" customHeight="1" outlineLevel="1" x14ac:dyDescent="0.35">
      <c r="A262" s="94"/>
      <c r="B262" s="85"/>
      <c r="C262" s="89"/>
      <c r="D262" s="90"/>
      <c r="E262" s="90"/>
      <c r="F262" s="92"/>
      <c r="G262" s="85"/>
      <c r="H262" s="89"/>
      <c r="I262" s="90"/>
      <c r="J262" s="90"/>
      <c r="K262" s="90"/>
      <c r="L262" s="85"/>
      <c r="M262" s="90"/>
      <c r="N262" s="90"/>
      <c r="O262" s="90"/>
      <c r="P262" s="90"/>
      <c r="Q262" s="85"/>
      <c r="R262" s="38"/>
      <c r="S262" s="38"/>
      <c r="T262" s="38"/>
      <c r="U262" s="39"/>
      <c r="V262" s="85"/>
      <c r="W262" s="38"/>
      <c r="X262" s="38"/>
      <c r="Y262" s="38"/>
      <c r="Z262" s="39"/>
      <c r="AA262" s="54"/>
      <c r="AB262" s="87"/>
      <c r="AC262" s="38"/>
      <c r="AD262" s="38"/>
      <c r="AE262" s="38"/>
      <c r="AF262" s="85"/>
      <c r="AG262" s="38"/>
      <c r="AH262" s="38"/>
      <c r="AI262" s="38"/>
      <c r="AJ262" s="38"/>
      <c r="AK262" s="85"/>
      <c r="AL262" s="38"/>
      <c r="AM262" s="38"/>
      <c r="AN262" s="38"/>
      <c r="AO262" s="38"/>
      <c r="AP262" s="85"/>
      <c r="AQ262" s="38"/>
      <c r="AR262" s="38"/>
      <c r="AS262" s="38"/>
      <c r="AT262" s="38"/>
      <c r="AU262" s="86"/>
      <c r="AV262" s="45"/>
      <c r="AW262" s="38"/>
      <c r="AX262" s="38"/>
      <c r="AY262" s="38"/>
      <c r="AZ262" s="38"/>
      <c r="BA262" s="85"/>
      <c r="BB262" s="38"/>
      <c r="BC262" s="38"/>
      <c r="BD262" s="38"/>
      <c r="BE262" s="38"/>
      <c r="BF262" s="85"/>
      <c r="BG262" s="38"/>
      <c r="BH262" s="38"/>
      <c r="BI262" s="38"/>
      <c r="BJ262" s="38"/>
      <c r="BK262" s="85"/>
      <c r="BL262" s="38"/>
      <c r="BM262" s="38"/>
      <c r="BN262" s="38"/>
      <c r="BO262" s="38"/>
      <c r="BP262" s="85"/>
      <c r="BQ262" s="38"/>
      <c r="BR262" s="38"/>
      <c r="BS262" s="38"/>
      <c r="BT262" s="38"/>
      <c r="BU262" s="85"/>
      <c r="BV262" s="1070"/>
      <c r="BW262" s="1070"/>
      <c r="BX262" s="1070"/>
      <c r="BY262" s="1070"/>
      <c r="BZ262" s="85"/>
      <c r="CA262" s="38"/>
      <c r="CB262" s="38"/>
      <c r="CC262" s="38"/>
      <c r="CD262" s="38"/>
      <c r="CE262" s="85"/>
      <c r="CF262" s="38"/>
      <c r="CG262" s="38"/>
      <c r="CH262" s="38"/>
      <c r="CI262" s="38"/>
      <c r="CJ262" s="85"/>
      <c r="CK262" s="38"/>
      <c r="CL262" s="38"/>
      <c r="CM262" s="38"/>
      <c r="CN262" s="38"/>
      <c r="CO262" s="85"/>
      <c r="CP262" s="38"/>
      <c r="CQ262" s="38"/>
      <c r="CR262" s="38"/>
      <c r="CS262" s="38"/>
      <c r="CT262" s="85"/>
      <c r="CU262" s="38"/>
      <c r="CV262" s="38"/>
      <c r="CW262" s="38"/>
      <c r="CX262" s="38"/>
      <c r="CY262" s="85"/>
      <c r="CZ262" s="38"/>
      <c r="DA262" s="38"/>
      <c r="DB262" s="38"/>
      <c r="DC262" s="38"/>
      <c r="DD262" s="85"/>
      <c r="DE262" s="38"/>
      <c r="DF262" s="38"/>
      <c r="DG262" s="38"/>
      <c r="DH262" s="38"/>
      <c r="DI262" s="85"/>
      <c r="DJ262" s="38"/>
      <c r="DK262" s="38"/>
      <c r="DL262" s="38"/>
      <c r="DM262" s="38"/>
      <c r="DN262" s="85"/>
      <c r="DO262" s="38"/>
      <c r="DP262" s="38"/>
      <c r="DQ262" s="38"/>
      <c r="DR262" s="38"/>
      <c r="DS262" s="85"/>
      <c r="DT262" s="38"/>
      <c r="DU262" s="38"/>
      <c r="DV262" s="38"/>
      <c r="DW262" s="38"/>
      <c r="DX262" s="85"/>
      <c r="DY262" s="38"/>
      <c r="DZ262" s="38"/>
      <c r="EA262" s="38"/>
      <c r="EB262" s="38"/>
      <c r="EC262" s="85"/>
      <c r="ED262" s="38"/>
      <c r="EE262" s="21"/>
      <c r="EF262" s="373"/>
      <c r="EG262" s="16"/>
      <c r="EH262" s="16"/>
      <c r="EI262" s="16"/>
      <c r="EJ262" s="16"/>
      <c r="EK262" s="16"/>
      <c r="EL262" s="16"/>
      <c r="EM262" s="16"/>
      <c r="EN262" s="16"/>
      <c r="EO262" s="16"/>
      <c r="EP262" s="16"/>
      <c r="EQ262" s="16"/>
      <c r="ER262" s="16"/>
      <c r="ES262" s="16"/>
      <c r="ET262" s="16"/>
      <c r="EU262" s="16"/>
      <c r="EX262" s="16"/>
      <c r="EY262" s="228"/>
      <c r="EZ262" s="477"/>
      <c r="FA262" s="477"/>
      <c r="FB262" s="228"/>
      <c r="FC262" s="477"/>
      <c r="FD262" s="16"/>
    </row>
    <row r="263" spans="1:166" ht="12.75" hidden="1" customHeight="1" outlineLevel="1" x14ac:dyDescent="0.35">
      <c r="A263" s="1124" t="s">
        <v>664</v>
      </c>
      <c r="B263" s="1125"/>
      <c r="C263" s="1137"/>
      <c r="D263" s="1129"/>
      <c r="E263" s="1129"/>
      <c r="F263" s="1128"/>
      <c r="G263" s="1125"/>
      <c r="H263" s="1137"/>
      <c r="I263" s="1129"/>
      <c r="J263" s="1129"/>
      <c r="K263" s="1129"/>
      <c r="L263" s="1125"/>
      <c r="M263" s="1129"/>
      <c r="N263" s="1129"/>
      <c r="O263" s="1129"/>
      <c r="P263" s="1129"/>
      <c r="Q263" s="1125"/>
      <c r="R263" s="1130"/>
      <c r="S263" s="1130"/>
      <c r="T263" s="1130"/>
      <c r="U263" s="1131"/>
      <c r="V263" s="1125"/>
      <c r="W263" s="1130"/>
      <c r="X263" s="1130"/>
      <c r="Y263" s="1130"/>
      <c r="Z263" s="1131"/>
      <c r="AA263" s="1132"/>
      <c r="AB263" s="1133"/>
      <c r="AC263" s="1130"/>
      <c r="AD263" s="1130"/>
      <c r="AE263" s="1130"/>
      <c r="AF263" s="1125"/>
      <c r="AG263" s="1130"/>
      <c r="AH263" s="1130"/>
      <c r="AI263" s="1130"/>
      <c r="AJ263" s="1130"/>
      <c r="AK263" s="1125"/>
      <c r="AL263" s="1130"/>
      <c r="AM263" s="1130"/>
      <c r="AN263" s="1130"/>
      <c r="AO263" s="1130"/>
      <c r="AP263" s="1125"/>
      <c r="AQ263" s="1130"/>
      <c r="AR263" s="1130"/>
      <c r="AS263" s="1130"/>
      <c r="AT263" s="1130"/>
      <c r="AU263" s="1135"/>
      <c r="AV263" s="1136"/>
      <c r="AW263" s="1130"/>
      <c r="AX263" s="1130"/>
      <c r="AY263" s="1130"/>
      <c r="AZ263" s="1130"/>
      <c r="BA263" s="1125"/>
      <c r="BB263" s="1130"/>
      <c r="BC263" s="1130"/>
      <c r="BD263" s="1130"/>
      <c r="BE263" s="1130"/>
      <c r="BF263" s="1125"/>
      <c r="BG263" s="1130"/>
      <c r="BH263" s="1130"/>
      <c r="BI263" s="1130"/>
      <c r="BJ263" s="1130"/>
      <c r="BK263" s="1125"/>
      <c r="BL263" s="1130"/>
      <c r="BM263" s="1130"/>
      <c r="BN263" s="1130"/>
      <c r="BO263" s="1130"/>
      <c r="BP263" s="1125"/>
      <c r="BQ263" s="1130"/>
      <c r="BR263" s="1130"/>
      <c r="BS263" s="1130"/>
      <c r="BT263" s="1130"/>
      <c r="BU263" s="1125"/>
      <c r="BV263" s="1307"/>
      <c r="BW263" s="1307"/>
      <c r="BX263" s="1307"/>
      <c r="BY263" s="1307"/>
      <c r="BZ263" s="1125"/>
      <c r="CA263" s="1130"/>
      <c r="CB263" s="1130"/>
      <c r="CC263" s="1130"/>
      <c r="CD263" s="1130"/>
      <c r="CE263" s="1125"/>
      <c r="CF263" s="1130"/>
      <c r="CG263" s="1130"/>
      <c r="CH263" s="1130"/>
      <c r="CI263" s="1130"/>
      <c r="CJ263" s="1125"/>
      <c r="CK263" s="1130"/>
      <c r="CL263" s="1130"/>
      <c r="CM263" s="1130"/>
      <c r="CN263" s="1130"/>
      <c r="CO263" s="1125"/>
      <c r="CP263" s="1130"/>
      <c r="CQ263" s="1130"/>
      <c r="CR263" s="1130"/>
      <c r="CS263" s="1130"/>
      <c r="CT263" s="1125"/>
      <c r="CU263" s="1130"/>
      <c r="CV263" s="1130"/>
      <c r="CW263" s="1130"/>
      <c r="CX263" s="1130"/>
      <c r="CY263" s="1125"/>
      <c r="CZ263" s="1130"/>
      <c r="DA263" s="1130"/>
      <c r="DB263" s="1130"/>
      <c r="DC263" s="1130"/>
      <c r="DD263" s="1125"/>
      <c r="DE263" s="1130"/>
      <c r="DF263" s="1130"/>
      <c r="DG263" s="1130"/>
      <c r="DH263" s="1130"/>
      <c r="DI263" s="1125"/>
      <c r="DJ263" s="1130"/>
      <c r="DK263" s="1130"/>
      <c r="DL263" s="1130"/>
      <c r="DM263" s="1130"/>
      <c r="DN263" s="1125"/>
      <c r="DO263" s="1130"/>
      <c r="DP263" s="1130"/>
      <c r="DQ263" s="1130"/>
      <c r="DR263" s="1130"/>
      <c r="DS263" s="1125"/>
      <c r="DT263" s="1130"/>
      <c r="DU263" s="1130"/>
      <c r="DV263" s="1130"/>
      <c r="DW263" s="1130"/>
      <c r="DX263" s="1125"/>
      <c r="DY263" s="1130"/>
      <c r="DZ263" s="1130"/>
      <c r="EA263" s="1130"/>
      <c r="EB263" s="1130"/>
      <c r="EC263" s="1125"/>
      <c r="ED263" s="38"/>
      <c r="EE263" s="21"/>
      <c r="EF263" s="373"/>
      <c r="EG263" s="16"/>
      <c r="EH263" s="16"/>
      <c r="EI263" s="16"/>
      <c r="EJ263" s="16"/>
      <c r="EK263" s="16"/>
      <c r="EL263" s="16"/>
      <c r="EM263" s="16"/>
      <c r="EN263" s="16"/>
      <c r="EO263" s="16"/>
      <c r="EP263" s="16"/>
      <c r="EQ263" s="16"/>
      <c r="ER263" s="16"/>
      <c r="ES263" s="16"/>
      <c r="ET263" s="16"/>
      <c r="EU263" s="16"/>
      <c r="EX263" s="16"/>
      <c r="EY263" s="228"/>
      <c r="EZ263" s="477"/>
      <c r="FA263" s="477"/>
      <c r="FB263" s="228"/>
      <c r="FC263" s="477"/>
      <c r="FD263" s="16"/>
    </row>
    <row r="264" spans="1:166" ht="4.5" hidden="1" customHeight="1" outlineLevel="1" x14ac:dyDescent="0.35">
      <c r="A264" s="1081"/>
      <c r="B264" s="85"/>
      <c r="C264" s="89"/>
      <c r="D264" s="90"/>
      <c r="E264" s="90"/>
      <c r="F264" s="92"/>
      <c r="G264" s="85"/>
      <c r="H264" s="89"/>
      <c r="I264" s="90"/>
      <c r="J264" s="90"/>
      <c r="K264" s="90"/>
      <c r="L264" s="85"/>
      <c r="M264" s="90"/>
      <c r="N264" s="90"/>
      <c r="O264" s="90"/>
      <c r="P264" s="90"/>
      <c r="Q264" s="85"/>
      <c r="R264" s="38"/>
      <c r="S264" s="38"/>
      <c r="T264" s="38"/>
      <c r="U264" s="39"/>
      <c r="V264" s="85"/>
      <c r="W264" s="38"/>
      <c r="X264" s="38"/>
      <c r="Y264" s="38"/>
      <c r="Z264" s="39"/>
      <c r="AA264" s="54"/>
      <c r="AB264" s="87"/>
      <c r="AC264" s="38"/>
      <c r="AD264" s="38"/>
      <c r="AE264" s="38"/>
      <c r="AF264" s="85"/>
      <c r="AG264" s="38"/>
      <c r="AH264" s="38"/>
      <c r="AI264" s="38"/>
      <c r="AJ264" s="38"/>
      <c r="AK264" s="85"/>
      <c r="AL264" s="38"/>
      <c r="AM264" s="38"/>
      <c r="AN264" s="38"/>
      <c r="AO264" s="38"/>
      <c r="AP264" s="85"/>
      <c r="AQ264" s="38"/>
      <c r="AR264" s="38"/>
      <c r="AS264" s="38"/>
      <c r="AT264" s="38"/>
      <c r="AU264" s="86"/>
      <c r="AV264" s="45"/>
      <c r="AW264" s="38"/>
      <c r="AX264" s="38"/>
      <c r="AY264" s="38"/>
      <c r="AZ264" s="38"/>
      <c r="BA264" s="85"/>
      <c r="BB264" s="38"/>
      <c r="BC264" s="38"/>
      <c r="BD264" s="38"/>
      <c r="BE264" s="38"/>
      <c r="BF264" s="85"/>
      <c r="BG264" s="38"/>
      <c r="BH264" s="38"/>
      <c r="BI264" s="38"/>
      <c r="BJ264" s="38"/>
      <c r="BK264" s="85"/>
      <c r="BL264" s="38"/>
      <c r="BM264" s="38"/>
      <c r="BN264" s="38"/>
      <c r="BO264" s="38"/>
      <c r="BP264" s="85"/>
      <c r="BQ264" s="38"/>
      <c r="BR264" s="38"/>
      <c r="BS264" s="38"/>
      <c r="BT264" s="38"/>
      <c r="BU264" s="85"/>
      <c r="BV264" s="1070"/>
      <c r="BW264" s="1070"/>
      <c r="BX264" s="1070"/>
      <c r="BY264" s="1070"/>
      <c r="BZ264" s="85"/>
      <c r="CA264" s="38"/>
      <c r="CB264" s="38"/>
      <c r="CC264" s="38"/>
      <c r="CD264" s="38"/>
      <c r="CE264" s="85"/>
      <c r="CF264" s="38"/>
      <c r="CG264" s="38"/>
      <c r="CH264" s="38"/>
      <c r="CI264" s="38"/>
      <c r="CJ264" s="85"/>
      <c r="CK264" s="38"/>
      <c r="CL264" s="38"/>
      <c r="CM264" s="38"/>
      <c r="CN264" s="38"/>
      <c r="CO264" s="85"/>
      <c r="CP264" s="38"/>
      <c r="CQ264" s="38"/>
      <c r="CR264" s="38"/>
      <c r="CS264" s="38"/>
      <c r="CT264" s="85"/>
      <c r="CU264" s="38"/>
      <c r="CV264" s="38"/>
      <c r="CW264" s="38"/>
      <c r="CX264" s="38"/>
      <c r="CY264" s="85"/>
      <c r="CZ264" s="38"/>
      <c r="DA264" s="38"/>
      <c r="DB264" s="38"/>
      <c r="DC264" s="38"/>
      <c r="DD264" s="85"/>
      <c r="DE264" s="38"/>
      <c r="DF264" s="38"/>
      <c r="DG264" s="38"/>
      <c r="DH264" s="38"/>
      <c r="DI264" s="85"/>
      <c r="DJ264" s="38"/>
      <c r="DK264" s="38"/>
      <c r="DL264" s="38"/>
      <c r="DM264" s="38"/>
      <c r="DN264" s="85"/>
      <c r="DO264" s="38"/>
      <c r="DP264" s="38"/>
      <c r="DQ264" s="38"/>
      <c r="DR264" s="38"/>
      <c r="DS264" s="85"/>
      <c r="DT264" s="38"/>
      <c r="DU264" s="38"/>
      <c r="DV264" s="38"/>
      <c r="DW264" s="38"/>
      <c r="DX264" s="85"/>
      <c r="DY264" s="38"/>
      <c r="DZ264" s="38"/>
      <c r="EA264" s="38"/>
      <c r="EB264" s="38"/>
      <c r="EC264" s="85"/>
      <c r="ED264" s="38"/>
      <c r="EE264" s="21"/>
      <c r="EF264" s="373"/>
      <c r="EG264" s="16"/>
      <c r="EH264" s="16"/>
      <c r="EI264" s="16"/>
      <c r="EJ264" s="16"/>
      <c r="EK264" s="16"/>
      <c r="EL264" s="16"/>
      <c r="EM264" s="16"/>
      <c r="EN264" s="16"/>
      <c r="EO264" s="16"/>
      <c r="EP264" s="16"/>
      <c r="EQ264" s="16"/>
      <c r="ER264" s="16"/>
      <c r="ES264" s="16"/>
      <c r="ET264" s="16"/>
      <c r="EU264" s="16"/>
      <c r="EX264" s="16"/>
      <c r="EY264" s="228"/>
      <c r="EZ264" s="477"/>
      <c r="FA264" s="477"/>
      <c r="FB264" s="228"/>
      <c r="FC264" s="477"/>
      <c r="FD264" s="16"/>
    </row>
    <row r="265" spans="1:166" ht="15.75" hidden="1" customHeight="1" outlineLevel="1" x14ac:dyDescent="0.35">
      <c r="A265" s="94" t="s">
        <v>658</v>
      </c>
      <c r="B265" s="85"/>
      <c r="C265" s="89"/>
      <c r="D265" s="90"/>
      <c r="E265" s="90"/>
      <c r="F265" s="92"/>
      <c r="G265" s="85"/>
      <c r="H265" s="89"/>
      <c r="I265" s="90"/>
      <c r="J265" s="90"/>
      <c r="K265" s="90"/>
      <c r="L265" s="85"/>
      <c r="M265" s="90"/>
      <c r="N265" s="90"/>
      <c r="O265" s="90"/>
      <c r="P265" s="90"/>
      <c r="Q265" s="85"/>
      <c r="R265" s="38"/>
      <c r="S265" s="38"/>
      <c r="T265" s="38"/>
      <c r="U265" s="39"/>
      <c r="V265" s="85"/>
      <c r="W265" s="38"/>
      <c r="X265" s="38"/>
      <c r="Y265" s="38"/>
      <c r="Z265" s="39"/>
      <c r="AA265" s="54"/>
      <c r="AB265" s="87"/>
      <c r="AC265" s="38"/>
      <c r="AD265" s="38"/>
      <c r="AE265" s="38"/>
      <c r="AF265" s="85"/>
      <c r="AG265" s="38"/>
      <c r="AH265" s="38"/>
      <c r="AI265" s="38"/>
      <c r="AJ265" s="38"/>
      <c r="AK265" s="85"/>
      <c r="AL265" s="38"/>
      <c r="AM265" s="38"/>
      <c r="AN265" s="38"/>
      <c r="AO265" s="38"/>
      <c r="AP265" s="85"/>
      <c r="AQ265" s="38"/>
      <c r="AR265" s="38"/>
      <c r="AS265" s="38"/>
      <c r="AT265" s="38"/>
      <c r="AU265" s="86"/>
      <c r="AV265" s="45"/>
      <c r="AW265" s="38"/>
      <c r="AX265" s="38"/>
      <c r="AY265" s="38"/>
      <c r="AZ265" s="38"/>
      <c r="BA265" s="85"/>
      <c r="BB265" s="38"/>
      <c r="BC265" s="38"/>
      <c r="BD265" s="38"/>
      <c r="BE265" s="38"/>
      <c r="BF265" s="85"/>
      <c r="BG265" s="38">
        <v>84.3</v>
      </c>
      <c r="BH265" s="38">
        <v>68.3</v>
      </c>
      <c r="BI265" s="38">
        <v>69.999999999999986</v>
      </c>
      <c r="BJ265" s="38">
        <v>67.8</v>
      </c>
      <c r="BK265" s="85">
        <v>290.39999999999998</v>
      </c>
      <c r="BL265" s="38">
        <v>57.6</v>
      </c>
      <c r="BM265" s="38">
        <v>51.7</v>
      </c>
      <c r="BN265" s="38">
        <v>54.899999999999991</v>
      </c>
      <c r="BO265" s="38">
        <v>52</v>
      </c>
      <c r="BP265" s="85">
        <v>216.2</v>
      </c>
      <c r="BQ265" s="38">
        <v>48.2</v>
      </c>
      <c r="BR265" s="38">
        <v>47</v>
      </c>
      <c r="BS265" s="38">
        <v>47.6</v>
      </c>
      <c r="BT265" s="38">
        <v>48.9221920361042</v>
      </c>
      <c r="BU265" s="85">
        <v>191.72219203610422</v>
      </c>
      <c r="BV265" s="1070">
        <v>46.192871085832131</v>
      </c>
      <c r="BW265" s="1070">
        <v>47.676896830857864</v>
      </c>
      <c r="BX265" s="1070">
        <v>48.113000798078275</v>
      </c>
      <c r="BY265" s="1070">
        <v>50.214868290921771</v>
      </c>
      <c r="BZ265" s="85">
        <v>192.19763700569004</v>
      </c>
      <c r="CA265" s="38">
        <v>46.192871085832131</v>
      </c>
      <c r="CB265" s="38">
        <v>47.676896830857864</v>
      </c>
      <c r="CC265" s="38">
        <v>48.113000798078275</v>
      </c>
      <c r="CD265" s="38">
        <v>50.214868290921771</v>
      </c>
      <c r="CE265" s="85">
        <v>192.19763700569004</v>
      </c>
      <c r="CF265" s="38">
        <v>47.825826666016134</v>
      </c>
      <c r="CG265" s="38">
        <v>49.472125062975429</v>
      </c>
      <c r="CH265" s="38">
        <v>49.945338820016978</v>
      </c>
      <c r="CI265" s="38">
        <v>51.8041271667053</v>
      </c>
      <c r="CJ265" s="85">
        <v>199.04741771571383</v>
      </c>
      <c r="CK265" s="38">
        <v>49.021701243668772</v>
      </c>
      <c r="CL265" s="38">
        <v>50.592957718372425</v>
      </c>
      <c r="CM265" s="38">
        <v>51.225278518644032</v>
      </c>
      <c r="CN265" s="38">
        <v>53.47951929249259</v>
      </c>
      <c r="CO265" s="85">
        <v>204.31945677317779</v>
      </c>
      <c r="CP265" s="38">
        <v>49.402004124311205</v>
      </c>
      <c r="CQ265" s="38">
        <v>51.274762568237229</v>
      </c>
      <c r="CR265" s="38">
        <v>51.882763713051311</v>
      </c>
      <c r="CS265" s="38">
        <v>54.175918880217814</v>
      </c>
      <c r="CT265" s="85">
        <v>206.73544928581754</v>
      </c>
      <c r="CU265" s="38">
        <v>50.744053884923716</v>
      </c>
      <c r="CV265" s="38">
        <v>52.671866771101222</v>
      </c>
      <c r="CW265" s="38">
        <v>53.30027506995409</v>
      </c>
      <c r="CX265" s="38">
        <v>55.649581592574165</v>
      </c>
      <c r="CY265" s="85">
        <v>212.3657773185532</v>
      </c>
      <c r="CZ265" s="38">
        <v>52.147145794481879</v>
      </c>
      <c r="DA265" s="38">
        <v>54.091338567163959</v>
      </c>
      <c r="DB265" s="38">
        <v>54.740953375186095</v>
      </c>
      <c r="DC265" s="38">
        <v>57.146530703828674</v>
      </c>
      <c r="DD265" s="85">
        <v>218.12596844066059</v>
      </c>
      <c r="DE265" s="38">
        <v>53.493378741110206</v>
      </c>
      <c r="DF265" s="38">
        <v>55.532590083097027</v>
      </c>
      <c r="DG265" s="38">
        <v>56.199631257201354</v>
      </c>
      <c r="DH265" s="38">
        <v>58.660994767115497</v>
      </c>
      <c r="DI265" s="85">
        <v>223.88659484852408</v>
      </c>
      <c r="DJ265" s="38">
        <v>54.897446806544927</v>
      </c>
      <c r="DK265" s="38">
        <v>56.992906214834036</v>
      </c>
      <c r="DL265" s="38">
        <v>57.678630118109595</v>
      </c>
      <c r="DM265" s="38">
        <v>60.197900647113386</v>
      </c>
      <c r="DN265" s="85">
        <v>229.76688378660194</v>
      </c>
      <c r="DO265" s="38">
        <v>56.312961881395722</v>
      </c>
      <c r="DP265" s="38">
        <v>58.46449217345026</v>
      </c>
      <c r="DQ265" s="38">
        <v>59.168073819959979</v>
      </c>
      <c r="DR265" s="38">
        <v>61.747015060175329</v>
      </c>
      <c r="DS265" s="85">
        <v>235.6925429349813</v>
      </c>
      <c r="DT265" s="38">
        <v>57.799215225934638</v>
      </c>
      <c r="DU265" s="38">
        <v>59.960728393298645</v>
      </c>
      <c r="DV265" s="38">
        <v>60.681657579915075</v>
      </c>
      <c r="DW265" s="38">
        <v>63.320797824803499</v>
      </c>
      <c r="DX265" s="85">
        <v>241.7623990239519</v>
      </c>
      <c r="DY265" s="38">
        <v>0</v>
      </c>
      <c r="DZ265" s="38">
        <v>0</v>
      </c>
      <c r="EA265" s="38">
        <v>0</v>
      </c>
      <c r="EB265" s="38">
        <v>0</v>
      </c>
      <c r="EC265" s="85">
        <v>0</v>
      </c>
      <c r="ED265" s="38"/>
      <c r="EE265" s="21"/>
      <c r="EF265" s="373"/>
      <c r="EG265" s="16"/>
      <c r="EH265" s="16"/>
      <c r="EI265" s="16"/>
      <c r="EJ265" s="16"/>
      <c r="EK265" s="16"/>
      <c r="EL265" s="16"/>
      <c r="EM265" s="16"/>
      <c r="EN265" s="16"/>
      <c r="EO265" s="16"/>
      <c r="EP265" s="16"/>
      <c r="EQ265" s="16"/>
      <c r="ER265" s="16"/>
      <c r="ES265" s="16"/>
      <c r="ET265" s="16"/>
      <c r="EU265" s="16"/>
      <c r="EX265" s="16"/>
      <c r="EY265" s="228"/>
      <c r="EZ265" s="477"/>
      <c r="FA265" s="477"/>
      <c r="FB265" s="228"/>
      <c r="FC265" s="477"/>
      <c r="FD265" s="16"/>
    </row>
    <row r="266" spans="1:166" ht="15.75" hidden="1" customHeight="1" outlineLevel="1" x14ac:dyDescent="0.35">
      <c r="A266" s="94" t="s">
        <v>659</v>
      </c>
      <c r="B266" s="85"/>
      <c r="C266" s="89"/>
      <c r="D266" s="90"/>
      <c r="E266" s="90"/>
      <c r="F266" s="92"/>
      <c r="G266" s="85"/>
      <c r="H266" s="89"/>
      <c r="I266" s="90"/>
      <c r="J266" s="90"/>
      <c r="K266" s="90"/>
      <c r="L266" s="85"/>
      <c r="M266" s="90"/>
      <c r="N266" s="90"/>
      <c r="O266" s="90"/>
      <c r="P266" s="90"/>
      <c r="Q266" s="85"/>
      <c r="R266" s="38"/>
      <c r="S266" s="38"/>
      <c r="T266" s="38"/>
      <c r="U266" s="39"/>
      <c r="V266" s="85"/>
      <c r="W266" s="38"/>
      <c r="X266" s="38"/>
      <c r="Y266" s="38"/>
      <c r="Z266" s="39"/>
      <c r="AA266" s="54"/>
      <c r="AB266" s="87"/>
      <c r="AC266" s="38"/>
      <c r="AD266" s="38"/>
      <c r="AE266" s="38"/>
      <c r="AF266" s="85"/>
      <c r="AG266" s="38"/>
      <c r="AH266" s="38"/>
      <c r="AI266" s="38"/>
      <c r="AJ266" s="38"/>
      <c r="AK266" s="85"/>
      <c r="AL266" s="38"/>
      <c r="AM266" s="38"/>
      <c r="AN266" s="38"/>
      <c r="AO266" s="38"/>
      <c r="AP266" s="85"/>
      <c r="AQ266" s="38"/>
      <c r="AR266" s="38"/>
      <c r="AS266" s="38"/>
      <c r="AT266" s="38"/>
      <c r="AU266" s="86"/>
      <c r="AV266" s="45"/>
      <c r="AW266" s="38"/>
      <c r="AX266" s="38"/>
      <c r="AY266" s="38"/>
      <c r="AZ266" s="38"/>
      <c r="BA266" s="85"/>
      <c r="BB266" s="38"/>
      <c r="BC266" s="38"/>
      <c r="BD266" s="38"/>
      <c r="BE266" s="38"/>
      <c r="BF266" s="85"/>
      <c r="BG266" s="38">
        <v>79.210001754693806</v>
      </c>
      <c r="BH266" s="38">
        <v>63.470747041420118</v>
      </c>
      <c r="BI266" s="38">
        <v>65.182269036646915</v>
      </c>
      <c r="BJ266" s="38">
        <v>63.515302843016066</v>
      </c>
      <c r="BK266" s="85">
        <v>271.37832067577688</v>
      </c>
      <c r="BL266" s="38">
        <v>55.267317668599325</v>
      </c>
      <c r="BM266" s="38">
        <v>50.886848724398135</v>
      </c>
      <c r="BN266" s="38">
        <v>53.724754634678291</v>
      </c>
      <c r="BO266" s="38">
        <v>51.816214177978878</v>
      </c>
      <c r="BP266" s="85">
        <v>211.69513520565465</v>
      </c>
      <c r="BQ266" s="38">
        <v>48.015359070153593</v>
      </c>
      <c r="BR266" s="38">
        <v>46.90700612557427</v>
      </c>
      <c r="BS266" s="38">
        <v>47.040659734671927</v>
      </c>
      <c r="BT266" s="38">
        <v>71.16149999999999</v>
      </c>
      <c r="BU266" s="85">
        <v>213.12452493039979</v>
      </c>
      <c r="BV266" s="1070">
        <v>37.6</v>
      </c>
      <c r="BW266" s="1070">
        <v>39.200000000000003</v>
      </c>
      <c r="BX266" s="1070">
        <v>42</v>
      </c>
      <c r="BY266" s="1070">
        <v>41.565106844327438</v>
      </c>
      <c r="BZ266" s="85">
        <v>160.36510684432744</v>
      </c>
      <c r="CA266" s="38">
        <v>37.6</v>
      </c>
      <c r="CB266" s="38">
        <v>39.200000000000003</v>
      </c>
      <c r="CC266" s="38">
        <v>42</v>
      </c>
      <c r="CD266" s="38">
        <v>41.565106844327438</v>
      </c>
      <c r="CE266" s="85">
        <v>160.36510684432744</v>
      </c>
      <c r="CF266" s="38">
        <v>42.959650728416548</v>
      </c>
      <c r="CG266" s="38">
        <v>41.182186859828114</v>
      </c>
      <c r="CH266" s="38">
        <v>41.349252843714801</v>
      </c>
      <c r="CI266" s="38">
        <v>40.944522837545641</v>
      </c>
      <c r="CJ266" s="85">
        <v>166.4356132695051</v>
      </c>
      <c r="CK266" s="38">
        <v>42.984651871234426</v>
      </c>
      <c r="CL266" s="38">
        <v>42.849493338884344</v>
      </c>
      <c r="CM266" s="38">
        <v>43.041723062671394</v>
      </c>
      <c r="CN266" s="38">
        <v>43.0877225982629</v>
      </c>
      <c r="CO266" s="85">
        <v>171.96359087105307</v>
      </c>
      <c r="CP266" s="38">
        <v>45.18037328427652</v>
      </c>
      <c r="CQ266" s="38">
        <v>44.50757298433502</v>
      </c>
      <c r="CR266" s="38">
        <v>44.72311248045412</v>
      </c>
      <c r="CS266" s="38">
        <v>44.88267585959067</v>
      </c>
      <c r="CT266" s="85">
        <v>179.29373460865634</v>
      </c>
      <c r="CU266" s="38">
        <v>47.345043756098583</v>
      </c>
      <c r="CV266" s="38">
        <v>46.504183988444247</v>
      </c>
      <c r="CW266" s="38">
        <v>46.755268454181646</v>
      </c>
      <c r="CX266" s="38">
        <v>46.969150061313208</v>
      </c>
      <c r="CY266" s="85">
        <v>187.57364626003766</v>
      </c>
      <c r="CZ266" s="38">
        <v>50.218473271148511</v>
      </c>
      <c r="DA266" s="38">
        <v>48.642618654601826</v>
      </c>
      <c r="DB266" s="38">
        <v>48.902782842126179</v>
      </c>
      <c r="DC266" s="38">
        <v>49.079342133817562</v>
      </c>
      <c r="DD266" s="85">
        <v>196.84321690169409</v>
      </c>
      <c r="DE266" s="38">
        <v>51.909642776530511</v>
      </c>
      <c r="DF266" s="38">
        <v>50.684210614244783</v>
      </c>
      <c r="DG266" s="38">
        <v>50.957202880379974</v>
      </c>
      <c r="DH266" s="38">
        <v>51.106882396180893</v>
      </c>
      <c r="DI266" s="85">
        <v>204.65793866733617</v>
      </c>
      <c r="DJ266" s="38">
        <v>54.091131647145907</v>
      </c>
      <c r="DK266" s="38">
        <v>52.684416369209629</v>
      </c>
      <c r="DL266" s="38">
        <v>52.967179094374849</v>
      </c>
      <c r="DM266" s="38">
        <v>53.108464629918274</v>
      </c>
      <c r="DN266" s="85">
        <v>212.85119174064866</v>
      </c>
      <c r="DO266" s="38">
        <v>56.285938062779174</v>
      </c>
      <c r="DP266" s="38">
        <v>54.670518247896545</v>
      </c>
      <c r="DQ266" s="38">
        <v>54.967270634284759</v>
      </c>
      <c r="DR266" s="38">
        <v>55.133370677598109</v>
      </c>
      <c r="DS266" s="85">
        <v>221.05709762255862</v>
      </c>
      <c r="DT266" s="38">
        <v>59.189052384319766</v>
      </c>
      <c r="DU266" s="38">
        <v>56.690287597417992</v>
      </c>
      <c r="DV266" s="38">
        <v>56.993472904659171</v>
      </c>
      <c r="DW266" s="38">
        <v>57.189836481397343</v>
      </c>
      <c r="DX266" s="85">
        <v>230.06264936779428</v>
      </c>
      <c r="DY266" s="38">
        <v>60.844819229052142</v>
      </c>
      <c r="DZ266" s="38">
        <v>58.737305243170177</v>
      </c>
      <c r="EA266" s="38">
        <v>59.03829439975901</v>
      </c>
      <c r="EB266" s="38">
        <v>59.271194324431406</v>
      </c>
      <c r="EC266" s="85">
        <v>254.08284210497857</v>
      </c>
      <c r="ED266" s="38"/>
      <c r="EE266" s="21"/>
      <c r="EF266" s="373"/>
      <c r="EG266" s="16"/>
      <c r="EH266" s="16"/>
      <c r="EI266" s="16"/>
      <c r="EJ266" s="16"/>
      <c r="EK266" s="16"/>
      <c r="EL266" s="16"/>
      <c r="EM266" s="16"/>
      <c r="EN266" s="16"/>
      <c r="EO266" s="16"/>
      <c r="EP266" s="16"/>
      <c r="EQ266" s="16"/>
      <c r="ER266" s="16"/>
      <c r="ES266" s="16"/>
      <c r="ET266" s="16"/>
      <c r="EU266" s="16"/>
      <c r="EX266" s="16"/>
      <c r="EY266" s="228"/>
      <c r="EZ266" s="477"/>
      <c r="FA266" s="477"/>
      <c r="FB266" s="228"/>
      <c r="FC266" s="477"/>
      <c r="FD266" s="16"/>
    </row>
    <row r="267" spans="1:166" s="1069" customFormat="1" ht="12.75" hidden="1" customHeight="1" outlineLevel="1" x14ac:dyDescent="0.35">
      <c r="A267" s="365" t="s">
        <v>39</v>
      </c>
      <c r="B267" s="50"/>
      <c r="C267" s="826"/>
      <c r="D267" s="827"/>
      <c r="E267" s="827"/>
      <c r="F267" s="828"/>
      <c r="G267" s="50"/>
      <c r="H267" s="826"/>
      <c r="I267" s="827"/>
      <c r="J267" s="827"/>
      <c r="K267" s="827"/>
      <c r="L267" s="50"/>
      <c r="M267" s="827"/>
      <c r="N267" s="827"/>
      <c r="O267" s="827"/>
      <c r="P267" s="827"/>
      <c r="Q267" s="50"/>
      <c r="R267" s="46"/>
      <c r="S267" s="46"/>
      <c r="T267" s="46"/>
      <c r="U267" s="47"/>
      <c r="V267" s="50"/>
      <c r="W267" s="46"/>
      <c r="X267" s="46"/>
      <c r="Y267" s="46"/>
      <c r="Z267" s="47"/>
      <c r="AA267" s="52"/>
      <c r="AB267" s="82"/>
      <c r="AC267" s="46"/>
      <c r="AD267" s="46"/>
      <c r="AE267" s="46"/>
      <c r="AF267" s="50"/>
      <c r="AG267" s="46"/>
      <c r="AH267" s="46"/>
      <c r="AI267" s="46"/>
      <c r="AJ267" s="46"/>
      <c r="AK267" s="50"/>
      <c r="AL267" s="46"/>
      <c r="AM267" s="46"/>
      <c r="AN267" s="46"/>
      <c r="AO267" s="46"/>
      <c r="AP267" s="50"/>
      <c r="AQ267" s="46"/>
      <c r="AR267" s="46"/>
      <c r="AS267" s="46"/>
      <c r="AT267" s="46"/>
      <c r="AU267" s="81"/>
      <c r="AV267" s="49"/>
      <c r="AW267" s="46"/>
      <c r="AX267" s="46"/>
      <c r="AY267" s="46"/>
      <c r="AZ267" s="46"/>
      <c r="BA267" s="50"/>
      <c r="BB267" s="46"/>
      <c r="BC267" s="46"/>
      <c r="BD267" s="46"/>
      <c r="BE267" s="46"/>
      <c r="BF267" s="50"/>
      <c r="BG267" s="46">
        <f>BG266-BG265</f>
        <v>-5.0899982453061909</v>
      </c>
      <c r="BH267" s="46">
        <f t="shared" ref="BH267" si="1425">BH266-BH265</f>
        <v>-4.8292529585798789</v>
      </c>
      <c r="BI267" s="46">
        <f t="shared" ref="BI267" si="1426">BI266-BI265</f>
        <v>-4.8177309633530712</v>
      </c>
      <c r="BJ267" s="46">
        <f t="shared" ref="BJ267" si="1427">BJ266-BJ265</f>
        <v>-4.2846971569839312</v>
      </c>
      <c r="BK267" s="48">
        <f t="shared" ref="BK267" si="1428">BK266-BK265</f>
        <v>-19.021679324223101</v>
      </c>
      <c r="BL267" s="46">
        <f>BL266-BL265</f>
        <v>-2.3326823314006759</v>
      </c>
      <c r="BM267" s="46">
        <f t="shared" ref="BM267" si="1429">BM266-BM265</f>
        <v>-0.81315127560186795</v>
      </c>
      <c r="BN267" s="46">
        <f t="shared" ref="BN267" si="1430">BN266-BN265</f>
        <v>-1.1752453653217003</v>
      </c>
      <c r="BO267" s="46">
        <f t="shared" ref="BO267" si="1431">BO266-BO265</f>
        <v>-0.1837858220211217</v>
      </c>
      <c r="BP267" s="48">
        <f t="shared" ref="BP267" si="1432">BP266-BP265</f>
        <v>-4.5048647943453375</v>
      </c>
      <c r="BQ267" s="46">
        <f>BQ266-BQ265</f>
        <v>-0.18464092984640956</v>
      </c>
      <c r="BR267" s="46">
        <f t="shared" ref="BR267" si="1433">BR266-BR265</f>
        <v>-9.2993874425729928E-2</v>
      </c>
      <c r="BS267" s="46">
        <f t="shared" ref="BS267" si="1434">BS266-BS265</f>
        <v>-0.55934026532807479</v>
      </c>
      <c r="BT267" s="46">
        <f t="shared" ref="BT267" si="1435">BT266-BT265</f>
        <v>22.23930796389579</v>
      </c>
      <c r="BU267" s="48">
        <f t="shared" ref="BU267" si="1436">BU266-BU265</f>
        <v>21.402332894295569</v>
      </c>
      <c r="BV267" s="1071">
        <f>BV266-BV265</f>
        <v>-8.5928710858321296</v>
      </c>
      <c r="BW267" s="1071">
        <f t="shared" ref="BW267:BZ267" si="1437">BW266-BW265</f>
        <v>-8.4768968308578607</v>
      </c>
      <c r="BX267" s="1071">
        <f t="shared" si="1437"/>
        <v>-6.113000798078275</v>
      </c>
      <c r="BY267" s="1071">
        <f t="shared" si="1437"/>
        <v>-8.6497614465943329</v>
      </c>
      <c r="BZ267" s="48">
        <f t="shared" si="1437"/>
        <v>-31.832530161362598</v>
      </c>
      <c r="CA267" s="46">
        <f>CA266-CA265</f>
        <v>-8.5928710858321296</v>
      </c>
      <c r="CB267" s="46">
        <f t="shared" ref="CB267" si="1438">CB266-CB265</f>
        <v>-8.4768968308578607</v>
      </c>
      <c r="CC267" s="46">
        <f t="shared" ref="CC267" si="1439">CC266-CC265</f>
        <v>-6.113000798078275</v>
      </c>
      <c r="CD267" s="46">
        <f t="shared" ref="CD267" si="1440">CD266-CD265</f>
        <v>-8.6497614465943329</v>
      </c>
      <c r="CE267" s="48">
        <f t="shared" ref="CE267" si="1441">CE266-CE265</f>
        <v>-31.832530161362598</v>
      </c>
      <c r="CF267" s="46">
        <f>CF266-CF265</f>
        <v>-4.8661759375995857</v>
      </c>
      <c r="CG267" s="46">
        <f t="shared" ref="CG267" si="1442">CG266-CG265</f>
        <v>-8.2899382031473152</v>
      </c>
      <c r="CH267" s="46">
        <f t="shared" ref="CH267" si="1443">CH266-CH265</f>
        <v>-8.5960859763021773</v>
      </c>
      <c r="CI267" s="46">
        <f t="shared" ref="CI267" si="1444">CI266-CI265</f>
        <v>-10.859604329159659</v>
      </c>
      <c r="CJ267" s="48">
        <f t="shared" ref="CJ267" si="1445">CJ266-CJ265</f>
        <v>-32.611804446208737</v>
      </c>
      <c r="CK267" s="46">
        <f>CK266-CK265</f>
        <v>-6.0370493724343461</v>
      </c>
      <c r="CL267" s="46">
        <f t="shared" ref="CL267" si="1446">CL266-CL265</f>
        <v>-7.7434643794880813</v>
      </c>
      <c r="CM267" s="46">
        <f t="shared" ref="CM267" si="1447">CM266-CM265</f>
        <v>-8.1835554559726376</v>
      </c>
      <c r="CN267" s="46">
        <f t="shared" ref="CN267" si="1448">CN266-CN265</f>
        <v>-10.39179669422969</v>
      </c>
      <c r="CO267" s="48">
        <f t="shared" ref="CO267" si="1449">CO266-CO265</f>
        <v>-32.355865902124719</v>
      </c>
      <c r="CP267" s="46">
        <f>CP266-CP265</f>
        <v>-4.2216308400346847</v>
      </c>
      <c r="CQ267" s="46">
        <f t="shared" ref="CQ267" si="1450">CQ266-CQ265</f>
        <v>-6.7671895839022085</v>
      </c>
      <c r="CR267" s="46">
        <f t="shared" ref="CR267" si="1451">CR266-CR265</f>
        <v>-7.1596512325971915</v>
      </c>
      <c r="CS267" s="46">
        <f t="shared" ref="CS267" si="1452">CS266-CS265</f>
        <v>-9.2932430206271448</v>
      </c>
      <c r="CT267" s="48">
        <f t="shared" ref="CT267" si="1453">CT266-CT265</f>
        <v>-27.441714677161201</v>
      </c>
      <c r="CU267" s="46">
        <f>CU266-CU265</f>
        <v>-3.3990101288251324</v>
      </c>
      <c r="CV267" s="46">
        <f t="shared" ref="CV267" si="1454">CV266-CV265</f>
        <v>-6.1676827826569749</v>
      </c>
      <c r="CW267" s="46">
        <f t="shared" ref="CW267" si="1455">CW266-CW265</f>
        <v>-6.5450066157724436</v>
      </c>
      <c r="CX267" s="46">
        <f t="shared" ref="CX267" si="1456">CX266-CX265</f>
        <v>-8.6804315312609575</v>
      </c>
      <c r="CY267" s="48">
        <f t="shared" ref="CY267" si="1457">CY266-CY265</f>
        <v>-24.792131058515537</v>
      </c>
      <c r="CZ267" s="46">
        <f>CZ266-CZ265</f>
        <v>-1.9286725233333684</v>
      </c>
      <c r="DA267" s="46">
        <f t="shared" ref="DA267" si="1458">DA266-DA265</f>
        <v>-5.4487199125621331</v>
      </c>
      <c r="DB267" s="46">
        <f t="shared" ref="DB267" si="1459">DB266-DB265</f>
        <v>-5.8381705330599161</v>
      </c>
      <c r="DC267" s="46">
        <f t="shared" ref="DC267" si="1460">DC266-DC265</f>
        <v>-8.0671885700111119</v>
      </c>
      <c r="DD267" s="48">
        <f t="shared" ref="DD267" si="1461">DD266-DD265</f>
        <v>-21.282751538966494</v>
      </c>
      <c r="DE267" s="46">
        <f>DE266-DE265</f>
        <v>-1.5837359645796951</v>
      </c>
      <c r="DF267" s="46">
        <f t="shared" ref="DF267" si="1462">DF266-DF265</f>
        <v>-4.8483794688522437</v>
      </c>
      <c r="DG267" s="46">
        <f t="shared" ref="DG267" si="1463">DG266-DG265</f>
        <v>-5.2424283768213797</v>
      </c>
      <c r="DH267" s="46">
        <f t="shared" ref="DH267" si="1464">DH266-DH265</f>
        <v>-7.5541123709346039</v>
      </c>
      <c r="DI267" s="48">
        <f t="shared" ref="DI267" si="1465">DI266-DI265</f>
        <v>-19.228656181187915</v>
      </c>
      <c r="DJ267" s="46">
        <f>DJ266-DJ265</f>
        <v>-0.80631515939901988</v>
      </c>
      <c r="DK267" s="46">
        <f t="shared" ref="DK267" si="1466">DK266-DK265</f>
        <v>-4.3084898456244076</v>
      </c>
      <c r="DL267" s="46">
        <f t="shared" ref="DL267" si="1467">DL266-DL265</f>
        <v>-4.711451023734746</v>
      </c>
      <c r="DM267" s="46">
        <f t="shared" ref="DM267" si="1468">DM266-DM265</f>
        <v>-7.0894360171951121</v>
      </c>
      <c r="DN267" s="48">
        <f t="shared" ref="DN267" si="1469">DN266-DN265</f>
        <v>-16.915692045953278</v>
      </c>
      <c r="DO267" s="46">
        <f>DO266-DO265</f>
        <v>-2.7023818616548567E-2</v>
      </c>
      <c r="DP267" s="46">
        <f t="shared" ref="DP267" si="1470">DP266-DP265</f>
        <v>-3.7939739255537148</v>
      </c>
      <c r="DQ267" s="46">
        <f t="shared" ref="DQ267" si="1471">DQ266-DQ265</f>
        <v>-4.2008031856752197</v>
      </c>
      <c r="DR267" s="46">
        <f t="shared" ref="DR267" si="1472">DR266-DR265</f>
        <v>-6.6136443825772204</v>
      </c>
      <c r="DS267" s="48">
        <f t="shared" ref="DS267" si="1473">DS266-DS265</f>
        <v>-14.635445312422689</v>
      </c>
      <c r="DT267" s="46">
        <f>DT266-DT265</f>
        <v>1.3898371583851272</v>
      </c>
      <c r="DU267" s="46">
        <f t="shared" ref="DU267" si="1474">DU266-DU265</f>
        <v>-3.2704407958806527</v>
      </c>
      <c r="DV267" s="46">
        <f t="shared" ref="DV267" si="1475">DV266-DV265</f>
        <v>-3.6881846752559042</v>
      </c>
      <c r="DW267" s="46">
        <f t="shared" ref="DW267" si="1476">DW266-DW265</f>
        <v>-6.1309613434061561</v>
      </c>
      <c r="DX267" s="48">
        <f t="shared" ref="DX267" si="1477">DX266-DX265</f>
        <v>-11.699749656157621</v>
      </c>
      <c r="DY267" s="46">
        <f>DY266-DY265</f>
        <v>60.844819229052142</v>
      </c>
      <c r="DZ267" s="46">
        <f t="shared" ref="DZ267:EC267" si="1478">DZ266-DZ265</f>
        <v>58.737305243170177</v>
      </c>
      <c r="EA267" s="46">
        <f t="shared" si="1478"/>
        <v>59.03829439975901</v>
      </c>
      <c r="EB267" s="46">
        <f t="shared" si="1478"/>
        <v>59.271194324431406</v>
      </c>
      <c r="EC267" s="48">
        <f t="shared" si="1478"/>
        <v>254.08284210497857</v>
      </c>
      <c r="ED267" s="46"/>
      <c r="EE267" s="37"/>
      <c r="EF267" s="286"/>
      <c r="EG267" s="25"/>
      <c r="EH267" s="25"/>
      <c r="EI267" s="25"/>
      <c r="EJ267" s="25"/>
      <c r="EK267" s="25"/>
      <c r="EL267" s="25"/>
      <c r="EM267" s="25"/>
      <c r="EN267" s="25"/>
      <c r="EO267" s="25"/>
      <c r="EP267" s="25"/>
      <c r="EQ267" s="25"/>
      <c r="ER267" s="25"/>
      <c r="ES267" s="25"/>
      <c r="ET267" s="25"/>
      <c r="EU267" s="25"/>
      <c r="EX267" s="25"/>
      <c r="EY267" s="294"/>
      <c r="EZ267" s="985"/>
      <c r="FA267" s="985"/>
      <c r="FB267" s="294"/>
      <c r="FC267" s="985"/>
      <c r="FD267" s="25"/>
      <c r="FE267"/>
      <c r="FF267"/>
      <c r="FG267"/>
      <c r="FH267"/>
      <c r="FI267"/>
      <c r="FJ267"/>
    </row>
    <row r="268" spans="1:166" ht="6" hidden="1" customHeight="1" outlineLevel="1" x14ac:dyDescent="0.35">
      <c r="A268" s="94"/>
      <c r="B268" s="85"/>
      <c r="C268" s="89"/>
      <c r="D268" s="90"/>
      <c r="E268" s="90"/>
      <c r="F268" s="92"/>
      <c r="G268" s="85"/>
      <c r="H268" s="89"/>
      <c r="I268" s="90"/>
      <c r="J268" s="90"/>
      <c r="K268" s="90"/>
      <c r="L268" s="85"/>
      <c r="M268" s="90"/>
      <c r="N268" s="90"/>
      <c r="O268" s="90"/>
      <c r="P268" s="90"/>
      <c r="Q268" s="85"/>
      <c r="R268" s="38"/>
      <c r="S268" s="38"/>
      <c r="T268" s="38"/>
      <c r="U268" s="39"/>
      <c r="V268" s="85"/>
      <c r="W268" s="38"/>
      <c r="X268" s="38"/>
      <c r="Y268" s="38"/>
      <c r="Z268" s="39"/>
      <c r="AA268" s="54"/>
      <c r="AB268" s="87"/>
      <c r="AC268" s="38"/>
      <c r="AD268" s="38"/>
      <c r="AE268" s="38"/>
      <c r="AF268" s="85"/>
      <c r="AG268" s="38"/>
      <c r="AH268" s="38"/>
      <c r="AI268" s="38"/>
      <c r="AJ268" s="38"/>
      <c r="AK268" s="85"/>
      <c r="AL268" s="38"/>
      <c r="AM268" s="38"/>
      <c r="AN268" s="38"/>
      <c r="AO268" s="38"/>
      <c r="AP268" s="85"/>
      <c r="AQ268" s="38"/>
      <c r="AR268" s="38"/>
      <c r="AS268" s="38"/>
      <c r="AT268" s="38"/>
      <c r="AU268" s="86"/>
      <c r="AV268" s="45"/>
      <c r="AW268" s="38"/>
      <c r="AX268" s="38"/>
      <c r="AY268" s="38"/>
      <c r="AZ268" s="38"/>
      <c r="BA268" s="85"/>
      <c r="BB268" s="38"/>
      <c r="BC268" s="38"/>
      <c r="BD268" s="38"/>
      <c r="BE268" s="38"/>
      <c r="BF268" s="85"/>
      <c r="BG268" s="38"/>
      <c r="BH268" s="38"/>
      <c r="BI268" s="38"/>
      <c r="BJ268" s="38"/>
      <c r="BK268" s="85"/>
      <c r="BL268" s="38"/>
      <c r="BM268" s="38"/>
      <c r="BN268" s="38"/>
      <c r="BO268" s="38"/>
      <c r="BP268" s="85"/>
      <c r="BQ268" s="38"/>
      <c r="BR268" s="38"/>
      <c r="BS268" s="38"/>
      <c r="BT268" s="38"/>
      <c r="BU268" s="85"/>
      <c r="BV268" s="1070"/>
      <c r="BW268" s="1070"/>
      <c r="BX268" s="1070"/>
      <c r="BY268" s="1070"/>
      <c r="BZ268" s="85"/>
      <c r="CA268" s="38"/>
      <c r="CB268" s="38"/>
      <c r="CC268" s="38"/>
      <c r="CD268" s="38"/>
      <c r="CE268" s="85"/>
      <c r="CF268" s="38"/>
      <c r="CG268" s="38"/>
      <c r="CH268" s="38"/>
      <c r="CI268" s="38"/>
      <c r="CJ268" s="85"/>
      <c r="CK268" s="38"/>
      <c r="CL268" s="38"/>
      <c r="CM268" s="38"/>
      <c r="CN268" s="38"/>
      <c r="CO268" s="85"/>
      <c r="CP268" s="38"/>
      <c r="CQ268" s="38"/>
      <c r="CR268" s="38"/>
      <c r="CS268" s="38"/>
      <c r="CT268" s="85"/>
      <c r="CU268" s="38"/>
      <c r="CV268" s="38"/>
      <c r="CW268" s="38"/>
      <c r="CX268" s="38"/>
      <c r="CY268" s="85"/>
      <c r="CZ268" s="38"/>
      <c r="DA268" s="38"/>
      <c r="DB268" s="38"/>
      <c r="DC268" s="38"/>
      <c r="DD268" s="85"/>
      <c r="DE268" s="38"/>
      <c r="DF268" s="38"/>
      <c r="DG268" s="38"/>
      <c r="DH268" s="38"/>
      <c r="DI268" s="85"/>
      <c r="DJ268" s="38"/>
      <c r="DK268" s="38"/>
      <c r="DL268" s="38"/>
      <c r="DM268" s="38"/>
      <c r="DN268" s="85"/>
      <c r="DO268" s="38"/>
      <c r="DP268" s="38"/>
      <c r="DQ268" s="38"/>
      <c r="DR268" s="38"/>
      <c r="DS268" s="85"/>
      <c r="DT268" s="38"/>
      <c r="DU268" s="38"/>
      <c r="DV268" s="38"/>
      <c r="DW268" s="38"/>
      <c r="DX268" s="85"/>
      <c r="DY268" s="38"/>
      <c r="DZ268" s="38"/>
      <c r="EA268" s="38"/>
      <c r="EB268" s="38"/>
      <c r="EC268" s="85"/>
      <c r="ED268" s="38"/>
      <c r="EE268" s="21"/>
      <c r="EF268" s="373"/>
      <c r="EG268" s="16"/>
      <c r="EH268" s="16"/>
      <c r="EI268" s="16"/>
      <c r="EJ268" s="16"/>
      <c r="EK268" s="16"/>
      <c r="EL268" s="16"/>
      <c r="EM268" s="16"/>
      <c r="EN268" s="16"/>
      <c r="EO268" s="16"/>
      <c r="EP268" s="16"/>
      <c r="EQ268" s="16"/>
      <c r="ER268" s="16"/>
      <c r="ES268" s="16"/>
      <c r="ET268" s="16"/>
      <c r="EU268" s="16"/>
      <c r="EX268" s="16"/>
      <c r="EY268" s="228"/>
      <c r="EZ268" s="477"/>
      <c r="FA268" s="477"/>
      <c r="FB268" s="228"/>
      <c r="FC268" s="477"/>
      <c r="FD268" s="16"/>
    </row>
    <row r="269" spans="1:166" ht="12.75" hidden="1" customHeight="1" outlineLevel="1" x14ac:dyDescent="0.35">
      <c r="A269" s="365" t="s">
        <v>704</v>
      </c>
      <c r="B269" s="85"/>
      <c r="C269" s="89"/>
      <c r="D269" s="90"/>
      <c r="E269" s="90"/>
      <c r="F269" s="92"/>
      <c r="G269" s="85"/>
      <c r="H269" s="89"/>
      <c r="I269" s="90"/>
      <c r="J269" s="90"/>
      <c r="K269" s="90"/>
      <c r="L269" s="85"/>
      <c r="M269" s="90"/>
      <c r="N269" s="90"/>
      <c r="O269" s="90"/>
      <c r="P269" s="90"/>
      <c r="Q269" s="85"/>
      <c r="R269" s="38"/>
      <c r="S269" s="38"/>
      <c r="T269" s="38"/>
      <c r="U269" s="39"/>
      <c r="V269" s="85"/>
      <c r="W269" s="38"/>
      <c r="X269" s="38"/>
      <c r="Y269" s="38"/>
      <c r="Z269" s="39"/>
      <c r="AA269" s="54"/>
      <c r="AB269" s="87"/>
      <c r="AC269" s="38"/>
      <c r="AD269" s="38"/>
      <c r="AE269" s="38"/>
      <c r="AF269" s="85"/>
      <c r="AG269" s="38"/>
      <c r="AH269" s="38"/>
      <c r="AI269" s="38"/>
      <c r="AJ269" s="38"/>
      <c r="AK269" s="85"/>
      <c r="AL269" s="38"/>
      <c r="AM269" s="38"/>
      <c r="AN269" s="38"/>
      <c r="AO269" s="38"/>
      <c r="AP269" s="85"/>
      <c r="AQ269" s="38"/>
      <c r="AR269" s="38"/>
      <c r="AS269" s="38"/>
      <c r="AT269" s="38"/>
      <c r="AU269" s="86"/>
      <c r="AV269" s="45"/>
      <c r="AW269" s="38"/>
      <c r="AX269" s="38"/>
      <c r="AY269" s="38"/>
      <c r="AZ269" s="38"/>
      <c r="BA269" s="85"/>
      <c r="BB269" s="38"/>
      <c r="BC269" s="38"/>
      <c r="BD269" s="38"/>
      <c r="BE269" s="38"/>
      <c r="BF269" s="85"/>
      <c r="BG269" s="38"/>
      <c r="BH269" s="38"/>
      <c r="BI269" s="38"/>
      <c r="BJ269" s="38"/>
      <c r="BK269" s="85"/>
      <c r="BL269" s="38"/>
      <c r="BM269" s="38"/>
      <c r="BN269" s="38"/>
      <c r="BO269" s="38"/>
      <c r="BP269" s="85"/>
      <c r="BQ269" s="38"/>
      <c r="BR269" s="38"/>
      <c r="BS269" s="38"/>
      <c r="BT269" s="38"/>
      <c r="BU269" s="85"/>
      <c r="BV269" s="1070"/>
      <c r="BW269" s="1070"/>
      <c r="BX269" s="1070"/>
      <c r="BY269" s="1070"/>
      <c r="BZ269" s="85"/>
      <c r="CA269" s="38"/>
      <c r="CB269" s="38"/>
      <c r="CC269" s="38"/>
      <c r="CD269" s="38"/>
      <c r="CE269" s="85"/>
      <c r="CF269" s="38"/>
      <c r="CG269" s="38"/>
      <c r="CH269" s="38"/>
      <c r="CI269" s="38"/>
      <c r="CJ269" s="85"/>
      <c r="CK269" s="38"/>
      <c r="CL269" s="38"/>
      <c r="CM269" s="38"/>
      <c r="CN269" s="38"/>
      <c r="CO269" s="85"/>
      <c r="CP269" s="38"/>
      <c r="CQ269" s="38"/>
      <c r="CR269" s="38"/>
      <c r="CS269" s="38"/>
      <c r="CT269" s="85"/>
      <c r="CU269" s="38"/>
      <c r="CV269" s="38"/>
      <c r="CW269" s="38"/>
      <c r="CX269" s="38"/>
      <c r="CY269" s="85"/>
      <c r="CZ269" s="38"/>
      <c r="DA269" s="38"/>
      <c r="DB269" s="38"/>
      <c r="DC269" s="38"/>
      <c r="DD269" s="85"/>
      <c r="DE269" s="38"/>
      <c r="DF269" s="38"/>
      <c r="DG269" s="38"/>
      <c r="DH269" s="38"/>
      <c r="DI269" s="85"/>
      <c r="DJ269" s="38"/>
      <c r="DK269" s="38"/>
      <c r="DL269" s="38"/>
      <c r="DM269" s="38"/>
      <c r="DN269" s="85"/>
      <c r="DO269" s="38"/>
      <c r="DP269" s="38"/>
      <c r="DQ269" s="38"/>
      <c r="DR269" s="38"/>
      <c r="DS269" s="85"/>
      <c r="DT269" s="38"/>
      <c r="DU269" s="38"/>
      <c r="DV269" s="38"/>
      <c r="DW269" s="38"/>
      <c r="DX269" s="85"/>
      <c r="DY269" s="38"/>
      <c r="DZ269" s="38"/>
      <c r="EA269" s="38"/>
      <c r="EB269" s="38"/>
      <c r="EC269" s="85"/>
      <c r="ED269" s="38"/>
      <c r="EE269" s="21"/>
      <c r="EF269" s="373"/>
      <c r="EG269" s="16"/>
      <c r="EH269" s="16"/>
      <c r="EI269" s="16"/>
      <c r="EJ269" s="16"/>
      <c r="EK269" s="16"/>
      <c r="EL269" s="16"/>
      <c r="EM269" s="16"/>
      <c r="EN269" s="16"/>
      <c r="EO269" s="16"/>
      <c r="EP269" s="16"/>
      <c r="EQ269" s="16"/>
      <c r="ER269" s="16"/>
      <c r="ES269" s="16"/>
      <c r="ET269" s="16"/>
      <c r="EU269" s="16"/>
      <c r="EX269" s="16"/>
      <c r="EY269" s="228"/>
      <c r="EZ269" s="477"/>
      <c r="FA269" s="477"/>
      <c r="FB269" s="228"/>
      <c r="FC269" s="477"/>
      <c r="FD269" s="16"/>
    </row>
    <row r="270" spans="1:166" ht="15" hidden="1" customHeight="1" outlineLevel="1" x14ac:dyDescent="0.35">
      <c r="A270" s="94" t="s">
        <v>660</v>
      </c>
      <c r="B270" s="85"/>
      <c r="C270" s="89"/>
      <c r="D270" s="90"/>
      <c r="E270" s="90"/>
      <c r="F270" s="92"/>
      <c r="G270" s="85"/>
      <c r="H270" s="89"/>
      <c r="I270" s="90"/>
      <c r="J270" s="90"/>
      <c r="K270" s="90"/>
      <c r="L270" s="85"/>
      <c r="M270" s="90"/>
      <c r="N270" s="90"/>
      <c r="O270" s="90"/>
      <c r="P270" s="90"/>
      <c r="Q270" s="85"/>
      <c r="R270" s="38"/>
      <c r="S270" s="38"/>
      <c r="T270" s="38"/>
      <c r="U270" s="39"/>
      <c r="V270" s="85"/>
      <c r="W270" s="38"/>
      <c r="X270" s="38"/>
      <c r="Y270" s="38"/>
      <c r="Z270" s="39"/>
      <c r="AA270" s="54"/>
      <c r="AB270" s="87"/>
      <c r="AC270" s="38"/>
      <c r="AD270" s="38"/>
      <c r="AE270" s="38"/>
      <c r="AF270" s="85"/>
      <c r="AG270" s="38"/>
      <c r="AH270" s="38"/>
      <c r="AI270" s="38"/>
      <c r="AJ270" s="38"/>
      <c r="AK270" s="85"/>
      <c r="AL270" s="38"/>
      <c r="AM270" s="38"/>
      <c r="AN270" s="38"/>
      <c r="AO270" s="38"/>
      <c r="AP270" s="85"/>
      <c r="AQ270" s="38"/>
      <c r="AR270" s="38"/>
      <c r="AS270" s="38"/>
      <c r="AT270" s="38"/>
      <c r="AU270" s="86"/>
      <c r="AV270" s="45"/>
      <c r="AW270" s="38"/>
      <c r="AX270" s="38"/>
      <c r="AY270" s="38"/>
      <c r="AZ270" s="38"/>
      <c r="BA270" s="85"/>
      <c r="BB270" s="38"/>
      <c r="BC270" s="38"/>
      <c r="BD270" s="38"/>
      <c r="BE270" s="38"/>
      <c r="BF270" s="85"/>
      <c r="BG270" s="38"/>
      <c r="BH270" s="38"/>
      <c r="BI270" s="38"/>
      <c r="BJ270" s="38"/>
      <c r="BK270" s="85"/>
      <c r="BL270" s="38">
        <v>38.341447914523513</v>
      </c>
      <c r="BM270" s="38">
        <v>37.167545457875576</v>
      </c>
      <c r="BN270" s="38">
        <v>37.330933285213121</v>
      </c>
      <c r="BO270" s="38">
        <v>41.959418555750602</v>
      </c>
      <c r="BP270" s="85">
        <v>154.90100005539216</v>
      </c>
      <c r="BQ270" s="38">
        <v>35.578283436299266</v>
      </c>
      <c r="BR270" s="38">
        <v>36.895591356496467</v>
      </c>
      <c r="BS270" s="38">
        <v>38.302010178779625</v>
      </c>
      <c r="BT270" s="38">
        <v>41.58963094751757</v>
      </c>
      <c r="BU270" s="85">
        <v>152.52607195262121</v>
      </c>
      <c r="BV270" s="1070">
        <v>33.193565744938006</v>
      </c>
      <c r="BW270" s="1070">
        <v>33.568772015452268</v>
      </c>
      <c r="BX270" s="1070">
        <v>34.254744803298969</v>
      </c>
      <c r="BY270" s="1070">
        <v>39.342872109418032</v>
      </c>
      <c r="BZ270" s="85">
        <v>140.82264921890885</v>
      </c>
      <c r="CA270" s="38">
        <v>33.193565744938006</v>
      </c>
      <c r="CB270" s="38">
        <v>33.568772015452268</v>
      </c>
      <c r="CC270" s="38">
        <v>34.254744803298969</v>
      </c>
      <c r="CD270" s="38">
        <v>39.342872109418032</v>
      </c>
      <c r="CE270" s="85">
        <v>140.82264921890885</v>
      </c>
      <c r="CF270" s="38">
        <v>30.581029399124361</v>
      </c>
      <c r="CG270" s="38">
        <v>34.519349355130814</v>
      </c>
      <c r="CH270" s="38">
        <v>35.321244508172171</v>
      </c>
      <c r="CI270" s="38">
        <v>39.395385991074839</v>
      </c>
      <c r="CJ270" s="85">
        <v>139.67845335704189</v>
      </c>
      <c r="CK270" s="38">
        <v>33.47547891217102</v>
      </c>
      <c r="CL270" s="38">
        <v>34.648037646752421</v>
      </c>
      <c r="CM270" s="38">
        <v>35.416242498220356</v>
      </c>
      <c r="CN270" s="38">
        <v>40.667031839606054</v>
      </c>
      <c r="CO270" s="85">
        <v>144.20679089674985</v>
      </c>
      <c r="CP270" s="38">
        <v>34.334627188417464</v>
      </c>
      <c r="CQ270" s="38">
        <v>35.459630700128642</v>
      </c>
      <c r="CR270" s="38">
        <v>36.235172011109341</v>
      </c>
      <c r="CS270" s="38">
        <v>41.698762357662233</v>
      </c>
      <c r="CT270" s="85">
        <v>147.72819225731769</v>
      </c>
      <c r="CU270" s="38">
        <v>35.467324141768721</v>
      </c>
      <c r="CV270" s="38">
        <v>36.570675845789026</v>
      </c>
      <c r="CW270" s="38">
        <v>37.344498682205149</v>
      </c>
      <c r="CX270" s="38">
        <v>43.057286942890485</v>
      </c>
      <c r="CY270" s="85">
        <v>152.4397856126534</v>
      </c>
      <c r="CZ270" s="38">
        <v>36.576012393801264</v>
      </c>
      <c r="DA270" s="38">
        <v>37.633225188641667</v>
      </c>
      <c r="DB270" s="38">
        <v>38.385962093475911</v>
      </c>
      <c r="DC270" s="38">
        <v>44.328084583673153</v>
      </c>
      <c r="DD270" s="85">
        <v>156.92328425959201</v>
      </c>
      <c r="DE270" s="38">
        <v>37.587505413661461</v>
      </c>
      <c r="DF270" s="38">
        <v>38.590811462673635</v>
      </c>
      <c r="DG270" s="38">
        <v>39.320783297493065</v>
      </c>
      <c r="DH270" s="38">
        <v>45.445210662155105</v>
      </c>
      <c r="DI270" s="85">
        <v>160.94431083598329</v>
      </c>
      <c r="DJ270" s="38">
        <v>38.428426109919499</v>
      </c>
      <c r="DK270" s="38">
        <v>39.387204188592804</v>
      </c>
      <c r="DL270" s="38">
        <v>40.128826208176484</v>
      </c>
      <c r="DM270" s="38">
        <v>46.512756030409392</v>
      </c>
      <c r="DN270" s="85">
        <v>164.4572125370982</v>
      </c>
      <c r="DO270" s="38"/>
      <c r="DP270" s="38"/>
      <c r="DQ270" s="38"/>
      <c r="DR270" s="38"/>
      <c r="DS270" s="85"/>
      <c r="DT270" s="38"/>
      <c r="DU270" s="38"/>
      <c r="DV270" s="38"/>
      <c r="DW270" s="38"/>
      <c r="DX270" s="85"/>
      <c r="DY270" s="38"/>
      <c r="DZ270" s="38"/>
      <c r="EA270" s="38"/>
      <c r="EB270" s="38"/>
      <c r="EC270" s="85"/>
      <c r="ED270" s="38"/>
      <c r="EE270" s="21"/>
      <c r="EF270" s="373"/>
      <c r="EG270" s="16"/>
      <c r="EH270" s="16"/>
      <c r="EI270" s="16"/>
      <c r="EJ270" s="16"/>
      <c r="EK270" s="16"/>
      <c r="EL270" s="16"/>
      <c r="EM270" s="16"/>
      <c r="EN270" s="16"/>
      <c r="EO270" s="16"/>
      <c r="EP270" s="16"/>
      <c r="EQ270" s="16"/>
      <c r="ER270" s="16"/>
      <c r="ES270" s="16"/>
      <c r="ET270" s="16"/>
      <c r="EU270" s="16"/>
      <c r="EX270" s="16"/>
      <c r="EY270" s="228"/>
      <c r="EZ270" s="477"/>
      <c r="FA270" s="477"/>
      <c r="FB270" s="228"/>
      <c r="FC270" s="477"/>
      <c r="FD270" s="16"/>
    </row>
    <row r="271" spans="1:166" ht="15" hidden="1" customHeight="1" outlineLevel="1" x14ac:dyDescent="0.35">
      <c r="A271" s="94" t="s">
        <v>661</v>
      </c>
      <c r="B271" s="85"/>
      <c r="C271" s="89"/>
      <c r="D271" s="90"/>
      <c r="E271" s="90"/>
      <c r="F271" s="92"/>
      <c r="G271" s="85"/>
      <c r="H271" s="89"/>
      <c r="I271" s="90"/>
      <c r="J271" s="90"/>
      <c r="K271" s="90"/>
      <c r="L271" s="85"/>
      <c r="M271" s="90"/>
      <c r="N271" s="90"/>
      <c r="O271" s="90"/>
      <c r="P271" s="90"/>
      <c r="Q271" s="85"/>
      <c r="R271" s="38"/>
      <c r="S271" s="38"/>
      <c r="T271" s="38"/>
      <c r="U271" s="39"/>
      <c r="V271" s="85"/>
      <c r="W271" s="38"/>
      <c r="X271" s="38"/>
      <c r="Y271" s="38"/>
      <c r="Z271" s="39"/>
      <c r="AA271" s="54"/>
      <c r="AB271" s="87"/>
      <c r="AC271" s="38"/>
      <c r="AD271" s="38"/>
      <c r="AE271" s="38"/>
      <c r="AF271" s="85"/>
      <c r="AG271" s="38"/>
      <c r="AH271" s="38"/>
      <c r="AI271" s="38"/>
      <c r="AJ271" s="38"/>
      <c r="AK271" s="85"/>
      <c r="AL271" s="38"/>
      <c r="AM271" s="38"/>
      <c r="AN271" s="38"/>
      <c r="AO271" s="38"/>
      <c r="AP271" s="85"/>
      <c r="AQ271" s="38"/>
      <c r="AR271" s="38"/>
      <c r="AS271" s="38"/>
      <c r="AT271" s="38"/>
      <c r="AU271" s="86"/>
      <c r="AV271" s="45"/>
      <c r="AW271" s="38"/>
      <c r="AX271" s="38"/>
      <c r="AY271" s="38"/>
      <c r="AZ271" s="38"/>
      <c r="BA271" s="85"/>
      <c r="BB271" s="38"/>
      <c r="BC271" s="38"/>
      <c r="BD271" s="38"/>
      <c r="BE271" s="38"/>
      <c r="BF271" s="85"/>
      <c r="BG271" s="38"/>
      <c r="BH271" s="38"/>
      <c r="BI271" s="38"/>
      <c r="BJ271" s="38"/>
      <c r="BK271" s="85"/>
      <c r="BL271" s="38">
        <v>38.341447914523513</v>
      </c>
      <c r="BM271" s="38">
        <v>37.167545457875576</v>
      </c>
      <c r="BN271" s="38">
        <v>37.330933285213121</v>
      </c>
      <c r="BO271" s="38">
        <v>41.959418555750602</v>
      </c>
      <c r="BP271" s="85">
        <f>SUM(BL271:BO271)</f>
        <v>154.79934521336281</v>
      </c>
      <c r="BQ271" s="38">
        <v>35.578283436299266</v>
      </c>
      <c r="BR271" s="38">
        <v>36.895591356496467</v>
      </c>
      <c r="BS271" s="38">
        <v>38.302010178779625</v>
      </c>
      <c r="BT271" s="38">
        <v>54.1</v>
      </c>
      <c r="BU271" s="85">
        <f>SUM(BQ271:BT271)</f>
        <v>164.87588497157535</v>
      </c>
      <c r="BV271" s="1070">
        <v>0</v>
      </c>
      <c r="BW271" s="1070">
        <v>0</v>
      </c>
      <c r="BX271" s="1070">
        <v>0</v>
      </c>
      <c r="BY271" s="1070">
        <v>0</v>
      </c>
      <c r="BZ271" s="85">
        <f>SUM(BV271:BY271)</f>
        <v>0</v>
      </c>
      <c r="CA271" s="38">
        <v>0</v>
      </c>
      <c r="CB271" s="38">
        <v>0</v>
      </c>
      <c r="CC271" s="38">
        <v>0</v>
      </c>
      <c r="CD271" s="38">
        <v>0</v>
      </c>
      <c r="CE271" s="85">
        <f>SUM(CA271:CD271)</f>
        <v>0</v>
      </c>
      <c r="CF271" s="38">
        <v>0</v>
      </c>
      <c r="CG271" s="38">
        <v>0</v>
      </c>
      <c r="CH271" s="38">
        <v>0</v>
      </c>
      <c r="CI271" s="38">
        <v>0</v>
      </c>
      <c r="CJ271" s="85">
        <f>SUM(CF271:CI271)</f>
        <v>0</v>
      </c>
      <c r="CK271" s="38">
        <v>0</v>
      </c>
      <c r="CL271" s="38">
        <v>0</v>
      </c>
      <c r="CM271" s="38">
        <v>0</v>
      </c>
      <c r="CN271" s="38">
        <v>0</v>
      </c>
      <c r="CO271" s="85">
        <f>SUM(CK271:CN271)</f>
        <v>0</v>
      </c>
      <c r="CP271" s="38">
        <v>0</v>
      </c>
      <c r="CQ271" s="38">
        <v>0</v>
      </c>
      <c r="CR271" s="38">
        <v>0</v>
      </c>
      <c r="CS271" s="38">
        <v>0</v>
      </c>
      <c r="CT271" s="85">
        <f>SUM(CP271:CS271)</f>
        <v>0</v>
      </c>
      <c r="CU271" s="38">
        <v>0</v>
      </c>
      <c r="CV271" s="38">
        <v>0</v>
      </c>
      <c r="CW271" s="38">
        <v>0</v>
      </c>
      <c r="CX271" s="38">
        <v>0</v>
      </c>
      <c r="CY271" s="85">
        <f>SUM(CU271:CX271)</f>
        <v>0</v>
      </c>
      <c r="CZ271" s="38">
        <v>0</v>
      </c>
      <c r="DA271" s="38">
        <v>0</v>
      </c>
      <c r="DB271" s="38">
        <v>0</v>
      </c>
      <c r="DC271" s="38">
        <v>0</v>
      </c>
      <c r="DD271" s="85">
        <f>SUM(CZ271:DC271)</f>
        <v>0</v>
      </c>
      <c r="DE271" s="38">
        <v>0</v>
      </c>
      <c r="DF271" s="38">
        <v>0</v>
      </c>
      <c r="DG271" s="38">
        <v>0</v>
      </c>
      <c r="DH271" s="38">
        <v>0</v>
      </c>
      <c r="DI271" s="85">
        <f>SUM(DE271:DH271)</f>
        <v>0</v>
      </c>
      <c r="DJ271" s="38">
        <v>0</v>
      </c>
      <c r="DK271" s="38">
        <v>0</v>
      </c>
      <c r="DL271" s="38">
        <v>0</v>
      </c>
      <c r="DM271" s="38">
        <v>0</v>
      </c>
      <c r="DN271" s="85">
        <f>SUM(DJ271:DM271)</f>
        <v>0</v>
      </c>
      <c r="DO271" s="38"/>
      <c r="DP271" s="38"/>
      <c r="DQ271" s="38"/>
      <c r="DR271" s="38"/>
      <c r="DS271" s="85"/>
      <c r="DT271" s="38"/>
      <c r="DU271" s="38"/>
      <c r="DV271" s="38"/>
      <c r="DW271" s="38"/>
      <c r="DX271" s="85"/>
      <c r="DY271" s="38"/>
      <c r="DZ271" s="38"/>
      <c r="EA271" s="38"/>
      <c r="EB271" s="38"/>
      <c r="EC271" s="85"/>
      <c r="ED271" s="38"/>
      <c r="EE271" s="21"/>
      <c r="EF271" s="373"/>
      <c r="EG271" s="16"/>
      <c r="EH271" s="16"/>
      <c r="EI271" s="16"/>
      <c r="EJ271" s="16"/>
      <c r="EK271" s="16"/>
      <c r="EL271" s="16"/>
      <c r="EM271" s="16"/>
      <c r="EN271" s="16"/>
      <c r="EO271" s="16"/>
      <c r="EP271" s="16"/>
      <c r="EQ271" s="16"/>
      <c r="ER271" s="16"/>
      <c r="ES271" s="16"/>
      <c r="ET271" s="16"/>
      <c r="EU271" s="16"/>
      <c r="EX271" s="16"/>
      <c r="EY271" s="228"/>
      <c r="EZ271" s="477"/>
      <c r="FA271" s="477"/>
      <c r="FB271" s="228"/>
      <c r="FC271" s="477"/>
      <c r="FD271" s="16"/>
    </row>
    <row r="272" spans="1:166" s="1069" customFormat="1" ht="12.75" hidden="1" customHeight="1" outlineLevel="1" x14ac:dyDescent="0.35">
      <c r="A272" s="365" t="s">
        <v>39</v>
      </c>
      <c r="B272" s="50"/>
      <c r="C272" s="826"/>
      <c r="D272" s="827"/>
      <c r="E272" s="827"/>
      <c r="F272" s="828"/>
      <c r="G272" s="50"/>
      <c r="H272" s="826"/>
      <c r="I272" s="827"/>
      <c r="J272" s="827"/>
      <c r="K272" s="827"/>
      <c r="L272" s="50"/>
      <c r="M272" s="827"/>
      <c r="N272" s="827"/>
      <c r="O272" s="827"/>
      <c r="P272" s="827"/>
      <c r="Q272" s="50"/>
      <c r="R272" s="46"/>
      <c r="S272" s="46"/>
      <c r="T272" s="46"/>
      <c r="U272" s="47"/>
      <c r="V272" s="50"/>
      <c r="W272" s="46"/>
      <c r="X272" s="46"/>
      <c r="Y272" s="46"/>
      <c r="Z272" s="47"/>
      <c r="AA272" s="52"/>
      <c r="AB272" s="82"/>
      <c r="AC272" s="46"/>
      <c r="AD272" s="46"/>
      <c r="AE272" s="46"/>
      <c r="AF272" s="50"/>
      <c r="AG272" s="46"/>
      <c r="AH272" s="46"/>
      <c r="AI272" s="46"/>
      <c r="AJ272" s="46"/>
      <c r="AK272" s="50"/>
      <c r="AL272" s="46"/>
      <c r="AM272" s="46"/>
      <c r="AN272" s="46"/>
      <c r="AO272" s="46"/>
      <c r="AP272" s="50"/>
      <c r="AQ272" s="46"/>
      <c r="AR272" s="46"/>
      <c r="AS272" s="46"/>
      <c r="AT272" s="46"/>
      <c r="AU272" s="81"/>
      <c r="AV272" s="49"/>
      <c r="AW272" s="46"/>
      <c r="AX272" s="46"/>
      <c r="AY272" s="46"/>
      <c r="AZ272" s="46"/>
      <c r="BA272" s="50"/>
      <c r="BB272" s="46"/>
      <c r="BC272" s="46"/>
      <c r="BD272" s="46"/>
      <c r="BE272" s="46"/>
      <c r="BF272" s="50"/>
      <c r="BG272" s="46"/>
      <c r="BH272" s="46"/>
      <c r="BI272" s="46"/>
      <c r="BJ272" s="46"/>
      <c r="BK272" s="50"/>
      <c r="BL272" s="46">
        <f>BL271-BL270</f>
        <v>0</v>
      </c>
      <c r="BM272" s="46">
        <f t="shared" ref="BM272" si="1479">BM271-BM270</f>
        <v>0</v>
      </c>
      <c r="BN272" s="46">
        <f t="shared" ref="BN272" si="1480">BN271-BN270</f>
        <v>0</v>
      </c>
      <c r="BO272" s="46">
        <f t="shared" ref="BO272:BP272" si="1481">BO271-BO270</f>
        <v>0</v>
      </c>
      <c r="BP272" s="48">
        <f t="shared" si="1481"/>
        <v>-0.10165484202934749</v>
      </c>
      <c r="BQ272" s="46">
        <f>BQ271-BQ270</f>
        <v>0</v>
      </c>
      <c r="BR272" s="46">
        <f t="shared" ref="BR272" si="1482">BR271-BR270</f>
        <v>0</v>
      </c>
      <c r="BS272" s="46">
        <f t="shared" ref="BS272" si="1483">BS271-BS270</f>
        <v>0</v>
      </c>
      <c r="BT272" s="46">
        <f t="shared" ref="BT272" si="1484">BT271-BT270</f>
        <v>12.510369052482432</v>
      </c>
      <c r="BU272" s="48">
        <f t="shared" ref="BU272" si="1485">BU271-BU270</f>
        <v>12.349813018954137</v>
      </c>
      <c r="BV272" s="1071">
        <f>BV271-BV270</f>
        <v>-33.193565744938006</v>
      </c>
      <c r="BW272" s="1071">
        <f t="shared" ref="BW272:BZ272" si="1486">BW271-BW270</f>
        <v>-33.568772015452268</v>
      </c>
      <c r="BX272" s="1071">
        <f t="shared" si="1486"/>
        <v>-34.254744803298969</v>
      </c>
      <c r="BY272" s="1071">
        <f t="shared" si="1486"/>
        <v>-39.342872109418032</v>
      </c>
      <c r="BZ272" s="48">
        <f t="shared" si="1486"/>
        <v>-140.82264921890885</v>
      </c>
      <c r="CA272" s="46">
        <f>CA271-CA270</f>
        <v>-33.193565744938006</v>
      </c>
      <c r="CB272" s="46">
        <f t="shared" ref="CB272" si="1487">CB271-CB270</f>
        <v>-33.568772015452268</v>
      </c>
      <c r="CC272" s="46">
        <f t="shared" ref="CC272" si="1488">CC271-CC270</f>
        <v>-34.254744803298969</v>
      </c>
      <c r="CD272" s="46">
        <f t="shared" ref="CD272" si="1489">CD271-CD270</f>
        <v>-39.342872109418032</v>
      </c>
      <c r="CE272" s="48">
        <f t="shared" ref="CE272" si="1490">CE271-CE270</f>
        <v>-140.82264921890885</v>
      </c>
      <c r="CF272" s="46">
        <f>CF271-CF270</f>
        <v>-30.581029399124361</v>
      </c>
      <c r="CG272" s="46">
        <f t="shared" ref="CG272" si="1491">CG271-CG270</f>
        <v>-34.519349355130814</v>
      </c>
      <c r="CH272" s="46">
        <f t="shared" ref="CH272" si="1492">CH271-CH270</f>
        <v>-35.321244508172171</v>
      </c>
      <c r="CI272" s="46">
        <f t="shared" ref="CI272" si="1493">CI271-CI270</f>
        <v>-39.395385991074839</v>
      </c>
      <c r="CJ272" s="48">
        <f t="shared" ref="CJ272" si="1494">CJ271-CJ270</f>
        <v>-139.67845335704189</v>
      </c>
      <c r="CK272" s="46">
        <f>CK271-CK270</f>
        <v>-33.47547891217102</v>
      </c>
      <c r="CL272" s="46">
        <f t="shared" ref="CL272" si="1495">CL271-CL270</f>
        <v>-34.648037646752421</v>
      </c>
      <c r="CM272" s="46">
        <f t="shared" ref="CM272" si="1496">CM271-CM270</f>
        <v>-35.416242498220356</v>
      </c>
      <c r="CN272" s="46">
        <f t="shared" ref="CN272" si="1497">CN271-CN270</f>
        <v>-40.667031839606054</v>
      </c>
      <c r="CO272" s="48">
        <f t="shared" ref="CO272" si="1498">CO271-CO270</f>
        <v>-144.20679089674985</v>
      </c>
      <c r="CP272" s="46">
        <f>CP271-CP270</f>
        <v>-34.334627188417464</v>
      </c>
      <c r="CQ272" s="46">
        <f t="shared" ref="CQ272" si="1499">CQ271-CQ270</f>
        <v>-35.459630700128642</v>
      </c>
      <c r="CR272" s="46">
        <f t="shared" ref="CR272" si="1500">CR271-CR270</f>
        <v>-36.235172011109341</v>
      </c>
      <c r="CS272" s="46">
        <f t="shared" ref="CS272" si="1501">CS271-CS270</f>
        <v>-41.698762357662233</v>
      </c>
      <c r="CT272" s="48">
        <f t="shared" ref="CT272" si="1502">CT271-CT270</f>
        <v>-147.72819225731769</v>
      </c>
      <c r="CU272" s="46">
        <f>CU271-CU270</f>
        <v>-35.467324141768721</v>
      </c>
      <c r="CV272" s="46">
        <f t="shared" ref="CV272" si="1503">CV271-CV270</f>
        <v>-36.570675845789026</v>
      </c>
      <c r="CW272" s="46">
        <f t="shared" ref="CW272" si="1504">CW271-CW270</f>
        <v>-37.344498682205149</v>
      </c>
      <c r="CX272" s="46">
        <f t="shared" ref="CX272" si="1505">CX271-CX270</f>
        <v>-43.057286942890485</v>
      </c>
      <c r="CY272" s="48">
        <f t="shared" ref="CY272" si="1506">CY271-CY270</f>
        <v>-152.4397856126534</v>
      </c>
      <c r="CZ272" s="46">
        <f>CZ271-CZ270</f>
        <v>-36.576012393801264</v>
      </c>
      <c r="DA272" s="46">
        <f t="shared" ref="DA272" si="1507">DA271-DA270</f>
        <v>-37.633225188641667</v>
      </c>
      <c r="DB272" s="46">
        <f t="shared" ref="DB272" si="1508">DB271-DB270</f>
        <v>-38.385962093475911</v>
      </c>
      <c r="DC272" s="46">
        <f t="shared" ref="DC272" si="1509">DC271-DC270</f>
        <v>-44.328084583673153</v>
      </c>
      <c r="DD272" s="48">
        <f t="shared" ref="DD272" si="1510">DD271-DD270</f>
        <v>-156.92328425959201</v>
      </c>
      <c r="DE272" s="46">
        <f>DE271-DE270</f>
        <v>-37.587505413661461</v>
      </c>
      <c r="DF272" s="46">
        <f t="shared" ref="DF272" si="1511">DF271-DF270</f>
        <v>-38.590811462673635</v>
      </c>
      <c r="DG272" s="46">
        <f t="shared" ref="DG272" si="1512">DG271-DG270</f>
        <v>-39.320783297493065</v>
      </c>
      <c r="DH272" s="46">
        <f t="shared" ref="DH272" si="1513">DH271-DH270</f>
        <v>-45.445210662155105</v>
      </c>
      <c r="DI272" s="48">
        <f t="shared" ref="DI272" si="1514">DI271-DI270</f>
        <v>-160.94431083598329</v>
      </c>
      <c r="DJ272" s="46">
        <f>DJ271-DJ270</f>
        <v>-38.428426109919499</v>
      </c>
      <c r="DK272" s="46">
        <f t="shared" ref="DK272" si="1515">DK271-DK270</f>
        <v>-39.387204188592804</v>
      </c>
      <c r="DL272" s="46">
        <f t="shared" ref="DL272" si="1516">DL271-DL270</f>
        <v>-40.128826208176484</v>
      </c>
      <c r="DM272" s="46">
        <f t="shared" ref="DM272" si="1517">DM271-DM270</f>
        <v>-46.512756030409392</v>
      </c>
      <c r="DN272" s="48">
        <f t="shared" ref="DN272" si="1518">DN271-DN270</f>
        <v>-164.4572125370982</v>
      </c>
      <c r="DO272" s="46"/>
      <c r="DP272" s="46"/>
      <c r="DQ272" s="46"/>
      <c r="DR272" s="46"/>
      <c r="DS272" s="48"/>
      <c r="DT272" s="46"/>
      <c r="DU272" s="46"/>
      <c r="DV272" s="46"/>
      <c r="DW272" s="46"/>
      <c r="DX272" s="50"/>
      <c r="DY272" s="46"/>
      <c r="DZ272" s="46"/>
      <c r="EA272" s="46"/>
      <c r="EB272" s="46"/>
      <c r="EC272" s="50"/>
      <c r="ED272" s="46"/>
      <c r="EE272" s="37"/>
      <c r="EF272" s="286"/>
      <c r="EG272" s="25"/>
      <c r="EH272" s="25"/>
      <c r="EI272" s="25"/>
      <c r="EJ272" s="25"/>
      <c r="EK272" s="25"/>
      <c r="EL272" s="25"/>
      <c r="EM272" s="25"/>
      <c r="EN272" s="25"/>
      <c r="EO272" s="25"/>
      <c r="EP272" s="25"/>
      <c r="EQ272" s="25"/>
      <c r="ER272" s="25"/>
      <c r="ES272" s="25"/>
      <c r="ET272" s="25"/>
      <c r="EU272" s="25"/>
      <c r="EX272" s="25"/>
      <c r="EY272" s="294"/>
      <c r="EZ272" s="985"/>
      <c r="FA272" s="985"/>
      <c r="FB272" s="294"/>
      <c r="FC272" s="985"/>
      <c r="FD272" s="25"/>
      <c r="FE272"/>
      <c r="FF272"/>
      <c r="FG272"/>
      <c r="FH272"/>
      <c r="FI272"/>
      <c r="FJ272"/>
    </row>
    <row r="273" spans="1:16357" s="1069" customFormat="1" ht="12.75" hidden="1" customHeight="1" outlineLevel="1" x14ac:dyDescent="0.35">
      <c r="A273" s="365"/>
      <c r="B273" s="50"/>
      <c r="C273" s="826"/>
      <c r="D273" s="827"/>
      <c r="E273" s="827"/>
      <c r="F273" s="828"/>
      <c r="G273" s="50"/>
      <c r="H273" s="826"/>
      <c r="I273" s="827"/>
      <c r="J273" s="827"/>
      <c r="K273" s="827"/>
      <c r="L273" s="50"/>
      <c r="M273" s="827"/>
      <c r="N273" s="827"/>
      <c r="O273" s="827"/>
      <c r="P273" s="827"/>
      <c r="Q273" s="50"/>
      <c r="R273" s="46"/>
      <c r="S273" s="46"/>
      <c r="T273" s="46"/>
      <c r="U273" s="47"/>
      <c r="V273" s="50"/>
      <c r="W273" s="46"/>
      <c r="X273" s="46"/>
      <c r="Y273" s="46"/>
      <c r="Z273" s="47"/>
      <c r="AA273" s="52"/>
      <c r="AB273" s="82"/>
      <c r="AC273" s="46"/>
      <c r="AD273" s="46"/>
      <c r="AE273" s="46"/>
      <c r="AF273" s="50"/>
      <c r="AG273" s="46"/>
      <c r="AH273" s="46"/>
      <c r="AI273" s="46"/>
      <c r="AJ273" s="46"/>
      <c r="AK273" s="50"/>
      <c r="AL273" s="46"/>
      <c r="AM273" s="46"/>
      <c r="AN273" s="46"/>
      <c r="AO273" s="46"/>
      <c r="AP273" s="50"/>
      <c r="AQ273" s="46"/>
      <c r="AR273" s="46"/>
      <c r="AS273" s="46"/>
      <c r="AT273" s="46"/>
      <c r="AU273" s="81"/>
      <c r="AV273" s="49"/>
      <c r="AW273" s="46"/>
      <c r="AX273" s="46"/>
      <c r="AY273" s="46"/>
      <c r="AZ273" s="46"/>
      <c r="BA273" s="50"/>
      <c r="BB273" s="46"/>
      <c r="BC273" s="46"/>
      <c r="BD273" s="46"/>
      <c r="BE273" s="46"/>
      <c r="BF273" s="50"/>
      <c r="BG273" s="46"/>
      <c r="BH273" s="46"/>
      <c r="BI273" s="46"/>
      <c r="BJ273" s="46"/>
      <c r="BK273" s="50"/>
      <c r="BL273" s="440"/>
      <c r="BM273" s="38"/>
      <c r="BN273" s="38"/>
      <c r="BO273" s="38"/>
      <c r="BP273" s="85"/>
      <c r="BQ273" s="440"/>
      <c r="BR273" s="38"/>
      <c r="BS273" s="38"/>
      <c r="BT273" s="38"/>
      <c r="BU273" s="85"/>
      <c r="BV273" s="1300"/>
      <c r="BW273" s="1070"/>
      <c r="BX273" s="1070"/>
      <c r="BY273" s="1070"/>
      <c r="BZ273" s="85"/>
      <c r="CA273" s="38"/>
      <c r="CB273" s="38"/>
      <c r="CC273" s="38"/>
      <c r="CD273" s="38"/>
      <c r="CE273" s="85"/>
      <c r="CF273" s="38"/>
      <c r="CG273" s="38"/>
      <c r="CH273" s="38"/>
      <c r="CI273" s="38"/>
      <c r="CJ273" s="85"/>
      <c r="CK273" s="38"/>
      <c r="CL273" s="38"/>
      <c r="CM273" s="38"/>
      <c r="CN273" s="38"/>
      <c r="CO273" s="85"/>
      <c r="CP273" s="38"/>
      <c r="CQ273" s="38"/>
      <c r="CR273" s="38"/>
      <c r="CS273" s="38"/>
      <c r="CT273" s="85"/>
      <c r="CU273" s="38"/>
      <c r="CV273" s="38"/>
      <c r="CW273" s="38"/>
      <c r="CX273" s="38"/>
      <c r="CY273" s="85"/>
      <c r="CZ273" s="38"/>
      <c r="DA273" s="38"/>
      <c r="DB273" s="38"/>
      <c r="DC273" s="38"/>
      <c r="DD273" s="85"/>
      <c r="DE273" s="38"/>
      <c r="DF273" s="38"/>
      <c r="DG273" s="38"/>
      <c r="DH273" s="38"/>
      <c r="DI273" s="85"/>
      <c r="DJ273" s="38"/>
      <c r="DK273" s="38"/>
      <c r="DL273" s="38"/>
      <c r="DM273" s="38"/>
      <c r="DN273" s="85"/>
      <c r="DO273" s="38"/>
      <c r="DP273" s="38"/>
      <c r="DQ273" s="38"/>
      <c r="DR273" s="38"/>
      <c r="DS273" s="85"/>
      <c r="DT273" s="38"/>
      <c r="DU273" s="38"/>
      <c r="DV273" s="38"/>
      <c r="DW273" s="38"/>
      <c r="DX273" s="85"/>
      <c r="DY273" s="38"/>
      <c r="DZ273" s="38"/>
      <c r="EA273" s="38"/>
      <c r="EB273" s="38"/>
      <c r="EC273" s="85"/>
      <c r="ED273" s="46"/>
      <c r="EE273" s="37"/>
      <c r="EF273" s="286"/>
      <c r="EG273" s="25"/>
      <c r="EH273" s="25"/>
      <c r="EI273" s="25"/>
      <c r="EJ273" s="25"/>
      <c r="EK273" s="25"/>
      <c r="EL273" s="25"/>
      <c r="EM273" s="25"/>
      <c r="EN273" s="25"/>
      <c r="EO273" s="25"/>
      <c r="EP273" s="25"/>
      <c r="EQ273" s="25"/>
      <c r="ER273" s="25"/>
      <c r="ES273" s="25"/>
      <c r="ET273" s="25"/>
      <c r="EU273" s="25"/>
      <c r="EX273" s="25"/>
      <c r="EY273" s="294"/>
      <c r="EZ273" s="985"/>
      <c r="FA273" s="985"/>
      <c r="FB273" s="294"/>
      <c r="FC273" s="985"/>
      <c r="FD273" s="25"/>
      <c r="FE273"/>
      <c r="FF273"/>
      <c r="FG273"/>
      <c r="FH273"/>
      <c r="FI273"/>
      <c r="FJ273"/>
    </row>
    <row r="274" spans="1:16357" ht="12.75" hidden="1" customHeight="1" outlineLevel="1" x14ac:dyDescent="0.35">
      <c r="A274" s="365" t="s">
        <v>705</v>
      </c>
      <c r="B274" s="85"/>
      <c r="C274" s="89"/>
      <c r="D274" s="90"/>
      <c r="E274" s="90"/>
      <c r="F274" s="92"/>
      <c r="G274" s="85"/>
      <c r="H274" s="89"/>
      <c r="I274" s="90"/>
      <c r="J274" s="90"/>
      <c r="K274" s="90"/>
      <c r="L274" s="85"/>
      <c r="M274" s="90"/>
      <c r="N274" s="90"/>
      <c r="O274" s="90"/>
      <c r="P274" s="90"/>
      <c r="Q274" s="85"/>
      <c r="R274" s="38"/>
      <c r="S274" s="38"/>
      <c r="T274" s="38"/>
      <c r="U274" s="39"/>
      <c r="V274" s="85"/>
      <c r="W274" s="38"/>
      <c r="X274" s="38"/>
      <c r="Y274" s="38"/>
      <c r="Z274" s="39"/>
      <c r="AA274" s="54"/>
      <c r="AB274" s="87"/>
      <c r="AC274" s="38"/>
      <c r="AD274" s="38"/>
      <c r="AE274" s="38"/>
      <c r="AF274" s="85"/>
      <c r="AG274" s="38"/>
      <c r="AH274" s="38"/>
      <c r="AI274" s="38"/>
      <c r="AJ274" s="38"/>
      <c r="AK274" s="85"/>
      <c r="AL274" s="38"/>
      <c r="AM274" s="38"/>
      <c r="AN274" s="38"/>
      <c r="AO274" s="38"/>
      <c r="AP274" s="85"/>
      <c r="AQ274" s="38"/>
      <c r="AR274" s="38"/>
      <c r="AS274" s="38"/>
      <c r="AT274" s="38"/>
      <c r="AU274" s="86"/>
      <c r="AV274" s="45"/>
      <c r="AW274" s="38"/>
      <c r="AX274" s="38"/>
      <c r="AY274" s="38"/>
      <c r="AZ274" s="38"/>
      <c r="BA274" s="85"/>
      <c r="BB274" s="38"/>
      <c r="BC274" s="38"/>
      <c r="BD274" s="38"/>
      <c r="BE274" s="38"/>
      <c r="BF274" s="85"/>
      <c r="BG274" s="38"/>
      <c r="BH274" s="38"/>
      <c r="BI274" s="38"/>
      <c r="BJ274" s="38"/>
      <c r="BK274" s="85"/>
      <c r="BL274" s="38"/>
      <c r="BM274" s="38"/>
      <c r="BN274" s="38"/>
      <c r="BO274" s="38"/>
      <c r="BP274" s="85"/>
      <c r="BQ274" s="38"/>
      <c r="BR274" s="38"/>
      <c r="BS274" s="38"/>
      <c r="BT274" s="38"/>
      <c r="BU274" s="85"/>
      <c r="BV274" s="1070"/>
      <c r="BW274" s="1070"/>
      <c r="BX274" s="1070"/>
      <c r="BY274" s="1070"/>
      <c r="BZ274" s="85"/>
      <c r="CA274" s="38"/>
      <c r="CB274" s="38"/>
      <c r="CC274" s="38"/>
      <c r="CD274" s="38"/>
      <c r="CE274" s="85"/>
      <c r="CF274" s="38"/>
      <c r="CG274" s="38"/>
      <c r="CH274" s="38"/>
      <c r="CI274" s="38"/>
      <c r="CJ274" s="85"/>
      <c r="CK274" s="38"/>
      <c r="CL274" s="38"/>
      <c r="CM274" s="38"/>
      <c r="CN274" s="38"/>
      <c r="CO274" s="85"/>
      <c r="CP274" s="38"/>
      <c r="CQ274" s="38"/>
      <c r="CR274" s="38"/>
      <c r="CS274" s="38"/>
      <c r="CT274" s="85"/>
      <c r="CU274" s="38"/>
      <c r="CV274" s="38"/>
      <c r="CW274" s="38"/>
      <c r="CX274" s="38"/>
      <c r="CY274" s="85"/>
      <c r="CZ274" s="38"/>
      <c r="DA274" s="38"/>
      <c r="DB274" s="38"/>
      <c r="DC274" s="38"/>
      <c r="DD274" s="85"/>
      <c r="DE274" s="38"/>
      <c r="DF274" s="38"/>
      <c r="DG274" s="38"/>
      <c r="DH274" s="38"/>
      <c r="DI274" s="85"/>
      <c r="DJ274" s="38"/>
      <c r="DK274" s="38"/>
      <c r="DL274" s="38"/>
      <c r="DM274" s="38"/>
      <c r="DN274" s="85"/>
      <c r="DO274" s="38"/>
      <c r="DP274" s="38"/>
      <c r="DQ274" s="38"/>
      <c r="DR274" s="38"/>
      <c r="DS274" s="85"/>
      <c r="DT274" s="38"/>
      <c r="DU274" s="38"/>
      <c r="DV274" s="38"/>
      <c r="DW274" s="38"/>
      <c r="DX274" s="85"/>
      <c r="DY274" s="38"/>
      <c r="DZ274" s="38"/>
      <c r="EA274" s="38"/>
      <c r="EB274" s="38"/>
      <c r="EC274" s="85"/>
      <c r="ED274" s="38"/>
      <c r="EE274" s="21"/>
      <c r="EF274" s="373"/>
      <c r="EG274" s="16"/>
      <c r="EH274" s="16"/>
      <c r="EI274" s="16"/>
      <c r="EJ274" s="16"/>
      <c r="EK274" s="16"/>
      <c r="EL274" s="16"/>
      <c r="EM274" s="16"/>
      <c r="EN274" s="16"/>
      <c r="EO274" s="16"/>
      <c r="EP274" s="16"/>
      <c r="EQ274" s="16"/>
      <c r="ER274" s="16"/>
      <c r="ES274" s="16"/>
      <c r="ET274" s="16"/>
      <c r="EU274" s="16"/>
      <c r="EX274" s="16"/>
      <c r="EY274" s="228"/>
      <c r="EZ274" s="477"/>
      <c r="FA274" s="477"/>
      <c r="FB274" s="228"/>
      <c r="FC274" s="477"/>
      <c r="FD274" s="16"/>
    </row>
    <row r="275" spans="1:16357" ht="15" hidden="1" customHeight="1" outlineLevel="1" x14ac:dyDescent="0.35">
      <c r="A275" s="94" t="s">
        <v>660</v>
      </c>
      <c r="B275" s="85"/>
      <c r="C275" s="89"/>
      <c r="D275" s="90"/>
      <c r="E275" s="90"/>
      <c r="F275" s="92"/>
      <c r="G275" s="85"/>
      <c r="H275" s="89"/>
      <c r="I275" s="90"/>
      <c r="J275" s="90"/>
      <c r="K275" s="90"/>
      <c r="L275" s="85"/>
      <c r="M275" s="90"/>
      <c r="N275" s="90"/>
      <c r="O275" s="90"/>
      <c r="P275" s="90"/>
      <c r="Q275" s="85"/>
      <c r="R275" s="38"/>
      <c r="S275" s="38"/>
      <c r="T275" s="38"/>
      <c r="U275" s="39"/>
      <c r="V275" s="85"/>
      <c r="W275" s="38"/>
      <c r="X275" s="38"/>
      <c r="Y275" s="38"/>
      <c r="Z275" s="39"/>
      <c r="AA275" s="54"/>
      <c r="AB275" s="87"/>
      <c r="AC275" s="38"/>
      <c r="AD275" s="38"/>
      <c r="AE275" s="38"/>
      <c r="AF275" s="85"/>
      <c r="AG275" s="38"/>
      <c r="AH275" s="38"/>
      <c r="AI275" s="38"/>
      <c r="AJ275" s="38"/>
      <c r="AK275" s="85"/>
      <c r="AL275" s="38"/>
      <c r="AM275" s="38"/>
      <c r="AN275" s="38"/>
      <c r="AO275" s="38"/>
      <c r="AP275" s="85"/>
      <c r="AQ275" s="38"/>
      <c r="AR275" s="38"/>
      <c r="AS275" s="38"/>
      <c r="AT275" s="38"/>
      <c r="AU275" s="86"/>
      <c r="AV275" s="45"/>
      <c r="AW275" s="38"/>
      <c r="AX275" s="38"/>
      <c r="AY275" s="38"/>
      <c r="AZ275" s="38"/>
      <c r="BA275" s="85"/>
      <c r="BB275" s="38"/>
      <c r="BC275" s="38"/>
      <c r="BD275" s="38"/>
      <c r="BE275" s="38"/>
      <c r="BF275" s="85"/>
      <c r="BG275" s="38"/>
      <c r="BH275" s="38"/>
      <c r="BI275" s="38"/>
      <c r="BJ275" s="38"/>
      <c r="BK275" s="85"/>
      <c r="BL275" s="38">
        <v>38.667999999999999</v>
      </c>
      <c r="BM275" s="38">
        <v>38.037999999999997</v>
      </c>
      <c r="BN275" s="38">
        <v>38.786999999999999</v>
      </c>
      <c r="BO275" s="38">
        <v>44.03</v>
      </c>
      <c r="BP275" s="85">
        <f>SUM(BL275:BO275)</f>
        <v>159.523</v>
      </c>
      <c r="BQ275" s="38">
        <v>39.219000000000001</v>
      </c>
      <c r="BR275" s="38">
        <v>40.241</v>
      </c>
      <c r="BS275" s="38">
        <v>41.680999999999997</v>
      </c>
      <c r="BT275" s="38">
        <v>47.239431305747104</v>
      </c>
      <c r="BU275" s="85">
        <f>SUM(BQ275:BT275)</f>
        <v>168.38043130574709</v>
      </c>
      <c r="BV275" s="1070">
        <v>41.105659182917528</v>
      </c>
      <c r="BW275" s="1070">
        <v>41.282808585604577</v>
      </c>
      <c r="BX275" s="1070">
        <v>44.836353493714967</v>
      </c>
      <c r="BY275" s="1070">
        <v>52.544415183639323</v>
      </c>
      <c r="BZ275" s="85">
        <f>SUM(BV275:BY275)</f>
        <v>179.7692364458764</v>
      </c>
      <c r="CA275" s="38">
        <v>41.105659182917528</v>
      </c>
      <c r="CB275" s="38">
        <v>41.282808585604577</v>
      </c>
      <c r="CC275" s="38">
        <v>44.836353493714967</v>
      </c>
      <c r="CD275" s="38">
        <v>52.544415183639323</v>
      </c>
      <c r="CE275" s="85">
        <f>SUM(CA275:CD275)</f>
        <v>179.7692364458764</v>
      </c>
      <c r="CF275" s="38">
        <v>41.953598532666064</v>
      </c>
      <c r="CG275" s="38">
        <v>44.497001977601684</v>
      </c>
      <c r="CH275" s="38">
        <v>46.068795306216458</v>
      </c>
      <c r="CI275" s="38">
        <v>51.382616850102963</v>
      </c>
      <c r="CJ275" s="85">
        <f>SUM(CF275:CI275)</f>
        <v>183.90201266658715</v>
      </c>
      <c r="CK275" s="38">
        <v>43.661400023024783</v>
      </c>
      <c r="CL275" s="38">
        <v>45.190745012991052</v>
      </c>
      <c r="CM275" s="38">
        <v>46.192699291451724</v>
      </c>
      <c r="CN275" s="38">
        <v>53.041199188118554</v>
      </c>
      <c r="CO275" s="85">
        <f>SUM(CK275:CN275)</f>
        <v>188.08604351558611</v>
      </c>
      <c r="CP275" s="38">
        <v>44.781969998041625</v>
      </c>
      <c r="CQ275" s="38">
        <v>46.249289658531097</v>
      </c>
      <c r="CR275" s="38">
        <v>47.260812734928315</v>
      </c>
      <c r="CS275" s="38">
        <v>54.386864741791491</v>
      </c>
      <c r="CT275" s="85">
        <f>SUM(CP275:CS275)</f>
        <v>192.67893713329255</v>
      </c>
      <c r="CU275" s="38">
        <v>46.259324061142117</v>
      </c>
      <c r="CV275" s="38">
        <v>47.698403700352337</v>
      </c>
      <c r="CW275" s="38">
        <v>48.707685404621913</v>
      </c>
      <c r="CX275" s="38">
        <v>56.15876128470245</v>
      </c>
      <c r="CY275" s="85">
        <f>SUM(CU275:CX275)</f>
        <v>198.82417445081882</v>
      </c>
      <c r="CZ275" s="38">
        <v>47.705364053574343</v>
      </c>
      <c r="DA275" s="38">
        <v>49.084265633028792</v>
      </c>
      <c r="DB275" s="38">
        <v>50.06604537695091</v>
      </c>
      <c r="DC275" s="38">
        <v>57.816237322255276</v>
      </c>
      <c r="DD275" s="85">
        <f>SUM(CZ275:DC275)</f>
        <v>204.67191238580932</v>
      </c>
      <c r="DE275" s="38">
        <v>49.024634241656891</v>
      </c>
      <c r="DF275" s="38">
        <v>50.333226326817893</v>
      </c>
      <c r="DG275" s="38">
        <v>51.285314043597495</v>
      </c>
      <c r="DH275" s="38">
        <v>59.273282603570721</v>
      </c>
      <c r="DI275" s="85">
        <f>SUM(DE275:DH275)</f>
        <v>209.91645721564302</v>
      </c>
      <c r="DJ275" s="38">
        <v>50.121430347346475</v>
      </c>
      <c r="DK275" s="38">
        <v>51.371945488178177</v>
      </c>
      <c r="DL275" s="38">
        <v>52.339228308772974</v>
      </c>
      <c r="DM275" s="38">
        <v>60.66566075261435</v>
      </c>
      <c r="DN275" s="85">
        <f>SUM(DJ275:DM275)</f>
        <v>214.49826489691199</v>
      </c>
      <c r="DO275" s="38"/>
      <c r="DP275" s="38"/>
      <c r="DQ275" s="38"/>
      <c r="DR275" s="38"/>
      <c r="DS275" s="85"/>
      <c r="DT275" s="38"/>
      <c r="DU275" s="38"/>
      <c r="DV275" s="38"/>
      <c r="DW275" s="38"/>
      <c r="DX275" s="85"/>
      <c r="DY275" s="38"/>
      <c r="DZ275" s="38"/>
      <c r="EA275" s="38"/>
      <c r="EB275" s="38"/>
      <c r="EC275" s="85"/>
      <c r="ED275" s="38"/>
      <c r="EE275" s="21"/>
      <c r="EF275" s="373"/>
      <c r="EG275" s="16"/>
      <c r="EH275" s="16"/>
      <c r="EI275" s="16"/>
      <c r="EJ275" s="16"/>
      <c r="EK275" s="16"/>
      <c r="EL275" s="16"/>
      <c r="EM275" s="16"/>
      <c r="EN275" s="16"/>
      <c r="EO275" s="16"/>
      <c r="EP275" s="16"/>
      <c r="EQ275" s="16"/>
      <c r="ER275" s="16"/>
      <c r="ES275" s="16"/>
      <c r="ET275" s="16"/>
      <c r="EU275" s="16"/>
      <c r="EX275" s="16"/>
      <c r="EY275" s="228"/>
      <c r="EZ275" s="477"/>
      <c r="FA275" s="477"/>
      <c r="FB275" s="228"/>
      <c r="FC275" s="477"/>
      <c r="FD275" s="16"/>
    </row>
    <row r="276" spans="1:16357" ht="15" hidden="1" customHeight="1" outlineLevel="1" x14ac:dyDescent="0.35">
      <c r="A276" s="94" t="s">
        <v>661</v>
      </c>
      <c r="B276" s="85"/>
      <c r="C276" s="89"/>
      <c r="D276" s="90"/>
      <c r="E276" s="90"/>
      <c r="F276" s="92"/>
      <c r="G276" s="85"/>
      <c r="H276" s="89"/>
      <c r="I276" s="90"/>
      <c r="J276" s="90"/>
      <c r="K276" s="90"/>
      <c r="L276" s="85"/>
      <c r="M276" s="90"/>
      <c r="N276" s="90"/>
      <c r="O276" s="90"/>
      <c r="P276" s="90"/>
      <c r="Q276" s="85"/>
      <c r="R276" s="38"/>
      <c r="S276" s="38"/>
      <c r="T276" s="38"/>
      <c r="U276" s="39"/>
      <c r="V276" s="85"/>
      <c r="W276" s="38"/>
      <c r="X276" s="38"/>
      <c r="Y276" s="38"/>
      <c r="Z276" s="39"/>
      <c r="AA276" s="54"/>
      <c r="AB276" s="87"/>
      <c r="AC276" s="38"/>
      <c r="AD276" s="38"/>
      <c r="AE276" s="38"/>
      <c r="AF276" s="85"/>
      <c r="AG276" s="38"/>
      <c r="AH276" s="38"/>
      <c r="AI276" s="38"/>
      <c r="AJ276" s="38"/>
      <c r="AK276" s="85"/>
      <c r="AL276" s="38"/>
      <c r="AM276" s="38"/>
      <c r="AN276" s="38"/>
      <c r="AO276" s="38"/>
      <c r="AP276" s="85"/>
      <c r="AQ276" s="38"/>
      <c r="AR276" s="38"/>
      <c r="AS276" s="38"/>
      <c r="AT276" s="38"/>
      <c r="AU276" s="86"/>
      <c r="AV276" s="45"/>
      <c r="AW276" s="38"/>
      <c r="AX276" s="38"/>
      <c r="AY276" s="38"/>
      <c r="AZ276" s="38"/>
      <c r="BA276" s="85"/>
      <c r="BB276" s="38"/>
      <c r="BC276" s="38"/>
      <c r="BD276" s="38"/>
      <c r="BE276" s="38"/>
      <c r="BF276" s="85"/>
      <c r="BG276" s="38"/>
      <c r="BH276" s="38"/>
      <c r="BI276" s="38"/>
      <c r="BJ276" s="38"/>
      <c r="BK276" s="85"/>
      <c r="BL276" s="38">
        <v>38.667999999999999</v>
      </c>
      <c r="BM276" s="38">
        <v>38.037999999999997</v>
      </c>
      <c r="BN276" s="38">
        <v>38.786999999999999</v>
      </c>
      <c r="BO276" s="38">
        <v>44.03</v>
      </c>
      <c r="BP276" s="85">
        <f>SUM(BL276:BO276)</f>
        <v>159.523</v>
      </c>
      <c r="BQ276" s="38">
        <v>39.219000000000001</v>
      </c>
      <c r="BR276" s="38">
        <v>40.241</v>
      </c>
      <c r="BS276" s="38">
        <v>41.680999999999997</v>
      </c>
      <c r="BT276" s="38">
        <v>61.449288570651809</v>
      </c>
      <c r="BU276" s="85">
        <f>SUM(BQ276:BT276)</f>
        <v>182.59028857065181</v>
      </c>
      <c r="BV276" s="1070">
        <v>0</v>
      </c>
      <c r="BW276" s="1070">
        <v>0</v>
      </c>
      <c r="BX276" s="1070">
        <v>0</v>
      </c>
      <c r="BY276" s="1070">
        <v>0</v>
      </c>
      <c r="BZ276" s="85">
        <f>SUM(BV276:BY276)</f>
        <v>0</v>
      </c>
      <c r="CA276" s="38">
        <v>0</v>
      </c>
      <c r="CB276" s="38">
        <v>0</v>
      </c>
      <c r="CC276" s="38">
        <v>0</v>
      </c>
      <c r="CD276" s="38">
        <v>0</v>
      </c>
      <c r="CE276" s="85">
        <f>SUM(CA276:CD276)</f>
        <v>0</v>
      </c>
      <c r="CF276" s="38">
        <v>0</v>
      </c>
      <c r="CG276" s="38">
        <v>0</v>
      </c>
      <c r="CH276" s="38">
        <v>0</v>
      </c>
      <c r="CI276" s="38">
        <v>0</v>
      </c>
      <c r="CJ276" s="85">
        <f>SUM(CF276:CI276)</f>
        <v>0</v>
      </c>
      <c r="CK276" s="38">
        <v>0</v>
      </c>
      <c r="CL276" s="38">
        <v>0</v>
      </c>
      <c r="CM276" s="38">
        <v>0</v>
      </c>
      <c r="CN276" s="38">
        <v>0</v>
      </c>
      <c r="CO276" s="85">
        <f>SUM(CK276:CN276)</f>
        <v>0</v>
      </c>
      <c r="CP276" s="38">
        <v>0</v>
      </c>
      <c r="CQ276" s="38">
        <v>0</v>
      </c>
      <c r="CR276" s="38">
        <v>0</v>
      </c>
      <c r="CS276" s="38">
        <v>0</v>
      </c>
      <c r="CT276" s="85">
        <f>SUM(CP276:CS276)</f>
        <v>0</v>
      </c>
      <c r="CU276" s="38">
        <v>0</v>
      </c>
      <c r="CV276" s="38">
        <v>0</v>
      </c>
      <c r="CW276" s="38">
        <v>0</v>
      </c>
      <c r="CX276" s="38">
        <v>0</v>
      </c>
      <c r="CY276" s="85">
        <f>SUM(CU276:CX276)</f>
        <v>0</v>
      </c>
      <c r="CZ276" s="38">
        <v>0</v>
      </c>
      <c r="DA276" s="38">
        <v>0</v>
      </c>
      <c r="DB276" s="38">
        <v>0</v>
      </c>
      <c r="DC276" s="38">
        <v>0</v>
      </c>
      <c r="DD276" s="85">
        <f>SUM(CZ276:DC276)</f>
        <v>0</v>
      </c>
      <c r="DE276" s="38">
        <v>0</v>
      </c>
      <c r="DF276" s="38">
        <v>0</v>
      </c>
      <c r="DG276" s="38">
        <v>0</v>
      </c>
      <c r="DH276" s="38">
        <v>0</v>
      </c>
      <c r="DI276" s="85">
        <f>SUM(DE276:DH276)</f>
        <v>0</v>
      </c>
      <c r="DJ276" s="38">
        <v>0</v>
      </c>
      <c r="DK276" s="38">
        <v>0</v>
      </c>
      <c r="DL276" s="38">
        <v>0</v>
      </c>
      <c r="DM276" s="38">
        <v>0</v>
      </c>
      <c r="DN276" s="85">
        <f>SUM(DJ276:DM276)</f>
        <v>0</v>
      </c>
      <c r="DO276" s="38"/>
      <c r="DP276" s="38"/>
      <c r="DQ276" s="38"/>
      <c r="DR276" s="38"/>
      <c r="DS276" s="85"/>
      <c r="DT276" s="38"/>
      <c r="DU276" s="38"/>
      <c r="DV276" s="38"/>
      <c r="DW276" s="38"/>
      <c r="DX276" s="85"/>
      <c r="DY276" s="38"/>
      <c r="DZ276" s="38"/>
      <c r="EA276" s="38"/>
      <c r="EB276" s="38"/>
      <c r="EC276" s="85"/>
      <c r="ED276" s="38"/>
      <c r="EE276" s="21"/>
      <c r="EF276" s="373"/>
      <c r="EG276" s="16"/>
      <c r="EH276" s="16"/>
      <c r="EI276" s="16"/>
      <c r="EJ276" s="16"/>
      <c r="EK276" s="16"/>
      <c r="EL276" s="16"/>
      <c r="EM276" s="16"/>
      <c r="EN276" s="16"/>
      <c r="EO276" s="16"/>
      <c r="EP276" s="16"/>
      <c r="EQ276" s="16"/>
      <c r="ER276" s="16"/>
      <c r="ES276" s="16"/>
      <c r="ET276" s="16"/>
      <c r="EU276" s="16"/>
      <c r="EX276" s="16"/>
      <c r="EY276" s="228"/>
      <c r="EZ276" s="477"/>
      <c r="FA276" s="477"/>
      <c r="FB276" s="228"/>
      <c r="FC276" s="477"/>
      <c r="FD276" s="16"/>
    </row>
    <row r="277" spans="1:16357" s="1069" customFormat="1" ht="12.75" hidden="1" customHeight="1" outlineLevel="1" x14ac:dyDescent="0.35">
      <c r="A277" s="365" t="s">
        <v>39</v>
      </c>
      <c r="B277" s="50"/>
      <c r="C277" s="826"/>
      <c r="D277" s="827"/>
      <c r="E277" s="827"/>
      <c r="F277" s="828"/>
      <c r="G277" s="50"/>
      <c r="H277" s="826"/>
      <c r="I277" s="827"/>
      <c r="J277" s="827"/>
      <c r="K277" s="827"/>
      <c r="L277" s="50"/>
      <c r="M277" s="827"/>
      <c r="N277" s="827"/>
      <c r="O277" s="827"/>
      <c r="P277" s="827"/>
      <c r="Q277" s="50"/>
      <c r="R277" s="46"/>
      <c r="S277" s="46"/>
      <c r="T277" s="46"/>
      <c r="U277" s="47"/>
      <c r="V277" s="50"/>
      <c r="W277" s="46"/>
      <c r="X277" s="46"/>
      <c r="Y277" s="46"/>
      <c r="Z277" s="47"/>
      <c r="AA277" s="52"/>
      <c r="AB277" s="82"/>
      <c r="AC277" s="46"/>
      <c r="AD277" s="46"/>
      <c r="AE277" s="46"/>
      <c r="AF277" s="50"/>
      <c r="AG277" s="46"/>
      <c r="AH277" s="46"/>
      <c r="AI277" s="46"/>
      <c r="AJ277" s="46"/>
      <c r="AK277" s="50"/>
      <c r="AL277" s="46"/>
      <c r="AM277" s="46"/>
      <c r="AN277" s="46"/>
      <c r="AO277" s="46"/>
      <c r="AP277" s="50"/>
      <c r="AQ277" s="46"/>
      <c r="AR277" s="46"/>
      <c r="AS277" s="46"/>
      <c r="AT277" s="46"/>
      <c r="AU277" s="81"/>
      <c r="AV277" s="49"/>
      <c r="AW277" s="46"/>
      <c r="AX277" s="46"/>
      <c r="AY277" s="46"/>
      <c r="AZ277" s="46"/>
      <c r="BA277" s="50"/>
      <c r="BB277" s="46"/>
      <c r="BC277" s="46"/>
      <c r="BD277" s="46"/>
      <c r="BE277" s="46"/>
      <c r="BF277" s="50"/>
      <c r="BG277" s="46"/>
      <c r="BH277" s="46"/>
      <c r="BI277" s="46"/>
      <c r="BJ277" s="46"/>
      <c r="BK277" s="50"/>
      <c r="BL277" s="46">
        <f>BL276-BL275</f>
        <v>0</v>
      </c>
      <c r="BM277" s="46">
        <f t="shared" ref="BM277" si="1519">BM276-BM275</f>
        <v>0</v>
      </c>
      <c r="BN277" s="46">
        <f t="shared" ref="BN277" si="1520">BN276-BN275</f>
        <v>0</v>
      </c>
      <c r="BO277" s="46">
        <f t="shared" ref="BO277" si="1521">BO276-BO275</f>
        <v>0</v>
      </c>
      <c r="BP277" s="48">
        <f t="shared" ref="BP277" si="1522">BP276-BP275</f>
        <v>0</v>
      </c>
      <c r="BQ277" s="46">
        <f>BQ276-BQ275</f>
        <v>0</v>
      </c>
      <c r="BR277" s="46">
        <f t="shared" ref="BR277" si="1523">BR276-BR275</f>
        <v>0</v>
      </c>
      <c r="BS277" s="46">
        <f t="shared" ref="BS277" si="1524">BS276-BS275</f>
        <v>0</v>
      </c>
      <c r="BT277" s="46">
        <f t="shared" ref="BT277" si="1525">BT276-BT275</f>
        <v>14.209857264904706</v>
      </c>
      <c r="BU277" s="48">
        <f t="shared" ref="BU277" si="1526">BU276-BU275</f>
        <v>14.209857264904713</v>
      </c>
      <c r="BV277" s="1071">
        <f>BV276-BV275</f>
        <v>-41.105659182917528</v>
      </c>
      <c r="BW277" s="1071">
        <f t="shared" ref="BW277:BZ277" si="1527">BW276-BW275</f>
        <v>-41.282808585604577</v>
      </c>
      <c r="BX277" s="1071">
        <f t="shared" si="1527"/>
        <v>-44.836353493714967</v>
      </c>
      <c r="BY277" s="1071">
        <f t="shared" si="1527"/>
        <v>-52.544415183639323</v>
      </c>
      <c r="BZ277" s="48">
        <f t="shared" si="1527"/>
        <v>-179.7692364458764</v>
      </c>
      <c r="CA277" s="46">
        <f>CA276-CA275</f>
        <v>-41.105659182917528</v>
      </c>
      <c r="CB277" s="46">
        <f t="shared" ref="CB277" si="1528">CB276-CB275</f>
        <v>-41.282808585604577</v>
      </c>
      <c r="CC277" s="46">
        <f t="shared" ref="CC277" si="1529">CC276-CC275</f>
        <v>-44.836353493714967</v>
      </c>
      <c r="CD277" s="46">
        <f t="shared" ref="CD277" si="1530">CD276-CD275</f>
        <v>-52.544415183639323</v>
      </c>
      <c r="CE277" s="48">
        <f t="shared" ref="CE277" si="1531">CE276-CE275</f>
        <v>-179.7692364458764</v>
      </c>
      <c r="CF277" s="46">
        <f>CF276-CF275</f>
        <v>-41.953598532666064</v>
      </c>
      <c r="CG277" s="46">
        <f t="shared" ref="CG277" si="1532">CG276-CG275</f>
        <v>-44.497001977601684</v>
      </c>
      <c r="CH277" s="46">
        <f t="shared" ref="CH277" si="1533">CH276-CH275</f>
        <v>-46.068795306216458</v>
      </c>
      <c r="CI277" s="46">
        <f t="shared" ref="CI277" si="1534">CI276-CI275</f>
        <v>-51.382616850102963</v>
      </c>
      <c r="CJ277" s="48">
        <f t="shared" ref="CJ277" si="1535">CJ276-CJ275</f>
        <v>-183.90201266658715</v>
      </c>
      <c r="CK277" s="46">
        <f>CK276-CK275</f>
        <v>-43.661400023024783</v>
      </c>
      <c r="CL277" s="46">
        <f t="shared" ref="CL277" si="1536">CL276-CL275</f>
        <v>-45.190745012991052</v>
      </c>
      <c r="CM277" s="46">
        <f t="shared" ref="CM277" si="1537">CM276-CM275</f>
        <v>-46.192699291451724</v>
      </c>
      <c r="CN277" s="46">
        <f t="shared" ref="CN277" si="1538">CN276-CN275</f>
        <v>-53.041199188118554</v>
      </c>
      <c r="CO277" s="48">
        <f t="shared" ref="CO277" si="1539">CO276-CO275</f>
        <v>-188.08604351558611</v>
      </c>
      <c r="CP277" s="46">
        <f>CP276-CP275</f>
        <v>-44.781969998041625</v>
      </c>
      <c r="CQ277" s="46">
        <f t="shared" ref="CQ277" si="1540">CQ276-CQ275</f>
        <v>-46.249289658531097</v>
      </c>
      <c r="CR277" s="46">
        <f t="shared" ref="CR277" si="1541">CR276-CR275</f>
        <v>-47.260812734928315</v>
      </c>
      <c r="CS277" s="46">
        <f t="shared" ref="CS277" si="1542">CS276-CS275</f>
        <v>-54.386864741791491</v>
      </c>
      <c r="CT277" s="48">
        <f t="shared" ref="CT277" si="1543">CT276-CT275</f>
        <v>-192.67893713329255</v>
      </c>
      <c r="CU277" s="46">
        <f>CU276-CU275</f>
        <v>-46.259324061142117</v>
      </c>
      <c r="CV277" s="46">
        <f t="shared" ref="CV277" si="1544">CV276-CV275</f>
        <v>-47.698403700352337</v>
      </c>
      <c r="CW277" s="46">
        <f t="shared" ref="CW277" si="1545">CW276-CW275</f>
        <v>-48.707685404621913</v>
      </c>
      <c r="CX277" s="46">
        <f t="shared" ref="CX277" si="1546">CX276-CX275</f>
        <v>-56.15876128470245</v>
      </c>
      <c r="CY277" s="48">
        <f t="shared" ref="CY277" si="1547">CY276-CY275</f>
        <v>-198.82417445081882</v>
      </c>
      <c r="CZ277" s="46">
        <f>CZ276-CZ275</f>
        <v>-47.705364053574343</v>
      </c>
      <c r="DA277" s="46">
        <f t="shared" ref="DA277" si="1548">DA276-DA275</f>
        <v>-49.084265633028792</v>
      </c>
      <c r="DB277" s="46">
        <f t="shared" ref="DB277" si="1549">DB276-DB275</f>
        <v>-50.06604537695091</v>
      </c>
      <c r="DC277" s="46">
        <f t="shared" ref="DC277" si="1550">DC276-DC275</f>
        <v>-57.816237322255276</v>
      </c>
      <c r="DD277" s="48">
        <f t="shared" ref="DD277" si="1551">DD276-DD275</f>
        <v>-204.67191238580932</v>
      </c>
      <c r="DE277" s="46">
        <f>DE276-DE275</f>
        <v>-49.024634241656891</v>
      </c>
      <c r="DF277" s="46">
        <f t="shared" ref="DF277" si="1552">DF276-DF275</f>
        <v>-50.333226326817893</v>
      </c>
      <c r="DG277" s="46">
        <f t="shared" ref="DG277" si="1553">DG276-DG275</f>
        <v>-51.285314043597495</v>
      </c>
      <c r="DH277" s="46">
        <f t="shared" ref="DH277" si="1554">DH276-DH275</f>
        <v>-59.273282603570721</v>
      </c>
      <c r="DI277" s="48">
        <f t="shared" ref="DI277" si="1555">DI276-DI275</f>
        <v>-209.91645721564302</v>
      </c>
      <c r="DJ277" s="46">
        <f>DJ276-DJ275</f>
        <v>-50.121430347346475</v>
      </c>
      <c r="DK277" s="46">
        <f t="shared" ref="DK277" si="1556">DK276-DK275</f>
        <v>-51.371945488178177</v>
      </c>
      <c r="DL277" s="46">
        <f t="shared" ref="DL277" si="1557">DL276-DL275</f>
        <v>-52.339228308772974</v>
      </c>
      <c r="DM277" s="46">
        <f t="shared" ref="DM277" si="1558">DM276-DM275</f>
        <v>-60.66566075261435</v>
      </c>
      <c r="DN277" s="48">
        <f t="shared" ref="DN277" si="1559">DN276-DN275</f>
        <v>-214.49826489691199</v>
      </c>
      <c r="DO277" s="46"/>
      <c r="DP277" s="46"/>
      <c r="DQ277" s="46"/>
      <c r="DR277" s="46"/>
      <c r="DS277" s="48"/>
      <c r="DT277" s="46"/>
      <c r="DU277" s="46"/>
      <c r="DV277" s="46"/>
      <c r="DW277" s="46"/>
      <c r="DX277" s="50"/>
      <c r="DY277" s="46"/>
      <c r="DZ277" s="46"/>
      <c r="EA277" s="46"/>
      <c r="EB277" s="46"/>
      <c r="EC277" s="50"/>
      <c r="ED277" s="46"/>
      <c r="EE277" s="37"/>
      <c r="EF277" s="286"/>
      <c r="EG277" s="25"/>
      <c r="EH277" s="25"/>
      <c r="EI277" s="25"/>
      <c r="EJ277" s="25"/>
      <c r="EK277" s="25"/>
      <c r="EL277" s="25"/>
      <c r="EM277" s="25"/>
      <c r="EN277" s="25"/>
      <c r="EO277" s="25"/>
      <c r="EP277" s="25"/>
      <c r="EQ277" s="25"/>
      <c r="ER277" s="25"/>
      <c r="ES277" s="25"/>
      <c r="ET277" s="25"/>
      <c r="EU277" s="25"/>
      <c r="EX277" s="25"/>
      <c r="EY277" s="294"/>
      <c r="EZ277" s="985"/>
      <c r="FA277" s="985"/>
      <c r="FB277" s="294"/>
      <c r="FC277" s="985"/>
      <c r="FD277" s="25"/>
      <c r="FE277"/>
      <c r="FF277"/>
      <c r="FG277"/>
      <c r="FH277"/>
      <c r="FI277"/>
      <c r="FJ277"/>
    </row>
    <row r="278" spans="1:16357" ht="12.75" hidden="1" customHeight="1" outlineLevel="1" x14ac:dyDescent="0.35">
      <c r="A278" s="94"/>
      <c r="B278" s="85"/>
      <c r="C278" s="89"/>
      <c r="D278" s="90"/>
      <c r="E278" s="90"/>
      <c r="F278" s="92"/>
      <c r="G278" s="85"/>
      <c r="H278" s="89"/>
      <c r="I278" s="90"/>
      <c r="J278" s="90"/>
      <c r="K278" s="90"/>
      <c r="L278" s="85"/>
      <c r="M278" s="90"/>
      <c r="N278" s="90"/>
      <c r="O278" s="90"/>
      <c r="P278" s="90"/>
      <c r="Q278" s="85"/>
      <c r="R278" s="38"/>
      <c r="S278" s="38"/>
      <c r="T278" s="38"/>
      <c r="U278" s="39"/>
      <c r="V278" s="85"/>
      <c r="W278" s="38"/>
      <c r="X278" s="38"/>
      <c r="Y278" s="38"/>
      <c r="Z278" s="39"/>
      <c r="AA278" s="54"/>
      <c r="AB278" s="87"/>
      <c r="AC278" s="38"/>
      <c r="AD278" s="38"/>
      <c r="AE278" s="38"/>
      <c r="AF278" s="85"/>
      <c r="AG278" s="38"/>
      <c r="AH278" s="38"/>
      <c r="AI278" s="38"/>
      <c r="AJ278" s="38"/>
      <c r="AK278" s="85"/>
      <c r="AL278" s="38"/>
      <c r="AM278" s="38"/>
      <c r="AN278" s="38"/>
      <c r="AO278" s="38"/>
      <c r="AP278" s="85"/>
      <c r="AQ278" s="38"/>
      <c r="AR278" s="38"/>
      <c r="AS278" s="38"/>
      <c r="AT278" s="38"/>
      <c r="AU278" s="86"/>
      <c r="AV278" s="45"/>
      <c r="AW278" s="38"/>
      <c r="AX278" s="38"/>
      <c r="AY278" s="38"/>
      <c r="AZ278" s="38"/>
      <c r="BA278" s="85"/>
      <c r="BB278" s="38"/>
      <c r="BC278" s="38"/>
      <c r="BD278" s="38"/>
      <c r="BE278" s="38"/>
      <c r="BF278" s="85"/>
      <c r="BG278" s="38"/>
      <c r="BH278" s="38"/>
      <c r="BI278" s="38"/>
      <c r="BJ278" s="38"/>
      <c r="BK278" s="85"/>
      <c r="BL278" s="440"/>
      <c r="BM278" s="38"/>
      <c r="BN278" s="38"/>
      <c r="BO278" s="38"/>
      <c r="BP278" s="85"/>
      <c r="BQ278" s="440"/>
      <c r="BR278" s="38"/>
      <c r="BS278" s="38"/>
      <c r="BT278" s="38"/>
      <c r="BU278" s="85"/>
      <c r="BV278" s="1300"/>
      <c r="BW278" s="1070"/>
      <c r="BX278" s="1070"/>
      <c r="BY278" s="1070"/>
      <c r="BZ278" s="85"/>
      <c r="CA278" s="38"/>
      <c r="CB278" s="38"/>
      <c r="CC278" s="38"/>
      <c r="CD278" s="38"/>
      <c r="CE278" s="85"/>
      <c r="CF278" s="38"/>
      <c r="CG278" s="38"/>
      <c r="CH278" s="38"/>
      <c r="CI278" s="38"/>
      <c r="CJ278" s="85"/>
      <c r="CK278" s="38"/>
      <c r="CL278" s="38"/>
      <c r="CM278" s="38"/>
      <c r="CN278" s="38"/>
      <c r="CO278" s="85"/>
      <c r="CP278" s="38"/>
      <c r="CQ278" s="38"/>
      <c r="CR278" s="38"/>
      <c r="CS278" s="38"/>
      <c r="CT278" s="85"/>
      <c r="CU278" s="38"/>
      <c r="CV278" s="38"/>
      <c r="CW278" s="38"/>
      <c r="CX278" s="38"/>
      <c r="CY278" s="85"/>
      <c r="CZ278" s="38"/>
      <c r="DA278" s="38"/>
      <c r="DB278" s="38"/>
      <c r="DC278" s="38"/>
      <c r="DD278" s="85"/>
      <c r="DE278" s="38"/>
      <c r="DF278" s="38"/>
      <c r="DG278" s="38"/>
      <c r="DH278" s="38"/>
      <c r="DI278" s="85"/>
      <c r="DJ278" s="38"/>
      <c r="DK278" s="38"/>
      <c r="DL278" s="38"/>
      <c r="DM278" s="38"/>
      <c r="DN278" s="85"/>
      <c r="DO278" s="38"/>
      <c r="DP278" s="38"/>
      <c r="DQ278" s="38"/>
      <c r="DR278" s="38"/>
      <c r="DS278" s="85"/>
      <c r="DT278" s="38"/>
      <c r="DU278" s="38"/>
      <c r="DV278" s="38"/>
      <c r="DW278" s="38"/>
      <c r="DX278" s="85"/>
      <c r="DY278" s="38"/>
      <c r="DZ278" s="38"/>
      <c r="EA278" s="38"/>
      <c r="EB278" s="38"/>
      <c r="EC278" s="85"/>
      <c r="ED278" s="46"/>
      <c r="EE278" s="37"/>
      <c r="EF278" s="286"/>
      <c r="EG278" s="25"/>
      <c r="EH278" s="25"/>
      <c r="EI278" s="25"/>
      <c r="EJ278" s="25"/>
      <c r="EK278" s="25"/>
      <c r="EL278" s="25"/>
      <c r="EM278" s="25"/>
      <c r="EN278" s="25"/>
      <c r="EO278" s="25"/>
      <c r="EP278" s="25"/>
      <c r="EQ278" s="25"/>
      <c r="ER278" s="25"/>
      <c r="ES278" s="25"/>
      <c r="ET278" s="25"/>
      <c r="EU278" s="25"/>
      <c r="EX278" s="25"/>
      <c r="EY278" s="294"/>
      <c r="EZ278" s="985"/>
      <c r="FA278" s="985"/>
      <c r="FB278" s="294"/>
      <c r="FC278" s="985"/>
      <c r="FD278" s="25"/>
      <c r="FK278" s="1069"/>
      <c r="FL278" s="1069"/>
      <c r="FM278" s="1069"/>
      <c r="FN278" s="1069"/>
      <c r="FO278" s="1069"/>
      <c r="FP278" s="1069"/>
      <c r="FQ278" s="1069"/>
      <c r="FR278" s="1069"/>
      <c r="FS278" s="1069"/>
      <c r="FT278" s="1069"/>
      <c r="FU278" s="1069"/>
      <c r="FV278" s="1069"/>
      <c r="FW278" s="1069"/>
      <c r="FX278" s="1069"/>
      <c r="FY278" s="1069"/>
      <c r="FZ278" s="1069"/>
      <c r="GA278" s="1069"/>
      <c r="GB278" s="1069"/>
      <c r="GC278" s="1069"/>
      <c r="GD278" s="1069"/>
      <c r="GE278" s="1069"/>
      <c r="GF278" s="1069"/>
      <c r="GG278" s="1069"/>
      <c r="GH278" s="1069"/>
      <c r="GI278" s="1069"/>
      <c r="GJ278" s="1069"/>
      <c r="GK278" s="1069"/>
      <c r="GL278" s="1069"/>
      <c r="GM278" s="1069"/>
      <c r="GN278" s="1069"/>
      <c r="GO278" s="1069"/>
      <c r="GP278" s="1069"/>
      <c r="GQ278" s="1069"/>
      <c r="GR278" s="1069"/>
      <c r="GS278" s="1069"/>
      <c r="GT278" s="1069"/>
      <c r="GU278" s="1069"/>
      <c r="GV278" s="1069"/>
      <c r="GW278" s="1069"/>
      <c r="GX278" s="1069"/>
      <c r="GY278" s="1069"/>
      <c r="GZ278" s="1069"/>
      <c r="HA278" s="1069"/>
      <c r="HB278" s="1069"/>
      <c r="HC278" s="1069"/>
      <c r="HD278" s="1069"/>
      <c r="HE278" s="1069"/>
      <c r="HF278" s="1069"/>
      <c r="HG278" s="1069"/>
      <c r="HH278" s="1069"/>
      <c r="HI278" s="1069"/>
      <c r="HJ278" s="1069"/>
      <c r="HK278" s="1069"/>
      <c r="HL278" s="1069"/>
      <c r="HM278" s="1069"/>
      <c r="HN278" s="1069"/>
      <c r="HO278" s="1069"/>
      <c r="HP278" s="1069"/>
      <c r="HQ278" s="1069"/>
      <c r="HR278" s="1069"/>
      <c r="HS278" s="1069"/>
      <c r="HT278" s="1069"/>
      <c r="HU278" s="1069"/>
      <c r="HV278" s="1069"/>
      <c r="HW278" s="1069"/>
      <c r="HX278" s="1069"/>
      <c r="HY278" s="1069"/>
      <c r="HZ278" s="1069"/>
      <c r="IA278" s="1069"/>
      <c r="IB278" s="1069"/>
      <c r="IC278" s="1069"/>
      <c r="ID278" s="1069"/>
      <c r="IE278" s="1069"/>
      <c r="IF278" s="1069"/>
      <c r="IG278" s="1069"/>
      <c r="IH278" s="1069"/>
      <c r="II278" s="1069"/>
      <c r="IJ278" s="1069"/>
      <c r="IK278" s="1069"/>
      <c r="IL278" s="1069"/>
      <c r="IM278" s="1069"/>
      <c r="IN278" s="1069"/>
      <c r="IO278" s="1069"/>
      <c r="IP278" s="1069"/>
      <c r="IQ278" s="1069"/>
      <c r="IR278" s="1069"/>
      <c r="IS278" s="1069"/>
      <c r="IT278" s="1069"/>
      <c r="IU278" s="1069"/>
      <c r="IV278" s="1069"/>
      <c r="IW278" s="1069"/>
      <c r="IX278" s="1069"/>
      <c r="IY278" s="1069"/>
      <c r="IZ278" s="1069"/>
      <c r="JA278" s="1069"/>
      <c r="JB278" s="1069"/>
      <c r="JC278" s="1069"/>
      <c r="JD278" s="1069"/>
      <c r="JE278" s="1069"/>
      <c r="JF278" s="1069"/>
      <c r="JG278" s="1069"/>
      <c r="JH278" s="1069"/>
      <c r="JI278" s="1069"/>
      <c r="JJ278" s="1069"/>
      <c r="JK278" s="1069"/>
      <c r="JL278" s="1069"/>
      <c r="JM278" s="1069"/>
      <c r="JN278" s="1069"/>
      <c r="JO278" s="1069"/>
      <c r="JP278" s="1069"/>
      <c r="JQ278" s="1069"/>
      <c r="JR278" s="1069"/>
      <c r="JS278" s="1069"/>
      <c r="JT278" s="1069"/>
      <c r="JU278" s="1069"/>
      <c r="JV278" s="1069"/>
      <c r="JW278" s="1069"/>
      <c r="JX278" s="1069"/>
      <c r="JY278" s="1069"/>
      <c r="JZ278" s="1069"/>
      <c r="KA278" s="1069"/>
      <c r="KB278" s="1069"/>
      <c r="KC278" s="1069"/>
      <c r="KD278" s="1069"/>
      <c r="KE278" s="1069"/>
      <c r="KF278" s="1069"/>
      <c r="KG278" s="1069"/>
      <c r="KH278" s="1069"/>
      <c r="KI278" s="1069"/>
      <c r="KJ278" s="1069"/>
      <c r="KK278" s="1069"/>
      <c r="KL278" s="1069"/>
      <c r="KM278" s="1069"/>
      <c r="KN278" s="1069"/>
      <c r="KO278" s="1069"/>
      <c r="KP278" s="1069"/>
      <c r="KQ278" s="1069"/>
      <c r="KR278" s="1069"/>
      <c r="KS278" s="1069"/>
      <c r="KT278" s="1069"/>
      <c r="KU278" s="1069"/>
      <c r="KV278" s="1069"/>
      <c r="KW278" s="1069"/>
      <c r="KX278" s="1069"/>
      <c r="KY278" s="1069"/>
      <c r="KZ278" s="1069"/>
      <c r="LA278" s="1069"/>
      <c r="LB278" s="1069"/>
      <c r="LC278" s="1069"/>
      <c r="LD278" s="1069"/>
      <c r="LE278" s="1069"/>
      <c r="LF278" s="1069"/>
      <c r="LG278" s="1069"/>
      <c r="LH278" s="1069"/>
      <c r="LI278" s="1069"/>
      <c r="LJ278" s="1069"/>
      <c r="LK278" s="1069"/>
      <c r="LL278" s="1069"/>
      <c r="LM278" s="1069"/>
      <c r="LN278" s="1069"/>
      <c r="LO278" s="1069"/>
      <c r="LP278" s="1069"/>
      <c r="LQ278" s="1069"/>
      <c r="LR278" s="1069"/>
      <c r="LS278" s="1069"/>
      <c r="LT278" s="1069"/>
      <c r="LU278" s="1069"/>
      <c r="LV278" s="1069"/>
      <c r="LW278" s="1069"/>
      <c r="LX278" s="1069"/>
      <c r="LY278" s="1069"/>
      <c r="LZ278" s="1069"/>
      <c r="MA278" s="1069"/>
      <c r="MB278" s="1069"/>
      <c r="MC278" s="1069"/>
      <c r="MD278" s="1069"/>
      <c r="ME278" s="1069"/>
      <c r="MF278" s="1069"/>
      <c r="MG278" s="1069"/>
      <c r="MH278" s="1069"/>
      <c r="MI278" s="1069"/>
      <c r="MJ278" s="1069"/>
      <c r="MK278" s="1069"/>
      <c r="ML278" s="1069"/>
      <c r="MM278" s="1069"/>
      <c r="MN278" s="1069"/>
      <c r="MO278" s="1069"/>
      <c r="MP278" s="1069"/>
      <c r="MQ278" s="1069"/>
      <c r="MR278" s="1069"/>
      <c r="MS278" s="1069"/>
      <c r="MT278" s="1069"/>
      <c r="MU278" s="1069"/>
      <c r="MV278" s="1069"/>
      <c r="MW278" s="1069"/>
      <c r="MX278" s="1069"/>
      <c r="MY278" s="1069"/>
      <c r="MZ278" s="1069"/>
      <c r="NA278" s="1069"/>
      <c r="NB278" s="1069"/>
      <c r="NC278" s="1069"/>
      <c r="ND278" s="1069"/>
      <c r="NE278" s="1069"/>
      <c r="NF278" s="1069"/>
      <c r="NG278" s="1069"/>
      <c r="NH278" s="1069"/>
      <c r="NI278" s="1069"/>
      <c r="NJ278" s="1069"/>
      <c r="NK278" s="1069"/>
      <c r="NL278" s="1069"/>
      <c r="NM278" s="1069"/>
      <c r="NN278" s="1069"/>
      <c r="NO278" s="1069"/>
      <c r="NP278" s="1069"/>
      <c r="NQ278" s="1069"/>
      <c r="NR278" s="1069"/>
      <c r="NS278" s="1069"/>
      <c r="NT278" s="1069"/>
      <c r="NU278" s="1069"/>
      <c r="NV278" s="1069"/>
      <c r="NW278" s="1069"/>
      <c r="NX278" s="1069"/>
      <c r="NY278" s="1069"/>
      <c r="NZ278" s="1069"/>
      <c r="OA278" s="1069"/>
      <c r="OB278" s="1069"/>
      <c r="OC278" s="1069"/>
      <c r="OD278" s="1069"/>
      <c r="OE278" s="1069"/>
      <c r="OF278" s="1069"/>
      <c r="OG278" s="1069"/>
      <c r="OH278" s="1069"/>
      <c r="OI278" s="1069"/>
      <c r="OJ278" s="1069"/>
      <c r="OK278" s="1069"/>
      <c r="OL278" s="1069"/>
      <c r="OM278" s="1069"/>
      <c r="ON278" s="1069"/>
      <c r="OO278" s="1069"/>
      <c r="OP278" s="1069"/>
      <c r="OQ278" s="1069"/>
      <c r="OR278" s="1069"/>
      <c r="OS278" s="1069"/>
      <c r="OT278" s="1069"/>
      <c r="OU278" s="1069"/>
      <c r="OV278" s="1069"/>
      <c r="OW278" s="1069"/>
      <c r="OX278" s="1069"/>
      <c r="OY278" s="1069"/>
      <c r="OZ278" s="1069"/>
      <c r="PA278" s="1069"/>
      <c r="PB278" s="1069"/>
      <c r="PC278" s="1069"/>
      <c r="PD278" s="1069"/>
      <c r="PE278" s="1069"/>
      <c r="PF278" s="1069"/>
      <c r="PG278" s="1069"/>
      <c r="PH278" s="1069"/>
      <c r="PI278" s="1069"/>
      <c r="PJ278" s="1069"/>
      <c r="PK278" s="1069"/>
      <c r="PL278" s="1069"/>
      <c r="PM278" s="1069"/>
      <c r="PN278" s="1069"/>
      <c r="PO278" s="1069"/>
      <c r="PP278" s="1069"/>
      <c r="PQ278" s="1069"/>
      <c r="PR278" s="1069"/>
      <c r="PS278" s="1069"/>
      <c r="PT278" s="1069"/>
      <c r="PU278" s="1069"/>
      <c r="PV278" s="1069"/>
      <c r="PW278" s="1069"/>
      <c r="PX278" s="1069"/>
      <c r="PY278" s="1069"/>
      <c r="PZ278" s="1069"/>
      <c r="QA278" s="1069"/>
      <c r="QB278" s="1069"/>
      <c r="QC278" s="1069"/>
      <c r="QD278" s="1069"/>
      <c r="QE278" s="1069"/>
      <c r="QF278" s="1069"/>
      <c r="QG278" s="1069"/>
      <c r="QH278" s="1069"/>
      <c r="QI278" s="1069"/>
      <c r="QJ278" s="1069"/>
      <c r="QK278" s="1069"/>
      <c r="QL278" s="1069"/>
      <c r="QM278" s="1069"/>
      <c r="QN278" s="1069"/>
      <c r="QO278" s="1069"/>
      <c r="QP278" s="1069"/>
      <c r="QQ278" s="1069"/>
      <c r="QR278" s="1069"/>
      <c r="QS278" s="1069"/>
      <c r="QT278" s="1069"/>
      <c r="QU278" s="1069"/>
      <c r="QV278" s="1069"/>
      <c r="QW278" s="1069"/>
      <c r="QX278" s="1069"/>
      <c r="QY278" s="1069"/>
      <c r="QZ278" s="1069"/>
      <c r="RA278" s="1069"/>
      <c r="RB278" s="1069"/>
      <c r="RC278" s="1069"/>
      <c r="RD278" s="1069"/>
      <c r="RE278" s="1069"/>
      <c r="RF278" s="1069"/>
      <c r="RG278" s="1069"/>
      <c r="RH278" s="1069"/>
      <c r="RI278" s="1069"/>
      <c r="RJ278" s="1069"/>
      <c r="RK278" s="1069"/>
      <c r="RL278" s="1069"/>
      <c r="RM278" s="1069"/>
      <c r="RN278" s="1069"/>
      <c r="RO278" s="1069"/>
      <c r="RP278" s="1069"/>
      <c r="RQ278" s="1069"/>
      <c r="RR278" s="1069"/>
      <c r="RS278" s="1069"/>
      <c r="RT278" s="1069"/>
      <c r="RU278" s="1069"/>
      <c r="RV278" s="1069"/>
      <c r="RW278" s="1069"/>
      <c r="RX278" s="1069"/>
      <c r="RY278" s="1069"/>
      <c r="RZ278" s="1069"/>
      <c r="SA278" s="1069"/>
      <c r="SB278" s="1069"/>
      <c r="SC278" s="1069"/>
      <c r="SD278" s="1069"/>
      <c r="SE278" s="1069"/>
      <c r="SF278" s="1069"/>
      <c r="SG278" s="1069"/>
      <c r="SH278" s="1069"/>
      <c r="SI278" s="1069"/>
      <c r="SJ278" s="1069"/>
      <c r="SK278" s="1069"/>
      <c r="SL278" s="1069"/>
      <c r="SM278" s="1069"/>
      <c r="SN278" s="1069"/>
      <c r="SO278" s="1069"/>
      <c r="SP278" s="1069"/>
      <c r="SQ278" s="1069"/>
      <c r="SR278" s="1069"/>
      <c r="SS278" s="1069"/>
      <c r="ST278" s="1069"/>
      <c r="SU278" s="1069"/>
      <c r="SV278" s="1069"/>
      <c r="SW278" s="1069"/>
      <c r="SX278" s="1069"/>
      <c r="SY278" s="1069"/>
      <c r="SZ278" s="1069"/>
      <c r="TA278" s="1069"/>
      <c r="TB278" s="1069"/>
      <c r="TC278" s="1069"/>
      <c r="TD278" s="1069"/>
      <c r="TE278" s="1069"/>
      <c r="TF278" s="1069"/>
      <c r="TG278" s="1069"/>
      <c r="TH278" s="1069"/>
      <c r="TI278" s="1069"/>
      <c r="TJ278" s="1069"/>
      <c r="TK278" s="1069"/>
      <c r="TL278" s="1069"/>
      <c r="TM278" s="1069"/>
      <c r="TN278" s="1069"/>
      <c r="TO278" s="1069"/>
      <c r="TP278" s="1069"/>
      <c r="TQ278" s="1069"/>
      <c r="TR278" s="1069"/>
      <c r="TS278" s="1069"/>
      <c r="TT278" s="1069"/>
      <c r="TU278" s="1069"/>
      <c r="TV278" s="1069"/>
      <c r="TW278" s="1069"/>
      <c r="TX278" s="1069"/>
      <c r="TY278" s="1069"/>
      <c r="TZ278" s="1069"/>
      <c r="UA278" s="1069"/>
      <c r="UB278" s="1069"/>
      <c r="UC278" s="1069"/>
      <c r="UD278" s="1069"/>
      <c r="UE278" s="1069"/>
      <c r="UF278" s="1069"/>
      <c r="UG278" s="1069"/>
      <c r="UH278" s="1069"/>
      <c r="UI278" s="1069"/>
      <c r="UJ278" s="1069"/>
      <c r="UK278" s="1069"/>
      <c r="UL278" s="1069"/>
      <c r="UM278" s="1069"/>
      <c r="UN278" s="1069"/>
      <c r="UO278" s="1069"/>
      <c r="UP278" s="1069"/>
      <c r="UQ278" s="1069"/>
      <c r="UR278" s="1069"/>
      <c r="US278" s="1069"/>
      <c r="UT278" s="1069"/>
      <c r="UU278" s="1069"/>
      <c r="UV278" s="1069"/>
      <c r="UW278" s="1069"/>
      <c r="UX278" s="1069"/>
      <c r="UY278" s="1069"/>
      <c r="UZ278" s="1069"/>
      <c r="VA278" s="1069"/>
      <c r="VB278" s="1069"/>
      <c r="VC278" s="1069"/>
      <c r="VD278" s="1069"/>
      <c r="VE278" s="1069"/>
      <c r="VF278" s="1069"/>
      <c r="VG278" s="1069"/>
      <c r="VH278" s="1069"/>
      <c r="VI278" s="1069"/>
      <c r="VJ278" s="1069"/>
      <c r="VK278" s="1069"/>
      <c r="VL278" s="1069"/>
      <c r="VM278" s="1069"/>
      <c r="VN278" s="1069"/>
      <c r="VO278" s="1069"/>
      <c r="VP278" s="1069"/>
      <c r="VQ278" s="1069"/>
      <c r="VR278" s="1069"/>
      <c r="VS278" s="1069"/>
      <c r="VT278" s="1069"/>
      <c r="VU278" s="1069"/>
      <c r="VV278" s="1069"/>
      <c r="VW278" s="1069"/>
      <c r="VX278" s="1069"/>
      <c r="VY278" s="1069"/>
      <c r="VZ278" s="1069"/>
      <c r="WA278" s="1069"/>
      <c r="WB278" s="1069"/>
      <c r="WC278" s="1069"/>
      <c r="WD278" s="1069"/>
      <c r="WE278" s="1069"/>
      <c r="WF278" s="1069"/>
      <c r="WG278" s="1069"/>
      <c r="WH278" s="1069"/>
      <c r="WI278" s="1069"/>
      <c r="WJ278" s="1069"/>
      <c r="WK278" s="1069"/>
      <c r="WL278" s="1069"/>
      <c r="WM278" s="1069"/>
      <c r="WN278" s="1069"/>
      <c r="WO278" s="1069"/>
      <c r="WP278" s="1069"/>
      <c r="WQ278" s="1069"/>
      <c r="WR278" s="1069"/>
      <c r="WS278" s="1069"/>
      <c r="WT278" s="1069"/>
      <c r="WU278" s="1069"/>
      <c r="WV278" s="1069"/>
      <c r="WW278" s="1069"/>
      <c r="WX278" s="1069"/>
      <c r="WY278" s="1069"/>
      <c r="WZ278" s="1069"/>
      <c r="XA278" s="1069"/>
      <c r="XB278" s="1069"/>
      <c r="XC278" s="1069"/>
      <c r="XD278" s="1069"/>
      <c r="XE278" s="1069"/>
      <c r="XF278" s="1069"/>
      <c r="XG278" s="1069"/>
      <c r="XH278" s="1069"/>
      <c r="XI278" s="1069"/>
      <c r="XJ278" s="1069"/>
      <c r="XK278" s="1069"/>
      <c r="XL278" s="1069"/>
      <c r="XM278" s="1069"/>
      <c r="XN278" s="1069"/>
      <c r="XO278" s="1069"/>
      <c r="XP278" s="1069"/>
      <c r="XQ278" s="1069"/>
      <c r="XR278" s="1069"/>
      <c r="XS278" s="1069"/>
      <c r="XT278" s="1069"/>
      <c r="XU278" s="1069"/>
      <c r="XV278" s="1069"/>
      <c r="XW278" s="1069"/>
      <c r="XX278" s="1069"/>
      <c r="XY278" s="1069"/>
      <c r="XZ278" s="1069"/>
      <c r="YA278" s="1069"/>
      <c r="YB278" s="1069"/>
      <c r="YC278" s="1069"/>
      <c r="YD278" s="1069"/>
      <c r="YE278" s="1069"/>
      <c r="YF278" s="1069"/>
      <c r="YG278" s="1069"/>
      <c r="YH278" s="1069"/>
      <c r="YI278" s="1069"/>
      <c r="YJ278" s="1069"/>
      <c r="YK278" s="1069"/>
      <c r="YL278" s="1069"/>
      <c r="YM278" s="1069"/>
      <c r="YN278" s="1069"/>
      <c r="YO278" s="1069"/>
      <c r="YP278" s="1069"/>
      <c r="YQ278" s="1069"/>
      <c r="YR278" s="1069"/>
      <c r="YS278" s="1069"/>
      <c r="YT278" s="1069"/>
      <c r="YU278" s="1069"/>
      <c r="YV278" s="1069"/>
      <c r="YW278" s="1069"/>
      <c r="YX278" s="1069"/>
      <c r="YY278" s="1069"/>
      <c r="YZ278" s="1069"/>
      <c r="ZA278" s="1069"/>
      <c r="ZB278" s="1069"/>
      <c r="ZC278" s="1069"/>
      <c r="ZD278" s="1069"/>
      <c r="ZE278" s="1069"/>
      <c r="ZF278" s="1069"/>
      <c r="ZG278" s="1069"/>
      <c r="ZH278" s="1069"/>
      <c r="ZI278" s="1069"/>
      <c r="ZJ278" s="1069"/>
      <c r="ZK278" s="1069"/>
      <c r="ZL278" s="1069"/>
      <c r="ZM278" s="1069"/>
      <c r="ZN278" s="1069"/>
      <c r="ZO278" s="1069"/>
      <c r="ZP278" s="1069"/>
      <c r="ZQ278" s="1069"/>
      <c r="ZR278" s="1069"/>
      <c r="ZS278" s="1069"/>
      <c r="ZT278" s="1069"/>
      <c r="ZU278" s="1069"/>
      <c r="ZV278" s="1069"/>
      <c r="ZW278" s="1069"/>
      <c r="ZX278" s="1069"/>
      <c r="ZY278" s="1069"/>
      <c r="ZZ278" s="1069"/>
      <c r="AAA278" s="1069"/>
      <c r="AAB278" s="1069"/>
      <c r="AAC278" s="1069"/>
      <c r="AAD278" s="1069"/>
      <c r="AAE278" s="1069"/>
      <c r="AAF278" s="1069"/>
      <c r="AAG278" s="1069"/>
      <c r="AAH278" s="1069"/>
      <c r="AAI278" s="1069"/>
      <c r="AAJ278" s="1069"/>
      <c r="AAK278" s="1069"/>
      <c r="AAL278" s="1069"/>
      <c r="AAM278" s="1069"/>
      <c r="AAN278" s="1069"/>
      <c r="AAO278" s="1069"/>
      <c r="AAP278" s="1069"/>
      <c r="AAQ278" s="1069"/>
      <c r="AAR278" s="1069"/>
      <c r="AAS278" s="1069"/>
      <c r="AAT278" s="1069"/>
      <c r="AAU278" s="1069"/>
      <c r="AAV278" s="1069"/>
      <c r="AAW278" s="1069"/>
      <c r="AAX278" s="1069"/>
      <c r="AAY278" s="1069"/>
      <c r="AAZ278" s="1069"/>
      <c r="ABA278" s="1069"/>
      <c r="ABB278" s="1069"/>
      <c r="ABC278" s="1069"/>
      <c r="ABD278" s="1069"/>
      <c r="ABE278" s="1069"/>
      <c r="ABF278" s="1069"/>
      <c r="ABG278" s="1069"/>
      <c r="ABH278" s="1069"/>
      <c r="ABI278" s="1069"/>
      <c r="ABJ278" s="1069"/>
      <c r="ABK278" s="1069"/>
      <c r="ABL278" s="1069"/>
      <c r="ABM278" s="1069"/>
      <c r="ABN278" s="1069"/>
      <c r="ABO278" s="1069"/>
      <c r="ABP278" s="1069"/>
      <c r="ABQ278" s="1069"/>
      <c r="ABR278" s="1069"/>
      <c r="ABS278" s="1069"/>
      <c r="ABT278" s="1069"/>
      <c r="ABU278" s="1069"/>
      <c r="ABV278" s="1069"/>
      <c r="ABW278" s="1069"/>
      <c r="ABX278" s="1069"/>
      <c r="ABY278" s="1069"/>
      <c r="ABZ278" s="1069"/>
      <c r="ACA278" s="1069"/>
      <c r="ACB278" s="1069"/>
      <c r="ACC278" s="1069"/>
      <c r="ACD278" s="1069"/>
      <c r="ACE278" s="1069"/>
      <c r="ACF278" s="1069"/>
      <c r="ACG278" s="1069"/>
      <c r="ACH278" s="1069"/>
      <c r="ACI278" s="1069"/>
      <c r="ACJ278" s="1069"/>
      <c r="ACK278" s="1069"/>
      <c r="ACL278" s="1069"/>
      <c r="ACM278" s="1069"/>
      <c r="ACN278" s="1069"/>
      <c r="ACO278" s="1069"/>
      <c r="ACP278" s="1069"/>
      <c r="ACQ278" s="1069"/>
      <c r="ACR278" s="1069"/>
      <c r="ACS278" s="1069"/>
      <c r="ACT278" s="1069"/>
      <c r="ACU278" s="1069"/>
      <c r="ACV278" s="1069"/>
      <c r="ACW278" s="1069"/>
      <c r="ACX278" s="1069"/>
      <c r="ACY278" s="1069"/>
      <c r="ACZ278" s="1069"/>
      <c r="ADA278" s="1069"/>
      <c r="ADB278" s="1069"/>
      <c r="ADC278" s="1069"/>
      <c r="ADD278" s="1069"/>
      <c r="ADE278" s="1069"/>
      <c r="ADF278" s="1069"/>
      <c r="ADG278" s="1069"/>
      <c r="ADH278" s="1069"/>
      <c r="ADI278" s="1069"/>
      <c r="ADJ278" s="1069"/>
      <c r="ADK278" s="1069"/>
      <c r="ADL278" s="1069"/>
      <c r="ADM278" s="1069"/>
      <c r="ADN278" s="1069"/>
      <c r="ADO278" s="1069"/>
      <c r="ADP278" s="1069"/>
      <c r="ADQ278" s="1069"/>
      <c r="ADR278" s="1069"/>
      <c r="ADS278" s="1069"/>
      <c r="ADT278" s="1069"/>
      <c r="ADU278" s="1069"/>
      <c r="ADV278" s="1069"/>
      <c r="ADW278" s="1069"/>
      <c r="ADX278" s="1069"/>
      <c r="ADY278" s="1069"/>
      <c r="ADZ278" s="1069"/>
      <c r="AEA278" s="1069"/>
      <c r="AEB278" s="1069"/>
      <c r="AEC278" s="1069"/>
      <c r="AED278" s="1069"/>
      <c r="AEE278" s="1069"/>
      <c r="AEF278" s="1069"/>
      <c r="AEG278" s="1069"/>
      <c r="AEH278" s="1069"/>
      <c r="AEI278" s="1069"/>
      <c r="AEJ278" s="1069"/>
      <c r="AEK278" s="1069"/>
      <c r="AEL278" s="1069"/>
      <c r="AEM278" s="1069"/>
      <c r="AEN278" s="1069"/>
      <c r="AEO278" s="1069"/>
      <c r="AEP278" s="1069"/>
      <c r="AEQ278" s="1069"/>
      <c r="AER278" s="1069"/>
      <c r="AES278" s="1069"/>
      <c r="AET278" s="1069"/>
      <c r="AEU278" s="1069"/>
      <c r="AEV278" s="1069"/>
      <c r="AEW278" s="1069"/>
      <c r="AEX278" s="1069"/>
      <c r="AEY278" s="1069"/>
      <c r="AEZ278" s="1069"/>
      <c r="AFA278" s="1069"/>
      <c r="AFB278" s="1069"/>
      <c r="AFC278" s="1069"/>
      <c r="AFD278" s="1069"/>
      <c r="AFE278" s="1069"/>
      <c r="AFF278" s="1069"/>
      <c r="AFG278" s="1069"/>
      <c r="AFH278" s="1069"/>
      <c r="AFI278" s="1069"/>
      <c r="AFJ278" s="1069"/>
      <c r="AFK278" s="1069"/>
      <c r="AFL278" s="1069"/>
      <c r="AFM278" s="1069"/>
      <c r="AFN278" s="1069"/>
      <c r="AFO278" s="1069"/>
      <c r="AFP278" s="1069"/>
      <c r="AFQ278" s="1069"/>
      <c r="AFR278" s="1069"/>
      <c r="AFS278" s="1069"/>
      <c r="AFT278" s="1069"/>
      <c r="AFU278" s="1069"/>
      <c r="AFV278" s="1069"/>
      <c r="AFW278" s="1069"/>
      <c r="AFX278" s="1069"/>
      <c r="AFY278" s="1069"/>
      <c r="AFZ278" s="1069"/>
      <c r="AGA278" s="1069"/>
      <c r="AGB278" s="1069"/>
      <c r="AGC278" s="1069"/>
      <c r="AGD278" s="1069"/>
      <c r="AGE278" s="1069"/>
      <c r="AGF278" s="1069"/>
      <c r="AGG278" s="1069"/>
      <c r="AGH278" s="1069"/>
      <c r="AGI278" s="1069"/>
      <c r="AGJ278" s="1069"/>
      <c r="AGK278" s="1069"/>
      <c r="AGL278" s="1069"/>
      <c r="AGM278" s="1069"/>
      <c r="AGN278" s="1069"/>
      <c r="AGO278" s="1069"/>
      <c r="AGP278" s="1069"/>
      <c r="AGQ278" s="1069"/>
      <c r="AGR278" s="1069"/>
      <c r="AGS278" s="1069"/>
      <c r="AGT278" s="1069"/>
      <c r="AGU278" s="1069"/>
      <c r="AGV278" s="1069"/>
      <c r="AGW278" s="1069"/>
      <c r="AGX278" s="1069"/>
      <c r="AGY278" s="1069"/>
      <c r="AGZ278" s="1069"/>
      <c r="AHA278" s="1069"/>
      <c r="AHB278" s="1069"/>
      <c r="AHC278" s="1069"/>
      <c r="AHD278" s="1069"/>
      <c r="AHE278" s="1069"/>
      <c r="AHF278" s="1069"/>
      <c r="AHG278" s="1069"/>
      <c r="AHH278" s="1069"/>
      <c r="AHI278" s="1069"/>
      <c r="AHJ278" s="1069"/>
      <c r="AHK278" s="1069"/>
      <c r="AHL278" s="1069"/>
      <c r="AHM278" s="1069"/>
      <c r="AHN278" s="1069"/>
      <c r="AHO278" s="1069"/>
      <c r="AHP278" s="1069"/>
      <c r="AHQ278" s="1069"/>
      <c r="AHR278" s="1069"/>
      <c r="AHS278" s="1069"/>
      <c r="AHT278" s="1069"/>
      <c r="AHU278" s="1069"/>
      <c r="AHV278" s="1069"/>
      <c r="AHW278" s="1069"/>
      <c r="AHX278" s="1069"/>
      <c r="AHY278" s="1069"/>
      <c r="AHZ278" s="1069"/>
      <c r="AIA278" s="1069"/>
      <c r="AIB278" s="1069"/>
      <c r="AIC278" s="1069"/>
      <c r="AID278" s="1069"/>
      <c r="AIE278" s="1069"/>
      <c r="AIF278" s="1069"/>
      <c r="AIG278" s="1069"/>
      <c r="AIH278" s="1069"/>
      <c r="AII278" s="1069"/>
      <c r="AIJ278" s="1069"/>
      <c r="AIK278" s="1069"/>
      <c r="AIL278" s="1069"/>
      <c r="AIM278" s="1069"/>
      <c r="AIN278" s="1069"/>
      <c r="AIO278" s="1069"/>
      <c r="AIP278" s="1069"/>
      <c r="AIQ278" s="1069"/>
      <c r="AIR278" s="1069"/>
      <c r="AIS278" s="1069"/>
      <c r="AIT278" s="1069"/>
      <c r="AIU278" s="1069"/>
      <c r="AIV278" s="1069"/>
      <c r="AIW278" s="1069"/>
      <c r="AIX278" s="1069"/>
      <c r="AIY278" s="1069"/>
      <c r="AIZ278" s="1069"/>
      <c r="AJA278" s="1069"/>
      <c r="AJB278" s="1069"/>
      <c r="AJC278" s="1069"/>
      <c r="AJD278" s="1069"/>
      <c r="AJE278" s="1069"/>
      <c r="AJF278" s="1069"/>
      <c r="AJG278" s="1069"/>
      <c r="AJH278" s="1069"/>
      <c r="AJI278" s="1069"/>
      <c r="AJJ278" s="1069"/>
      <c r="AJK278" s="1069"/>
      <c r="AJL278" s="1069"/>
      <c r="AJM278" s="1069"/>
      <c r="AJN278" s="1069"/>
      <c r="AJO278" s="1069"/>
      <c r="AJP278" s="1069"/>
      <c r="AJQ278" s="1069"/>
      <c r="AJR278" s="1069"/>
      <c r="AJS278" s="1069"/>
      <c r="AJT278" s="1069"/>
      <c r="AJU278" s="1069"/>
      <c r="AJV278" s="1069"/>
      <c r="AJW278" s="1069"/>
      <c r="AJX278" s="1069"/>
      <c r="AJY278" s="1069"/>
      <c r="AJZ278" s="1069"/>
      <c r="AKA278" s="1069"/>
      <c r="AKB278" s="1069"/>
      <c r="AKC278" s="1069"/>
      <c r="AKD278" s="1069"/>
      <c r="AKE278" s="1069"/>
      <c r="AKF278" s="1069"/>
      <c r="AKG278" s="1069"/>
      <c r="AKH278" s="1069"/>
      <c r="AKI278" s="1069"/>
      <c r="AKJ278" s="1069"/>
      <c r="AKK278" s="1069"/>
      <c r="AKL278" s="1069"/>
      <c r="AKM278" s="1069"/>
      <c r="AKN278" s="1069"/>
      <c r="AKO278" s="1069"/>
      <c r="AKP278" s="1069"/>
      <c r="AKQ278" s="1069"/>
      <c r="AKR278" s="1069"/>
      <c r="AKS278" s="1069"/>
      <c r="AKT278" s="1069"/>
      <c r="AKU278" s="1069"/>
      <c r="AKV278" s="1069"/>
      <c r="AKW278" s="1069"/>
      <c r="AKX278" s="1069"/>
      <c r="AKY278" s="1069"/>
      <c r="AKZ278" s="1069"/>
      <c r="ALA278" s="1069"/>
      <c r="ALB278" s="1069"/>
      <c r="ALC278" s="1069"/>
      <c r="ALD278" s="1069"/>
      <c r="ALE278" s="1069"/>
      <c r="ALF278" s="1069"/>
      <c r="ALG278" s="1069"/>
      <c r="ALH278" s="1069"/>
      <c r="ALI278" s="1069"/>
      <c r="ALJ278" s="1069"/>
      <c r="ALK278" s="1069"/>
      <c r="ALL278" s="1069"/>
      <c r="ALM278" s="1069"/>
      <c r="ALN278" s="1069"/>
      <c r="ALO278" s="1069"/>
      <c r="ALP278" s="1069"/>
      <c r="ALQ278" s="1069"/>
      <c r="ALR278" s="1069"/>
      <c r="ALS278" s="1069"/>
      <c r="ALT278" s="1069"/>
      <c r="ALU278" s="1069"/>
      <c r="ALV278" s="1069"/>
      <c r="ALW278" s="1069"/>
      <c r="ALX278" s="1069"/>
      <c r="ALY278" s="1069"/>
      <c r="ALZ278" s="1069"/>
      <c r="AMA278" s="1069"/>
      <c r="AMB278" s="1069"/>
      <c r="AMC278" s="1069"/>
      <c r="AMD278" s="1069"/>
      <c r="AME278" s="1069"/>
      <c r="AMF278" s="1069"/>
      <c r="AMG278" s="1069"/>
      <c r="AMH278" s="1069"/>
      <c r="AMI278" s="1069"/>
      <c r="AMJ278" s="1069"/>
      <c r="AMK278" s="1069"/>
      <c r="AML278" s="1069"/>
      <c r="AMM278" s="1069"/>
      <c r="AMN278" s="1069"/>
      <c r="AMO278" s="1069"/>
      <c r="AMP278" s="1069"/>
      <c r="AMQ278" s="1069"/>
      <c r="AMR278" s="1069"/>
      <c r="AMS278" s="1069"/>
      <c r="AMT278" s="1069"/>
      <c r="AMU278" s="1069"/>
      <c r="AMV278" s="1069"/>
      <c r="AMW278" s="1069"/>
      <c r="AMX278" s="1069"/>
      <c r="AMY278" s="1069"/>
      <c r="AMZ278" s="1069"/>
      <c r="ANA278" s="1069"/>
      <c r="ANB278" s="1069"/>
      <c r="ANC278" s="1069"/>
      <c r="AND278" s="1069"/>
      <c r="ANE278" s="1069"/>
      <c r="ANF278" s="1069"/>
      <c r="ANG278" s="1069"/>
      <c r="ANH278" s="1069"/>
      <c r="ANI278" s="1069"/>
      <c r="ANJ278" s="1069"/>
      <c r="ANK278" s="1069"/>
      <c r="ANL278" s="1069"/>
      <c r="ANM278" s="1069"/>
      <c r="ANN278" s="1069"/>
      <c r="ANO278" s="1069"/>
      <c r="ANP278" s="1069"/>
      <c r="ANQ278" s="1069"/>
      <c r="ANR278" s="1069"/>
      <c r="ANS278" s="1069"/>
      <c r="ANT278" s="1069"/>
      <c r="ANU278" s="1069"/>
      <c r="ANV278" s="1069"/>
      <c r="ANW278" s="1069"/>
      <c r="ANX278" s="1069"/>
      <c r="ANY278" s="1069"/>
      <c r="ANZ278" s="1069"/>
      <c r="AOA278" s="1069"/>
      <c r="AOB278" s="1069"/>
      <c r="AOC278" s="1069"/>
      <c r="AOD278" s="1069"/>
      <c r="AOE278" s="1069"/>
      <c r="AOF278" s="1069"/>
      <c r="AOG278" s="1069"/>
      <c r="AOH278" s="1069"/>
      <c r="AOI278" s="1069"/>
      <c r="AOJ278" s="1069"/>
      <c r="AOK278" s="1069"/>
      <c r="AOL278" s="1069"/>
      <c r="AOM278" s="1069"/>
      <c r="AON278" s="1069"/>
      <c r="AOO278" s="1069"/>
      <c r="AOP278" s="1069"/>
      <c r="AOQ278" s="1069"/>
      <c r="AOR278" s="1069"/>
      <c r="AOS278" s="1069"/>
      <c r="AOT278" s="1069"/>
      <c r="AOU278" s="1069"/>
      <c r="AOV278" s="1069"/>
      <c r="AOW278" s="1069"/>
      <c r="AOX278" s="1069"/>
      <c r="AOY278" s="1069"/>
      <c r="AOZ278" s="1069"/>
      <c r="APA278" s="1069"/>
      <c r="APB278" s="1069"/>
      <c r="APC278" s="1069"/>
      <c r="APD278" s="1069"/>
      <c r="APE278" s="1069"/>
      <c r="APF278" s="1069"/>
      <c r="APG278" s="1069"/>
      <c r="APH278" s="1069"/>
      <c r="API278" s="1069"/>
      <c r="APJ278" s="1069"/>
      <c r="APK278" s="1069"/>
      <c r="APL278" s="1069"/>
      <c r="APM278" s="1069"/>
      <c r="APN278" s="1069"/>
      <c r="APO278" s="1069"/>
      <c r="APP278" s="1069"/>
      <c r="APQ278" s="1069"/>
      <c r="APR278" s="1069"/>
      <c r="APS278" s="1069"/>
      <c r="APT278" s="1069"/>
      <c r="APU278" s="1069"/>
      <c r="APV278" s="1069"/>
      <c r="APW278" s="1069"/>
      <c r="APX278" s="1069"/>
      <c r="APY278" s="1069"/>
      <c r="APZ278" s="1069"/>
      <c r="AQA278" s="1069"/>
      <c r="AQB278" s="1069"/>
      <c r="AQC278" s="1069"/>
      <c r="AQD278" s="1069"/>
      <c r="AQE278" s="1069"/>
      <c r="AQF278" s="1069"/>
      <c r="AQG278" s="1069"/>
      <c r="AQH278" s="1069"/>
      <c r="AQI278" s="1069"/>
      <c r="AQJ278" s="1069"/>
      <c r="AQK278" s="1069"/>
      <c r="AQL278" s="1069"/>
      <c r="AQM278" s="1069"/>
      <c r="AQN278" s="1069"/>
      <c r="AQO278" s="1069"/>
      <c r="AQP278" s="1069"/>
      <c r="AQQ278" s="1069"/>
      <c r="AQR278" s="1069"/>
      <c r="AQS278" s="1069"/>
      <c r="AQT278" s="1069"/>
      <c r="AQU278" s="1069"/>
      <c r="AQV278" s="1069"/>
      <c r="AQW278" s="1069"/>
      <c r="AQX278" s="1069"/>
      <c r="AQY278" s="1069"/>
      <c r="AQZ278" s="1069"/>
      <c r="ARA278" s="1069"/>
      <c r="ARB278" s="1069"/>
      <c r="ARC278" s="1069"/>
      <c r="ARD278" s="1069"/>
      <c r="ARE278" s="1069"/>
      <c r="ARF278" s="1069"/>
      <c r="ARG278" s="1069"/>
      <c r="ARH278" s="1069"/>
      <c r="ARI278" s="1069"/>
      <c r="ARJ278" s="1069"/>
      <c r="ARK278" s="1069"/>
      <c r="ARL278" s="1069"/>
      <c r="ARM278" s="1069"/>
      <c r="ARN278" s="1069"/>
      <c r="ARO278" s="1069"/>
      <c r="ARP278" s="1069"/>
      <c r="ARQ278" s="1069"/>
      <c r="ARR278" s="1069"/>
      <c r="ARS278" s="1069"/>
      <c r="ART278" s="1069"/>
      <c r="ARU278" s="1069"/>
      <c r="ARV278" s="1069"/>
      <c r="ARW278" s="1069"/>
      <c r="ARX278" s="1069"/>
      <c r="ARY278" s="1069"/>
      <c r="ARZ278" s="1069"/>
      <c r="ASA278" s="1069"/>
      <c r="ASB278" s="1069"/>
      <c r="ASC278" s="1069"/>
      <c r="ASD278" s="1069"/>
      <c r="ASE278" s="1069"/>
      <c r="ASF278" s="1069"/>
      <c r="ASG278" s="1069"/>
      <c r="ASH278" s="1069"/>
      <c r="ASI278" s="1069"/>
      <c r="ASJ278" s="1069"/>
      <c r="ASK278" s="1069"/>
      <c r="ASL278" s="1069"/>
      <c r="ASM278" s="1069"/>
      <c r="ASN278" s="1069"/>
      <c r="ASO278" s="1069"/>
      <c r="ASP278" s="1069"/>
      <c r="ASQ278" s="1069"/>
      <c r="ASR278" s="1069"/>
      <c r="ASS278" s="1069"/>
      <c r="AST278" s="1069"/>
      <c r="ASU278" s="1069"/>
      <c r="ASV278" s="1069"/>
      <c r="ASW278" s="1069"/>
      <c r="ASX278" s="1069"/>
      <c r="ASY278" s="1069"/>
      <c r="ASZ278" s="1069"/>
      <c r="ATA278" s="1069"/>
      <c r="ATB278" s="1069"/>
      <c r="ATC278" s="1069"/>
      <c r="ATD278" s="1069"/>
      <c r="ATE278" s="1069"/>
      <c r="ATF278" s="1069"/>
      <c r="ATG278" s="1069"/>
      <c r="ATH278" s="1069"/>
      <c r="ATI278" s="1069"/>
      <c r="ATJ278" s="1069"/>
      <c r="ATK278" s="1069"/>
      <c r="ATL278" s="1069"/>
      <c r="ATM278" s="1069"/>
      <c r="ATN278" s="1069"/>
      <c r="ATO278" s="1069"/>
      <c r="ATP278" s="1069"/>
      <c r="ATQ278" s="1069"/>
      <c r="ATR278" s="1069"/>
      <c r="ATS278" s="1069"/>
      <c r="ATT278" s="1069"/>
      <c r="ATU278" s="1069"/>
      <c r="ATV278" s="1069"/>
      <c r="ATW278" s="1069"/>
      <c r="ATX278" s="1069"/>
      <c r="ATY278" s="1069"/>
      <c r="ATZ278" s="1069"/>
      <c r="AUA278" s="1069"/>
      <c r="AUB278" s="1069"/>
      <c r="AUC278" s="1069"/>
      <c r="AUD278" s="1069"/>
      <c r="AUE278" s="1069"/>
      <c r="AUF278" s="1069"/>
      <c r="AUG278" s="1069"/>
      <c r="AUH278" s="1069"/>
      <c r="AUI278" s="1069"/>
      <c r="AUJ278" s="1069"/>
      <c r="AUK278" s="1069"/>
      <c r="AUL278" s="1069"/>
      <c r="AUM278" s="1069"/>
      <c r="AUN278" s="1069"/>
      <c r="AUO278" s="1069"/>
      <c r="AUP278" s="1069"/>
      <c r="AUQ278" s="1069"/>
      <c r="AUR278" s="1069"/>
      <c r="AUS278" s="1069"/>
      <c r="AUT278" s="1069"/>
      <c r="AUU278" s="1069"/>
      <c r="AUV278" s="1069"/>
      <c r="AUW278" s="1069"/>
      <c r="AUX278" s="1069"/>
      <c r="AUY278" s="1069"/>
      <c r="AUZ278" s="1069"/>
      <c r="AVA278" s="1069"/>
      <c r="AVB278" s="1069"/>
      <c r="AVC278" s="1069"/>
      <c r="AVD278" s="1069"/>
      <c r="AVE278" s="1069"/>
      <c r="AVF278" s="1069"/>
      <c r="AVG278" s="1069"/>
      <c r="AVH278" s="1069"/>
      <c r="AVI278" s="1069"/>
      <c r="AVJ278" s="1069"/>
      <c r="AVK278" s="1069"/>
      <c r="AVL278" s="1069"/>
      <c r="AVM278" s="1069"/>
      <c r="AVN278" s="1069"/>
      <c r="AVO278" s="1069"/>
      <c r="AVP278" s="1069"/>
      <c r="AVQ278" s="1069"/>
      <c r="AVR278" s="1069"/>
      <c r="AVS278" s="1069"/>
      <c r="AVT278" s="1069"/>
      <c r="AVU278" s="1069"/>
      <c r="AVV278" s="1069"/>
      <c r="AVW278" s="1069"/>
      <c r="AVX278" s="1069"/>
      <c r="AVY278" s="1069"/>
      <c r="AVZ278" s="1069"/>
      <c r="AWA278" s="1069"/>
      <c r="AWB278" s="1069"/>
      <c r="AWC278" s="1069"/>
      <c r="AWD278" s="1069"/>
      <c r="AWE278" s="1069"/>
      <c r="AWF278" s="1069"/>
      <c r="AWG278" s="1069"/>
      <c r="AWH278" s="1069"/>
      <c r="AWI278" s="1069"/>
      <c r="AWJ278" s="1069"/>
      <c r="AWK278" s="1069"/>
      <c r="AWL278" s="1069"/>
      <c r="AWM278" s="1069"/>
      <c r="AWN278" s="1069"/>
      <c r="AWO278" s="1069"/>
      <c r="AWP278" s="1069"/>
      <c r="AWQ278" s="1069"/>
      <c r="AWR278" s="1069"/>
      <c r="AWS278" s="1069"/>
      <c r="AWT278" s="1069"/>
      <c r="AWU278" s="1069"/>
      <c r="AWV278" s="1069"/>
      <c r="AWW278" s="1069"/>
      <c r="AWX278" s="1069"/>
      <c r="AWY278" s="1069"/>
      <c r="AWZ278" s="1069"/>
      <c r="AXA278" s="1069"/>
      <c r="AXB278" s="1069"/>
      <c r="AXC278" s="1069"/>
      <c r="AXD278" s="1069"/>
      <c r="AXE278" s="1069"/>
      <c r="AXF278" s="1069"/>
      <c r="AXG278" s="1069"/>
      <c r="AXH278" s="1069"/>
      <c r="AXI278" s="1069"/>
      <c r="AXJ278" s="1069"/>
      <c r="AXK278" s="1069"/>
      <c r="AXL278" s="1069"/>
      <c r="AXM278" s="1069"/>
      <c r="AXN278" s="1069"/>
      <c r="AXO278" s="1069"/>
      <c r="AXP278" s="1069"/>
      <c r="AXQ278" s="1069"/>
      <c r="AXR278" s="1069"/>
      <c r="AXS278" s="1069"/>
      <c r="AXT278" s="1069"/>
      <c r="AXU278" s="1069"/>
      <c r="AXV278" s="1069"/>
      <c r="AXW278" s="1069"/>
      <c r="AXX278" s="1069"/>
      <c r="AXY278" s="1069"/>
      <c r="AXZ278" s="1069"/>
      <c r="AYA278" s="1069"/>
      <c r="AYB278" s="1069"/>
      <c r="AYC278" s="1069"/>
      <c r="AYD278" s="1069"/>
      <c r="AYE278" s="1069"/>
      <c r="AYF278" s="1069"/>
      <c r="AYG278" s="1069"/>
      <c r="AYH278" s="1069"/>
      <c r="AYI278" s="1069"/>
      <c r="AYJ278" s="1069"/>
      <c r="AYK278" s="1069"/>
      <c r="AYL278" s="1069"/>
      <c r="AYM278" s="1069"/>
      <c r="AYN278" s="1069"/>
      <c r="AYO278" s="1069"/>
      <c r="AYP278" s="1069"/>
      <c r="AYQ278" s="1069"/>
      <c r="AYR278" s="1069"/>
      <c r="AYS278" s="1069"/>
      <c r="AYT278" s="1069"/>
      <c r="AYU278" s="1069"/>
      <c r="AYV278" s="1069"/>
      <c r="AYW278" s="1069"/>
      <c r="AYX278" s="1069"/>
      <c r="AYY278" s="1069"/>
      <c r="AYZ278" s="1069"/>
      <c r="AZA278" s="1069"/>
      <c r="AZB278" s="1069"/>
      <c r="AZC278" s="1069"/>
      <c r="AZD278" s="1069"/>
      <c r="AZE278" s="1069"/>
      <c r="AZF278" s="1069"/>
      <c r="AZG278" s="1069"/>
      <c r="AZH278" s="1069"/>
      <c r="AZI278" s="1069"/>
      <c r="AZJ278" s="1069"/>
      <c r="AZK278" s="1069"/>
      <c r="AZL278" s="1069"/>
      <c r="AZM278" s="1069"/>
      <c r="AZN278" s="1069"/>
      <c r="AZO278" s="1069"/>
      <c r="AZP278" s="1069"/>
      <c r="AZQ278" s="1069"/>
      <c r="AZR278" s="1069"/>
      <c r="AZS278" s="1069"/>
      <c r="AZT278" s="1069"/>
      <c r="AZU278" s="1069"/>
      <c r="AZV278" s="1069"/>
      <c r="AZW278" s="1069"/>
      <c r="AZX278" s="1069"/>
      <c r="AZY278" s="1069"/>
      <c r="AZZ278" s="1069"/>
      <c r="BAA278" s="1069"/>
      <c r="BAB278" s="1069"/>
      <c r="BAC278" s="1069"/>
      <c r="BAD278" s="1069"/>
      <c r="BAE278" s="1069"/>
      <c r="BAF278" s="1069"/>
      <c r="BAG278" s="1069"/>
      <c r="BAH278" s="1069"/>
      <c r="BAI278" s="1069"/>
      <c r="BAJ278" s="1069"/>
      <c r="BAK278" s="1069"/>
      <c r="BAL278" s="1069"/>
      <c r="BAM278" s="1069"/>
      <c r="BAN278" s="1069"/>
      <c r="BAO278" s="1069"/>
      <c r="BAP278" s="1069"/>
      <c r="BAQ278" s="1069"/>
      <c r="BAR278" s="1069"/>
      <c r="BAS278" s="1069"/>
      <c r="BAT278" s="1069"/>
      <c r="BAU278" s="1069"/>
      <c r="BAV278" s="1069"/>
      <c r="BAW278" s="1069"/>
      <c r="BAX278" s="1069"/>
      <c r="BAY278" s="1069"/>
      <c r="BAZ278" s="1069"/>
      <c r="BBA278" s="1069"/>
      <c r="BBB278" s="1069"/>
      <c r="BBC278" s="1069"/>
      <c r="BBD278" s="1069"/>
      <c r="BBE278" s="1069"/>
      <c r="BBF278" s="1069"/>
      <c r="BBG278" s="1069"/>
      <c r="BBH278" s="1069"/>
      <c r="BBI278" s="1069"/>
      <c r="BBJ278" s="1069"/>
      <c r="BBK278" s="1069"/>
      <c r="BBL278" s="1069"/>
      <c r="BBM278" s="1069"/>
      <c r="BBN278" s="1069"/>
      <c r="BBO278" s="1069"/>
      <c r="BBP278" s="1069"/>
      <c r="BBQ278" s="1069"/>
      <c r="BBR278" s="1069"/>
      <c r="BBS278" s="1069"/>
      <c r="BBT278" s="1069"/>
      <c r="BBU278" s="1069"/>
      <c r="BBV278" s="1069"/>
      <c r="BBW278" s="1069"/>
      <c r="BBX278" s="1069"/>
      <c r="BBY278" s="1069"/>
      <c r="BBZ278" s="1069"/>
      <c r="BCA278" s="1069"/>
      <c r="BCB278" s="1069"/>
      <c r="BCC278" s="1069"/>
      <c r="BCD278" s="1069"/>
      <c r="BCE278" s="1069"/>
      <c r="BCF278" s="1069"/>
      <c r="BCG278" s="1069"/>
      <c r="BCH278" s="1069"/>
      <c r="BCI278" s="1069"/>
      <c r="BCJ278" s="1069"/>
      <c r="BCK278" s="1069"/>
      <c r="BCL278" s="1069"/>
      <c r="BCM278" s="1069"/>
      <c r="BCN278" s="1069"/>
      <c r="BCO278" s="1069"/>
      <c r="BCP278" s="1069"/>
      <c r="BCQ278" s="1069"/>
      <c r="BCR278" s="1069"/>
      <c r="BCS278" s="1069"/>
      <c r="BCT278" s="1069"/>
      <c r="BCU278" s="1069"/>
      <c r="BCV278" s="1069"/>
      <c r="BCW278" s="1069"/>
      <c r="BCX278" s="1069"/>
      <c r="BCY278" s="1069"/>
      <c r="BCZ278" s="1069"/>
      <c r="BDA278" s="1069"/>
      <c r="BDB278" s="1069"/>
      <c r="BDC278" s="1069"/>
      <c r="BDD278" s="1069"/>
      <c r="BDE278" s="1069"/>
      <c r="BDF278" s="1069"/>
      <c r="BDG278" s="1069"/>
      <c r="BDH278" s="1069"/>
      <c r="BDI278" s="1069"/>
      <c r="BDJ278" s="1069"/>
      <c r="BDK278" s="1069"/>
      <c r="BDL278" s="1069"/>
      <c r="BDM278" s="1069"/>
      <c r="BDN278" s="1069"/>
      <c r="BDO278" s="1069"/>
      <c r="BDP278" s="1069"/>
      <c r="BDQ278" s="1069"/>
      <c r="BDR278" s="1069"/>
      <c r="BDS278" s="1069"/>
      <c r="BDT278" s="1069"/>
      <c r="BDU278" s="1069"/>
      <c r="BDV278" s="1069"/>
      <c r="BDW278" s="1069"/>
      <c r="BDX278" s="1069"/>
      <c r="BDY278" s="1069"/>
      <c r="BDZ278" s="1069"/>
      <c r="BEA278" s="1069"/>
      <c r="BEB278" s="1069"/>
      <c r="BEC278" s="1069"/>
      <c r="BED278" s="1069"/>
      <c r="BEE278" s="1069"/>
      <c r="BEF278" s="1069"/>
      <c r="BEG278" s="1069"/>
      <c r="BEH278" s="1069"/>
      <c r="BEI278" s="1069"/>
      <c r="BEJ278" s="1069"/>
      <c r="BEK278" s="1069"/>
      <c r="BEL278" s="1069"/>
      <c r="BEM278" s="1069"/>
      <c r="BEN278" s="1069"/>
      <c r="BEO278" s="1069"/>
      <c r="BEP278" s="1069"/>
      <c r="BEQ278" s="1069"/>
      <c r="BER278" s="1069"/>
      <c r="BES278" s="1069"/>
      <c r="BET278" s="1069"/>
      <c r="BEU278" s="1069"/>
      <c r="BEV278" s="1069"/>
      <c r="BEW278" s="1069"/>
      <c r="BEX278" s="1069"/>
      <c r="BEY278" s="1069"/>
      <c r="BEZ278" s="1069"/>
      <c r="BFA278" s="1069"/>
      <c r="BFB278" s="1069"/>
      <c r="BFC278" s="1069"/>
      <c r="BFD278" s="1069"/>
      <c r="BFE278" s="1069"/>
      <c r="BFF278" s="1069"/>
      <c r="BFG278" s="1069"/>
      <c r="BFH278" s="1069"/>
      <c r="BFI278" s="1069"/>
      <c r="BFJ278" s="1069"/>
      <c r="BFK278" s="1069"/>
      <c r="BFL278" s="1069"/>
      <c r="BFM278" s="1069"/>
      <c r="BFN278" s="1069"/>
      <c r="BFO278" s="1069"/>
      <c r="BFP278" s="1069"/>
      <c r="BFQ278" s="1069"/>
      <c r="BFR278" s="1069"/>
      <c r="BFS278" s="1069"/>
      <c r="BFT278" s="1069"/>
      <c r="BFU278" s="1069"/>
      <c r="BFV278" s="1069"/>
      <c r="BFW278" s="1069"/>
      <c r="BFX278" s="1069"/>
      <c r="BFY278" s="1069"/>
      <c r="BFZ278" s="1069"/>
      <c r="BGA278" s="1069"/>
      <c r="BGB278" s="1069"/>
      <c r="BGC278" s="1069"/>
      <c r="BGD278" s="1069"/>
      <c r="BGE278" s="1069"/>
      <c r="BGF278" s="1069"/>
      <c r="BGG278" s="1069"/>
      <c r="BGH278" s="1069"/>
      <c r="BGI278" s="1069"/>
      <c r="BGJ278" s="1069"/>
      <c r="BGK278" s="1069"/>
      <c r="BGL278" s="1069"/>
      <c r="BGM278" s="1069"/>
      <c r="BGN278" s="1069"/>
      <c r="BGO278" s="1069"/>
      <c r="BGP278" s="1069"/>
      <c r="BGQ278" s="1069"/>
      <c r="BGR278" s="1069"/>
      <c r="BGS278" s="1069"/>
      <c r="BGT278" s="1069"/>
      <c r="BGU278" s="1069"/>
      <c r="BGV278" s="1069"/>
      <c r="BGW278" s="1069"/>
      <c r="BGX278" s="1069"/>
      <c r="BGY278" s="1069"/>
      <c r="BGZ278" s="1069"/>
      <c r="BHA278" s="1069"/>
      <c r="BHB278" s="1069"/>
      <c r="BHC278" s="1069"/>
      <c r="BHD278" s="1069"/>
      <c r="BHE278" s="1069"/>
      <c r="BHF278" s="1069"/>
      <c r="BHG278" s="1069"/>
      <c r="BHH278" s="1069"/>
      <c r="BHI278" s="1069"/>
      <c r="BHJ278" s="1069"/>
      <c r="BHK278" s="1069"/>
      <c r="BHL278" s="1069"/>
      <c r="BHM278" s="1069"/>
      <c r="BHN278" s="1069"/>
      <c r="BHO278" s="1069"/>
      <c r="BHP278" s="1069"/>
      <c r="BHQ278" s="1069"/>
      <c r="BHR278" s="1069"/>
      <c r="BHS278" s="1069"/>
      <c r="BHT278" s="1069"/>
      <c r="BHU278" s="1069"/>
      <c r="BHV278" s="1069"/>
      <c r="BHW278" s="1069"/>
      <c r="BHX278" s="1069"/>
      <c r="BHY278" s="1069"/>
      <c r="BHZ278" s="1069"/>
      <c r="BIA278" s="1069"/>
      <c r="BIB278" s="1069"/>
      <c r="BIC278" s="1069"/>
      <c r="BID278" s="1069"/>
      <c r="BIE278" s="1069"/>
      <c r="BIF278" s="1069"/>
      <c r="BIG278" s="1069"/>
      <c r="BIH278" s="1069"/>
      <c r="BII278" s="1069"/>
      <c r="BIJ278" s="1069"/>
      <c r="BIK278" s="1069"/>
      <c r="BIL278" s="1069"/>
      <c r="BIM278" s="1069"/>
      <c r="BIN278" s="1069"/>
      <c r="BIO278" s="1069"/>
      <c r="BIP278" s="1069"/>
      <c r="BIQ278" s="1069"/>
      <c r="BIR278" s="1069"/>
      <c r="BIS278" s="1069"/>
      <c r="BIT278" s="1069"/>
      <c r="BIU278" s="1069"/>
      <c r="BIV278" s="1069"/>
      <c r="BIW278" s="1069"/>
      <c r="BIX278" s="1069"/>
      <c r="BIY278" s="1069"/>
      <c r="BIZ278" s="1069"/>
      <c r="BJA278" s="1069"/>
      <c r="BJB278" s="1069"/>
      <c r="BJC278" s="1069"/>
      <c r="BJD278" s="1069"/>
      <c r="BJE278" s="1069"/>
      <c r="BJF278" s="1069"/>
      <c r="BJG278" s="1069"/>
      <c r="BJH278" s="1069"/>
      <c r="BJI278" s="1069"/>
      <c r="BJJ278" s="1069"/>
      <c r="BJK278" s="1069"/>
      <c r="BJL278" s="1069"/>
      <c r="BJM278" s="1069"/>
      <c r="BJN278" s="1069"/>
      <c r="BJO278" s="1069"/>
      <c r="BJP278" s="1069"/>
      <c r="BJQ278" s="1069"/>
      <c r="BJR278" s="1069"/>
      <c r="BJS278" s="1069"/>
      <c r="BJT278" s="1069"/>
      <c r="BJU278" s="1069"/>
      <c r="BJV278" s="1069"/>
      <c r="BJW278" s="1069"/>
      <c r="BJX278" s="1069"/>
      <c r="BJY278" s="1069"/>
      <c r="BJZ278" s="1069"/>
      <c r="BKA278" s="1069"/>
      <c r="BKB278" s="1069"/>
      <c r="BKC278" s="1069"/>
      <c r="BKD278" s="1069"/>
      <c r="BKE278" s="1069"/>
      <c r="BKF278" s="1069"/>
      <c r="BKG278" s="1069"/>
      <c r="BKH278" s="1069"/>
      <c r="BKI278" s="1069"/>
      <c r="BKJ278" s="1069"/>
      <c r="BKK278" s="1069"/>
      <c r="BKL278" s="1069"/>
      <c r="BKM278" s="1069"/>
      <c r="BKN278" s="1069"/>
      <c r="BKO278" s="1069"/>
      <c r="BKP278" s="1069"/>
      <c r="BKQ278" s="1069"/>
      <c r="BKR278" s="1069"/>
      <c r="BKS278" s="1069"/>
      <c r="BKT278" s="1069"/>
      <c r="BKU278" s="1069"/>
      <c r="BKV278" s="1069"/>
      <c r="BKW278" s="1069"/>
      <c r="BKX278" s="1069"/>
      <c r="BKY278" s="1069"/>
      <c r="BKZ278" s="1069"/>
      <c r="BLA278" s="1069"/>
      <c r="BLB278" s="1069"/>
      <c r="BLC278" s="1069"/>
      <c r="BLD278" s="1069"/>
      <c r="BLE278" s="1069"/>
      <c r="BLF278" s="1069"/>
      <c r="BLG278" s="1069"/>
      <c r="BLH278" s="1069"/>
      <c r="BLI278" s="1069"/>
      <c r="BLJ278" s="1069"/>
      <c r="BLK278" s="1069"/>
      <c r="BLL278" s="1069"/>
      <c r="BLM278" s="1069"/>
      <c r="BLN278" s="1069"/>
      <c r="BLO278" s="1069"/>
      <c r="BLP278" s="1069"/>
      <c r="BLQ278" s="1069"/>
      <c r="BLR278" s="1069"/>
      <c r="BLS278" s="1069"/>
      <c r="BLT278" s="1069"/>
      <c r="BLU278" s="1069"/>
      <c r="BLV278" s="1069"/>
      <c r="BLW278" s="1069"/>
      <c r="BLX278" s="1069"/>
      <c r="BLY278" s="1069"/>
      <c r="BLZ278" s="1069"/>
      <c r="BMA278" s="1069"/>
      <c r="BMB278" s="1069"/>
      <c r="BMC278" s="1069"/>
      <c r="BMD278" s="1069"/>
      <c r="BME278" s="1069"/>
      <c r="BMF278" s="1069"/>
      <c r="BMG278" s="1069"/>
      <c r="BMH278" s="1069"/>
      <c r="BMI278" s="1069"/>
      <c r="BMJ278" s="1069"/>
      <c r="BMK278" s="1069"/>
      <c r="BML278" s="1069"/>
      <c r="BMM278" s="1069"/>
      <c r="BMN278" s="1069"/>
      <c r="BMO278" s="1069"/>
      <c r="BMP278" s="1069"/>
      <c r="BMQ278" s="1069"/>
      <c r="BMR278" s="1069"/>
      <c r="BMS278" s="1069"/>
      <c r="BMT278" s="1069"/>
      <c r="BMU278" s="1069"/>
      <c r="BMV278" s="1069"/>
      <c r="BMW278" s="1069"/>
      <c r="BMX278" s="1069"/>
      <c r="BMY278" s="1069"/>
      <c r="BMZ278" s="1069"/>
      <c r="BNA278" s="1069"/>
      <c r="BNB278" s="1069"/>
      <c r="BNC278" s="1069"/>
      <c r="BND278" s="1069"/>
      <c r="BNE278" s="1069"/>
      <c r="BNF278" s="1069"/>
      <c r="BNG278" s="1069"/>
      <c r="BNH278" s="1069"/>
      <c r="BNI278" s="1069"/>
      <c r="BNJ278" s="1069"/>
      <c r="BNK278" s="1069"/>
      <c r="BNL278" s="1069"/>
      <c r="BNM278" s="1069"/>
      <c r="BNN278" s="1069"/>
      <c r="BNO278" s="1069"/>
      <c r="BNP278" s="1069"/>
      <c r="BNQ278" s="1069"/>
      <c r="BNR278" s="1069"/>
      <c r="BNS278" s="1069"/>
      <c r="BNT278" s="1069"/>
      <c r="BNU278" s="1069"/>
      <c r="BNV278" s="1069"/>
      <c r="BNW278" s="1069"/>
      <c r="BNX278" s="1069"/>
      <c r="BNY278" s="1069"/>
      <c r="BNZ278" s="1069"/>
      <c r="BOA278" s="1069"/>
      <c r="BOB278" s="1069"/>
      <c r="BOC278" s="1069"/>
      <c r="BOD278" s="1069"/>
      <c r="BOE278" s="1069"/>
      <c r="BOF278" s="1069"/>
      <c r="BOG278" s="1069"/>
      <c r="BOH278" s="1069"/>
      <c r="BOI278" s="1069"/>
      <c r="BOJ278" s="1069"/>
      <c r="BOK278" s="1069"/>
      <c r="BOL278" s="1069"/>
      <c r="BOM278" s="1069"/>
      <c r="BON278" s="1069"/>
      <c r="BOO278" s="1069"/>
      <c r="BOP278" s="1069"/>
      <c r="BOQ278" s="1069"/>
      <c r="BOR278" s="1069"/>
      <c r="BOS278" s="1069"/>
      <c r="BOT278" s="1069"/>
      <c r="BOU278" s="1069"/>
      <c r="BOV278" s="1069"/>
      <c r="BOW278" s="1069"/>
      <c r="BOX278" s="1069"/>
      <c r="BOY278" s="1069"/>
      <c r="BOZ278" s="1069"/>
      <c r="BPA278" s="1069"/>
      <c r="BPB278" s="1069"/>
      <c r="BPC278" s="1069"/>
      <c r="BPD278" s="1069"/>
      <c r="BPE278" s="1069"/>
      <c r="BPF278" s="1069"/>
      <c r="BPG278" s="1069"/>
      <c r="BPH278" s="1069"/>
      <c r="BPI278" s="1069"/>
      <c r="BPJ278" s="1069"/>
      <c r="BPK278" s="1069"/>
      <c r="BPL278" s="1069"/>
      <c r="BPM278" s="1069"/>
      <c r="BPN278" s="1069"/>
      <c r="BPO278" s="1069"/>
      <c r="BPP278" s="1069"/>
      <c r="BPQ278" s="1069"/>
      <c r="BPR278" s="1069"/>
      <c r="BPS278" s="1069"/>
      <c r="BPT278" s="1069"/>
      <c r="BPU278" s="1069"/>
      <c r="BPV278" s="1069"/>
      <c r="BPW278" s="1069"/>
      <c r="BPX278" s="1069"/>
      <c r="BPY278" s="1069"/>
      <c r="BPZ278" s="1069"/>
      <c r="BQA278" s="1069"/>
      <c r="BQB278" s="1069"/>
      <c r="BQC278" s="1069"/>
      <c r="BQD278" s="1069"/>
      <c r="BQE278" s="1069"/>
      <c r="BQF278" s="1069"/>
      <c r="BQG278" s="1069"/>
      <c r="BQH278" s="1069"/>
      <c r="BQI278" s="1069"/>
      <c r="BQJ278" s="1069"/>
      <c r="BQK278" s="1069"/>
      <c r="BQL278" s="1069"/>
      <c r="BQM278" s="1069"/>
      <c r="BQN278" s="1069"/>
      <c r="BQO278" s="1069"/>
      <c r="BQP278" s="1069"/>
      <c r="BQQ278" s="1069"/>
      <c r="BQR278" s="1069"/>
      <c r="BQS278" s="1069"/>
      <c r="BQT278" s="1069"/>
      <c r="BQU278" s="1069"/>
      <c r="BQV278" s="1069"/>
      <c r="BQW278" s="1069"/>
      <c r="BQX278" s="1069"/>
      <c r="BQY278" s="1069"/>
      <c r="BQZ278" s="1069"/>
      <c r="BRA278" s="1069"/>
      <c r="BRB278" s="1069"/>
      <c r="BRC278" s="1069"/>
      <c r="BRD278" s="1069"/>
      <c r="BRE278" s="1069"/>
      <c r="BRF278" s="1069"/>
      <c r="BRG278" s="1069"/>
      <c r="BRH278" s="1069"/>
      <c r="BRI278" s="1069"/>
      <c r="BRJ278" s="1069"/>
      <c r="BRK278" s="1069"/>
      <c r="BRL278" s="1069"/>
      <c r="BRM278" s="1069"/>
      <c r="BRN278" s="1069"/>
      <c r="BRO278" s="1069"/>
      <c r="BRP278" s="1069"/>
      <c r="BRQ278" s="1069"/>
      <c r="BRR278" s="1069"/>
      <c r="BRS278" s="1069"/>
      <c r="BRT278" s="1069"/>
      <c r="BRU278" s="1069"/>
      <c r="BRV278" s="1069"/>
      <c r="BRW278" s="1069"/>
      <c r="BRX278" s="1069"/>
      <c r="BRY278" s="1069"/>
      <c r="BRZ278" s="1069"/>
      <c r="BSA278" s="1069"/>
      <c r="BSB278" s="1069"/>
      <c r="BSC278" s="1069"/>
      <c r="BSD278" s="1069"/>
      <c r="BSE278" s="1069"/>
      <c r="BSF278" s="1069"/>
      <c r="BSG278" s="1069"/>
      <c r="BSH278" s="1069"/>
      <c r="BSI278" s="1069"/>
      <c r="BSJ278" s="1069"/>
      <c r="BSK278" s="1069"/>
      <c r="BSL278" s="1069"/>
      <c r="BSM278" s="1069"/>
      <c r="BSN278" s="1069"/>
      <c r="BSO278" s="1069"/>
      <c r="BSP278" s="1069"/>
      <c r="BSQ278" s="1069"/>
      <c r="BSR278" s="1069"/>
      <c r="BSS278" s="1069"/>
      <c r="BST278" s="1069"/>
      <c r="BSU278" s="1069"/>
      <c r="BSV278" s="1069"/>
      <c r="BSW278" s="1069"/>
      <c r="BSX278" s="1069"/>
      <c r="BSY278" s="1069"/>
      <c r="BSZ278" s="1069"/>
      <c r="BTA278" s="1069"/>
      <c r="BTB278" s="1069"/>
      <c r="BTC278" s="1069"/>
      <c r="BTD278" s="1069"/>
      <c r="BTE278" s="1069"/>
      <c r="BTF278" s="1069"/>
      <c r="BTG278" s="1069"/>
      <c r="BTH278" s="1069"/>
      <c r="BTI278" s="1069"/>
      <c r="BTJ278" s="1069"/>
      <c r="BTK278" s="1069"/>
      <c r="BTL278" s="1069"/>
      <c r="BTM278" s="1069"/>
      <c r="BTN278" s="1069"/>
      <c r="BTO278" s="1069"/>
      <c r="BTP278" s="1069"/>
      <c r="BTQ278" s="1069"/>
      <c r="BTR278" s="1069"/>
      <c r="BTS278" s="1069"/>
      <c r="BTT278" s="1069"/>
      <c r="BTU278" s="1069"/>
      <c r="BTV278" s="1069"/>
      <c r="BTW278" s="1069"/>
      <c r="BTX278" s="1069"/>
      <c r="BTY278" s="1069"/>
      <c r="BTZ278" s="1069"/>
      <c r="BUA278" s="1069"/>
      <c r="BUB278" s="1069"/>
      <c r="BUC278" s="1069"/>
      <c r="BUD278" s="1069"/>
      <c r="BUE278" s="1069"/>
      <c r="BUF278" s="1069"/>
      <c r="BUG278" s="1069"/>
      <c r="BUH278" s="1069"/>
      <c r="BUI278" s="1069"/>
      <c r="BUJ278" s="1069"/>
      <c r="BUK278" s="1069"/>
      <c r="BUL278" s="1069"/>
      <c r="BUM278" s="1069"/>
      <c r="BUN278" s="1069"/>
      <c r="BUO278" s="1069"/>
      <c r="BUP278" s="1069"/>
      <c r="BUQ278" s="1069"/>
      <c r="BUR278" s="1069"/>
      <c r="BUS278" s="1069"/>
      <c r="BUT278" s="1069"/>
      <c r="BUU278" s="1069"/>
      <c r="BUV278" s="1069"/>
      <c r="BUW278" s="1069"/>
      <c r="BUX278" s="1069"/>
      <c r="BUY278" s="1069"/>
      <c r="BUZ278" s="1069"/>
      <c r="BVA278" s="1069"/>
      <c r="BVB278" s="1069"/>
      <c r="BVC278" s="1069"/>
      <c r="BVD278" s="1069"/>
      <c r="BVE278" s="1069"/>
      <c r="BVF278" s="1069"/>
      <c r="BVG278" s="1069"/>
      <c r="BVH278" s="1069"/>
      <c r="BVI278" s="1069"/>
      <c r="BVJ278" s="1069"/>
      <c r="BVK278" s="1069"/>
      <c r="BVL278" s="1069"/>
      <c r="BVM278" s="1069"/>
      <c r="BVN278" s="1069"/>
      <c r="BVO278" s="1069"/>
      <c r="BVP278" s="1069"/>
      <c r="BVQ278" s="1069"/>
      <c r="BVR278" s="1069"/>
      <c r="BVS278" s="1069"/>
      <c r="BVT278" s="1069"/>
      <c r="BVU278" s="1069"/>
      <c r="BVV278" s="1069"/>
      <c r="BVW278" s="1069"/>
      <c r="BVX278" s="1069"/>
      <c r="BVY278" s="1069"/>
      <c r="BVZ278" s="1069"/>
      <c r="BWA278" s="1069"/>
      <c r="BWB278" s="1069"/>
      <c r="BWC278" s="1069"/>
      <c r="BWD278" s="1069"/>
      <c r="BWE278" s="1069"/>
      <c r="BWF278" s="1069"/>
      <c r="BWG278" s="1069"/>
      <c r="BWH278" s="1069"/>
      <c r="BWI278" s="1069"/>
      <c r="BWJ278" s="1069"/>
      <c r="BWK278" s="1069"/>
      <c r="BWL278" s="1069"/>
      <c r="BWM278" s="1069"/>
      <c r="BWN278" s="1069"/>
      <c r="BWO278" s="1069"/>
      <c r="BWP278" s="1069"/>
      <c r="BWQ278" s="1069"/>
      <c r="BWR278" s="1069"/>
      <c r="BWS278" s="1069"/>
      <c r="BWT278" s="1069"/>
      <c r="BWU278" s="1069"/>
      <c r="BWV278" s="1069"/>
      <c r="BWW278" s="1069"/>
      <c r="BWX278" s="1069"/>
      <c r="BWY278" s="1069"/>
      <c r="BWZ278" s="1069"/>
      <c r="BXA278" s="1069"/>
      <c r="BXB278" s="1069"/>
      <c r="BXC278" s="1069"/>
      <c r="BXD278" s="1069"/>
      <c r="BXE278" s="1069"/>
      <c r="BXF278" s="1069"/>
      <c r="BXG278" s="1069"/>
      <c r="BXH278" s="1069"/>
      <c r="BXI278" s="1069"/>
      <c r="BXJ278" s="1069"/>
      <c r="BXK278" s="1069"/>
      <c r="BXL278" s="1069"/>
      <c r="BXM278" s="1069"/>
      <c r="BXN278" s="1069"/>
      <c r="BXO278" s="1069"/>
      <c r="BXP278" s="1069"/>
      <c r="BXQ278" s="1069"/>
      <c r="BXR278" s="1069"/>
      <c r="BXS278" s="1069"/>
      <c r="BXT278" s="1069"/>
      <c r="BXU278" s="1069"/>
      <c r="BXV278" s="1069"/>
      <c r="BXW278" s="1069"/>
      <c r="BXX278" s="1069"/>
      <c r="BXY278" s="1069"/>
      <c r="BXZ278" s="1069"/>
      <c r="BYA278" s="1069"/>
      <c r="BYB278" s="1069"/>
      <c r="BYC278" s="1069"/>
      <c r="BYD278" s="1069"/>
      <c r="BYE278" s="1069"/>
      <c r="BYF278" s="1069"/>
      <c r="BYG278" s="1069"/>
      <c r="BYH278" s="1069"/>
      <c r="BYI278" s="1069"/>
      <c r="BYJ278" s="1069"/>
      <c r="BYK278" s="1069"/>
      <c r="BYL278" s="1069"/>
      <c r="BYM278" s="1069"/>
      <c r="BYN278" s="1069"/>
      <c r="BYO278" s="1069"/>
      <c r="BYP278" s="1069"/>
      <c r="BYQ278" s="1069"/>
      <c r="BYR278" s="1069"/>
      <c r="BYS278" s="1069"/>
      <c r="BYT278" s="1069"/>
      <c r="BYU278" s="1069"/>
      <c r="BYV278" s="1069"/>
      <c r="BYW278" s="1069"/>
      <c r="BYX278" s="1069"/>
      <c r="BYY278" s="1069"/>
      <c r="BYZ278" s="1069"/>
      <c r="BZA278" s="1069"/>
      <c r="BZB278" s="1069"/>
      <c r="BZC278" s="1069"/>
      <c r="BZD278" s="1069"/>
      <c r="BZE278" s="1069"/>
      <c r="BZF278" s="1069"/>
      <c r="BZG278" s="1069"/>
      <c r="BZH278" s="1069"/>
      <c r="BZI278" s="1069"/>
      <c r="BZJ278" s="1069"/>
      <c r="BZK278" s="1069"/>
      <c r="BZL278" s="1069"/>
      <c r="BZM278" s="1069"/>
      <c r="BZN278" s="1069"/>
      <c r="BZO278" s="1069"/>
      <c r="BZP278" s="1069"/>
      <c r="BZQ278" s="1069"/>
      <c r="BZR278" s="1069"/>
      <c r="BZS278" s="1069"/>
      <c r="BZT278" s="1069"/>
      <c r="BZU278" s="1069"/>
      <c r="BZV278" s="1069"/>
      <c r="BZW278" s="1069"/>
      <c r="BZX278" s="1069"/>
      <c r="BZY278" s="1069"/>
      <c r="BZZ278" s="1069"/>
      <c r="CAA278" s="1069"/>
      <c r="CAB278" s="1069"/>
      <c r="CAC278" s="1069"/>
      <c r="CAD278" s="1069"/>
      <c r="CAE278" s="1069"/>
      <c r="CAF278" s="1069"/>
      <c r="CAG278" s="1069"/>
      <c r="CAH278" s="1069"/>
      <c r="CAI278" s="1069"/>
      <c r="CAJ278" s="1069"/>
      <c r="CAK278" s="1069"/>
      <c r="CAL278" s="1069"/>
      <c r="CAM278" s="1069"/>
      <c r="CAN278" s="1069"/>
      <c r="CAO278" s="1069"/>
      <c r="CAP278" s="1069"/>
      <c r="CAQ278" s="1069"/>
      <c r="CAR278" s="1069"/>
      <c r="CAS278" s="1069"/>
      <c r="CAT278" s="1069"/>
      <c r="CAU278" s="1069"/>
      <c r="CAV278" s="1069"/>
      <c r="CAW278" s="1069"/>
      <c r="CAX278" s="1069"/>
      <c r="CAY278" s="1069"/>
      <c r="CAZ278" s="1069"/>
      <c r="CBA278" s="1069"/>
      <c r="CBB278" s="1069"/>
      <c r="CBC278" s="1069"/>
      <c r="CBD278" s="1069"/>
      <c r="CBE278" s="1069"/>
      <c r="CBF278" s="1069"/>
      <c r="CBG278" s="1069"/>
      <c r="CBH278" s="1069"/>
      <c r="CBI278" s="1069"/>
      <c r="CBJ278" s="1069"/>
      <c r="CBK278" s="1069"/>
      <c r="CBL278" s="1069"/>
      <c r="CBM278" s="1069"/>
      <c r="CBN278" s="1069"/>
      <c r="CBO278" s="1069"/>
      <c r="CBP278" s="1069"/>
      <c r="CBQ278" s="1069"/>
      <c r="CBR278" s="1069"/>
      <c r="CBS278" s="1069"/>
      <c r="CBT278" s="1069"/>
      <c r="CBU278" s="1069"/>
      <c r="CBV278" s="1069"/>
      <c r="CBW278" s="1069"/>
      <c r="CBX278" s="1069"/>
      <c r="CBY278" s="1069"/>
      <c r="CBZ278" s="1069"/>
      <c r="CCA278" s="1069"/>
      <c r="CCB278" s="1069"/>
      <c r="CCC278" s="1069"/>
      <c r="CCD278" s="1069"/>
      <c r="CCE278" s="1069"/>
      <c r="CCF278" s="1069"/>
      <c r="CCG278" s="1069"/>
      <c r="CCH278" s="1069"/>
      <c r="CCI278" s="1069"/>
      <c r="CCJ278" s="1069"/>
      <c r="CCK278" s="1069"/>
      <c r="CCL278" s="1069"/>
      <c r="CCM278" s="1069"/>
      <c r="CCN278" s="1069"/>
      <c r="CCO278" s="1069"/>
      <c r="CCP278" s="1069"/>
      <c r="CCQ278" s="1069"/>
      <c r="CCR278" s="1069"/>
      <c r="CCS278" s="1069"/>
      <c r="CCT278" s="1069"/>
      <c r="CCU278" s="1069"/>
      <c r="CCV278" s="1069"/>
      <c r="CCW278" s="1069"/>
      <c r="CCX278" s="1069"/>
      <c r="CCY278" s="1069"/>
      <c r="CCZ278" s="1069"/>
      <c r="CDA278" s="1069"/>
      <c r="CDB278" s="1069"/>
      <c r="CDC278" s="1069"/>
      <c r="CDD278" s="1069"/>
      <c r="CDE278" s="1069"/>
      <c r="CDF278" s="1069"/>
      <c r="CDG278" s="1069"/>
      <c r="CDH278" s="1069"/>
      <c r="CDI278" s="1069"/>
      <c r="CDJ278" s="1069"/>
      <c r="CDK278" s="1069"/>
      <c r="CDL278" s="1069"/>
      <c r="CDM278" s="1069"/>
      <c r="CDN278" s="1069"/>
      <c r="CDO278" s="1069"/>
      <c r="CDP278" s="1069"/>
      <c r="CDQ278" s="1069"/>
      <c r="CDR278" s="1069"/>
      <c r="CDS278" s="1069"/>
      <c r="CDT278" s="1069"/>
      <c r="CDU278" s="1069"/>
      <c r="CDV278" s="1069"/>
      <c r="CDW278" s="1069"/>
      <c r="CDX278" s="1069"/>
      <c r="CDY278" s="1069"/>
      <c r="CDZ278" s="1069"/>
      <c r="CEA278" s="1069"/>
      <c r="CEB278" s="1069"/>
      <c r="CEC278" s="1069"/>
      <c r="CED278" s="1069"/>
      <c r="CEE278" s="1069"/>
      <c r="CEF278" s="1069"/>
      <c r="CEG278" s="1069"/>
      <c r="CEH278" s="1069"/>
      <c r="CEI278" s="1069"/>
      <c r="CEJ278" s="1069"/>
      <c r="CEK278" s="1069"/>
      <c r="CEL278" s="1069"/>
      <c r="CEM278" s="1069"/>
      <c r="CEN278" s="1069"/>
      <c r="CEO278" s="1069"/>
      <c r="CEP278" s="1069"/>
      <c r="CEQ278" s="1069"/>
      <c r="CER278" s="1069"/>
      <c r="CES278" s="1069"/>
      <c r="CET278" s="1069"/>
      <c r="CEU278" s="1069"/>
      <c r="CEV278" s="1069"/>
      <c r="CEW278" s="1069"/>
      <c r="CEX278" s="1069"/>
      <c r="CEY278" s="1069"/>
      <c r="CEZ278" s="1069"/>
      <c r="CFA278" s="1069"/>
      <c r="CFB278" s="1069"/>
      <c r="CFC278" s="1069"/>
      <c r="CFD278" s="1069"/>
      <c r="CFE278" s="1069"/>
      <c r="CFF278" s="1069"/>
      <c r="CFG278" s="1069"/>
      <c r="CFH278" s="1069"/>
      <c r="CFI278" s="1069"/>
      <c r="CFJ278" s="1069"/>
      <c r="CFK278" s="1069"/>
      <c r="CFL278" s="1069"/>
      <c r="CFM278" s="1069"/>
      <c r="CFN278" s="1069"/>
      <c r="CFO278" s="1069"/>
      <c r="CFP278" s="1069"/>
      <c r="CFQ278" s="1069"/>
      <c r="CFR278" s="1069"/>
      <c r="CFS278" s="1069"/>
      <c r="CFT278" s="1069"/>
      <c r="CFU278" s="1069"/>
      <c r="CFV278" s="1069"/>
      <c r="CFW278" s="1069"/>
      <c r="CFX278" s="1069"/>
      <c r="CFY278" s="1069"/>
      <c r="CFZ278" s="1069"/>
      <c r="CGA278" s="1069"/>
      <c r="CGB278" s="1069"/>
      <c r="CGC278" s="1069"/>
      <c r="CGD278" s="1069"/>
      <c r="CGE278" s="1069"/>
      <c r="CGF278" s="1069"/>
      <c r="CGG278" s="1069"/>
      <c r="CGH278" s="1069"/>
      <c r="CGI278" s="1069"/>
      <c r="CGJ278" s="1069"/>
      <c r="CGK278" s="1069"/>
      <c r="CGL278" s="1069"/>
      <c r="CGM278" s="1069"/>
      <c r="CGN278" s="1069"/>
      <c r="CGO278" s="1069"/>
      <c r="CGP278" s="1069"/>
      <c r="CGQ278" s="1069"/>
      <c r="CGR278" s="1069"/>
      <c r="CGS278" s="1069"/>
      <c r="CGT278" s="1069"/>
      <c r="CGU278" s="1069"/>
      <c r="CGV278" s="1069"/>
      <c r="CGW278" s="1069"/>
      <c r="CGX278" s="1069"/>
      <c r="CGY278" s="1069"/>
      <c r="CGZ278" s="1069"/>
      <c r="CHA278" s="1069"/>
      <c r="CHB278" s="1069"/>
      <c r="CHC278" s="1069"/>
      <c r="CHD278" s="1069"/>
      <c r="CHE278" s="1069"/>
      <c r="CHF278" s="1069"/>
      <c r="CHG278" s="1069"/>
      <c r="CHH278" s="1069"/>
      <c r="CHI278" s="1069"/>
      <c r="CHJ278" s="1069"/>
      <c r="CHK278" s="1069"/>
      <c r="CHL278" s="1069"/>
      <c r="CHM278" s="1069"/>
      <c r="CHN278" s="1069"/>
      <c r="CHO278" s="1069"/>
      <c r="CHP278" s="1069"/>
      <c r="CHQ278" s="1069"/>
      <c r="CHR278" s="1069"/>
      <c r="CHS278" s="1069"/>
      <c r="CHT278" s="1069"/>
      <c r="CHU278" s="1069"/>
      <c r="CHV278" s="1069"/>
      <c r="CHW278" s="1069"/>
      <c r="CHX278" s="1069"/>
      <c r="CHY278" s="1069"/>
      <c r="CHZ278" s="1069"/>
      <c r="CIA278" s="1069"/>
      <c r="CIB278" s="1069"/>
      <c r="CIC278" s="1069"/>
      <c r="CID278" s="1069"/>
      <c r="CIE278" s="1069"/>
      <c r="CIF278" s="1069"/>
      <c r="CIG278" s="1069"/>
      <c r="CIH278" s="1069"/>
      <c r="CII278" s="1069"/>
      <c r="CIJ278" s="1069"/>
      <c r="CIK278" s="1069"/>
      <c r="CIL278" s="1069"/>
      <c r="CIM278" s="1069"/>
      <c r="CIN278" s="1069"/>
      <c r="CIO278" s="1069"/>
      <c r="CIP278" s="1069"/>
      <c r="CIQ278" s="1069"/>
      <c r="CIR278" s="1069"/>
      <c r="CIS278" s="1069"/>
      <c r="CIT278" s="1069"/>
      <c r="CIU278" s="1069"/>
      <c r="CIV278" s="1069"/>
      <c r="CIW278" s="1069"/>
      <c r="CIX278" s="1069"/>
      <c r="CIY278" s="1069"/>
      <c r="CIZ278" s="1069"/>
      <c r="CJA278" s="1069"/>
      <c r="CJB278" s="1069"/>
      <c r="CJC278" s="1069"/>
      <c r="CJD278" s="1069"/>
      <c r="CJE278" s="1069"/>
      <c r="CJF278" s="1069"/>
      <c r="CJG278" s="1069"/>
      <c r="CJH278" s="1069"/>
      <c r="CJI278" s="1069"/>
      <c r="CJJ278" s="1069"/>
      <c r="CJK278" s="1069"/>
      <c r="CJL278" s="1069"/>
      <c r="CJM278" s="1069"/>
      <c r="CJN278" s="1069"/>
      <c r="CJO278" s="1069"/>
      <c r="CJP278" s="1069"/>
      <c r="CJQ278" s="1069"/>
      <c r="CJR278" s="1069"/>
      <c r="CJS278" s="1069"/>
      <c r="CJT278" s="1069"/>
      <c r="CJU278" s="1069"/>
      <c r="CJV278" s="1069"/>
      <c r="CJW278" s="1069"/>
      <c r="CJX278" s="1069"/>
      <c r="CJY278" s="1069"/>
      <c r="CJZ278" s="1069"/>
      <c r="CKA278" s="1069"/>
      <c r="CKB278" s="1069"/>
      <c r="CKC278" s="1069"/>
      <c r="CKD278" s="1069"/>
      <c r="CKE278" s="1069"/>
      <c r="CKF278" s="1069"/>
      <c r="CKG278" s="1069"/>
      <c r="CKH278" s="1069"/>
      <c r="CKI278" s="1069"/>
      <c r="CKJ278" s="1069"/>
      <c r="CKK278" s="1069"/>
      <c r="CKL278" s="1069"/>
      <c r="CKM278" s="1069"/>
      <c r="CKN278" s="1069"/>
      <c r="CKO278" s="1069"/>
      <c r="CKP278" s="1069"/>
      <c r="CKQ278" s="1069"/>
      <c r="CKR278" s="1069"/>
      <c r="CKS278" s="1069"/>
      <c r="CKT278" s="1069"/>
      <c r="CKU278" s="1069"/>
      <c r="CKV278" s="1069"/>
      <c r="CKW278" s="1069"/>
      <c r="CKX278" s="1069"/>
      <c r="CKY278" s="1069"/>
      <c r="CKZ278" s="1069"/>
      <c r="CLA278" s="1069"/>
      <c r="CLB278" s="1069"/>
      <c r="CLC278" s="1069"/>
      <c r="CLD278" s="1069"/>
      <c r="CLE278" s="1069"/>
      <c r="CLF278" s="1069"/>
      <c r="CLG278" s="1069"/>
      <c r="CLH278" s="1069"/>
      <c r="CLI278" s="1069"/>
      <c r="CLJ278" s="1069"/>
      <c r="CLK278" s="1069"/>
      <c r="CLL278" s="1069"/>
      <c r="CLM278" s="1069"/>
      <c r="CLN278" s="1069"/>
      <c r="CLO278" s="1069"/>
      <c r="CLP278" s="1069"/>
      <c r="CLQ278" s="1069"/>
      <c r="CLR278" s="1069"/>
      <c r="CLS278" s="1069"/>
      <c r="CLT278" s="1069"/>
      <c r="CLU278" s="1069"/>
      <c r="CLV278" s="1069"/>
      <c r="CLW278" s="1069"/>
      <c r="CLX278" s="1069"/>
      <c r="CLY278" s="1069"/>
      <c r="CLZ278" s="1069"/>
      <c r="CMA278" s="1069"/>
      <c r="CMB278" s="1069"/>
      <c r="CMC278" s="1069"/>
      <c r="CMD278" s="1069"/>
      <c r="CME278" s="1069"/>
      <c r="CMF278" s="1069"/>
      <c r="CMG278" s="1069"/>
      <c r="CMH278" s="1069"/>
      <c r="CMI278" s="1069"/>
      <c r="CMJ278" s="1069"/>
      <c r="CMK278" s="1069"/>
      <c r="CML278" s="1069"/>
      <c r="CMM278" s="1069"/>
      <c r="CMN278" s="1069"/>
      <c r="CMO278" s="1069"/>
      <c r="CMP278" s="1069"/>
      <c r="CMQ278" s="1069"/>
      <c r="CMR278" s="1069"/>
      <c r="CMS278" s="1069"/>
      <c r="CMT278" s="1069"/>
      <c r="CMU278" s="1069"/>
      <c r="CMV278" s="1069"/>
      <c r="CMW278" s="1069"/>
      <c r="CMX278" s="1069"/>
      <c r="CMY278" s="1069"/>
      <c r="CMZ278" s="1069"/>
      <c r="CNA278" s="1069"/>
      <c r="CNB278" s="1069"/>
      <c r="CNC278" s="1069"/>
      <c r="CND278" s="1069"/>
      <c r="CNE278" s="1069"/>
      <c r="CNF278" s="1069"/>
      <c r="CNG278" s="1069"/>
      <c r="CNH278" s="1069"/>
      <c r="CNI278" s="1069"/>
      <c r="CNJ278" s="1069"/>
      <c r="CNK278" s="1069"/>
      <c r="CNL278" s="1069"/>
      <c r="CNM278" s="1069"/>
      <c r="CNN278" s="1069"/>
      <c r="CNO278" s="1069"/>
      <c r="CNP278" s="1069"/>
      <c r="CNQ278" s="1069"/>
      <c r="CNR278" s="1069"/>
      <c r="CNS278" s="1069"/>
      <c r="CNT278" s="1069"/>
      <c r="CNU278" s="1069"/>
      <c r="CNV278" s="1069"/>
      <c r="CNW278" s="1069"/>
      <c r="CNX278" s="1069"/>
      <c r="CNY278" s="1069"/>
      <c r="CNZ278" s="1069"/>
      <c r="COA278" s="1069"/>
      <c r="COB278" s="1069"/>
      <c r="COC278" s="1069"/>
      <c r="COD278" s="1069"/>
      <c r="COE278" s="1069"/>
      <c r="COF278" s="1069"/>
      <c r="COG278" s="1069"/>
      <c r="COH278" s="1069"/>
      <c r="COI278" s="1069"/>
      <c r="COJ278" s="1069"/>
      <c r="COK278" s="1069"/>
      <c r="COL278" s="1069"/>
      <c r="COM278" s="1069"/>
      <c r="CON278" s="1069"/>
      <c r="COO278" s="1069"/>
      <c r="COP278" s="1069"/>
      <c r="COQ278" s="1069"/>
      <c r="COR278" s="1069"/>
      <c r="COS278" s="1069"/>
      <c r="COT278" s="1069"/>
      <c r="COU278" s="1069"/>
      <c r="COV278" s="1069"/>
      <c r="COW278" s="1069"/>
      <c r="COX278" s="1069"/>
      <c r="COY278" s="1069"/>
      <c r="COZ278" s="1069"/>
      <c r="CPA278" s="1069"/>
      <c r="CPB278" s="1069"/>
      <c r="CPC278" s="1069"/>
      <c r="CPD278" s="1069"/>
      <c r="CPE278" s="1069"/>
      <c r="CPF278" s="1069"/>
      <c r="CPG278" s="1069"/>
      <c r="CPH278" s="1069"/>
      <c r="CPI278" s="1069"/>
      <c r="CPJ278" s="1069"/>
      <c r="CPK278" s="1069"/>
      <c r="CPL278" s="1069"/>
      <c r="CPM278" s="1069"/>
      <c r="CPN278" s="1069"/>
      <c r="CPO278" s="1069"/>
      <c r="CPP278" s="1069"/>
      <c r="CPQ278" s="1069"/>
      <c r="CPR278" s="1069"/>
      <c r="CPS278" s="1069"/>
      <c r="CPT278" s="1069"/>
      <c r="CPU278" s="1069"/>
      <c r="CPV278" s="1069"/>
      <c r="CPW278" s="1069"/>
      <c r="CPX278" s="1069"/>
      <c r="CPY278" s="1069"/>
      <c r="CPZ278" s="1069"/>
      <c r="CQA278" s="1069"/>
      <c r="CQB278" s="1069"/>
      <c r="CQC278" s="1069"/>
      <c r="CQD278" s="1069"/>
      <c r="CQE278" s="1069"/>
      <c r="CQF278" s="1069"/>
      <c r="CQG278" s="1069"/>
      <c r="CQH278" s="1069"/>
      <c r="CQI278" s="1069"/>
      <c r="CQJ278" s="1069"/>
      <c r="CQK278" s="1069"/>
      <c r="CQL278" s="1069"/>
      <c r="CQM278" s="1069"/>
      <c r="CQN278" s="1069"/>
      <c r="CQO278" s="1069"/>
      <c r="CQP278" s="1069"/>
      <c r="CQQ278" s="1069"/>
      <c r="CQR278" s="1069"/>
      <c r="CQS278" s="1069"/>
      <c r="CQT278" s="1069"/>
      <c r="CQU278" s="1069"/>
      <c r="CQV278" s="1069"/>
      <c r="CQW278" s="1069"/>
      <c r="CQX278" s="1069"/>
      <c r="CQY278" s="1069"/>
      <c r="CQZ278" s="1069"/>
      <c r="CRA278" s="1069"/>
      <c r="CRB278" s="1069"/>
      <c r="CRC278" s="1069"/>
      <c r="CRD278" s="1069"/>
      <c r="CRE278" s="1069"/>
      <c r="CRF278" s="1069"/>
      <c r="CRG278" s="1069"/>
      <c r="CRH278" s="1069"/>
      <c r="CRI278" s="1069"/>
      <c r="CRJ278" s="1069"/>
      <c r="CRK278" s="1069"/>
      <c r="CRL278" s="1069"/>
      <c r="CRM278" s="1069"/>
      <c r="CRN278" s="1069"/>
      <c r="CRO278" s="1069"/>
      <c r="CRP278" s="1069"/>
      <c r="CRQ278" s="1069"/>
      <c r="CRR278" s="1069"/>
      <c r="CRS278" s="1069"/>
      <c r="CRT278" s="1069"/>
      <c r="CRU278" s="1069"/>
      <c r="CRV278" s="1069"/>
      <c r="CRW278" s="1069"/>
      <c r="CRX278" s="1069"/>
      <c r="CRY278" s="1069"/>
      <c r="CRZ278" s="1069"/>
      <c r="CSA278" s="1069"/>
      <c r="CSB278" s="1069"/>
      <c r="CSC278" s="1069"/>
      <c r="CSD278" s="1069"/>
      <c r="CSE278" s="1069"/>
      <c r="CSF278" s="1069"/>
      <c r="CSG278" s="1069"/>
      <c r="CSH278" s="1069"/>
      <c r="CSI278" s="1069"/>
      <c r="CSJ278" s="1069"/>
      <c r="CSK278" s="1069"/>
      <c r="CSL278" s="1069"/>
      <c r="CSM278" s="1069"/>
      <c r="CSN278" s="1069"/>
      <c r="CSO278" s="1069"/>
      <c r="CSP278" s="1069"/>
      <c r="CSQ278" s="1069"/>
      <c r="CSR278" s="1069"/>
      <c r="CSS278" s="1069"/>
      <c r="CST278" s="1069"/>
      <c r="CSU278" s="1069"/>
      <c r="CSV278" s="1069"/>
      <c r="CSW278" s="1069"/>
      <c r="CSX278" s="1069"/>
      <c r="CSY278" s="1069"/>
      <c r="CSZ278" s="1069"/>
      <c r="CTA278" s="1069"/>
      <c r="CTB278" s="1069"/>
      <c r="CTC278" s="1069"/>
      <c r="CTD278" s="1069"/>
      <c r="CTE278" s="1069"/>
      <c r="CTF278" s="1069"/>
      <c r="CTG278" s="1069"/>
      <c r="CTH278" s="1069"/>
      <c r="CTI278" s="1069"/>
      <c r="CTJ278" s="1069"/>
      <c r="CTK278" s="1069"/>
      <c r="CTL278" s="1069"/>
      <c r="CTM278" s="1069"/>
      <c r="CTN278" s="1069"/>
      <c r="CTO278" s="1069"/>
      <c r="CTP278" s="1069"/>
      <c r="CTQ278" s="1069"/>
      <c r="CTR278" s="1069"/>
      <c r="CTS278" s="1069"/>
      <c r="CTT278" s="1069"/>
      <c r="CTU278" s="1069"/>
      <c r="CTV278" s="1069"/>
      <c r="CTW278" s="1069"/>
      <c r="CTX278" s="1069"/>
      <c r="CTY278" s="1069"/>
      <c r="CTZ278" s="1069"/>
      <c r="CUA278" s="1069"/>
      <c r="CUB278" s="1069"/>
      <c r="CUC278" s="1069"/>
      <c r="CUD278" s="1069"/>
      <c r="CUE278" s="1069"/>
      <c r="CUF278" s="1069"/>
      <c r="CUG278" s="1069"/>
      <c r="CUH278" s="1069"/>
      <c r="CUI278" s="1069"/>
      <c r="CUJ278" s="1069"/>
      <c r="CUK278" s="1069"/>
      <c r="CUL278" s="1069"/>
      <c r="CUM278" s="1069"/>
      <c r="CUN278" s="1069"/>
      <c r="CUO278" s="1069"/>
      <c r="CUP278" s="1069"/>
      <c r="CUQ278" s="1069"/>
      <c r="CUR278" s="1069"/>
      <c r="CUS278" s="1069"/>
      <c r="CUT278" s="1069"/>
      <c r="CUU278" s="1069"/>
      <c r="CUV278" s="1069"/>
      <c r="CUW278" s="1069"/>
      <c r="CUX278" s="1069"/>
      <c r="CUY278" s="1069"/>
      <c r="CUZ278" s="1069"/>
      <c r="CVA278" s="1069"/>
      <c r="CVB278" s="1069"/>
      <c r="CVC278" s="1069"/>
      <c r="CVD278" s="1069"/>
      <c r="CVE278" s="1069"/>
      <c r="CVF278" s="1069"/>
      <c r="CVG278" s="1069"/>
      <c r="CVH278" s="1069"/>
      <c r="CVI278" s="1069"/>
      <c r="CVJ278" s="1069"/>
      <c r="CVK278" s="1069"/>
      <c r="CVL278" s="1069"/>
      <c r="CVM278" s="1069"/>
      <c r="CVN278" s="1069"/>
      <c r="CVO278" s="1069"/>
      <c r="CVP278" s="1069"/>
      <c r="CVQ278" s="1069"/>
      <c r="CVR278" s="1069"/>
      <c r="CVS278" s="1069"/>
      <c r="CVT278" s="1069"/>
      <c r="CVU278" s="1069"/>
      <c r="CVV278" s="1069"/>
      <c r="CVW278" s="1069"/>
      <c r="CVX278" s="1069"/>
      <c r="CVY278" s="1069"/>
      <c r="CVZ278" s="1069"/>
      <c r="CWA278" s="1069"/>
      <c r="CWB278" s="1069"/>
      <c r="CWC278" s="1069"/>
      <c r="CWD278" s="1069"/>
      <c r="CWE278" s="1069"/>
      <c r="CWF278" s="1069"/>
      <c r="CWG278" s="1069"/>
      <c r="CWH278" s="1069"/>
      <c r="CWI278" s="1069"/>
      <c r="CWJ278" s="1069"/>
      <c r="CWK278" s="1069"/>
      <c r="CWL278" s="1069"/>
      <c r="CWM278" s="1069"/>
      <c r="CWN278" s="1069"/>
      <c r="CWO278" s="1069"/>
      <c r="CWP278" s="1069"/>
      <c r="CWQ278" s="1069"/>
      <c r="CWR278" s="1069"/>
      <c r="CWS278" s="1069"/>
      <c r="CWT278" s="1069"/>
      <c r="CWU278" s="1069"/>
      <c r="CWV278" s="1069"/>
      <c r="CWW278" s="1069"/>
      <c r="CWX278" s="1069"/>
      <c r="CWY278" s="1069"/>
      <c r="CWZ278" s="1069"/>
      <c r="CXA278" s="1069"/>
      <c r="CXB278" s="1069"/>
      <c r="CXC278" s="1069"/>
      <c r="CXD278" s="1069"/>
      <c r="CXE278" s="1069"/>
      <c r="CXF278" s="1069"/>
      <c r="CXG278" s="1069"/>
      <c r="CXH278" s="1069"/>
      <c r="CXI278" s="1069"/>
      <c r="CXJ278" s="1069"/>
      <c r="CXK278" s="1069"/>
      <c r="CXL278" s="1069"/>
      <c r="CXM278" s="1069"/>
      <c r="CXN278" s="1069"/>
      <c r="CXO278" s="1069"/>
      <c r="CXP278" s="1069"/>
      <c r="CXQ278" s="1069"/>
      <c r="CXR278" s="1069"/>
      <c r="CXS278" s="1069"/>
      <c r="CXT278" s="1069"/>
      <c r="CXU278" s="1069"/>
      <c r="CXV278" s="1069"/>
      <c r="CXW278" s="1069"/>
      <c r="CXX278" s="1069"/>
      <c r="CXY278" s="1069"/>
      <c r="CXZ278" s="1069"/>
      <c r="CYA278" s="1069"/>
      <c r="CYB278" s="1069"/>
      <c r="CYC278" s="1069"/>
      <c r="CYD278" s="1069"/>
      <c r="CYE278" s="1069"/>
      <c r="CYF278" s="1069"/>
      <c r="CYG278" s="1069"/>
      <c r="CYH278" s="1069"/>
      <c r="CYI278" s="1069"/>
      <c r="CYJ278" s="1069"/>
      <c r="CYK278" s="1069"/>
      <c r="CYL278" s="1069"/>
      <c r="CYM278" s="1069"/>
      <c r="CYN278" s="1069"/>
      <c r="CYO278" s="1069"/>
      <c r="CYP278" s="1069"/>
      <c r="CYQ278" s="1069"/>
      <c r="CYR278" s="1069"/>
      <c r="CYS278" s="1069"/>
      <c r="CYT278" s="1069"/>
      <c r="CYU278" s="1069"/>
      <c r="CYV278" s="1069"/>
      <c r="CYW278" s="1069"/>
      <c r="CYX278" s="1069"/>
      <c r="CYY278" s="1069"/>
      <c r="CYZ278" s="1069"/>
      <c r="CZA278" s="1069"/>
      <c r="CZB278" s="1069"/>
      <c r="CZC278" s="1069"/>
      <c r="CZD278" s="1069"/>
      <c r="CZE278" s="1069"/>
      <c r="CZF278" s="1069"/>
      <c r="CZG278" s="1069"/>
      <c r="CZH278" s="1069"/>
      <c r="CZI278" s="1069"/>
      <c r="CZJ278" s="1069"/>
      <c r="CZK278" s="1069"/>
      <c r="CZL278" s="1069"/>
      <c r="CZM278" s="1069"/>
      <c r="CZN278" s="1069"/>
      <c r="CZO278" s="1069"/>
      <c r="CZP278" s="1069"/>
      <c r="CZQ278" s="1069"/>
      <c r="CZR278" s="1069"/>
      <c r="CZS278" s="1069"/>
      <c r="CZT278" s="1069"/>
      <c r="CZU278" s="1069"/>
      <c r="CZV278" s="1069"/>
      <c r="CZW278" s="1069"/>
      <c r="CZX278" s="1069"/>
      <c r="CZY278" s="1069"/>
      <c r="CZZ278" s="1069"/>
      <c r="DAA278" s="1069"/>
      <c r="DAB278" s="1069"/>
      <c r="DAC278" s="1069"/>
      <c r="DAD278" s="1069"/>
      <c r="DAE278" s="1069"/>
      <c r="DAF278" s="1069"/>
      <c r="DAG278" s="1069"/>
      <c r="DAH278" s="1069"/>
      <c r="DAI278" s="1069"/>
      <c r="DAJ278" s="1069"/>
      <c r="DAK278" s="1069"/>
      <c r="DAL278" s="1069"/>
      <c r="DAM278" s="1069"/>
      <c r="DAN278" s="1069"/>
      <c r="DAO278" s="1069"/>
      <c r="DAP278" s="1069"/>
      <c r="DAQ278" s="1069"/>
      <c r="DAR278" s="1069"/>
      <c r="DAS278" s="1069"/>
      <c r="DAT278" s="1069"/>
      <c r="DAU278" s="1069"/>
      <c r="DAV278" s="1069"/>
      <c r="DAW278" s="1069"/>
      <c r="DAX278" s="1069"/>
      <c r="DAY278" s="1069"/>
      <c r="DAZ278" s="1069"/>
      <c r="DBA278" s="1069"/>
      <c r="DBB278" s="1069"/>
      <c r="DBC278" s="1069"/>
      <c r="DBD278" s="1069"/>
      <c r="DBE278" s="1069"/>
      <c r="DBF278" s="1069"/>
      <c r="DBG278" s="1069"/>
      <c r="DBH278" s="1069"/>
      <c r="DBI278" s="1069"/>
      <c r="DBJ278" s="1069"/>
      <c r="DBK278" s="1069"/>
      <c r="DBL278" s="1069"/>
      <c r="DBM278" s="1069"/>
      <c r="DBN278" s="1069"/>
      <c r="DBO278" s="1069"/>
      <c r="DBP278" s="1069"/>
      <c r="DBQ278" s="1069"/>
      <c r="DBR278" s="1069"/>
      <c r="DBS278" s="1069"/>
      <c r="DBT278" s="1069"/>
      <c r="DBU278" s="1069"/>
      <c r="DBV278" s="1069"/>
      <c r="DBW278" s="1069"/>
      <c r="DBX278" s="1069"/>
      <c r="DBY278" s="1069"/>
      <c r="DBZ278" s="1069"/>
      <c r="DCA278" s="1069"/>
      <c r="DCB278" s="1069"/>
      <c r="DCC278" s="1069"/>
      <c r="DCD278" s="1069"/>
      <c r="DCE278" s="1069"/>
      <c r="DCF278" s="1069"/>
      <c r="DCG278" s="1069"/>
      <c r="DCH278" s="1069"/>
      <c r="DCI278" s="1069"/>
      <c r="DCJ278" s="1069"/>
      <c r="DCK278" s="1069"/>
      <c r="DCL278" s="1069"/>
      <c r="DCM278" s="1069"/>
      <c r="DCN278" s="1069"/>
      <c r="DCO278" s="1069"/>
      <c r="DCP278" s="1069"/>
      <c r="DCQ278" s="1069"/>
      <c r="DCR278" s="1069"/>
      <c r="DCS278" s="1069"/>
      <c r="DCT278" s="1069"/>
      <c r="DCU278" s="1069"/>
      <c r="DCV278" s="1069"/>
      <c r="DCW278" s="1069"/>
      <c r="DCX278" s="1069"/>
      <c r="DCY278" s="1069"/>
      <c r="DCZ278" s="1069"/>
      <c r="DDA278" s="1069"/>
      <c r="DDB278" s="1069"/>
      <c r="DDC278" s="1069"/>
      <c r="DDD278" s="1069"/>
      <c r="DDE278" s="1069"/>
      <c r="DDF278" s="1069"/>
      <c r="DDG278" s="1069"/>
      <c r="DDH278" s="1069"/>
      <c r="DDI278" s="1069"/>
      <c r="DDJ278" s="1069"/>
      <c r="DDK278" s="1069"/>
      <c r="DDL278" s="1069"/>
      <c r="DDM278" s="1069"/>
      <c r="DDN278" s="1069"/>
      <c r="DDO278" s="1069"/>
      <c r="DDP278" s="1069"/>
      <c r="DDQ278" s="1069"/>
      <c r="DDR278" s="1069"/>
      <c r="DDS278" s="1069"/>
      <c r="DDT278" s="1069"/>
      <c r="DDU278" s="1069"/>
      <c r="DDV278" s="1069"/>
      <c r="DDW278" s="1069"/>
      <c r="DDX278" s="1069"/>
      <c r="DDY278" s="1069"/>
      <c r="DDZ278" s="1069"/>
      <c r="DEA278" s="1069"/>
      <c r="DEB278" s="1069"/>
      <c r="DEC278" s="1069"/>
      <c r="DED278" s="1069"/>
      <c r="DEE278" s="1069"/>
      <c r="DEF278" s="1069"/>
      <c r="DEG278" s="1069"/>
      <c r="DEH278" s="1069"/>
      <c r="DEI278" s="1069"/>
      <c r="DEJ278" s="1069"/>
      <c r="DEK278" s="1069"/>
      <c r="DEL278" s="1069"/>
      <c r="DEM278" s="1069"/>
      <c r="DEN278" s="1069"/>
      <c r="DEO278" s="1069"/>
      <c r="DEP278" s="1069"/>
      <c r="DEQ278" s="1069"/>
      <c r="DER278" s="1069"/>
      <c r="DES278" s="1069"/>
      <c r="DET278" s="1069"/>
      <c r="DEU278" s="1069"/>
      <c r="DEV278" s="1069"/>
      <c r="DEW278" s="1069"/>
      <c r="DEX278" s="1069"/>
      <c r="DEY278" s="1069"/>
      <c r="DEZ278" s="1069"/>
      <c r="DFA278" s="1069"/>
      <c r="DFB278" s="1069"/>
      <c r="DFC278" s="1069"/>
      <c r="DFD278" s="1069"/>
      <c r="DFE278" s="1069"/>
      <c r="DFF278" s="1069"/>
      <c r="DFG278" s="1069"/>
      <c r="DFH278" s="1069"/>
      <c r="DFI278" s="1069"/>
      <c r="DFJ278" s="1069"/>
      <c r="DFK278" s="1069"/>
      <c r="DFL278" s="1069"/>
      <c r="DFM278" s="1069"/>
      <c r="DFN278" s="1069"/>
      <c r="DFO278" s="1069"/>
      <c r="DFP278" s="1069"/>
      <c r="DFQ278" s="1069"/>
      <c r="DFR278" s="1069"/>
      <c r="DFS278" s="1069"/>
      <c r="DFT278" s="1069"/>
      <c r="DFU278" s="1069"/>
      <c r="DFV278" s="1069"/>
      <c r="DFW278" s="1069"/>
      <c r="DFX278" s="1069"/>
      <c r="DFY278" s="1069"/>
      <c r="DFZ278" s="1069"/>
      <c r="DGA278" s="1069"/>
      <c r="DGB278" s="1069"/>
      <c r="DGC278" s="1069"/>
      <c r="DGD278" s="1069"/>
      <c r="DGE278" s="1069"/>
      <c r="DGF278" s="1069"/>
      <c r="DGG278" s="1069"/>
      <c r="DGH278" s="1069"/>
      <c r="DGI278" s="1069"/>
      <c r="DGJ278" s="1069"/>
      <c r="DGK278" s="1069"/>
      <c r="DGL278" s="1069"/>
      <c r="DGM278" s="1069"/>
      <c r="DGN278" s="1069"/>
      <c r="DGO278" s="1069"/>
      <c r="DGP278" s="1069"/>
      <c r="DGQ278" s="1069"/>
      <c r="DGR278" s="1069"/>
      <c r="DGS278" s="1069"/>
      <c r="DGT278" s="1069"/>
      <c r="DGU278" s="1069"/>
      <c r="DGV278" s="1069"/>
      <c r="DGW278" s="1069"/>
      <c r="DGX278" s="1069"/>
      <c r="DGY278" s="1069"/>
      <c r="DGZ278" s="1069"/>
      <c r="DHA278" s="1069"/>
      <c r="DHB278" s="1069"/>
      <c r="DHC278" s="1069"/>
      <c r="DHD278" s="1069"/>
      <c r="DHE278" s="1069"/>
      <c r="DHF278" s="1069"/>
      <c r="DHG278" s="1069"/>
      <c r="DHH278" s="1069"/>
      <c r="DHI278" s="1069"/>
      <c r="DHJ278" s="1069"/>
      <c r="DHK278" s="1069"/>
      <c r="DHL278" s="1069"/>
      <c r="DHM278" s="1069"/>
      <c r="DHN278" s="1069"/>
      <c r="DHO278" s="1069"/>
      <c r="DHP278" s="1069"/>
      <c r="DHQ278" s="1069"/>
      <c r="DHR278" s="1069"/>
      <c r="DHS278" s="1069"/>
      <c r="DHT278" s="1069"/>
      <c r="DHU278" s="1069"/>
      <c r="DHV278" s="1069"/>
      <c r="DHW278" s="1069"/>
      <c r="DHX278" s="1069"/>
      <c r="DHY278" s="1069"/>
      <c r="DHZ278" s="1069"/>
      <c r="DIA278" s="1069"/>
      <c r="DIB278" s="1069"/>
      <c r="DIC278" s="1069"/>
      <c r="DID278" s="1069"/>
      <c r="DIE278" s="1069"/>
      <c r="DIF278" s="1069"/>
      <c r="DIG278" s="1069"/>
      <c r="DIH278" s="1069"/>
      <c r="DII278" s="1069"/>
      <c r="DIJ278" s="1069"/>
      <c r="DIK278" s="1069"/>
      <c r="DIL278" s="1069"/>
      <c r="DIM278" s="1069"/>
      <c r="DIN278" s="1069"/>
      <c r="DIO278" s="1069"/>
      <c r="DIP278" s="1069"/>
      <c r="DIQ278" s="1069"/>
      <c r="DIR278" s="1069"/>
      <c r="DIS278" s="1069"/>
      <c r="DIT278" s="1069"/>
      <c r="DIU278" s="1069"/>
      <c r="DIV278" s="1069"/>
      <c r="DIW278" s="1069"/>
      <c r="DIX278" s="1069"/>
      <c r="DIY278" s="1069"/>
      <c r="DIZ278" s="1069"/>
      <c r="DJA278" s="1069"/>
      <c r="DJB278" s="1069"/>
      <c r="DJC278" s="1069"/>
      <c r="DJD278" s="1069"/>
      <c r="DJE278" s="1069"/>
      <c r="DJF278" s="1069"/>
      <c r="DJG278" s="1069"/>
      <c r="DJH278" s="1069"/>
      <c r="DJI278" s="1069"/>
      <c r="DJJ278" s="1069"/>
      <c r="DJK278" s="1069"/>
      <c r="DJL278" s="1069"/>
      <c r="DJM278" s="1069"/>
      <c r="DJN278" s="1069"/>
      <c r="DJO278" s="1069"/>
      <c r="DJP278" s="1069"/>
      <c r="DJQ278" s="1069"/>
      <c r="DJR278" s="1069"/>
      <c r="DJS278" s="1069"/>
      <c r="DJT278" s="1069"/>
      <c r="DJU278" s="1069"/>
      <c r="DJV278" s="1069"/>
      <c r="DJW278" s="1069"/>
      <c r="DJX278" s="1069"/>
      <c r="DJY278" s="1069"/>
      <c r="DJZ278" s="1069"/>
      <c r="DKA278" s="1069"/>
      <c r="DKB278" s="1069"/>
      <c r="DKC278" s="1069"/>
      <c r="DKD278" s="1069"/>
      <c r="DKE278" s="1069"/>
      <c r="DKF278" s="1069"/>
      <c r="DKG278" s="1069"/>
      <c r="DKH278" s="1069"/>
      <c r="DKI278" s="1069"/>
      <c r="DKJ278" s="1069"/>
      <c r="DKK278" s="1069"/>
      <c r="DKL278" s="1069"/>
      <c r="DKM278" s="1069"/>
      <c r="DKN278" s="1069"/>
      <c r="DKO278" s="1069"/>
      <c r="DKP278" s="1069"/>
      <c r="DKQ278" s="1069"/>
      <c r="DKR278" s="1069"/>
      <c r="DKS278" s="1069"/>
      <c r="DKT278" s="1069"/>
      <c r="DKU278" s="1069"/>
      <c r="DKV278" s="1069"/>
      <c r="DKW278" s="1069"/>
      <c r="DKX278" s="1069"/>
      <c r="DKY278" s="1069"/>
      <c r="DKZ278" s="1069"/>
      <c r="DLA278" s="1069"/>
      <c r="DLB278" s="1069"/>
      <c r="DLC278" s="1069"/>
      <c r="DLD278" s="1069"/>
      <c r="DLE278" s="1069"/>
      <c r="DLF278" s="1069"/>
      <c r="DLG278" s="1069"/>
      <c r="DLH278" s="1069"/>
      <c r="DLI278" s="1069"/>
      <c r="DLJ278" s="1069"/>
      <c r="DLK278" s="1069"/>
      <c r="DLL278" s="1069"/>
      <c r="DLM278" s="1069"/>
      <c r="DLN278" s="1069"/>
      <c r="DLO278" s="1069"/>
      <c r="DLP278" s="1069"/>
      <c r="DLQ278" s="1069"/>
      <c r="DLR278" s="1069"/>
      <c r="DLS278" s="1069"/>
      <c r="DLT278" s="1069"/>
      <c r="DLU278" s="1069"/>
      <c r="DLV278" s="1069"/>
      <c r="DLW278" s="1069"/>
      <c r="DLX278" s="1069"/>
      <c r="DLY278" s="1069"/>
      <c r="DLZ278" s="1069"/>
      <c r="DMA278" s="1069"/>
      <c r="DMB278" s="1069"/>
      <c r="DMC278" s="1069"/>
      <c r="DMD278" s="1069"/>
      <c r="DME278" s="1069"/>
      <c r="DMF278" s="1069"/>
      <c r="DMG278" s="1069"/>
      <c r="DMH278" s="1069"/>
      <c r="DMI278" s="1069"/>
      <c r="DMJ278" s="1069"/>
      <c r="DMK278" s="1069"/>
      <c r="DML278" s="1069"/>
      <c r="DMM278" s="1069"/>
      <c r="DMN278" s="1069"/>
      <c r="DMO278" s="1069"/>
      <c r="DMP278" s="1069"/>
      <c r="DMQ278" s="1069"/>
      <c r="DMR278" s="1069"/>
      <c r="DMS278" s="1069"/>
      <c r="DMT278" s="1069"/>
      <c r="DMU278" s="1069"/>
      <c r="DMV278" s="1069"/>
      <c r="DMW278" s="1069"/>
      <c r="DMX278" s="1069"/>
      <c r="DMY278" s="1069"/>
      <c r="DMZ278" s="1069"/>
      <c r="DNA278" s="1069"/>
      <c r="DNB278" s="1069"/>
      <c r="DNC278" s="1069"/>
      <c r="DND278" s="1069"/>
      <c r="DNE278" s="1069"/>
      <c r="DNF278" s="1069"/>
      <c r="DNG278" s="1069"/>
      <c r="DNH278" s="1069"/>
      <c r="DNI278" s="1069"/>
      <c r="DNJ278" s="1069"/>
      <c r="DNK278" s="1069"/>
      <c r="DNL278" s="1069"/>
      <c r="DNM278" s="1069"/>
      <c r="DNN278" s="1069"/>
      <c r="DNO278" s="1069"/>
      <c r="DNP278" s="1069"/>
      <c r="DNQ278" s="1069"/>
      <c r="DNR278" s="1069"/>
      <c r="DNS278" s="1069"/>
      <c r="DNT278" s="1069"/>
      <c r="DNU278" s="1069"/>
      <c r="DNV278" s="1069"/>
      <c r="DNW278" s="1069"/>
      <c r="DNX278" s="1069"/>
      <c r="DNY278" s="1069"/>
      <c r="DNZ278" s="1069"/>
      <c r="DOA278" s="1069"/>
      <c r="DOB278" s="1069"/>
      <c r="DOC278" s="1069"/>
      <c r="DOD278" s="1069"/>
      <c r="DOE278" s="1069"/>
      <c r="DOF278" s="1069"/>
      <c r="DOG278" s="1069"/>
      <c r="DOH278" s="1069"/>
      <c r="DOI278" s="1069"/>
      <c r="DOJ278" s="1069"/>
      <c r="DOK278" s="1069"/>
      <c r="DOL278" s="1069"/>
      <c r="DOM278" s="1069"/>
      <c r="DON278" s="1069"/>
      <c r="DOO278" s="1069"/>
      <c r="DOP278" s="1069"/>
      <c r="DOQ278" s="1069"/>
      <c r="DOR278" s="1069"/>
      <c r="DOS278" s="1069"/>
      <c r="DOT278" s="1069"/>
      <c r="DOU278" s="1069"/>
      <c r="DOV278" s="1069"/>
      <c r="DOW278" s="1069"/>
      <c r="DOX278" s="1069"/>
      <c r="DOY278" s="1069"/>
      <c r="DOZ278" s="1069"/>
      <c r="DPA278" s="1069"/>
      <c r="DPB278" s="1069"/>
      <c r="DPC278" s="1069"/>
      <c r="DPD278" s="1069"/>
      <c r="DPE278" s="1069"/>
      <c r="DPF278" s="1069"/>
      <c r="DPG278" s="1069"/>
      <c r="DPH278" s="1069"/>
      <c r="DPI278" s="1069"/>
      <c r="DPJ278" s="1069"/>
      <c r="DPK278" s="1069"/>
      <c r="DPL278" s="1069"/>
      <c r="DPM278" s="1069"/>
      <c r="DPN278" s="1069"/>
      <c r="DPO278" s="1069"/>
      <c r="DPP278" s="1069"/>
      <c r="DPQ278" s="1069"/>
      <c r="DPR278" s="1069"/>
      <c r="DPS278" s="1069"/>
      <c r="DPT278" s="1069"/>
      <c r="DPU278" s="1069"/>
      <c r="DPV278" s="1069"/>
      <c r="DPW278" s="1069"/>
      <c r="DPX278" s="1069"/>
      <c r="DPY278" s="1069"/>
      <c r="DPZ278" s="1069"/>
      <c r="DQA278" s="1069"/>
      <c r="DQB278" s="1069"/>
      <c r="DQC278" s="1069"/>
      <c r="DQD278" s="1069"/>
      <c r="DQE278" s="1069"/>
      <c r="DQF278" s="1069"/>
      <c r="DQG278" s="1069"/>
      <c r="DQH278" s="1069"/>
      <c r="DQI278" s="1069"/>
      <c r="DQJ278" s="1069"/>
      <c r="DQK278" s="1069"/>
      <c r="DQL278" s="1069"/>
      <c r="DQM278" s="1069"/>
      <c r="DQN278" s="1069"/>
      <c r="DQO278" s="1069"/>
      <c r="DQP278" s="1069"/>
      <c r="DQQ278" s="1069"/>
      <c r="DQR278" s="1069"/>
      <c r="DQS278" s="1069"/>
      <c r="DQT278" s="1069"/>
      <c r="DQU278" s="1069"/>
      <c r="DQV278" s="1069"/>
      <c r="DQW278" s="1069"/>
      <c r="DQX278" s="1069"/>
      <c r="DQY278" s="1069"/>
      <c r="DQZ278" s="1069"/>
      <c r="DRA278" s="1069"/>
      <c r="DRB278" s="1069"/>
      <c r="DRC278" s="1069"/>
      <c r="DRD278" s="1069"/>
      <c r="DRE278" s="1069"/>
      <c r="DRF278" s="1069"/>
      <c r="DRG278" s="1069"/>
      <c r="DRH278" s="1069"/>
      <c r="DRI278" s="1069"/>
      <c r="DRJ278" s="1069"/>
      <c r="DRK278" s="1069"/>
      <c r="DRL278" s="1069"/>
      <c r="DRM278" s="1069"/>
      <c r="DRN278" s="1069"/>
      <c r="DRO278" s="1069"/>
      <c r="DRP278" s="1069"/>
      <c r="DRQ278" s="1069"/>
      <c r="DRR278" s="1069"/>
      <c r="DRS278" s="1069"/>
      <c r="DRT278" s="1069"/>
      <c r="DRU278" s="1069"/>
      <c r="DRV278" s="1069"/>
      <c r="DRW278" s="1069"/>
      <c r="DRX278" s="1069"/>
      <c r="DRY278" s="1069"/>
      <c r="DRZ278" s="1069"/>
      <c r="DSA278" s="1069"/>
      <c r="DSB278" s="1069"/>
      <c r="DSC278" s="1069"/>
      <c r="DSD278" s="1069"/>
      <c r="DSE278" s="1069"/>
      <c r="DSF278" s="1069"/>
      <c r="DSG278" s="1069"/>
      <c r="DSH278" s="1069"/>
      <c r="DSI278" s="1069"/>
      <c r="DSJ278" s="1069"/>
      <c r="DSK278" s="1069"/>
      <c r="DSL278" s="1069"/>
      <c r="DSM278" s="1069"/>
      <c r="DSN278" s="1069"/>
      <c r="DSO278" s="1069"/>
      <c r="DSP278" s="1069"/>
      <c r="DSQ278" s="1069"/>
      <c r="DSR278" s="1069"/>
      <c r="DSS278" s="1069"/>
      <c r="DST278" s="1069"/>
      <c r="DSU278" s="1069"/>
      <c r="DSV278" s="1069"/>
      <c r="DSW278" s="1069"/>
      <c r="DSX278" s="1069"/>
      <c r="DSY278" s="1069"/>
      <c r="DSZ278" s="1069"/>
      <c r="DTA278" s="1069"/>
      <c r="DTB278" s="1069"/>
      <c r="DTC278" s="1069"/>
      <c r="DTD278" s="1069"/>
      <c r="DTE278" s="1069"/>
      <c r="DTF278" s="1069"/>
      <c r="DTG278" s="1069"/>
      <c r="DTH278" s="1069"/>
      <c r="DTI278" s="1069"/>
      <c r="DTJ278" s="1069"/>
      <c r="DTK278" s="1069"/>
      <c r="DTL278" s="1069"/>
      <c r="DTM278" s="1069"/>
      <c r="DTN278" s="1069"/>
      <c r="DTO278" s="1069"/>
      <c r="DTP278" s="1069"/>
      <c r="DTQ278" s="1069"/>
      <c r="DTR278" s="1069"/>
      <c r="DTS278" s="1069"/>
      <c r="DTT278" s="1069"/>
      <c r="DTU278" s="1069"/>
      <c r="DTV278" s="1069"/>
      <c r="DTW278" s="1069"/>
      <c r="DTX278" s="1069"/>
      <c r="DTY278" s="1069"/>
      <c r="DTZ278" s="1069"/>
      <c r="DUA278" s="1069"/>
      <c r="DUB278" s="1069"/>
      <c r="DUC278" s="1069"/>
      <c r="DUD278" s="1069"/>
      <c r="DUE278" s="1069"/>
      <c r="DUF278" s="1069"/>
      <c r="DUG278" s="1069"/>
      <c r="DUH278" s="1069"/>
      <c r="DUI278" s="1069"/>
      <c r="DUJ278" s="1069"/>
      <c r="DUK278" s="1069"/>
      <c r="DUL278" s="1069"/>
      <c r="DUM278" s="1069"/>
      <c r="DUN278" s="1069"/>
      <c r="DUO278" s="1069"/>
      <c r="DUP278" s="1069"/>
      <c r="DUQ278" s="1069"/>
      <c r="DUR278" s="1069"/>
      <c r="DUS278" s="1069"/>
      <c r="DUT278" s="1069"/>
      <c r="DUU278" s="1069"/>
      <c r="DUV278" s="1069"/>
      <c r="DUW278" s="1069"/>
      <c r="DUX278" s="1069"/>
      <c r="DUY278" s="1069"/>
      <c r="DUZ278" s="1069"/>
      <c r="DVA278" s="1069"/>
      <c r="DVB278" s="1069"/>
      <c r="DVC278" s="1069"/>
      <c r="DVD278" s="1069"/>
      <c r="DVE278" s="1069"/>
      <c r="DVF278" s="1069"/>
      <c r="DVG278" s="1069"/>
      <c r="DVH278" s="1069"/>
      <c r="DVI278" s="1069"/>
      <c r="DVJ278" s="1069"/>
      <c r="DVK278" s="1069"/>
      <c r="DVL278" s="1069"/>
      <c r="DVM278" s="1069"/>
      <c r="DVN278" s="1069"/>
      <c r="DVO278" s="1069"/>
      <c r="DVP278" s="1069"/>
      <c r="DVQ278" s="1069"/>
      <c r="DVR278" s="1069"/>
      <c r="DVS278" s="1069"/>
      <c r="DVT278" s="1069"/>
      <c r="DVU278" s="1069"/>
      <c r="DVV278" s="1069"/>
      <c r="DVW278" s="1069"/>
      <c r="DVX278" s="1069"/>
      <c r="DVY278" s="1069"/>
      <c r="DVZ278" s="1069"/>
      <c r="DWA278" s="1069"/>
      <c r="DWB278" s="1069"/>
      <c r="DWC278" s="1069"/>
      <c r="DWD278" s="1069"/>
      <c r="DWE278" s="1069"/>
      <c r="DWF278" s="1069"/>
      <c r="DWG278" s="1069"/>
      <c r="DWH278" s="1069"/>
      <c r="DWI278" s="1069"/>
      <c r="DWJ278" s="1069"/>
      <c r="DWK278" s="1069"/>
      <c r="DWL278" s="1069"/>
      <c r="DWM278" s="1069"/>
      <c r="DWN278" s="1069"/>
      <c r="DWO278" s="1069"/>
      <c r="DWP278" s="1069"/>
      <c r="DWQ278" s="1069"/>
      <c r="DWR278" s="1069"/>
      <c r="DWS278" s="1069"/>
      <c r="DWT278" s="1069"/>
      <c r="DWU278" s="1069"/>
      <c r="DWV278" s="1069"/>
      <c r="DWW278" s="1069"/>
      <c r="DWX278" s="1069"/>
      <c r="DWY278" s="1069"/>
      <c r="DWZ278" s="1069"/>
      <c r="DXA278" s="1069"/>
      <c r="DXB278" s="1069"/>
      <c r="DXC278" s="1069"/>
      <c r="DXD278" s="1069"/>
      <c r="DXE278" s="1069"/>
      <c r="DXF278" s="1069"/>
      <c r="DXG278" s="1069"/>
      <c r="DXH278" s="1069"/>
      <c r="DXI278" s="1069"/>
      <c r="DXJ278" s="1069"/>
      <c r="DXK278" s="1069"/>
      <c r="DXL278" s="1069"/>
      <c r="DXM278" s="1069"/>
      <c r="DXN278" s="1069"/>
      <c r="DXO278" s="1069"/>
      <c r="DXP278" s="1069"/>
      <c r="DXQ278" s="1069"/>
      <c r="DXR278" s="1069"/>
      <c r="DXS278" s="1069"/>
      <c r="DXT278" s="1069"/>
      <c r="DXU278" s="1069"/>
      <c r="DXV278" s="1069"/>
      <c r="DXW278" s="1069"/>
      <c r="DXX278" s="1069"/>
      <c r="DXY278" s="1069"/>
      <c r="DXZ278" s="1069"/>
      <c r="DYA278" s="1069"/>
      <c r="DYB278" s="1069"/>
      <c r="DYC278" s="1069"/>
      <c r="DYD278" s="1069"/>
      <c r="DYE278" s="1069"/>
      <c r="DYF278" s="1069"/>
      <c r="DYG278" s="1069"/>
      <c r="DYH278" s="1069"/>
      <c r="DYI278" s="1069"/>
      <c r="DYJ278" s="1069"/>
      <c r="DYK278" s="1069"/>
      <c r="DYL278" s="1069"/>
      <c r="DYM278" s="1069"/>
      <c r="DYN278" s="1069"/>
      <c r="DYO278" s="1069"/>
      <c r="DYP278" s="1069"/>
      <c r="DYQ278" s="1069"/>
      <c r="DYR278" s="1069"/>
      <c r="DYS278" s="1069"/>
      <c r="DYT278" s="1069"/>
      <c r="DYU278" s="1069"/>
      <c r="DYV278" s="1069"/>
      <c r="DYW278" s="1069"/>
      <c r="DYX278" s="1069"/>
      <c r="DYY278" s="1069"/>
      <c r="DYZ278" s="1069"/>
      <c r="DZA278" s="1069"/>
      <c r="DZB278" s="1069"/>
      <c r="DZC278" s="1069"/>
      <c r="DZD278" s="1069"/>
      <c r="DZE278" s="1069"/>
      <c r="DZF278" s="1069"/>
      <c r="DZG278" s="1069"/>
      <c r="DZH278" s="1069"/>
      <c r="DZI278" s="1069"/>
      <c r="DZJ278" s="1069"/>
      <c r="DZK278" s="1069"/>
      <c r="DZL278" s="1069"/>
      <c r="DZM278" s="1069"/>
      <c r="DZN278" s="1069"/>
      <c r="DZO278" s="1069"/>
      <c r="DZP278" s="1069"/>
      <c r="DZQ278" s="1069"/>
      <c r="DZR278" s="1069"/>
      <c r="DZS278" s="1069"/>
      <c r="DZT278" s="1069"/>
      <c r="DZU278" s="1069"/>
      <c r="DZV278" s="1069"/>
      <c r="DZW278" s="1069"/>
      <c r="DZX278" s="1069"/>
      <c r="DZY278" s="1069"/>
      <c r="DZZ278" s="1069"/>
      <c r="EAA278" s="1069"/>
      <c r="EAB278" s="1069"/>
      <c r="EAC278" s="1069"/>
      <c r="EAD278" s="1069"/>
      <c r="EAE278" s="1069"/>
      <c r="EAF278" s="1069"/>
      <c r="EAG278" s="1069"/>
      <c r="EAH278" s="1069"/>
      <c r="EAI278" s="1069"/>
      <c r="EAJ278" s="1069"/>
      <c r="EAK278" s="1069"/>
      <c r="EAL278" s="1069"/>
      <c r="EAM278" s="1069"/>
      <c r="EAN278" s="1069"/>
      <c r="EAO278" s="1069"/>
      <c r="EAP278" s="1069"/>
      <c r="EAQ278" s="1069"/>
      <c r="EAR278" s="1069"/>
      <c r="EAS278" s="1069"/>
      <c r="EAT278" s="1069"/>
      <c r="EAU278" s="1069"/>
      <c r="EAV278" s="1069"/>
      <c r="EAW278" s="1069"/>
      <c r="EAX278" s="1069"/>
      <c r="EAY278" s="1069"/>
      <c r="EAZ278" s="1069"/>
      <c r="EBA278" s="1069"/>
      <c r="EBB278" s="1069"/>
      <c r="EBC278" s="1069"/>
      <c r="EBD278" s="1069"/>
      <c r="EBE278" s="1069"/>
      <c r="EBF278" s="1069"/>
      <c r="EBG278" s="1069"/>
      <c r="EBH278" s="1069"/>
      <c r="EBI278" s="1069"/>
      <c r="EBJ278" s="1069"/>
      <c r="EBK278" s="1069"/>
      <c r="EBL278" s="1069"/>
      <c r="EBM278" s="1069"/>
      <c r="EBN278" s="1069"/>
      <c r="EBO278" s="1069"/>
      <c r="EBP278" s="1069"/>
      <c r="EBQ278" s="1069"/>
      <c r="EBR278" s="1069"/>
      <c r="EBS278" s="1069"/>
      <c r="EBT278" s="1069"/>
      <c r="EBU278" s="1069"/>
      <c r="EBV278" s="1069"/>
      <c r="EBW278" s="1069"/>
      <c r="EBX278" s="1069"/>
      <c r="EBY278" s="1069"/>
      <c r="EBZ278" s="1069"/>
      <c r="ECA278" s="1069"/>
      <c r="ECB278" s="1069"/>
      <c r="ECC278" s="1069"/>
      <c r="ECD278" s="1069"/>
      <c r="ECE278" s="1069"/>
      <c r="ECF278" s="1069"/>
      <c r="ECG278" s="1069"/>
      <c r="ECH278" s="1069"/>
      <c r="ECI278" s="1069"/>
      <c r="ECJ278" s="1069"/>
      <c r="ECK278" s="1069"/>
      <c r="ECL278" s="1069"/>
      <c r="ECM278" s="1069"/>
      <c r="ECN278" s="1069"/>
      <c r="ECO278" s="1069"/>
      <c r="ECP278" s="1069"/>
      <c r="ECQ278" s="1069"/>
      <c r="ECR278" s="1069"/>
      <c r="ECS278" s="1069"/>
      <c r="ECT278" s="1069"/>
      <c r="ECU278" s="1069"/>
      <c r="ECV278" s="1069"/>
      <c r="ECW278" s="1069"/>
      <c r="ECX278" s="1069"/>
      <c r="ECY278" s="1069"/>
      <c r="ECZ278" s="1069"/>
      <c r="EDA278" s="1069"/>
      <c r="EDB278" s="1069"/>
      <c r="EDC278" s="1069"/>
      <c r="EDD278" s="1069"/>
      <c r="EDE278" s="1069"/>
      <c r="EDF278" s="1069"/>
      <c r="EDG278" s="1069"/>
      <c r="EDH278" s="1069"/>
      <c r="EDI278" s="1069"/>
      <c r="EDJ278" s="1069"/>
      <c r="EDK278" s="1069"/>
      <c r="EDL278" s="1069"/>
      <c r="EDM278" s="1069"/>
      <c r="EDN278" s="1069"/>
      <c r="EDO278" s="1069"/>
      <c r="EDP278" s="1069"/>
      <c r="EDQ278" s="1069"/>
      <c r="EDR278" s="1069"/>
      <c r="EDS278" s="1069"/>
      <c r="EDT278" s="1069"/>
      <c r="EDU278" s="1069"/>
      <c r="EDV278" s="1069"/>
      <c r="EDW278" s="1069"/>
      <c r="EDX278" s="1069"/>
      <c r="EDY278" s="1069"/>
      <c r="EDZ278" s="1069"/>
      <c r="EEA278" s="1069"/>
      <c r="EEB278" s="1069"/>
      <c r="EEC278" s="1069"/>
      <c r="EED278" s="1069"/>
      <c r="EEE278" s="1069"/>
      <c r="EEF278" s="1069"/>
      <c r="EEG278" s="1069"/>
      <c r="EEH278" s="1069"/>
      <c r="EEI278" s="1069"/>
      <c r="EEJ278" s="1069"/>
      <c r="EEK278" s="1069"/>
      <c r="EEL278" s="1069"/>
      <c r="EEM278" s="1069"/>
      <c r="EEN278" s="1069"/>
      <c r="EEO278" s="1069"/>
      <c r="EEP278" s="1069"/>
      <c r="EEQ278" s="1069"/>
      <c r="EER278" s="1069"/>
      <c r="EES278" s="1069"/>
      <c r="EET278" s="1069"/>
      <c r="EEU278" s="1069"/>
      <c r="EEV278" s="1069"/>
      <c r="EEW278" s="1069"/>
      <c r="EEX278" s="1069"/>
      <c r="EEY278" s="1069"/>
      <c r="EEZ278" s="1069"/>
      <c r="EFA278" s="1069"/>
      <c r="EFB278" s="1069"/>
      <c r="EFC278" s="1069"/>
      <c r="EFD278" s="1069"/>
      <c r="EFE278" s="1069"/>
      <c r="EFF278" s="1069"/>
      <c r="EFG278" s="1069"/>
      <c r="EFH278" s="1069"/>
      <c r="EFI278" s="1069"/>
      <c r="EFJ278" s="1069"/>
      <c r="EFK278" s="1069"/>
      <c r="EFL278" s="1069"/>
      <c r="EFM278" s="1069"/>
      <c r="EFN278" s="1069"/>
      <c r="EFO278" s="1069"/>
      <c r="EFP278" s="1069"/>
      <c r="EFQ278" s="1069"/>
      <c r="EFR278" s="1069"/>
      <c r="EFS278" s="1069"/>
      <c r="EFT278" s="1069"/>
      <c r="EFU278" s="1069"/>
      <c r="EFV278" s="1069"/>
      <c r="EFW278" s="1069"/>
      <c r="EFX278" s="1069"/>
      <c r="EFY278" s="1069"/>
      <c r="EFZ278" s="1069"/>
      <c r="EGA278" s="1069"/>
      <c r="EGB278" s="1069"/>
      <c r="EGC278" s="1069"/>
      <c r="EGD278" s="1069"/>
      <c r="EGE278" s="1069"/>
      <c r="EGF278" s="1069"/>
      <c r="EGG278" s="1069"/>
      <c r="EGH278" s="1069"/>
      <c r="EGI278" s="1069"/>
      <c r="EGJ278" s="1069"/>
      <c r="EGK278" s="1069"/>
      <c r="EGL278" s="1069"/>
      <c r="EGM278" s="1069"/>
      <c r="EGN278" s="1069"/>
      <c r="EGO278" s="1069"/>
      <c r="EGP278" s="1069"/>
      <c r="EGQ278" s="1069"/>
      <c r="EGR278" s="1069"/>
      <c r="EGS278" s="1069"/>
      <c r="EGT278" s="1069"/>
      <c r="EGU278" s="1069"/>
      <c r="EGV278" s="1069"/>
      <c r="EGW278" s="1069"/>
      <c r="EGX278" s="1069"/>
      <c r="EGY278" s="1069"/>
      <c r="EGZ278" s="1069"/>
      <c r="EHA278" s="1069"/>
      <c r="EHB278" s="1069"/>
      <c r="EHC278" s="1069"/>
      <c r="EHD278" s="1069"/>
      <c r="EHE278" s="1069"/>
      <c r="EHF278" s="1069"/>
      <c r="EHG278" s="1069"/>
      <c r="EHH278" s="1069"/>
      <c r="EHI278" s="1069"/>
      <c r="EHJ278" s="1069"/>
      <c r="EHK278" s="1069"/>
      <c r="EHL278" s="1069"/>
      <c r="EHM278" s="1069"/>
      <c r="EHN278" s="1069"/>
      <c r="EHO278" s="1069"/>
      <c r="EHP278" s="1069"/>
      <c r="EHQ278" s="1069"/>
      <c r="EHR278" s="1069"/>
      <c r="EHS278" s="1069"/>
      <c r="EHT278" s="1069"/>
      <c r="EHU278" s="1069"/>
      <c r="EHV278" s="1069"/>
      <c r="EHW278" s="1069"/>
      <c r="EHX278" s="1069"/>
      <c r="EHY278" s="1069"/>
      <c r="EHZ278" s="1069"/>
      <c r="EIA278" s="1069"/>
      <c r="EIB278" s="1069"/>
      <c r="EIC278" s="1069"/>
      <c r="EID278" s="1069"/>
      <c r="EIE278" s="1069"/>
      <c r="EIF278" s="1069"/>
      <c r="EIG278" s="1069"/>
      <c r="EIH278" s="1069"/>
      <c r="EII278" s="1069"/>
      <c r="EIJ278" s="1069"/>
      <c r="EIK278" s="1069"/>
      <c r="EIL278" s="1069"/>
      <c r="EIM278" s="1069"/>
      <c r="EIN278" s="1069"/>
      <c r="EIO278" s="1069"/>
      <c r="EIP278" s="1069"/>
      <c r="EIQ278" s="1069"/>
      <c r="EIR278" s="1069"/>
      <c r="EIS278" s="1069"/>
      <c r="EIT278" s="1069"/>
      <c r="EIU278" s="1069"/>
      <c r="EIV278" s="1069"/>
      <c r="EIW278" s="1069"/>
      <c r="EIX278" s="1069"/>
      <c r="EIY278" s="1069"/>
      <c r="EIZ278" s="1069"/>
      <c r="EJA278" s="1069"/>
      <c r="EJB278" s="1069"/>
      <c r="EJC278" s="1069"/>
      <c r="EJD278" s="1069"/>
      <c r="EJE278" s="1069"/>
      <c r="EJF278" s="1069"/>
      <c r="EJG278" s="1069"/>
      <c r="EJH278" s="1069"/>
      <c r="EJI278" s="1069"/>
      <c r="EJJ278" s="1069"/>
      <c r="EJK278" s="1069"/>
      <c r="EJL278" s="1069"/>
      <c r="EJM278" s="1069"/>
      <c r="EJN278" s="1069"/>
      <c r="EJO278" s="1069"/>
      <c r="EJP278" s="1069"/>
      <c r="EJQ278" s="1069"/>
      <c r="EJR278" s="1069"/>
      <c r="EJS278" s="1069"/>
      <c r="EJT278" s="1069"/>
      <c r="EJU278" s="1069"/>
      <c r="EJV278" s="1069"/>
      <c r="EJW278" s="1069"/>
      <c r="EJX278" s="1069"/>
      <c r="EJY278" s="1069"/>
      <c r="EJZ278" s="1069"/>
      <c r="EKA278" s="1069"/>
      <c r="EKB278" s="1069"/>
      <c r="EKC278" s="1069"/>
      <c r="EKD278" s="1069"/>
      <c r="EKE278" s="1069"/>
      <c r="EKF278" s="1069"/>
      <c r="EKG278" s="1069"/>
      <c r="EKH278" s="1069"/>
      <c r="EKI278" s="1069"/>
      <c r="EKJ278" s="1069"/>
      <c r="EKK278" s="1069"/>
      <c r="EKL278" s="1069"/>
      <c r="EKM278" s="1069"/>
      <c r="EKN278" s="1069"/>
      <c r="EKO278" s="1069"/>
      <c r="EKP278" s="1069"/>
      <c r="EKQ278" s="1069"/>
      <c r="EKR278" s="1069"/>
      <c r="EKS278" s="1069"/>
      <c r="EKT278" s="1069"/>
      <c r="EKU278" s="1069"/>
      <c r="EKV278" s="1069"/>
      <c r="EKW278" s="1069"/>
      <c r="EKX278" s="1069"/>
      <c r="EKY278" s="1069"/>
      <c r="EKZ278" s="1069"/>
      <c r="ELA278" s="1069"/>
      <c r="ELB278" s="1069"/>
      <c r="ELC278" s="1069"/>
      <c r="ELD278" s="1069"/>
      <c r="ELE278" s="1069"/>
      <c r="ELF278" s="1069"/>
      <c r="ELG278" s="1069"/>
      <c r="ELH278" s="1069"/>
      <c r="ELI278" s="1069"/>
      <c r="ELJ278" s="1069"/>
      <c r="ELK278" s="1069"/>
      <c r="ELL278" s="1069"/>
      <c r="ELM278" s="1069"/>
      <c r="ELN278" s="1069"/>
      <c r="ELO278" s="1069"/>
      <c r="ELP278" s="1069"/>
      <c r="ELQ278" s="1069"/>
      <c r="ELR278" s="1069"/>
      <c r="ELS278" s="1069"/>
      <c r="ELT278" s="1069"/>
      <c r="ELU278" s="1069"/>
      <c r="ELV278" s="1069"/>
      <c r="ELW278" s="1069"/>
      <c r="ELX278" s="1069"/>
      <c r="ELY278" s="1069"/>
      <c r="ELZ278" s="1069"/>
      <c r="EMA278" s="1069"/>
      <c r="EMB278" s="1069"/>
      <c r="EMC278" s="1069"/>
      <c r="EMD278" s="1069"/>
      <c r="EME278" s="1069"/>
      <c r="EMF278" s="1069"/>
      <c r="EMG278" s="1069"/>
      <c r="EMH278" s="1069"/>
      <c r="EMI278" s="1069"/>
      <c r="EMJ278" s="1069"/>
      <c r="EMK278" s="1069"/>
      <c r="EML278" s="1069"/>
      <c r="EMM278" s="1069"/>
      <c r="EMN278" s="1069"/>
      <c r="EMO278" s="1069"/>
      <c r="EMP278" s="1069"/>
      <c r="EMQ278" s="1069"/>
      <c r="EMR278" s="1069"/>
      <c r="EMS278" s="1069"/>
      <c r="EMT278" s="1069"/>
      <c r="EMU278" s="1069"/>
      <c r="EMV278" s="1069"/>
      <c r="EMW278" s="1069"/>
      <c r="EMX278" s="1069"/>
      <c r="EMY278" s="1069"/>
      <c r="EMZ278" s="1069"/>
      <c r="ENA278" s="1069"/>
      <c r="ENB278" s="1069"/>
      <c r="ENC278" s="1069"/>
      <c r="END278" s="1069"/>
      <c r="ENE278" s="1069"/>
      <c r="ENF278" s="1069"/>
      <c r="ENG278" s="1069"/>
      <c r="ENH278" s="1069"/>
      <c r="ENI278" s="1069"/>
      <c r="ENJ278" s="1069"/>
      <c r="ENK278" s="1069"/>
      <c r="ENL278" s="1069"/>
      <c r="ENM278" s="1069"/>
      <c r="ENN278" s="1069"/>
      <c r="ENO278" s="1069"/>
      <c r="ENP278" s="1069"/>
      <c r="ENQ278" s="1069"/>
      <c r="ENR278" s="1069"/>
      <c r="ENS278" s="1069"/>
      <c r="ENT278" s="1069"/>
      <c r="ENU278" s="1069"/>
      <c r="ENV278" s="1069"/>
      <c r="ENW278" s="1069"/>
      <c r="ENX278" s="1069"/>
      <c r="ENY278" s="1069"/>
      <c r="ENZ278" s="1069"/>
      <c r="EOA278" s="1069"/>
      <c r="EOB278" s="1069"/>
      <c r="EOC278" s="1069"/>
      <c r="EOD278" s="1069"/>
      <c r="EOE278" s="1069"/>
      <c r="EOF278" s="1069"/>
      <c r="EOG278" s="1069"/>
      <c r="EOH278" s="1069"/>
      <c r="EOI278" s="1069"/>
      <c r="EOJ278" s="1069"/>
      <c r="EOK278" s="1069"/>
      <c r="EOL278" s="1069"/>
      <c r="EOM278" s="1069"/>
      <c r="EON278" s="1069"/>
      <c r="EOO278" s="1069"/>
      <c r="EOP278" s="1069"/>
      <c r="EOQ278" s="1069"/>
      <c r="EOR278" s="1069"/>
      <c r="EOS278" s="1069"/>
      <c r="EOT278" s="1069"/>
      <c r="EOU278" s="1069"/>
      <c r="EOV278" s="1069"/>
      <c r="EOW278" s="1069"/>
      <c r="EOX278" s="1069"/>
      <c r="EOY278" s="1069"/>
      <c r="EOZ278" s="1069"/>
      <c r="EPA278" s="1069"/>
      <c r="EPB278" s="1069"/>
      <c r="EPC278" s="1069"/>
      <c r="EPD278" s="1069"/>
      <c r="EPE278" s="1069"/>
      <c r="EPF278" s="1069"/>
      <c r="EPG278" s="1069"/>
      <c r="EPH278" s="1069"/>
      <c r="EPI278" s="1069"/>
      <c r="EPJ278" s="1069"/>
      <c r="EPK278" s="1069"/>
      <c r="EPL278" s="1069"/>
      <c r="EPM278" s="1069"/>
      <c r="EPN278" s="1069"/>
      <c r="EPO278" s="1069"/>
      <c r="EPP278" s="1069"/>
      <c r="EPQ278" s="1069"/>
      <c r="EPR278" s="1069"/>
      <c r="EPS278" s="1069"/>
      <c r="EPT278" s="1069"/>
      <c r="EPU278" s="1069"/>
      <c r="EPV278" s="1069"/>
      <c r="EPW278" s="1069"/>
      <c r="EPX278" s="1069"/>
      <c r="EPY278" s="1069"/>
      <c r="EPZ278" s="1069"/>
      <c r="EQA278" s="1069"/>
      <c r="EQB278" s="1069"/>
      <c r="EQC278" s="1069"/>
      <c r="EQD278" s="1069"/>
      <c r="EQE278" s="1069"/>
      <c r="EQF278" s="1069"/>
      <c r="EQG278" s="1069"/>
      <c r="EQH278" s="1069"/>
      <c r="EQI278" s="1069"/>
      <c r="EQJ278" s="1069"/>
      <c r="EQK278" s="1069"/>
      <c r="EQL278" s="1069"/>
      <c r="EQM278" s="1069"/>
      <c r="EQN278" s="1069"/>
      <c r="EQO278" s="1069"/>
      <c r="EQP278" s="1069"/>
      <c r="EQQ278" s="1069"/>
      <c r="EQR278" s="1069"/>
      <c r="EQS278" s="1069"/>
      <c r="EQT278" s="1069"/>
      <c r="EQU278" s="1069"/>
      <c r="EQV278" s="1069"/>
      <c r="EQW278" s="1069"/>
      <c r="EQX278" s="1069"/>
      <c r="EQY278" s="1069"/>
      <c r="EQZ278" s="1069"/>
      <c r="ERA278" s="1069"/>
      <c r="ERB278" s="1069"/>
      <c r="ERC278" s="1069"/>
      <c r="ERD278" s="1069"/>
      <c r="ERE278" s="1069"/>
      <c r="ERF278" s="1069"/>
      <c r="ERG278" s="1069"/>
      <c r="ERH278" s="1069"/>
      <c r="ERI278" s="1069"/>
      <c r="ERJ278" s="1069"/>
      <c r="ERK278" s="1069"/>
      <c r="ERL278" s="1069"/>
      <c r="ERM278" s="1069"/>
      <c r="ERN278" s="1069"/>
      <c r="ERO278" s="1069"/>
      <c r="ERP278" s="1069"/>
      <c r="ERQ278" s="1069"/>
      <c r="ERR278" s="1069"/>
      <c r="ERS278" s="1069"/>
      <c r="ERT278" s="1069"/>
      <c r="ERU278" s="1069"/>
      <c r="ERV278" s="1069"/>
      <c r="ERW278" s="1069"/>
      <c r="ERX278" s="1069"/>
      <c r="ERY278" s="1069"/>
      <c r="ERZ278" s="1069"/>
      <c r="ESA278" s="1069"/>
      <c r="ESB278" s="1069"/>
      <c r="ESC278" s="1069"/>
      <c r="ESD278" s="1069"/>
      <c r="ESE278" s="1069"/>
      <c r="ESF278" s="1069"/>
      <c r="ESG278" s="1069"/>
      <c r="ESH278" s="1069"/>
      <c r="ESI278" s="1069"/>
      <c r="ESJ278" s="1069"/>
      <c r="ESK278" s="1069"/>
      <c r="ESL278" s="1069"/>
      <c r="ESM278" s="1069"/>
      <c r="ESN278" s="1069"/>
      <c r="ESO278" s="1069"/>
      <c r="ESP278" s="1069"/>
      <c r="ESQ278" s="1069"/>
      <c r="ESR278" s="1069"/>
      <c r="ESS278" s="1069"/>
      <c r="EST278" s="1069"/>
      <c r="ESU278" s="1069"/>
      <c r="ESV278" s="1069"/>
      <c r="ESW278" s="1069"/>
      <c r="ESX278" s="1069"/>
      <c r="ESY278" s="1069"/>
      <c r="ESZ278" s="1069"/>
      <c r="ETA278" s="1069"/>
      <c r="ETB278" s="1069"/>
      <c r="ETC278" s="1069"/>
      <c r="ETD278" s="1069"/>
      <c r="ETE278" s="1069"/>
      <c r="ETF278" s="1069"/>
      <c r="ETG278" s="1069"/>
      <c r="ETH278" s="1069"/>
      <c r="ETI278" s="1069"/>
      <c r="ETJ278" s="1069"/>
      <c r="ETK278" s="1069"/>
      <c r="ETL278" s="1069"/>
      <c r="ETM278" s="1069"/>
      <c r="ETN278" s="1069"/>
      <c r="ETO278" s="1069"/>
      <c r="ETP278" s="1069"/>
      <c r="ETQ278" s="1069"/>
      <c r="ETR278" s="1069"/>
      <c r="ETS278" s="1069"/>
      <c r="ETT278" s="1069"/>
      <c r="ETU278" s="1069"/>
      <c r="ETV278" s="1069"/>
      <c r="ETW278" s="1069"/>
      <c r="ETX278" s="1069"/>
      <c r="ETY278" s="1069"/>
      <c r="ETZ278" s="1069"/>
      <c r="EUA278" s="1069"/>
      <c r="EUB278" s="1069"/>
      <c r="EUC278" s="1069"/>
      <c r="EUD278" s="1069"/>
      <c r="EUE278" s="1069"/>
      <c r="EUF278" s="1069"/>
      <c r="EUG278" s="1069"/>
      <c r="EUH278" s="1069"/>
      <c r="EUI278" s="1069"/>
      <c r="EUJ278" s="1069"/>
      <c r="EUK278" s="1069"/>
      <c r="EUL278" s="1069"/>
      <c r="EUM278" s="1069"/>
      <c r="EUN278" s="1069"/>
      <c r="EUO278" s="1069"/>
      <c r="EUP278" s="1069"/>
      <c r="EUQ278" s="1069"/>
      <c r="EUR278" s="1069"/>
      <c r="EUS278" s="1069"/>
      <c r="EUT278" s="1069"/>
      <c r="EUU278" s="1069"/>
      <c r="EUV278" s="1069"/>
      <c r="EUW278" s="1069"/>
      <c r="EUX278" s="1069"/>
      <c r="EUY278" s="1069"/>
      <c r="EUZ278" s="1069"/>
      <c r="EVA278" s="1069"/>
      <c r="EVB278" s="1069"/>
      <c r="EVC278" s="1069"/>
      <c r="EVD278" s="1069"/>
      <c r="EVE278" s="1069"/>
      <c r="EVF278" s="1069"/>
      <c r="EVG278" s="1069"/>
      <c r="EVH278" s="1069"/>
      <c r="EVI278" s="1069"/>
      <c r="EVJ278" s="1069"/>
      <c r="EVK278" s="1069"/>
      <c r="EVL278" s="1069"/>
      <c r="EVM278" s="1069"/>
      <c r="EVN278" s="1069"/>
      <c r="EVO278" s="1069"/>
      <c r="EVP278" s="1069"/>
      <c r="EVQ278" s="1069"/>
      <c r="EVR278" s="1069"/>
      <c r="EVS278" s="1069"/>
      <c r="EVT278" s="1069"/>
      <c r="EVU278" s="1069"/>
      <c r="EVV278" s="1069"/>
      <c r="EVW278" s="1069"/>
      <c r="EVX278" s="1069"/>
      <c r="EVY278" s="1069"/>
      <c r="EVZ278" s="1069"/>
      <c r="EWA278" s="1069"/>
      <c r="EWB278" s="1069"/>
      <c r="EWC278" s="1069"/>
      <c r="EWD278" s="1069"/>
      <c r="EWE278" s="1069"/>
      <c r="EWF278" s="1069"/>
      <c r="EWG278" s="1069"/>
      <c r="EWH278" s="1069"/>
      <c r="EWI278" s="1069"/>
      <c r="EWJ278" s="1069"/>
      <c r="EWK278" s="1069"/>
      <c r="EWL278" s="1069"/>
      <c r="EWM278" s="1069"/>
      <c r="EWN278" s="1069"/>
      <c r="EWO278" s="1069"/>
      <c r="EWP278" s="1069"/>
      <c r="EWQ278" s="1069"/>
      <c r="EWR278" s="1069"/>
      <c r="EWS278" s="1069"/>
      <c r="EWT278" s="1069"/>
      <c r="EWU278" s="1069"/>
      <c r="EWV278" s="1069"/>
      <c r="EWW278" s="1069"/>
      <c r="EWX278" s="1069"/>
      <c r="EWY278" s="1069"/>
      <c r="EWZ278" s="1069"/>
      <c r="EXA278" s="1069"/>
      <c r="EXB278" s="1069"/>
      <c r="EXC278" s="1069"/>
      <c r="EXD278" s="1069"/>
      <c r="EXE278" s="1069"/>
      <c r="EXF278" s="1069"/>
      <c r="EXG278" s="1069"/>
      <c r="EXH278" s="1069"/>
      <c r="EXI278" s="1069"/>
      <c r="EXJ278" s="1069"/>
      <c r="EXK278" s="1069"/>
      <c r="EXL278" s="1069"/>
      <c r="EXM278" s="1069"/>
      <c r="EXN278" s="1069"/>
      <c r="EXO278" s="1069"/>
      <c r="EXP278" s="1069"/>
      <c r="EXQ278" s="1069"/>
      <c r="EXR278" s="1069"/>
      <c r="EXS278" s="1069"/>
      <c r="EXT278" s="1069"/>
      <c r="EXU278" s="1069"/>
      <c r="EXV278" s="1069"/>
      <c r="EXW278" s="1069"/>
      <c r="EXX278" s="1069"/>
      <c r="EXY278" s="1069"/>
      <c r="EXZ278" s="1069"/>
      <c r="EYA278" s="1069"/>
      <c r="EYB278" s="1069"/>
      <c r="EYC278" s="1069"/>
      <c r="EYD278" s="1069"/>
      <c r="EYE278" s="1069"/>
      <c r="EYF278" s="1069"/>
      <c r="EYG278" s="1069"/>
      <c r="EYH278" s="1069"/>
      <c r="EYI278" s="1069"/>
      <c r="EYJ278" s="1069"/>
      <c r="EYK278" s="1069"/>
      <c r="EYL278" s="1069"/>
      <c r="EYM278" s="1069"/>
      <c r="EYN278" s="1069"/>
      <c r="EYO278" s="1069"/>
      <c r="EYP278" s="1069"/>
      <c r="EYQ278" s="1069"/>
      <c r="EYR278" s="1069"/>
      <c r="EYS278" s="1069"/>
      <c r="EYT278" s="1069"/>
      <c r="EYU278" s="1069"/>
      <c r="EYV278" s="1069"/>
      <c r="EYW278" s="1069"/>
      <c r="EYX278" s="1069"/>
      <c r="EYY278" s="1069"/>
      <c r="EYZ278" s="1069"/>
      <c r="EZA278" s="1069"/>
      <c r="EZB278" s="1069"/>
      <c r="EZC278" s="1069"/>
      <c r="EZD278" s="1069"/>
      <c r="EZE278" s="1069"/>
      <c r="EZF278" s="1069"/>
      <c r="EZG278" s="1069"/>
      <c r="EZH278" s="1069"/>
      <c r="EZI278" s="1069"/>
      <c r="EZJ278" s="1069"/>
      <c r="EZK278" s="1069"/>
      <c r="EZL278" s="1069"/>
      <c r="EZM278" s="1069"/>
      <c r="EZN278" s="1069"/>
      <c r="EZO278" s="1069"/>
      <c r="EZP278" s="1069"/>
      <c r="EZQ278" s="1069"/>
      <c r="EZR278" s="1069"/>
      <c r="EZS278" s="1069"/>
      <c r="EZT278" s="1069"/>
      <c r="EZU278" s="1069"/>
      <c r="EZV278" s="1069"/>
      <c r="EZW278" s="1069"/>
      <c r="EZX278" s="1069"/>
      <c r="EZY278" s="1069"/>
      <c r="EZZ278" s="1069"/>
      <c r="FAA278" s="1069"/>
      <c r="FAB278" s="1069"/>
      <c r="FAC278" s="1069"/>
      <c r="FAD278" s="1069"/>
      <c r="FAE278" s="1069"/>
      <c r="FAF278" s="1069"/>
      <c r="FAG278" s="1069"/>
      <c r="FAH278" s="1069"/>
      <c r="FAI278" s="1069"/>
      <c r="FAJ278" s="1069"/>
      <c r="FAK278" s="1069"/>
      <c r="FAL278" s="1069"/>
      <c r="FAM278" s="1069"/>
      <c r="FAN278" s="1069"/>
      <c r="FAO278" s="1069"/>
      <c r="FAP278" s="1069"/>
      <c r="FAQ278" s="1069"/>
      <c r="FAR278" s="1069"/>
      <c r="FAS278" s="1069"/>
      <c r="FAT278" s="1069"/>
      <c r="FAU278" s="1069"/>
      <c r="FAV278" s="1069"/>
      <c r="FAW278" s="1069"/>
      <c r="FAX278" s="1069"/>
      <c r="FAY278" s="1069"/>
      <c r="FAZ278" s="1069"/>
      <c r="FBA278" s="1069"/>
      <c r="FBB278" s="1069"/>
      <c r="FBC278" s="1069"/>
      <c r="FBD278" s="1069"/>
      <c r="FBE278" s="1069"/>
      <c r="FBF278" s="1069"/>
      <c r="FBG278" s="1069"/>
      <c r="FBH278" s="1069"/>
      <c r="FBI278" s="1069"/>
      <c r="FBJ278" s="1069"/>
      <c r="FBK278" s="1069"/>
      <c r="FBL278" s="1069"/>
      <c r="FBM278" s="1069"/>
      <c r="FBN278" s="1069"/>
      <c r="FBO278" s="1069"/>
      <c r="FBP278" s="1069"/>
      <c r="FBQ278" s="1069"/>
      <c r="FBR278" s="1069"/>
      <c r="FBS278" s="1069"/>
      <c r="FBT278" s="1069"/>
      <c r="FBU278" s="1069"/>
      <c r="FBV278" s="1069"/>
      <c r="FBW278" s="1069"/>
      <c r="FBX278" s="1069"/>
      <c r="FBY278" s="1069"/>
      <c r="FBZ278" s="1069"/>
      <c r="FCA278" s="1069"/>
      <c r="FCB278" s="1069"/>
      <c r="FCC278" s="1069"/>
      <c r="FCD278" s="1069"/>
      <c r="FCE278" s="1069"/>
      <c r="FCF278" s="1069"/>
      <c r="FCG278" s="1069"/>
      <c r="FCH278" s="1069"/>
      <c r="FCI278" s="1069"/>
      <c r="FCJ278" s="1069"/>
      <c r="FCK278" s="1069"/>
      <c r="FCL278" s="1069"/>
      <c r="FCM278" s="1069"/>
      <c r="FCN278" s="1069"/>
      <c r="FCO278" s="1069"/>
      <c r="FCP278" s="1069"/>
      <c r="FCQ278" s="1069"/>
      <c r="FCR278" s="1069"/>
      <c r="FCS278" s="1069"/>
      <c r="FCT278" s="1069"/>
      <c r="FCU278" s="1069"/>
      <c r="FCV278" s="1069"/>
      <c r="FCW278" s="1069"/>
      <c r="FCX278" s="1069"/>
      <c r="FCY278" s="1069"/>
      <c r="FCZ278" s="1069"/>
      <c r="FDA278" s="1069"/>
      <c r="FDB278" s="1069"/>
      <c r="FDC278" s="1069"/>
      <c r="FDD278" s="1069"/>
      <c r="FDE278" s="1069"/>
      <c r="FDF278" s="1069"/>
      <c r="FDG278" s="1069"/>
      <c r="FDH278" s="1069"/>
      <c r="FDI278" s="1069"/>
      <c r="FDJ278" s="1069"/>
      <c r="FDK278" s="1069"/>
      <c r="FDL278" s="1069"/>
      <c r="FDM278" s="1069"/>
      <c r="FDN278" s="1069"/>
      <c r="FDO278" s="1069"/>
      <c r="FDP278" s="1069"/>
      <c r="FDQ278" s="1069"/>
      <c r="FDR278" s="1069"/>
      <c r="FDS278" s="1069"/>
      <c r="FDT278" s="1069"/>
      <c r="FDU278" s="1069"/>
      <c r="FDV278" s="1069"/>
      <c r="FDW278" s="1069"/>
      <c r="FDX278" s="1069"/>
      <c r="FDY278" s="1069"/>
      <c r="FDZ278" s="1069"/>
      <c r="FEA278" s="1069"/>
      <c r="FEB278" s="1069"/>
      <c r="FEC278" s="1069"/>
      <c r="FED278" s="1069"/>
      <c r="FEE278" s="1069"/>
      <c r="FEF278" s="1069"/>
      <c r="FEG278" s="1069"/>
      <c r="FEH278" s="1069"/>
      <c r="FEI278" s="1069"/>
      <c r="FEJ278" s="1069"/>
      <c r="FEK278" s="1069"/>
      <c r="FEL278" s="1069"/>
      <c r="FEM278" s="1069"/>
      <c r="FEN278" s="1069"/>
      <c r="FEO278" s="1069"/>
      <c r="FEP278" s="1069"/>
      <c r="FEQ278" s="1069"/>
      <c r="FER278" s="1069"/>
      <c r="FES278" s="1069"/>
      <c r="FET278" s="1069"/>
      <c r="FEU278" s="1069"/>
      <c r="FEV278" s="1069"/>
      <c r="FEW278" s="1069"/>
      <c r="FEX278" s="1069"/>
      <c r="FEY278" s="1069"/>
      <c r="FEZ278" s="1069"/>
      <c r="FFA278" s="1069"/>
      <c r="FFB278" s="1069"/>
      <c r="FFC278" s="1069"/>
      <c r="FFD278" s="1069"/>
      <c r="FFE278" s="1069"/>
      <c r="FFF278" s="1069"/>
      <c r="FFG278" s="1069"/>
      <c r="FFH278" s="1069"/>
      <c r="FFI278" s="1069"/>
      <c r="FFJ278" s="1069"/>
      <c r="FFK278" s="1069"/>
      <c r="FFL278" s="1069"/>
      <c r="FFM278" s="1069"/>
      <c r="FFN278" s="1069"/>
      <c r="FFO278" s="1069"/>
      <c r="FFP278" s="1069"/>
      <c r="FFQ278" s="1069"/>
      <c r="FFR278" s="1069"/>
      <c r="FFS278" s="1069"/>
      <c r="FFT278" s="1069"/>
      <c r="FFU278" s="1069"/>
      <c r="FFV278" s="1069"/>
      <c r="FFW278" s="1069"/>
      <c r="FFX278" s="1069"/>
      <c r="FFY278" s="1069"/>
      <c r="FFZ278" s="1069"/>
      <c r="FGA278" s="1069"/>
      <c r="FGB278" s="1069"/>
      <c r="FGC278" s="1069"/>
      <c r="FGD278" s="1069"/>
      <c r="FGE278" s="1069"/>
      <c r="FGF278" s="1069"/>
      <c r="FGG278" s="1069"/>
      <c r="FGH278" s="1069"/>
      <c r="FGI278" s="1069"/>
      <c r="FGJ278" s="1069"/>
      <c r="FGK278" s="1069"/>
      <c r="FGL278" s="1069"/>
      <c r="FGM278" s="1069"/>
      <c r="FGN278" s="1069"/>
      <c r="FGO278" s="1069"/>
      <c r="FGP278" s="1069"/>
      <c r="FGQ278" s="1069"/>
      <c r="FGR278" s="1069"/>
      <c r="FGS278" s="1069"/>
      <c r="FGT278" s="1069"/>
      <c r="FGU278" s="1069"/>
      <c r="FGV278" s="1069"/>
      <c r="FGW278" s="1069"/>
      <c r="FGX278" s="1069"/>
      <c r="FGY278" s="1069"/>
      <c r="FGZ278" s="1069"/>
      <c r="FHA278" s="1069"/>
      <c r="FHB278" s="1069"/>
      <c r="FHC278" s="1069"/>
      <c r="FHD278" s="1069"/>
      <c r="FHE278" s="1069"/>
      <c r="FHF278" s="1069"/>
      <c r="FHG278" s="1069"/>
      <c r="FHH278" s="1069"/>
      <c r="FHI278" s="1069"/>
      <c r="FHJ278" s="1069"/>
      <c r="FHK278" s="1069"/>
      <c r="FHL278" s="1069"/>
      <c r="FHM278" s="1069"/>
      <c r="FHN278" s="1069"/>
      <c r="FHO278" s="1069"/>
      <c r="FHP278" s="1069"/>
      <c r="FHQ278" s="1069"/>
      <c r="FHR278" s="1069"/>
      <c r="FHS278" s="1069"/>
      <c r="FHT278" s="1069"/>
      <c r="FHU278" s="1069"/>
      <c r="FHV278" s="1069"/>
      <c r="FHW278" s="1069"/>
      <c r="FHX278" s="1069"/>
      <c r="FHY278" s="1069"/>
      <c r="FHZ278" s="1069"/>
      <c r="FIA278" s="1069"/>
      <c r="FIB278" s="1069"/>
      <c r="FIC278" s="1069"/>
      <c r="FID278" s="1069"/>
      <c r="FIE278" s="1069"/>
      <c r="FIF278" s="1069"/>
      <c r="FIG278" s="1069"/>
      <c r="FIH278" s="1069"/>
      <c r="FII278" s="1069"/>
      <c r="FIJ278" s="1069"/>
      <c r="FIK278" s="1069"/>
      <c r="FIL278" s="1069"/>
      <c r="FIM278" s="1069"/>
      <c r="FIN278" s="1069"/>
      <c r="FIO278" s="1069"/>
      <c r="FIP278" s="1069"/>
      <c r="FIQ278" s="1069"/>
      <c r="FIR278" s="1069"/>
      <c r="FIS278" s="1069"/>
      <c r="FIT278" s="1069"/>
      <c r="FIU278" s="1069"/>
      <c r="FIV278" s="1069"/>
      <c r="FIW278" s="1069"/>
      <c r="FIX278" s="1069"/>
      <c r="FIY278" s="1069"/>
      <c r="FIZ278" s="1069"/>
      <c r="FJA278" s="1069"/>
      <c r="FJB278" s="1069"/>
      <c r="FJC278" s="1069"/>
      <c r="FJD278" s="1069"/>
      <c r="FJE278" s="1069"/>
      <c r="FJF278" s="1069"/>
      <c r="FJG278" s="1069"/>
      <c r="FJH278" s="1069"/>
      <c r="FJI278" s="1069"/>
      <c r="FJJ278" s="1069"/>
      <c r="FJK278" s="1069"/>
      <c r="FJL278" s="1069"/>
      <c r="FJM278" s="1069"/>
      <c r="FJN278" s="1069"/>
      <c r="FJO278" s="1069"/>
      <c r="FJP278" s="1069"/>
      <c r="FJQ278" s="1069"/>
      <c r="FJR278" s="1069"/>
      <c r="FJS278" s="1069"/>
      <c r="FJT278" s="1069"/>
      <c r="FJU278" s="1069"/>
      <c r="FJV278" s="1069"/>
      <c r="FJW278" s="1069"/>
      <c r="FJX278" s="1069"/>
      <c r="FJY278" s="1069"/>
      <c r="FJZ278" s="1069"/>
      <c r="FKA278" s="1069"/>
      <c r="FKB278" s="1069"/>
      <c r="FKC278" s="1069"/>
      <c r="FKD278" s="1069"/>
      <c r="FKE278" s="1069"/>
      <c r="FKF278" s="1069"/>
      <c r="FKG278" s="1069"/>
      <c r="FKH278" s="1069"/>
      <c r="FKI278" s="1069"/>
      <c r="FKJ278" s="1069"/>
      <c r="FKK278" s="1069"/>
      <c r="FKL278" s="1069"/>
      <c r="FKM278" s="1069"/>
      <c r="FKN278" s="1069"/>
      <c r="FKO278" s="1069"/>
      <c r="FKP278" s="1069"/>
      <c r="FKQ278" s="1069"/>
      <c r="FKR278" s="1069"/>
      <c r="FKS278" s="1069"/>
      <c r="FKT278" s="1069"/>
      <c r="FKU278" s="1069"/>
      <c r="FKV278" s="1069"/>
      <c r="FKW278" s="1069"/>
      <c r="FKX278" s="1069"/>
      <c r="FKY278" s="1069"/>
      <c r="FKZ278" s="1069"/>
      <c r="FLA278" s="1069"/>
      <c r="FLB278" s="1069"/>
      <c r="FLC278" s="1069"/>
      <c r="FLD278" s="1069"/>
      <c r="FLE278" s="1069"/>
      <c r="FLF278" s="1069"/>
      <c r="FLG278" s="1069"/>
      <c r="FLH278" s="1069"/>
      <c r="FLI278" s="1069"/>
      <c r="FLJ278" s="1069"/>
      <c r="FLK278" s="1069"/>
      <c r="FLL278" s="1069"/>
      <c r="FLM278" s="1069"/>
      <c r="FLN278" s="1069"/>
      <c r="FLO278" s="1069"/>
      <c r="FLP278" s="1069"/>
      <c r="FLQ278" s="1069"/>
      <c r="FLR278" s="1069"/>
      <c r="FLS278" s="1069"/>
      <c r="FLT278" s="1069"/>
      <c r="FLU278" s="1069"/>
      <c r="FLV278" s="1069"/>
      <c r="FLW278" s="1069"/>
      <c r="FLX278" s="1069"/>
      <c r="FLY278" s="1069"/>
      <c r="FLZ278" s="1069"/>
      <c r="FMA278" s="1069"/>
      <c r="FMB278" s="1069"/>
      <c r="FMC278" s="1069"/>
      <c r="FMD278" s="1069"/>
      <c r="FME278" s="1069"/>
      <c r="FMF278" s="1069"/>
      <c r="FMG278" s="1069"/>
      <c r="FMH278" s="1069"/>
      <c r="FMI278" s="1069"/>
      <c r="FMJ278" s="1069"/>
      <c r="FMK278" s="1069"/>
      <c r="FML278" s="1069"/>
      <c r="FMM278" s="1069"/>
      <c r="FMN278" s="1069"/>
      <c r="FMO278" s="1069"/>
      <c r="FMP278" s="1069"/>
      <c r="FMQ278" s="1069"/>
      <c r="FMR278" s="1069"/>
      <c r="FMS278" s="1069"/>
      <c r="FMT278" s="1069"/>
      <c r="FMU278" s="1069"/>
      <c r="FMV278" s="1069"/>
      <c r="FMW278" s="1069"/>
      <c r="FMX278" s="1069"/>
      <c r="FMY278" s="1069"/>
      <c r="FMZ278" s="1069"/>
      <c r="FNA278" s="1069"/>
      <c r="FNB278" s="1069"/>
      <c r="FNC278" s="1069"/>
      <c r="FND278" s="1069"/>
      <c r="FNE278" s="1069"/>
      <c r="FNF278" s="1069"/>
      <c r="FNG278" s="1069"/>
      <c r="FNH278" s="1069"/>
      <c r="FNI278" s="1069"/>
      <c r="FNJ278" s="1069"/>
      <c r="FNK278" s="1069"/>
      <c r="FNL278" s="1069"/>
      <c r="FNM278" s="1069"/>
      <c r="FNN278" s="1069"/>
      <c r="FNO278" s="1069"/>
      <c r="FNP278" s="1069"/>
      <c r="FNQ278" s="1069"/>
      <c r="FNR278" s="1069"/>
      <c r="FNS278" s="1069"/>
      <c r="FNT278" s="1069"/>
      <c r="FNU278" s="1069"/>
      <c r="FNV278" s="1069"/>
      <c r="FNW278" s="1069"/>
      <c r="FNX278" s="1069"/>
      <c r="FNY278" s="1069"/>
      <c r="FNZ278" s="1069"/>
      <c r="FOA278" s="1069"/>
      <c r="FOB278" s="1069"/>
      <c r="FOC278" s="1069"/>
      <c r="FOD278" s="1069"/>
      <c r="FOE278" s="1069"/>
      <c r="FOF278" s="1069"/>
      <c r="FOG278" s="1069"/>
      <c r="FOH278" s="1069"/>
      <c r="FOI278" s="1069"/>
      <c r="FOJ278" s="1069"/>
      <c r="FOK278" s="1069"/>
      <c r="FOL278" s="1069"/>
      <c r="FOM278" s="1069"/>
      <c r="FON278" s="1069"/>
      <c r="FOO278" s="1069"/>
      <c r="FOP278" s="1069"/>
      <c r="FOQ278" s="1069"/>
      <c r="FOR278" s="1069"/>
      <c r="FOS278" s="1069"/>
      <c r="FOT278" s="1069"/>
      <c r="FOU278" s="1069"/>
      <c r="FOV278" s="1069"/>
      <c r="FOW278" s="1069"/>
      <c r="FOX278" s="1069"/>
      <c r="FOY278" s="1069"/>
      <c r="FOZ278" s="1069"/>
      <c r="FPA278" s="1069"/>
      <c r="FPB278" s="1069"/>
      <c r="FPC278" s="1069"/>
      <c r="FPD278" s="1069"/>
      <c r="FPE278" s="1069"/>
      <c r="FPF278" s="1069"/>
      <c r="FPG278" s="1069"/>
      <c r="FPH278" s="1069"/>
      <c r="FPI278" s="1069"/>
      <c r="FPJ278" s="1069"/>
      <c r="FPK278" s="1069"/>
      <c r="FPL278" s="1069"/>
      <c r="FPM278" s="1069"/>
      <c r="FPN278" s="1069"/>
      <c r="FPO278" s="1069"/>
      <c r="FPP278" s="1069"/>
      <c r="FPQ278" s="1069"/>
      <c r="FPR278" s="1069"/>
      <c r="FPS278" s="1069"/>
      <c r="FPT278" s="1069"/>
      <c r="FPU278" s="1069"/>
      <c r="FPV278" s="1069"/>
      <c r="FPW278" s="1069"/>
      <c r="FPX278" s="1069"/>
      <c r="FPY278" s="1069"/>
      <c r="FPZ278" s="1069"/>
      <c r="FQA278" s="1069"/>
      <c r="FQB278" s="1069"/>
      <c r="FQC278" s="1069"/>
      <c r="FQD278" s="1069"/>
      <c r="FQE278" s="1069"/>
      <c r="FQF278" s="1069"/>
      <c r="FQG278" s="1069"/>
      <c r="FQH278" s="1069"/>
      <c r="FQI278" s="1069"/>
      <c r="FQJ278" s="1069"/>
      <c r="FQK278" s="1069"/>
      <c r="FQL278" s="1069"/>
      <c r="FQM278" s="1069"/>
      <c r="FQN278" s="1069"/>
      <c r="FQO278" s="1069"/>
      <c r="FQP278" s="1069"/>
      <c r="FQQ278" s="1069"/>
      <c r="FQR278" s="1069"/>
      <c r="FQS278" s="1069"/>
      <c r="FQT278" s="1069"/>
      <c r="FQU278" s="1069"/>
      <c r="FQV278" s="1069"/>
      <c r="FQW278" s="1069"/>
      <c r="FQX278" s="1069"/>
      <c r="FQY278" s="1069"/>
      <c r="FQZ278" s="1069"/>
      <c r="FRA278" s="1069"/>
      <c r="FRB278" s="1069"/>
      <c r="FRC278" s="1069"/>
      <c r="FRD278" s="1069"/>
      <c r="FRE278" s="1069"/>
      <c r="FRF278" s="1069"/>
      <c r="FRG278" s="1069"/>
      <c r="FRH278" s="1069"/>
      <c r="FRI278" s="1069"/>
      <c r="FRJ278" s="1069"/>
      <c r="FRK278" s="1069"/>
      <c r="FRL278" s="1069"/>
      <c r="FRM278" s="1069"/>
      <c r="FRN278" s="1069"/>
      <c r="FRO278" s="1069"/>
      <c r="FRP278" s="1069"/>
      <c r="FRQ278" s="1069"/>
      <c r="FRR278" s="1069"/>
      <c r="FRS278" s="1069"/>
      <c r="FRT278" s="1069"/>
      <c r="FRU278" s="1069"/>
      <c r="FRV278" s="1069"/>
      <c r="FRW278" s="1069"/>
      <c r="FRX278" s="1069"/>
      <c r="FRY278" s="1069"/>
      <c r="FRZ278" s="1069"/>
      <c r="FSA278" s="1069"/>
      <c r="FSB278" s="1069"/>
      <c r="FSC278" s="1069"/>
      <c r="FSD278" s="1069"/>
      <c r="FSE278" s="1069"/>
      <c r="FSF278" s="1069"/>
      <c r="FSG278" s="1069"/>
      <c r="FSH278" s="1069"/>
      <c r="FSI278" s="1069"/>
      <c r="FSJ278" s="1069"/>
      <c r="FSK278" s="1069"/>
      <c r="FSL278" s="1069"/>
      <c r="FSM278" s="1069"/>
      <c r="FSN278" s="1069"/>
      <c r="FSO278" s="1069"/>
      <c r="FSP278" s="1069"/>
      <c r="FSQ278" s="1069"/>
      <c r="FSR278" s="1069"/>
      <c r="FSS278" s="1069"/>
      <c r="FST278" s="1069"/>
      <c r="FSU278" s="1069"/>
      <c r="FSV278" s="1069"/>
      <c r="FSW278" s="1069"/>
      <c r="FSX278" s="1069"/>
      <c r="FSY278" s="1069"/>
      <c r="FSZ278" s="1069"/>
      <c r="FTA278" s="1069"/>
      <c r="FTB278" s="1069"/>
      <c r="FTC278" s="1069"/>
      <c r="FTD278" s="1069"/>
      <c r="FTE278" s="1069"/>
      <c r="FTF278" s="1069"/>
      <c r="FTG278" s="1069"/>
      <c r="FTH278" s="1069"/>
      <c r="FTI278" s="1069"/>
      <c r="FTJ278" s="1069"/>
      <c r="FTK278" s="1069"/>
      <c r="FTL278" s="1069"/>
      <c r="FTM278" s="1069"/>
      <c r="FTN278" s="1069"/>
      <c r="FTO278" s="1069"/>
      <c r="FTP278" s="1069"/>
      <c r="FTQ278" s="1069"/>
      <c r="FTR278" s="1069"/>
      <c r="FTS278" s="1069"/>
      <c r="FTT278" s="1069"/>
      <c r="FTU278" s="1069"/>
      <c r="FTV278" s="1069"/>
      <c r="FTW278" s="1069"/>
      <c r="FTX278" s="1069"/>
      <c r="FTY278" s="1069"/>
      <c r="FTZ278" s="1069"/>
      <c r="FUA278" s="1069"/>
      <c r="FUB278" s="1069"/>
      <c r="FUC278" s="1069"/>
      <c r="FUD278" s="1069"/>
      <c r="FUE278" s="1069"/>
      <c r="FUF278" s="1069"/>
      <c r="FUG278" s="1069"/>
      <c r="FUH278" s="1069"/>
      <c r="FUI278" s="1069"/>
      <c r="FUJ278" s="1069"/>
      <c r="FUK278" s="1069"/>
      <c r="FUL278" s="1069"/>
      <c r="FUM278" s="1069"/>
      <c r="FUN278" s="1069"/>
      <c r="FUO278" s="1069"/>
      <c r="FUP278" s="1069"/>
      <c r="FUQ278" s="1069"/>
      <c r="FUR278" s="1069"/>
      <c r="FUS278" s="1069"/>
      <c r="FUT278" s="1069"/>
      <c r="FUU278" s="1069"/>
      <c r="FUV278" s="1069"/>
      <c r="FUW278" s="1069"/>
      <c r="FUX278" s="1069"/>
      <c r="FUY278" s="1069"/>
      <c r="FUZ278" s="1069"/>
      <c r="FVA278" s="1069"/>
      <c r="FVB278" s="1069"/>
      <c r="FVC278" s="1069"/>
      <c r="FVD278" s="1069"/>
      <c r="FVE278" s="1069"/>
      <c r="FVF278" s="1069"/>
      <c r="FVG278" s="1069"/>
      <c r="FVH278" s="1069"/>
      <c r="FVI278" s="1069"/>
      <c r="FVJ278" s="1069"/>
      <c r="FVK278" s="1069"/>
      <c r="FVL278" s="1069"/>
      <c r="FVM278" s="1069"/>
      <c r="FVN278" s="1069"/>
      <c r="FVO278" s="1069"/>
      <c r="FVP278" s="1069"/>
      <c r="FVQ278" s="1069"/>
      <c r="FVR278" s="1069"/>
      <c r="FVS278" s="1069"/>
      <c r="FVT278" s="1069"/>
      <c r="FVU278" s="1069"/>
      <c r="FVV278" s="1069"/>
      <c r="FVW278" s="1069"/>
      <c r="FVX278" s="1069"/>
      <c r="FVY278" s="1069"/>
      <c r="FVZ278" s="1069"/>
      <c r="FWA278" s="1069"/>
      <c r="FWB278" s="1069"/>
      <c r="FWC278" s="1069"/>
      <c r="FWD278" s="1069"/>
      <c r="FWE278" s="1069"/>
      <c r="FWF278" s="1069"/>
      <c r="FWG278" s="1069"/>
      <c r="FWH278" s="1069"/>
      <c r="FWI278" s="1069"/>
      <c r="FWJ278" s="1069"/>
      <c r="FWK278" s="1069"/>
      <c r="FWL278" s="1069"/>
      <c r="FWM278" s="1069"/>
      <c r="FWN278" s="1069"/>
      <c r="FWO278" s="1069"/>
      <c r="FWP278" s="1069"/>
      <c r="FWQ278" s="1069"/>
      <c r="FWR278" s="1069"/>
      <c r="FWS278" s="1069"/>
      <c r="FWT278" s="1069"/>
      <c r="FWU278" s="1069"/>
      <c r="FWV278" s="1069"/>
      <c r="FWW278" s="1069"/>
      <c r="FWX278" s="1069"/>
      <c r="FWY278" s="1069"/>
      <c r="FWZ278" s="1069"/>
      <c r="FXA278" s="1069"/>
      <c r="FXB278" s="1069"/>
      <c r="FXC278" s="1069"/>
      <c r="FXD278" s="1069"/>
      <c r="FXE278" s="1069"/>
      <c r="FXF278" s="1069"/>
      <c r="FXG278" s="1069"/>
      <c r="FXH278" s="1069"/>
      <c r="FXI278" s="1069"/>
      <c r="FXJ278" s="1069"/>
      <c r="FXK278" s="1069"/>
      <c r="FXL278" s="1069"/>
      <c r="FXM278" s="1069"/>
      <c r="FXN278" s="1069"/>
      <c r="FXO278" s="1069"/>
      <c r="FXP278" s="1069"/>
      <c r="FXQ278" s="1069"/>
      <c r="FXR278" s="1069"/>
      <c r="FXS278" s="1069"/>
      <c r="FXT278" s="1069"/>
      <c r="FXU278" s="1069"/>
      <c r="FXV278" s="1069"/>
      <c r="FXW278" s="1069"/>
      <c r="FXX278" s="1069"/>
      <c r="FXY278" s="1069"/>
      <c r="FXZ278" s="1069"/>
      <c r="FYA278" s="1069"/>
      <c r="FYB278" s="1069"/>
      <c r="FYC278" s="1069"/>
      <c r="FYD278" s="1069"/>
      <c r="FYE278" s="1069"/>
      <c r="FYF278" s="1069"/>
      <c r="FYG278" s="1069"/>
      <c r="FYH278" s="1069"/>
      <c r="FYI278" s="1069"/>
      <c r="FYJ278" s="1069"/>
      <c r="FYK278" s="1069"/>
      <c r="FYL278" s="1069"/>
      <c r="FYM278" s="1069"/>
      <c r="FYN278" s="1069"/>
      <c r="FYO278" s="1069"/>
      <c r="FYP278" s="1069"/>
      <c r="FYQ278" s="1069"/>
      <c r="FYR278" s="1069"/>
      <c r="FYS278" s="1069"/>
      <c r="FYT278" s="1069"/>
      <c r="FYU278" s="1069"/>
      <c r="FYV278" s="1069"/>
      <c r="FYW278" s="1069"/>
      <c r="FYX278" s="1069"/>
      <c r="FYY278" s="1069"/>
      <c r="FYZ278" s="1069"/>
      <c r="FZA278" s="1069"/>
      <c r="FZB278" s="1069"/>
      <c r="FZC278" s="1069"/>
      <c r="FZD278" s="1069"/>
      <c r="FZE278" s="1069"/>
      <c r="FZF278" s="1069"/>
      <c r="FZG278" s="1069"/>
      <c r="FZH278" s="1069"/>
      <c r="FZI278" s="1069"/>
      <c r="FZJ278" s="1069"/>
      <c r="FZK278" s="1069"/>
      <c r="FZL278" s="1069"/>
      <c r="FZM278" s="1069"/>
      <c r="FZN278" s="1069"/>
      <c r="FZO278" s="1069"/>
      <c r="FZP278" s="1069"/>
      <c r="FZQ278" s="1069"/>
      <c r="FZR278" s="1069"/>
      <c r="FZS278" s="1069"/>
      <c r="FZT278" s="1069"/>
      <c r="FZU278" s="1069"/>
      <c r="FZV278" s="1069"/>
      <c r="FZW278" s="1069"/>
      <c r="FZX278" s="1069"/>
      <c r="FZY278" s="1069"/>
      <c r="FZZ278" s="1069"/>
      <c r="GAA278" s="1069"/>
      <c r="GAB278" s="1069"/>
      <c r="GAC278" s="1069"/>
      <c r="GAD278" s="1069"/>
      <c r="GAE278" s="1069"/>
      <c r="GAF278" s="1069"/>
      <c r="GAG278" s="1069"/>
      <c r="GAH278" s="1069"/>
      <c r="GAI278" s="1069"/>
      <c r="GAJ278" s="1069"/>
      <c r="GAK278" s="1069"/>
      <c r="GAL278" s="1069"/>
      <c r="GAM278" s="1069"/>
      <c r="GAN278" s="1069"/>
      <c r="GAO278" s="1069"/>
      <c r="GAP278" s="1069"/>
      <c r="GAQ278" s="1069"/>
      <c r="GAR278" s="1069"/>
      <c r="GAS278" s="1069"/>
      <c r="GAT278" s="1069"/>
      <c r="GAU278" s="1069"/>
      <c r="GAV278" s="1069"/>
      <c r="GAW278" s="1069"/>
      <c r="GAX278" s="1069"/>
      <c r="GAY278" s="1069"/>
      <c r="GAZ278" s="1069"/>
      <c r="GBA278" s="1069"/>
      <c r="GBB278" s="1069"/>
      <c r="GBC278" s="1069"/>
      <c r="GBD278" s="1069"/>
      <c r="GBE278" s="1069"/>
      <c r="GBF278" s="1069"/>
      <c r="GBG278" s="1069"/>
      <c r="GBH278" s="1069"/>
      <c r="GBI278" s="1069"/>
      <c r="GBJ278" s="1069"/>
      <c r="GBK278" s="1069"/>
      <c r="GBL278" s="1069"/>
      <c r="GBM278" s="1069"/>
      <c r="GBN278" s="1069"/>
      <c r="GBO278" s="1069"/>
      <c r="GBP278" s="1069"/>
      <c r="GBQ278" s="1069"/>
      <c r="GBR278" s="1069"/>
      <c r="GBS278" s="1069"/>
      <c r="GBT278" s="1069"/>
      <c r="GBU278" s="1069"/>
      <c r="GBV278" s="1069"/>
      <c r="GBW278" s="1069"/>
      <c r="GBX278" s="1069"/>
      <c r="GBY278" s="1069"/>
      <c r="GBZ278" s="1069"/>
      <c r="GCA278" s="1069"/>
      <c r="GCB278" s="1069"/>
      <c r="GCC278" s="1069"/>
      <c r="GCD278" s="1069"/>
      <c r="GCE278" s="1069"/>
      <c r="GCF278" s="1069"/>
      <c r="GCG278" s="1069"/>
      <c r="GCH278" s="1069"/>
      <c r="GCI278" s="1069"/>
      <c r="GCJ278" s="1069"/>
      <c r="GCK278" s="1069"/>
      <c r="GCL278" s="1069"/>
      <c r="GCM278" s="1069"/>
      <c r="GCN278" s="1069"/>
      <c r="GCO278" s="1069"/>
      <c r="GCP278" s="1069"/>
      <c r="GCQ278" s="1069"/>
      <c r="GCR278" s="1069"/>
      <c r="GCS278" s="1069"/>
      <c r="GCT278" s="1069"/>
      <c r="GCU278" s="1069"/>
      <c r="GCV278" s="1069"/>
      <c r="GCW278" s="1069"/>
      <c r="GCX278" s="1069"/>
      <c r="GCY278" s="1069"/>
      <c r="GCZ278" s="1069"/>
      <c r="GDA278" s="1069"/>
      <c r="GDB278" s="1069"/>
      <c r="GDC278" s="1069"/>
      <c r="GDD278" s="1069"/>
      <c r="GDE278" s="1069"/>
      <c r="GDF278" s="1069"/>
      <c r="GDG278" s="1069"/>
      <c r="GDH278" s="1069"/>
      <c r="GDI278" s="1069"/>
      <c r="GDJ278" s="1069"/>
      <c r="GDK278" s="1069"/>
      <c r="GDL278" s="1069"/>
      <c r="GDM278" s="1069"/>
      <c r="GDN278" s="1069"/>
      <c r="GDO278" s="1069"/>
      <c r="GDP278" s="1069"/>
      <c r="GDQ278" s="1069"/>
      <c r="GDR278" s="1069"/>
      <c r="GDS278" s="1069"/>
      <c r="GDT278" s="1069"/>
      <c r="GDU278" s="1069"/>
      <c r="GDV278" s="1069"/>
      <c r="GDW278" s="1069"/>
      <c r="GDX278" s="1069"/>
      <c r="GDY278" s="1069"/>
      <c r="GDZ278" s="1069"/>
      <c r="GEA278" s="1069"/>
      <c r="GEB278" s="1069"/>
      <c r="GEC278" s="1069"/>
      <c r="GED278" s="1069"/>
      <c r="GEE278" s="1069"/>
      <c r="GEF278" s="1069"/>
      <c r="GEG278" s="1069"/>
      <c r="GEH278" s="1069"/>
      <c r="GEI278" s="1069"/>
      <c r="GEJ278" s="1069"/>
      <c r="GEK278" s="1069"/>
      <c r="GEL278" s="1069"/>
      <c r="GEM278" s="1069"/>
      <c r="GEN278" s="1069"/>
      <c r="GEO278" s="1069"/>
      <c r="GEP278" s="1069"/>
      <c r="GEQ278" s="1069"/>
      <c r="GER278" s="1069"/>
      <c r="GES278" s="1069"/>
      <c r="GET278" s="1069"/>
      <c r="GEU278" s="1069"/>
      <c r="GEV278" s="1069"/>
      <c r="GEW278" s="1069"/>
      <c r="GEX278" s="1069"/>
      <c r="GEY278" s="1069"/>
      <c r="GEZ278" s="1069"/>
      <c r="GFA278" s="1069"/>
      <c r="GFB278" s="1069"/>
      <c r="GFC278" s="1069"/>
      <c r="GFD278" s="1069"/>
      <c r="GFE278" s="1069"/>
      <c r="GFF278" s="1069"/>
      <c r="GFG278" s="1069"/>
      <c r="GFH278" s="1069"/>
      <c r="GFI278" s="1069"/>
      <c r="GFJ278" s="1069"/>
      <c r="GFK278" s="1069"/>
      <c r="GFL278" s="1069"/>
      <c r="GFM278" s="1069"/>
      <c r="GFN278" s="1069"/>
      <c r="GFO278" s="1069"/>
      <c r="GFP278" s="1069"/>
      <c r="GFQ278" s="1069"/>
      <c r="GFR278" s="1069"/>
      <c r="GFS278" s="1069"/>
      <c r="GFT278" s="1069"/>
      <c r="GFU278" s="1069"/>
      <c r="GFV278" s="1069"/>
      <c r="GFW278" s="1069"/>
      <c r="GFX278" s="1069"/>
      <c r="GFY278" s="1069"/>
      <c r="GFZ278" s="1069"/>
      <c r="GGA278" s="1069"/>
      <c r="GGB278" s="1069"/>
      <c r="GGC278" s="1069"/>
      <c r="GGD278" s="1069"/>
      <c r="GGE278" s="1069"/>
      <c r="GGF278" s="1069"/>
      <c r="GGG278" s="1069"/>
      <c r="GGH278" s="1069"/>
      <c r="GGI278" s="1069"/>
      <c r="GGJ278" s="1069"/>
      <c r="GGK278" s="1069"/>
      <c r="GGL278" s="1069"/>
      <c r="GGM278" s="1069"/>
      <c r="GGN278" s="1069"/>
      <c r="GGO278" s="1069"/>
      <c r="GGP278" s="1069"/>
      <c r="GGQ278" s="1069"/>
      <c r="GGR278" s="1069"/>
      <c r="GGS278" s="1069"/>
      <c r="GGT278" s="1069"/>
      <c r="GGU278" s="1069"/>
      <c r="GGV278" s="1069"/>
      <c r="GGW278" s="1069"/>
      <c r="GGX278" s="1069"/>
      <c r="GGY278" s="1069"/>
      <c r="GGZ278" s="1069"/>
      <c r="GHA278" s="1069"/>
      <c r="GHB278" s="1069"/>
      <c r="GHC278" s="1069"/>
      <c r="GHD278" s="1069"/>
      <c r="GHE278" s="1069"/>
      <c r="GHF278" s="1069"/>
      <c r="GHG278" s="1069"/>
      <c r="GHH278" s="1069"/>
      <c r="GHI278" s="1069"/>
      <c r="GHJ278" s="1069"/>
      <c r="GHK278" s="1069"/>
      <c r="GHL278" s="1069"/>
      <c r="GHM278" s="1069"/>
      <c r="GHN278" s="1069"/>
      <c r="GHO278" s="1069"/>
      <c r="GHP278" s="1069"/>
      <c r="GHQ278" s="1069"/>
      <c r="GHR278" s="1069"/>
      <c r="GHS278" s="1069"/>
      <c r="GHT278" s="1069"/>
      <c r="GHU278" s="1069"/>
      <c r="GHV278" s="1069"/>
      <c r="GHW278" s="1069"/>
      <c r="GHX278" s="1069"/>
      <c r="GHY278" s="1069"/>
      <c r="GHZ278" s="1069"/>
      <c r="GIA278" s="1069"/>
      <c r="GIB278" s="1069"/>
      <c r="GIC278" s="1069"/>
      <c r="GID278" s="1069"/>
      <c r="GIE278" s="1069"/>
      <c r="GIF278" s="1069"/>
      <c r="GIG278" s="1069"/>
      <c r="GIH278" s="1069"/>
      <c r="GII278" s="1069"/>
      <c r="GIJ278" s="1069"/>
      <c r="GIK278" s="1069"/>
      <c r="GIL278" s="1069"/>
      <c r="GIM278" s="1069"/>
      <c r="GIN278" s="1069"/>
      <c r="GIO278" s="1069"/>
      <c r="GIP278" s="1069"/>
      <c r="GIQ278" s="1069"/>
      <c r="GIR278" s="1069"/>
      <c r="GIS278" s="1069"/>
      <c r="GIT278" s="1069"/>
      <c r="GIU278" s="1069"/>
      <c r="GIV278" s="1069"/>
      <c r="GIW278" s="1069"/>
      <c r="GIX278" s="1069"/>
      <c r="GIY278" s="1069"/>
      <c r="GIZ278" s="1069"/>
      <c r="GJA278" s="1069"/>
      <c r="GJB278" s="1069"/>
      <c r="GJC278" s="1069"/>
      <c r="GJD278" s="1069"/>
      <c r="GJE278" s="1069"/>
      <c r="GJF278" s="1069"/>
      <c r="GJG278" s="1069"/>
      <c r="GJH278" s="1069"/>
      <c r="GJI278" s="1069"/>
      <c r="GJJ278" s="1069"/>
      <c r="GJK278" s="1069"/>
      <c r="GJL278" s="1069"/>
      <c r="GJM278" s="1069"/>
      <c r="GJN278" s="1069"/>
      <c r="GJO278" s="1069"/>
      <c r="GJP278" s="1069"/>
      <c r="GJQ278" s="1069"/>
      <c r="GJR278" s="1069"/>
      <c r="GJS278" s="1069"/>
      <c r="GJT278" s="1069"/>
      <c r="GJU278" s="1069"/>
      <c r="GJV278" s="1069"/>
      <c r="GJW278" s="1069"/>
      <c r="GJX278" s="1069"/>
      <c r="GJY278" s="1069"/>
      <c r="GJZ278" s="1069"/>
      <c r="GKA278" s="1069"/>
      <c r="GKB278" s="1069"/>
      <c r="GKC278" s="1069"/>
      <c r="GKD278" s="1069"/>
      <c r="GKE278" s="1069"/>
      <c r="GKF278" s="1069"/>
      <c r="GKG278" s="1069"/>
      <c r="GKH278" s="1069"/>
      <c r="GKI278" s="1069"/>
      <c r="GKJ278" s="1069"/>
      <c r="GKK278" s="1069"/>
      <c r="GKL278" s="1069"/>
      <c r="GKM278" s="1069"/>
      <c r="GKN278" s="1069"/>
      <c r="GKO278" s="1069"/>
      <c r="GKP278" s="1069"/>
      <c r="GKQ278" s="1069"/>
      <c r="GKR278" s="1069"/>
      <c r="GKS278" s="1069"/>
      <c r="GKT278" s="1069"/>
      <c r="GKU278" s="1069"/>
      <c r="GKV278" s="1069"/>
      <c r="GKW278" s="1069"/>
      <c r="GKX278" s="1069"/>
      <c r="GKY278" s="1069"/>
      <c r="GKZ278" s="1069"/>
      <c r="GLA278" s="1069"/>
      <c r="GLB278" s="1069"/>
      <c r="GLC278" s="1069"/>
      <c r="GLD278" s="1069"/>
      <c r="GLE278" s="1069"/>
      <c r="GLF278" s="1069"/>
      <c r="GLG278" s="1069"/>
      <c r="GLH278" s="1069"/>
      <c r="GLI278" s="1069"/>
      <c r="GLJ278" s="1069"/>
      <c r="GLK278" s="1069"/>
      <c r="GLL278" s="1069"/>
      <c r="GLM278" s="1069"/>
      <c r="GLN278" s="1069"/>
      <c r="GLO278" s="1069"/>
      <c r="GLP278" s="1069"/>
      <c r="GLQ278" s="1069"/>
      <c r="GLR278" s="1069"/>
      <c r="GLS278" s="1069"/>
      <c r="GLT278" s="1069"/>
      <c r="GLU278" s="1069"/>
      <c r="GLV278" s="1069"/>
      <c r="GLW278" s="1069"/>
      <c r="GLX278" s="1069"/>
      <c r="GLY278" s="1069"/>
      <c r="GLZ278" s="1069"/>
      <c r="GMA278" s="1069"/>
      <c r="GMB278" s="1069"/>
      <c r="GMC278" s="1069"/>
      <c r="GMD278" s="1069"/>
      <c r="GME278" s="1069"/>
      <c r="GMF278" s="1069"/>
      <c r="GMG278" s="1069"/>
      <c r="GMH278" s="1069"/>
      <c r="GMI278" s="1069"/>
      <c r="GMJ278" s="1069"/>
      <c r="GMK278" s="1069"/>
      <c r="GML278" s="1069"/>
      <c r="GMM278" s="1069"/>
      <c r="GMN278" s="1069"/>
      <c r="GMO278" s="1069"/>
      <c r="GMP278" s="1069"/>
      <c r="GMQ278" s="1069"/>
      <c r="GMR278" s="1069"/>
      <c r="GMS278" s="1069"/>
      <c r="GMT278" s="1069"/>
      <c r="GMU278" s="1069"/>
      <c r="GMV278" s="1069"/>
      <c r="GMW278" s="1069"/>
      <c r="GMX278" s="1069"/>
      <c r="GMY278" s="1069"/>
      <c r="GMZ278" s="1069"/>
      <c r="GNA278" s="1069"/>
      <c r="GNB278" s="1069"/>
      <c r="GNC278" s="1069"/>
      <c r="GND278" s="1069"/>
      <c r="GNE278" s="1069"/>
      <c r="GNF278" s="1069"/>
      <c r="GNG278" s="1069"/>
      <c r="GNH278" s="1069"/>
      <c r="GNI278" s="1069"/>
      <c r="GNJ278" s="1069"/>
      <c r="GNK278" s="1069"/>
      <c r="GNL278" s="1069"/>
      <c r="GNM278" s="1069"/>
      <c r="GNN278" s="1069"/>
      <c r="GNO278" s="1069"/>
      <c r="GNP278" s="1069"/>
      <c r="GNQ278" s="1069"/>
      <c r="GNR278" s="1069"/>
      <c r="GNS278" s="1069"/>
      <c r="GNT278" s="1069"/>
      <c r="GNU278" s="1069"/>
      <c r="GNV278" s="1069"/>
      <c r="GNW278" s="1069"/>
      <c r="GNX278" s="1069"/>
      <c r="GNY278" s="1069"/>
      <c r="GNZ278" s="1069"/>
      <c r="GOA278" s="1069"/>
      <c r="GOB278" s="1069"/>
      <c r="GOC278" s="1069"/>
      <c r="GOD278" s="1069"/>
      <c r="GOE278" s="1069"/>
      <c r="GOF278" s="1069"/>
      <c r="GOG278" s="1069"/>
      <c r="GOH278" s="1069"/>
      <c r="GOI278" s="1069"/>
      <c r="GOJ278" s="1069"/>
      <c r="GOK278" s="1069"/>
      <c r="GOL278" s="1069"/>
      <c r="GOM278" s="1069"/>
      <c r="GON278" s="1069"/>
      <c r="GOO278" s="1069"/>
      <c r="GOP278" s="1069"/>
      <c r="GOQ278" s="1069"/>
      <c r="GOR278" s="1069"/>
      <c r="GOS278" s="1069"/>
      <c r="GOT278" s="1069"/>
      <c r="GOU278" s="1069"/>
      <c r="GOV278" s="1069"/>
      <c r="GOW278" s="1069"/>
      <c r="GOX278" s="1069"/>
      <c r="GOY278" s="1069"/>
      <c r="GOZ278" s="1069"/>
      <c r="GPA278" s="1069"/>
      <c r="GPB278" s="1069"/>
      <c r="GPC278" s="1069"/>
      <c r="GPD278" s="1069"/>
      <c r="GPE278" s="1069"/>
      <c r="GPF278" s="1069"/>
      <c r="GPG278" s="1069"/>
      <c r="GPH278" s="1069"/>
      <c r="GPI278" s="1069"/>
      <c r="GPJ278" s="1069"/>
      <c r="GPK278" s="1069"/>
      <c r="GPL278" s="1069"/>
      <c r="GPM278" s="1069"/>
      <c r="GPN278" s="1069"/>
      <c r="GPO278" s="1069"/>
      <c r="GPP278" s="1069"/>
      <c r="GPQ278" s="1069"/>
      <c r="GPR278" s="1069"/>
      <c r="GPS278" s="1069"/>
      <c r="GPT278" s="1069"/>
      <c r="GPU278" s="1069"/>
      <c r="GPV278" s="1069"/>
      <c r="GPW278" s="1069"/>
      <c r="GPX278" s="1069"/>
      <c r="GPY278" s="1069"/>
      <c r="GPZ278" s="1069"/>
      <c r="GQA278" s="1069"/>
      <c r="GQB278" s="1069"/>
      <c r="GQC278" s="1069"/>
      <c r="GQD278" s="1069"/>
      <c r="GQE278" s="1069"/>
      <c r="GQF278" s="1069"/>
      <c r="GQG278" s="1069"/>
      <c r="GQH278" s="1069"/>
      <c r="GQI278" s="1069"/>
      <c r="GQJ278" s="1069"/>
      <c r="GQK278" s="1069"/>
      <c r="GQL278" s="1069"/>
      <c r="GQM278" s="1069"/>
      <c r="GQN278" s="1069"/>
      <c r="GQO278" s="1069"/>
      <c r="GQP278" s="1069"/>
      <c r="GQQ278" s="1069"/>
      <c r="GQR278" s="1069"/>
      <c r="GQS278" s="1069"/>
      <c r="GQT278" s="1069"/>
      <c r="GQU278" s="1069"/>
      <c r="GQV278" s="1069"/>
      <c r="GQW278" s="1069"/>
      <c r="GQX278" s="1069"/>
      <c r="GQY278" s="1069"/>
      <c r="GQZ278" s="1069"/>
      <c r="GRA278" s="1069"/>
      <c r="GRB278" s="1069"/>
      <c r="GRC278" s="1069"/>
      <c r="GRD278" s="1069"/>
      <c r="GRE278" s="1069"/>
      <c r="GRF278" s="1069"/>
      <c r="GRG278" s="1069"/>
      <c r="GRH278" s="1069"/>
      <c r="GRI278" s="1069"/>
      <c r="GRJ278" s="1069"/>
      <c r="GRK278" s="1069"/>
      <c r="GRL278" s="1069"/>
      <c r="GRM278" s="1069"/>
      <c r="GRN278" s="1069"/>
      <c r="GRO278" s="1069"/>
      <c r="GRP278" s="1069"/>
      <c r="GRQ278" s="1069"/>
      <c r="GRR278" s="1069"/>
      <c r="GRS278" s="1069"/>
      <c r="GRT278" s="1069"/>
      <c r="GRU278" s="1069"/>
      <c r="GRV278" s="1069"/>
      <c r="GRW278" s="1069"/>
      <c r="GRX278" s="1069"/>
      <c r="GRY278" s="1069"/>
      <c r="GRZ278" s="1069"/>
      <c r="GSA278" s="1069"/>
      <c r="GSB278" s="1069"/>
      <c r="GSC278" s="1069"/>
      <c r="GSD278" s="1069"/>
      <c r="GSE278" s="1069"/>
      <c r="GSF278" s="1069"/>
      <c r="GSG278" s="1069"/>
      <c r="GSH278" s="1069"/>
      <c r="GSI278" s="1069"/>
      <c r="GSJ278" s="1069"/>
      <c r="GSK278" s="1069"/>
      <c r="GSL278" s="1069"/>
      <c r="GSM278" s="1069"/>
      <c r="GSN278" s="1069"/>
      <c r="GSO278" s="1069"/>
      <c r="GSP278" s="1069"/>
      <c r="GSQ278" s="1069"/>
      <c r="GSR278" s="1069"/>
      <c r="GSS278" s="1069"/>
      <c r="GST278" s="1069"/>
      <c r="GSU278" s="1069"/>
      <c r="GSV278" s="1069"/>
      <c r="GSW278" s="1069"/>
      <c r="GSX278" s="1069"/>
      <c r="GSY278" s="1069"/>
      <c r="GSZ278" s="1069"/>
      <c r="GTA278" s="1069"/>
      <c r="GTB278" s="1069"/>
      <c r="GTC278" s="1069"/>
      <c r="GTD278" s="1069"/>
      <c r="GTE278" s="1069"/>
      <c r="GTF278" s="1069"/>
      <c r="GTG278" s="1069"/>
      <c r="GTH278" s="1069"/>
      <c r="GTI278" s="1069"/>
      <c r="GTJ278" s="1069"/>
      <c r="GTK278" s="1069"/>
      <c r="GTL278" s="1069"/>
      <c r="GTM278" s="1069"/>
      <c r="GTN278" s="1069"/>
      <c r="GTO278" s="1069"/>
      <c r="GTP278" s="1069"/>
      <c r="GTQ278" s="1069"/>
      <c r="GTR278" s="1069"/>
      <c r="GTS278" s="1069"/>
      <c r="GTT278" s="1069"/>
      <c r="GTU278" s="1069"/>
      <c r="GTV278" s="1069"/>
      <c r="GTW278" s="1069"/>
      <c r="GTX278" s="1069"/>
      <c r="GTY278" s="1069"/>
      <c r="GTZ278" s="1069"/>
      <c r="GUA278" s="1069"/>
      <c r="GUB278" s="1069"/>
      <c r="GUC278" s="1069"/>
      <c r="GUD278" s="1069"/>
      <c r="GUE278" s="1069"/>
      <c r="GUF278" s="1069"/>
      <c r="GUG278" s="1069"/>
      <c r="GUH278" s="1069"/>
      <c r="GUI278" s="1069"/>
      <c r="GUJ278" s="1069"/>
      <c r="GUK278" s="1069"/>
      <c r="GUL278" s="1069"/>
      <c r="GUM278" s="1069"/>
      <c r="GUN278" s="1069"/>
      <c r="GUO278" s="1069"/>
      <c r="GUP278" s="1069"/>
      <c r="GUQ278" s="1069"/>
      <c r="GUR278" s="1069"/>
      <c r="GUS278" s="1069"/>
      <c r="GUT278" s="1069"/>
      <c r="GUU278" s="1069"/>
      <c r="GUV278" s="1069"/>
      <c r="GUW278" s="1069"/>
      <c r="GUX278" s="1069"/>
      <c r="GUY278" s="1069"/>
      <c r="GUZ278" s="1069"/>
      <c r="GVA278" s="1069"/>
      <c r="GVB278" s="1069"/>
      <c r="GVC278" s="1069"/>
      <c r="GVD278" s="1069"/>
      <c r="GVE278" s="1069"/>
      <c r="GVF278" s="1069"/>
      <c r="GVG278" s="1069"/>
      <c r="GVH278" s="1069"/>
      <c r="GVI278" s="1069"/>
      <c r="GVJ278" s="1069"/>
      <c r="GVK278" s="1069"/>
      <c r="GVL278" s="1069"/>
      <c r="GVM278" s="1069"/>
      <c r="GVN278" s="1069"/>
      <c r="GVO278" s="1069"/>
      <c r="GVP278" s="1069"/>
      <c r="GVQ278" s="1069"/>
      <c r="GVR278" s="1069"/>
      <c r="GVS278" s="1069"/>
      <c r="GVT278" s="1069"/>
      <c r="GVU278" s="1069"/>
      <c r="GVV278" s="1069"/>
      <c r="GVW278" s="1069"/>
      <c r="GVX278" s="1069"/>
      <c r="GVY278" s="1069"/>
      <c r="GVZ278" s="1069"/>
      <c r="GWA278" s="1069"/>
      <c r="GWB278" s="1069"/>
      <c r="GWC278" s="1069"/>
      <c r="GWD278" s="1069"/>
      <c r="GWE278" s="1069"/>
      <c r="GWF278" s="1069"/>
      <c r="GWG278" s="1069"/>
      <c r="GWH278" s="1069"/>
      <c r="GWI278" s="1069"/>
      <c r="GWJ278" s="1069"/>
      <c r="GWK278" s="1069"/>
      <c r="GWL278" s="1069"/>
      <c r="GWM278" s="1069"/>
      <c r="GWN278" s="1069"/>
      <c r="GWO278" s="1069"/>
      <c r="GWP278" s="1069"/>
      <c r="GWQ278" s="1069"/>
      <c r="GWR278" s="1069"/>
      <c r="GWS278" s="1069"/>
      <c r="GWT278" s="1069"/>
      <c r="GWU278" s="1069"/>
      <c r="GWV278" s="1069"/>
      <c r="GWW278" s="1069"/>
      <c r="GWX278" s="1069"/>
      <c r="GWY278" s="1069"/>
      <c r="GWZ278" s="1069"/>
      <c r="GXA278" s="1069"/>
      <c r="GXB278" s="1069"/>
      <c r="GXC278" s="1069"/>
      <c r="GXD278" s="1069"/>
      <c r="GXE278" s="1069"/>
      <c r="GXF278" s="1069"/>
      <c r="GXG278" s="1069"/>
      <c r="GXH278" s="1069"/>
      <c r="GXI278" s="1069"/>
      <c r="GXJ278" s="1069"/>
      <c r="GXK278" s="1069"/>
      <c r="GXL278" s="1069"/>
      <c r="GXM278" s="1069"/>
      <c r="GXN278" s="1069"/>
      <c r="GXO278" s="1069"/>
      <c r="GXP278" s="1069"/>
      <c r="GXQ278" s="1069"/>
      <c r="GXR278" s="1069"/>
      <c r="GXS278" s="1069"/>
      <c r="GXT278" s="1069"/>
      <c r="GXU278" s="1069"/>
      <c r="GXV278" s="1069"/>
      <c r="GXW278" s="1069"/>
      <c r="GXX278" s="1069"/>
      <c r="GXY278" s="1069"/>
      <c r="GXZ278" s="1069"/>
      <c r="GYA278" s="1069"/>
      <c r="GYB278" s="1069"/>
      <c r="GYC278" s="1069"/>
      <c r="GYD278" s="1069"/>
      <c r="GYE278" s="1069"/>
      <c r="GYF278" s="1069"/>
      <c r="GYG278" s="1069"/>
      <c r="GYH278" s="1069"/>
      <c r="GYI278" s="1069"/>
      <c r="GYJ278" s="1069"/>
      <c r="GYK278" s="1069"/>
      <c r="GYL278" s="1069"/>
      <c r="GYM278" s="1069"/>
      <c r="GYN278" s="1069"/>
      <c r="GYO278" s="1069"/>
      <c r="GYP278" s="1069"/>
      <c r="GYQ278" s="1069"/>
      <c r="GYR278" s="1069"/>
      <c r="GYS278" s="1069"/>
      <c r="GYT278" s="1069"/>
      <c r="GYU278" s="1069"/>
      <c r="GYV278" s="1069"/>
      <c r="GYW278" s="1069"/>
      <c r="GYX278" s="1069"/>
      <c r="GYY278" s="1069"/>
      <c r="GYZ278" s="1069"/>
      <c r="GZA278" s="1069"/>
      <c r="GZB278" s="1069"/>
      <c r="GZC278" s="1069"/>
      <c r="GZD278" s="1069"/>
      <c r="GZE278" s="1069"/>
      <c r="GZF278" s="1069"/>
      <c r="GZG278" s="1069"/>
      <c r="GZH278" s="1069"/>
      <c r="GZI278" s="1069"/>
      <c r="GZJ278" s="1069"/>
      <c r="GZK278" s="1069"/>
      <c r="GZL278" s="1069"/>
      <c r="GZM278" s="1069"/>
      <c r="GZN278" s="1069"/>
      <c r="GZO278" s="1069"/>
      <c r="GZP278" s="1069"/>
      <c r="GZQ278" s="1069"/>
      <c r="GZR278" s="1069"/>
      <c r="GZS278" s="1069"/>
      <c r="GZT278" s="1069"/>
      <c r="GZU278" s="1069"/>
      <c r="GZV278" s="1069"/>
      <c r="GZW278" s="1069"/>
      <c r="GZX278" s="1069"/>
      <c r="GZY278" s="1069"/>
      <c r="GZZ278" s="1069"/>
      <c r="HAA278" s="1069"/>
      <c r="HAB278" s="1069"/>
      <c r="HAC278" s="1069"/>
      <c r="HAD278" s="1069"/>
      <c r="HAE278" s="1069"/>
      <c r="HAF278" s="1069"/>
      <c r="HAG278" s="1069"/>
      <c r="HAH278" s="1069"/>
      <c r="HAI278" s="1069"/>
      <c r="HAJ278" s="1069"/>
      <c r="HAK278" s="1069"/>
      <c r="HAL278" s="1069"/>
      <c r="HAM278" s="1069"/>
      <c r="HAN278" s="1069"/>
      <c r="HAO278" s="1069"/>
      <c r="HAP278" s="1069"/>
      <c r="HAQ278" s="1069"/>
      <c r="HAR278" s="1069"/>
      <c r="HAS278" s="1069"/>
      <c r="HAT278" s="1069"/>
      <c r="HAU278" s="1069"/>
      <c r="HAV278" s="1069"/>
      <c r="HAW278" s="1069"/>
      <c r="HAX278" s="1069"/>
      <c r="HAY278" s="1069"/>
      <c r="HAZ278" s="1069"/>
      <c r="HBA278" s="1069"/>
      <c r="HBB278" s="1069"/>
      <c r="HBC278" s="1069"/>
      <c r="HBD278" s="1069"/>
      <c r="HBE278" s="1069"/>
      <c r="HBF278" s="1069"/>
      <c r="HBG278" s="1069"/>
      <c r="HBH278" s="1069"/>
      <c r="HBI278" s="1069"/>
      <c r="HBJ278" s="1069"/>
      <c r="HBK278" s="1069"/>
      <c r="HBL278" s="1069"/>
      <c r="HBM278" s="1069"/>
      <c r="HBN278" s="1069"/>
      <c r="HBO278" s="1069"/>
      <c r="HBP278" s="1069"/>
      <c r="HBQ278" s="1069"/>
      <c r="HBR278" s="1069"/>
      <c r="HBS278" s="1069"/>
      <c r="HBT278" s="1069"/>
      <c r="HBU278" s="1069"/>
      <c r="HBV278" s="1069"/>
      <c r="HBW278" s="1069"/>
      <c r="HBX278" s="1069"/>
      <c r="HBY278" s="1069"/>
      <c r="HBZ278" s="1069"/>
      <c r="HCA278" s="1069"/>
      <c r="HCB278" s="1069"/>
      <c r="HCC278" s="1069"/>
      <c r="HCD278" s="1069"/>
      <c r="HCE278" s="1069"/>
      <c r="HCF278" s="1069"/>
      <c r="HCG278" s="1069"/>
      <c r="HCH278" s="1069"/>
      <c r="HCI278" s="1069"/>
      <c r="HCJ278" s="1069"/>
      <c r="HCK278" s="1069"/>
      <c r="HCL278" s="1069"/>
      <c r="HCM278" s="1069"/>
      <c r="HCN278" s="1069"/>
      <c r="HCO278" s="1069"/>
      <c r="HCP278" s="1069"/>
      <c r="HCQ278" s="1069"/>
      <c r="HCR278" s="1069"/>
      <c r="HCS278" s="1069"/>
      <c r="HCT278" s="1069"/>
      <c r="HCU278" s="1069"/>
      <c r="HCV278" s="1069"/>
      <c r="HCW278" s="1069"/>
      <c r="HCX278" s="1069"/>
      <c r="HCY278" s="1069"/>
      <c r="HCZ278" s="1069"/>
      <c r="HDA278" s="1069"/>
      <c r="HDB278" s="1069"/>
      <c r="HDC278" s="1069"/>
      <c r="HDD278" s="1069"/>
      <c r="HDE278" s="1069"/>
      <c r="HDF278" s="1069"/>
      <c r="HDG278" s="1069"/>
      <c r="HDH278" s="1069"/>
      <c r="HDI278" s="1069"/>
      <c r="HDJ278" s="1069"/>
      <c r="HDK278" s="1069"/>
      <c r="HDL278" s="1069"/>
      <c r="HDM278" s="1069"/>
      <c r="HDN278" s="1069"/>
      <c r="HDO278" s="1069"/>
      <c r="HDP278" s="1069"/>
      <c r="HDQ278" s="1069"/>
      <c r="HDR278" s="1069"/>
      <c r="HDS278" s="1069"/>
      <c r="HDT278" s="1069"/>
      <c r="HDU278" s="1069"/>
      <c r="HDV278" s="1069"/>
      <c r="HDW278" s="1069"/>
      <c r="HDX278" s="1069"/>
      <c r="HDY278" s="1069"/>
      <c r="HDZ278" s="1069"/>
      <c r="HEA278" s="1069"/>
      <c r="HEB278" s="1069"/>
      <c r="HEC278" s="1069"/>
      <c r="HED278" s="1069"/>
      <c r="HEE278" s="1069"/>
      <c r="HEF278" s="1069"/>
      <c r="HEG278" s="1069"/>
      <c r="HEH278" s="1069"/>
      <c r="HEI278" s="1069"/>
      <c r="HEJ278" s="1069"/>
      <c r="HEK278" s="1069"/>
      <c r="HEL278" s="1069"/>
      <c r="HEM278" s="1069"/>
      <c r="HEN278" s="1069"/>
      <c r="HEO278" s="1069"/>
      <c r="HEP278" s="1069"/>
      <c r="HEQ278" s="1069"/>
      <c r="HER278" s="1069"/>
      <c r="HES278" s="1069"/>
      <c r="HET278" s="1069"/>
      <c r="HEU278" s="1069"/>
      <c r="HEV278" s="1069"/>
      <c r="HEW278" s="1069"/>
      <c r="HEX278" s="1069"/>
      <c r="HEY278" s="1069"/>
      <c r="HEZ278" s="1069"/>
      <c r="HFA278" s="1069"/>
      <c r="HFB278" s="1069"/>
      <c r="HFC278" s="1069"/>
      <c r="HFD278" s="1069"/>
      <c r="HFE278" s="1069"/>
      <c r="HFF278" s="1069"/>
      <c r="HFG278" s="1069"/>
      <c r="HFH278" s="1069"/>
      <c r="HFI278" s="1069"/>
      <c r="HFJ278" s="1069"/>
      <c r="HFK278" s="1069"/>
      <c r="HFL278" s="1069"/>
      <c r="HFM278" s="1069"/>
      <c r="HFN278" s="1069"/>
      <c r="HFO278" s="1069"/>
      <c r="HFP278" s="1069"/>
      <c r="HFQ278" s="1069"/>
      <c r="HFR278" s="1069"/>
      <c r="HFS278" s="1069"/>
      <c r="HFT278" s="1069"/>
      <c r="HFU278" s="1069"/>
      <c r="HFV278" s="1069"/>
      <c r="HFW278" s="1069"/>
      <c r="HFX278" s="1069"/>
      <c r="HFY278" s="1069"/>
      <c r="HFZ278" s="1069"/>
      <c r="HGA278" s="1069"/>
      <c r="HGB278" s="1069"/>
      <c r="HGC278" s="1069"/>
      <c r="HGD278" s="1069"/>
      <c r="HGE278" s="1069"/>
      <c r="HGF278" s="1069"/>
      <c r="HGG278" s="1069"/>
      <c r="HGH278" s="1069"/>
      <c r="HGI278" s="1069"/>
      <c r="HGJ278" s="1069"/>
      <c r="HGK278" s="1069"/>
      <c r="HGL278" s="1069"/>
      <c r="HGM278" s="1069"/>
      <c r="HGN278" s="1069"/>
      <c r="HGO278" s="1069"/>
      <c r="HGP278" s="1069"/>
      <c r="HGQ278" s="1069"/>
      <c r="HGR278" s="1069"/>
      <c r="HGS278" s="1069"/>
      <c r="HGT278" s="1069"/>
      <c r="HGU278" s="1069"/>
      <c r="HGV278" s="1069"/>
      <c r="HGW278" s="1069"/>
      <c r="HGX278" s="1069"/>
      <c r="HGY278" s="1069"/>
      <c r="HGZ278" s="1069"/>
      <c r="HHA278" s="1069"/>
      <c r="HHB278" s="1069"/>
      <c r="HHC278" s="1069"/>
      <c r="HHD278" s="1069"/>
      <c r="HHE278" s="1069"/>
      <c r="HHF278" s="1069"/>
      <c r="HHG278" s="1069"/>
      <c r="HHH278" s="1069"/>
      <c r="HHI278" s="1069"/>
      <c r="HHJ278" s="1069"/>
      <c r="HHK278" s="1069"/>
      <c r="HHL278" s="1069"/>
      <c r="HHM278" s="1069"/>
      <c r="HHN278" s="1069"/>
      <c r="HHO278" s="1069"/>
      <c r="HHP278" s="1069"/>
      <c r="HHQ278" s="1069"/>
      <c r="HHR278" s="1069"/>
      <c r="HHS278" s="1069"/>
      <c r="HHT278" s="1069"/>
      <c r="HHU278" s="1069"/>
      <c r="HHV278" s="1069"/>
      <c r="HHW278" s="1069"/>
      <c r="HHX278" s="1069"/>
      <c r="HHY278" s="1069"/>
      <c r="HHZ278" s="1069"/>
      <c r="HIA278" s="1069"/>
      <c r="HIB278" s="1069"/>
      <c r="HIC278" s="1069"/>
      <c r="HID278" s="1069"/>
      <c r="HIE278" s="1069"/>
      <c r="HIF278" s="1069"/>
      <c r="HIG278" s="1069"/>
      <c r="HIH278" s="1069"/>
      <c r="HII278" s="1069"/>
      <c r="HIJ278" s="1069"/>
      <c r="HIK278" s="1069"/>
      <c r="HIL278" s="1069"/>
      <c r="HIM278" s="1069"/>
      <c r="HIN278" s="1069"/>
      <c r="HIO278" s="1069"/>
      <c r="HIP278" s="1069"/>
      <c r="HIQ278" s="1069"/>
      <c r="HIR278" s="1069"/>
      <c r="HIS278" s="1069"/>
      <c r="HIT278" s="1069"/>
      <c r="HIU278" s="1069"/>
      <c r="HIV278" s="1069"/>
      <c r="HIW278" s="1069"/>
      <c r="HIX278" s="1069"/>
      <c r="HIY278" s="1069"/>
      <c r="HIZ278" s="1069"/>
      <c r="HJA278" s="1069"/>
      <c r="HJB278" s="1069"/>
      <c r="HJC278" s="1069"/>
      <c r="HJD278" s="1069"/>
      <c r="HJE278" s="1069"/>
      <c r="HJF278" s="1069"/>
      <c r="HJG278" s="1069"/>
      <c r="HJH278" s="1069"/>
      <c r="HJI278" s="1069"/>
      <c r="HJJ278" s="1069"/>
      <c r="HJK278" s="1069"/>
      <c r="HJL278" s="1069"/>
      <c r="HJM278" s="1069"/>
      <c r="HJN278" s="1069"/>
      <c r="HJO278" s="1069"/>
      <c r="HJP278" s="1069"/>
      <c r="HJQ278" s="1069"/>
      <c r="HJR278" s="1069"/>
      <c r="HJS278" s="1069"/>
      <c r="HJT278" s="1069"/>
      <c r="HJU278" s="1069"/>
      <c r="HJV278" s="1069"/>
      <c r="HJW278" s="1069"/>
      <c r="HJX278" s="1069"/>
      <c r="HJY278" s="1069"/>
      <c r="HJZ278" s="1069"/>
      <c r="HKA278" s="1069"/>
      <c r="HKB278" s="1069"/>
      <c r="HKC278" s="1069"/>
      <c r="HKD278" s="1069"/>
      <c r="HKE278" s="1069"/>
      <c r="HKF278" s="1069"/>
      <c r="HKG278" s="1069"/>
      <c r="HKH278" s="1069"/>
      <c r="HKI278" s="1069"/>
      <c r="HKJ278" s="1069"/>
      <c r="HKK278" s="1069"/>
      <c r="HKL278" s="1069"/>
      <c r="HKM278" s="1069"/>
      <c r="HKN278" s="1069"/>
      <c r="HKO278" s="1069"/>
      <c r="HKP278" s="1069"/>
      <c r="HKQ278" s="1069"/>
      <c r="HKR278" s="1069"/>
      <c r="HKS278" s="1069"/>
      <c r="HKT278" s="1069"/>
      <c r="HKU278" s="1069"/>
      <c r="HKV278" s="1069"/>
      <c r="HKW278" s="1069"/>
      <c r="HKX278" s="1069"/>
      <c r="HKY278" s="1069"/>
      <c r="HKZ278" s="1069"/>
      <c r="HLA278" s="1069"/>
      <c r="HLB278" s="1069"/>
      <c r="HLC278" s="1069"/>
      <c r="HLD278" s="1069"/>
      <c r="HLE278" s="1069"/>
      <c r="HLF278" s="1069"/>
      <c r="HLG278" s="1069"/>
      <c r="HLH278" s="1069"/>
      <c r="HLI278" s="1069"/>
      <c r="HLJ278" s="1069"/>
      <c r="HLK278" s="1069"/>
      <c r="HLL278" s="1069"/>
      <c r="HLM278" s="1069"/>
      <c r="HLN278" s="1069"/>
      <c r="HLO278" s="1069"/>
      <c r="HLP278" s="1069"/>
      <c r="HLQ278" s="1069"/>
      <c r="HLR278" s="1069"/>
      <c r="HLS278" s="1069"/>
      <c r="HLT278" s="1069"/>
      <c r="HLU278" s="1069"/>
      <c r="HLV278" s="1069"/>
      <c r="HLW278" s="1069"/>
      <c r="HLX278" s="1069"/>
      <c r="HLY278" s="1069"/>
      <c r="HLZ278" s="1069"/>
      <c r="HMA278" s="1069"/>
      <c r="HMB278" s="1069"/>
      <c r="HMC278" s="1069"/>
      <c r="HMD278" s="1069"/>
      <c r="HME278" s="1069"/>
      <c r="HMF278" s="1069"/>
      <c r="HMG278" s="1069"/>
      <c r="HMH278" s="1069"/>
      <c r="HMI278" s="1069"/>
      <c r="HMJ278" s="1069"/>
      <c r="HMK278" s="1069"/>
      <c r="HML278" s="1069"/>
      <c r="HMM278" s="1069"/>
      <c r="HMN278" s="1069"/>
      <c r="HMO278" s="1069"/>
      <c r="HMP278" s="1069"/>
      <c r="HMQ278" s="1069"/>
      <c r="HMR278" s="1069"/>
      <c r="HMS278" s="1069"/>
      <c r="HMT278" s="1069"/>
      <c r="HMU278" s="1069"/>
      <c r="HMV278" s="1069"/>
      <c r="HMW278" s="1069"/>
      <c r="HMX278" s="1069"/>
      <c r="HMY278" s="1069"/>
      <c r="HMZ278" s="1069"/>
      <c r="HNA278" s="1069"/>
      <c r="HNB278" s="1069"/>
      <c r="HNC278" s="1069"/>
      <c r="HND278" s="1069"/>
      <c r="HNE278" s="1069"/>
      <c r="HNF278" s="1069"/>
      <c r="HNG278" s="1069"/>
      <c r="HNH278" s="1069"/>
      <c r="HNI278" s="1069"/>
      <c r="HNJ278" s="1069"/>
      <c r="HNK278" s="1069"/>
      <c r="HNL278" s="1069"/>
      <c r="HNM278" s="1069"/>
      <c r="HNN278" s="1069"/>
      <c r="HNO278" s="1069"/>
      <c r="HNP278" s="1069"/>
      <c r="HNQ278" s="1069"/>
      <c r="HNR278" s="1069"/>
      <c r="HNS278" s="1069"/>
      <c r="HNT278" s="1069"/>
      <c r="HNU278" s="1069"/>
      <c r="HNV278" s="1069"/>
      <c r="HNW278" s="1069"/>
      <c r="HNX278" s="1069"/>
      <c r="HNY278" s="1069"/>
      <c r="HNZ278" s="1069"/>
      <c r="HOA278" s="1069"/>
      <c r="HOB278" s="1069"/>
      <c r="HOC278" s="1069"/>
      <c r="HOD278" s="1069"/>
      <c r="HOE278" s="1069"/>
      <c r="HOF278" s="1069"/>
      <c r="HOG278" s="1069"/>
      <c r="HOH278" s="1069"/>
      <c r="HOI278" s="1069"/>
      <c r="HOJ278" s="1069"/>
      <c r="HOK278" s="1069"/>
      <c r="HOL278" s="1069"/>
      <c r="HOM278" s="1069"/>
      <c r="HON278" s="1069"/>
      <c r="HOO278" s="1069"/>
      <c r="HOP278" s="1069"/>
      <c r="HOQ278" s="1069"/>
      <c r="HOR278" s="1069"/>
      <c r="HOS278" s="1069"/>
      <c r="HOT278" s="1069"/>
      <c r="HOU278" s="1069"/>
      <c r="HOV278" s="1069"/>
      <c r="HOW278" s="1069"/>
      <c r="HOX278" s="1069"/>
      <c r="HOY278" s="1069"/>
      <c r="HOZ278" s="1069"/>
      <c r="HPA278" s="1069"/>
      <c r="HPB278" s="1069"/>
      <c r="HPC278" s="1069"/>
      <c r="HPD278" s="1069"/>
      <c r="HPE278" s="1069"/>
      <c r="HPF278" s="1069"/>
      <c r="HPG278" s="1069"/>
      <c r="HPH278" s="1069"/>
      <c r="HPI278" s="1069"/>
      <c r="HPJ278" s="1069"/>
      <c r="HPK278" s="1069"/>
      <c r="HPL278" s="1069"/>
      <c r="HPM278" s="1069"/>
      <c r="HPN278" s="1069"/>
      <c r="HPO278" s="1069"/>
      <c r="HPP278" s="1069"/>
      <c r="HPQ278" s="1069"/>
      <c r="HPR278" s="1069"/>
      <c r="HPS278" s="1069"/>
      <c r="HPT278" s="1069"/>
      <c r="HPU278" s="1069"/>
      <c r="HPV278" s="1069"/>
      <c r="HPW278" s="1069"/>
      <c r="HPX278" s="1069"/>
      <c r="HPY278" s="1069"/>
      <c r="HPZ278" s="1069"/>
      <c r="HQA278" s="1069"/>
      <c r="HQB278" s="1069"/>
      <c r="HQC278" s="1069"/>
      <c r="HQD278" s="1069"/>
      <c r="HQE278" s="1069"/>
      <c r="HQF278" s="1069"/>
      <c r="HQG278" s="1069"/>
      <c r="HQH278" s="1069"/>
      <c r="HQI278" s="1069"/>
      <c r="HQJ278" s="1069"/>
      <c r="HQK278" s="1069"/>
      <c r="HQL278" s="1069"/>
      <c r="HQM278" s="1069"/>
      <c r="HQN278" s="1069"/>
      <c r="HQO278" s="1069"/>
      <c r="HQP278" s="1069"/>
      <c r="HQQ278" s="1069"/>
      <c r="HQR278" s="1069"/>
      <c r="HQS278" s="1069"/>
      <c r="HQT278" s="1069"/>
      <c r="HQU278" s="1069"/>
      <c r="HQV278" s="1069"/>
      <c r="HQW278" s="1069"/>
      <c r="HQX278" s="1069"/>
      <c r="HQY278" s="1069"/>
      <c r="HQZ278" s="1069"/>
      <c r="HRA278" s="1069"/>
      <c r="HRB278" s="1069"/>
      <c r="HRC278" s="1069"/>
      <c r="HRD278" s="1069"/>
      <c r="HRE278" s="1069"/>
      <c r="HRF278" s="1069"/>
      <c r="HRG278" s="1069"/>
      <c r="HRH278" s="1069"/>
      <c r="HRI278" s="1069"/>
      <c r="HRJ278" s="1069"/>
      <c r="HRK278" s="1069"/>
      <c r="HRL278" s="1069"/>
      <c r="HRM278" s="1069"/>
      <c r="HRN278" s="1069"/>
      <c r="HRO278" s="1069"/>
      <c r="HRP278" s="1069"/>
      <c r="HRQ278" s="1069"/>
      <c r="HRR278" s="1069"/>
      <c r="HRS278" s="1069"/>
      <c r="HRT278" s="1069"/>
      <c r="HRU278" s="1069"/>
      <c r="HRV278" s="1069"/>
      <c r="HRW278" s="1069"/>
      <c r="HRX278" s="1069"/>
      <c r="HRY278" s="1069"/>
      <c r="HRZ278" s="1069"/>
      <c r="HSA278" s="1069"/>
      <c r="HSB278" s="1069"/>
      <c r="HSC278" s="1069"/>
      <c r="HSD278" s="1069"/>
      <c r="HSE278" s="1069"/>
      <c r="HSF278" s="1069"/>
      <c r="HSG278" s="1069"/>
      <c r="HSH278" s="1069"/>
      <c r="HSI278" s="1069"/>
      <c r="HSJ278" s="1069"/>
      <c r="HSK278" s="1069"/>
      <c r="HSL278" s="1069"/>
      <c r="HSM278" s="1069"/>
      <c r="HSN278" s="1069"/>
      <c r="HSO278" s="1069"/>
      <c r="HSP278" s="1069"/>
      <c r="HSQ278" s="1069"/>
      <c r="HSR278" s="1069"/>
      <c r="HSS278" s="1069"/>
      <c r="HST278" s="1069"/>
      <c r="HSU278" s="1069"/>
      <c r="HSV278" s="1069"/>
      <c r="HSW278" s="1069"/>
      <c r="HSX278" s="1069"/>
      <c r="HSY278" s="1069"/>
      <c r="HSZ278" s="1069"/>
      <c r="HTA278" s="1069"/>
      <c r="HTB278" s="1069"/>
      <c r="HTC278" s="1069"/>
      <c r="HTD278" s="1069"/>
      <c r="HTE278" s="1069"/>
      <c r="HTF278" s="1069"/>
      <c r="HTG278" s="1069"/>
      <c r="HTH278" s="1069"/>
      <c r="HTI278" s="1069"/>
      <c r="HTJ278" s="1069"/>
      <c r="HTK278" s="1069"/>
      <c r="HTL278" s="1069"/>
      <c r="HTM278" s="1069"/>
      <c r="HTN278" s="1069"/>
      <c r="HTO278" s="1069"/>
      <c r="HTP278" s="1069"/>
      <c r="HTQ278" s="1069"/>
      <c r="HTR278" s="1069"/>
      <c r="HTS278" s="1069"/>
      <c r="HTT278" s="1069"/>
      <c r="HTU278" s="1069"/>
      <c r="HTV278" s="1069"/>
      <c r="HTW278" s="1069"/>
      <c r="HTX278" s="1069"/>
      <c r="HTY278" s="1069"/>
      <c r="HTZ278" s="1069"/>
      <c r="HUA278" s="1069"/>
      <c r="HUB278" s="1069"/>
      <c r="HUC278" s="1069"/>
      <c r="HUD278" s="1069"/>
      <c r="HUE278" s="1069"/>
      <c r="HUF278" s="1069"/>
      <c r="HUG278" s="1069"/>
      <c r="HUH278" s="1069"/>
      <c r="HUI278" s="1069"/>
      <c r="HUJ278" s="1069"/>
      <c r="HUK278" s="1069"/>
      <c r="HUL278" s="1069"/>
      <c r="HUM278" s="1069"/>
      <c r="HUN278" s="1069"/>
      <c r="HUO278" s="1069"/>
      <c r="HUP278" s="1069"/>
      <c r="HUQ278" s="1069"/>
      <c r="HUR278" s="1069"/>
      <c r="HUS278" s="1069"/>
      <c r="HUT278" s="1069"/>
      <c r="HUU278" s="1069"/>
      <c r="HUV278" s="1069"/>
      <c r="HUW278" s="1069"/>
      <c r="HUX278" s="1069"/>
      <c r="HUY278" s="1069"/>
      <c r="HUZ278" s="1069"/>
      <c r="HVA278" s="1069"/>
      <c r="HVB278" s="1069"/>
      <c r="HVC278" s="1069"/>
      <c r="HVD278" s="1069"/>
      <c r="HVE278" s="1069"/>
      <c r="HVF278" s="1069"/>
      <c r="HVG278" s="1069"/>
      <c r="HVH278" s="1069"/>
      <c r="HVI278" s="1069"/>
      <c r="HVJ278" s="1069"/>
      <c r="HVK278" s="1069"/>
      <c r="HVL278" s="1069"/>
      <c r="HVM278" s="1069"/>
      <c r="HVN278" s="1069"/>
      <c r="HVO278" s="1069"/>
      <c r="HVP278" s="1069"/>
      <c r="HVQ278" s="1069"/>
      <c r="HVR278" s="1069"/>
      <c r="HVS278" s="1069"/>
      <c r="HVT278" s="1069"/>
      <c r="HVU278" s="1069"/>
      <c r="HVV278" s="1069"/>
      <c r="HVW278" s="1069"/>
      <c r="HVX278" s="1069"/>
      <c r="HVY278" s="1069"/>
      <c r="HVZ278" s="1069"/>
      <c r="HWA278" s="1069"/>
      <c r="HWB278" s="1069"/>
      <c r="HWC278" s="1069"/>
      <c r="HWD278" s="1069"/>
      <c r="HWE278" s="1069"/>
      <c r="HWF278" s="1069"/>
      <c r="HWG278" s="1069"/>
      <c r="HWH278" s="1069"/>
      <c r="HWI278" s="1069"/>
      <c r="HWJ278" s="1069"/>
      <c r="HWK278" s="1069"/>
      <c r="HWL278" s="1069"/>
      <c r="HWM278" s="1069"/>
      <c r="HWN278" s="1069"/>
      <c r="HWO278" s="1069"/>
      <c r="HWP278" s="1069"/>
      <c r="HWQ278" s="1069"/>
      <c r="HWR278" s="1069"/>
      <c r="HWS278" s="1069"/>
      <c r="HWT278" s="1069"/>
      <c r="HWU278" s="1069"/>
      <c r="HWV278" s="1069"/>
      <c r="HWW278" s="1069"/>
      <c r="HWX278" s="1069"/>
      <c r="HWY278" s="1069"/>
      <c r="HWZ278" s="1069"/>
      <c r="HXA278" s="1069"/>
      <c r="HXB278" s="1069"/>
      <c r="HXC278" s="1069"/>
      <c r="HXD278" s="1069"/>
      <c r="HXE278" s="1069"/>
      <c r="HXF278" s="1069"/>
      <c r="HXG278" s="1069"/>
      <c r="HXH278" s="1069"/>
      <c r="HXI278" s="1069"/>
      <c r="HXJ278" s="1069"/>
      <c r="HXK278" s="1069"/>
      <c r="HXL278" s="1069"/>
      <c r="HXM278" s="1069"/>
      <c r="HXN278" s="1069"/>
      <c r="HXO278" s="1069"/>
      <c r="HXP278" s="1069"/>
      <c r="HXQ278" s="1069"/>
      <c r="HXR278" s="1069"/>
      <c r="HXS278" s="1069"/>
      <c r="HXT278" s="1069"/>
      <c r="HXU278" s="1069"/>
      <c r="HXV278" s="1069"/>
      <c r="HXW278" s="1069"/>
      <c r="HXX278" s="1069"/>
      <c r="HXY278" s="1069"/>
      <c r="HXZ278" s="1069"/>
      <c r="HYA278" s="1069"/>
      <c r="HYB278" s="1069"/>
      <c r="HYC278" s="1069"/>
      <c r="HYD278" s="1069"/>
      <c r="HYE278" s="1069"/>
      <c r="HYF278" s="1069"/>
      <c r="HYG278" s="1069"/>
      <c r="HYH278" s="1069"/>
      <c r="HYI278" s="1069"/>
      <c r="HYJ278" s="1069"/>
      <c r="HYK278" s="1069"/>
      <c r="HYL278" s="1069"/>
      <c r="HYM278" s="1069"/>
      <c r="HYN278" s="1069"/>
      <c r="HYO278" s="1069"/>
      <c r="HYP278" s="1069"/>
      <c r="HYQ278" s="1069"/>
      <c r="HYR278" s="1069"/>
      <c r="HYS278" s="1069"/>
      <c r="HYT278" s="1069"/>
      <c r="HYU278" s="1069"/>
      <c r="HYV278" s="1069"/>
      <c r="HYW278" s="1069"/>
      <c r="HYX278" s="1069"/>
      <c r="HYY278" s="1069"/>
      <c r="HYZ278" s="1069"/>
      <c r="HZA278" s="1069"/>
      <c r="HZB278" s="1069"/>
      <c r="HZC278" s="1069"/>
      <c r="HZD278" s="1069"/>
      <c r="HZE278" s="1069"/>
      <c r="HZF278" s="1069"/>
      <c r="HZG278" s="1069"/>
      <c r="HZH278" s="1069"/>
      <c r="HZI278" s="1069"/>
      <c r="HZJ278" s="1069"/>
      <c r="HZK278" s="1069"/>
      <c r="HZL278" s="1069"/>
      <c r="HZM278" s="1069"/>
      <c r="HZN278" s="1069"/>
      <c r="HZO278" s="1069"/>
      <c r="HZP278" s="1069"/>
      <c r="HZQ278" s="1069"/>
      <c r="HZR278" s="1069"/>
      <c r="HZS278" s="1069"/>
      <c r="HZT278" s="1069"/>
      <c r="HZU278" s="1069"/>
      <c r="HZV278" s="1069"/>
      <c r="HZW278" s="1069"/>
      <c r="HZX278" s="1069"/>
      <c r="HZY278" s="1069"/>
      <c r="HZZ278" s="1069"/>
      <c r="IAA278" s="1069"/>
      <c r="IAB278" s="1069"/>
      <c r="IAC278" s="1069"/>
      <c r="IAD278" s="1069"/>
      <c r="IAE278" s="1069"/>
      <c r="IAF278" s="1069"/>
      <c r="IAG278" s="1069"/>
      <c r="IAH278" s="1069"/>
      <c r="IAI278" s="1069"/>
      <c r="IAJ278" s="1069"/>
      <c r="IAK278" s="1069"/>
      <c r="IAL278" s="1069"/>
      <c r="IAM278" s="1069"/>
      <c r="IAN278" s="1069"/>
      <c r="IAO278" s="1069"/>
      <c r="IAP278" s="1069"/>
      <c r="IAQ278" s="1069"/>
      <c r="IAR278" s="1069"/>
      <c r="IAS278" s="1069"/>
      <c r="IAT278" s="1069"/>
      <c r="IAU278" s="1069"/>
      <c r="IAV278" s="1069"/>
      <c r="IAW278" s="1069"/>
      <c r="IAX278" s="1069"/>
      <c r="IAY278" s="1069"/>
      <c r="IAZ278" s="1069"/>
      <c r="IBA278" s="1069"/>
      <c r="IBB278" s="1069"/>
      <c r="IBC278" s="1069"/>
      <c r="IBD278" s="1069"/>
      <c r="IBE278" s="1069"/>
      <c r="IBF278" s="1069"/>
      <c r="IBG278" s="1069"/>
      <c r="IBH278" s="1069"/>
      <c r="IBI278" s="1069"/>
      <c r="IBJ278" s="1069"/>
      <c r="IBK278" s="1069"/>
      <c r="IBL278" s="1069"/>
      <c r="IBM278" s="1069"/>
      <c r="IBN278" s="1069"/>
      <c r="IBO278" s="1069"/>
      <c r="IBP278" s="1069"/>
      <c r="IBQ278" s="1069"/>
      <c r="IBR278" s="1069"/>
      <c r="IBS278" s="1069"/>
      <c r="IBT278" s="1069"/>
      <c r="IBU278" s="1069"/>
      <c r="IBV278" s="1069"/>
      <c r="IBW278" s="1069"/>
      <c r="IBX278" s="1069"/>
      <c r="IBY278" s="1069"/>
      <c r="IBZ278" s="1069"/>
      <c r="ICA278" s="1069"/>
      <c r="ICB278" s="1069"/>
      <c r="ICC278" s="1069"/>
      <c r="ICD278" s="1069"/>
      <c r="ICE278" s="1069"/>
      <c r="ICF278" s="1069"/>
      <c r="ICG278" s="1069"/>
      <c r="ICH278" s="1069"/>
      <c r="ICI278" s="1069"/>
      <c r="ICJ278" s="1069"/>
      <c r="ICK278" s="1069"/>
      <c r="ICL278" s="1069"/>
      <c r="ICM278" s="1069"/>
      <c r="ICN278" s="1069"/>
      <c r="ICO278" s="1069"/>
      <c r="ICP278" s="1069"/>
      <c r="ICQ278" s="1069"/>
      <c r="ICR278" s="1069"/>
      <c r="ICS278" s="1069"/>
      <c r="ICT278" s="1069"/>
      <c r="ICU278" s="1069"/>
      <c r="ICV278" s="1069"/>
      <c r="ICW278" s="1069"/>
      <c r="ICX278" s="1069"/>
      <c r="ICY278" s="1069"/>
      <c r="ICZ278" s="1069"/>
      <c r="IDA278" s="1069"/>
      <c r="IDB278" s="1069"/>
      <c r="IDC278" s="1069"/>
      <c r="IDD278" s="1069"/>
      <c r="IDE278" s="1069"/>
      <c r="IDF278" s="1069"/>
      <c r="IDG278" s="1069"/>
      <c r="IDH278" s="1069"/>
      <c r="IDI278" s="1069"/>
      <c r="IDJ278" s="1069"/>
      <c r="IDK278" s="1069"/>
      <c r="IDL278" s="1069"/>
      <c r="IDM278" s="1069"/>
      <c r="IDN278" s="1069"/>
      <c r="IDO278" s="1069"/>
      <c r="IDP278" s="1069"/>
      <c r="IDQ278" s="1069"/>
      <c r="IDR278" s="1069"/>
      <c r="IDS278" s="1069"/>
      <c r="IDT278" s="1069"/>
      <c r="IDU278" s="1069"/>
      <c r="IDV278" s="1069"/>
      <c r="IDW278" s="1069"/>
      <c r="IDX278" s="1069"/>
      <c r="IDY278" s="1069"/>
      <c r="IDZ278" s="1069"/>
      <c r="IEA278" s="1069"/>
      <c r="IEB278" s="1069"/>
      <c r="IEC278" s="1069"/>
      <c r="IED278" s="1069"/>
      <c r="IEE278" s="1069"/>
      <c r="IEF278" s="1069"/>
      <c r="IEG278" s="1069"/>
      <c r="IEH278" s="1069"/>
      <c r="IEI278" s="1069"/>
      <c r="IEJ278" s="1069"/>
      <c r="IEK278" s="1069"/>
      <c r="IEL278" s="1069"/>
      <c r="IEM278" s="1069"/>
      <c r="IEN278" s="1069"/>
      <c r="IEO278" s="1069"/>
      <c r="IEP278" s="1069"/>
      <c r="IEQ278" s="1069"/>
      <c r="IER278" s="1069"/>
      <c r="IES278" s="1069"/>
      <c r="IET278" s="1069"/>
      <c r="IEU278" s="1069"/>
      <c r="IEV278" s="1069"/>
      <c r="IEW278" s="1069"/>
      <c r="IEX278" s="1069"/>
      <c r="IEY278" s="1069"/>
      <c r="IEZ278" s="1069"/>
      <c r="IFA278" s="1069"/>
      <c r="IFB278" s="1069"/>
      <c r="IFC278" s="1069"/>
      <c r="IFD278" s="1069"/>
      <c r="IFE278" s="1069"/>
      <c r="IFF278" s="1069"/>
      <c r="IFG278" s="1069"/>
      <c r="IFH278" s="1069"/>
      <c r="IFI278" s="1069"/>
      <c r="IFJ278" s="1069"/>
      <c r="IFK278" s="1069"/>
      <c r="IFL278" s="1069"/>
      <c r="IFM278" s="1069"/>
      <c r="IFN278" s="1069"/>
      <c r="IFO278" s="1069"/>
      <c r="IFP278" s="1069"/>
      <c r="IFQ278" s="1069"/>
      <c r="IFR278" s="1069"/>
      <c r="IFS278" s="1069"/>
      <c r="IFT278" s="1069"/>
      <c r="IFU278" s="1069"/>
      <c r="IFV278" s="1069"/>
      <c r="IFW278" s="1069"/>
      <c r="IFX278" s="1069"/>
      <c r="IFY278" s="1069"/>
      <c r="IFZ278" s="1069"/>
      <c r="IGA278" s="1069"/>
      <c r="IGB278" s="1069"/>
      <c r="IGC278" s="1069"/>
      <c r="IGD278" s="1069"/>
      <c r="IGE278" s="1069"/>
      <c r="IGF278" s="1069"/>
      <c r="IGG278" s="1069"/>
      <c r="IGH278" s="1069"/>
      <c r="IGI278" s="1069"/>
      <c r="IGJ278" s="1069"/>
      <c r="IGK278" s="1069"/>
      <c r="IGL278" s="1069"/>
      <c r="IGM278" s="1069"/>
      <c r="IGN278" s="1069"/>
      <c r="IGO278" s="1069"/>
      <c r="IGP278" s="1069"/>
      <c r="IGQ278" s="1069"/>
      <c r="IGR278" s="1069"/>
      <c r="IGS278" s="1069"/>
      <c r="IGT278" s="1069"/>
      <c r="IGU278" s="1069"/>
      <c r="IGV278" s="1069"/>
      <c r="IGW278" s="1069"/>
      <c r="IGX278" s="1069"/>
      <c r="IGY278" s="1069"/>
      <c r="IGZ278" s="1069"/>
      <c r="IHA278" s="1069"/>
      <c r="IHB278" s="1069"/>
      <c r="IHC278" s="1069"/>
      <c r="IHD278" s="1069"/>
      <c r="IHE278" s="1069"/>
      <c r="IHF278" s="1069"/>
      <c r="IHG278" s="1069"/>
      <c r="IHH278" s="1069"/>
      <c r="IHI278" s="1069"/>
      <c r="IHJ278" s="1069"/>
      <c r="IHK278" s="1069"/>
      <c r="IHL278" s="1069"/>
      <c r="IHM278" s="1069"/>
      <c r="IHN278" s="1069"/>
      <c r="IHO278" s="1069"/>
      <c r="IHP278" s="1069"/>
      <c r="IHQ278" s="1069"/>
      <c r="IHR278" s="1069"/>
      <c r="IHS278" s="1069"/>
      <c r="IHT278" s="1069"/>
      <c r="IHU278" s="1069"/>
      <c r="IHV278" s="1069"/>
      <c r="IHW278" s="1069"/>
      <c r="IHX278" s="1069"/>
      <c r="IHY278" s="1069"/>
      <c r="IHZ278" s="1069"/>
      <c r="IIA278" s="1069"/>
      <c r="IIB278" s="1069"/>
      <c r="IIC278" s="1069"/>
      <c r="IID278" s="1069"/>
      <c r="IIE278" s="1069"/>
      <c r="IIF278" s="1069"/>
      <c r="IIG278" s="1069"/>
      <c r="IIH278" s="1069"/>
      <c r="III278" s="1069"/>
      <c r="IIJ278" s="1069"/>
      <c r="IIK278" s="1069"/>
      <c r="IIL278" s="1069"/>
      <c r="IIM278" s="1069"/>
      <c r="IIN278" s="1069"/>
      <c r="IIO278" s="1069"/>
      <c r="IIP278" s="1069"/>
      <c r="IIQ278" s="1069"/>
      <c r="IIR278" s="1069"/>
      <c r="IIS278" s="1069"/>
      <c r="IIT278" s="1069"/>
      <c r="IIU278" s="1069"/>
      <c r="IIV278" s="1069"/>
      <c r="IIW278" s="1069"/>
      <c r="IIX278" s="1069"/>
      <c r="IIY278" s="1069"/>
      <c r="IIZ278" s="1069"/>
      <c r="IJA278" s="1069"/>
      <c r="IJB278" s="1069"/>
      <c r="IJC278" s="1069"/>
      <c r="IJD278" s="1069"/>
      <c r="IJE278" s="1069"/>
      <c r="IJF278" s="1069"/>
      <c r="IJG278" s="1069"/>
      <c r="IJH278" s="1069"/>
      <c r="IJI278" s="1069"/>
      <c r="IJJ278" s="1069"/>
      <c r="IJK278" s="1069"/>
      <c r="IJL278" s="1069"/>
      <c r="IJM278" s="1069"/>
      <c r="IJN278" s="1069"/>
      <c r="IJO278" s="1069"/>
      <c r="IJP278" s="1069"/>
      <c r="IJQ278" s="1069"/>
      <c r="IJR278" s="1069"/>
      <c r="IJS278" s="1069"/>
      <c r="IJT278" s="1069"/>
      <c r="IJU278" s="1069"/>
      <c r="IJV278" s="1069"/>
      <c r="IJW278" s="1069"/>
      <c r="IJX278" s="1069"/>
      <c r="IJY278" s="1069"/>
      <c r="IJZ278" s="1069"/>
      <c r="IKA278" s="1069"/>
      <c r="IKB278" s="1069"/>
      <c r="IKC278" s="1069"/>
      <c r="IKD278" s="1069"/>
      <c r="IKE278" s="1069"/>
      <c r="IKF278" s="1069"/>
      <c r="IKG278" s="1069"/>
      <c r="IKH278" s="1069"/>
      <c r="IKI278" s="1069"/>
      <c r="IKJ278" s="1069"/>
      <c r="IKK278" s="1069"/>
      <c r="IKL278" s="1069"/>
      <c r="IKM278" s="1069"/>
      <c r="IKN278" s="1069"/>
      <c r="IKO278" s="1069"/>
      <c r="IKP278" s="1069"/>
      <c r="IKQ278" s="1069"/>
      <c r="IKR278" s="1069"/>
      <c r="IKS278" s="1069"/>
      <c r="IKT278" s="1069"/>
      <c r="IKU278" s="1069"/>
      <c r="IKV278" s="1069"/>
      <c r="IKW278" s="1069"/>
      <c r="IKX278" s="1069"/>
      <c r="IKY278" s="1069"/>
      <c r="IKZ278" s="1069"/>
      <c r="ILA278" s="1069"/>
      <c r="ILB278" s="1069"/>
      <c r="ILC278" s="1069"/>
      <c r="ILD278" s="1069"/>
      <c r="ILE278" s="1069"/>
      <c r="ILF278" s="1069"/>
      <c r="ILG278" s="1069"/>
      <c r="ILH278" s="1069"/>
      <c r="ILI278" s="1069"/>
      <c r="ILJ278" s="1069"/>
      <c r="ILK278" s="1069"/>
      <c r="ILL278" s="1069"/>
      <c r="ILM278" s="1069"/>
      <c r="ILN278" s="1069"/>
      <c r="ILO278" s="1069"/>
      <c r="ILP278" s="1069"/>
      <c r="ILQ278" s="1069"/>
      <c r="ILR278" s="1069"/>
      <c r="ILS278" s="1069"/>
      <c r="ILT278" s="1069"/>
      <c r="ILU278" s="1069"/>
      <c r="ILV278" s="1069"/>
      <c r="ILW278" s="1069"/>
      <c r="ILX278" s="1069"/>
      <c r="ILY278" s="1069"/>
      <c r="ILZ278" s="1069"/>
      <c r="IMA278" s="1069"/>
      <c r="IMB278" s="1069"/>
      <c r="IMC278" s="1069"/>
      <c r="IMD278" s="1069"/>
      <c r="IME278" s="1069"/>
      <c r="IMF278" s="1069"/>
      <c r="IMG278" s="1069"/>
      <c r="IMH278" s="1069"/>
      <c r="IMI278" s="1069"/>
      <c r="IMJ278" s="1069"/>
      <c r="IMK278" s="1069"/>
      <c r="IML278" s="1069"/>
      <c r="IMM278" s="1069"/>
      <c r="IMN278" s="1069"/>
      <c r="IMO278" s="1069"/>
      <c r="IMP278" s="1069"/>
      <c r="IMQ278" s="1069"/>
      <c r="IMR278" s="1069"/>
      <c r="IMS278" s="1069"/>
      <c r="IMT278" s="1069"/>
      <c r="IMU278" s="1069"/>
      <c r="IMV278" s="1069"/>
      <c r="IMW278" s="1069"/>
      <c r="IMX278" s="1069"/>
      <c r="IMY278" s="1069"/>
      <c r="IMZ278" s="1069"/>
      <c r="INA278" s="1069"/>
      <c r="INB278" s="1069"/>
      <c r="INC278" s="1069"/>
      <c r="IND278" s="1069"/>
      <c r="INE278" s="1069"/>
      <c r="INF278" s="1069"/>
      <c r="ING278" s="1069"/>
      <c r="INH278" s="1069"/>
      <c r="INI278" s="1069"/>
      <c r="INJ278" s="1069"/>
      <c r="INK278" s="1069"/>
      <c r="INL278" s="1069"/>
      <c r="INM278" s="1069"/>
      <c r="INN278" s="1069"/>
      <c r="INO278" s="1069"/>
      <c r="INP278" s="1069"/>
      <c r="INQ278" s="1069"/>
      <c r="INR278" s="1069"/>
      <c r="INS278" s="1069"/>
      <c r="INT278" s="1069"/>
      <c r="INU278" s="1069"/>
      <c r="INV278" s="1069"/>
      <c r="INW278" s="1069"/>
      <c r="INX278" s="1069"/>
      <c r="INY278" s="1069"/>
      <c r="INZ278" s="1069"/>
      <c r="IOA278" s="1069"/>
      <c r="IOB278" s="1069"/>
      <c r="IOC278" s="1069"/>
      <c r="IOD278" s="1069"/>
      <c r="IOE278" s="1069"/>
      <c r="IOF278" s="1069"/>
      <c r="IOG278" s="1069"/>
      <c r="IOH278" s="1069"/>
      <c r="IOI278" s="1069"/>
      <c r="IOJ278" s="1069"/>
      <c r="IOK278" s="1069"/>
      <c r="IOL278" s="1069"/>
      <c r="IOM278" s="1069"/>
      <c r="ION278" s="1069"/>
      <c r="IOO278" s="1069"/>
      <c r="IOP278" s="1069"/>
      <c r="IOQ278" s="1069"/>
      <c r="IOR278" s="1069"/>
      <c r="IOS278" s="1069"/>
      <c r="IOT278" s="1069"/>
      <c r="IOU278" s="1069"/>
      <c r="IOV278" s="1069"/>
      <c r="IOW278" s="1069"/>
      <c r="IOX278" s="1069"/>
      <c r="IOY278" s="1069"/>
      <c r="IOZ278" s="1069"/>
      <c r="IPA278" s="1069"/>
      <c r="IPB278" s="1069"/>
      <c r="IPC278" s="1069"/>
      <c r="IPD278" s="1069"/>
      <c r="IPE278" s="1069"/>
      <c r="IPF278" s="1069"/>
      <c r="IPG278" s="1069"/>
      <c r="IPH278" s="1069"/>
      <c r="IPI278" s="1069"/>
      <c r="IPJ278" s="1069"/>
      <c r="IPK278" s="1069"/>
      <c r="IPL278" s="1069"/>
      <c r="IPM278" s="1069"/>
      <c r="IPN278" s="1069"/>
      <c r="IPO278" s="1069"/>
      <c r="IPP278" s="1069"/>
      <c r="IPQ278" s="1069"/>
      <c r="IPR278" s="1069"/>
      <c r="IPS278" s="1069"/>
      <c r="IPT278" s="1069"/>
      <c r="IPU278" s="1069"/>
      <c r="IPV278" s="1069"/>
      <c r="IPW278" s="1069"/>
      <c r="IPX278" s="1069"/>
      <c r="IPY278" s="1069"/>
      <c r="IPZ278" s="1069"/>
      <c r="IQA278" s="1069"/>
      <c r="IQB278" s="1069"/>
      <c r="IQC278" s="1069"/>
      <c r="IQD278" s="1069"/>
      <c r="IQE278" s="1069"/>
      <c r="IQF278" s="1069"/>
      <c r="IQG278" s="1069"/>
      <c r="IQH278" s="1069"/>
      <c r="IQI278" s="1069"/>
      <c r="IQJ278" s="1069"/>
      <c r="IQK278" s="1069"/>
      <c r="IQL278" s="1069"/>
      <c r="IQM278" s="1069"/>
      <c r="IQN278" s="1069"/>
      <c r="IQO278" s="1069"/>
      <c r="IQP278" s="1069"/>
      <c r="IQQ278" s="1069"/>
      <c r="IQR278" s="1069"/>
      <c r="IQS278" s="1069"/>
      <c r="IQT278" s="1069"/>
      <c r="IQU278" s="1069"/>
      <c r="IQV278" s="1069"/>
      <c r="IQW278" s="1069"/>
      <c r="IQX278" s="1069"/>
      <c r="IQY278" s="1069"/>
      <c r="IQZ278" s="1069"/>
      <c r="IRA278" s="1069"/>
      <c r="IRB278" s="1069"/>
      <c r="IRC278" s="1069"/>
      <c r="IRD278" s="1069"/>
      <c r="IRE278" s="1069"/>
      <c r="IRF278" s="1069"/>
      <c r="IRG278" s="1069"/>
      <c r="IRH278" s="1069"/>
      <c r="IRI278" s="1069"/>
      <c r="IRJ278" s="1069"/>
      <c r="IRK278" s="1069"/>
      <c r="IRL278" s="1069"/>
      <c r="IRM278" s="1069"/>
      <c r="IRN278" s="1069"/>
      <c r="IRO278" s="1069"/>
      <c r="IRP278" s="1069"/>
      <c r="IRQ278" s="1069"/>
      <c r="IRR278" s="1069"/>
      <c r="IRS278" s="1069"/>
      <c r="IRT278" s="1069"/>
      <c r="IRU278" s="1069"/>
      <c r="IRV278" s="1069"/>
      <c r="IRW278" s="1069"/>
      <c r="IRX278" s="1069"/>
      <c r="IRY278" s="1069"/>
      <c r="IRZ278" s="1069"/>
      <c r="ISA278" s="1069"/>
      <c r="ISB278" s="1069"/>
      <c r="ISC278" s="1069"/>
      <c r="ISD278" s="1069"/>
      <c r="ISE278" s="1069"/>
      <c r="ISF278" s="1069"/>
      <c r="ISG278" s="1069"/>
      <c r="ISH278" s="1069"/>
      <c r="ISI278" s="1069"/>
      <c r="ISJ278" s="1069"/>
      <c r="ISK278" s="1069"/>
      <c r="ISL278" s="1069"/>
      <c r="ISM278" s="1069"/>
      <c r="ISN278" s="1069"/>
      <c r="ISO278" s="1069"/>
      <c r="ISP278" s="1069"/>
      <c r="ISQ278" s="1069"/>
      <c r="ISR278" s="1069"/>
      <c r="ISS278" s="1069"/>
      <c r="IST278" s="1069"/>
      <c r="ISU278" s="1069"/>
      <c r="ISV278" s="1069"/>
      <c r="ISW278" s="1069"/>
      <c r="ISX278" s="1069"/>
      <c r="ISY278" s="1069"/>
      <c r="ISZ278" s="1069"/>
      <c r="ITA278" s="1069"/>
      <c r="ITB278" s="1069"/>
      <c r="ITC278" s="1069"/>
      <c r="ITD278" s="1069"/>
      <c r="ITE278" s="1069"/>
      <c r="ITF278" s="1069"/>
      <c r="ITG278" s="1069"/>
      <c r="ITH278" s="1069"/>
      <c r="ITI278" s="1069"/>
      <c r="ITJ278" s="1069"/>
      <c r="ITK278" s="1069"/>
      <c r="ITL278" s="1069"/>
      <c r="ITM278" s="1069"/>
      <c r="ITN278" s="1069"/>
      <c r="ITO278" s="1069"/>
      <c r="ITP278" s="1069"/>
      <c r="ITQ278" s="1069"/>
      <c r="ITR278" s="1069"/>
      <c r="ITS278" s="1069"/>
      <c r="ITT278" s="1069"/>
      <c r="ITU278" s="1069"/>
      <c r="ITV278" s="1069"/>
      <c r="ITW278" s="1069"/>
      <c r="ITX278" s="1069"/>
      <c r="ITY278" s="1069"/>
      <c r="ITZ278" s="1069"/>
      <c r="IUA278" s="1069"/>
      <c r="IUB278" s="1069"/>
      <c r="IUC278" s="1069"/>
      <c r="IUD278" s="1069"/>
      <c r="IUE278" s="1069"/>
      <c r="IUF278" s="1069"/>
      <c r="IUG278" s="1069"/>
      <c r="IUH278" s="1069"/>
      <c r="IUI278" s="1069"/>
      <c r="IUJ278" s="1069"/>
      <c r="IUK278" s="1069"/>
      <c r="IUL278" s="1069"/>
      <c r="IUM278" s="1069"/>
      <c r="IUN278" s="1069"/>
      <c r="IUO278" s="1069"/>
      <c r="IUP278" s="1069"/>
      <c r="IUQ278" s="1069"/>
      <c r="IUR278" s="1069"/>
      <c r="IUS278" s="1069"/>
      <c r="IUT278" s="1069"/>
      <c r="IUU278" s="1069"/>
      <c r="IUV278" s="1069"/>
      <c r="IUW278" s="1069"/>
      <c r="IUX278" s="1069"/>
      <c r="IUY278" s="1069"/>
      <c r="IUZ278" s="1069"/>
      <c r="IVA278" s="1069"/>
      <c r="IVB278" s="1069"/>
      <c r="IVC278" s="1069"/>
      <c r="IVD278" s="1069"/>
      <c r="IVE278" s="1069"/>
      <c r="IVF278" s="1069"/>
      <c r="IVG278" s="1069"/>
      <c r="IVH278" s="1069"/>
      <c r="IVI278" s="1069"/>
      <c r="IVJ278" s="1069"/>
      <c r="IVK278" s="1069"/>
      <c r="IVL278" s="1069"/>
      <c r="IVM278" s="1069"/>
      <c r="IVN278" s="1069"/>
      <c r="IVO278" s="1069"/>
      <c r="IVP278" s="1069"/>
      <c r="IVQ278" s="1069"/>
      <c r="IVR278" s="1069"/>
      <c r="IVS278" s="1069"/>
      <c r="IVT278" s="1069"/>
      <c r="IVU278" s="1069"/>
      <c r="IVV278" s="1069"/>
      <c r="IVW278" s="1069"/>
      <c r="IVX278" s="1069"/>
      <c r="IVY278" s="1069"/>
      <c r="IVZ278" s="1069"/>
      <c r="IWA278" s="1069"/>
      <c r="IWB278" s="1069"/>
      <c r="IWC278" s="1069"/>
      <c r="IWD278" s="1069"/>
      <c r="IWE278" s="1069"/>
      <c r="IWF278" s="1069"/>
      <c r="IWG278" s="1069"/>
      <c r="IWH278" s="1069"/>
      <c r="IWI278" s="1069"/>
      <c r="IWJ278" s="1069"/>
      <c r="IWK278" s="1069"/>
      <c r="IWL278" s="1069"/>
      <c r="IWM278" s="1069"/>
      <c r="IWN278" s="1069"/>
      <c r="IWO278" s="1069"/>
      <c r="IWP278" s="1069"/>
      <c r="IWQ278" s="1069"/>
      <c r="IWR278" s="1069"/>
      <c r="IWS278" s="1069"/>
      <c r="IWT278" s="1069"/>
      <c r="IWU278" s="1069"/>
      <c r="IWV278" s="1069"/>
      <c r="IWW278" s="1069"/>
      <c r="IWX278" s="1069"/>
      <c r="IWY278" s="1069"/>
      <c r="IWZ278" s="1069"/>
      <c r="IXA278" s="1069"/>
      <c r="IXB278" s="1069"/>
      <c r="IXC278" s="1069"/>
      <c r="IXD278" s="1069"/>
      <c r="IXE278" s="1069"/>
      <c r="IXF278" s="1069"/>
      <c r="IXG278" s="1069"/>
      <c r="IXH278" s="1069"/>
      <c r="IXI278" s="1069"/>
      <c r="IXJ278" s="1069"/>
      <c r="IXK278" s="1069"/>
      <c r="IXL278" s="1069"/>
      <c r="IXM278" s="1069"/>
      <c r="IXN278" s="1069"/>
      <c r="IXO278" s="1069"/>
      <c r="IXP278" s="1069"/>
      <c r="IXQ278" s="1069"/>
      <c r="IXR278" s="1069"/>
      <c r="IXS278" s="1069"/>
      <c r="IXT278" s="1069"/>
      <c r="IXU278" s="1069"/>
      <c r="IXV278" s="1069"/>
      <c r="IXW278" s="1069"/>
      <c r="IXX278" s="1069"/>
      <c r="IXY278" s="1069"/>
      <c r="IXZ278" s="1069"/>
      <c r="IYA278" s="1069"/>
      <c r="IYB278" s="1069"/>
      <c r="IYC278" s="1069"/>
      <c r="IYD278" s="1069"/>
      <c r="IYE278" s="1069"/>
      <c r="IYF278" s="1069"/>
      <c r="IYG278" s="1069"/>
      <c r="IYH278" s="1069"/>
      <c r="IYI278" s="1069"/>
      <c r="IYJ278" s="1069"/>
      <c r="IYK278" s="1069"/>
      <c r="IYL278" s="1069"/>
      <c r="IYM278" s="1069"/>
      <c r="IYN278" s="1069"/>
      <c r="IYO278" s="1069"/>
      <c r="IYP278" s="1069"/>
      <c r="IYQ278" s="1069"/>
      <c r="IYR278" s="1069"/>
      <c r="IYS278" s="1069"/>
      <c r="IYT278" s="1069"/>
      <c r="IYU278" s="1069"/>
      <c r="IYV278" s="1069"/>
      <c r="IYW278" s="1069"/>
      <c r="IYX278" s="1069"/>
      <c r="IYY278" s="1069"/>
      <c r="IYZ278" s="1069"/>
      <c r="IZA278" s="1069"/>
      <c r="IZB278" s="1069"/>
      <c r="IZC278" s="1069"/>
      <c r="IZD278" s="1069"/>
      <c r="IZE278" s="1069"/>
      <c r="IZF278" s="1069"/>
      <c r="IZG278" s="1069"/>
      <c r="IZH278" s="1069"/>
      <c r="IZI278" s="1069"/>
      <c r="IZJ278" s="1069"/>
      <c r="IZK278" s="1069"/>
      <c r="IZL278" s="1069"/>
      <c r="IZM278" s="1069"/>
      <c r="IZN278" s="1069"/>
      <c r="IZO278" s="1069"/>
      <c r="IZP278" s="1069"/>
      <c r="IZQ278" s="1069"/>
      <c r="IZR278" s="1069"/>
      <c r="IZS278" s="1069"/>
      <c r="IZT278" s="1069"/>
      <c r="IZU278" s="1069"/>
      <c r="IZV278" s="1069"/>
      <c r="IZW278" s="1069"/>
      <c r="IZX278" s="1069"/>
      <c r="IZY278" s="1069"/>
      <c r="IZZ278" s="1069"/>
      <c r="JAA278" s="1069"/>
      <c r="JAB278" s="1069"/>
      <c r="JAC278" s="1069"/>
      <c r="JAD278" s="1069"/>
      <c r="JAE278" s="1069"/>
      <c r="JAF278" s="1069"/>
      <c r="JAG278" s="1069"/>
      <c r="JAH278" s="1069"/>
      <c r="JAI278" s="1069"/>
      <c r="JAJ278" s="1069"/>
      <c r="JAK278" s="1069"/>
      <c r="JAL278" s="1069"/>
      <c r="JAM278" s="1069"/>
      <c r="JAN278" s="1069"/>
      <c r="JAO278" s="1069"/>
      <c r="JAP278" s="1069"/>
      <c r="JAQ278" s="1069"/>
      <c r="JAR278" s="1069"/>
      <c r="JAS278" s="1069"/>
      <c r="JAT278" s="1069"/>
      <c r="JAU278" s="1069"/>
      <c r="JAV278" s="1069"/>
      <c r="JAW278" s="1069"/>
      <c r="JAX278" s="1069"/>
      <c r="JAY278" s="1069"/>
      <c r="JAZ278" s="1069"/>
      <c r="JBA278" s="1069"/>
      <c r="JBB278" s="1069"/>
      <c r="JBC278" s="1069"/>
      <c r="JBD278" s="1069"/>
      <c r="JBE278" s="1069"/>
      <c r="JBF278" s="1069"/>
      <c r="JBG278" s="1069"/>
      <c r="JBH278" s="1069"/>
      <c r="JBI278" s="1069"/>
      <c r="JBJ278" s="1069"/>
      <c r="JBK278" s="1069"/>
      <c r="JBL278" s="1069"/>
      <c r="JBM278" s="1069"/>
      <c r="JBN278" s="1069"/>
      <c r="JBO278" s="1069"/>
      <c r="JBP278" s="1069"/>
      <c r="JBQ278" s="1069"/>
      <c r="JBR278" s="1069"/>
      <c r="JBS278" s="1069"/>
      <c r="JBT278" s="1069"/>
      <c r="JBU278" s="1069"/>
      <c r="JBV278" s="1069"/>
      <c r="JBW278" s="1069"/>
      <c r="JBX278" s="1069"/>
      <c r="JBY278" s="1069"/>
      <c r="JBZ278" s="1069"/>
      <c r="JCA278" s="1069"/>
      <c r="JCB278" s="1069"/>
      <c r="JCC278" s="1069"/>
      <c r="JCD278" s="1069"/>
      <c r="JCE278" s="1069"/>
      <c r="JCF278" s="1069"/>
      <c r="JCG278" s="1069"/>
      <c r="JCH278" s="1069"/>
      <c r="JCI278" s="1069"/>
      <c r="JCJ278" s="1069"/>
      <c r="JCK278" s="1069"/>
      <c r="JCL278" s="1069"/>
      <c r="JCM278" s="1069"/>
      <c r="JCN278" s="1069"/>
      <c r="JCO278" s="1069"/>
      <c r="JCP278" s="1069"/>
      <c r="JCQ278" s="1069"/>
      <c r="JCR278" s="1069"/>
      <c r="JCS278" s="1069"/>
      <c r="JCT278" s="1069"/>
      <c r="JCU278" s="1069"/>
      <c r="JCV278" s="1069"/>
      <c r="JCW278" s="1069"/>
      <c r="JCX278" s="1069"/>
      <c r="JCY278" s="1069"/>
      <c r="JCZ278" s="1069"/>
      <c r="JDA278" s="1069"/>
      <c r="JDB278" s="1069"/>
      <c r="JDC278" s="1069"/>
      <c r="JDD278" s="1069"/>
      <c r="JDE278" s="1069"/>
      <c r="JDF278" s="1069"/>
      <c r="JDG278" s="1069"/>
      <c r="JDH278" s="1069"/>
      <c r="JDI278" s="1069"/>
      <c r="JDJ278" s="1069"/>
      <c r="JDK278" s="1069"/>
      <c r="JDL278" s="1069"/>
      <c r="JDM278" s="1069"/>
      <c r="JDN278" s="1069"/>
      <c r="JDO278" s="1069"/>
      <c r="JDP278" s="1069"/>
      <c r="JDQ278" s="1069"/>
      <c r="JDR278" s="1069"/>
      <c r="JDS278" s="1069"/>
      <c r="JDT278" s="1069"/>
      <c r="JDU278" s="1069"/>
      <c r="JDV278" s="1069"/>
      <c r="JDW278" s="1069"/>
      <c r="JDX278" s="1069"/>
      <c r="JDY278" s="1069"/>
      <c r="JDZ278" s="1069"/>
      <c r="JEA278" s="1069"/>
      <c r="JEB278" s="1069"/>
      <c r="JEC278" s="1069"/>
      <c r="JED278" s="1069"/>
      <c r="JEE278" s="1069"/>
      <c r="JEF278" s="1069"/>
      <c r="JEG278" s="1069"/>
      <c r="JEH278" s="1069"/>
      <c r="JEI278" s="1069"/>
      <c r="JEJ278" s="1069"/>
      <c r="JEK278" s="1069"/>
      <c r="JEL278" s="1069"/>
      <c r="JEM278" s="1069"/>
      <c r="JEN278" s="1069"/>
      <c r="JEO278" s="1069"/>
      <c r="JEP278" s="1069"/>
      <c r="JEQ278" s="1069"/>
      <c r="JER278" s="1069"/>
      <c r="JES278" s="1069"/>
      <c r="JET278" s="1069"/>
      <c r="JEU278" s="1069"/>
      <c r="JEV278" s="1069"/>
      <c r="JEW278" s="1069"/>
      <c r="JEX278" s="1069"/>
      <c r="JEY278" s="1069"/>
      <c r="JEZ278" s="1069"/>
      <c r="JFA278" s="1069"/>
      <c r="JFB278" s="1069"/>
      <c r="JFC278" s="1069"/>
      <c r="JFD278" s="1069"/>
      <c r="JFE278" s="1069"/>
      <c r="JFF278" s="1069"/>
      <c r="JFG278" s="1069"/>
      <c r="JFH278" s="1069"/>
      <c r="JFI278" s="1069"/>
      <c r="JFJ278" s="1069"/>
      <c r="JFK278" s="1069"/>
      <c r="JFL278" s="1069"/>
      <c r="JFM278" s="1069"/>
      <c r="JFN278" s="1069"/>
      <c r="JFO278" s="1069"/>
      <c r="JFP278" s="1069"/>
      <c r="JFQ278" s="1069"/>
      <c r="JFR278" s="1069"/>
      <c r="JFS278" s="1069"/>
      <c r="JFT278" s="1069"/>
      <c r="JFU278" s="1069"/>
      <c r="JFV278" s="1069"/>
      <c r="JFW278" s="1069"/>
      <c r="JFX278" s="1069"/>
      <c r="JFY278" s="1069"/>
      <c r="JFZ278" s="1069"/>
      <c r="JGA278" s="1069"/>
      <c r="JGB278" s="1069"/>
      <c r="JGC278" s="1069"/>
      <c r="JGD278" s="1069"/>
      <c r="JGE278" s="1069"/>
      <c r="JGF278" s="1069"/>
      <c r="JGG278" s="1069"/>
      <c r="JGH278" s="1069"/>
      <c r="JGI278" s="1069"/>
      <c r="JGJ278" s="1069"/>
      <c r="JGK278" s="1069"/>
      <c r="JGL278" s="1069"/>
      <c r="JGM278" s="1069"/>
      <c r="JGN278" s="1069"/>
      <c r="JGO278" s="1069"/>
      <c r="JGP278" s="1069"/>
      <c r="JGQ278" s="1069"/>
      <c r="JGR278" s="1069"/>
      <c r="JGS278" s="1069"/>
      <c r="JGT278" s="1069"/>
      <c r="JGU278" s="1069"/>
      <c r="JGV278" s="1069"/>
      <c r="JGW278" s="1069"/>
      <c r="JGX278" s="1069"/>
      <c r="JGY278" s="1069"/>
      <c r="JGZ278" s="1069"/>
      <c r="JHA278" s="1069"/>
      <c r="JHB278" s="1069"/>
      <c r="JHC278" s="1069"/>
      <c r="JHD278" s="1069"/>
      <c r="JHE278" s="1069"/>
      <c r="JHF278" s="1069"/>
      <c r="JHG278" s="1069"/>
      <c r="JHH278" s="1069"/>
      <c r="JHI278" s="1069"/>
      <c r="JHJ278" s="1069"/>
      <c r="JHK278" s="1069"/>
      <c r="JHL278" s="1069"/>
      <c r="JHM278" s="1069"/>
      <c r="JHN278" s="1069"/>
      <c r="JHO278" s="1069"/>
      <c r="JHP278" s="1069"/>
      <c r="JHQ278" s="1069"/>
      <c r="JHR278" s="1069"/>
      <c r="JHS278" s="1069"/>
      <c r="JHT278" s="1069"/>
      <c r="JHU278" s="1069"/>
      <c r="JHV278" s="1069"/>
      <c r="JHW278" s="1069"/>
      <c r="JHX278" s="1069"/>
      <c r="JHY278" s="1069"/>
      <c r="JHZ278" s="1069"/>
      <c r="JIA278" s="1069"/>
      <c r="JIB278" s="1069"/>
      <c r="JIC278" s="1069"/>
      <c r="JID278" s="1069"/>
      <c r="JIE278" s="1069"/>
      <c r="JIF278" s="1069"/>
      <c r="JIG278" s="1069"/>
      <c r="JIH278" s="1069"/>
      <c r="JII278" s="1069"/>
      <c r="JIJ278" s="1069"/>
      <c r="JIK278" s="1069"/>
      <c r="JIL278" s="1069"/>
      <c r="JIM278" s="1069"/>
      <c r="JIN278" s="1069"/>
      <c r="JIO278" s="1069"/>
      <c r="JIP278" s="1069"/>
      <c r="JIQ278" s="1069"/>
      <c r="JIR278" s="1069"/>
      <c r="JIS278" s="1069"/>
      <c r="JIT278" s="1069"/>
      <c r="JIU278" s="1069"/>
      <c r="JIV278" s="1069"/>
      <c r="JIW278" s="1069"/>
      <c r="JIX278" s="1069"/>
      <c r="JIY278" s="1069"/>
      <c r="JIZ278" s="1069"/>
      <c r="JJA278" s="1069"/>
      <c r="JJB278" s="1069"/>
      <c r="JJC278" s="1069"/>
      <c r="JJD278" s="1069"/>
      <c r="JJE278" s="1069"/>
      <c r="JJF278" s="1069"/>
      <c r="JJG278" s="1069"/>
      <c r="JJH278" s="1069"/>
      <c r="JJI278" s="1069"/>
      <c r="JJJ278" s="1069"/>
      <c r="JJK278" s="1069"/>
      <c r="JJL278" s="1069"/>
      <c r="JJM278" s="1069"/>
      <c r="JJN278" s="1069"/>
      <c r="JJO278" s="1069"/>
      <c r="JJP278" s="1069"/>
      <c r="JJQ278" s="1069"/>
      <c r="JJR278" s="1069"/>
      <c r="JJS278" s="1069"/>
      <c r="JJT278" s="1069"/>
      <c r="JJU278" s="1069"/>
      <c r="JJV278" s="1069"/>
      <c r="JJW278" s="1069"/>
      <c r="JJX278" s="1069"/>
      <c r="JJY278" s="1069"/>
      <c r="JJZ278" s="1069"/>
      <c r="JKA278" s="1069"/>
      <c r="JKB278" s="1069"/>
      <c r="JKC278" s="1069"/>
      <c r="JKD278" s="1069"/>
      <c r="JKE278" s="1069"/>
      <c r="JKF278" s="1069"/>
      <c r="JKG278" s="1069"/>
      <c r="JKH278" s="1069"/>
      <c r="JKI278" s="1069"/>
      <c r="JKJ278" s="1069"/>
      <c r="JKK278" s="1069"/>
      <c r="JKL278" s="1069"/>
      <c r="JKM278" s="1069"/>
      <c r="JKN278" s="1069"/>
      <c r="JKO278" s="1069"/>
      <c r="JKP278" s="1069"/>
      <c r="JKQ278" s="1069"/>
      <c r="JKR278" s="1069"/>
      <c r="JKS278" s="1069"/>
      <c r="JKT278" s="1069"/>
      <c r="JKU278" s="1069"/>
      <c r="JKV278" s="1069"/>
      <c r="JKW278" s="1069"/>
      <c r="JKX278" s="1069"/>
      <c r="JKY278" s="1069"/>
      <c r="JKZ278" s="1069"/>
      <c r="JLA278" s="1069"/>
      <c r="JLB278" s="1069"/>
      <c r="JLC278" s="1069"/>
      <c r="JLD278" s="1069"/>
      <c r="JLE278" s="1069"/>
      <c r="JLF278" s="1069"/>
      <c r="JLG278" s="1069"/>
      <c r="JLH278" s="1069"/>
      <c r="JLI278" s="1069"/>
      <c r="JLJ278" s="1069"/>
      <c r="JLK278" s="1069"/>
      <c r="JLL278" s="1069"/>
      <c r="JLM278" s="1069"/>
      <c r="JLN278" s="1069"/>
      <c r="JLO278" s="1069"/>
      <c r="JLP278" s="1069"/>
      <c r="JLQ278" s="1069"/>
      <c r="JLR278" s="1069"/>
      <c r="JLS278" s="1069"/>
      <c r="JLT278" s="1069"/>
      <c r="JLU278" s="1069"/>
      <c r="JLV278" s="1069"/>
      <c r="JLW278" s="1069"/>
      <c r="JLX278" s="1069"/>
      <c r="JLY278" s="1069"/>
      <c r="JLZ278" s="1069"/>
      <c r="JMA278" s="1069"/>
      <c r="JMB278" s="1069"/>
      <c r="JMC278" s="1069"/>
      <c r="JMD278" s="1069"/>
      <c r="JME278" s="1069"/>
      <c r="JMF278" s="1069"/>
      <c r="JMG278" s="1069"/>
      <c r="JMH278" s="1069"/>
      <c r="JMI278" s="1069"/>
      <c r="JMJ278" s="1069"/>
      <c r="JMK278" s="1069"/>
      <c r="JML278" s="1069"/>
      <c r="JMM278" s="1069"/>
      <c r="JMN278" s="1069"/>
      <c r="JMO278" s="1069"/>
      <c r="JMP278" s="1069"/>
      <c r="JMQ278" s="1069"/>
      <c r="JMR278" s="1069"/>
      <c r="JMS278" s="1069"/>
      <c r="JMT278" s="1069"/>
      <c r="JMU278" s="1069"/>
      <c r="JMV278" s="1069"/>
      <c r="JMW278" s="1069"/>
      <c r="JMX278" s="1069"/>
      <c r="JMY278" s="1069"/>
      <c r="JMZ278" s="1069"/>
      <c r="JNA278" s="1069"/>
      <c r="JNB278" s="1069"/>
      <c r="JNC278" s="1069"/>
      <c r="JND278" s="1069"/>
      <c r="JNE278" s="1069"/>
      <c r="JNF278" s="1069"/>
      <c r="JNG278" s="1069"/>
      <c r="JNH278" s="1069"/>
      <c r="JNI278" s="1069"/>
      <c r="JNJ278" s="1069"/>
      <c r="JNK278" s="1069"/>
      <c r="JNL278" s="1069"/>
      <c r="JNM278" s="1069"/>
      <c r="JNN278" s="1069"/>
      <c r="JNO278" s="1069"/>
      <c r="JNP278" s="1069"/>
      <c r="JNQ278" s="1069"/>
      <c r="JNR278" s="1069"/>
      <c r="JNS278" s="1069"/>
      <c r="JNT278" s="1069"/>
      <c r="JNU278" s="1069"/>
      <c r="JNV278" s="1069"/>
      <c r="JNW278" s="1069"/>
      <c r="JNX278" s="1069"/>
      <c r="JNY278" s="1069"/>
      <c r="JNZ278" s="1069"/>
      <c r="JOA278" s="1069"/>
      <c r="JOB278" s="1069"/>
      <c r="JOC278" s="1069"/>
      <c r="JOD278" s="1069"/>
      <c r="JOE278" s="1069"/>
      <c r="JOF278" s="1069"/>
      <c r="JOG278" s="1069"/>
      <c r="JOH278" s="1069"/>
      <c r="JOI278" s="1069"/>
      <c r="JOJ278" s="1069"/>
      <c r="JOK278" s="1069"/>
      <c r="JOL278" s="1069"/>
      <c r="JOM278" s="1069"/>
      <c r="JON278" s="1069"/>
      <c r="JOO278" s="1069"/>
      <c r="JOP278" s="1069"/>
      <c r="JOQ278" s="1069"/>
      <c r="JOR278" s="1069"/>
      <c r="JOS278" s="1069"/>
      <c r="JOT278" s="1069"/>
      <c r="JOU278" s="1069"/>
      <c r="JOV278" s="1069"/>
      <c r="JOW278" s="1069"/>
      <c r="JOX278" s="1069"/>
      <c r="JOY278" s="1069"/>
      <c r="JOZ278" s="1069"/>
      <c r="JPA278" s="1069"/>
      <c r="JPB278" s="1069"/>
      <c r="JPC278" s="1069"/>
      <c r="JPD278" s="1069"/>
      <c r="JPE278" s="1069"/>
      <c r="JPF278" s="1069"/>
      <c r="JPG278" s="1069"/>
      <c r="JPH278" s="1069"/>
      <c r="JPI278" s="1069"/>
      <c r="JPJ278" s="1069"/>
      <c r="JPK278" s="1069"/>
      <c r="JPL278" s="1069"/>
      <c r="JPM278" s="1069"/>
      <c r="JPN278" s="1069"/>
      <c r="JPO278" s="1069"/>
      <c r="JPP278" s="1069"/>
      <c r="JPQ278" s="1069"/>
      <c r="JPR278" s="1069"/>
      <c r="JPS278" s="1069"/>
      <c r="JPT278" s="1069"/>
      <c r="JPU278" s="1069"/>
      <c r="JPV278" s="1069"/>
      <c r="JPW278" s="1069"/>
      <c r="JPX278" s="1069"/>
      <c r="JPY278" s="1069"/>
      <c r="JPZ278" s="1069"/>
      <c r="JQA278" s="1069"/>
      <c r="JQB278" s="1069"/>
      <c r="JQC278" s="1069"/>
      <c r="JQD278" s="1069"/>
      <c r="JQE278" s="1069"/>
      <c r="JQF278" s="1069"/>
      <c r="JQG278" s="1069"/>
      <c r="JQH278" s="1069"/>
      <c r="JQI278" s="1069"/>
      <c r="JQJ278" s="1069"/>
      <c r="JQK278" s="1069"/>
      <c r="JQL278" s="1069"/>
      <c r="JQM278" s="1069"/>
      <c r="JQN278" s="1069"/>
      <c r="JQO278" s="1069"/>
      <c r="JQP278" s="1069"/>
      <c r="JQQ278" s="1069"/>
      <c r="JQR278" s="1069"/>
      <c r="JQS278" s="1069"/>
      <c r="JQT278" s="1069"/>
      <c r="JQU278" s="1069"/>
      <c r="JQV278" s="1069"/>
      <c r="JQW278" s="1069"/>
      <c r="JQX278" s="1069"/>
      <c r="JQY278" s="1069"/>
      <c r="JQZ278" s="1069"/>
      <c r="JRA278" s="1069"/>
      <c r="JRB278" s="1069"/>
      <c r="JRC278" s="1069"/>
      <c r="JRD278" s="1069"/>
      <c r="JRE278" s="1069"/>
      <c r="JRF278" s="1069"/>
      <c r="JRG278" s="1069"/>
      <c r="JRH278" s="1069"/>
      <c r="JRI278" s="1069"/>
      <c r="JRJ278" s="1069"/>
      <c r="JRK278" s="1069"/>
      <c r="JRL278" s="1069"/>
      <c r="JRM278" s="1069"/>
      <c r="JRN278" s="1069"/>
      <c r="JRO278" s="1069"/>
      <c r="JRP278" s="1069"/>
      <c r="JRQ278" s="1069"/>
      <c r="JRR278" s="1069"/>
      <c r="JRS278" s="1069"/>
      <c r="JRT278" s="1069"/>
      <c r="JRU278" s="1069"/>
      <c r="JRV278" s="1069"/>
      <c r="JRW278" s="1069"/>
      <c r="JRX278" s="1069"/>
      <c r="JRY278" s="1069"/>
      <c r="JRZ278" s="1069"/>
      <c r="JSA278" s="1069"/>
      <c r="JSB278" s="1069"/>
      <c r="JSC278" s="1069"/>
      <c r="JSD278" s="1069"/>
      <c r="JSE278" s="1069"/>
      <c r="JSF278" s="1069"/>
      <c r="JSG278" s="1069"/>
      <c r="JSH278" s="1069"/>
      <c r="JSI278" s="1069"/>
      <c r="JSJ278" s="1069"/>
      <c r="JSK278" s="1069"/>
      <c r="JSL278" s="1069"/>
      <c r="JSM278" s="1069"/>
      <c r="JSN278" s="1069"/>
      <c r="JSO278" s="1069"/>
      <c r="JSP278" s="1069"/>
      <c r="JSQ278" s="1069"/>
      <c r="JSR278" s="1069"/>
      <c r="JSS278" s="1069"/>
      <c r="JST278" s="1069"/>
      <c r="JSU278" s="1069"/>
      <c r="JSV278" s="1069"/>
      <c r="JSW278" s="1069"/>
      <c r="JSX278" s="1069"/>
      <c r="JSY278" s="1069"/>
      <c r="JSZ278" s="1069"/>
      <c r="JTA278" s="1069"/>
      <c r="JTB278" s="1069"/>
      <c r="JTC278" s="1069"/>
      <c r="JTD278" s="1069"/>
      <c r="JTE278" s="1069"/>
      <c r="JTF278" s="1069"/>
      <c r="JTG278" s="1069"/>
      <c r="JTH278" s="1069"/>
      <c r="JTI278" s="1069"/>
      <c r="JTJ278" s="1069"/>
      <c r="JTK278" s="1069"/>
      <c r="JTL278" s="1069"/>
      <c r="JTM278" s="1069"/>
      <c r="JTN278" s="1069"/>
      <c r="JTO278" s="1069"/>
      <c r="JTP278" s="1069"/>
      <c r="JTQ278" s="1069"/>
      <c r="JTR278" s="1069"/>
      <c r="JTS278" s="1069"/>
      <c r="JTT278" s="1069"/>
      <c r="JTU278" s="1069"/>
      <c r="JTV278" s="1069"/>
      <c r="JTW278" s="1069"/>
      <c r="JTX278" s="1069"/>
      <c r="JTY278" s="1069"/>
      <c r="JTZ278" s="1069"/>
      <c r="JUA278" s="1069"/>
      <c r="JUB278" s="1069"/>
      <c r="JUC278" s="1069"/>
      <c r="JUD278" s="1069"/>
      <c r="JUE278" s="1069"/>
      <c r="JUF278" s="1069"/>
      <c r="JUG278" s="1069"/>
      <c r="JUH278" s="1069"/>
      <c r="JUI278" s="1069"/>
      <c r="JUJ278" s="1069"/>
      <c r="JUK278" s="1069"/>
      <c r="JUL278" s="1069"/>
      <c r="JUM278" s="1069"/>
      <c r="JUN278" s="1069"/>
      <c r="JUO278" s="1069"/>
      <c r="JUP278" s="1069"/>
      <c r="JUQ278" s="1069"/>
      <c r="JUR278" s="1069"/>
      <c r="JUS278" s="1069"/>
      <c r="JUT278" s="1069"/>
      <c r="JUU278" s="1069"/>
      <c r="JUV278" s="1069"/>
      <c r="JUW278" s="1069"/>
      <c r="JUX278" s="1069"/>
      <c r="JUY278" s="1069"/>
      <c r="JUZ278" s="1069"/>
      <c r="JVA278" s="1069"/>
      <c r="JVB278" s="1069"/>
      <c r="JVC278" s="1069"/>
      <c r="JVD278" s="1069"/>
      <c r="JVE278" s="1069"/>
      <c r="JVF278" s="1069"/>
      <c r="JVG278" s="1069"/>
      <c r="JVH278" s="1069"/>
      <c r="JVI278" s="1069"/>
      <c r="JVJ278" s="1069"/>
      <c r="JVK278" s="1069"/>
      <c r="JVL278" s="1069"/>
      <c r="JVM278" s="1069"/>
      <c r="JVN278" s="1069"/>
      <c r="JVO278" s="1069"/>
      <c r="JVP278" s="1069"/>
      <c r="JVQ278" s="1069"/>
      <c r="JVR278" s="1069"/>
      <c r="JVS278" s="1069"/>
      <c r="JVT278" s="1069"/>
      <c r="JVU278" s="1069"/>
      <c r="JVV278" s="1069"/>
      <c r="JVW278" s="1069"/>
      <c r="JVX278" s="1069"/>
      <c r="JVY278" s="1069"/>
      <c r="JVZ278" s="1069"/>
      <c r="JWA278" s="1069"/>
      <c r="JWB278" s="1069"/>
      <c r="JWC278" s="1069"/>
      <c r="JWD278" s="1069"/>
      <c r="JWE278" s="1069"/>
      <c r="JWF278" s="1069"/>
      <c r="JWG278" s="1069"/>
      <c r="JWH278" s="1069"/>
      <c r="JWI278" s="1069"/>
      <c r="JWJ278" s="1069"/>
      <c r="JWK278" s="1069"/>
      <c r="JWL278" s="1069"/>
      <c r="JWM278" s="1069"/>
      <c r="JWN278" s="1069"/>
      <c r="JWO278" s="1069"/>
      <c r="JWP278" s="1069"/>
      <c r="JWQ278" s="1069"/>
      <c r="JWR278" s="1069"/>
      <c r="JWS278" s="1069"/>
      <c r="JWT278" s="1069"/>
      <c r="JWU278" s="1069"/>
      <c r="JWV278" s="1069"/>
      <c r="JWW278" s="1069"/>
      <c r="JWX278" s="1069"/>
      <c r="JWY278" s="1069"/>
      <c r="JWZ278" s="1069"/>
      <c r="JXA278" s="1069"/>
      <c r="JXB278" s="1069"/>
      <c r="JXC278" s="1069"/>
      <c r="JXD278" s="1069"/>
      <c r="JXE278" s="1069"/>
      <c r="JXF278" s="1069"/>
      <c r="JXG278" s="1069"/>
      <c r="JXH278" s="1069"/>
      <c r="JXI278" s="1069"/>
      <c r="JXJ278" s="1069"/>
      <c r="JXK278" s="1069"/>
      <c r="JXL278" s="1069"/>
      <c r="JXM278" s="1069"/>
      <c r="JXN278" s="1069"/>
      <c r="JXO278" s="1069"/>
      <c r="JXP278" s="1069"/>
      <c r="JXQ278" s="1069"/>
      <c r="JXR278" s="1069"/>
      <c r="JXS278" s="1069"/>
      <c r="JXT278" s="1069"/>
      <c r="JXU278" s="1069"/>
      <c r="JXV278" s="1069"/>
      <c r="JXW278" s="1069"/>
      <c r="JXX278" s="1069"/>
      <c r="JXY278" s="1069"/>
      <c r="JXZ278" s="1069"/>
      <c r="JYA278" s="1069"/>
      <c r="JYB278" s="1069"/>
      <c r="JYC278" s="1069"/>
      <c r="JYD278" s="1069"/>
      <c r="JYE278" s="1069"/>
      <c r="JYF278" s="1069"/>
      <c r="JYG278" s="1069"/>
      <c r="JYH278" s="1069"/>
      <c r="JYI278" s="1069"/>
      <c r="JYJ278" s="1069"/>
      <c r="JYK278" s="1069"/>
      <c r="JYL278" s="1069"/>
      <c r="JYM278" s="1069"/>
      <c r="JYN278" s="1069"/>
      <c r="JYO278" s="1069"/>
      <c r="JYP278" s="1069"/>
      <c r="JYQ278" s="1069"/>
      <c r="JYR278" s="1069"/>
      <c r="JYS278" s="1069"/>
      <c r="JYT278" s="1069"/>
      <c r="JYU278" s="1069"/>
      <c r="JYV278" s="1069"/>
      <c r="JYW278" s="1069"/>
      <c r="JYX278" s="1069"/>
      <c r="JYY278" s="1069"/>
      <c r="JYZ278" s="1069"/>
      <c r="JZA278" s="1069"/>
      <c r="JZB278" s="1069"/>
      <c r="JZC278" s="1069"/>
      <c r="JZD278" s="1069"/>
      <c r="JZE278" s="1069"/>
      <c r="JZF278" s="1069"/>
      <c r="JZG278" s="1069"/>
      <c r="JZH278" s="1069"/>
      <c r="JZI278" s="1069"/>
      <c r="JZJ278" s="1069"/>
      <c r="JZK278" s="1069"/>
      <c r="JZL278" s="1069"/>
      <c r="JZM278" s="1069"/>
      <c r="JZN278" s="1069"/>
      <c r="JZO278" s="1069"/>
      <c r="JZP278" s="1069"/>
      <c r="JZQ278" s="1069"/>
      <c r="JZR278" s="1069"/>
      <c r="JZS278" s="1069"/>
      <c r="JZT278" s="1069"/>
      <c r="JZU278" s="1069"/>
      <c r="JZV278" s="1069"/>
      <c r="JZW278" s="1069"/>
      <c r="JZX278" s="1069"/>
      <c r="JZY278" s="1069"/>
      <c r="JZZ278" s="1069"/>
      <c r="KAA278" s="1069"/>
      <c r="KAB278" s="1069"/>
      <c r="KAC278" s="1069"/>
      <c r="KAD278" s="1069"/>
      <c r="KAE278" s="1069"/>
      <c r="KAF278" s="1069"/>
      <c r="KAG278" s="1069"/>
      <c r="KAH278" s="1069"/>
      <c r="KAI278" s="1069"/>
      <c r="KAJ278" s="1069"/>
      <c r="KAK278" s="1069"/>
      <c r="KAL278" s="1069"/>
      <c r="KAM278" s="1069"/>
      <c r="KAN278" s="1069"/>
      <c r="KAO278" s="1069"/>
      <c r="KAP278" s="1069"/>
      <c r="KAQ278" s="1069"/>
      <c r="KAR278" s="1069"/>
      <c r="KAS278" s="1069"/>
      <c r="KAT278" s="1069"/>
      <c r="KAU278" s="1069"/>
      <c r="KAV278" s="1069"/>
      <c r="KAW278" s="1069"/>
      <c r="KAX278" s="1069"/>
      <c r="KAY278" s="1069"/>
      <c r="KAZ278" s="1069"/>
      <c r="KBA278" s="1069"/>
      <c r="KBB278" s="1069"/>
      <c r="KBC278" s="1069"/>
      <c r="KBD278" s="1069"/>
      <c r="KBE278" s="1069"/>
      <c r="KBF278" s="1069"/>
      <c r="KBG278" s="1069"/>
      <c r="KBH278" s="1069"/>
      <c r="KBI278" s="1069"/>
      <c r="KBJ278" s="1069"/>
      <c r="KBK278" s="1069"/>
      <c r="KBL278" s="1069"/>
      <c r="KBM278" s="1069"/>
      <c r="KBN278" s="1069"/>
      <c r="KBO278" s="1069"/>
      <c r="KBP278" s="1069"/>
      <c r="KBQ278" s="1069"/>
      <c r="KBR278" s="1069"/>
      <c r="KBS278" s="1069"/>
      <c r="KBT278" s="1069"/>
      <c r="KBU278" s="1069"/>
      <c r="KBV278" s="1069"/>
      <c r="KBW278" s="1069"/>
      <c r="KBX278" s="1069"/>
      <c r="KBY278" s="1069"/>
      <c r="KBZ278" s="1069"/>
      <c r="KCA278" s="1069"/>
      <c r="KCB278" s="1069"/>
      <c r="KCC278" s="1069"/>
      <c r="KCD278" s="1069"/>
      <c r="KCE278" s="1069"/>
      <c r="KCF278" s="1069"/>
      <c r="KCG278" s="1069"/>
      <c r="KCH278" s="1069"/>
      <c r="KCI278" s="1069"/>
      <c r="KCJ278" s="1069"/>
      <c r="KCK278" s="1069"/>
      <c r="KCL278" s="1069"/>
      <c r="KCM278" s="1069"/>
      <c r="KCN278" s="1069"/>
      <c r="KCO278" s="1069"/>
      <c r="KCP278" s="1069"/>
      <c r="KCQ278" s="1069"/>
      <c r="KCR278" s="1069"/>
      <c r="KCS278" s="1069"/>
      <c r="KCT278" s="1069"/>
      <c r="KCU278" s="1069"/>
      <c r="KCV278" s="1069"/>
      <c r="KCW278" s="1069"/>
      <c r="KCX278" s="1069"/>
      <c r="KCY278" s="1069"/>
      <c r="KCZ278" s="1069"/>
      <c r="KDA278" s="1069"/>
      <c r="KDB278" s="1069"/>
      <c r="KDC278" s="1069"/>
      <c r="KDD278" s="1069"/>
      <c r="KDE278" s="1069"/>
      <c r="KDF278" s="1069"/>
      <c r="KDG278" s="1069"/>
      <c r="KDH278" s="1069"/>
      <c r="KDI278" s="1069"/>
      <c r="KDJ278" s="1069"/>
      <c r="KDK278" s="1069"/>
      <c r="KDL278" s="1069"/>
      <c r="KDM278" s="1069"/>
      <c r="KDN278" s="1069"/>
      <c r="KDO278" s="1069"/>
      <c r="KDP278" s="1069"/>
      <c r="KDQ278" s="1069"/>
      <c r="KDR278" s="1069"/>
      <c r="KDS278" s="1069"/>
      <c r="KDT278" s="1069"/>
      <c r="KDU278" s="1069"/>
      <c r="KDV278" s="1069"/>
      <c r="KDW278" s="1069"/>
      <c r="KDX278" s="1069"/>
      <c r="KDY278" s="1069"/>
      <c r="KDZ278" s="1069"/>
      <c r="KEA278" s="1069"/>
      <c r="KEB278" s="1069"/>
      <c r="KEC278" s="1069"/>
      <c r="KED278" s="1069"/>
      <c r="KEE278" s="1069"/>
      <c r="KEF278" s="1069"/>
      <c r="KEG278" s="1069"/>
      <c r="KEH278" s="1069"/>
      <c r="KEI278" s="1069"/>
      <c r="KEJ278" s="1069"/>
      <c r="KEK278" s="1069"/>
      <c r="KEL278" s="1069"/>
      <c r="KEM278" s="1069"/>
      <c r="KEN278" s="1069"/>
      <c r="KEO278" s="1069"/>
      <c r="KEP278" s="1069"/>
      <c r="KEQ278" s="1069"/>
      <c r="KER278" s="1069"/>
      <c r="KES278" s="1069"/>
      <c r="KET278" s="1069"/>
      <c r="KEU278" s="1069"/>
      <c r="KEV278" s="1069"/>
      <c r="KEW278" s="1069"/>
      <c r="KEX278" s="1069"/>
      <c r="KEY278" s="1069"/>
      <c r="KEZ278" s="1069"/>
      <c r="KFA278" s="1069"/>
      <c r="KFB278" s="1069"/>
      <c r="KFC278" s="1069"/>
      <c r="KFD278" s="1069"/>
      <c r="KFE278" s="1069"/>
      <c r="KFF278" s="1069"/>
      <c r="KFG278" s="1069"/>
      <c r="KFH278" s="1069"/>
      <c r="KFI278" s="1069"/>
      <c r="KFJ278" s="1069"/>
      <c r="KFK278" s="1069"/>
      <c r="KFL278" s="1069"/>
      <c r="KFM278" s="1069"/>
      <c r="KFN278" s="1069"/>
      <c r="KFO278" s="1069"/>
      <c r="KFP278" s="1069"/>
      <c r="KFQ278" s="1069"/>
      <c r="KFR278" s="1069"/>
      <c r="KFS278" s="1069"/>
      <c r="KFT278" s="1069"/>
      <c r="KFU278" s="1069"/>
      <c r="KFV278" s="1069"/>
      <c r="KFW278" s="1069"/>
      <c r="KFX278" s="1069"/>
      <c r="KFY278" s="1069"/>
      <c r="KFZ278" s="1069"/>
      <c r="KGA278" s="1069"/>
      <c r="KGB278" s="1069"/>
      <c r="KGC278" s="1069"/>
      <c r="KGD278" s="1069"/>
      <c r="KGE278" s="1069"/>
      <c r="KGF278" s="1069"/>
      <c r="KGG278" s="1069"/>
      <c r="KGH278" s="1069"/>
      <c r="KGI278" s="1069"/>
      <c r="KGJ278" s="1069"/>
      <c r="KGK278" s="1069"/>
      <c r="KGL278" s="1069"/>
      <c r="KGM278" s="1069"/>
      <c r="KGN278" s="1069"/>
      <c r="KGO278" s="1069"/>
      <c r="KGP278" s="1069"/>
      <c r="KGQ278" s="1069"/>
      <c r="KGR278" s="1069"/>
      <c r="KGS278" s="1069"/>
      <c r="KGT278" s="1069"/>
      <c r="KGU278" s="1069"/>
      <c r="KGV278" s="1069"/>
      <c r="KGW278" s="1069"/>
      <c r="KGX278" s="1069"/>
      <c r="KGY278" s="1069"/>
      <c r="KGZ278" s="1069"/>
      <c r="KHA278" s="1069"/>
      <c r="KHB278" s="1069"/>
      <c r="KHC278" s="1069"/>
      <c r="KHD278" s="1069"/>
      <c r="KHE278" s="1069"/>
      <c r="KHF278" s="1069"/>
      <c r="KHG278" s="1069"/>
      <c r="KHH278" s="1069"/>
      <c r="KHI278" s="1069"/>
      <c r="KHJ278" s="1069"/>
      <c r="KHK278" s="1069"/>
      <c r="KHL278" s="1069"/>
      <c r="KHM278" s="1069"/>
      <c r="KHN278" s="1069"/>
      <c r="KHO278" s="1069"/>
      <c r="KHP278" s="1069"/>
      <c r="KHQ278" s="1069"/>
      <c r="KHR278" s="1069"/>
      <c r="KHS278" s="1069"/>
      <c r="KHT278" s="1069"/>
      <c r="KHU278" s="1069"/>
      <c r="KHV278" s="1069"/>
      <c r="KHW278" s="1069"/>
      <c r="KHX278" s="1069"/>
      <c r="KHY278" s="1069"/>
      <c r="KHZ278" s="1069"/>
      <c r="KIA278" s="1069"/>
      <c r="KIB278" s="1069"/>
      <c r="KIC278" s="1069"/>
      <c r="KID278" s="1069"/>
      <c r="KIE278" s="1069"/>
      <c r="KIF278" s="1069"/>
      <c r="KIG278" s="1069"/>
      <c r="KIH278" s="1069"/>
      <c r="KII278" s="1069"/>
      <c r="KIJ278" s="1069"/>
      <c r="KIK278" s="1069"/>
      <c r="KIL278" s="1069"/>
      <c r="KIM278" s="1069"/>
      <c r="KIN278" s="1069"/>
      <c r="KIO278" s="1069"/>
      <c r="KIP278" s="1069"/>
      <c r="KIQ278" s="1069"/>
      <c r="KIR278" s="1069"/>
      <c r="KIS278" s="1069"/>
      <c r="KIT278" s="1069"/>
      <c r="KIU278" s="1069"/>
      <c r="KIV278" s="1069"/>
      <c r="KIW278" s="1069"/>
      <c r="KIX278" s="1069"/>
      <c r="KIY278" s="1069"/>
      <c r="KIZ278" s="1069"/>
      <c r="KJA278" s="1069"/>
      <c r="KJB278" s="1069"/>
      <c r="KJC278" s="1069"/>
      <c r="KJD278" s="1069"/>
      <c r="KJE278" s="1069"/>
      <c r="KJF278" s="1069"/>
      <c r="KJG278" s="1069"/>
      <c r="KJH278" s="1069"/>
      <c r="KJI278" s="1069"/>
      <c r="KJJ278" s="1069"/>
      <c r="KJK278" s="1069"/>
      <c r="KJL278" s="1069"/>
      <c r="KJM278" s="1069"/>
      <c r="KJN278" s="1069"/>
      <c r="KJO278" s="1069"/>
      <c r="KJP278" s="1069"/>
      <c r="KJQ278" s="1069"/>
      <c r="KJR278" s="1069"/>
      <c r="KJS278" s="1069"/>
      <c r="KJT278" s="1069"/>
      <c r="KJU278" s="1069"/>
      <c r="KJV278" s="1069"/>
      <c r="KJW278" s="1069"/>
      <c r="KJX278" s="1069"/>
      <c r="KJY278" s="1069"/>
      <c r="KJZ278" s="1069"/>
      <c r="KKA278" s="1069"/>
      <c r="KKB278" s="1069"/>
      <c r="KKC278" s="1069"/>
      <c r="KKD278" s="1069"/>
      <c r="KKE278" s="1069"/>
      <c r="KKF278" s="1069"/>
      <c r="KKG278" s="1069"/>
      <c r="KKH278" s="1069"/>
      <c r="KKI278" s="1069"/>
      <c r="KKJ278" s="1069"/>
      <c r="KKK278" s="1069"/>
      <c r="KKL278" s="1069"/>
      <c r="KKM278" s="1069"/>
      <c r="KKN278" s="1069"/>
      <c r="KKO278" s="1069"/>
      <c r="KKP278" s="1069"/>
      <c r="KKQ278" s="1069"/>
      <c r="KKR278" s="1069"/>
      <c r="KKS278" s="1069"/>
      <c r="KKT278" s="1069"/>
      <c r="KKU278" s="1069"/>
      <c r="KKV278" s="1069"/>
      <c r="KKW278" s="1069"/>
      <c r="KKX278" s="1069"/>
      <c r="KKY278" s="1069"/>
      <c r="KKZ278" s="1069"/>
      <c r="KLA278" s="1069"/>
      <c r="KLB278" s="1069"/>
      <c r="KLC278" s="1069"/>
      <c r="KLD278" s="1069"/>
      <c r="KLE278" s="1069"/>
      <c r="KLF278" s="1069"/>
      <c r="KLG278" s="1069"/>
      <c r="KLH278" s="1069"/>
      <c r="KLI278" s="1069"/>
      <c r="KLJ278" s="1069"/>
      <c r="KLK278" s="1069"/>
      <c r="KLL278" s="1069"/>
      <c r="KLM278" s="1069"/>
      <c r="KLN278" s="1069"/>
      <c r="KLO278" s="1069"/>
      <c r="KLP278" s="1069"/>
      <c r="KLQ278" s="1069"/>
      <c r="KLR278" s="1069"/>
      <c r="KLS278" s="1069"/>
      <c r="KLT278" s="1069"/>
      <c r="KLU278" s="1069"/>
      <c r="KLV278" s="1069"/>
      <c r="KLW278" s="1069"/>
      <c r="KLX278" s="1069"/>
      <c r="KLY278" s="1069"/>
      <c r="KLZ278" s="1069"/>
      <c r="KMA278" s="1069"/>
      <c r="KMB278" s="1069"/>
      <c r="KMC278" s="1069"/>
      <c r="KMD278" s="1069"/>
      <c r="KME278" s="1069"/>
      <c r="KMF278" s="1069"/>
      <c r="KMG278" s="1069"/>
      <c r="KMH278" s="1069"/>
      <c r="KMI278" s="1069"/>
      <c r="KMJ278" s="1069"/>
      <c r="KMK278" s="1069"/>
      <c r="KML278" s="1069"/>
      <c r="KMM278" s="1069"/>
      <c r="KMN278" s="1069"/>
      <c r="KMO278" s="1069"/>
      <c r="KMP278" s="1069"/>
      <c r="KMQ278" s="1069"/>
      <c r="KMR278" s="1069"/>
      <c r="KMS278" s="1069"/>
      <c r="KMT278" s="1069"/>
      <c r="KMU278" s="1069"/>
      <c r="KMV278" s="1069"/>
      <c r="KMW278" s="1069"/>
      <c r="KMX278" s="1069"/>
      <c r="KMY278" s="1069"/>
      <c r="KMZ278" s="1069"/>
      <c r="KNA278" s="1069"/>
      <c r="KNB278" s="1069"/>
      <c r="KNC278" s="1069"/>
      <c r="KND278" s="1069"/>
      <c r="KNE278" s="1069"/>
      <c r="KNF278" s="1069"/>
      <c r="KNG278" s="1069"/>
      <c r="KNH278" s="1069"/>
      <c r="KNI278" s="1069"/>
      <c r="KNJ278" s="1069"/>
      <c r="KNK278" s="1069"/>
      <c r="KNL278" s="1069"/>
      <c r="KNM278" s="1069"/>
      <c r="KNN278" s="1069"/>
      <c r="KNO278" s="1069"/>
      <c r="KNP278" s="1069"/>
      <c r="KNQ278" s="1069"/>
      <c r="KNR278" s="1069"/>
      <c r="KNS278" s="1069"/>
      <c r="KNT278" s="1069"/>
      <c r="KNU278" s="1069"/>
      <c r="KNV278" s="1069"/>
      <c r="KNW278" s="1069"/>
      <c r="KNX278" s="1069"/>
      <c r="KNY278" s="1069"/>
      <c r="KNZ278" s="1069"/>
      <c r="KOA278" s="1069"/>
      <c r="KOB278" s="1069"/>
      <c r="KOC278" s="1069"/>
      <c r="KOD278" s="1069"/>
      <c r="KOE278" s="1069"/>
      <c r="KOF278" s="1069"/>
      <c r="KOG278" s="1069"/>
      <c r="KOH278" s="1069"/>
      <c r="KOI278" s="1069"/>
      <c r="KOJ278" s="1069"/>
      <c r="KOK278" s="1069"/>
      <c r="KOL278" s="1069"/>
      <c r="KOM278" s="1069"/>
      <c r="KON278" s="1069"/>
      <c r="KOO278" s="1069"/>
      <c r="KOP278" s="1069"/>
      <c r="KOQ278" s="1069"/>
      <c r="KOR278" s="1069"/>
      <c r="KOS278" s="1069"/>
      <c r="KOT278" s="1069"/>
      <c r="KOU278" s="1069"/>
      <c r="KOV278" s="1069"/>
      <c r="KOW278" s="1069"/>
      <c r="KOX278" s="1069"/>
      <c r="KOY278" s="1069"/>
      <c r="KOZ278" s="1069"/>
      <c r="KPA278" s="1069"/>
      <c r="KPB278" s="1069"/>
      <c r="KPC278" s="1069"/>
      <c r="KPD278" s="1069"/>
      <c r="KPE278" s="1069"/>
      <c r="KPF278" s="1069"/>
      <c r="KPG278" s="1069"/>
      <c r="KPH278" s="1069"/>
      <c r="KPI278" s="1069"/>
      <c r="KPJ278" s="1069"/>
      <c r="KPK278" s="1069"/>
      <c r="KPL278" s="1069"/>
      <c r="KPM278" s="1069"/>
      <c r="KPN278" s="1069"/>
      <c r="KPO278" s="1069"/>
      <c r="KPP278" s="1069"/>
      <c r="KPQ278" s="1069"/>
      <c r="KPR278" s="1069"/>
      <c r="KPS278" s="1069"/>
      <c r="KPT278" s="1069"/>
      <c r="KPU278" s="1069"/>
      <c r="KPV278" s="1069"/>
      <c r="KPW278" s="1069"/>
      <c r="KPX278" s="1069"/>
      <c r="KPY278" s="1069"/>
      <c r="KPZ278" s="1069"/>
      <c r="KQA278" s="1069"/>
      <c r="KQB278" s="1069"/>
      <c r="KQC278" s="1069"/>
      <c r="KQD278" s="1069"/>
      <c r="KQE278" s="1069"/>
      <c r="KQF278" s="1069"/>
      <c r="KQG278" s="1069"/>
      <c r="KQH278" s="1069"/>
      <c r="KQI278" s="1069"/>
      <c r="KQJ278" s="1069"/>
      <c r="KQK278" s="1069"/>
      <c r="KQL278" s="1069"/>
      <c r="KQM278" s="1069"/>
      <c r="KQN278" s="1069"/>
      <c r="KQO278" s="1069"/>
      <c r="KQP278" s="1069"/>
      <c r="KQQ278" s="1069"/>
      <c r="KQR278" s="1069"/>
      <c r="KQS278" s="1069"/>
      <c r="KQT278" s="1069"/>
      <c r="KQU278" s="1069"/>
      <c r="KQV278" s="1069"/>
      <c r="KQW278" s="1069"/>
      <c r="KQX278" s="1069"/>
      <c r="KQY278" s="1069"/>
      <c r="KQZ278" s="1069"/>
      <c r="KRA278" s="1069"/>
      <c r="KRB278" s="1069"/>
      <c r="KRC278" s="1069"/>
      <c r="KRD278" s="1069"/>
      <c r="KRE278" s="1069"/>
      <c r="KRF278" s="1069"/>
      <c r="KRG278" s="1069"/>
      <c r="KRH278" s="1069"/>
      <c r="KRI278" s="1069"/>
      <c r="KRJ278" s="1069"/>
      <c r="KRK278" s="1069"/>
      <c r="KRL278" s="1069"/>
      <c r="KRM278" s="1069"/>
      <c r="KRN278" s="1069"/>
      <c r="KRO278" s="1069"/>
      <c r="KRP278" s="1069"/>
      <c r="KRQ278" s="1069"/>
      <c r="KRR278" s="1069"/>
      <c r="KRS278" s="1069"/>
      <c r="KRT278" s="1069"/>
      <c r="KRU278" s="1069"/>
      <c r="KRV278" s="1069"/>
      <c r="KRW278" s="1069"/>
      <c r="KRX278" s="1069"/>
      <c r="KRY278" s="1069"/>
      <c r="KRZ278" s="1069"/>
      <c r="KSA278" s="1069"/>
      <c r="KSB278" s="1069"/>
      <c r="KSC278" s="1069"/>
      <c r="KSD278" s="1069"/>
      <c r="KSE278" s="1069"/>
      <c r="KSF278" s="1069"/>
      <c r="KSG278" s="1069"/>
      <c r="KSH278" s="1069"/>
      <c r="KSI278" s="1069"/>
      <c r="KSJ278" s="1069"/>
      <c r="KSK278" s="1069"/>
      <c r="KSL278" s="1069"/>
      <c r="KSM278" s="1069"/>
      <c r="KSN278" s="1069"/>
      <c r="KSO278" s="1069"/>
      <c r="KSP278" s="1069"/>
      <c r="KSQ278" s="1069"/>
      <c r="KSR278" s="1069"/>
      <c r="KSS278" s="1069"/>
      <c r="KST278" s="1069"/>
      <c r="KSU278" s="1069"/>
      <c r="KSV278" s="1069"/>
      <c r="KSW278" s="1069"/>
      <c r="KSX278" s="1069"/>
      <c r="KSY278" s="1069"/>
      <c r="KSZ278" s="1069"/>
      <c r="KTA278" s="1069"/>
      <c r="KTB278" s="1069"/>
      <c r="KTC278" s="1069"/>
      <c r="KTD278" s="1069"/>
      <c r="KTE278" s="1069"/>
      <c r="KTF278" s="1069"/>
      <c r="KTG278" s="1069"/>
      <c r="KTH278" s="1069"/>
      <c r="KTI278" s="1069"/>
      <c r="KTJ278" s="1069"/>
      <c r="KTK278" s="1069"/>
      <c r="KTL278" s="1069"/>
      <c r="KTM278" s="1069"/>
      <c r="KTN278" s="1069"/>
      <c r="KTO278" s="1069"/>
      <c r="KTP278" s="1069"/>
      <c r="KTQ278" s="1069"/>
      <c r="KTR278" s="1069"/>
      <c r="KTS278" s="1069"/>
      <c r="KTT278" s="1069"/>
      <c r="KTU278" s="1069"/>
      <c r="KTV278" s="1069"/>
      <c r="KTW278" s="1069"/>
      <c r="KTX278" s="1069"/>
      <c r="KTY278" s="1069"/>
      <c r="KTZ278" s="1069"/>
      <c r="KUA278" s="1069"/>
      <c r="KUB278" s="1069"/>
      <c r="KUC278" s="1069"/>
      <c r="KUD278" s="1069"/>
      <c r="KUE278" s="1069"/>
      <c r="KUF278" s="1069"/>
      <c r="KUG278" s="1069"/>
      <c r="KUH278" s="1069"/>
      <c r="KUI278" s="1069"/>
      <c r="KUJ278" s="1069"/>
      <c r="KUK278" s="1069"/>
      <c r="KUL278" s="1069"/>
      <c r="KUM278" s="1069"/>
      <c r="KUN278" s="1069"/>
      <c r="KUO278" s="1069"/>
      <c r="KUP278" s="1069"/>
      <c r="KUQ278" s="1069"/>
      <c r="KUR278" s="1069"/>
      <c r="KUS278" s="1069"/>
      <c r="KUT278" s="1069"/>
      <c r="KUU278" s="1069"/>
      <c r="KUV278" s="1069"/>
      <c r="KUW278" s="1069"/>
      <c r="KUX278" s="1069"/>
      <c r="KUY278" s="1069"/>
      <c r="KUZ278" s="1069"/>
      <c r="KVA278" s="1069"/>
      <c r="KVB278" s="1069"/>
      <c r="KVC278" s="1069"/>
      <c r="KVD278" s="1069"/>
      <c r="KVE278" s="1069"/>
      <c r="KVF278" s="1069"/>
      <c r="KVG278" s="1069"/>
      <c r="KVH278" s="1069"/>
      <c r="KVI278" s="1069"/>
      <c r="KVJ278" s="1069"/>
      <c r="KVK278" s="1069"/>
      <c r="KVL278" s="1069"/>
      <c r="KVM278" s="1069"/>
      <c r="KVN278" s="1069"/>
      <c r="KVO278" s="1069"/>
      <c r="KVP278" s="1069"/>
      <c r="KVQ278" s="1069"/>
      <c r="KVR278" s="1069"/>
      <c r="KVS278" s="1069"/>
      <c r="KVT278" s="1069"/>
      <c r="KVU278" s="1069"/>
      <c r="KVV278" s="1069"/>
      <c r="KVW278" s="1069"/>
      <c r="KVX278" s="1069"/>
      <c r="KVY278" s="1069"/>
      <c r="KVZ278" s="1069"/>
      <c r="KWA278" s="1069"/>
      <c r="KWB278" s="1069"/>
      <c r="KWC278" s="1069"/>
      <c r="KWD278" s="1069"/>
      <c r="KWE278" s="1069"/>
      <c r="KWF278" s="1069"/>
      <c r="KWG278" s="1069"/>
      <c r="KWH278" s="1069"/>
      <c r="KWI278" s="1069"/>
      <c r="KWJ278" s="1069"/>
      <c r="KWK278" s="1069"/>
      <c r="KWL278" s="1069"/>
      <c r="KWM278" s="1069"/>
      <c r="KWN278" s="1069"/>
      <c r="KWO278" s="1069"/>
      <c r="KWP278" s="1069"/>
      <c r="KWQ278" s="1069"/>
      <c r="KWR278" s="1069"/>
      <c r="KWS278" s="1069"/>
      <c r="KWT278" s="1069"/>
      <c r="KWU278" s="1069"/>
      <c r="KWV278" s="1069"/>
      <c r="KWW278" s="1069"/>
      <c r="KWX278" s="1069"/>
      <c r="KWY278" s="1069"/>
      <c r="KWZ278" s="1069"/>
      <c r="KXA278" s="1069"/>
      <c r="KXB278" s="1069"/>
      <c r="KXC278" s="1069"/>
      <c r="KXD278" s="1069"/>
      <c r="KXE278" s="1069"/>
      <c r="KXF278" s="1069"/>
      <c r="KXG278" s="1069"/>
      <c r="KXH278" s="1069"/>
      <c r="KXI278" s="1069"/>
      <c r="KXJ278" s="1069"/>
      <c r="KXK278" s="1069"/>
      <c r="KXL278" s="1069"/>
      <c r="KXM278" s="1069"/>
      <c r="KXN278" s="1069"/>
      <c r="KXO278" s="1069"/>
      <c r="KXP278" s="1069"/>
      <c r="KXQ278" s="1069"/>
      <c r="KXR278" s="1069"/>
      <c r="KXS278" s="1069"/>
      <c r="KXT278" s="1069"/>
      <c r="KXU278" s="1069"/>
      <c r="KXV278" s="1069"/>
      <c r="KXW278" s="1069"/>
      <c r="KXX278" s="1069"/>
      <c r="KXY278" s="1069"/>
      <c r="KXZ278" s="1069"/>
      <c r="KYA278" s="1069"/>
      <c r="KYB278" s="1069"/>
      <c r="KYC278" s="1069"/>
      <c r="KYD278" s="1069"/>
      <c r="KYE278" s="1069"/>
      <c r="KYF278" s="1069"/>
      <c r="KYG278" s="1069"/>
      <c r="KYH278" s="1069"/>
      <c r="KYI278" s="1069"/>
      <c r="KYJ278" s="1069"/>
      <c r="KYK278" s="1069"/>
      <c r="KYL278" s="1069"/>
      <c r="KYM278" s="1069"/>
      <c r="KYN278" s="1069"/>
      <c r="KYO278" s="1069"/>
      <c r="KYP278" s="1069"/>
      <c r="KYQ278" s="1069"/>
      <c r="KYR278" s="1069"/>
      <c r="KYS278" s="1069"/>
      <c r="KYT278" s="1069"/>
      <c r="KYU278" s="1069"/>
      <c r="KYV278" s="1069"/>
      <c r="KYW278" s="1069"/>
      <c r="KYX278" s="1069"/>
      <c r="KYY278" s="1069"/>
      <c r="KYZ278" s="1069"/>
      <c r="KZA278" s="1069"/>
      <c r="KZB278" s="1069"/>
      <c r="KZC278" s="1069"/>
      <c r="KZD278" s="1069"/>
      <c r="KZE278" s="1069"/>
      <c r="KZF278" s="1069"/>
      <c r="KZG278" s="1069"/>
      <c r="KZH278" s="1069"/>
      <c r="KZI278" s="1069"/>
      <c r="KZJ278" s="1069"/>
      <c r="KZK278" s="1069"/>
      <c r="KZL278" s="1069"/>
      <c r="KZM278" s="1069"/>
      <c r="KZN278" s="1069"/>
      <c r="KZO278" s="1069"/>
      <c r="KZP278" s="1069"/>
      <c r="KZQ278" s="1069"/>
      <c r="KZR278" s="1069"/>
      <c r="KZS278" s="1069"/>
      <c r="KZT278" s="1069"/>
      <c r="KZU278" s="1069"/>
      <c r="KZV278" s="1069"/>
      <c r="KZW278" s="1069"/>
      <c r="KZX278" s="1069"/>
      <c r="KZY278" s="1069"/>
      <c r="KZZ278" s="1069"/>
      <c r="LAA278" s="1069"/>
      <c r="LAB278" s="1069"/>
      <c r="LAC278" s="1069"/>
      <c r="LAD278" s="1069"/>
      <c r="LAE278" s="1069"/>
      <c r="LAF278" s="1069"/>
      <c r="LAG278" s="1069"/>
      <c r="LAH278" s="1069"/>
      <c r="LAI278" s="1069"/>
      <c r="LAJ278" s="1069"/>
      <c r="LAK278" s="1069"/>
      <c r="LAL278" s="1069"/>
      <c r="LAM278" s="1069"/>
      <c r="LAN278" s="1069"/>
      <c r="LAO278" s="1069"/>
      <c r="LAP278" s="1069"/>
      <c r="LAQ278" s="1069"/>
      <c r="LAR278" s="1069"/>
      <c r="LAS278" s="1069"/>
      <c r="LAT278" s="1069"/>
      <c r="LAU278" s="1069"/>
      <c r="LAV278" s="1069"/>
      <c r="LAW278" s="1069"/>
      <c r="LAX278" s="1069"/>
      <c r="LAY278" s="1069"/>
      <c r="LAZ278" s="1069"/>
      <c r="LBA278" s="1069"/>
      <c r="LBB278" s="1069"/>
      <c r="LBC278" s="1069"/>
      <c r="LBD278" s="1069"/>
      <c r="LBE278" s="1069"/>
      <c r="LBF278" s="1069"/>
      <c r="LBG278" s="1069"/>
      <c r="LBH278" s="1069"/>
      <c r="LBI278" s="1069"/>
      <c r="LBJ278" s="1069"/>
      <c r="LBK278" s="1069"/>
      <c r="LBL278" s="1069"/>
      <c r="LBM278" s="1069"/>
      <c r="LBN278" s="1069"/>
      <c r="LBO278" s="1069"/>
      <c r="LBP278" s="1069"/>
      <c r="LBQ278" s="1069"/>
      <c r="LBR278" s="1069"/>
      <c r="LBS278" s="1069"/>
      <c r="LBT278" s="1069"/>
      <c r="LBU278" s="1069"/>
      <c r="LBV278" s="1069"/>
      <c r="LBW278" s="1069"/>
      <c r="LBX278" s="1069"/>
      <c r="LBY278" s="1069"/>
      <c r="LBZ278" s="1069"/>
      <c r="LCA278" s="1069"/>
      <c r="LCB278" s="1069"/>
      <c r="LCC278" s="1069"/>
      <c r="LCD278" s="1069"/>
      <c r="LCE278" s="1069"/>
      <c r="LCF278" s="1069"/>
      <c r="LCG278" s="1069"/>
      <c r="LCH278" s="1069"/>
      <c r="LCI278" s="1069"/>
      <c r="LCJ278" s="1069"/>
      <c r="LCK278" s="1069"/>
      <c r="LCL278" s="1069"/>
      <c r="LCM278" s="1069"/>
      <c r="LCN278" s="1069"/>
      <c r="LCO278" s="1069"/>
      <c r="LCP278" s="1069"/>
      <c r="LCQ278" s="1069"/>
      <c r="LCR278" s="1069"/>
      <c r="LCS278" s="1069"/>
      <c r="LCT278" s="1069"/>
      <c r="LCU278" s="1069"/>
      <c r="LCV278" s="1069"/>
      <c r="LCW278" s="1069"/>
      <c r="LCX278" s="1069"/>
      <c r="LCY278" s="1069"/>
      <c r="LCZ278" s="1069"/>
      <c r="LDA278" s="1069"/>
      <c r="LDB278" s="1069"/>
      <c r="LDC278" s="1069"/>
      <c r="LDD278" s="1069"/>
      <c r="LDE278" s="1069"/>
      <c r="LDF278" s="1069"/>
      <c r="LDG278" s="1069"/>
      <c r="LDH278" s="1069"/>
      <c r="LDI278" s="1069"/>
      <c r="LDJ278" s="1069"/>
      <c r="LDK278" s="1069"/>
      <c r="LDL278" s="1069"/>
      <c r="LDM278" s="1069"/>
      <c r="LDN278" s="1069"/>
      <c r="LDO278" s="1069"/>
      <c r="LDP278" s="1069"/>
      <c r="LDQ278" s="1069"/>
      <c r="LDR278" s="1069"/>
      <c r="LDS278" s="1069"/>
      <c r="LDT278" s="1069"/>
      <c r="LDU278" s="1069"/>
      <c r="LDV278" s="1069"/>
      <c r="LDW278" s="1069"/>
      <c r="LDX278" s="1069"/>
      <c r="LDY278" s="1069"/>
      <c r="LDZ278" s="1069"/>
      <c r="LEA278" s="1069"/>
      <c r="LEB278" s="1069"/>
      <c r="LEC278" s="1069"/>
      <c r="LED278" s="1069"/>
      <c r="LEE278" s="1069"/>
      <c r="LEF278" s="1069"/>
      <c r="LEG278" s="1069"/>
      <c r="LEH278" s="1069"/>
      <c r="LEI278" s="1069"/>
      <c r="LEJ278" s="1069"/>
      <c r="LEK278" s="1069"/>
      <c r="LEL278" s="1069"/>
      <c r="LEM278" s="1069"/>
      <c r="LEN278" s="1069"/>
      <c r="LEO278" s="1069"/>
      <c r="LEP278" s="1069"/>
      <c r="LEQ278" s="1069"/>
      <c r="LER278" s="1069"/>
      <c r="LES278" s="1069"/>
      <c r="LET278" s="1069"/>
      <c r="LEU278" s="1069"/>
      <c r="LEV278" s="1069"/>
      <c r="LEW278" s="1069"/>
      <c r="LEX278" s="1069"/>
      <c r="LEY278" s="1069"/>
      <c r="LEZ278" s="1069"/>
      <c r="LFA278" s="1069"/>
      <c r="LFB278" s="1069"/>
      <c r="LFC278" s="1069"/>
      <c r="LFD278" s="1069"/>
      <c r="LFE278" s="1069"/>
      <c r="LFF278" s="1069"/>
      <c r="LFG278" s="1069"/>
      <c r="LFH278" s="1069"/>
      <c r="LFI278" s="1069"/>
      <c r="LFJ278" s="1069"/>
      <c r="LFK278" s="1069"/>
      <c r="LFL278" s="1069"/>
      <c r="LFM278" s="1069"/>
      <c r="LFN278" s="1069"/>
      <c r="LFO278" s="1069"/>
      <c r="LFP278" s="1069"/>
      <c r="LFQ278" s="1069"/>
      <c r="LFR278" s="1069"/>
      <c r="LFS278" s="1069"/>
      <c r="LFT278" s="1069"/>
      <c r="LFU278" s="1069"/>
      <c r="LFV278" s="1069"/>
      <c r="LFW278" s="1069"/>
      <c r="LFX278" s="1069"/>
      <c r="LFY278" s="1069"/>
      <c r="LFZ278" s="1069"/>
      <c r="LGA278" s="1069"/>
      <c r="LGB278" s="1069"/>
      <c r="LGC278" s="1069"/>
      <c r="LGD278" s="1069"/>
      <c r="LGE278" s="1069"/>
      <c r="LGF278" s="1069"/>
      <c r="LGG278" s="1069"/>
      <c r="LGH278" s="1069"/>
      <c r="LGI278" s="1069"/>
      <c r="LGJ278" s="1069"/>
      <c r="LGK278" s="1069"/>
      <c r="LGL278" s="1069"/>
      <c r="LGM278" s="1069"/>
      <c r="LGN278" s="1069"/>
      <c r="LGO278" s="1069"/>
      <c r="LGP278" s="1069"/>
      <c r="LGQ278" s="1069"/>
      <c r="LGR278" s="1069"/>
      <c r="LGS278" s="1069"/>
      <c r="LGT278" s="1069"/>
      <c r="LGU278" s="1069"/>
      <c r="LGV278" s="1069"/>
      <c r="LGW278" s="1069"/>
      <c r="LGX278" s="1069"/>
      <c r="LGY278" s="1069"/>
      <c r="LGZ278" s="1069"/>
      <c r="LHA278" s="1069"/>
      <c r="LHB278" s="1069"/>
      <c r="LHC278" s="1069"/>
      <c r="LHD278" s="1069"/>
      <c r="LHE278" s="1069"/>
      <c r="LHF278" s="1069"/>
      <c r="LHG278" s="1069"/>
      <c r="LHH278" s="1069"/>
      <c r="LHI278" s="1069"/>
      <c r="LHJ278" s="1069"/>
      <c r="LHK278" s="1069"/>
      <c r="LHL278" s="1069"/>
      <c r="LHM278" s="1069"/>
      <c r="LHN278" s="1069"/>
      <c r="LHO278" s="1069"/>
      <c r="LHP278" s="1069"/>
      <c r="LHQ278" s="1069"/>
      <c r="LHR278" s="1069"/>
      <c r="LHS278" s="1069"/>
      <c r="LHT278" s="1069"/>
      <c r="LHU278" s="1069"/>
      <c r="LHV278" s="1069"/>
      <c r="LHW278" s="1069"/>
      <c r="LHX278" s="1069"/>
      <c r="LHY278" s="1069"/>
      <c r="LHZ278" s="1069"/>
      <c r="LIA278" s="1069"/>
      <c r="LIB278" s="1069"/>
      <c r="LIC278" s="1069"/>
      <c r="LID278" s="1069"/>
      <c r="LIE278" s="1069"/>
      <c r="LIF278" s="1069"/>
      <c r="LIG278" s="1069"/>
      <c r="LIH278" s="1069"/>
      <c r="LII278" s="1069"/>
      <c r="LIJ278" s="1069"/>
      <c r="LIK278" s="1069"/>
      <c r="LIL278" s="1069"/>
      <c r="LIM278" s="1069"/>
      <c r="LIN278" s="1069"/>
      <c r="LIO278" s="1069"/>
      <c r="LIP278" s="1069"/>
      <c r="LIQ278" s="1069"/>
      <c r="LIR278" s="1069"/>
      <c r="LIS278" s="1069"/>
      <c r="LIT278" s="1069"/>
      <c r="LIU278" s="1069"/>
      <c r="LIV278" s="1069"/>
      <c r="LIW278" s="1069"/>
      <c r="LIX278" s="1069"/>
      <c r="LIY278" s="1069"/>
      <c r="LIZ278" s="1069"/>
      <c r="LJA278" s="1069"/>
      <c r="LJB278" s="1069"/>
      <c r="LJC278" s="1069"/>
      <c r="LJD278" s="1069"/>
      <c r="LJE278" s="1069"/>
      <c r="LJF278" s="1069"/>
      <c r="LJG278" s="1069"/>
      <c r="LJH278" s="1069"/>
      <c r="LJI278" s="1069"/>
      <c r="LJJ278" s="1069"/>
      <c r="LJK278" s="1069"/>
      <c r="LJL278" s="1069"/>
      <c r="LJM278" s="1069"/>
      <c r="LJN278" s="1069"/>
      <c r="LJO278" s="1069"/>
      <c r="LJP278" s="1069"/>
      <c r="LJQ278" s="1069"/>
      <c r="LJR278" s="1069"/>
      <c r="LJS278" s="1069"/>
      <c r="LJT278" s="1069"/>
      <c r="LJU278" s="1069"/>
      <c r="LJV278" s="1069"/>
      <c r="LJW278" s="1069"/>
      <c r="LJX278" s="1069"/>
      <c r="LJY278" s="1069"/>
      <c r="LJZ278" s="1069"/>
      <c r="LKA278" s="1069"/>
      <c r="LKB278" s="1069"/>
      <c r="LKC278" s="1069"/>
      <c r="LKD278" s="1069"/>
      <c r="LKE278" s="1069"/>
      <c r="LKF278" s="1069"/>
      <c r="LKG278" s="1069"/>
      <c r="LKH278" s="1069"/>
      <c r="LKI278" s="1069"/>
      <c r="LKJ278" s="1069"/>
      <c r="LKK278" s="1069"/>
      <c r="LKL278" s="1069"/>
      <c r="LKM278" s="1069"/>
      <c r="LKN278" s="1069"/>
      <c r="LKO278" s="1069"/>
      <c r="LKP278" s="1069"/>
      <c r="LKQ278" s="1069"/>
      <c r="LKR278" s="1069"/>
      <c r="LKS278" s="1069"/>
      <c r="LKT278" s="1069"/>
      <c r="LKU278" s="1069"/>
      <c r="LKV278" s="1069"/>
      <c r="LKW278" s="1069"/>
      <c r="LKX278" s="1069"/>
      <c r="LKY278" s="1069"/>
      <c r="LKZ278" s="1069"/>
      <c r="LLA278" s="1069"/>
      <c r="LLB278" s="1069"/>
      <c r="LLC278" s="1069"/>
      <c r="LLD278" s="1069"/>
      <c r="LLE278" s="1069"/>
      <c r="LLF278" s="1069"/>
      <c r="LLG278" s="1069"/>
      <c r="LLH278" s="1069"/>
      <c r="LLI278" s="1069"/>
      <c r="LLJ278" s="1069"/>
      <c r="LLK278" s="1069"/>
      <c r="LLL278" s="1069"/>
      <c r="LLM278" s="1069"/>
      <c r="LLN278" s="1069"/>
      <c r="LLO278" s="1069"/>
      <c r="LLP278" s="1069"/>
      <c r="LLQ278" s="1069"/>
      <c r="LLR278" s="1069"/>
      <c r="LLS278" s="1069"/>
      <c r="LLT278" s="1069"/>
      <c r="LLU278" s="1069"/>
      <c r="LLV278" s="1069"/>
      <c r="LLW278" s="1069"/>
      <c r="LLX278" s="1069"/>
      <c r="LLY278" s="1069"/>
      <c r="LLZ278" s="1069"/>
      <c r="LMA278" s="1069"/>
      <c r="LMB278" s="1069"/>
      <c r="LMC278" s="1069"/>
      <c r="LMD278" s="1069"/>
      <c r="LME278" s="1069"/>
      <c r="LMF278" s="1069"/>
      <c r="LMG278" s="1069"/>
      <c r="LMH278" s="1069"/>
      <c r="LMI278" s="1069"/>
      <c r="LMJ278" s="1069"/>
      <c r="LMK278" s="1069"/>
      <c r="LML278" s="1069"/>
      <c r="LMM278" s="1069"/>
      <c r="LMN278" s="1069"/>
      <c r="LMO278" s="1069"/>
      <c r="LMP278" s="1069"/>
      <c r="LMQ278" s="1069"/>
      <c r="LMR278" s="1069"/>
      <c r="LMS278" s="1069"/>
      <c r="LMT278" s="1069"/>
      <c r="LMU278" s="1069"/>
      <c r="LMV278" s="1069"/>
      <c r="LMW278" s="1069"/>
      <c r="LMX278" s="1069"/>
      <c r="LMY278" s="1069"/>
      <c r="LMZ278" s="1069"/>
      <c r="LNA278" s="1069"/>
      <c r="LNB278" s="1069"/>
      <c r="LNC278" s="1069"/>
      <c r="LND278" s="1069"/>
      <c r="LNE278" s="1069"/>
      <c r="LNF278" s="1069"/>
      <c r="LNG278" s="1069"/>
      <c r="LNH278" s="1069"/>
      <c r="LNI278" s="1069"/>
      <c r="LNJ278" s="1069"/>
      <c r="LNK278" s="1069"/>
      <c r="LNL278" s="1069"/>
      <c r="LNM278" s="1069"/>
      <c r="LNN278" s="1069"/>
      <c r="LNO278" s="1069"/>
      <c r="LNP278" s="1069"/>
      <c r="LNQ278" s="1069"/>
      <c r="LNR278" s="1069"/>
      <c r="LNS278" s="1069"/>
      <c r="LNT278" s="1069"/>
      <c r="LNU278" s="1069"/>
      <c r="LNV278" s="1069"/>
      <c r="LNW278" s="1069"/>
      <c r="LNX278" s="1069"/>
      <c r="LNY278" s="1069"/>
      <c r="LNZ278" s="1069"/>
      <c r="LOA278" s="1069"/>
      <c r="LOB278" s="1069"/>
      <c r="LOC278" s="1069"/>
      <c r="LOD278" s="1069"/>
      <c r="LOE278" s="1069"/>
      <c r="LOF278" s="1069"/>
      <c r="LOG278" s="1069"/>
      <c r="LOH278" s="1069"/>
      <c r="LOI278" s="1069"/>
      <c r="LOJ278" s="1069"/>
      <c r="LOK278" s="1069"/>
      <c r="LOL278" s="1069"/>
      <c r="LOM278" s="1069"/>
      <c r="LON278" s="1069"/>
      <c r="LOO278" s="1069"/>
      <c r="LOP278" s="1069"/>
      <c r="LOQ278" s="1069"/>
      <c r="LOR278" s="1069"/>
      <c r="LOS278" s="1069"/>
      <c r="LOT278" s="1069"/>
      <c r="LOU278" s="1069"/>
      <c r="LOV278" s="1069"/>
      <c r="LOW278" s="1069"/>
      <c r="LOX278" s="1069"/>
      <c r="LOY278" s="1069"/>
      <c r="LOZ278" s="1069"/>
      <c r="LPA278" s="1069"/>
      <c r="LPB278" s="1069"/>
      <c r="LPC278" s="1069"/>
      <c r="LPD278" s="1069"/>
      <c r="LPE278" s="1069"/>
      <c r="LPF278" s="1069"/>
      <c r="LPG278" s="1069"/>
      <c r="LPH278" s="1069"/>
      <c r="LPI278" s="1069"/>
      <c r="LPJ278" s="1069"/>
      <c r="LPK278" s="1069"/>
      <c r="LPL278" s="1069"/>
      <c r="LPM278" s="1069"/>
      <c r="LPN278" s="1069"/>
      <c r="LPO278" s="1069"/>
      <c r="LPP278" s="1069"/>
      <c r="LPQ278" s="1069"/>
      <c r="LPR278" s="1069"/>
      <c r="LPS278" s="1069"/>
      <c r="LPT278" s="1069"/>
      <c r="LPU278" s="1069"/>
      <c r="LPV278" s="1069"/>
      <c r="LPW278" s="1069"/>
      <c r="LPX278" s="1069"/>
      <c r="LPY278" s="1069"/>
      <c r="LPZ278" s="1069"/>
      <c r="LQA278" s="1069"/>
      <c r="LQB278" s="1069"/>
      <c r="LQC278" s="1069"/>
      <c r="LQD278" s="1069"/>
      <c r="LQE278" s="1069"/>
      <c r="LQF278" s="1069"/>
      <c r="LQG278" s="1069"/>
      <c r="LQH278" s="1069"/>
      <c r="LQI278" s="1069"/>
      <c r="LQJ278" s="1069"/>
      <c r="LQK278" s="1069"/>
      <c r="LQL278" s="1069"/>
      <c r="LQM278" s="1069"/>
      <c r="LQN278" s="1069"/>
      <c r="LQO278" s="1069"/>
      <c r="LQP278" s="1069"/>
      <c r="LQQ278" s="1069"/>
      <c r="LQR278" s="1069"/>
      <c r="LQS278" s="1069"/>
      <c r="LQT278" s="1069"/>
      <c r="LQU278" s="1069"/>
      <c r="LQV278" s="1069"/>
      <c r="LQW278" s="1069"/>
      <c r="LQX278" s="1069"/>
      <c r="LQY278" s="1069"/>
      <c r="LQZ278" s="1069"/>
      <c r="LRA278" s="1069"/>
      <c r="LRB278" s="1069"/>
      <c r="LRC278" s="1069"/>
      <c r="LRD278" s="1069"/>
      <c r="LRE278" s="1069"/>
      <c r="LRF278" s="1069"/>
      <c r="LRG278" s="1069"/>
      <c r="LRH278" s="1069"/>
      <c r="LRI278" s="1069"/>
      <c r="LRJ278" s="1069"/>
      <c r="LRK278" s="1069"/>
      <c r="LRL278" s="1069"/>
      <c r="LRM278" s="1069"/>
      <c r="LRN278" s="1069"/>
      <c r="LRO278" s="1069"/>
      <c r="LRP278" s="1069"/>
      <c r="LRQ278" s="1069"/>
      <c r="LRR278" s="1069"/>
      <c r="LRS278" s="1069"/>
      <c r="LRT278" s="1069"/>
      <c r="LRU278" s="1069"/>
      <c r="LRV278" s="1069"/>
      <c r="LRW278" s="1069"/>
      <c r="LRX278" s="1069"/>
      <c r="LRY278" s="1069"/>
      <c r="LRZ278" s="1069"/>
      <c r="LSA278" s="1069"/>
      <c r="LSB278" s="1069"/>
      <c r="LSC278" s="1069"/>
      <c r="LSD278" s="1069"/>
      <c r="LSE278" s="1069"/>
      <c r="LSF278" s="1069"/>
      <c r="LSG278" s="1069"/>
      <c r="LSH278" s="1069"/>
      <c r="LSI278" s="1069"/>
      <c r="LSJ278" s="1069"/>
      <c r="LSK278" s="1069"/>
      <c r="LSL278" s="1069"/>
      <c r="LSM278" s="1069"/>
      <c r="LSN278" s="1069"/>
      <c r="LSO278" s="1069"/>
      <c r="LSP278" s="1069"/>
      <c r="LSQ278" s="1069"/>
      <c r="LSR278" s="1069"/>
      <c r="LSS278" s="1069"/>
      <c r="LST278" s="1069"/>
      <c r="LSU278" s="1069"/>
      <c r="LSV278" s="1069"/>
      <c r="LSW278" s="1069"/>
      <c r="LSX278" s="1069"/>
      <c r="LSY278" s="1069"/>
      <c r="LSZ278" s="1069"/>
      <c r="LTA278" s="1069"/>
      <c r="LTB278" s="1069"/>
      <c r="LTC278" s="1069"/>
      <c r="LTD278" s="1069"/>
      <c r="LTE278" s="1069"/>
      <c r="LTF278" s="1069"/>
      <c r="LTG278" s="1069"/>
      <c r="LTH278" s="1069"/>
      <c r="LTI278" s="1069"/>
      <c r="LTJ278" s="1069"/>
      <c r="LTK278" s="1069"/>
      <c r="LTL278" s="1069"/>
      <c r="LTM278" s="1069"/>
      <c r="LTN278" s="1069"/>
      <c r="LTO278" s="1069"/>
      <c r="LTP278" s="1069"/>
      <c r="LTQ278" s="1069"/>
      <c r="LTR278" s="1069"/>
      <c r="LTS278" s="1069"/>
      <c r="LTT278" s="1069"/>
      <c r="LTU278" s="1069"/>
      <c r="LTV278" s="1069"/>
      <c r="LTW278" s="1069"/>
      <c r="LTX278" s="1069"/>
      <c r="LTY278" s="1069"/>
      <c r="LTZ278" s="1069"/>
      <c r="LUA278" s="1069"/>
      <c r="LUB278" s="1069"/>
      <c r="LUC278" s="1069"/>
      <c r="LUD278" s="1069"/>
      <c r="LUE278" s="1069"/>
      <c r="LUF278" s="1069"/>
      <c r="LUG278" s="1069"/>
      <c r="LUH278" s="1069"/>
      <c r="LUI278" s="1069"/>
      <c r="LUJ278" s="1069"/>
      <c r="LUK278" s="1069"/>
      <c r="LUL278" s="1069"/>
      <c r="LUM278" s="1069"/>
      <c r="LUN278" s="1069"/>
      <c r="LUO278" s="1069"/>
      <c r="LUP278" s="1069"/>
      <c r="LUQ278" s="1069"/>
      <c r="LUR278" s="1069"/>
      <c r="LUS278" s="1069"/>
      <c r="LUT278" s="1069"/>
      <c r="LUU278" s="1069"/>
      <c r="LUV278" s="1069"/>
      <c r="LUW278" s="1069"/>
      <c r="LUX278" s="1069"/>
      <c r="LUY278" s="1069"/>
      <c r="LUZ278" s="1069"/>
      <c r="LVA278" s="1069"/>
      <c r="LVB278" s="1069"/>
      <c r="LVC278" s="1069"/>
      <c r="LVD278" s="1069"/>
      <c r="LVE278" s="1069"/>
      <c r="LVF278" s="1069"/>
      <c r="LVG278" s="1069"/>
      <c r="LVH278" s="1069"/>
      <c r="LVI278" s="1069"/>
      <c r="LVJ278" s="1069"/>
      <c r="LVK278" s="1069"/>
      <c r="LVL278" s="1069"/>
      <c r="LVM278" s="1069"/>
      <c r="LVN278" s="1069"/>
      <c r="LVO278" s="1069"/>
      <c r="LVP278" s="1069"/>
      <c r="LVQ278" s="1069"/>
      <c r="LVR278" s="1069"/>
      <c r="LVS278" s="1069"/>
      <c r="LVT278" s="1069"/>
      <c r="LVU278" s="1069"/>
      <c r="LVV278" s="1069"/>
      <c r="LVW278" s="1069"/>
      <c r="LVX278" s="1069"/>
      <c r="LVY278" s="1069"/>
      <c r="LVZ278" s="1069"/>
      <c r="LWA278" s="1069"/>
      <c r="LWB278" s="1069"/>
      <c r="LWC278" s="1069"/>
      <c r="LWD278" s="1069"/>
      <c r="LWE278" s="1069"/>
      <c r="LWF278" s="1069"/>
      <c r="LWG278" s="1069"/>
      <c r="LWH278" s="1069"/>
      <c r="LWI278" s="1069"/>
      <c r="LWJ278" s="1069"/>
      <c r="LWK278" s="1069"/>
      <c r="LWL278" s="1069"/>
      <c r="LWM278" s="1069"/>
      <c r="LWN278" s="1069"/>
      <c r="LWO278" s="1069"/>
      <c r="LWP278" s="1069"/>
      <c r="LWQ278" s="1069"/>
      <c r="LWR278" s="1069"/>
      <c r="LWS278" s="1069"/>
      <c r="LWT278" s="1069"/>
      <c r="LWU278" s="1069"/>
      <c r="LWV278" s="1069"/>
      <c r="LWW278" s="1069"/>
      <c r="LWX278" s="1069"/>
      <c r="LWY278" s="1069"/>
      <c r="LWZ278" s="1069"/>
      <c r="LXA278" s="1069"/>
      <c r="LXB278" s="1069"/>
      <c r="LXC278" s="1069"/>
      <c r="LXD278" s="1069"/>
      <c r="LXE278" s="1069"/>
      <c r="LXF278" s="1069"/>
      <c r="LXG278" s="1069"/>
      <c r="LXH278" s="1069"/>
      <c r="LXI278" s="1069"/>
      <c r="LXJ278" s="1069"/>
      <c r="LXK278" s="1069"/>
      <c r="LXL278" s="1069"/>
      <c r="LXM278" s="1069"/>
      <c r="LXN278" s="1069"/>
      <c r="LXO278" s="1069"/>
      <c r="LXP278" s="1069"/>
      <c r="LXQ278" s="1069"/>
      <c r="LXR278" s="1069"/>
      <c r="LXS278" s="1069"/>
      <c r="LXT278" s="1069"/>
      <c r="LXU278" s="1069"/>
      <c r="LXV278" s="1069"/>
      <c r="LXW278" s="1069"/>
      <c r="LXX278" s="1069"/>
      <c r="LXY278" s="1069"/>
      <c r="LXZ278" s="1069"/>
      <c r="LYA278" s="1069"/>
      <c r="LYB278" s="1069"/>
      <c r="LYC278" s="1069"/>
      <c r="LYD278" s="1069"/>
      <c r="LYE278" s="1069"/>
      <c r="LYF278" s="1069"/>
      <c r="LYG278" s="1069"/>
      <c r="LYH278" s="1069"/>
      <c r="LYI278" s="1069"/>
      <c r="LYJ278" s="1069"/>
      <c r="LYK278" s="1069"/>
      <c r="LYL278" s="1069"/>
      <c r="LYM278" s="1069"/>
      <c r="LYN278" s="1069"/>
      <c r="LYO278" s="1069"/>
      <c r="LYP278" s="1069"/>
      <c r="LYQ278" s="1069"/>
      <c r="LYR278" s="1069"/>
      <c r="LYS278" s="1069"/>
      <c r="LYT278" s="1069"/>
      <c r="LYU278" s="1069"/>
      <c r="LYV278" s="1069"/>
      <c r="LYW278" s="1069"/>
      <c r="LYX278" s="1069"/>
      <c r="LYY278" s="1069"/>
      <c r="LYZ278" s="1069"/>
      <c r="LZA278" s="1069"/>
      <c r="LZB278" s="1069"/>
      <c r="LZC278" s="1069"/>
      <c r="LZD278" s="1069"/>
      <c r="LZE278" s="1069"/>
      <c r="LZF278" s="1069"/>
      <c r="LZG278" s="1069"/>
      <c r="LZH278" s="1069"/>
      <c r="LZI278" s="1069"/>
      <c r="LZJ278" s="1069"/>
      <c r="LZK278" s="1069"/>
      <c r="LZL278" s="1069"/>
      <c r="LZM278" s="1069"/>
      <c r="LZN278" s="1069"/>
      <c r="LZO278" s="1069"/>
      <c r="LZP278" s="1069"/>
      <c r="LZQ278" s="1069"/>
      <c r="LZR278" s="1069"/>
      <c r="LZS278" s="1069"/>
      <c r="LZT278" s="1069"/>
      <c r="LZU278" s="1069"/>
      <c r="LZV278" s="1069"/>
      <c r="LZW278" s="1069"/>
      <c r="LZX278" s="1069"/>
      <c r="LZY278" s="1069"/>
      <c r="LZZ278" s="1069"/>
      <c r="MAA278" s="1069"/>
      <c r="MAB278" s="1069"/>
      <c r="MAC278" s="1069"/>
      <c r="MAD278" s="1069"/>
      <c r="MAE278" s="1069"/>
      <c r="MAF278" s="1069"/>
      <c r="MAG278" s="1069"/>
      <c r="MAH278" s="1069"/>
      <c r="MAI278" s="1069"/>
      <c r="MAJ278" s="1069"/>
      <c r="MAK278" s="1069"/>
      <c r="MAL278" s="1069"/>
      <c r="MAM278" s="1069"/>
      <c r="MAN278" s="1069"/>
      <c r="MAO278" s="1069"/>
      <c r="MAP278" s="1069"/>
      <c r="MAQ278" s="1069"/>
      <c r="MAR278" s="1069"/>
      <c r="MAS278" s="1069"/>
      <c r="MAT278" s="1069"/>
      <c r="MAU278" s="1069"/>
      <c r="MAV278" s="1069"/>
      <c r="MAW278" s="1069"/>
      <c r="MAX278" s="1069"/>
      <c r="MAY278" s="1069"/>
      <c r="MAZ278" s="1069"/>
      <c r="MBA278" s="1069"/>
      <c r="MBB278" s="1069"/>
      <c r="MBC278" s="1069"/>
      <c r="MBD278" s="1069"/>
      <c r="MBE278" s="1069"/>
      <c r="MBF278" s="1069"/>
      <c r="MBG278" s="1069"/>
      <c r="MBH278" s="1069"/>
      <c r="MBI278" s="1069"/>
      <c r="MBJ278" s="1069"/>
      <c r="MBK278" s="1069"/>
      <c r="MBL278" s="1069"/>
      <c r="MBM278" s="1069"/>
      <c r="MBN278" s="1069"/>
      <c r="MBO278" s="1069"/>
      <c r="MBP278" s="1069"/>
      <c r="MBQ278" s="1069"/>
      <c r="MBR278" s="1069"/>
      <c r="MBS278" s="1069"/>
      <c r="MBT278" s="1069"/>
      <c r="MBU278" s="1069"/>
      <c r="MBV278" s="1069"/>
      <c r="MBW278" s="1069"/>
      <c r="MBX278" s="1069"/>
      <c r="MBY278" s="1069"/>
      <c r="MBZ278" s="1069"/>
      <c r="MCA278" s="1069"/>
      <c r="MCB278" s="1069"/>
      <c r="MCC278" s="1069"/>
      <c r="MCD278" s="1069"/>
      <c r="MCE278" s="1069"/>
      <c r="MCF278" s="1069"/>
      <c r="MCG278" s="1069"/>
      <c r="MCH278" s="1069"/>
      <c r="MCI278" s="1069"/>
      <c r="MCJ278" s="1069"/>
      <c r="MCK278" s="1069"/>
      <c r="MCL278" s="1069"/>
      <c r="MCM278" s="1069"/>
      <c r="MCN278" s="1069"/>
      <c r="MCO278" s="1069"/>
      <c r="MCP278" s="1069"/>
      <c r="MCQ278" s="1069"/>
      <c r="MCR278" s="1069"/>
      <c r="MCS278" s="1069"/>
      <c r="MCT278" s="1069"/>
      <c r="MCU278" s="1069"/>
      <c r="MCV278" s="1069"/>
      <c r="MCW278" s="1069"/>
      <c r="MCX278" s="1069"/>
      <c r="MCY278" s="1069"/>
      <c r="MCZ278" s="1069"/>
      <c r="MDA278" s="1069"/>
      <c r="MDB278" s="1069"/>
      <c r="MDC278" s="1069"/>
      <c r="MDD278" s="1069"/>
      <c r="MDE278" s="1069"/>
      <c r="MDF278" s="1069"/>
      <c r="MDG278" s="1069"/>
      <c r="MDH278" s="1069"/>
      <c r="MDI278" s="1069"/>
      <c r="MDJ278" s="1069"/>
      <c r="MDK278" s="1069"/>
      <c r="MDL278" s="1069"/>
      <c r="MDM278" s="1069"/>
      <c r="MDN278" s="1069"/>
      <c r="MDO278" s="1069"/>
      <c r="MDP278" s="1069"/>
      <c r="MDQ278" s="1069"/>
      <c r="MDR278" s="1069"/>
      <c r="MDS278" s="1069"/>
      <c r="MDT278" s="1069"/>
      <c r="MDU278" s="1069"/>
      <c r="MDV278" s="1069"/>
      <c r="MDW278" s="1069"/>
      <c r="MDX278" s="1069"/>
      <c r="MDY278" s="1069"/>
      <c r="MDZ278" s="1069"/>
      <c r="MEA278" s="1069"/>
      <c r="MEB278" s="1069"/>
      <c r="MEC278" s="1069"/>
      <c r="MED278" s="1069"/>
      <c r="MEE278" s="1069"/>
      <c r="MEF278" s="1069"/>
      <c r="MEG278" s="1069"/>
      <c r="MEH278" s="1069"/>
      <c r="MEI278" s="1069"/>
      <c r="MEJ278" s="1069"/>
      <c r="MEK278" s="1069"/>
      <c r="MEL278" s="1069"/>
      <c r="MEM278" s="1069"/>
      <c r="MEN278" s="1069"/>
      <c r="MEO278" s="1069"/>
      <c r="MEP278" s="1069"/>
      <c r="MEQ278" s="1069"/>
      <c r="MER278" s="1069"/>
      <c r="MES278" s="1069"/>
      <c r="MET278" s="1069"/>
      <c r="MEU278" s="1069"/>
      <c r="MEV278" s="1069"/>
      <c r="MEW278" s="1069"/>
      <c r="MEX278" s="1069"/>
      <c r="MEY278" s="1069"/>
      <c r="MEZ278" s="1069"/>
      <c r="MFA278" s="1069"/>
      <c r="MFB278" s="1069"/>
      <c r="MFC278" s="1069"/>
      <c r="MFD278" s="1069"/>
      <c r="MFE278" s="1069"/>
      <c r="MFF278" s="1069"/>
      <c r="MFG278" s="1069"/>
      <c r="MFH278" s="1069"/>
      <c r="MFI278" s="1069"/>
      <c r="MFJ278" s="1069"/>
      <c r="MFK278" s="1069"/>
      <c r="MFL278" s="1069"/>
      <c r="MFM278" s="1069"/>
      <c r="MFN278" s="1069"/>
      <c r="MFO278" s="1069"/>
      <c r="MFP278" s="1069"/>
      <c r="MFQ278" s="1069"/>
      <c r="MFR278" s="1069"/>
      <c r="MFS278" s="1069"/>
      <c r="MFT278" s="1069"/>
      <c r="MFU278" s="1069"/>
      <c r="MFV278" s="1069"/>
      <c r="MFW278" s="1069"/>
      <c r="MFX278" s="1069"/>
      <c r="MFY278" s="1069"/>
      <c r="MFZ278" s="1069"/>
      <c r="MGA278" s="1069"/>
      <c r="MGB278" s="1069"/>
      <c r="MGC278" s="1069"/>
      <c r="MGD278" s="1069"/>
      <c r="MGE278" s="1069"/>
      <c r="MGF278" s="1069"/>
      <c r="MGG278" s="1069"/>
      <c r="MGH278" s="1069"/>
      <c r="MGI278" s="1069"/>
      <c r="MGJ278" s="1069"/>
      <c r="MGK278" s="1069"/>
      <c r="MGL278" s="1069"/>
      <c r="MGM278" s="1069"/>
      <c r="MGN278" s="1069"/>
      <c r="MGO278" s="1069"/>
      <c r="MGP278" s="1069"/>
      <c r="MGQ278" s="1069"/>
      <c r="MGR278" s="1069"/>
      <c r="MGS278" s="1069"/>
      <c r="MGT278" s="1069"/>
      <c r="MGU278" s="1069"/>
      <c r="MGV278" s="1069"/>
      <c r="MGW278" s="1069"/>
      <c r="MGX278" s="1069"/>
      <c r="MGY278" s="1069"/>
      <c r="MGZ278" s="1069"/>
      <c r="MHA278" s="1069"/>
      <c r="MHB278" s="1069"/>
      <c r="MHC278" s="1069"/>
      <c r="MHD278" s="1069"/>
      <c r="MHE278" s="1069"/>
      <c r="MHF278" s="1069"/>
      <c r="MHG278" s="1069"/>
      <c r="MHH278" s="1069"/>
      <c r="MHI278" s="1069"/>
      <c r="MHJ278" s="1069"/>
      <c r="MHK278" s="1069"/>
      <c r="MHL278" s="1069"/>
      <c r="MHM278" s="1069"/>
      <c r="MHN278" s="1069"/>
      <c r="MHO278" s="1069"/>
      <c r="MHP278" s="1069"/>
      <c r="MHQ278" s="1069"/>
      <c r="MHR278" s="1069"/>
      <c r="MHS278" s="1069"/>
      <c r="MHT278" s="1069"/>
      <c r="MHU278" s="1069"/>
      <c r="MHV278" s="1069"/>
      <c r="MHW278" s="1069"/>
      <c r="MHX278" s="1069"/>
      <c r="MHY278" s="1069"/>
      <c r="MHZ278" s="1069"/>
      <c r="MIA278" s="1069"/>
      <c r="MIB278" s="1069"/>
      <c r="MIC278" s="1069"/>
      <c r="MID278" s="1069"/>
      <c r="MIE278" s="1069"/>
      <c r="MIF278" s="1069"/>
      <c r="MIG278" s="1069"/>
      <c r="MIH278" s="1069"/>
      <c r="MII278" s="1069"/>
      <c r="MIJ278" s="1069"/>
      <c r="MIK278" s="1069"/>
      <c r="MIL278" s="1069"/>
      <c r="MIM278" s="1069"/>
      <c r="MIN278" s="1069"/>
      <c r="MIO278" s="1069"/>
      <c r="MIP278" s="1069"/>
      <c r="MIQ278" s="1069"/>
      <c r="MIR278" s="1069"/>
      <c r="MIS278" s="1069"/>
      <c r="MIT278" s="1069"/>
      <c r="MIU278" s="1069"/>
      <c r="MIV278" s="1069"/>
      <c r="MIW278" s="1069"/>
      <c r="MIX278" s="1069"/>
      <c r="MIY278" s="1069"/>
      <c r="MIZ278" s="1069"/>
      <c r="MJA278" s="1069"/>
      <c r="MJB278" s="1069"/>
      <c r="MJC278" s="1069"/>
      <c r="MJD278" s="1069"/>
      <c r="MJE278" s="1069"/>
      <c r="MJF278" s="1069"/>
      <c r="MJG278" s="1069"/>
      <c r="MJH278" s="1069"/>
      <c r="MJI278" s="1069"/>
      <c r="MJJ278" s="1069"/>
      <c r="MJK278" s="1069"/>
      <c r="MJL278" s="1069"/>
      <c r="MJM278" s="1069"/>
      <c r="MJN278" s="1069"/>
      <c r="MJO278" s="1069"/>
      <c r="MJP278" s="1069"/>
      <c r="MJQ278" s="1069"/>
      <c r="MJR278" s="1069"/>
      <c r="MJS278" s="1069"/>
      <c r="MJT278" s="1069"/>
      <c r="MJU278" s="1069"/>
      <c r="MJV278" s="1069"/>
      <c r="MJW278" s="1069"/>
      <c r="MJX278" s="1069"/>
      <c r="MJY278" s="1069"/>
      <c r="MJZ278" s="1069"/>
      <c r="MKA278" s="1069"/>
      <c r="MKB278" s="1069"/>
      <c r="MKC278" s="1069"/>
      <c r="MKD278" s="1069"/>
      <c r="MKE278" s="1069"/>
      <c r="MKF278" s="1069"/>
      <c r="MKG278" s="1069"/>
      <c r="MKH278" s="1069"/>
      <c r="MKI278" s="1069"/>
      <c r="MKJ278" s="1069"/>
      <c r="MKK278" s="1069"/>
      <c r="MKL278" s="1069"/>
      <c r="MKM278" s="1069"/>
      <c r="MKN278" s="1069"/>
      <c r="MKO278" s="1069"/>
      <c r="MKP278" s="1069"/>
      <c r="MKQ278" s="1069"/>
      <c r="MKR278" s="1069"/>
      <c r="MKS278" s="1069"/>
      <c r="MKT278" s="1069"/>
      <c r="MKU278" s="1069"/>
      <c r="MKV278" s="1069"/>
      <c r="MKW278" s="1069"/>
      <c r="MKX278" s="1069"/>
      <c r="MKY278" s="1069"/>
      <c r="MKZ278" s="1069"/>
      <c r="MLA278" s="1069"/>
      <c r="MLB278" s="1069"/>
      <c r="MLC278" s="1069"/>
      <c r="MLD278" s="1069"/>
      <c r="MLE278" s="1069"/>
      <c r="MLF278" s="1069"/>
      <c r="MLG278" s="1069"/>
      <c r="MLH278" s="1069"/>
      <c r="MLI278" s="1069"/>
      <c r="MLJ278" s="1069"/>
      <c r="MLK278" s="1069"/>
      <c r="MLL278" s="1069"/>
      <c r="MLM278" s="1069"/>
      <c r="MLN278" s="1069"/>
      <c r="MLO278" s="1069"/>
      <c r="MLP278" s="1069"/>
      <c r="MLQ278" s="1069"/>
      <c r="MLR278" s="1069"/>
      <c r="MLS278" s="1069"/>
      <c r="MLT278" s="1069"/>
      <c r="MLU278" s="1069"/>
      <c r="MLV278" s="1069"/>
      <c r="MLW278" s="1069"/>
      <c r="MLX278" s="1069"/>
      <c r="MLY278" s="1069"/>
      <c r="MLZ278" s="1069"/>
      <c r="MMA278" s="1069"/>
      <c r="MMB278" s="1069"/>
      <c r="MMC278" s="1069"/>
      <c r="MMD278" s="1069"/>
      <c r="MME278" s="1069"/>
      <c r="MMF278" s="1069"/>
      <c r="MMG278" s="1069"/>
      <c r="MMH278" s="1069"/>
      <c r="MMI278" s="1069"/>
      <c r="MMJ278" s="1069"/>
      <c r="MMK278" s="1069"/>
      <c r="MML278" s="1069"/>
      <c r="MMM278" s="1069"/>
      <c r="MMN278" s="1069"/>
      <c r="MMO278" s="1069"/>
      <c r="MMP278" s="1069"/>
      <c r="MMQ278" s="1069"/>
      <c r="MMR278" s="1069"/>
      <c r="MMS278" s="1069"/>
      <c r="MMT278" s="1069"/>
      <c r="MMU278" s="1069"/>
      <c r="MMV278" s="1069"/>
      <c r="MMW278" s="1069"/>
      <c r="MMX278" s="1069"/>
      <c r="MMY278" s="1069"/>
      <c r="MMZ278" s="1069"/>
      <c r="MNA278" s="1069"/>
      <c r="MNB278" s="1069"/>
      <c r="MNC278" s="1069"/>
      <c r="MND278" s="1069"/>
      <c r="MNE278" s="1069"/>
      <c r="MNF278" s="1069"/>
      <c r="MNG278" s="1069"/>
      <c r="MNH278" s="1069"/>
      <c r="MNI278" s="1069"/>
      <c r="MNJ278" s="1069"/>
      <c r="MNK278" s="1069"/>
      <c r="MNL278" s="1069"/>
      <c r="MNM278" s="1069"/>
      <c r="MNN278" s="1069"/>
      <c r="MNO278" s="1069"/>
      <c r="MNP278" s="1069"/>
      <c r="MNQ278" s="1069"/>
      <c r="MNR278" s="1069"/>
      <c r="MNS278" s="1069"/>
      <c r="MNT278" s="1069"/>
      <c r="MNU278" s="1069"/>
      <c r="MNV278" s="1069"/>
      <c r="MNW278" s="1069"/>
      <c r="MNX278" s="1069"/>
      <c r="MNY278" s="1069"/>
      <c r="MNZ278" s="1069"/>
      <c r="MOA278" s="1069"/>
      <c r="MOB278" s="1069"/>
      <c r="MOC278" s="1069"/>
      <c r="MOD278" s="1069"/>
      <c r="MOE278" s="1069"/>
      <c r="MOF278" s="1069"/>
      <c r="MOG278" s="1069"/>
      <c r="MOH278" s="1069"/>
      <c r="MOI278" s="1069"/>
      <c r="MOJ278" s="1069"/>
      <c r="MOK278" s="1069"/>
      <c r="MOL278" s="1069"/>
      <c r="MOM278" s="1069"/>
      <c r="MON278" s="1069"/>
      <c r="MOO278" s="1069"/>
      <c r="MOP278" s="1069"/>
      <c r="MOQ278" s="1069"/>
      <c r="MOR278" s="1069"/>
      <c r="MOS278" s="1069"/>
      <c r="MOT278" s="1069"/>
      <c r="MOU278" s="1069"/>
      <c r="MOV278" s="1069"/>
      <c r="MOW278" s="1069"/>
      <c r="MOX278" s="1069"/>
      <c r="MOY278" s="1069"/>
      <c r="MOZ278" s="1069"/>
      <c r="MPA278" s="1069"/>
      <c r="MPB278" s="1069"/>
      <c r="MPC278" s="1069"/>
      <c r="MPD278" s="1069"/>
      <c r="MPE278" s="1069"/>
      <c r="MPF278" s="1069"/>
      <c r="MPG278" s="1069"/>
      <c r="MPH278" s="1069"/>
      <c r="MPI278" s="1069"/>
      <c r="MPJ278" s="1069"/>
      <c r="MPK278" s="1069"/>
      <c r="MPL278" s="1069"/>
      <c r="MPM278" s="1069"/>
      <c r="MPN278" s="1069"/>
      <c r="MPO278" s="1069"/>
      <c r="MPP278" s="1069"/>
      <c r="MPQ278" s="1069"/>
      <c r="MPR278" s="1069"/>
      <c r="MPS278" s="1069"/>
      <c r="MPT278" s="1069"/>
      <c r="MPU278" s="1069"/>
      <c r="MPV278" s="1069"/>
      <c r="MPW278" s="1069"/>
      <c r="MPX278" s="1069"/>
      <c r="MPY278" s="1069"/>
      <c r="MPZ278" s="1069"/>
      <c r="MQA278" s="1069"/>
      <c r="MQB278" s="1069"/>
      <c r="MQC278" s="1069"/>
      <c r="MQD278" s="1069"/>
      <c r="MQE278" s="1069"/>
      <c r="MQF278" s="1069"/>
      <c r="MQG278" s="1069"/>
      <c r="MQH278" s="1069"/>
      <c r="MQI278" s="1069"/>
      <c r="MQJ278" s="1069"/>
      <c r="MQK278" s="1069"/>
      <c r="MQL278" s="1069"/>
      <c r="MQM278" s="1069"/>
      <c r="MQN278" s="1069"/>
      <c r="MQO278" s="1069"/>
      <c r="MQP278" s="1069"/>
      <c r="MQQ278" s="1069"/>
      <c r="MQR278" s="1069"/>
      <c r="MQS278" s="1069"/>
      <c r="MQT278" s="1069"/>
      <c r="MQU278" s="1069"/>
      <c r="MQV278" s="1069"/>
      <c r="MQW278" s="1069"/>
      <c r="MQX278" s="1069"/>
      <c r="MQY278" s="1069"/>
      <c r="MQZ278" s="1069"/>
      <c r="MRA278" s="1069"/>
      <c r="MRB278" s="1069"/>
      <c r="MRC278" s="1069"/>
      <c r="MRD278" s="1069"/>
      <c r="MRE278" s="1069"/>
      <c r="MRF278" s="1069"/>
      <c r="MRG278" s="1069"/>
      <c r="MRH278" s="1069"/>
      <c r="MRI278" s="1069"/>
      <c r="MRJ278" s="1069"/>
      <c r="MRK278" s="1069"/>
      <c r="MRL278" s="1069"/>
      <c r="MRM278" s="1069"/>
      <c r="MRN278" s="1069"/>
      <c r="MRO278" s="1069"/>
      <c r="MRP278" s="1069"/>
      <c r="MRQ278" s="1069"/>
      <c r="MRR278" s="1069"/>
      <c r="MRS278" s="1069"/>
      <c r="MRT278" s="1069"/>
      <c r="MRU278" s="1069"/>
      <c r="MRV278" s="1069"/>
      <c r="MRW278" s="1069"/>
      <c r="MRX278" s="1069"/>
      <c r="MRY278" s="1069"/>
      <c r="MRZ278" s="1069"/>
      <c r="MSA278" s="1069"/>
      <c r="MSB278" s="1069"/>
      <c r="MSC278" s="1069"/>
      <c r="MSD278" s="1069"/>
      <c r="MSE278" s="1069"/>
      <c r="MSF278" s="1069"/>
      <c r="MSG278" s="1069"/>
      <c r="MSH278" s="1069"/>
      <c r="MSI278" s="1069"/>
      <c r="MSJ278" s="1069"/>
      <c r="MSK278" s="1069"/>
      <c r="MSL278" s="1069"/>
      <c r="MSM278" s="1069"/>
      <c r="MSN278" s="1069"/>
      <c r="MSO278" s="1069"/>
      <c r="MSP278" s="1069"/>
      <c r="MSQ278" s="1069"/>
      <c r="MSR278" s="1069"/>
      <c r="MSS278" s="1069"/>
      <c r="MST278" s="1069"/>
      <c r="MSU278" s="1069"/>
      <c r="MSV278" s="1069"/>
      <c r="MSW278" s="1069"/>
      <c r="MSX278" s="1069"/>
      <c r="MSY278" s="1069"/>
      <c r="MSZ278" s="1069"/>
      <c r="MTA278" s="1069"/>
      <c r="MTB278" s="1069"/>
      <c r="MTC278" s="1069"/>
      <c r="MTD278" s="1069"/>
      <c r="MTE278" s="1069"/>
      <c r="MTF278" s="1069"/>
      <c r="MTG278" s="1069"/>
      <c r="MTH278" s="1069"/>
      <c r="MTI278" s="1069"/>
      <c r="MTJ278" s="1069"/>
      <c r="MTK278" s="1069"/>
      <c r="MTL278" s="1069"/>
      <c r="MTM278" s="1069"/>
      <c r="MTN278" s="1069"/>
      <c r="MTO278" s="1069"/>
      <c r="MTP278" s="1069"/>
      <c r="MTQ278" s="1069"/>
      <c r="MTR278" s="1069"/>
      <c r="MTS278" s="1069"/>
      <c r="MTT278" s="1069"/>
      <c r="MTU278" s="1069"/>
      <c r="MTV278" s="1069"/>
      <c r="MTW278" s="1069"/>
      <c r="MTX278" s="1069"/>
      <c r="MTY278" s="1069"/>
      <c r="MTZ278" s="1069"/>
      <c r="MUA278" s="1069"/>
      <c r="MUB278" s="1069"/>
      <c r="MUC278" s="1069"/>
      <c r="MUD278" s="1069"/>
      <c r="MUE278" s="1069"/>
      <c r="MUF278" s="1069"/>
      <c r="MUG278" s="1069"/>
      <c r="MUH278" s="1069"/>
      <c r="MUI278" s="1069"/>
      <c r="MUJ278" s="1069"/>
      <c r="MUK278" s="1069"/>
      <c r="MUL278" s="1069"/>
      <c r="MUM278" s="1069"/>
      <c r="MUN278" s="1069"/>
      <c r="MUO278" s="1069"/>
      <c r="MUP278" s="1069"/>
      <c r="MUQ278" s="1069"/>
      <c r="MUR278" s="1069"/>
      <c r="MUS278" s="1069"/>
      <c r="MUT278" s="1069"/>
      <c r="MUU278" s="1069"/>
      <c r="MUV278" s="1069"/>
      <c r="MUW278" s="1069"/>
      <c r="MUX278" s="1069"/>
      <c r="MUY278" s="1069"/>
      <c r="MUZ278" s="1069"/>
      <c r="MVA278" s="1069"/>
      <c r="MVB278" s="1069"/>
      <c r="MVC278" s="1069"/>
      <c r="MVD278" s="1069"/>
      <c r="MVE278" s="1069"/>
      <c r="MVF278" s="1069"/>
      <c r="MVG278" s="1069"/>
      <c r="MVH278" s="1069"/>
      <c r="MVI278" s="1069"/>
      <c r="MVJ278" s="1069"/>
      <c r="MVK278" s="1069"/>
      <c r="MVL278" s="1069"/>
      <c r="MVM278" s="1069"/>
      <c r="MVN278" s="1069"/>
      <c r="MVO278" s="1069"/>
      <c r="MVP278" s="1069"/>
      <c r="MVQ278" s="1069"/>
      <c r="MVR278" s="1069"/>
      <c r="MVS278" s="1069"/>
      <c r="MVT278" s="1069"/>
      <c r="MVU278" s="1069"/>
      <c r="MVV278" s="1069"/>
      <c r="MVW278" s="1069"/>
      <c r="MVX278" s="1069"/>
      <c r="MVY278" s="1069"/>
      <c r="MVZ278" s="1069"/>
      <c r="MWA278" s="1069"/>
      <c r="MWB278" s="1069"/>
      <c r="MWC278" s="1069"/>
      <c r="MWD278" s="1069"/>
      <c r="MWE278" s="1069"/>
      <c r="MWF278" s="1069"/>
      <c r="MWG278" s="1069"/>
      <c r="MWH278" s="1069"/>
      <c r="MWI278" s="1069"/>
      <c r="MWJ278" s="1069"/>
      <c r="MWK278" s="1069"/>
      <c r="MWL278" s="1069"/>
      <c r="MWM278" s="1069"/>
      <c r="MWN278" s="1069"/>
      <c r="MWO278" s="1069"/>
      <c r="MWP278" s="1069"/>
      <c r="MWQ278" s="1069"/>
      <c r="MWR278" s="1069"/>
      <c r="MWS278" s="1069"/>
      <c r="MWT278" s="1069"/>
      <c r="MWU278" s="1069"/>
      <c r="MWV278" s="1069"/>
      <c r="MWW278" s="1069"/>
      <c r="MWX278" s="1069"/>
      <c r="MWY278" s="1069"/>
      <c r="MWZ278" s="1069"/>
      <c r="MXA278" s="1069"/>
      <c r="MXB278" s="1069"/>
      <c r="MXC278" s="1069"/>
      <c r="MXD278" s="1069"/>
      <c r="MXE278" s="1069"/>
      <c r="MXF278" s="1069"/>
      <c r="MXG278" s="1069"/>
      <c r="MXH278" s="1069"/>
      <c r="MXI278" s="1069"/>
      <c r="MXJ278" s="1069"/>
      <c r="MXK278" s="1069"/>
      <c r="MXL278" s="1069"/>
      <c r="MXM278" s="1069"/>
      <c r="MXN278" s="1069"/>
      <c r="MXO278" s="1069"/>
      <c r="MXP278" s="1069"/>
      <c r="MXQ278" s="1069"/>
      <c r="MXR278" s="1069"/>
      <c r="MXS278" s="1069"/>
      <c r="MXT278" s="1069"/>
      <c r="MXU278" s="1069"/>
      <c r="MXV278" s="1069"/>
      <c r="MXW278" s="1069"/>
      <c r="MXX278" s="1069"/>
      <c r="MXY278" s="1069"/>
      <c r="MXZ278" s="1069"/>
      <c r="MYA278" s="1069"/>
      <c r="MYB278" s="1069"/>
      <c r="MYC278" s="1069"/>
      <c r="MYD278" s="1069"/>
      <c r="MYE278" s="1069"/>
      <c r="MYF278" s="1069"/>
      <c r="MYG278" s="1069"/>
      <c r="MYH278" s="1069"/>
      <c r="MYI278" s="1069"/>
      <c r="MYJ278" s="1069"/>
      <c r="MYK278" s="1069"/>
      <c r="MYL278" s="1069"/>
      <c r="MYM278" s="1069"/>
      <c r="MYN278" s="1069"/>
      <c r="MYO278" s="1069"/>
      <c r="MYP278" s="1069"/>
      <c r="MYQ278" s="1069"/>
      <c r="MYR278" s="1069"/>
      <c r="MYS278" s="1069"/>
      <c r="MYT278" s="1069"/>
      <c r="MYU278" s="1069"/>
      <c r="MYV278" s="1069"/>
      <c r="MYW278" s="1069"/>
      <c r="MYX278" s="1069"/>
      <c r="MYY278" s="1069"/>
      <c r="MYZ278" s="1069"/>
      <c r="MZA278" s="1069"/>
      <c r="MZB278" s="1069"/>
      <c r="MZC278" s="1069"/>
      <c r="MZD278" s="1069"/>
      <c r="MZE278" s="1069"/>
      <c r="MZF278" s="1069"/>
      <c r="MZG278" s="1069"/>
      <c r="MZH278" s="1069"/>
      <c r="MZI278" s="1069"/>
      <c r="MZJ278" s="1069"/>
      <c r="MZK278" s="1069"/>
      <c r="MZL278" s="1069"/>
      <c r="MZM278" s="1069"/>
      <c r="MZN278" s="1069"/>
      <c r="MZO278" s="1069"/>
      <c r="MZP278" s="1069"/>
      <c r="MZQ278" s="1069"/>
      <c r="MZR278" s="1069"/>
      <c r="MZS278" s="1069"/>
      <c r="MZT278" s="1069"/>
      <c r="MZU278" s="1069"/>
      <c r="MZV278" s="1069"/>
      <c r="MZW278" s="1069"/>
      <c r="MZX278" s="1069"/>
      <c r="MZY278" s="1069"/>
      <c r="MZZ278" s="1069"/>
      <c r="NAA278" s="1069"/>
      <c r="NAB278" s="1069"/>
      <c r="NAC278" s="1069"/>
      <c r="NAD278" s="1069"/>
      <c r="NAE278" s="1069"/>
      <c r="NAF278" s="1069"/>
      <c r="NAG278" s="1069"/>
      <c r="NAH278" s="1069"/>
      <c r="NAI278" s="1069"/>
      <c r="NAJ278" s="1069"/>
      <c r="NAK278" s="1069"/>
      <c r="NAL278" s="1069"/>
      <c r="NAM278" s="1069"/>
      <c r="NAN278" s="1069"/>
      <c r="NAO278" s="1069"/>
      <c r="NAP278" s="1069"/>
      <c r="NAQ278" s="1069"/>
      <c r="NAR278" s="1069"/>
      <c r="NAS278" s="1069"/>
      <c r="NAT278" s="1069"/>
      <c r="NAU278" s="1069"/>
      <c r="NAV278" s="1069"/>
      <c r="NAW278" s="1069"/>
      <c r="NAX278" s="1069"/>
      <c r="NAY278" s="1069"/>
      <c r="NAZ278" s="1069"/>
      <c r="NBA278" s="1069"/>
      <c r="NBB278" s="1069"/>
      <c r="NBC278" s="1069"/>
      <c r="NBD278" s="1069"/>
      <c r="NBE278" s="1069"/>
      <c r="NBF278" s="1069"/>
      <c r="NBG278" s="1069"/>
      <c r="NBH278" s="1069"/>
      <c r="NBI278" s="1069"/>
      <c r="NBJ278" s="1069"/>
      <c r="NBK278" s="1069"/>
      <c r="NBL278" s="1069"/>
      <c r="NBM278" s="1069"/>
      <c r="NBN278" s="1069"/>
      <c r="NBO278" s="1069"/>
      <c r="NBP278" s="1069"/>
      <c r="NBQ278" s="1069"/>
      <c r="NBR278" s="1069"/>
      <c r="NBS278" s="1069"/>
      <c r="NBT278" s="1069"/>
      <c r="NBU278" s="1069"/>
      <c r="NBV278" s="1069"/>
      <c r="NBW278" s="1069"/>
      <c r="NBX278" s="1069"/>
      <c r="NBY278" s="1069"/>
      <c r="NBZ278" s="1069"/>
      <c r="NCA278" s="1069"/>
      <c r="NCB278" s="1069"/>
      <c r="NCC278" s="1069"/>
      <c r="NCD278" s="1069"/>
      <c r="NCE278" s="1069"/>
      <c r="NCF278" s="1069"/>
      <c r="NCG278" s="1069"/>
      <c r="NCH278" s="1069"/>
      <c r="NCI278" s="1069"/>
      <c r="NCJ278" s="1069"/>
      <c r="NCK278" s="1069"/>
      <c r="NCL278" s="1069"/>
      <c r="NCM278" s="1069"/>
      <c r="NCN278" s="1069"/>
      <c r="NCO278" s="1069"/>
      <c r="NCP278" s="1069"/>
      <c r="NCQ278" s="1069"/>
      <c r="NCR278" s="1069"/>
      <c r="NCS278" s="1069"/>
      <c r="NCT278" s="1069"/>
      <c r="NCU278" s="1069"/>
      <c r="NCV278" s="1069"/>
      <c r="NCW278" s="1069"/>
      <c r="NCX278" s="1069"/>
      <c r="NCY278" s="1069"/>
      <c r="NCZ278" s="1069"/>
      <c r="NDA278" s="1069"/>
      <c r="NDB278" s="1069"/>
      <c r="NDC278" s="1069"/>
      <c r="NDD278" s="1069"/>
      <c r="NDE278" s="1069"/>
      <c r="NDF278" s="1069"/>
      <c r="NDG278" s="1069"/>
      <c r="NDH278" s="1069"/>
      <c r="NDI278" s="1069"/>
      <c r="NDJ278" s="1069"/>
      <c r="NDK278" s="1069"/>
      <c r="NDL278" s="1069"/>
      <c r="NDM278" s="1069"/>
      <c r="NDN278" s="1069"/>
      <c r="NDO278" s="1069"/>
      <c r="NDP278" s="1069"/>
      <c r="NDQ278" s="1069"/>
      <c r="NDR278" s="1069"/>
      <c r="NDS278" s="1069"/>
      <c r="NDT278" s="1069"/>
      <c r="NDU278" s="1069"/>
      <c r="NDV278" s="1069"/>
      <c r="NDW278" s="1069"/>
      <c r="NDX278" s="1069"/>
      <c r="NDY278" s="1069"/>
      <c r="NDZ278" s="1069"/>
      <c r="NEA278" s="1069"/>
      <c r="NEB278" s="1069"/>
      <c r="NEC278" s="1069"/>
      <c r="NED278" s="1069"/>
      <c r="NEE278" s="1069"/>
      <c r="NEF278" s="1069"/>
      <c r="NEG278" s="1069"/>
      <c r="NEH278" s="1069"/>
      <c r="NEI278" s="1069"/>
      <c r="NEJ278" s="1069"/>
      <c r="NEK278" s="1069"/>
      <c r="NEL278" s="1069"/>
      <c r="NEM278" s="1069"/>
      <c r="NEN278" s="1069"/>
      <c r="NEO278" s="1069"/>
      <c r="NEP278" s="1069"/>
      <c r="NEQ278" s="1069"/>
      <c r="NER278" s="1069"/>
      <c r="NES278" s="1069"/>
      <c r="NET278" s="1069"/>
      <c r="NEU278" s="1069"/>
      <c r="NEV278" s="1069"/>
      <c r="NEW278" s="1069"/>
      <c r="NEX278" s="1069"/>
      <c r="NEY278" s="1069"/>
      <c r="NEZ278" s="1069"/>
      <c r="NFA278" s="1069"/>
      <c r="NFB278" s="1069"/>
      <c r="NFC278" s="1069"/>
      <c r="NFD278" s="1069"/>
      <c r="NFE278" s="1069"/>
      <c r="NFF278" s="1069"/>
      <c r="NFG278" s="1069"/>
      <c r="NFH278" s="1069"/>
      <c r="NFI278" s="1069"/>
      <c r="NFJ278" s="1069"/>
      <c r="NFK278" s="1069"/>
      <c r="NFL278" s="1069"/>
      <c r="NFM278" s="1069"/>
      <c r="NFN278" s="1069"/>
      <c r="NFO278" s="1069"/>
      <c r="NFP278" s="1069"/>
      <c r="NFQ278" s="1069"/>
      <c r="NFR278" s="1069"/>
      <c r="NFS278" s="1069"/>
      <c r="NFT278" s="1069"/>
      <c r="NFU278" s="1069"/>
      <c r="NFV278" s="1069"/>
      <c r="NFW278" s="1069"/>
      <c r="NFX278" s="1069"/>
      <c r="NFY278" s="1069"/>
      <c r="NFZ278" s="1069"/>
      <c r="NGA278" s="1069"/>
      <c r="NGB278" s="1069"/>
      <c r="NGC278" s="1069"/>
      <c r="NGD278" s="1069"/>
      <c r="NGE278" s="1069"/>
      <c r="NGF278" s="1069"/>
      <c r="NGG278" s="1069"/>
      <c r="NGH278" s="1069"/>
      <c r="NGI278" s="1069"/>
      <c r="NGJ278" s="1069"/>
      <c r="NGK278" s="1069"/>
      <c r="NGL278" s="1069"/>
      <c r="NGM278" s="1069"/>
      <c r="NGN278" s="1069"/>
      <c r="NGO278" s="1069"/>
      <c r="NGP278" s="1069"/>
      <c r="NGQ278" s="1069"/>
      <c r="NGR278" s="1069"/>
      <c r="NGS278" s="1069"/>
      <c r="NGT278" s="1069"/>
      <c r="NGU278" s="1069"/>
      <c r="NGV278" s="1069"/>
      <c r="NGW278" s="1069"/>
      <c r="NGX278" s="1069"/>
      <c r="NGY278" s="1069"/>
      <c r="NGZ278" s="1069"/>
      <c r="NHA278" s="1069"/>
      <c r="NHB278" s="1069"/>
      <c r="NHC278" s="1069"/>
      <c r="NHD278" s="1069"/>
      <c r="NHE278" s="1069"/>
      <c r="NHF278" s="1069"/>
      <c r="NHG278" s="1069"/>
      <c r="NHH278" s="1069"/>
      <c r="NHI278" s="1069"/>
      <c r="NHJ278" s="1069"/>
      <c r="NHK278" s="1069"/>
      <c r="NHL278" s="1069"/>
      <c r="NHM278" s="1069"/>
      <c r="NHN278" s="1069"/>
      <c r="NHO278" s="1069"/>
      <c r="NHP278" s="1069"/>
      <c r="NHQ278" s="1069"/>
      <c r="NHR278" s="1069"/>
      <c r="NHS278" s="1069"/>
      <c r="NHT278" s="1069"/>
      <c r="NHU278" s="1069"/>
      <c r="NHV278" s="1069"/>
      <c r="NHW278" s="1069"/>
      <c r="NHX278" s="1069"/>
      <c r="NHY278" s="1069"/>
      <c r="NHZ278" s="1069"/>
      <c r="NIA278" s="1069"/>
      <c r="NIB278" s="1069"/>
      <c r="NIC278" s="1069"/>
      <c r="NID278" s="1069"/>
      <c r="NIE278" s="1069"/>
      <c r="NIF278" s="1069"/>
      <c r="NIG278" s="1069"/>
      <c r="NIH278" s="1069"/>
      <c r="NII278" s="1069"/>
      <c r="NIJ278" s="1069"/>
      <c r="NIK278" s="1069"/>
      <c r="NIL278" s="1069"/>
      <c r="NIM278" s="1069"/>
      <c r="NIN278" s="1069"/>
      <c r="NIO278" s="1069"/>
      <c r="NIP278" s="1069"/>
      <c r="NIQ278" s="1069"/>
      <c r="NIR278" s="1069"/>
      <c r="NIS278" s="1069"/>
      <c r="NIT278" s="1069"/>
      <c r="NIU278" s="1069"/>
      <c r="NIV278" s="1069"/>
      <c r="NIW278" s="1069"/>
      <c r="NIX278" s="1069"/>
      <c r="NIY278" s="1069"/>
      <c r="NIZ278" s="1069"/>
      <c r="NJA278" s="1069"/>
      <c r="NJB278" s="1069"/>
      <c r="NJC278" s="1069"/>
      <c r="NJD278" s="1069"/>
      <c r="NJE278" s="1069"/>
      <c r="NJF278" s="1069"/>
      <c r="NJG278" s="1069"/>
      <c r="NJH278" s="1069"/>
      <c r="NJI278" s="1069"/>
      <c r="NJJ278" s="1069"/>
      <c r="NJK278" s="1069"/>
      <c r="NJL278" s="1069"/>
      <c r="NJM278" s="1069"/>
      <c r="NJN278" s="1069"/>
      <c r="NJO278" s="1069"/>
      <c r="NJP278" s="1069"/>
      <c r="NJQ278" s="1069"/>
      <c r="NJR278" s="1069"/>
      <c r="NJS278" s="1069"/>
      <c r="NJT278" s="1069"/>
      <c r="NJU278" s="1069"/>
      <c r="NJV278" s="1069"/>
      <c r="NJW278" s="1069"/>
      <c r="NJX278" s="1069"/>
      <c r="NJY278" s="1069"/>
      <c r="NJZ278" s="1069"/>
      <c r="NKA278" s="1069"/>
      <c r="NKB278" s="1069"/>
      <c r="NKC278" s="1069"/>
      <c r="NKD278" s="1069"/>
      <c r="NKE278" s="1069"/>
      <c r="NKF278" s="1069"/>
      <c r="NKG278" s="1069"/>
      <c r="NKH278" s="1069"/>
      <c r="NKI278" s="1069"/>
      <c r="NKJ278" s="1069"/>
      <c r="NKK278" s="1069"/>
      <c r="NKL278" s="1069"/>
      <c r="NKM278" s="1069"/>
      <c r="NKN278" s="1069"/>
      <c r="NKO278" s="1069"/>
      <c r="NKP278" s="1069"/>
      <c r="NKQ278" s="1069"/>
      <c r="NKR278" s="1069"/>
      <c r="NKS278" s="1069"/>
      <c r="NKT278" s="1069"/>
      <c r="NKU278" s="1069"/>
      <c r="NKV278" s="1069"/>
      <c r="NKW278" s="1069"/>
      <c r="NKX278" s="1069"/>
      <c r="NKY278" s="1069"/>
      <c r="NKZ278" s="1069"/>
      <c r="NLA278" s="1069"/>
      <c r="NLB278" s="1069"/>
      <c r="NLC278" s="1069"/>
      <c r="NLD278" s="1069"/>
      <c r="NLE278" s="1069"/>
      <c r="NLF278" s="1069"/>
      <c r="NLG278" s="1069"/>
      <c r="NLH278" s="1069"/>
      <c r="NLI278" s="1069"/>
      <c r="NLJ278" s="1069"/>
      <c r="NLK278" s="1069"/>
      <c r="NLL278" s="1069"/>
      <c r="NLM278" s="1069"/>
      <c r="NLN278" s="1069"/>
      <c r="NLO278" s="1069"/>
      <c r="NLP278" s="1069"/>
      <c r="NLQ278" s="1069"/>
      <c r="NLR278" s="1069"/>
      <c r="NLS278" s="1069"/>
      <c r="NLT278" s="1069"/>
      <c r="NLU278" s="1069"/>
      <c r="NLV278" s="1069"/>
      <c r="NLW278" s="1069"/>
      <c r="NLX278" s="1069"/>
      <c r="NLY278" s="1069"/>
      <c r="NLZ278" s="1069"/>
      <c r="NMA278" s="1069"/>
      <c r="NMB278" s="1069"/>
      <c r="NMC278" s="1069"/>
      <c r="NMD278" s="1069"/>
      <c r="NME278" s="1069"/>
      <c r="NMF278" s="1069"/>
      <c r="NMG278" s="1069"/>
      <c r="NMH278" s="1069"/>
      <c r="NMI278" s="1069"/>
      <c r="NMJ278" s="1069"/>
      <c r="NMK278" s="1069"/>
      <c r="NML278" s="1069"/>
      <c r="NMM278" s="1069"/>
      <c r="NMN278" s="1069"/>
      <c r="NMO278" s="1069"/>
      <c r="NMP278" s="1069"/>
      <c r="NMQ278" s="1069"/>
      <c r="NMR278" s="1069"/>
      <c r="NMS278" s="1069"/>
      <c r="NMT278" s="1069"/>
      <c r="NMU278" s="1069"/>
      <c r="NMV278" s="1069"/>
      <c r="NMW278" s="1069"/>
      <c r="NMX278" s="1069"/>
      <c r="NMY278" s="1069"/>
      <c r="NMZ278" s="1069"/>
      <c r="NNA278" s="1069"/>
      <c r="NNB278" s="1069"/>
      <c r="NNC278" s="1069"/>
      <c r="NND278" s="1069"/>
      <c r="NNE278" s="1069"/>
      <c r="NNF278" s="1069"/>
      <c r="NNG278" s="1069"/>
      <c r="NNH278" s="1069"/>
      <c r="NNI278" s="1069"/>
      <c r="NNJ278" s="1069"/>
      <c r="NNK278" s="1069"/>
      <c r="NNL278" s="1069"/>
      <c r="NNM278" s="1069"/>
      <c r="NNN278" s="1069"/>
      <c r="NNO278" s="1069"/>
      <c r="NNP278" s="1069"/>
      <c r="NNQ278" s="1069"/>
      <c r="NNR278" s="1069"/>
      <c r="NNS278" s="1069"/>
      <c r="NNT278" s="1069"/>
      <c r="NNU278" s="1069"/>
      <c r="NNV278" s="1069"/>
      <c r="NNW278" s="1069"/>
      <c r="NNX278" s="1069"/>
      <c r="NNY278" s="1069"/>
      <c r="NNZ278" s="1069"/>
      <c r="NOA278" s="1069"/>
      <c r="NOB278" s="1069"/>
      <c r="NOC278" s="1069"/>
      <c r="NOD278" s="1069"/>
      <c r="NOE278" s="1069"/>
      <c r="NOF278" s="1069"/>
      <c r="NOG278" s="1069"/>
      <c r="NOH278" s="1069"/>
      <c r="NOI278" s="1069"/>
      <c r="NOJ278" s="1069"/>
      <c r="NOK278" s="1069"/>
      <c r="NOL278" s="1069"/>
      <c r="NOM278" s="1069"/>
      <c r="NON278" s="1069"/>
      <c r="NOO278" s="1069"/>
      <c r="NOP278" s="1069"/>
      <c r="NOQ278" s="1069"/>
      <c r="NOR278" s="1069"/>
      <c r="NOS278" s="1069"/>
      <c r="NOT278" s="1069"/>
      <c r="NOU278" s="1069"/>
      <c r="NOV278" s="1069"/>
      <c r="NOW278" s="1069"/>
      <c r="NOX278" s="1069"/>
      <c r="NOY278" s="1069"/>
      <c r="NOZ278" s="1069"/>
      <c r="NPA278" s="1069"/>
      <c r="NPB278" s="1069"/>
      <c r="NPC278" s="1069"/>
      <c r="NPD278" s="1069"/>
      <c r="NPE278" s="1069"/>
      <c r="NPF278" s="1069"/>
      <c r="NPG278" s="1069"/>
      <c r="NPH278" s="1069"/>
      <c r="NPI278" s="1069"/>
      <c r="NPJ278" s="1069"/>
      <c r="NPK278" s="1069"/>
      <c r="NPL278" s="1069"/>
      <c r="NPM278" s="1069"/>
      <c r="NPN278" s="1069"/>
      <c r="NPO278" s="1069"/>
      <c r="NPP278" s="1069"/>
      <c r="NPQ278" s="1069"/>
      <c r="NPR278" s="1069"/>
      <c r="NPS278" s="1069"/>
      <c r="NPT278" s="1069"/>
      <c r="NPU278" s="1069"/>
      <c r="NPV278" s="1069"/>
      <c r="NPW278" s="1069"/>
      <c r="NPX278" s="1069"/>
      <c r="NPY278" s="1069"/>
      <c r="NPZ278" s="1069"/>
      <c r="NQA278" s="1069"/>
      <c r="NQB278" s="1069"/>
      <c r="NQC278" s="1069"/>
      <c r="NQD278" s="1069"/>
      <c r="NQE278" s="1069"/>
      <c r="NQF278" s="1069"/>
      <c r="NQG278" s="1069"/>
      <c r="NQH278" s="1069"/>
      <c r="NQI278" s="1069"/>
      <c r="NQJ278" s="1069"/>
      <c r="NQK278" s="1069"/>
      <c r="NQL278" s="1069"/>
      <c r="NQM278" s="1069"/>
      <c r="NQN278" s="1069"/>
      <c r="NQO278" s="1069"/>
      <c r="NQP278" s="1069"/>
      <c r="NQQ278" s="1069"/>
      <c r="NQR278" s="1069"/>
      <c r="NQS278" s="1069"/>
      <c r="NQT278" s="1069"/>
      <c r="NQU278" s="1069"/>
      <c r="NQV278" s="1069"/>
      <c r="NQW278" s="1069"/>
      <c r="NQX278" s="1069"/>
      <c r="NQY278" s="1069"/>
      <c r="NQZ278" s="1069"/>
      <c r="NRA278" s="1069"/>
      <c r="NRB278" s="1069"/>
      <c r="NRC278" s="1069"/>
      <c r="NRD278" s="1069"/>
      <c r="NRE278" s="1069"/>
      <c r="NRF278" s="1069"/>
      <c r="NRG278" s="1069"/>
      <c r="NRH278" s="1069"/>
      <c r="NRI278" s="1069"/>
      <c r="NRJ278" s="1069"/>
      <c r="NRK278" s="1069"/>
      <c r="NRL278" s="1069"/>
      <c r="NRM278" s="1069"/>
      <c r="NRN278" s="1069"/>
      <c r="NRO278" s="1069"/>
      <c r="NRP278" s="1069"/>
      <c r="NRQ278" s="1069"/>
      <c r="NRR278" s="1069"/>
      <c r="NRS278" s="1069"/>
      <c r="NRT278" s="1069"/>
      <c r="NRU278" s="1069"/>
      <c r="NRV278" s="1069"/>
      <c r="NRW278" s="1069"/>
      <c r="NRX278" s="1069"/>
      <c r="NRY278" s="1069"/>
      <c r="NRZ278" s="1069"/>
      <c r="NSA278" s="1069"/>
      <c r="NSB278" s="1069"/>
      <c r="NSC278" s="1069"/>
      <c r="NSD278" s="1069"/>
      <c r="NSE278" s="1069"/>
      <c r="NSF278" s="1069"/>
      <c r="NSG278" s="1069"/>
      <c r="NSH278" s="1069"/>
      <c r="NSI278" s="1069"/>
      <c r="NSJ278" s="1069"/>
      <c r="NSK278" s="1069"/>
      <c r="NSL278" s="1069"/>
      <c r="NSM278" s="1069"/>
      <c r="NSN278" s="1069"/>
      <c r="NSO278" s="1069"/>
      <c r="NSP278" s="1069"/>
      <c r="NSQ278" s="1069"/>
      <c r="NSR278" s="1069"/>
      <c r="NSS278" s="1069"/>
      <c r="NST278" s="1069"/>
      <c r="NSU278" s="1069"/>
      <c r="NSV278" s="1069"/>
      <c r="NSW278" s="1069"/>
      <c r="NSX278" s="1069"/>
      <c r="NSY278" s="1069"/>
      <c r="NSZ278" s="1069"/>
      <c r="NTA278" s="1069"/>
      <c r="NTB278" s="1069"/>
      <c r="NTC278" s="1069"/>
      <c r="NTD278" s="1069"/>
      <c r="NTE278" s="1069"/>
      <c r="NTF278" s="1069"/>
      <c r="NTG278" s="1069"/>
      <c r="NTH278" s="1069"/>
      <c r="NTI278" s="1069"/>
      <c r="NTJ278" s="1069"/>
      <c r="NTK278" s="1069"/>
      <c r="NTL278" s="1069"/>
      <c r="NTM278" s="1069"/>
      <c r="NTN278" s="1069"/>
      <c r="NTO278" s="1069"/>
      <c r="NTP278" s="1069"/>
      <c r="NTQ278" s="1069"/>
      <c r="NTR278" s="1069"/>
      <c r="NTS278" s="1069"/>
      <c r="NTT278" s="1069"/>
      <c r="NTU278" s="1069"/>
      <c r="NTV278" s="1069"/>
      <c r="NTW278" s="1069"/>
      <c r="NTX278" s="1069"/>
      <c r="NTY278" s="1069"/>
      <c r="NTZ278" s="1069"/>
      <c r="NUA278" s="1069"/>
      <c r="NUB278" s="1069"/>
      <c r="NUC278" s="1069"/>
      <c r="NUD278" s="1069"/>
      <c r="NUE278" s="1069"/>
      <c r="NUF278" s="1069"/>
      <c r="NUG278" s="1069"/>
      <c r="NUH278" s="1069"/>
      <c r="NUI278" s="1069"/>
      <c r="NUJ278" s="1069"/>
      <c r="NUK278" s="1069"/>
      <c r="NUL278" s="1069"/>
      <c r="NUM278" s="1069"/>
      <c r="NUN278" s="1069"/>
      <c r="NUO278" s="1069"/>
      <c r="NUP278" s="1069"/>
      <c r="NUQ278" s="1069"/>
      <c r="NUR278" s="1069"/>
      <c r="NUS278" s="1069"/>
      <c r="NUT278" s="1069"/>
      <c r="NUU278" s="1069"/>
      <c r="NUV278" s="1069"/>
      <c r="NUW278" s="1069"/>
      <c r="NUX278" s="1069"/>
      <c r="NUY278" s="1069"/>
      <c r="NUZ278" s="1069"/>
      <c r="NVA278" s="1069"/>
      <c r="NVB278" s="1069"/>
      <c r="NVC278" s="1069"/>
      <c r="NVD278" s="1069"/>
      <c r="NVE278" s="1069"/>
      <c r="NVF278" s="1069"/>
      <c r="NVG278" s="1069"/>
      <c r="NVH278" s="1069"/>
      <c r="NVI278" s="1069"/>
      <c r="NVJ278" s="1069"/>
      <c r="NVK278" s="1069"/>
      <c r="NVL278" s="1069"/>
      <c r="NVM278" s="1069"/>
      <c r="NVN278" s="1069"/>
      <c r="NVO278" s="1069"/>
      <c r="NVP278" s="1069"/>
      <c r="NVQ278" s="1069"/>
      <c r="NVR278" s="1069"/>
      <c r="NVS278" s="1069"/>
      <c r="NVT278" s="1069"/>
      <c r="NVU278" s="1069"/>
      <c r="NVV278" s="1069"/>
      <c r="NVW278" s="1069"/>
      <c r="NVX278" s="1069"/>
      <c r="NVY278" s="1069"/>
      <c r="NVZ278" s="1069"/>
      <c r="NWA278" s="1069"/>
      <c r="NWB278" s="1069"/>
      <c r="NWC278" s="1069"/>
      <c r="NWD278" s="1069"/>
      <c r="NWE278" s="1069"/>
      <c r="NWF278" s="1069"/>
      <c r="NWG278" s="1069"/>
      <c r="NWH278" s="1069"/>
      <c r="NWI278" s="1069"/>
      <c r="NWJ278" s="1069"/>
      <c r="NWK278" s="1069"/>
      <c r="NWL278" s="1069"/>
      <c r="NWM278" s="1069"/>
      <c r="NWN278" s="1069"/>
      <c r="NWO278" s="1069"/>
      <c r="NWP278" s="1069"/>
      <c r="NWQ278" s="1069"/>
      <c r="NWR278" s="1069"/>
      <c r="NWS278" s="1069"/>
      <c r="NWT278" s="1069"/>
      <c r="NWU278" s="1069"/>
      <c r="NWV278" s="1069"/>
      <c r="NWW278" s="1069"/>
      <c r="NWX278" s="1069"/>
      <c r="NWY278" s="1069"/>
      <c r="NWZ278" s="1069"/>
      <c r="NXA278" s="1069"/>
      <c r="NXB278" s="1069"/>
      <c r="NXC278" s="1069"/>
      <c r="NXD278" s="1069"/>
      <c r="NXE278" s="1069"/>
      <c r="NXF278" s="1069"/>
      <c r="NXG278" s="1069"/>
      <c r="NXH278" s="1069"/>
      <c r="NXI278" s="1069"/>
      <c r="NXJ278" s="1069"/>
      <c r="NXK278" s="1069"/>
      <c r="NXL278" s="1069"/>
      <c r="NXM278" s="1069"/>
      <c r="NXN278" s="1069"/>
      <c r="NXO278" s="1069"/>
      <c r="NXP278" s="1069"/>
      <c r="NXQ278" s="1069"/>
      <c r="NXR278" s="1069"/>
      <c r="NXS278" s="1069"/>
      <c r="NXT278" s="1069"/>
      <c r="NXU278" s="1069"/>
      <c r="NXV278" s="1069"/>
      <c r="NXW278" s="1069"/>
      <c r="NXX278" s="1069"/>
      <c r="NXY278" s="1069"/>
      <c r="NXZ278" s="1069"/>
      <c r="NYA278" s="1069"/>
      <c r="NYB278" s="1069"/>
      <c r="NYC278" s="1069"/>
      <c r="NYD278" s="1069"/>
      <c r="NYE278" s="1069"/>
      <c r="NYF278" s="1069"/>
      <c r="NYG278" s="1069"/>
      <c r="NYH278" s="1069"/>
      <c r="NYI278" s="1069"/>
      <c r="NYJ278" s="1069"/>
      <c r="NYK278" s="1069"/>
      <c r="NYL278" s="1069"/>
      <c r="NYM278" s="1069"/>
      <c r="NYN278" s="1069"/>
      <c r="NYO278" s="1069"/>
      <c r="NYP278" s="1069"/>
      <c r="NYQ278" s="1069"/>
      <c r="NYR278" s="1069"/>
      <c r="NYS278" s="1069"/>
      <c r="NYT278" s="1069"/>
      <c r="NYU278" s="1069"/>
      <c r="NYV278" s="1069"/>
      <c r="NYW278" s="1069"/>
      <c r="NYX278" s="1069"/>
      <c r="NYY278" s="1069"/>
      <c r="NYZ278" s="1069"/>
      <c r="NZA278" s="1069"/>
      <c r="NZB278" s="1069"/>
      <c r="NZC278" s="1069"/>
      <c r="NZD278" s="1069"/>
      <c r="NZE278" s="1069"/>
      <c r="NZF278" s="1069"/>
      <c r="NZG278" s="1069"/>
      <c r="NZH278" s="1069"/>
      <c r="NZI278" s="1069"/>
      <c r="NZJ278" s="1069"/>
      <c r="NZK278" s="1069"/>
      <c r="NZL278" s="1069"/>
      <c r="NZM278" s="1069"/>
      <c r="NZN278" s="1069"/>
      <c r="NZO278" s="1069"/>
      <c r="NZP278" s="1069"/>
      <c r="NZQ278" s="1069"/>
      <c r="NZR278" s="1069"/>
      <c r="NZS278" s="1069"/>
      <c r="NZT278" s="1069"/>
      <c r="NZU278" s="1069"/>
      <c r="NZV278" s="1069"/>
      <c r="NZW278" s="1069"/>
      <c r="NZX278" s="1069"/>
      <c r="NZY278" s="1069"/>
      <c r="NZZ278" s="1069"/>
      <c r="OAA278" s="1069"/>
      <c r="OAB278" s="1069"/>
      <c r="OAC278" s="1069"/>
      <c r="OAD278" s="1069"/>
      <c r="OAE278" s="1069"/>
      <c r="OAF278" s="1069"/>
      <c r="OAG278" s="1069"/>
      <c r="OAH278" s="1069"/>
      <c r="OAI278" s="1069"/>
      <c r="OAJ278" s="1069"/>
      <c r="OAK278" s="1069"/>
      <c r="OAL278" s="1069"/>
      <c r="OAM278" s="1069"/>
      <c r="OAN278" s="1069"/>
      <c r="OAO278" s="1069"/>
      <c r="OAP278" s="1069"/>
      <c r="OAQ278" s="1069"/>
      <c r="OAR278" s="1069"/>
      <c r="OAS278" s="1069"/>
      <c r="OAT278" s="1069"/>
      <c r="OAU278" s="1069"/>
      <c r="OAV278" s="1069"/>
      <c r="OAW278" s="1069"/>
      <c r="OAX278" s="1069"/>
      <c r="OAY278" s="1069"/>
      <c r="OAZ278" s="1069"/>
      <c r="OBA278" s="1069"/>
      <c r="OBB278" s="1069"/>
      <c r="OBC278" s="1069"/>
      <c r="OBD278" s="1069"/>
      <c r="OBE278" s="1069"/>
      <c r="OBF278" s="1069"/>
      <c r="OBG278" s="1069"/>
      <c r="OBH278" s="1069"/>
      <c r="OBI278" s="1069"/>
      <c r="OBJ278" s="1069"/>
      <c r="OBK278" s="1069"/>
      <c r="OBL278" s="1069"/>
      <c r="OBM278" s="1069"/>
      <c r="OBN278" s="1069"/>
      <c r="OBO278" s="1069"/>
      <c r="OBP278" s="1069"/>
      <c r="OBQ278" s="1069"/>
      <c r="OBR278" s="1069"/>
      <c r="OBS278" s="1069"/>
      <c r="OBT278" s="1069"/>
      <c r="OBU278" s="1069"/>
      <c r="OBV278" s="1069"/>
      <c r="OBW278" s="1069"/>
      <c r="OBX278" s="1069"/>
      <c r="OBY278" s="1069"/>
      <c r="OBZ278" s="1069"/>
      <c r="OCA278" s="1069"/>
      <c r="OCB278" s="1069"/>
      <c r="OCC278" s="1069"/>
      <c r="OCD278" s="1069"/>
      <c r="OCE278" s="1069"/>
      <c r="OCF278" s="1069"/>
      <c r="OCG278" s="1069"/>
      <c r="OCH278" s="1069"/>
      <c r="OCI278" s="1069"/>
      <c r="OCJ278" s="1069"/>
      <c r="OCK278" s="1069"/>
      <c r="OCL278" s="1069"/>
      <c r="OCM278" s="1069"/>
      <c r="OCN278" s="1069"/>
      <c r="OCO278" s="1069"/>
      <c r="OCP278" s="1069"/>
      <c r="OCQ278" s="1069"/>
      <c r="OCR278" s="1069"/>
      <c r="OCS278" s="1069"/>
      <c r="OCT278" s="1069"/>
      <c r="OCU278" s="1069"/>
      <c r="OCV278" s="1069"/>
      <c r="OCW278" s="1069"/>
      <c r="OCX278" s="1069"/>
      <c r="OCY278" s="1069"/>
      <c r="OCZ278" s="1069"/>
      <c r="ODA278" s="1069"/>
      <c r="ODB278" s="1069"/>
      <c r="ODC278" s="1069"/>
      <c r="ODD278" s="1069"/>
      <c r="ODE278" s="1069"/>
      <c r="ODF278" s="1069"/>
      <c r="ODG278" s="1069"/>
      <c r="ODH278" s="1069"/>
      <c r="ODI278" s="1069"/>
      <c r="ODJ278" s="1069"/>
      <c r="ODK278" s="1069"/>
      <c r="ODL278" s="1069"/>
      <c r="ODM278" s="1069"/>
      <c r="ODN278" s="1069"/>
      <c r="ODO278" s="1069"/>
      <c r="ODP278" s="1069"/>
      <c r="ODQ278" s="1069"/>
      <c r="ODR278" s="1069"/>
      <c r="ODS278" s="1069"/>
      <c r="ODT278" s="1069"/>
      <c r="ODU278" s="1069"/>
      <c r="ODV278" s="1069"/>
      <c r="ODW278" s="1069"/>
      <c r="ODX278" s="1069"/>
      <c r="ODY278" s="1069"/>
      <c r="ODZ278" s="1069"/>
      <c r="OEA278" s="1069"/>
      <c r="OEB278" s="1069"/>
      <c r="OEC278" s="1069"/>
      <c r="OED278" s="1069"/>
      <c r="OEE278" s="1069"/>
      <c r="OEF278" s="1069"/>
      <c r="OEG278" s="1069"/>
      <c r="OEH278" s="1069"/>
      <c r="OEI278" s="1069"/>
      <c r="OEJ278" s="1069"/>
      <c r="OEK278" s="1069"/>
      <c r="OEL278" s="1069"/>
      <c r="OEM278" s="1069"/>
      <c r="OEN278" s="1069"/>
      <c r="OEO278" s="1069"/>
      <c r="OEP278" s="1069"/>
      <c r="OEQ278" s="1069"/>
      <c r="OER278" s="1069"/>
      <c r="OES278" s="1069"/>
      <c r="OET278" s="1069"/>
      <c r="OEU278" s="1069"/>
      <c r="OEV278" s="1069"/>
      <c r="OEW278" s="1069"/>
      <c r="OEX278" s="1069"/>
      <c r="OEY278" s="1069"/>
      <c r="OEZ278" s="1069"/>
      <c r="OFA278" s="1069"/>
      <c r="OFB278" s="1069"/>
      <c r="OFC278" s="1069"/>
      <c r="OFD278" s="1069"/>
      <c r="OFE278" s="1069"/>
      <c r="OFF278" s="1069"/>
      <c r="OFG278" s="1069"/>
      <c r="OFH278" s="1069"/>
      <c r="OFI278" s="1069"/>
      <c r="OFJ278" s="1069"/>
      <c r="OFK278" s="1069"/>
      <c r="OFL278" s="1069"/>
      <c r="OFM278" s="1069"/>
      <c r="OFN278" s="1069"/>
      <c r="OFO278" s="1069"/>
      <c r="OFP278" s="1069"/>
      <c r="OFQ278" s="1069"/>
      <c r="OFR278" s="1069"/>
      <c r="OFS278" s="1069"/>
      <c r="OFT278" s="1069"/>
      <c r="OFU278" s="1069"/>
      <c r="OFV278" s="1069"/>
      <c r="OFW278" s="1069"/>
      <c r="OFX278" s="1069"/>
      <c r="OFY278" s="1069"/>
      <c r="OFZ278" s="1069"/>
      <c r="OGA278" s="1069"/>
      <c r="OGB278" s="1069"/>
      <c r="OGC278" s="1069"/>
      <c r="OGD278" s="1069"/>
      <c r="OGE278" s="1069"/>
      <c r="OGF278" s="1069"/>
      <c r="OGG278" s="1069"/>
      <c r="OGH278" s="1069"/>
      <c r="OGI278" s="1069"/>
      <c r="OGJ278" s="1069"/>
      <c r="OGK278" s="1069"/>
      <c r="OGL278" s="1069"/>
      <c r="OGM278" s="1069"/>
      <c r="OGN278" s="1069"/>
      <c r="OGO278" s="1069"/>
      <c r="OGP278" s="1069"/>
      <c r="OGQ278" s="1069"/>
      <c r="OGR278" s="1069"/>
      <c r="OGS278" s="1069"/>
      <c r="OGT278" s="1069"/>
      <c r="OGU278" s="1069"/>
      <c r="OGV278" s="1069"/>
      <c r="OGW278" s="1069"/>
      <c r="OGX278" s="1069"/>
      <c r="OGY278" s="1069"/>
      <c r="OGZ278" s="1069"/>
      <c r="OHA278" s="1069"/>
      <c r="OHB278" s="1069"/>
      <c r="OHC278" s="1069"/>
      <c r="OHD278" s="1069"/>
      <c r="OHE278" s="1069"/>
      <c r="OHF278" s="1069"/>
      <c r="OHG278" s="1069"/>
      <c r="OHH278" s="1069"/>
      <c r="OHI278" s="1069"/>
      <c r="OHJ278" s="1069"/>
      <c r="OHK278" s="1069"/>
      <c r="OHL278" s="1069"/>
      <c r="OHM278" s="1069"/>
      <c r="OHN278" s="1069"/>
      <c r="OHO278" s="1069"/>
      <c r="OHP278" s="1069"/>
      <c r="OHQ278" s="1069"/>
      <c r="OHR278" s="1069"/>
      <c r="OHS278" s="1069"/>
      <c r="OHT278" s="1069"/>
      <c r="OHU278" s="1069"/>
      <c r="OHV278" s="1069"/>
      <c r="OHW278" s="1069"/>
      <c r="OHX278" s="1069"/>
      <c r="OHY278" s="1069"/>
      <c r="OHZ278" s="1069"/>
      <c r="OIA278" s="1069"/>
      <c r="OIB278" s="1069"/>
      <c r="OIC278" s="1069"/>
      <c r="OID278" s="1069"/>
      <c r="OIE278" s="1069"/>
      <c r="OIF278" s="1069"/>
      <c r="OIG278" s="1069"/>
      <c r="OIH278" s="1069"/>
      <c r="OII278" s="1069"/>
      <c r="OIJ278" s="1069"/>
      <c r="OIK278" s="1069"/>
      <c r="OIL278" s="1069"/>
      <c r="OIM278" s="1069"/>
      <c r="OIN278" s="1069"/>
      <c r="OIO278" s="1069"/>
      <c r="OIP278" s="1069"/>
      <c r="OIQ278" s="1069"/>
      <c r="OIR278" s="1069"/>
      <c r="OIS278" s="1069"/>
      <c r="OIT278" s="1069"/>
      <c r="OIU278" s="1069"/>
      <c r="OIV278" s="1069"/>
      <c r="OIW278" s="1069"/>
      <c r="OIX278" s="1069"/>
      <c r="OIY278" s="1069"/>
      <c r="OIZ278" s="1069"/>
      <c r="OJA278" s="1069"/>
      <c r="OJB278" s="1069"/>
      <c r="OJC278" s="1069"/>
      <c r="OJD278" s="1069"/>
      <c r="OJE278" s="1069"/>
      <c r="OJF278" s="1069"/>
      <c r="OJG278" s="1069"/>
      <c r="OJH278" s="1069"/>
      <c r="OJI278" s="1069"/>
      <c r="OJJ278" s="1069"/>
      <c r="OJK278" s="1069"/>
      <c r="OJL278" s="1069"/>
      <c r="OJM278" s="1069"/>
      <c r="OJN278" s="1069"/>
      <c r="OJO278" s="1069"/>
      <c r="OJP278" s="1069"/>
      <c r="OJQ278" s="1069"/>
      <c r="OJR278" s="1069"/>
      <c r="OJS278" s="1069"/>
      <c r="OJT278" s="1069"/>
      <c r="OJU278" s="1069"/>
      <c r="OJV278" s="1069"/>
      <c r="OJW278" s="1069"/>
      <c r="OJX278" s="1069"/>
      <c r="OJY278" s="1069"/>
      <c r="OJZ278" s="1069"/>
      <c r="OKA278" s="1069"/>
      <c r="OKB278" s="1069"/>
      <c r="OKC278" s="1069"/>
      <c r="OKD278" s="1069"/>
      <c r="OKE278" s="1069"/>
      <c r="OKF278" s="1069"/>
      <c r="OKG278" s="1069"/>
      <c r="OKH278" s="1069"/>
      <c r="OKI278" s="1069"/>
      <c r="OKJ278" s="1069"/>
      <c r="OKK278" s="1069"/>
      <c r="OKL278" s="1069"/>
      <c r="OKM278" s="1069"/>
      <c r="OKN278" s="1069"/>
      <c r="OKO278" s="1069"/>
      <c r="OKP278" s="1069"/>
      <c r="OKQ278" s="1069"/>
      <c r="OKR278" s="1069"/>
      <c r="OKS278" s="1069"/>
      <c r="OKT278" s="1069"/>
      <c r="OKU278" s="1069"/>
      <c r="OKV278" s="1069"/>
      <c r="OKW278" s="1069"/>
      <c r="OKX278" s="1069"/>
      <c r="OKY278" s="1069"/>
      <c r="OKZ278" s="1069"/>
      <c r="OLA278" s="1069"/>
      <c r="OLB278" s="1069"/>
      <c r="OLC278" s="1069"/>
      <c r="OLD278" s="1069"/>
      <c r="OLE278" s="1069"/>
      <c r="OLF278" s="1069"/>
      <c r="OLG278" s="1069"/>
      <c r="OLH278" s="1069"/>
      <c r="OLI278" s="1069"/>
      <c r="OLJ278" s="1069"/>
      <c r="OLK278" s="1069"/>
      <c r="OLL278" s="1069"/>
      <c r="OLM278" s="1069"/>
      <c r="OLN278" s="1069"/>
      <c r="OLO278" s="1069"/>
      <c r="OLP278" s="1069"/>
      <c r="OLQ278" s="1069"/>
      <c r="OLR278" s="1069"/>
      <c r="OLS278" s="1069"/>
      <c r="OLT278" s="1069"/>
      <c r="OLU278" s="1069"/>
      <c r="OLV278" s="1069"/>
      <c r="OLW278" s="1069"/>
      <c r="OLX278" s="1069"/>
      <c r="OLY278" s="1069"/>
      <c r="OLZ278" s="1069"/>
      <c r="OMA278" s="1069"/>
      <c r="OMB278" s="1069"/>
      <c r="OMC278" s="1069"/>
      <c r="OMD278" s="1069"/>
      <c r="OME278" s="1069"/>
      <c r="OMF278" s="1069"/>
      <c r="OMG278" s="1069"/>
      <c r="OMH278" s="1069"/>
      <c r="OMI278" s="1069"/>
      <c r="OMJ278" s="1069"/>
      <c r="OMK278" s="1069"/>
      <c r="OML278" s="1069"/>
      <c r="OMM278" s="1069"/>
      <c r="OMN278" s="1069"/>
      <c r="OMO278" s="1069"/>
      <c r="OMP278" s="1069"/>
      <c r="OMQ278" s="1069"/>
      <c r="OMR278" s="1069"/>
      <c r="OMS278" s="1069"/>
      <c r="OMT278" s="1069"/>
      <c r="OMU278" s="1069"/>
      <c r="OMV278" s="1069"/>
      <c r="OMW278" s="1069"/>
      <c r="OMX278" s="1069"/>
      <c r="OMY278" s="1069"/>
      <c r="OMZ278" s="1069"/>
      <c r="ONA278" s="1069"/>
      <c r="ONB278" s="1069"/>
      <c r="ONC278" s="1069"/>
      <c r="OND278" s="1069"/>
      <c r="ONE278" s="1069"/>
      <c r="ONF278" s="1069"/>
      <c r="ONG278" s="1069"/>
      <c r="ONH278" s="1069"/>
      <c r="ONI278" s="1069"/>
      <c r="ONJ278" s="1069"/>
      <c r="ONK278" s="1069"/>
      <c r="ONL278" s="1069"/>
      <c r="ONM278" s="1069"/>
      <c r="ONN278" s="1069"/>
      <c r="ONO278" s="1069"/>
      <c r="ONP278" s="1069"/>
      <c r="ONQ278" s="1069"/>
      <c r="ONR278" s="1069"/>
      <c r="ONS278" s="1069"/>
      <c r="ONT278" s="1069"/>
      <c r="ONU278" s="1069"/>
      <c r="ONV278" s="1069"/>
      <c r="ONW278" s="1069"/>
      <c r="ONX278" s="1069"/>
      <c r="ONY278" s="1069"/>
      <c r="ONZ278" s="1069"/>
      <c r="OOA278" s="1069"/>
      <c r="OOB278" s="1069"/>
      <c r="OOC278" s="1069"/>
      <c r="OOD278" s="1069"/>
      <c r="OOE278" s="1069"/>
      <c r="OOF278" s="1069"/>
      <c r="OOG278" s="1069"/>
      <c r="OOH278" s="1069"/>
      <c r="OOI278" s="1069"/>
      <c r="OOJ278" s="1069"/>
      <c r="OOK278" s="1069"/>
      <c r="OOL278" s="1069"/>
      <c r="OOM278" s="1069"/>
      <c r="OON278" s="1069"/>
      <c r="OOO278" s="1069"/>
      <c r="OOP278" s="1069"/>
      <c r="OOQ278" s="1069"/>
      <c r="OOR278" s="1069"/>
      <c r="OOS278" s="1069"/>
      <c r="OOT278" s="1069"/>
      <c r="OOU278" s="1069"/>
      <c r="OOV278" s="1069"/>
      <c r="OOW278" s="1069"/>
      <c r="OOX278" s="1069"/>
      <c r="OOY278" s="1069"/>
      <c r="OOZ278" s="1069"/>
      <c r="OPA278" s="1069"/>
      <c r="OPB278" s="1069"/>
      <c r="OPC278" s="1069"/>
      <c r="OPD278" s="1069"/>
      <c r="OPE278" s="1069"/>
      <c r="OPF278" s="1069"/>
      <c r="OPG278" s="1069"/>
      <c r="OPH278" s="1069"/>
      <c r="OPI278" s="1069"/>
      <c r="OPJ278" s="1069"/>
      <c r="OPK278" s="1069"/>
      <c r="OPL278" s="1069"/>
      <c r="OPM278" s="1069"/>
      <c r="OPN278" s="1069"/>
      <c r="OPO278" s="1069"/>
      <c r="OPP278" s="1069"/>
      <c r="OPQ278" s="1069"/>
      <c r="OPR278" s="1069"/>
      <c r="OPS278" s="1069"/>
      <c r="OPT278" s="1069"/>
      <c r="OPU278" s="1069"/>
      <c r="OPV278" s="1069"/>
      <c r="OPW278" s="1069"/>
      <c r="OPX278" s="1069"/>
      <c r="OPY278" s="1069"/>
      <c r="OPZ278" s="1069"/>
      <c r="OQA278" s="1069"/>
      <c r="OQB278" s="1069"/>
      <c r="OQC278" s="1069"/>
      <c r="OQD278" s="1069"/>
      <c r="OQE278" s="1069"/>
      <c r="OQF278" s="1069"/>
      <c r="OQG278" s="1069"/>
      <c r="OQH278" s="1069"/>
      <c r="OQI278" s="1069"/>
      <c r="OQJ278" s="1069"/>
      <c r="OQK278" s="1069"/>
      <c r="OQL278" s="1069"/>
      <c r="OQM278" s="1069"/>
      <c r="OQN278" s="1069"/>
      <c r="OQO278" s="1069"/>
      <c r="OQP278" s="1069"/>
      <c r="OQQ278" s="1069"/>
      <c r="OQR278" s="1069"/>
      <c r="OQS278" s="1069"/>
      <c r="OQT278" s="1069"/>
      <c r="OQU278" s="1069"/>
      <c r="OQV278" s="1069"/>
      <c r="OQW278" s="1069"/>
      <c r="OQX278" s="1069"/>
      <c r="OQY278" s="1069"/>
      <c r="OQZ278" s="1069"/>
      <c r="ORA278" s="1069"/>
      <c r="ORB278" s="1069"/>
      <c r="ORC278" s="1069"/>
      <c r="ORD278" s="1069"/>
      <c r="ORE278" s="1069"/>
      <c r="ORF278" s="1069"/>
      <c r="ORG278" s="1069"/>
      <c r="ORH278" s="1069"/>
      <c r="ORI278" s="1069"/>
      <c r="ORJ278" s="1069"/>
      <c r="ORK278" s="1069"/>
      <c r="ORL278" s="1069"/>
      <c r="ORM278" s="1069"/>
      <c r="ORN278" s="1069"/>
      <c r="ORO278" s="1069"/>
      <c r="ORP278" s="1069"/>
      <c r="ORQ278" s="1069"/>
      <c r="ORR278" s="1069"/>
      <c r="ORS278" s="1069"/>
      <c r="ORT278" s="1069"/>
      <c r="ORU278" s="1069"/>
      <c r="ORV278" s="1069"/>
      <c r="ORW278" s="1069"/>
      <c r="ORX278" s="1069"/>
      <c r="ORY278" s="1069"/>
      <c r="ORZ278" s="1069"/>
      <c r="OSA278" s="1069"/>
      <c r="OSB278" s="1069"/>
      <c r="OSC278" s="1069"/>
      <c r="OSD278" s="1069"/>
      <c r="OSE278" s="1069"/>
      <c r="OSF278" s="1069"/>
      <c r="OSG278" s="1069"/>
      <c r="OSH278" s="1069"/>
      <c r="OSI278" s="1069"/>
      <c r="OSJ278" s="1069"/>
      <c r="OSK278" s="1069"/>
      <c r="OSL278" s="1069"/>
      <c r="OSM278" s="1069"/>
      <c r="OSN278" s="1069"/>
      <c r="OSO278" s="1069"/>
      <c r="OSP278" s="1069"/>
      <c r="OSQ278" s="1069"/>
      <c r="OSR278" s="1069"/>
      <c r="OSS278" s="1069"/>
      <c r="OST278" s="1069"/>
      <c r="OSU278" s="1069"/>
      <c r="OSV278" s="1069"/>
      <c r="OSW278" s="1069"/>
      <c r="OSX278" s="1069"/>
      <c r="OSY278" s="1069"/>
      <c r="OSZ278" s="1069"/>
      <c r="OTA278" s="1069"/>
      <c r="OTB278" s="1069"/>
      <c r="OTC278" s="1069"/>
      <c r="OTD278" s="1069"/>
      <c r="OTE278" s="1069"/>
      <c r="OTF278" s="1069"/>
      <c r="OTG278" s="1069"/>
      <c r="OTH278" s="1069"/>
      <c r="OTI278" s="1069"/>
      <c r="OTJ278" s="1069"/>
      <c r="OTK278" s="1069"/>
      <c r="OTL278" s="1069"/>
      <c r="OTM278" s="1069"/>
      <c r="OTN278" s="1069"/>
      <c r="OTO278" s="1069"/>
      <c r="OTP278" s="1069"/>
      <c r="OTQ278" s="1069"/>
      <c r="OTR278" s="1069"/>
      <c r="OTS278" s="1069"/>
      <c r="OTT278" s="1069"/>
      <c r="OTU278" s="1069"/>
      <c r="OTV278" s="1069"/>
      <c r="OTW278" s="1069"/>
      <c r="OTX278" s="1069"/>
      <c r="OTY278" s="1069"/>
      <c r="OTZ278" s="1069"/>
      <c r="OUA278" s="1069"/>
      <c r="OUB278" s="1069"/>
      <c r="OUC278" s="1069"/>
      <c r="OUD278" s="1069"/>
      <c r="OUE278" s="1069"/>
      <c r="OUF278" s="1069"/>
      <c r="OUG278" s="1069"/>
      <c r="OUH278" s="1069"/>
      <c r="OUI278" s="1069"/>
      <c r="OUJ278" s="1069"/>
      <c r="OUK278" s="1069"/>
      <c r="OUL278" s="1069"/>
      <c r="OUM278" s="1069"/>
      <c r="OUN278" s="1069"/>
      <c r="OUO278" s="1069"/>
      <c r="OUP278" s="1069"/>
      <c r="OUQ278" s="1069"/>
      <c r="OUR278" s="1069"/>
      <c r="OUS278" s="1069"/>
      <c r="OUT278" s="1069"/>
      <c r="OUU278" s="1069"/>
      <c r="OUV278" s="1069"/>
      <c r="OUW278" s="1069"/>
      <c r="OUX278" s="1069"/>
      <c r="OUY278" s="1069"/>
      <c r="OUZ278" s="1069"/>
      <c r="OVA278" s="1069"/>
      <c r="OVB278" s="1069"/>
      <c r="OVC278" s="1069"/>
      <c r="OVD278" s="1069"/>
      <c r="OVE278" s="1069"/>
      <c r="OVF278" s="1069"/>
      <c r="OVG278" s="1069"/>
      <c r="OVH278" s="1069"/>
      <c r="OVI278" s="1069"/>
      <c r="OVJ278" s="1069"/>
      <c r="OVK278" s="1069"/>
      <c r="OVL278" s="1069"/>
      <c r="OVM278" s="1069"/>
      <c r="OVN278" s="1069"/>
      <c r="OVO278" s="1069"/>
      <c r="OVP278" s="1069"/>
      <c r="OVQ278" s="1069"/>
      <c r="OVR278" s="1069"/>
      <c r="OVS278" s="1069"/>
      <c r="OVT278" s="1069"/>
      <c r="OVU278" s="1069"/>
      <c r="OVV278" s="1069"/>
      <c r="OVW278" s="1069"/>
      <c r="OVX278" s="1069"/>
      <c r="OVY278" s="1069"/>
      <c r="OVZ278" s="1069"/>
      <c r="OWA278" s="1069"/>
      <c r="OWB278" s="1069"/>
      <c r="OWC278" s="1069"/>
      <c r="OWD278" s="1069"/>
      <c r="OWE278" s="1069"/>
      <c r="OWF278" s="1069"/>
      <c r="OWG278" s="1069"/>
      <c r="OWH278" s="1069"/>
      <c r="OWI278" s="1069"/>
      <c r="OWJ278" s="1069"/>
      <c r="OWK278" s="1069"/>
      <c r="OWL278" s="1069"/>
      <c r="OWM278" s="1069"/>
      <c r="OWN278" s="1069"/>
      <c r="OWO278" s="1069"/>
      <c r="OWP278" s="1069"/>
      <c r="OWQ278" s="1069"/>
      <c r="OWR278" s="1069"/>
      <c r="OWS278" s="1069"/>
      <c r="OWT278" s="1069"/>
      <c r="OWU278" s="1069"/>
      <c r="OWV278" s="1069"/>
      <c r="OWW278" s="1069"/>
      <c r="OWX278" s="1069"/>
      <c r="OWY278" s="1069"/>
      <c r="OWZ278" s="1069"/>
      <c r="OXA278" s="1069"/>
      <c r="OXB278" s="1069"/>
      <c r="OXC278" s="1069"/>
      <c r="OXD278" s="1069"/>
      <c r="OXE278" s="1069"/>
      <c r="OXF278" s="1069"/>
      <c r="OXG278" s="1069"/>
      <c r="OXH278" s="1069"/>
      <c r="OXI278" s="1069"/>
      <c r="OXJ278" s="1069"/>
      <c r="OXK278" s="1069"/>
      <c r="OXL278" s="1069"/>
      <c r="OXM278" s="1069"/>
      <c r="OXN278" s="1069"/>
      <c r="OXO278" s="1069"/>
      <c r="OXP278" s="1069"/>
      <c r="OXQ278" s="1069"/>
      <c r="OXR278" s="1069"/>
      <c r="OXS278" s="1069"/>
      <c r="OXT278" s="1069"/>
      <c r="OXU278" s="1069"/>
      <c r="OXV278" s="1069"/>
      <c r="OXW278" s="1069"/>
      <c r="OXX278" s="1069"/>
      <c r="OXY278" s="1069"/>
      <c r="OXZ278" s="1069"/>
      <c r="OYA278" s="1069"/>
      <c r="OYB278" s="1069"/>
      <c r="OYC278" s="1069"/>
      <c r="OYD278" s="1069"/>
      <c r="OYE278" s="1069"/>
      <c r="OYF278" s="1069"/>
      <c r="OYG278" s="1069"/>
      <c r="OYH278" s="1069"/>
      <c r="OYI278" s="1069"/>
      <c r="OYJ278" s="1069"/>
      <c r="OYK278" s="1069"/>
      <c r="OYL278" s="1069"/>
      <c r="OYM278" s="1069"/>
      <c r="OYN278" s="1069"/>
      <c r="OYO278" s="1069"/>
      <c r="OYP278" s="1069"/>
      <c r="OYQ278" s="1069"/>
      <c r="OYR278" s="1069"/>
      <c r="OYS278" s="1069"/>
      <c r="OYT278" s="1069"/>
      <c r="OYU278" s="1069"/>
      <c r="OYV278" s="1069"/>
      <c r="OYW278" s="1069"/>
      <c r="OYX278" s="1069"/>
      <c r="OYY278" s="1069"/>
      <c r="OYZ278" s="1069"/>
      <c r="OZA278" s="1069"/>
      <c r="OZB278" s="1069"/>
      <c r="OZC278" s="1069"/>
      <c r="OZD278" s="1069"/>
      <c r="OZE278" s="1069"/>
      <c r="OZF278" s="1069"/>
      <c r="OZG278" s="1069"/>
      <c r="OZH278" s="1069"/>
      <c r="OZI278" s="1069"/>
      <c r="OZJ278" s="1069"/>
      <c r="OZK278" s="1069"/>
      <c r="OZL278" s="1069"/>
      <c r="OZM278" s="1069"/>
      <c r="OZN278" s="1069"/>
      <c r="OZO278" s="1069"/>
      <c r="OZP278" s="1069"/>
      <c r="OZQ278" s="1069"/>
      <c r="OZR278" s="1069"/>
      <c r="OZS278" s="1069"/>
      <c r="OZT278" s="1069"/>
      <c r="OZU278" s="1069"/>
      <c r="OZV278" s="1069"/>
      <c r="OZW278" s="1069"/>
      <c r="OZX278" s="1069"/>
      <c r="OZY278" s="1069"/>
      <c r="OZZ278" s="1069"/>
      <c r="PAA278" s="1069"/>
      <c r="PAB278" s="1069"/>
      <c r="PAC278" s="1069"/>
      <c r="PAD278" s="1069"/>
      <c r="PAE278" s="1069"/>
      <c r="PAF278" s="1069"/>
      <c r="PAG278" s="1069"/>
      <c r="PAH278" s="1069"/>
      <c r="PAI278" s="1069"/>
      <c r="PAJ278" s="1069"/>
      <c r="PAK278" s="1069"/>
      <c r="PAL278" s="1069"/>
      <c r="PAM278" s="1069"/>
      <c r="PAN278" s="1069"/>
      <c r="PAO278" s="1069"/>
      <c r="PAP278" s="1069"/>
      <c r="PAQ278" s="1069"/>
      <c r="PAR278" s="1069"/>
      <c r="PAS278" s="1069"/>
      <c r="PAT278" s="1069"/>
      <c r="PAU278" s="1069"/>
      <c r="PAV278" s="1069"/>
      <c r="PAW278" s="1069"/>
      <c r="PAX278" s="1069"/>
      <c r="PAY278" s="1069"/>
      <c r="PAZ278" s="1069"/>
      <c r="PBA278" s="1069"/>
      <c r="PBB278" s="1069"/>
      <c r="PBC278" s="1069"/>
      <c r="PBD278" s="1069"/>
      <c r="PBE278" s="1069"/>
      <c r="PBF278" s="1069"/>
      <c r="PBG278" s="1069"/>
      <c r="PBH278" s="1069"/>
      <c r="PBI278" s="1069"/>
      <c r="PBJ278" s="1069"/>
      <c r="PBK278" s="1069"/>
      <c r="PBL278" s="1069"/>
      <c r="PBM278" s="1069"/>
      <c r="PBN278" s="1069"/>
      <c r="PBO278" s="1069"/>
      <c r="PBP278" s="1069"/>
      <c r="PBQ278" s="1069"/>
      <c r="PBR278" s="1069"/>
      <c r="PBS278" s="1069"/>
      <c r="PBT278" s="1069"/>
      <c r="PBU278" s="1069"/>
      <c r="PBV278" s="1069"/>
      <c r="PBW278" s="1069"/>
      <c r="PBX278" s="1069"/>
      <c r="PBY278" s="1069"/>
      <c r="PBZ278" s="1069"/>
      <c r="PCA278" s="1069"/>
      <c r="PCB278" s="1069"/>
      <c r="PCC278" s="1069"/>
      <c r="PCD278" s="1069"/>
      <c r="PCE278" s="1069"/>
      <c r="PCF278" s="1069"/>
      <c r="PCG278" s="1069"/>
      <c r="PCH278" s="1069"/>
      <c r="PCI278" s="1069"/>
      <c r="PCJ278" s="1069"/>
      <c r="PCK278" s="1069"/>
      <c r="PCL278" s="1069"/>
      <c r="PCM278" s="1069"/>
      <c r="PCN278" s="1069"/>
      <c r="PCO278" s="1069"/>
      <c r="PCP278" s="1069"/>
      <c r="PCQ278" s="1069"/>
      <c r="PCR278" s="1069"/>
      <c r="PCS278" s="1069"/>
      <c r="PCT278" s="1069"/>
      <c r="PCU278" s="1069"/>
      <c r="PCV278" s="1069"/>
      <c r="PCW278" s="1069"/>
      <c r="PCX278" s="1069"/>
      <c r="PCY278" s="1069"/>
      <c r="PCZ278" s="1069"/>
      <c r="PDA278" s="1069"/>
      <c r="PDB278" s="1069"/>
      <c r="PDC278" s="1069"/>
      <c r="PDD278" s="1069"/>
      <c r="PDE278" s="1069"/>
      <c r="PDF278" s="1069"/>
      <c r="PDG278" s="1069"/>
      <c r="PDH278" s="1069"/>
      <c r="PDI278" s="1069"/>
      <c r="PDJ278" s="1069"/>
      <c r="PDK278" s="1069"/>
      <c r="PDL278" s="1069"/>
      <c r="PDM278" s="1069"/>
      <c r="PDN278" s="1069"/>
      <c r="PDO278" s="1069"/>
      <c r="PDP278" s="1069"/>
      <c r="PDQ278" s="1069"/>
      <c r="PDR278" s="1069"/>
      <c r="PDS278" s="1069"/>
      <c r="PDT278" s="1069"/>
      <c r="PDU278" s="1069"/>
      <c r="PDV278" s="1069"/>
      <c r="PDW278" s="1069"/>
      <c r="PDX278" s="1069"/>
      <c r="PDY278" s="1069"/>
      <c r="PDZ278" s="1069"/>
      <c r="PEA278" s="1069"/>
      <c r="PEB278" s="1069"/>
      <c r="PEC278" s="1069"/>
      <c r="PED278" s="1069"/>
      <c r="PEE278" s="1069"/>
      <c r="PEF278" s="1069"/>
      <c r="PEG278" s="1069"/>
      <c r="PEH278" s="1069"/>
      <c r="PEI278" s="1069"/>
      <c r="PEJ278" s="1069"/>
      <c r="PEK278" s="1069"/>
      <c r="PEL278" s="1069"/>
      <c r="PEM278" s="1069"/>
      <c r="PEN278" s="1069"/>
      <c r="PEO278" s="1069"/>
      <c r="PEP278" s="1069"/>
      <c r="PEQ278" s="1069"/>
      <c r="PER278" s="1069"/>
      <c r="PES278" s="1069"/>
      <c r="PET278" s="1069"/>
      <c r="PEU278" s="1069"/>
      <c r="PEV278" s="1069"/>
      <c r="PEW278" s="1069"/>
      <c r="PEX278" s="1069"/>
      <c r="PEY278" s="1069"/>
      <c r="PEZ278" s="1069"/>
      <c r="PFA278" s="1069"/>
      <c r="PFB278" s="1069"/>
      <c r="PFC278" s="1069"/>
      <c r="PFD278" s="1069"/>
      <c r="PFE278" s="1069"/>
      <c r="PFF278" s="1069"/>
      <c r="PFG278" s="1069"/>
      <c r="PFH278" s="1069"/>
      <c r="PFI278" s="1069"/>
      <c r="PFJ278" s="1069"/>
      <c r="PFK278" s="1069"/>
      <c r="PFL278" s="1069"/>
      <c r="PFM278" s="1069"/>
      <c r="PFN278" s="1069"/>
      <c r="PFO278" s="1069"/>
      <c r="PFP278" s="1069"/>
      <c r="PFQ278" s="1069"/>
      <c r="PFR278" s="1069"/>
      <c r="PFS278" s="1069"/>
      <c r="PFT278" s="1069"/>
      <c r="PFU278" s="1069"/>
      <c r="PFV278" s="1069"/>
      <c r="PFW278" s="1069"/>
      <c r="PFX278" s="1069"/>
      <c r="PFY278" s="1069"/>
      <c r="PFZ278" s="1069"/>
      <c r="PGA278" s="1069"/>
      <c r="PGB278" s="1069"/>
      <c r="PGC278" s="1069"/>
      <c r="PGD278" s="1069"/>
      <c r="PGE278" s="1069"/>
      <c r="PGF278" s="1069"/>
      <c r="PGG278" s="1069"/>
      <c r="PGH278" s="1069"/>
      <c r="PGI278" s="1069"/>
      <c r="PGJ278" s="1069"/>
      <c r="PGK278" s="1069"/>
      <c r="PGL278" s="1069"/>
      <c r="PGM278" s="1069"/>
      <c r="PGN278" s="1069"/>
      <c r="PGO278" s="1069"/>
      <c r="PGP278" s="1069"/>
      <c r="PGQ278" s="1069"/>
      <c r="PGR278" s="1069"/>
      <c r="PGS278" s="1069"/>
      <c r="PGT278" s="1069"/>
      <c r="PGU278" s="1069"/>
      <c r="PGV278" s="1069"/>
      <c r="PGW278" s="1069"/>
      <c r="PGX278" s="1069"/>
      <c r="PGY278" s="1069"/>
      <c r="PGZ278" s="1069"/>
      <c r="PHA278" s="1069"/>
      <c r="PHB278" s="1069"/>
      <c r="PHC278" s="1069"/>
      <c r="PHD278" s="1069"/>
      <c r="PHE278" s="1069"/>
      <c r="PHF278" s="1069"/>
      <c r="PHG278" s="1069"/>
      <c r="PHH278" s="1069"/>
      <c r="PHI278" s="1069"/>
      <c r="PHJ278" s="1069"/>
      <c r="PHK278" s="1069"/>
      <c r="PHL278" s="1069"/>
      <c r="PHM278" s="1069"/>
      <c r="PHN278" s="1069"/>
      <c r="PHO278" s="1069"/>
      <c r="PHP278" s="1069"/>
      <c r="PHQ278" s="1069"/>
      <c r="PHR278" s="1069"/>
      <c r="PHS278" s="1069"/>
      <c r="PHT278" s="1069"/>
      <c r="PHU278" s="1069"/>
      <c r="PHV278" s="1069"/>
      <c r="PHW278" s="1069"/>
      <c r="PHX278" s="1069"/>
      <c r="PHY278" s="1069"/>
      <c r="PHZ278" s="1069"/>
      <c r="PIA278" s="1069"/>
      <c r="PIB278" s="1069"/>
      <c r="PIC278" s="1069"/>
      <c r="PID278" s="1069"/>
      <c r="PIE278" s="1069"/>
      <c r="PIF278" s="1069"/>
      <c r="PIG278" s="1069"/>
      <c r="PIH278" s="1069"/>
      <c r="PII278" s="1069"/>
      <c r="PIJ278" s="1069"/>
      <c r="PIK278" s="1069"/>
      <c r="PIL278" s="1069"/>
      <c r="PIM278" s="1069"/>
      <c r="PIN278" s="1069"/>
      <c r="PIO278" s="1069"/>
      <c r="PIP278" s="1069"/>
      <c r="PIQ278" s="1069"/>
      <c r="PIR278" s="1069"/>
      <c r="PIS278" s="1069"/>
      <c r="PIT278" s="1069"/>
      <c r="PIU278" s="1069"/>
      <c r="PIV278" s="1069"/>
      <c r="PIW278" s="1069"/>
      <c r="PIX278" s="1069"/>
      <c r="PIY278" s="1069"/>
      <c r="PIZ278" s="1069"/>
      <c r="PJA278" s="1069"/>
      <c r="PJB278" s="1069"/>
      <c r="PJC278" s="1069"/>
      <c r="PJD278" s="1069"/>
      <c r="PJE278" s="1069"/>
      <c r="PJF278" s="1069"/>
      <c r="PJG278" s="1069"/>
      <c r="PJH278" s="1069"/>
      <c r="PJI278" s="1069"/>
      <c r="PJJ278" s="1069"/>
      <c r="PJK278" s="1069"/>
      <c r="PJL278" s="1069"/>
      <c r="PJM278" s="1069"/>
      <c r="PJN278" s="1069"/>
      <c r="PJO278" s="1069"/>
      <c r="PJP278" s="1069"/>
      <c r="PJQ278" s="1069"/>
      <c r="PJR278" s="1069"/>
      <c r="PJS278" s="1069"/>
      <c r="PJT278" s="1069"/>
      <c r="PJU278" s="1069"/>
      <c r="PJV278" s="1069"/>
      <c r="PJW278" s="1069"/>
      <c r="PJX278" s="1069"/>
      <c r="PJY278" s="1069"/>
      <c r="PJZ278" s="1069"/>
      <c r="PKA278" s="1069"/>
      <c r="PKB278" s="1069"/>
      <c r="PKC278" s="1069"/>
      <c r="PKD278" s="1069"/>
      <c r="PKE278" s="1069"/>
      <c r="PKF278" s="1069"/>
      <c r="PKG278" s="1069"/>
      <c r="PKH278" s="1069"/>
      <c r="PKI278" s="1069"/>
      <c r="PKJ278" s="1069"/>
      <c r="PKK278" s="1069"/>
      <c r="PKL278" s="1069"/>
      <c r="PKM278" s="1069"/>
      <c r="PKN278" s="1069"/>
      <c r="PKO278" s="1069"/>
      <c r="PKP278" s="1069"/>
      <c r="PKQ278" s="1069"/>
      <c r="PKR278" s="1069"/>
      <c r="PKS278" s="1069"/>
      <c r="PKT278" s="1069"/>
      <c r="PKU278" s="1069"/>
      <c r="PKV278" s="1069"/>
      <c r="PKW278" s="1069"/>
      <c r="PKX278" s="1069"/>
      <c r="PKY278" s="1069"/>
      <c r="PKZ278" s="1069"/>
      <c r="PLA278" s="1069"/>
      <c r="PLB278" s="1069"/>
      <c r="PLC278" s="1069"/>
      <c r="PLD278" s="1069"/>
      <c r="PLE278" s="1069"/>
      <c r="PLF278" s="1069"/>
      <c r="PLG278" s="1069"/>
      <c r="PLH278" s="1069"/>
      <c r="PLI278" s="1069"/>
      <c r="PLJ278" s="1069"/>
      <c r="PLK278" s="1069"/>
      <c r="PLL278" s="1069"/>
      <c r="PLM278" s="1069"/>
      <c r="PLN278" s="1069"/>
      <c r="PLO278" s="1069"/>
      <c r="PLP278" s="1069"/>
      <c r="PLQ278" s="1069"/>
      <c r="PLR278" s="1069"/>
      <c r="PLS278" s="1069"/>
      <c r="PLT278" s="1069"/>
      <c r="PLU278" s="1069"/>
      <c r="PLV278" s="1069"/>
      <c r="PLW278" s="1069"/>
      <c r="PLX278" s="1069"/>
      <c r="PLY278" s="1069"/>
      <c r="PLZ278" s="1069"/>
      <c r="PMA278" s="1069"/>
      <c r="PMB278" s="1069"/>
      <c r="PMC278" s="1069"/>
      <c r="PMD278" s="1069"/>
      <c r="PME278" s="1069"/>
      <c r="PMF278" s="1069"/>
      <c r="PMG278" s="1069"/>
      <c r="PMH278" s="1069"/>
      <c r="PMI278" s="1069"/>
      <c r="PMJ278" s="1069"/>
      <c r="PMK278" s="1069"/>
      <c r="PML278" s="1069"/>
      <c r="PMM278" s="1069"/>
      <c r="PMN278" s="1069"/>
      <c r="PMO278" s="1069"/>
      <c r="PMP278" s="1069"/>
      <c r="PMQ278" s="1069"/>
      <c r="PMR278" s="1069"/>
      <c r="PMS278" s="1069"/>
      <c r="PMT278" s="1069"/>
      <c r="PMU278" s="1069"/>
      <c r="PMV278" s="1069"/>
      <c r="PMW278" s="1069"/>
      <c r="PMX278" s="1069"/>
      <c r="PMY278" s="1069"/>
      <c r="PMZ278" s="1069"/>
      <c r="PNA278" s="1069"/>
      <c r="PNB278" s="1069"/>
      <c r="PNC278" s="1069"/>
      <c r="PND278" s="1069"/>
      <c r="PNE278" s="1069"/>
      <c r="PNF278" s="1069"/>
      <c r="PNG278" s="1069"/>
      <c r="PNH278" s="1069"/>
      <c r="PNI278" s="1069"/>
      <c r="PNJ278" s="1069"/>
      <c r="PNK278" s="1069"/>
      <c r="PNL278" s="1069"/>
      <c r="PNM278" s="1069"/>
      <c r="PNN278" s="1069"/>
      <c r="PNO278" s="1069"/>
      <c r="PNP278" s="1069"/>
      <c r="PNQ278" s="1069"/>
      <c r="PNR278" s="1069"/>
      <c r="PNS278" s="1069"/>
      <c r="PNT278" s="1069"/>
      <c r="PNU278" s="1069"/>
      <c r="PNV278" s="1069"/>
      <c r="PNW278" s="1069"/>
      <c r="PNX278" s="1069"/>
      <c r="PNY278" s="1069"/>
      <c r="PNZ278" s="1069"/>
      <c r="POA278" s="1069"/>
      <c r="POB278" s="1069"/>
      <c r="POC278" s="1069"/>
      <c r="POD278" s="1069"/>
      <c r="POE278" s="1069"/>
      <c r="POF278" s="1069"/>
      <c r="POG278" s="1069"/>
      <c r="POH278" s="1069"/>
      <c r="POI278" s="1069"/>
      <c r="POJ278" s="1069"/>
      <c r="POK278" s="1069"/>
      <c r="POL278" s="1069"/>
      <c r="POM278" s="1069"/>
      <c r="PON278" s="1069"/>
      <c r="POO278" s="1069"/>
      <c r="POP278" s="1069"/>
      <c r="POQ278" s="1069"/>
      <c r="POR278" s="1069"/>
      <c r="POS278" s="1069"/>
      <c r="POT278" s="1069"/>
      <c r="POU278" s="1069"/>
      <c r="POV278" s="1069"/>
      <c r="POW278" s="1069"/>
      <c r="POX278" s="1069"/>
      <c r="POY278" s="1069"/>
      <c r="POZ278" s="1069"/>
      <c r="PPA278" s="1069"/>
      <c r="PPB278" s="1069"/>
      <c r="PPC278" s="1069"/>
      <c r="PPD278" s="1069"/>
      <c r="PPE278" s="1069"/>
      <c r="PPF278" s="1069"/>
      <c r="PPG278" s="1069"/>
      <c r="PPH278" s="1069"/>
      <c r="PPI278" s="1069"/>
      <c r="PPJ278" s="1069"/>
      <c r="PPK278" s="1069"/>
      <c r="PPL278" s="1069"/>
      <c r="PPM278" s="1069"/>
      <c r="PPN278" s="1069"/>
      <c r="PPO278" s="1069"/>
      <c r="PPP278" s="1069"/>
      <c r="PPQ278" s="1069"/>
      <c r="PPR278" s="1069"/>
      <c r="PPS278" s="1069"/>
      <c r="PPT278" s="1069"/>
      <c r="PPU278" s="1069"/>
      <c r="PPV278" s="1069"/>
      <c r="PPW278" s="1069"/>
      <c r="PPX278" s="1069"/>
      <c r="PPY278" s="1069"/>
      <c r="PPZ278" s="1069"/>
      <c r="PQA278" s="1069"/>
      <c r="PQB278" s="1069"/>
      <c r="PQC278" s="1069"/>
      <c r="PQD278" s="1069"/>
      <c r="PQE278" s="1069"/>
      <c r="PQF278" s="1069"/>
      <c r="PQG278" s="1069"/>
      <c r="PQH278" s="1069"/>
      <c r="PQI278" s="1069"/>
      <c r="PQJ278" s="1069"/>
      <c r="PQK278" s="1069"/>
      <c r="PQL278" s="1069"/>
      <c r="PQM278" s="1069"/>
      <c r="PQN278" s="1069"/>
      <c r="PQO278" s="1069"/>
      <c r="PQP278" s="1069"/>
      <c r="PQQ278" s="1069"/>
      <c r="PQR278" s="1069"/>
      <c r="PQS278" s="1069"/>
      <c r="PQT278" s="1069"/>
      <c r="PQU278" s="1069"/>
      <c r="PQV278" s="1069"/>
      <c r="PQW278" s="1069"/>
      <c r="PQX278" s="1069"/>
      <c r="PQY278" s="1069"/>
      <c r="PQZ278" s="1069"/>
      <c r="PRA278" s="1069"/>
      <c r="PRB278" s="1069"/>
      <c r="PRC278" s="1069"/>
      <c r="PRD278" s="1069"/>
      <c r="PRE278" s="1069"/>
      <c r="PRF278" s="1069"/>
      <c r="PRG278" s="1069"/>
      <c r="PRH278" s="1069"/>
      <c r="PRI278" s="1069"/>
      <c r="PRJ278" s="1069"/>
      <c r="PRK278" s="1069"/>
      <c r="PRL278" s="1069"/>
      <c r="PRM278" s="1069"/>
      <c r="PRN278" s="1069"/>
      <c r="PRO278" s="1069"/>
      <c r="PRP278" s="1069"/>
      <c r="PRQ278" s="1069"/>
      <c r="PRR278" s="1069"/>
      <c r="PRS278" s="1069"/>
      <c r="PRT278" s="1069"/>
      <c r="PRU278" s="1069"/>
      <c r="PRV278" s="1069"/>
      <c r="PRW278" s="1069"/>
      <c r="PRX278" s="1069"/>
      <c r="PRY278" s="1069"/>
      <c r="PRZ278" s="1069"/>
      <c r="PSA278" s="1069"/>
      <c r="PSB278" s="1069"/>
      <c r="PSC278" s="1069"/>
      <c r="PSD278" s="1069"/>
      <c r="PSE278" s="1069"/>
      <c r="PSF278" s="1069"/>
      <c r="PSG278" s="1069"/>
      <c r="PSH278" s="1069"/>
      <c r="PSI278" s="1069"/>
      <c r="PSJ278" s="1069"/>
      <c r="PSK278" s="1069"/>
      <c r="PSL278" s="1069"/>
      <c r="PSM278" s="1069"/>
      <c r="PSN278" s="1069"/>
      <c r="PSO278" s="1069"/>
      <c r="PSP278" s="1069"/>
      <c r="PSQ278" s="1069"/>
      <c r="PSR278" s="1069"/>
      <c r="PSS278" s="1069"/>
      <c r="PST278" s="1069"/>
      <c r="PSU278" s="1069"/>
      <c r="PSV278" s="1069"/>
      <c r="PSW278" s="1069"/>
      <c r="PSX278" s="1069"/>
      <c r="PSY278" s="1069"/>
      <c r="PSZ278" s="1069"/>
      <c r="PTA278" s="1069"/>
      <c r="PTB278" s="1069"/>
      <c r="PTC278" s="1069"/>
      <c r="PTD278" s="1069"/>
      <c r="PTE278" s="1069"/>
      <c r="PTF278" s="1069"/>
      <c r="PTG278" s="1069"/>
      <c r="PTH278" s="1069"/>
      <c r="PTI278" s="1069"/>
      <c r="PTJ278" s="1069"/>
      <c r="PTK278" s="1069"/>
      <c r="PTL278" s="1069"/>
      <c r="PTM278" s="1069"/>
      <c r="PTN278" s="1069"/>
      <c r="PTO278" s="1069"/>
      <c r="PTP278" s="1069"/>
      <c r="PTQ278" s="1069"/>
      <c r="PTR278" s="1069"/>
      <c r="PTS278" s="1069"/>
      <c r="PTT278" s="1069"/>
      <c r="PTU278" s="1069"/>
      <c r="PTV278" s="1069"/>
      <c r="PTW278" s="1069"/>
      <c r="PTX278" s="1069"/>
      <c r="PTY278" s="1069"/>
      <c r="PTZ278" s="1069"/>
      <c r="PUA278" s="1069"/>
      <c r="PUB278" s="1069"/>
      <c r="PUC278" s="1069"/>
      <c r="PUD278" s="1069"/>
      <c r="PUE278" s="1069"/>
      <c r="PUF278" s="1069"/>
      <c r="PUG278" s="1069"/>
      <c r="PUH278" s="1069"/>
      <c r="PUI278" s="1069"/>
      <c r="PUJ278" s="1069"/>
      <c r="PUK278" s="1069"/>
      <c r="PUL278" s="1069"/>
      <c r="PUM278" s="1069"/>
      <c r="PUN278" s="1069"/>
      <c r="PUO278" s="1069"/>
      <c r="PUP278" s="1069"/>
      <c r="PUQ278" s="1069"/>
      <c r="PUR278" s="1069"/>
      <c r="PUS278" s="1069"/>
      <c r="PUT278" s="1069"/>
      <c r="PUU278" s="1069"/>
      <c r="PUV278" s="1069"/>
      <c r="PUW278" s="1069"/>
      <c r="PUX278" s="1069"/>
      <c r="PUY278" s="1069"/>
      <c r="PUZ278" s="1069"/>
      <c r="PVA278" s="1069"/>
      <c r="PVB278" s="1069"/>
      <c r="PVC278" s="1069"/>
      <c r="PVD278" s="1069"/>
      <c r="PVE278" s="1069"/>
      <c r="PVF278" s="1069"/>
      <c r="PVG278" s="1069"/>
      <c r="PVH278" s="1069"/>
      <c r="PVI278" s="1069"/>
      <c r="PVJ278" s="1069"/>
      <c r="PVK278" s="1069"/>
      <c r="PVL278" s="1069"/>
      <c r="PVM278" s="1069"/>
      <c r="PVN278" s="1069"/>
      <c r="PVO278" s="1069"/>
      <c r="PVP278" s="1069"/>
      <c r="PVQ278" s="1069"/>
      <c r="PVR278" s="1069"/>
      <c r="PVS278" s="1069"/>
      <c r="PVT278" s="1069"/>
      <c r="PVU278" s="1069"/>
      <c r="PVV278" s="1069"/>
      <c r="PVW278" s="1069"/>
      <c r="PVX278" s="1069"/>
      <c r="PVY278" s="1069"/>
      <c r="PVZ278" s="1069"/>
      <c r="PWA278" s="1069"/>
      <c r="PWB278" s="1069"/>
      <c r="PWC278" s="1069"/>
      <c r="PWD278" s="1069"/>
      <c r="PWE278" s="1069"/>
      <c r="PWF278" s="1069"/>
      <c r="PWG278" s="1069"/>
      <c r="PWH278" s="1069"/>
      <c r="PWI278" s="1069"/>
      <c r="PWJ278" s="1069"/>
      <c r="PWK278" s="1069"/>
      <c r="PWL278" s="1069"/>
      <c r="PWM278" s="1069"/>
      <c r="PWN278" s="1069"/>
      <c r="PWO278" s="1069"/>
      <c r="PWP278" s="1069"/>
      <c r="PWQ278" s="1069"/>
      <c r="PWR278" s="1069"/>
      <c r="PWS278" s="1069"/>
      <c r="PWT278" s="1069"/>
      <c r="PWU278" s="1069"/>
      <c r="PWV278" s="1069"/>
      <c r="PWW278" s="1069"/>
      <c r="PWX278" s="1069"/>
      <c r="PWY278" s="1069"/>
      <c r="PWZ278" s="1069"/>
      <c r="PXA278" s="1069"/>
      <c r="PXB278" s="1069"/>
      <c r="PXC278" s="1069"/>
      <c r="PXD278" s="1069"/>
      <c r="PXE278" s="1069"/>
      <c r="PXF278" s="1069"/>
      <c r="PXG278" s="1069"/>
      <c r="PXH278" s="1069"/>
      <c r="PXI278" s="1069"/>
      <c r="PXJ278" s="1069"/>
      <c r="PXK278" s="1069"/>
      <c r="PXL278" s="1069"/>
      <c r="PXM278" s="1069"/>
      <c r="PXN278" s="1069"/>
      <c r="PXO278" s="1069"/>
      <c r="PXP278" s="1069"/>
      <c r="PXQ278" s="1069"/>
      <c r="PXR278" s="1069"/>
      <c r="PXS278" s="1069"/>
      <c r="PXT278" s="1069"/>
      <c r="PXU278" s="1069"/>
      <c r="PXV278" s="1069"/>
      <c r="PXW278" s="1069"/>
      <c r="PXX278" s="1069"/>
      <c r="PXY278" s="1069"/>
      <c r="PXZ278" s="1069"/>
      <c r="PYA278" s="1069"/>
      <c r="PYB278" s="1069"/>
      <c r="PYC278" s="1069"/>
      <c r="PYD278" s="1069"/>
      <c r="PYE278" s="1069"/>
      <c r="PYF278" s="1069"/>
      <c r="PYG278" s="1069"/>
      <c r="PYH278" s="1069"/>
      <c r="PYI278" s="1069"/>
      <c r="PYJ278" s="1069"/>
      <c r="PYK278" s="1069"/>
      <c r="PYL278" s="1069"/>
      <c r="PYM278" s="1069"/>
      <c r="PYN278" s="1069"/>
      <c r="PYO278" s="1069"/>
      <c r="PYP278" s="1069"/>
      <c r="PYQ278" s="1069"/>
      <c r="PYR278" s="1069"/>
      <c r="PYS278" s="1069"/>
      <c r="PYT278" s="1069"/>
      <c r="PYU278" s="1069"/>
      <c r="PYV278" s="1069"/>
      <c r="PYW278" s="1069"/>
      <c r="PYX278" s="1069"/>
      <c r="PYY278" s="1069"/>
      <c r="PYZ278" s="1069"/>
      <c r="PZA278" s="1069"/>
      <c r="PZB278" s="1069"/>
      <c r="PZC278" s="1069"/>
      <c r="PZD278" s="1069"/>
      <c r="PZE278" s="1069"/>
      <c r="PZF278" s="1069"/>
      <c r="PZG278" s="1069"/>
      <c r="PZH278" s="1069"/>
      <c r="PZI278" s="1069"/>
      <c r="PZJ278" s="1069"/>
      <c r="PZK278" s="1069"/>
      <c r="PZL278" s="1069"/>
      <c r="PZM278" s="1069"/>
      <c r="PZN278" s="1069"/>
      <c r="PZO278" s="1069"/>
      <c r="PZP278" s="1069"/>
      <c r="PZQ278" s="1069"/>
      <c r="PZR278" s="1069"/>
      <c r="PZS278" s="1069"/>
      <c r="PZT278" s="1069"/>
      <c r="PZU278" s="1069"/>
      <c r="PZV278" s="1069"/>
      <c r="PZW278" s="1069"/>
      <c r="PZX278" s="1069"/>
      <c r="PZY278" s="1069"/>
      <c r="PZZ278" s="1069"/>
      <c r="QAA278" s="1069"/>
      <c r="QAB278" s="1069"/>
      <c r="QAC278" s="1069"/>
      <c r="QAD278" s="1069"/>
      <c r="QAE278" s="1069"/>
      <c r="QAF278" s="1069"/>
      <c r="QAG278" s="1069"/>
      <c r="QAH278" s="1069"/>
      <c r="QAI278" s="1069"/>
      <c r="QAJ278" s="1069"/>
      <c r="QAK278" s="1069"/>
      <c r="QAL278" s="1069"/>
      <c r="QAM278" s="1069"/>
      <c r="QAN278" s="1069"/>
      <c r="QAO278" s="1069"/>
      <c r="QAP278" s="1069"/>
      <c r="QAQ278" s="1069"/>
      <c r="QAR278" s="1069"/>
      <c r="QAS278" s="1069"/>
      <c r="QAT278" s="1069"/>
      <c r="QAU278" s="1069"/>
      <c r="QAV278" s="1069"/>
      <c r="QAW278" s="1069"/>
      <c r="QAX278" s="1069"/>
      <c r="QAY278" s="1069"/>
      <c r="QAZ278" s="1069"/>
      <c r="QBA278" s="1069"/>
      <c r="QBB278" s="1069"/>
      <c r="QBC278" s="1069"/>
      <c r="QBD278" s="1069"/>
      <c r="QBE278" s="1069"/>
      <c r="QBF278" s="1069"/>
      <c r="QBG278" s="1069"/>
      <c r="QBH278" s="1069"/>
      <c r="QBI278" s="1069"/>
      <c r="QBJ278" s="1069"/>
      <c r="QBK278" s="1069"/>
      <c r="QBL278" s="1069"/>
      <c r="QBM278" s="1069"/>
      <c r="QBN278" s="1069"/>
      <c r="QBO278" s="1069"/>
      <c r="QBP278" s="1069"/>
      <c r="QBQ278" s="1069"/>
      <c r="QBR278" s="1069"/>
      <c r="QBS278" s="1069"/>
      <c r="QBT278" s="1069"/>
      <c r="QBU278" s="1069"/>
      <c r="QBV278" s="1069"/>
      <c r="QBW278" s="1069"/>
      <c r="QBX278" s="1069"/>
      <c r="QBY278" s="1069"/>
      <c r="QBZ278" s="1069"/>
      <c r="QCA278" s="1069"/>
      <c r="QCB278" s="1069"/>
      <c r="QCC278" s="1069"/>
      <c r="QCD278" s="1069"/>
      <c r="QCE278" s="1069"/>
      <c r="QCF278" s="1069"/>
      <c r="QCG278" s="1069"/>
      <c r="QCH278" s="1069"/>
      <c r="QCI278" s="1069"/>
      <c r="QCJ278" s="1069"/>
      <c r="QCK278" s="1069"/>
      <c r="QCL278" s="1069"/>
      <c r="QCM278" s="1069"/>
      <c r="QCN278" s="1069"/>
      <c r="QCO278" s="1069"/>
      <c r="QCP278" s="1069"/>
      <c r="QCQ278" s="1069"/>
      <c r="QCR278" s="1069"/>
      <c r="QCS278" s="1069"/>
      <c r="QCT278" s="1069"/>
      <c r="QCU278" s="1069"/>
      <c r="QCV278" s="1069"/>
      <c r="QCW278" s="1069"/>
      <c r="QCX278" s="1069"/>
      <c r="QCY278" s="1069"/>
      <c r="QCZ278" s="1069"/>
      <c r="QDA278" s="1069"/>
      <c r="QDB278" s="1069"/>
      <c r="QDC278" s="1069"/>
      <c r="QDD278" s="1069"/>
      <c r="QDE278" s="1069"/>
      <c r="QDF278" s="1069"/>
      <c r="QDG278" s="1069"/>
      <c r="QDH278" s="1069"/>
      <c r="QDI278" s="1069"/>
      <c r="QDJ278" s="1069"/>
      <c r="QDK278" s="1069"/>
      <c r="QDL278" s="1069"/>
      <c r="QDM278" s="1069"/>
      <c r="QDN278" s="1069"/>
      <c r="QDO278" s="1069"/>
      <c r="QDP278" s="1069"/>
      <c r="QDQ278" s="1069"/>
      <c r="QDR278" s="1069"/>
      <c r="QDS278" s="1069"/>
      <c r="QDT278" s="1069"/>
      <c r="QDU278" s="1069"/>
      <c r="QDV278" s="1069"/>
      <c r="QDW278" s="1069"/>
      <c r="QDX278" s="1069"/>
      <c r="QDY278" s="1069"/>
      <c r="QDZ278" s="1069"/>
      <c r="QEA278" s="1069"/>
      <c r="QEB278" s="1069"/>
      <c r="QEC278" s="1069"/>
      <c r="QED278" s="1069"/>
      <c r="QEE278" s="1069"/>
      <c r="QEF278" s="1069"/>
      <c r="QEG278" s="1069"/>
      <c r="QEH278" s="1069"/>
      <c r="QEI278" s="1069"/>
      <c r="QEJ278" s="1069"/>
      <c r="QEK278" s="1069"/>
      <c r="QEL278" s="1069"/>
      <c r="QEM278" s="1069"/>
      <c r="QEN278" s="1069"/>
      <c r="QEO278" s="1069"/>
      <c r="QEP278" s="1069"/>
      <c r="QEQ278" s="1069"/>
      <c r="QER278" s="1069"/>
      <c r="QES278" s="1069"/>
      <c r="QET278" s="1069"/>
      <c r="QEU278" s="1069"/>
      <c r="QEV278" s="1069"/>
      <c r="QEW278" s="1069"/>
      <c r="QEX278" s="1069"/>
      <c r="QEY278" s="1069"/>
      <c r="QEZ278" s="1069"/>
      <c r="QFA278" s="1069"/>
      <c r="QFB278" s="1069"/>
      <c r="QFC278" s="1069"/>
      <c r="QFD278" s="1069"/>
      <c r="QFE278" s="1069"/>
      <c r="QFF278" s="1069"/>
      <c r="QFG278" s="1069"/>
      <c r="QFH278" s="1069"/>
      <c r="QFI278" s="1069"/>
      <c r="QFJ278" s="1069"/>
      <c r="QFK278" s="1069"/>
      <c r="QFL278" s="1069"/>
      <c r="QFM278" s="1069"/>
      <c r="QFN278" s="1069"/>
      <c r="QFO278" s="1069"/>
      <c r="QFP278" s="1069"/>
      <c r="QFQ278" s="1069"/>
      <c r="QFR278" s="1069"/>
      <c r="QFS278" s="1069"/>
      <c r="QFT278" s="1069"/>
      <c r="QFU278" s="1069"/>
      <c r="QFV278" s="1069"/>
      <c r="QFW278" s="1069"/>
      <c r="QFX278" s="1069"/>
      <c r="QFY278" s="1069"/>
      <c r="QFZ278" s="1069"/>
      <c r="QGA278" s="1069"/>
      <c r="QGB278" s="1069"/>
      <c r="QGC278" s="1069"/>
      <c r="QGD278" s="1069"/>
      <c r="QGE278" s="1069"/>
      <c r="QGF278" s="1069"/>
      <c r="QGG278" s="1069"/>
      <c r="QGH278" s="1069"/>
      <c r="QGI278" s="1069"/>
      <c r="QGJ278" s="1069"/>
      <c r="QGK278" s="1069"/>
      <c r="QGL278" s="1069"/>
      <c r="QGM278" s="1069"/>
      <c r="QGN278" s="1069"/>
      <c r="QGO278" s="1069"/>
      <c r="QGP278" s="1069"/>
      <c r="QGQ278" s="1069"/>
      <c r="QGR278" s="1069"/>
      <c r="QGS278" s="1069"/>
      <c r="QGT278" s="1069"/>
      <c r="QGU278" s="1069"/>
      <c r="QGV278" s="1069"/>
      <c r="QGW278" s="1069"/>
      <c r="QGX278" s="1069"/>
      <c r="QGY278" s="1069"/>
      <c r="QGZ278" s="1069"/>
      <c r="QHA278" s="1069"/>
      <c r="QHB278" s="1069"/>
      <c r="QHC278" s="1069"/>
      <c r="QHD278" s="1069"/>
      <c r="QHE278" s="1069"/>
      <c r="QHF278" s="1069"/>
      <c r="QHG278" s="1069"/>
      <c r="QHH278" s="1069"/>
      <c r="QHI278" s="1069"/>
      <c r="QHJ278" s="1069"/>
      <c r="QHK278" s="1069"/>
      <c r="QHL278" s="1069"/>
      <c r="QHM278" s="1069"/>
      <c r="QHN278" s="1069"/>
      <c r="QHO278" s="1069"/>
      <c r="QHP278" s="1069"/>
      <c r="QHQ278" s="1069"/>
      <c r="QHR278" s="1069"/>
      <c r="QHS278" s="1069"/>
      <c r="QHT278" s="1069"/>
      <c r="QHU278" s="1069"/>
      <c r="QHV278" s="1069"/>
      <c r="QHW278" s="1069"/>
      <c r="QHX278" s="1069"/>
      <c r="QHY278" s="1069"/>
      <c r="QHZ278" s="1069"/>
      <c r="QIA278" s="1069"/>
      <c r="QIB278" s="1069"/>
      <c r="QIC278" s="1069"/>
      <c r="QID278" s="1069"/>
      <c r="QIE278" s="1069"/>
      <c r="QIF278" s="1069"/>
      <c r="QIG278" s="1069"/>
      <c r="QIH278" s="1069"/>
      <c r="QII278" s="1069"/>
      <c r="QIJ278" s="1069"/>
      <c r="QIK278" s="1069"/>
      <c r="QIL278" s="1069"/>
      <c r="QIM278" s="1069"/>
      <c r="QIN278" s="1069"/>
      <c r="QIO278" s="1069"/>
      <c r="QIP278" s="1069"/>
      <c r="QIQ278" s="1069"/>
      <c r="QIR278" s="1069"/>
      <c r="QIS278" s="1069"/>
      <c r="QIT278" s="1069"/>
      <c r="QIU278" s="1069"/>
      <c r="QIV278" s="1069"/>
      <c r="QIW278" s="1069"/>
      <c r="QIX278" s="1069"/>
      <c r="QIY278" s="1069"/>
      <c r="QIZ278" s="1069"/>
      <c r="QJA278" s="1069"/>
      <c r="QJB278" s="1069"/>
      <c r="QJC278" s="1069"/>
      <c r="QJD278" s="1069"/>
      <c r="QJE278" s="1069"/>
      <c r="QJF278" s="1069"/>
      <c r="QJG278" s="1069"/>
      <c r="QJH278" s="1069"/>
      <c r="QJI278" s="1069"/>
      <c r="QJJ278" s="1069"/>
      <c r="QJK278" s="1069"/>
      <c r="QJL278" s="1069"/>
      <c r="QJM278" s="1069"/>
      <c r="QJN278" s="1069"/>
      <c r="QJO278" s="1069"/>
      <c r="QJP278" s="1069"/>
      <c r="QJQ278" s="1069"/>
      <c r="QJR278" s="1069"/>
      <c r="QJS278" s="1069"/>
      <c r="QJT278" s="1069"/>
      <c r="QJU278" s="1069"/>
      <c r="QJV278" s="1069"/>
      <c r="QJW278" s="1069"/>
      <c r="QJX278" s="1069"/>
      <c r="QJY278" s="1069"/>
      <c r="QJZ278" s="1069"/>
      <c r="QKA278" s="1069"/>
      <c r="QKB278" s="1069"/>
      <c r="QKC278" s="1069"/>
      <c r="QKD278" s="1069"/>
      <c r="QKE278" s="1069"/>
      <c r="QKF278" s="1069"/>
      <c r="QKG278" s="1069"/>
      <c r="QKH278" s="1069"/>
      <c r="QKI278" s="1069"/>
      <c r="QKJ278" s="1069"/>
      <c r="QKK278" s="1069"/>
      <c r="QKL278" s="1069"/>
      <c r="QKM278" s="1069"/>
      <c r="QKN278" s="1069"/>
      <c r="QKO278" s="1069"/>
      <c r="QKP278" s="1069"/>
      <c r="QKQ278" s="1069"/>
      <c r="QKR278" s="1069"/>
      <c r="QKS278" s="1069"/>
      <c r="QKT278" s="1069"/>
      <c r="QKU278" s="1069"/>
      <c r="QKV278" s="1069"/>
      <c r="QKW278" s="1069"/>
      <c r="QKX278" s="1069"/>
      <c r="QKY278" s="1069"/>
      <c r="QKZ278" s="1069"/>
      <c r="QLA278" s="1069"/>
      <c r="QLB278" s="1069"/>
      <c r="QLC278" s="1069"/>
      <c r="QLD278" s="1069"/>
      <c r="QLE278" s="1069"/>
      <c r="QLF278" s="1069"/>
      <c r="QLG278" s="1069"/>
      <c r="QLH278" s="1069"/>
      <c r="QLI278" s="1069"/>
      <c r="QLJ278" s="1069"/>
      <c r="QLK278" s="1069"/>
      <c r="QLL278" s="1069"/>
      <c r="QLM278" s="1069"/>
      <c r="QLN278" s="1069"/>
      <c r="QLO278" s="1069"/>
      <c r="QLP278" s="1069"/>
      <c r="QLQ278" s="1069"/>
      <c r="QLR278" s="1069"/>
      <c r="QLS278" s="1069"/>
      <c r="QLT278" s="1069"/>
      <c r="QLU278" s="1069"/>
      <c r="QLV278" s="1069"/>
      <c r="QLW278" s="1069"/>
      <c r="QLX278" s="1069"/>
      <c r="QLY278" s="1069"/>
      <c r="QLZ278" s="1069"/>
      <c r="QMA278" s="1069"/>
      <c r="QMB278" s="1069"/>
      <c r="QMC278" s="1069"/>
      <c r="QMD278" s="1069"/>
      <c r="QME278" s="1069"/>
      <c r="QMF278" s="1069"/>
      <c r="QMG278" s="1069"/>
      <c r="QMH278" s="1069"/>
      <c r="QMI278" s="1069"/>
      <c r="QMJ278" s="1069"/>
      <c r="QMK278" s="1069"/>
      <c r="QML278" s="1069"/>
      <c r="QMM278" s="1069"/>
      <c r="QMN278" s="1069"/>
      <c r="QMO278" s="1069"/>
      <c r="QMP278" s="1069"/>
      <c r="QMQ278" s="1069"/>
      <c r="QMR278" s="1069"/>
      <c r="QMS278" s="1069"/>
      <c r="QMT278" s="1069"/>
      <c r="QMU278" s="1069"/>
      <c r="QMV278" s="1069"/>
      <c r="QMW278" s="1069"/>
      <c r="QMX278" s="1069"/>
      <c r="QMY278" s="1069"/>
      <c r="QMZ278" s="1069"/>
      <c r="QNA278" s="1069"/>
      <c r="QNB278" s="1069"/>
      <c r="QNC278" s="1069"/>
      <c r="QND278" s="1069"/>
      <c r="QNE278" s="1069"/>
      <c r="QNF278" s="1069"/>
      <c r="QNG278" s="1069"/>
      <c r="QNH278" s="1069"/>
      <c r="QNI278" s="1069"/>
      <c r="QNJ278" s="1069"/>
      <c r="QNK278" s="1069"/>
      <c r="QNL278" s="1069"/>
      <c r="QNM278" s="1069"/>
      <c r="QNN278" s="1069"/>
      <c r="QNO278" s="1069"/>
      <c r="QNP278" s="1069"/>
      <c r="QNQ278" s="1069"/>
      <c r="QNR278" s="1069"/>
      <c r="QNS278" s="1069"/>
      <c r="QNT278" s="1069"/>
      <c r="QNU278" s="1069"/>
      <c r="QNV278" s="1069"/>
      <c r="QNW278" s="1069"/>
      <c r="QNX278" s="1069"/>
      <c r="QNY278" s="1069"/>
      <c r="QNZ278" s="1069"/>
      <c r="QOA278" s="1069"/>
      <c r="QOB278" s="1069"/>
      <c r="QOC278" s="1069"/>
      <c r="QOD278" s="1069"/>
      <c r="QOE278" s="1069"/>
      <c r="QOF278" s="1069"/>
      <c r="QOG278" s="1069"/>
      <c r="QOH278" s="1069"/>
      <c r="QOI278" s="1069"/>
      <c r="QOJ278" s="1069"/>
      <c r="QOK278" s="1069"/>
      <c r="QOL278" s="1069"/>
      <c r="QOM278" s="1069"/>
      <c r="QON278" s="1069"/>
      <c r="QOO278" s="1069"/>
      <c r="QOP278" s="1069"/>
      <c r="QOQ278" s="1069"/>
      <c r="QOR278" s="1069"/>
      <c r="QOS278" s="1069"/>
      <c r="QOT278" s="1069"/>
      <c r="QOU278" s="1069"/>
      <c r="QOV278" s="1069"/>
      <c r="QOW278" s="1069"/>
      <c r="QOX278" s="1069"/>
      <c r="QOY278" s="1069"/>
      <c r="QOZ278" s="1069"/>
      <c r="QPA278" s="1069"/>
      <c r="QPB278" s="1069"/>
      <c r="QPC278" s="1069"/>
      <c r="QPD278" s="1069"/>
      <c r="QPE278" s="1069"/>
      <c r="QPF278" s="1069"/>
      <c r="QPG278" s="1069"/>
      <c r="QPH278" s="1069"/>
      <c r="QPI278" s="1069"/>
      <c r="QPJ278" s="1069"/>
      <c r="QPK278" s="1069"/>
      <c r="QPL278" s="1069"/>
      <c r="QPM278" s="1069"/>
      <c r="QPN278" s="1069"/>
      <c r="QPO278" s="1069"/>
      <c r="QPP278" s="1069"/>
      <c r="QPQ278" s="1069"/>
      <c r="QPR278" s="1069"/>
      <c r="QPS278" s="1069"/>
      <c r="QPT278" s="1069"/>
      <c r="QPU278" s="1069"/>
      <c r="QPV278" s="1069"/>
      <c r="QPW278" s="1069"/>
      <c r="QPX278" s="1069"/>
      <c r="QPY278" s="1069"/>
      <c r="QPZ278" s="1069"/>
      <c r="QQA278" s="1069"/>
      <c r="QQB278" s="1069"/>
      <c r="QQC278" s="1069"/>
      <c r="QQD278" s="1069"/>
      <c r="QQE278" s="1069"/>
      <c r="QQF278" s="1069"/>
      <c r="QQG278" s="1069"/>
      <c r="QQH278" s="1069"/>
      <c r="QQI278" s="1069"/>
      <c r="QQJ278" s="1069"/>
      <c r="QQK278" s="1069"/>
      <c r="QQL278" s="1069"/>
      <c r="QQM278" s="1069"/>
      <c r="QQN278" s="1069"/>
      <c r="QQO278" s="1069"/>
      <c r="QQP278" s="1069"/>
      <c r="QQQ278" s="1069"/>
      <c r="QQR278" s="1069"/>
      <c r="QQS278" s="1069"/>
      <c r="QQT278" s="1069"/>
      <c r="QQU278" s="1069"/>
      <c r="QQV278" s="1069"/>
      <c r="QQW278" s="1069"/>
      <c r="QQX278" s="1069"/>
      <c r="QQY278" s="1069"/>
      <c r="QQZ278" s="1069"/>
      <c r="QRA278" s="1069"/>
      <c r="QRB278" s="1069"/>
      <c r="QRC278" s="1069"/>
      <c r="QRD278" s="1069"/>
      <c r="QRE278" s="1069"/>
      <c r="QRF278" s="1069"/>
      <c r="QRG278" s="1069"/>
      <c r="QRH278" s="1069"/>
      <c r="QRI278" s="1069"/>
      <c r="QRJ278" s="1069"/>
      <c r="QRK278" s="1069"/>
      <c r="QRL278" s="1069"/>
      <c r="QRM278" s="1069"/>
      <c r="QRN278" s="1069"/>
      <c r="QRO278" s="1069"/>
      <c r="QRP278" s="1069"/>
      <c r="QRQ278" s="1069"/>
      <c r="QRR278" s="1069"/>
      <c r="QRS278" s="1069"/>
      <c r="QRT278" s="1069"/>
      <c r="QRU278" s="1069"/>
      <c r="QRV278" s="1069"/>
      <c r="QRW278" s="1069"/>
      <c r="QRX278" s="1069"/>
      <c r="QRY278" s="1069"/>
      <c r="QRZ278" s="1069"/>
      <c r="QSA278" s="1069"/>
      <c r="QSB278" s="1069"/>
      <c r="QSC278" s="1069"/>
      <c r="QSD278" s="1069"/>
      <c r="QSE278" s="1069"/>
      <c r="QSF278" s="1069"/>
      <c r="QSG278" s="1069"/>
      <c r="QSH278" s="1069"/>
      <c r="QSI278" s="1069"/>
      <c r="QSJ278" s="1069"/>
      <c r="QSK278" s="1069"/>
      <c r="QSL278" s="1069"/>
      <c r="QSM278" s="1069"/>
      <c r="QSN278" s="1069"/>
      <c r="QSO278" s="1069"/>
      <c r="QSP278" s="1069"/>
      <c r="QSQ278" s="1069"/>
      <c r="QSR278" s="1069"/>
      <c r="QSS278" s="1069"/>
      <c r="QST278" s="1069"/>
      <c r="QSU278" s="1069"/>
      <c r="QSV278" s="1069"/>
      <c r="QSW278" s="1069"/>
      <c r="QSX278" s="1069"/>
      <c r="QSY278" s="1069"/>
      <c r="QSZ278" s="1069"/>
      <c r="QTA278" s="1069"/>
      <c r="QTB278" s="1069"/>
      <c r="QTC278" s="1069"/>
      <c r="QTD278" s="1069"/>
      <c r="QTE278" s="1069"/>
      <c r="QTF278" s="1069"/>
      <c r="QTG278" s="1069"/>
      <c r="QTH278" s="1069"/>
      <c r="QTI278" s="1069"/>
      <c r="QTJ278" s="1069"/>
      <c r="QTK278" s="1069"/>
      <c r="QTL278" s="1069"/>
      <c r="QTM278" s="1069"/>
      <c r="QTN278" s="1069"/>
      <c r="QTO278" s="1069"/>
      <c r="QTP278" s="1069"/>
      <c r="QTQ278" s="1069"/>
      <c r="QTR278" s="1069"/>
      <c r="QTS278" s="1069"/>
      <c r="QTT278" s="1069"/>
      <c r="QTU278" s="1069"/>
      <c r="QTV278" s="1069"/>
      <c r="QTW278" s="1069"/>
      <c r="QTX278" s="1069"/>
      <c r="QTY278" s="1069"/>
      <c r="QTZ278" s="1069"/>
      <c r="QUA278" s="1069"/>
      <c r="QUB278" s="1069"/>
      <c r="QUC278" s="1069"/>
      <c r="QUD278" s="1069"/>
      <c r="QUE278" s="1069"/>
      <c r="QUF278" s="1069"/>
      <c r="QUG278" s="1069"/>
      <c r="QUH278" s="1069"/>
      <c r="QUI278" s="1069"/>
      <c r="QUJ278" s="1069"/>
      <c r="QUK278" s="1069"/>
      <c r="QUL278" s="1069"/>
      <c r="QUM278" s="1069"/>
      <c r="QUN278" s="1069"/>
      <c r="QUO278" s="1069"/>
      <c r="QUP278" s="1069"/>
      <c r="QUQ278" s="1069"/>
      <c r="QUR278" s="1069"/>
      <c r="QUS278" s="1069"/>
      <c r="QUT278" s="1069"/>
      <c r="QUU278" s="1069"/>
      <c r="QUV278" s="1069"/>
      <c r="QUW278" s="1069"/>
      <c r="QUX278" s="1069"/>
      <c r="QUY278" s="1069"/>
      <c r="QUZ278" s="1069"/>
      <c r="QVA278" s="1069"/>
      <c r="QVB278" s="1069"/>
      <c r="QVC278" s="1069"/>
      <c r="QVD278" s="1069"/>
      <c r="QVE278" s="1069"/>
      <c r="QVF278" s="1069"/>
      <c r="QVG278" s="1069"/>
      <c r="QVH278" s="1069"/>
      <c r="QVI278" s="1069"/>
      <c r="QVJ278" s="1069"/>
      <c r="QVK278" s="1069"/>
      <c r="QVL278" s="1069"/>
      <c r="QVM278" s="1069"/>
      <c r="QVN278" s="1069"/>
      <c r="QVO278" s="1069"/>
      <c r="QVP278" s="1069"/>
      <c r="QVQ278" s="1069"/>
      <c r="QVR278" s="1069"/>
      <c r="QVS278" s="1069"/>
      <c r="QVT278" s="1069"/>
      <c r="QVU278" s="1069"/>
      <c r="QVV278" s="1069"/>
      <c r="QVW278" s="1069"/>
      <c r="QVX278" s="1069"/>
      <c r="QVY278" s="1069"/>
      <c r="QVZ278" s="1069"/>
      <c r="QWA278" s="1069"/>
      <c r="QWB278" s="1069"/>
      <c r="QWC278" s="1069"/>
      <c r="QWD278" s="1069"/>
      <c r="QWE278" s="1069"/>
      <c r="QWF278" s="1069"/>
      <c r="QWG278" s="1069"/>
      <c r="QWH278" s="1069"/>
      <c r="QWI278" s="1069"/>
      <c r="QWJ278" s="1069"/>
      <c r="QWK278" s="1069"/>
      <c r="QWL278" s="1069"/>
      <c r="QWM278" s="1069"/>
      <c r="QWN278" s="1069"/>
      <c r="QWO278" s="1069"/>
      <c r="QWP278" s="1069"/>
      <c r="QWQ278" s="1069"/>
      <c r="QWR278" s="1069"/>
      <c r="QWS278" s="1069"/>
      <c r="QWT278" s="1069"/>
      <c r="QWU278" s="1069"/>
      <c r="QWV278" s="1069"/>
      <c r="QWW278" s="1069"/>
      <c r="QWX278" s="1069"/>
      <c r="QWY278" s="1069"/>
      <c r="QWZ278" s="1069"/>
      <c r="QXA278" s="1069"/>
      <c r="QXB278" s="1069"/>
      <c r="QXC278" s="1069"/>
      <c r="QXD278" s="1069"/>
      <c r="QXE278" s="1069"/>
      <c r="QXF278" s="1069"/>
      <c r="QXG278" s="1069"/>
      <c r="QXH278" s="1069"/>
      <c r="QXI278" s="1069"/>
      <c r="QXJ278" s="1069"/>
      <c r="QXK278" s="1069"/>
      <c r="QXL278" s="1069"/>
      <c r="QXM278" s="1069"/>
      <c r="QXN278" s="1069"/>
      <c r="QXO278" s="1069"/>
      <c r="QXP278" s="1069"/>
      <c r="QXQ278" s="1069"/>
      <c r="QXR278" s="1069"/>
      <c r="QXS278" s="1069"/>
      <c r="QXT278" s="1069"/>
      <c r="QXU278" s="1069"/>
      <c r="QXV278" s="1069"/>
      <c r="QXW278" s="1069"/>
      <c r="QXX278" s="1069"/>
      <c r="QXY278" s="1069"/>
      <c r="QXZ278" s="1069"/>
      <c r="QYA278" s="1069"/>
      <c r="QYB278" s="1069"/>
      <c r="QYC278" s="1069"/>
      <c r="QYD278" s="1069"/>
      <c r="QYE278" s="1069"/>
      <c r="QYF278" s="1069"/>
      <c r="QYG278" s="1069"/>
      <c r="QYH278" s="1069"/>
      <c r="QYI278" s="1069"/>
      <c r="QYJ278" s="1069"/>
      <c r="QYK278" s="1069"/>
      <c r="QYL278" s="1069"/>
      <c r="QYM278" s="1069"/>
      <c r="QYN278" s="1069"/>
      <c r="QYO278" s="1069"/>
      <c r="QYP278" s="1069"/>
      <c r="QYQ278" s="1069"/>
      <c r="QYR278" s="1069"/>
      <c r="QYS278" s="1069"/>
      <c r="QYT278" s="1069"/>
      <c r="QYU278" s="1069"/>
      <c r="QYV278" s="1069"/>
      <c r="QYW278" s="1069"/>
      <c r="QYX278" s="1069"/>
      <c r="QYY278" s="1069"/>
      <c r="QYZ278" s="1069"/>
      <c r="QZA278" s="1069"/>
      <c r="QZB278" s="1069"/>
      <c r="QZC278" s="1069"/>
      <c r="QZD278" s="1069"/>
      <c r="QZE278" s="1069"/>
      <c r="QZF278" s="1069"/>
      <c r="QZG278" s="1069"/>
      <c r="QZH278" s="1069"/>
      <c r="QZI278" s="1069"/>
      <c r="QZJ278" s="1069"/>
      <c r="QZK278" s="1069"/>
      <c r="QZL278" s="1069"/>
      <c r="QZM278" s="1069"/>
      <c r="QZN278" s="1069"/>
      <c r="QZO278" s="1069"/>
      <c r="QZP278" s="1069"/>
      <c r="QZQ278" s="1069"/>
      <c r="QZR278" s="1069"/>
      <c r="QZS278" s="1069"/>
      <c r="QZT278" s="1069"/>
      <c r="QZU278" s="1069"/>
      <c r="QZV278" s="1069"/>
      <c r="QZW278" s="1069"/>
      <c r="QZX278" s="1069"/>
      <c r="QZY278" s="1069"/>
      <c r="QZZ278" s="1069"/>
      <c r="RAA278" s="1069"/>
      <c r="RAB278" s="1069"/>
      <c r="RAC278" s="1069"/>
      <c r="RAD278" s="1069"/>
      <c r="RAE278" s="1069"/>
      <c r="RAF278" s="1069"/>
      <c r="RAG278" s="1069"/>
      <c r="RAH278" s="1069"/>
      <c r="RAI278" s="1069"/>
      <c r="RAJ278" s="1069"/>
      <c r="RAK278" s="1069"/>
      <c r="RAL278" s="1069"/>
      <c r="RAM278" s="1069"/>
      <c r="RAN278" s="1069"/>
      <c r="RAO278" s="1069"/>
      <c r="RAP278" s="1069"/>
      <c r="RAQ278" s="1069"/>
      <c r="RAR278" s="1069"/>
      <c r="RAS278" s="1069"/>
      <c r="RAT278" s="1069"/>
      <c r="RAU278" s="1069"/>
      <c r="RAV278" s="1069"/>
      <c r="RAW278" s="1069"/>
      <c r="RAX278" s="1069"/>
      <c r="RAY278" s="1069"/>
      <c r="RAZ278" s="1069"/>
      <c r="RBA278" s="1069"/>
      <c r="RBB278" s="1069"/>
      <c r="RBC278" s="1069"/>
      <c r="RBD278" s="1069"/>
      <c r="RBE278" s="1069"/>
      <c r="RBF278" s="1069"/>
      <c r="RBG278" s="1069"/>
      <c r="RBH278" s="1069"/>
      <c r="RBI278" s="1069"/>
      <c r="RBJ278" s="1069"/>
      <c r="RBK278" s="1069"/>
      <c r="RBL278" s="1069"/>
      <c r="RBM278" s="1069"/>
      <c r="RBN278" s="1069"/>
      <c r="RBO278" s="1069"/>
      <c r="RBP278" s="1069"/>
      <c r="RBQ278" s="1069"/>
      <c r="RBR278" s="1069"/>
      <c r="RBS278" s="1069"/>
      <c r="RBT278" s="1069"/>
      <c r="RBU278" s="1069"/>
      <c r="RBV278" s="1069"/>
      <c r="RBW278" s="1069"/>
      <c r="RBX278" s="1069"/>
      <c r="RBY278" s="1069"/>
      <c r="RBZ278" s="1069"/>
      <c r="RCA278" s="1069"/>
      <c r="RCB278" s="1069"/>
      <c r="RCC278" s="1069"/>
      <c r="RCD278" s="1069"/>
      <c r="RCE278" s="1069"/>
      <c r="RCF278" s="1069"/>
      <c r="RCG278" s="1069"/>
      <c r="RCH278" s="1069"/>
      <c r="RCI278" s="1069"/>
      <c r="RCJ278" s="1069"/>
      <c r="RCK278" s="1069"/>
      <c r="RCL278" s="1069"/>
      <c r="RCM278" s="1069"/>
      <c r="RCN278" s="1069"/>
      <c r="RCO278" s="1069"/>
      <c r="RCP278" s="1069"/>
      <c r="RCQ278" s="1069"/>
      <c r="RCR278" s="1069"/>
      <c r="RCS278" s="1069"/>
      <c r="RCT278" s="1069"/>
      <c r="RCU278" s="1069"/>
      <c r="RCV278" s="1069"/>
      <c r="RCW278" s="1069"/>
      <c r="RCX278" s="1069"/>
      <c r="RCY278" s="1069"/>
      <c r="RCZ278" s="1069"/>
      <c r="RDA278" s="1069"/>
      <c r="RDB278" s="1069"/>
      <c r="RDC278" s="1069"/>
      <c r="RDD278" s="1069"/>
      <c r="RDE278" s="1069"/>
      <c r="RDF278" s="1069"/>
      <c r="RDG278" s="1069"/>
      <c r="RDH278" s="1069"/>
      <c r="RDI278" s="1069"/>
      <c r="RDJ278" s="1069"/>
      <c r="RDK278" s="1069"/>
      <c r="RDL278" s="1069"/>
      <c r="RDM278" s="1069"/>
      <c r="RDN278" s="1069"/>
      <c r="RDO278" s="1069"/>
      <c r="RDP278" s="1069"/>
      <c r="RDQ278" s="1069"/>
      <c r="RDR278" s="1069"/>
      <c r="RDS278" s="1069"/>
      <c r="RDT278" s="1069"/>
      <c r="RDU278" s="1069"/>
      <c r="RDV278" s="1069"/>
      <c r="RDW278" s="1069"/>
      <c r="RDX278" s="1069"/>
      <c r="RDY278" s="1069"/>
      <c r="RDZ278" s="1069"/>
      <c r="REA278" s="1069"/>
      <c r="REB278" s="1069"/>
      <c r="REC278" s="1069"/>
      <c r="RED278" s="1069"/>
      <c r="REE278" s="1069"/>
      <c r="REF278" s="1069"/>
      <c r="REG278" s="1069"/>
      <c r="REH278" s="1069"/>
      <c r="REI278" s="1069"/>
      <c r="REJ278" s="1069"/>
      <c r="REK278" s="1069"/>
      <c r="REL278" s="1069"/>
      <c r="REM278" s="1069"/>
      <c r="REN278" s="1069"/>
      <c r="REO278" s="1069"/>
      <c r="REP278" s="1069"/>
      <c r="REQ278" s="1069"/>
      <c r="RER278" s="1069"/>
      <c r="RES278" s="1069"/>
      <c r="RET278" s="1069"/>
      <c r="REU278" s="1069"/>
      <c r="REV278" s="1069"/>
      <c r="REW278" s="1069"/>
      <c r="REX278" s="1069"/>
      <c r="REY278" s="1069"/>
      <c r="REZ278" s="1069"/>
      <c r="RFA278" s="1069"/>
      <c r="RFB278" s="1069"/>
      <c r="RFC278" s="1069"/>
      <c r="RFD278" s="1069"/>
      <c r="RFE278" s="1069"/>
      <c r="RFF278" s="1069"/>
      <c r="RFG278" s="1069"/>
      <c r="RFH278" s="1069"/>
      <c r="RFI278" s="1069"/>
      <c r="RFJ278" s="1069"/>
      <c r="RFK278" s="1069"/>
      <c r="RFL278" s="1069"/>
      <c r="RFM278" s="1069"/>
      <c r="RFN278" s="1069"/>
      <c r="RFO278" s="1069"/>
      <c r="RFP278" s="1069"/>
      <c r="RFQ278" s="1069"/>
      <c r="RFR278" s="1069"/>
      <c r="RFS278" s="1069"/>
      <c r="RFT278" s="1069"/>
      <c r="RFU278" s="1069"/>
      <c r="RFV278" s="1069"/>
      <c r="RFW278" s="1069"/>
      <c r="RFX278" s="1069"/>
      <c r="RFY278" s="1069"/>
      <c r="RFZ278" s="1069"/>
      <c r="RGA278" s="1069"/>
      <c r="RGB278" s="1069"/>
      <c r="RGC278" s="1069"/>
      <c r="RGD278" s="1069"/>
      <c r="RGE278" s="1069"/>
      <c r="RGF278" s="1069"/>
      <c r="RGG278" s="1069"/>
      <c r="RGH278" s="1069"/>
      <c r="RGI278" s="1069"/>
      <c r="RGJ278" s="1069"/>
      <c r="RGK278" s="1069"/>
      <c r="RGL278" s="1069"/>
      <c r="RGM278" s="1069"/>
      <c r="RGN278" s="1069"/>
      <c r="RGO278" s="1069"/>
      <c r="RGP278" s="1069"/>
      <c r="RGQ278" s="1069"/>
      <c r="RGR278" s="1069"/>
      <c r="RGS278" s="1069"/>
      <c r="RGT278" s="1069"/>
      <c r="RGU278" s="1069"/>
      <c r="RGV278" s="1069"/>
      <c r="RGW278" s="1069"/>
      <c r="RGX278" s="1069"/>
      <c r="RGY278" s="1069"/>
      <c r="RGZ278" s="1069"/>
      <c r="RHA278" s="1069"/>
      <c r="RHB278" s="1069"/>
      <c r="RHC278" s="1069"/>
      <c r="RHD278" s="1069"/>
      <c r="RHE278" s="1069"/>
      <c r="RHF278" s="1069"/>
      <c r="RHG278" s="1069"/>
      <c r="RHH278" s="1069"/>
      <c r="RHI278" s="1069"/>
      <c r="RHJ278" s="1069"/>
      <c r="RHK278" s="1069"/>
      <c r="RHL278" s="1069"/>
      <c r="RHM278" s="1069"/>
      <c r="RHN278" s="1069"/>
      <c r="RHO278" s="1069"/>
      <c r="RHP278" s="1069"/>
      <c r="RHQ278" s="1069"/>
      <c r="RHR278" s="1069"/>
      <c r="RHS278" s="1069"/>
      <c r="RHT278" s="1069"/>
      <c r="RHU278" s="1069"/>
      <c r="RHV278" s="1069"/>
      <c r="RHW278" s="1069"/>
      <c r="RHX278" s="1069"/>
      <c r="RHY278" s="1069"/>
      <c r="RHZ278" s="1069"/>
      <c r="RIA278" s="1069"/>
      <c r="RIB278" s="1069"/>
      <c r="RIC278" s="1069"/>
      <c r="RID278" s="1069"/>
      <c r="RIE278" s="1069"/>
      <c r="RIF278" s="1069"/>
      <c r="RIG278" s="1069"/>
      <c r="RIH278" s="1069"/>
      <c r="RII278" s="1069"/>
      <c r="RIJ278" s="1069"/>
      <c r="RIK278" s="1069"/>
      <c r="RIL278" s="1069"/>
      <c r="RIM278" s="1069"/>
      <c r="RIN278" s="1069"/>
      <c r="RIO278" s="1069"/>
      <c r="RIP278" s="1069"/>
      <c r="RIQ278" s="1069"/>
      <c r="RIR278" s="1069"/>
      <c r="RIS278" s="1069"/>
      <c r="RIT278" s="1069"/>
      <c r="RIU278" s="1069"/>
      <c r="RIV278" s="1069"/>
      <c r="RIW278" s="1069"/>
      <c r="RIX278" s="1069"/>
      <c r="RIY278" s="1069"/>
      <c r="RIZ278" s="1069"/>
      <c r="RJA278" s="1069"/>
      <c r="RJB278" s="1069"/>
      <c r="RJC278" s="1069"/>
      <c r="RJD278" s="1069"/>
      <c r="RJE278" s="1069"/>
      <c r="RJF278" s="1069"/>
      <c r="RJG278" s="1069"/>
      <c r="RJH278" s="1069"/>
      <c r="RJI278" s="1069"/>
      <c r="RJJ278" s="1069"/>
      <c r="RJK278" s="1069"/>
      <c r="RJL278" s="1069"/>
      <c r="RJM278" s="1069"/>
      <c r="RJN278" s="1069"/>
      <c r="RJO278" s="1069"/>
      <c r="RJP278" s="1069"/>
      <c r="RJQ278" s="1069"/>
      <c r="RJR278" s="1069"/>
      <c r="RJS278" s="1069"/>
      <c r="RJT278" s="1069"/>
      <c r="RJU278" s="1069"/>
      <c r="RJV278" s="1069"/>
      <c r="RJW278" s="1069"/>
      <c r="RJX278" s="1069"/>
      <c r="RJY278" s="1069"/>
      <c r="RJZ278" s="1069"/>
      <c r="RKA278" s="1069"/>
      <c r="RKB278" s="1069"/>
      <c r="RKC278" s="1069"/>
      <c r="RKD278" s="1069"/>
      <c r="RKE278" s="1069"/>
      <c r="RKF278" s="1069"/>
      <c r="RKG278" s="1069"/>
      <c r="RKH278" s="1069"/>
      <c r="RKI278" s="1069"/>
      <c r="RKJ278" s="1069"/>
      <c r="RKK278" s="1069"/>
      <c r="RKL278" s="1069"/>
      <c r="RKM278" s="1069"/>
      <c r="RKN278" s="1069"/>
      <c r="RKO278" s="1069"/>
      <c r="RKP278" s="1069"/>
      <c r="RKQ278" s="1069"/>
      <c r="RKR278" s="1069"/>
      <c r="RKS278" s="1069"/>
      <c r="RKT278" s="1069"/>
      <c r="RKU278" s="1069"/>
      <c r="RKV278" s="1069"/>
      <c r="RKW278" s="1069"/>
      <c r="RKX278" s="1069"/>
      <c r="RKY278" s="1069"/>
      <c r="RKZ278" s="1069"/>
      <c r="RLA278" s="1069"/>
      <c r="RLB278" s="1069"/>
      <c r="RLC278" s="1069"/>
      <c r="RLD278" s="1069"/>
      <c r="RLE278" s="1069"/>
      <c r="RLF278" s="1069"/>
      <c r="RLG278" s="1069"/>
      <c r="RLH278" s="1069"/>
      <c r="RLI278" s="1069"/>
      <c r="RLJ278" s="1069"/>
      <c r="RLK278" s="1069"/>
      <c r="RLL278" s="1069"/>
      <c r="RLM278" s="1069"/>
      <c r="RLN278" s="1069"/>
      <c r="RLO278" s="1069"/>
      <c r="RLP278" s="1069"/>
      <c r="RLQ278" s="1069"/>
      <c r="RLR278" s="1069"/>
      <c r="RLS278" s="1069"/>
      <c r="RLT278" s="1069"/>
      <c r="RLU278" s="1069"/>
      <c r="RLV278" s="1069"/>
      <c r="RLW278" s="1069"/>
      <c r="RLX278" s="1069"/>
      <c r="RLY278" s="1069"/>
      <c r="RLZ278" s="1069"/>
      <c r="RMA278" s="1069"/>
      <c r="RMB278" s="1069"/>
      <c r="RMC278" s="1069"/>
      <c r="RMD278" s="1069"/>
      <c r="RME278" s="1069"/>
      <c r="RMF278" s="1069"/>
      <c r="RMG278" s="1069"/>
      <c r="RMH278" s="1069"/>
      <c r="RMI278" s="1069"/>
      <c r="RMJ278" s="1069"/>
      <c r="RMK278" s="1069"/>
      <c r="RML278" s="1069"/>
      <c r="RMM278" s="1069"/>
      <c r="RMN278" s="1069"/>
      <c r="RMO278" s="1069"/>
      <c r="RMP278" s="1069"/>
      <c r="RMQ278" s="1069"/>
      <c r="RMR278" s="1069"/>
      <c r="RMS278" s="1069"/>
      <c r="RMT278" s="1069"/>
      <c r="RMU278" s="1069"/>
      <c r="RMV278" s="1069"/>
      <c r="RMW278" s="1069"/>
      <c r="RMX278" s="1069"/>
      <c r="RMY278" s="1069"/>
      <c r="RMZ278" s="1069"/>
      <c r="RNA278" s="1069"/>
      <c r="RNB278" s="1069"/>
      <c r="RNC278" s="1069"/>
      <c r="RND278" s="1069"/>
      <c r="RNE278" s="1069"/>
      <c r="RNF278" s="1069"/>
      <c r="RNG278" s="1069"/>
      <c r="RNH278" s="1069"/>
      <c r="RNI278" s="1069"/>
      <c r="RNJ278" s="1069"/>
      <c r="RNK278" s="1069"/>
      <c r="RNL278" s="1069"/>
      <c r="RNM278" s="1069"/>
      <c r="RNN278" s="1069"/>
      <c r="RNO278" s="1069"/>
      <c r="RNP278" s="1069"/>
      <c r="RNQ278" s="1069"/>
      <c r="RNR278" s="1069"/>
      <c r="RNS278" s="1069"/>
      <c r="RNT278" s="1069"/>
      <c r="RNU278" s="1069"/>
      <c r="RNV278" s="1069"/>
      <c r="RNW278" s="1069"/>
      <c r="RNX278" s="1069"/>
      <c r="RNY278" s="1069"/>
      <c r="RNZ278" s="1069"/>
      <c r="ROA278" s="1069"/>
      <c r="ROB278" s="1069"/>
      <c r="ROC278" s="1069"/>
      <c r="ROD278" s="1069"/>
      <c r="ROE278" s="1069"/>
      <c r="ROF278" s="1069"/>
      <c r="ROG278" s="1069"/>
      <c r="ROH278" s="1069"/>
      <c r="ROI278" s="1069"/>
      <c r="ROJ278" s="1069"/>
      <c r="ROK278" s="1069"/>
      <c r="ROL278" s="1069"/>
      <c r="ROM278" s="1069"/>
      <c r="RON278" s="1069"/>
      <c r="ROO278" s="1069"/>
      <c r="ROP278" s="1069"/>
      <c r="ROQ278" s="1069"/>
      <c r="ROR278" s="1069"/>
      <c r="ROS278" s="1069"/>
      <c r="ROT278" s="1069"/>
      <c r="ROU278" s="1069"/>
      <c r="ROV278" s="1069"/>
      <c r="ROW278" s="1069"/>
      <c r="ROX278" s="1069"/>
      <c r="ROY278" s="1069"/>
      <c r="ROZ278" s="1069"/>
      <c r="RPA278" s="1069"/>
      <c r="RPB278" s="1069"/>
      <c r="RPC278" s="1069"/>
      <c r="RPD278" s="1069"/>
      <c r="RPE278" s="1069"/>
      <c r="RPF278" s="1069"/>
      <c r="RPG278" s="1069"/>
      <c r="RPH278" s="1069"/>
      <c r="RPI278" s="1069"/>
      <c r="RPJ278" s="1069"/>
      <c r="RPK278" s="1069"/>
      <c r="RPL278" s="1069"/>
      <c r="RPM278" s="1069"/>
      <c r="RPN278" s="1069"/>
      <c r="RPO278" s="1069"/>
      <c r="RPP278" s="1069"/>
      <c r="RPQ278" s="1069"/>
      <c r="RPR278" s="1069"/>
      <c r="RPS278" s="1069"/>
      <c r="RPT278" s="1069"/>
      <c r="RPU278" s="1069"/>
      <c r="RPV278" s="1069"/>
      <c r="RPW278" s="1069"/>
      <c r="RPX278" s="1069"/>
      <c r="RPY278" s="1069"/>
      <c r="RPZ278" s="1069"/>
      <c r="RQA278" s="1069"/>
      <c r="RQB278" s="1069"/>
      <c r="RQC278" s="1069"/>
      <c r="RQD278" s="1069"/>
      <c r="RQE278" s="1069"/>
      <c r="RQF278" s="1069"/>
      <c r="RQG278" s="1069"/>
      <c r="RQH278" s="1069"/>
      <c r="RQI278" s="1069"/>
      <c r="RQJ278" s="1069"/>
      <c r="RQK278" s="1069"/>
      <c r="RQL278" s="1069"/>
      <c r="RQM278" s="1069"/>
      <c r="RQN278" s="1069"/>
      <c r="RQO278" s="1069"/>
      <c r="RQP278" s="1069"/>
      <c r="RQQ278" s="1069"/>
      <c r="RQR278" s="1069"/>
      <c r="RQS278" s="1069"/>
      <c r="RQT278" s="1069"/>
      <c r="RQU278" s="1069"/>
      <c r="RQV278" s="1069"/>
      <c r="RQW278" s="1069"/>
      <c r="RQX278" s="1069"/>
      <c r="RQY278" s="1069"/>
      <c r="RQZ278" s="1069"/>
      <c r="RRA278" s="1069"/>
      <c r="RRB278" s="1069"/>
      <c r="RRC278" s="1069"/>
      <c r="RRD278" s="1069"/>
      <c r="RRE278" s="1069"/>
      <c r="RRF278" s="1069"/>
      <c r="RRG278" s="1069"/>
      <c r="RRH278" s="1069"/>
      <c r="RRI278" s="1069"/>
      <c r="RRJ278" s="1069"/>
      <c r="RRK278" s="1069"/>
      <c r="RRL278" s="1069"/>
      <c r="RRM278" s="1069"/>
      <c r="RRN278" s="1069"/>
      <c r="RRO278" s="1069"/>
      <c r="RRP278" s="1069"/>
      <c r="RRQ278" s="1069"/>
      <c r="RRR278" s="1069"/>
      <c r="RRS278" s="1069"/>
      <c r="RRT278" s="1069"/>
      <c r="RRU278" s="1069"/>
      <c r="RRV278" s="1069"/>
      <c r="RRW278" s="1069"/>
      <c r="RRX278" s="1069"/>
      <c r="RRY278" s="1069"/>
      <c r="RRZ278" s="1069"/>
      <c r="RSA278" s="1069"/>
      <c r="RSB278" s="1069"/>
      <c r="RSC278" s="1069"/>
      <c r="RSD278" s="1069"/>
      <c r="RSE278" s="1069"/>
      <c r="RSF278" s="1069"/>
      <c r="RSG278" s="1069"/>
      <c r="RSH278" s="1069"/>
      <c r="RSI278" s="1069"/>
      <c r="RSJ278" s="1069"/>
      <c r="RSK278" s="1069"/>
      <c r="RSL278" s="1069"/>
      <c r="RSM278" s="1069"/>
      <c r="RSN278" s="1069"/>
      <c r="RSO278" s="1069"/>
      <c r="RSP278" s="1069"/>
      <c r="RSQ278" s="1069"/>
      <c r="RSR278" s="1069"/>
      <c r="RSS278" s="1069"/>
      <c r="RST278" s="1069"/>
      <c r="RSU278" s="1069"/>
      <c r="RSV278" s="1069"/>
      <c r="RSW278" s="1069"/>
      <c r="RSX278" s="1069"/>
      <c r="RSY278" s="1069"/>
      <c r="RSZ278" s="1069"/>
      <c r="RTA278" s="1069"/>
      <c r="RTB278" s="1069"/>
      <c r="RTC278" s="1069"/>
      <c r="RTD278" s="1069"/>
      <c r="RTE278" s="1069"/>
      <c r="RTF278" s="1069"/>
      <c r="RTG278" s="1069"/>
      <c r="RTH278" s="1069"/>
      <c r="RTI278" s="1069"/>
      <c r="RTJ278" s="1069"/>
      <c r="RTK278" s="1069"/>
      <c r="RTL278" s="1069"/>
      <c r="RTM278" s="1069"/>
      <c r="RTN278" s="1069"/>
      <c r="RTO278" s="1069"/>
      <c r="RTP278" s="1069"/>
      <c r="RTQ278" s="1069"/>
      <c r="RTR278" s="1069"/>
      <c r="RTS278" s="1069"/>
      <c r="RTT278" s="1069"/>
      <c r="RTU278" s="1069"/>
      <c r="RTV278" s="1069"/>
      <c r="RTW278" s="1069"/>
      <c r="RTX278" s="1069"/>
      <c r="RTY278" s="1069"/>
      <c r="RTZ278" s="1069"/>
      <c r="RUA278" s="1069"/>
      <c r="RUB278" s="1069"/>
      <c r="RUC278" s="1069"/>
      <c r="RUD278" s="1069"/>
      <c r="RUE278" s="1069"/>
      <c r="RUF278" s="1069"/>
      <c r="RUG278" s="1069"/>
      <c r="RUH278" s="1069"/>
      <c r="RUI278" s="1069"/>
      <c r="RUJ278" s="1069"/>
      <c r="RUK278" s="1069"/>
      <c r="RUL278" s="1069"/>
      <c r="RUM278" s="1069"/>
      <c r="RUN278" s="1069"/>
      <c r="RUO278" s="1069"/>
      <c r="RUP278" s="1069"/>
      <c r="RUQ278" s="1069"/>
      <c r="RUR278" s="1069"/>
      <c r="RUS278" s="1069"/>
      <c r="RUT278" s="1069"/>
      <c r="RUU278" s="1069"/>
      <c r="RUV278" s="1069"/>
      <c r="RUW278" s="1069"/>
      <c r="RUX278" s="1069"/>
      <c r="RUY278" s="1069"/>
      <c r="RUZ278" s="1069"/>
      <c r="RVA278" s="1069"/>
      <c r="RVB278" s="1069"/>
      <c r="RVC278" s="1069"/>
      <c r="RVD278" s="1069"/>
      <c r="RVE278" s="1069"/>
      <c r="RVF278" s="1069"/>
      <c r="RVG278" s="1069"/>
      <c r="RVH278" s="1069"/>
      <c r="RVI278" s="1069"/>
      <c r="RVJ278" s="1069"/>
      <c r="RVK278" s="1069"/>
      <c r="RVL278" s="1069"/>
      <c r="RVM278" s="1069"/>
      <c r="RVN278" s="1069"/>
      <c r="RVO278" s="1069"/>
      <c r="RVP278" s="1069"/>
      <c r="RVQ278" s="1069"/>
      <c r="RVR278" s="1069"/>
      <c r="RVS278" s="1069"/>
      <c r="RVT278" s="1069"/>
      <c r="RVU278" s="1069"/>
      <c r="RVV278" s="1069"/>
      <c r="RVW278" s="1069"/>
      <c r="RVX278" s="1069"/>
      <c r="RVY278" s="1069"/>
      <c r="RVZ278" s="1069"/>
      <c r="RWA278" s="1069"/>
      <c r="RWB278" s="1069"/>
      <c r="RWC278" s="1069"/>
      <c r="RWD278" s="1069"/>
      <c r="RWE278" s="1069"/>
      <c r="RWF278" s="1069"/>
      <c r="RWG278" s="1069"/>
      <c r="RWH278" s="1069"/>
      <c r="RWI278" s="1069"/>
      <c r="RWJ278" s="1069"/>
      <c r="RWK278" s="1069"/>
      <c r="RWL278" s="1069"/>
      <c r="RWM278" s="1069"/>
      <c r="RWN278" s="1069"/>
      <c r="RWO278" s="1069"/>
      <c r="RWP278" s="1069"/>
      <c r="RWQ278" s="1069"/>
      <c r="RWR278" s="1069"/>
      <c r="RWS278" s="1069"/>
      <c r="RWT278" s="1069"/>
      <c r="RWU278" s="1069"/>
      <c r="RWV278" s="1069"/>
      <c r="RWW278" s="1069"/>
      <c r="RWX278" s="1069"/>
      <c r="RWY278" s="1069"/>
      <c r="RWZ278" s="1069"/>
      <c r="RXA278" s="1069"/>
      <c r="RXB278" s="1069"/>
      <c r="RXC278" s="1069"/>
      <c r="RXD278" s="1069"/>
      <c r="RXE278" s="1069"/>
      <c r="RXF278" s="1069"/>
      <c r="RXG278" s="1069"/>
      <c r="RXH278" s="1069"/>
      <c r="RXI278" s="1069"/>
      <c r="RXJ278" s="1069"/>
      <c r="RXK278" s="1069"/>
      <c r="RXL278" s="1069"/>
      <c r="RXM278" s="1069"/>
      <c r="RXN278" s="1069"/>
      <c r="RXO278" s="1069"/>
      <c r="RXP278" s="1069"/>
      <c r="RXQ278" s="1069"/>
      <c r="RXR278" s="1069"/>
      <c r="RXS278" s="1069"/>
      <c r="RXT278" s="1069"/>
      <c r="RXU278" s="1069"/>
      <c r="RXV278" s="1069"/>
      <c r="RXW278" s="1069"/>
      <c r="RXX278" s="1069"/>
      <c r="RXY278" s="1069"/>
      <c r="RXZ278" s="1069"/>
      <c r="RYA278" s="1069"/>
      <c r="RYB278" s="1069"/>
      <c r="RYC278" s="1069"/>
      <c r="RYD278" s="1069"/>
      <c r="RYE278" s="1069"/>
      <c r="RYF278" s="1069"/>
      <c r="RYG278" s="1069"/>
      <c r="RYH278" s="1069"/>
      <c r="RYI278" s="1069"/>
      <c r="RYJ278" s="1069"/>
      <c r="RYK278" s="1069"/>
      <c r="RYL278" s="1069"/>
      <c r="RYM278" s="1069"/>
      <c r="RYN278" s="1069"/>
      <c r="RYO278" s="1069"/>
      <c r="RYP278" s="1069"/>
      <c r="RYQ278" s="1069"/>
      <c r="RYR278" s="1069"/>
      <c r="RYS278" s="1069"/>
      <c r="RYT278" s="1069"/>
      <c r="RYU278" s="1069"/>
      <c r="RYV278" s="1069"/>
      <c r="RYW278" s="1069"/>
      <c r="RYX278" s="1069"/>
      <c r="RYY278" s="1069"/>
      <c r="RYZ278" s="1069"/>
      <c r="RZA278" s="1069"/>
      <c r="RZB278" s="1069"/>
      <c r="RZC278" s="1069"/>
      <c r="RZD278" s="1069"/>
      <c r="RZE278" s="1069"/>
      <c r="RZF278" s="1069"/>
      <c r="RZG278" s="1069"/>
      <c r="RZH278" s="1069"/>
      <c r="RZI278" s="1069"/>
      <c r="RZJ278" s="1069"/>
      <c r="RZK278" s="1069"/>
      <c r="RZL278" s="1069"/>
      <c r="RZM278" s="1069"/>
      <c r="RZN278" s="1069"/>
      <c r="RZO278" s="1069"/>
      <c r="RZP278" s="1069"/>
      <c r="RZQ278" s="1069"/>
      <c r="RZR278" s="1069"/>
      <c r="RZS278" s="1069"/>
      <c r="RZT278" s="1069"/>
      <c r="RZU278" s="1069"/>
      <c r="RZV278" s="1069"/>
      <c r="RZW278" s="1069"/>
      <c r="RZX278" s="1069"/>
      <c r="RZY278" s="1069"/>
      <c r="RZZ278" s="1069"/>
      <c r="SAA278" s="1069"/>
      <c r="SAB278" s="1069"/>
      <c r="SAC278" s="1069"/>
      <c r="SAD278" s="1069"/>
      <c r="SAE278" s="1069"/>
      <c r="SAF278" s="1069"/>
      <c r="SAG278" s="1069"/>
      <c r="SAH278" s="1069"/>
      <c r="SAI278" s="1069"/>
      <c r="SAJ278" s="1069"/>
      <c r="SAK278" s="1069"/>
      <c r="SAL278" s="1069"/>
      <c r="SAM278" s="1069"/>
      <c r="SAN278" s="1069"/>
      <c r="SAO278" s="1069"/>
      <c r="SAP278" s="1069"/>
      <c r="SAQ278" s="1069"/>
      <c r="SAR278" s="1069"/>
      <c r="SAS278" s="1069"/>
      <c r="SAT278" s="1069"/>
      <c r="SAU278" s="1069"/>
      <c r="SAV278" s="1069"/>
      <c r="SAW278" s="1069"/>
      <c r="SAX278" s="1069"/>
      <c r="SAY278" s="1069"/>
      <c r="SAZ278" s="1069"/>
      <c r="SBA278" s="1069"/>
      <c r="SBB278" s="1069"/>
      <c r="SBC278" s="1069"/>
      <c r="SBD278" s="1069"/>
      <c r="SBE278" s="1069"/>
      <c r="SBF278" s="1069"/>
      <c r="SBG278" s="1069"/>
      <c r="SBH278" s="1069"/>
      <c r="SBI278" s="1069"/>
      <c r="SBJ278" s="1069"/>
      <c r="SBK278" s="1069"/>
      <c r="SBL278" s="1069"/>
      <c r="SBM278" s="1069"/>
      <c r="SBN278" s="1069"/>
      <c r="SBO278" s="1069"/>
      <c r="SBP278" s="1069"/>
      <c r="SBQ278" s="1069"/>
      <c r="SBR278" s="1069"/>
      <c r="SBS278" s="1069"/>
      <c r="SBT278" s="1069"/>
      <c r="SBU278" s="1069"/>
      <c r="SBV278" s="1069"/>
      <c r="SBW278" s="1069"/>
      <c r="SBX278" s="1069"/>
      <c r="SBY278" s="1069"/>
      <c r="SBZ278" s="1069"/>
      <c r="SCA278" s="1069"/>
      <c r="SCB278" s="1069"/>
      <c r="SCC278" s="1069"/>
      <c r="SCD278" s="1069"/>
      <c r="SCE278" s="1069"/>
      <c r="SCF278" s="1069"/>
      <c r="SCG278" s="1069"/>
      <c r="SCH278" s="1069"/>
      <c r="SCI278" s="1069"/>
      <c r="SCJ278" s="1069"/>
      <c r="SCK278" s="1069"/>
      <c r="SCL278" s="1069"/>
      <c r="SCM278" s="1069"/>
      <c r="SCN278" s="1069"/>
      <c r="SCO278" s="1069"/>
      <c r="SCP278" s="1069"/>
      <c r="SCQ278" s="1069"/>
      <c r="SCR278" s="1069"/>
      <c r="SCS278" s="1069"/>
      <c r="SCT278" s="1069"/>
      <c r="SCU278" s="1069"/>
      <c r="SCV278" s="1069"/>
      <c r="SCW278" s="1069"/>
      <c r="SCX278" s="1069"/>
      <c r="SCY278" s="1069"/>
      <c r="SCZ278" s="1069"/>
      <c r="SDA278" s="1069"/>
      <c r="SDB278" s="1069"/>
      <c r="SDC278" s="1069"/>
      <c r="SDD278" s="1069"/>
      <c r="SDE278" s="1069"/>
      <c r="SDF278" s="1069"/>
      <c r="SDG278" s="1069"/>
      <c r="SDH278" s="1069"/>
      <c r="SDI278" s="1069"/>
      <c r="SDJ278" s="1069"/>
      <c r="SDK278" s="1069"/>
      <c r="SDL278" s="1069"/>
      <c r="SDM278" s="1069"/>
      <c r="SDN278" s="1069"/>
      <c r="SDO278" s="1069"/>
      <c r="SDP278" s="1069"/>
      <c r="SDQ278" s="1069"/>
      <c r="SDR278" s="1069"/>
      <c r="SDS278" s="1069"/>
      <c r="SDT278" s="1069"/>
      <c r="SDU278" s="1069"/>
      <c r="SDV278" s="1069"/>
      <c r="SDW278" s="1069"/>
      <c r="SDX278" s="1069"/>
      <c r="SDY278" s="1069"/>
      <c r="SDZ278" s="1069"/>
      <c r="SEA278" s="1069"/>
      <c r="SEB278" s="1069"/>
      <c r="SEC278" s="1069"/>
      <c r="SED278" s="1069"/>
      <c r="SEE278" s="1069"/>
      <c r="SEF278" s="1069"/>
      <c r="SEG278" s="1069"/>
      <c r="SEH278" s="1069"/>
      <c r="SEI278" s="1069"/>
      <c r="SEJ278" s="1069"/>
      <c r="SEK278" s="1069"/>
      <c r="SEL278" s="1069"/>
      <c r="SEM278" s="1069"/>
      <c r="SEN278" s="1069"/>
      <c r="SEO278" s="1069"/>
      <c r="SEP278" s="1069"/>
      <c r="SEQ278" s="1069"/>
      <c r="SER278" s="1069"/>
      <c r="SES278" s="1069"/>
      <c r="SET278" s="1069"/>
      <c r="SEU278" s="1069"/>
      <c r="SEV278" s="1069"/>
      <c r="SEW278" s="1069"/>
      <c r="SEX278" s="1069"/>
      <c r="SEY278" s="1069"/>
      <c r="SEZ278" s="1069"/>
      <c r="SFA278" s="1069"/>
      <c r="SFB278" s="1069"/>
      <c r="SFC278" s="1069"/>
      <c r="SFD278" s="1069"/>
      <c r="SFE278" s="1069"/>
      <c r="SFF278" s="1069"/>
      <c r="SFG278" s="1069"/>
      <c r="SFH278" s="1069"/>
      <c r="SFI278" s="1069"/>
      <c r="SFJ278" s="1069"/>
      <c r="SFK278" s="1069"/>
      <c r="SFL278" s="1069"/>
      <c r="SFM278" s="1069"/>
      <c r="SFN278" s="1069"/>
      <c r="SFO278" s="1069"/>
      <c r="SFP278" s="1069"/>
      <c r="SFQ278" s="1069"/>
      <c r="SFR278" s="1069"/>
      <c r="SFS278" s="1069"/>
      <c r="SFT278" s="1069"/>
      <c r="SFU278" s="1069"/>
      <c r="SFV278" s="1069"/>
      <c r="SFW278" s="1069"/>
      <c r="SFX278" s="1069"/>
      <c r="SFY278" s="1069"/>
      <c r="SFZ278" s="1069"/>
      <c r="SGA278" s="1069"/>
      <c r="SGB278" s="1069"/>
      <c r="SGC278" s="1069"/>
      <c r="SGD278" s="1069"/>
      <c r="SGE278" s="1069"/>
      <c r="SGF278" s="1069"/>
      <c r="SGG278" s="1069"/>
      <c r="SGH278" s="1069"/>
      <c r="SGI278" s="1069"/>
      <c r="SGJ278" s="1069"/>
      <c r="SGK278" s="1069"/>
      <c r="SGL278" s="1069"/>
      <c r="SGM278" s="1069"/>
      <c r="SGN278" s="1069"/>
      <c r="SGO278" s="1069"/>
      <c r="SGP278" s="1069"/>
      <c r="SGQ278" s="1069"/>
      <c r="SGR278" s="1069"/>
      <c r="SGS278" s="1069"/>
      <c r="SGT278" s="1069"/>
      <c r="SGU278" s="1069"/>
      <c r="SGV278" s="1069"/>
      <c r="SGW278" s="1069"/>
      <c r="SGX278" s="1069"/>
      <c r="SGY278" s="1069"/>
      <c r="SGZ278" s="1069"/>
      <c r="SHA278" s="1069"/>
      <c r="SHB278" s="1069"/>
      <c r="SHC278" s="1069"/>
      <c r="SHD278" s="1069"/>
      <c r="SHE278" s="1069"/>
      <c r="SHF278" s="1069"/>
      <c r="SHG278" s="1069"/>
      <c r="SHH278" s="1069"/>
      <c r="SHI278" s="1069"/>
      <c r="SHJ278" s="1069"/>
      <c r="SHK278" s="1069"/>
      <c r="SHL278" s="1069"/>
      <c r="SHM278" s="1069"/>
      <c r="SHN278" s="1069"/>
      <c r="SHO278" s="1069"/>
      <c r="SHP278" s="1069"/>
      <c r="SHQ278" s="1069"/>
      <c r="SHR278" s="1069"/>
      <c r="SHS278" s="1069"/>
      <c r="SHT278" s="1069"/>
      <c r="SHU278" s="1069"/>
      <c r="SHV278" s="1069"/>
      <c r="SHW278" s="1069"/>
      <c r="SHX278" s="1069"/>
      <c r="SHY278" s="1069"/>
      <c r="SHZ278" s="1069"/>
      <c r="SIA278" s="1069"/>
      <c r="SIB278" s="1069"/>
      <c r="SIC278" s="1069"/>
      <c r="SID278" s="1069"/>
      <c r="SIE278" s="1069"/>
      <c r="SIF278" s="1069"/>
      <c r="SIG278" s="1069"/>
      <c r="SIH278" s="1069"/>
      <c r="SII278" s="1069"/>
      <c r="SIJ278" s="1069"/>
      <c r="SIK278" s="1069"/>
      <c r="SIL278" s="1069"/>
      <c r="SIM278" s="1069"/>
      <c r="SIN278" s="1069"/>
      <c r="SIO278" s="1069"/>
      <c r="SIP278" s="1069"/>
      <c r="SIQ278" s="1069"/>
      <c r="SIR278" s="1069"/>
      <c r="SIS278" s="1069"/>
      <c r="SIT278" s="1069"/>
      <c r="SIU278" s="1069"/>
      <c r="SIV278" s="1069"/>
      <c r="SIW278" s="1069"/>
      <c r="SIX278" s="1069"/>
      <c r="SIY278" s="1069"/>
      <c r="SIZ278" s="1069"/>
      <c r="SJA278" s="1069"/>
      <c r="SJB278" s="1069"/>
      <c r="SJC278" s="1069"/>
      <c r="SJD278" s="1069"/>
      <c r="SJE278" s="1069"/>
      <c r="SJF278" s="1069"/>
      <c r="SJG278" s="1069"/>
      <c r="SJH278" s="1069"/>
      <c r="SJI278" s="1069"/>
      <c r="SJJ278" s="1069"/>
      <c r="SJK278" s="1069"/>
      <c r="SJL278" s="1069"/>
      <c r="SJM278" s="1069"/>
      <c r="SJN278" s="1069"/>
      <c r="SJO278" s="1069"/>
      <c r="SJP278" s="1069"/>
      <c r="SJQ278" s="1069"/>
      <c r="SJR278" s="1069"/>
      <c r="SJS278" s="1069"/>
      <c r="SJT278" s="1069"/>
      <c r="SJU278" s="1069"/>
      <c r="SJV278" s="1069"/>
      <c r="SJW278" s="1069"/>
      <c r="SJX278" s="1069"/>
      <c r="SJY278" s="1069"/>
      <c r="SJZ278" s="1069"/>
      <c r="SKA278" s="1069"/>
      <c r="SKB278" s="1069"/>
      <c r="SKC278" s="1069"/>
      <c r="SKD278" s="1069"/>
      <c r="SKE278" s="1069"/>
      <c r="SKF278" s="1069"/>
      <c r="SKG278" s="1069"/>
      <c r="SKH278" s="1069"/>
      <c r="SKI278" s="1069"/>
      <c r="SKJ278" s="1069"/>
      <c r="SKK278" s="1069"/>
      <c r="SKL278" s="1069"/>
      <c r="SKM278" s="1069"/>
      <c r="SKN278" s="1069"/>
      <c r="SKO278" s="1069"/>
      <c r="SKP278" s="1069"/>
      <c r="SKQ278" s="1069"/>
      <c r="SKR278" s="1069"/>
      <c r="SKS278" s="1069"/>
      <c r="SKT278" s="1069"/>
      <c r="SKU278" s="1069"/>
      <c r="SKV278" s="1069"/>
      <c r="SKW278" s="1069"/>
      <c r="SKX278" s="1069"/>
      <c r="SKY278" s="1069"/>
      <c r="SKZ278" s="1069"/>
      <c r="SLA278" s="1069"/>
      <c r="SLB278" s="1069"/>
      <c r="SLC278" s="1069"/>
      <c r="SLD278" s="1069"/>
      <c r="SLE278" s="1069"/>
      <c r="SLF278" s="1069"/>
      <c r="SLG278" s="1069"/>
      <c r="SLH278" s="1069"/>
      <c r="SLI278" s="1069"/>
      <c r="SLJ278" s="1069"/>
      <c r="SLK278" s="1069"/>
      <c r="SLL278" s="1069"/>
      <c r="SLM278" s="1069"/>
      <c r="SLN278" s="1069"/>
      <c r="SLO278" s="1069"/>
      <c r="SLP278" s="1069"/>
      <c r="SLQ278" s="1069"/>
      <c r="SLR278" s="1069"/>
      <c r="SLS278" s="1069"/>
      <c r="SLT278" s="1069"/>
      <c r="SLU278" s="1069"/>
      <c r="SLV278" s="1069"/>
      <c r="SLW278" s="1069"/>
      <c r="SLX278" s="1069"/>
      <c r="SLY278" s="1069"/>
      <c r="SLZ278" s="1069"/>
      <c r="SMA278" s="1069"/>
      <c r="SMB278" s="1069"/>
      <c r="SMC278" s="1069"/>
      <c r="SMD278" s="1069"/>
      <c r="SME278" s="1069"/>
      <c r="SMF278" s="1069"/>
      <c r="SMG278" s="1069"/>
      <c r="SMH278" s="1069"/>
      <c r="SMI278" s="1069"/>
      <c r="SMJ278" s="1069"/>
      <c r="SMK278" s="1069"/>
      <c r="SML278" s="1069"/>
      <c r="SMM278" s="1069"/>
      <c r="SMN278" s="1069"/>
      <c r="SMO278" s="1069"/>
      <c r="SMP278" s="1069"/>
      <c r="SMQ278" s="1069"/>
      <c r="SMR278" s="1069"/>
      <c r="SMS278" s="1069"/>
      <c r="SMT278" s="1069"/>
      <c r="SMU278" s="1069"/>
      <c r="SMV278" s="1069"/>
      <c r="SMW278" s="1069"/>
      <c r="SMX278" s="1069"/>
      <c r="SMY278" s="1069"/>
      <c r="SMZ278" s="1069"/>
      <c r="SNA278" s="1069"/>
      <c r="SNB278" s="1069"/>
      <c r="SNC278" s="1069"/>
      <c r="SND278" s="1069"/>
      <c r="SNE278" s="1069"/>
      <c r="SNF278" s="1069"/>
      <c r="SNG278" s="1069"/>
      <c r="SNH278" s="1069"/>
      <c r="SNI278" s="1069"/>
      <c r="SNJ278" s="1069"/>
      <c r="SNK278" s="1069"/>
      <c r="SNL278" s="1069"/>
      <c r="SNM278" s="1069"/>
      <c r="SNN278" s="1069"/>
      <c r="SNO278" s="1069"/>
      <c r="SNP278" s="1069"/>
      <c r="SNQ278" s="1069"/>
      <c r="SNR278" s="1069"/>
      <c r="SNS278" s="1069"/>
      <c r="SNT278" s="1069"/>
      <c r="SNU278" s="1069"/>
      <c r="SNV278" s="1069"/>
      <c r="SNW278" s="1069"/>
      <c r="SNX278" s="1069"/>
      <c r="SNY278" s="1069"/>
      <c r="SNZ278" s="1069"/>
      <c r="SOA278" s="1069"/>
      <c r="SOB278" s="1069"/>
      <c r="SOC278" s="1069"/>
      <c r="SOD278" s="1069"/>
      <c r="SOE278" s="1069"/>
      <c r="SOF278" s="1069"/>
      <c r="SOG278" s="1069"/>
      <c r="SOH278" s="1069"/>
      <c r="SOI278" s="1069"/>
      <c r="SOJ278" s="1069"/>
      <c r="SOK278" s="1069"/>
      <c r="SOL278" s="1069"/>
      <c r="SOM278" s="1069"/>
      <c r="SON278" s="1069"/>
      <c r="SOO278" s="1069"/>
      <c r="SOP278" s="1069"/>
      <c r="SOQ278" s="1069"/>
      <c r="SOR278" s="1069"/>
      <c r="SOS278" s="1069"/>
      <c r="SOT278" s="1069"/>
      <c r="SOU278" s="1069"/>
      <c r="SOV278" s="1069"/>
      <c r="SOW278" s="1069"/>
      <c r="SOX278" s="1069"/>
      <c r="SOY278" s="1069"/>
      <c r="SOZ278" s="1069"/>
      <c r="SPA278" s="1069"/>
      <c r="SPB278" s="1069"/>
      <c r="SPC278" s="1069"/>
      <c r="SPD278" s="1069"/>
      <c r="SPE278" s="1069"/>
      <c r="SPF278" s="1069"/>
      <c r="SPG278" s="1069"/>
      <c r="SPH278" s="1069"/>
      <c r="SPI278" s="1069"/>
      <c r="SPJ278" s="1069"/>
      <c r="SPK278" s="1069"/>
      <c r="SPL278" s="1069"/>
      <c r="SPM278" s="1069"/>
      <c r="SPN278" s="1069"/>
      <c r="SPO278" s="1069"/>
      <c r="SPP278" s="1069"/>
      <c r="SPQ278" s="1069"/>
      <c r="SPR278" s="1069"/>
      <c r="SPS278" s="1069"/>
      <c r="SPT278" s="1069"/>
      <c r="SPU278" s="1069"/>
      <c r="SPV278" s="1069"/>
      <c r="SPW278" s="1069"/>
      <c r="SPX278" s="1069"/>
      <c r="SPY278" s="1069"/>
      <c r="SPZ278" s="1069"/>
      <c r="SQA278" s="1069"/>
      <c r="SQB278" s="1069"/>
      <c r="SQC278" s="1069"/>
      <c r="SQD278" s="1069"/>
      <c r="SQE278" s="1069"/>
      <c r="SQF278" s="1069"/>
      <c r="SQG278" s="1069"/>
      <c r="SQH278" s="1069"/>
      <c r="SQI278" s="1069"/>
      <c r="SQJ278" s="1069"/>
      <c r="SQK278" s="1069"/>
      <c r="SQL278" s="1069"/>
      <c r="SQM278" s="1069"/>
      <c r="SQN278" s="1069"/>
      <c r="SQO278" s="1069"/>
      <c r="SQP278" s="1069"/>
      <c r="SQQ278" s="1069"/>
      <c r="SQR278" s="1069"/>
      <c r="SQS278" s="1069"/>
      <c r="SQT278" s="1069"/>
      <c r="SQU278" s="1069"/>
      <c r="SQV278" s="1069"/>
      <c r="SQW278" s="1069"/>
      <c r="SQX278" s="1069"/>
      <c r="SQY278" s="1069"/>
      <c r="SQZ278" s="1069"/>
      <c r="SRA278" s="1069"/>
      <c r="SRB278" s="1069"/>
      <c r="SRC278" s="1069"/>
      <c r="SRD278" s="1069"/>
      <c r="SRE278" s="1069"/>
      <c r="SRF278" s="1069"/>
      <c r="SRG278" s="1069"/>
      <c r="SRH278" s="1069"/>
      <c r="SRI278" s="1069"/>
      <c r="SRJ278" s="1069"/>
      <c r="SRK278" s="1069"/>
      <c r="SRL278" s="1069"/>
      <c r="SRM278" s="1069"/>
      <c r="SRN278" s="1069"/>
      <c r="SRO278" s="1069"/>
      <c r="SRP278" s="1069"/>
      <c r="SRQ278" s="1069"/>
      <c r="SRR278" s="1069"/>
      <c r="SRS278" s="1069"/>
      <c r="SRT278" s="1069"/>
      <c r="SRU278" s="1069"/>
      <c r="SRV278" s="1069"/>
      <c r="SRW278" s="1069"/>
      <c r="SRX278" s="1069"/>
      <c r="SRY278" s="1069"/>
      <c r="SRZ278" s="1069"/>
      <c r="SSA278" s="1069"/>
      <c r="SSB278" s="1069"/>
      <c r="SSC278" s="1069"/>
      <c r="SSD278" s="1069"/>
      <c r="SSE278" s="1069"/>
      <c r="SSF278" s="1069"/>
      <c r="SSG278" s="1069"/>
      <c r="SSH278" s="1069"/>
      <c r="SSI278" s="1069"/>
      <c r="SSJ278" s="1069"/>
      <c r="SSK278" s="1069"/>
      <c r="SSL278" s="1069"/>
      <c r="SSM278" s="1069"/>
      <c r="SSN278" s="1069"/>
      <c r="SSO278" s="1069"/>
      <c r="SSP278" s="1069"/>
      <c r="SSQ278" s="1069"/>
      <c r="SSR278" s="1069"/>
      <c r="SSS278" s="1069"/>
      <c r="SST278" s="1069"/>
      <c r="SSU278" s="1069"/>
      <c r="SSV278" s="1069"/>
      <c r="SSW278" s="1069"/>
      <c r="SSX278" s="1069"/>
      <c r="SSY278" s="1069"/>
      <c r="SSZ278" s="1069"/>
      <c r="STA278" s="1069"/>
      <c r="STB278" s="1069"/>
      <c r="STC278" s="1069"/>
      <c r="STD278" s="1069"/>
      <c r="STE278" s="1069"/>
      <c r="STF278" s="1069"/>
      <c r="STG278" s="1069"/>
      <c r="STH278" s="1069"/>
      <c r="STI278" s="1069"/>
      <c r="STJ278" s="1069"/>
      <c r="STK278" s="1069"/>
      <c r="STL278" s="1069"/>
      <c r="STM278" s="1069"/>
      <c r="STN278" s="1069"/>
      <c r="STO278" s="1069"/>
      <c r="STP278" s="1069"/>
      <c r="STQ278" s="1069"/>
      <c r="STR278" s="1069"/>
      <c r="STS278" s="1069"/>
      <c r="STT278" s="1069"/>
      <c r="STU278" s="1069"/>
      <c r="STV278" s="1069"/>
      <c r="STW278" s="1069"/>
      <c r="STX278" s="1069"/>
      <c r="STY278" s="1069"/>
      <c r="STZ278" s="1069"/>
      <c r="SUA278" s="1069"/>
      <c r="SUB278" s="1069"/>
      <c r="SUC278" s="1069"/>
      <c r="SUD278" s="1069"/>
      <c r="SUE278" s="1069"/>
      <c r="SUF278" s="1069"/>
      <c r="SUG278" s="1069"/>
      <c r="SUH278" s="1069"/>
      <c r="SUI278" s="1069"/>
      <c r="SUJ278" s="1069"/>
      <c r="SUK278" s="1069"/>
      <c r="SUL278" s="1069"/>
      <c r="SUM278" s="1069"/>
      <c r="SUN278" s="1069"/>
      <c r="SUO278" s="1069"/>
      <c r="SUP278" s="1069"/>
      <c r="SUQ278" s="1069"/>
      <c r="SUR278" s="1069"/>
      <c r="SUS278" s="1069"/>
      <c r="SUT278" s="1069"/>
      <c r="SUU278" s="1069"/>
      <c r="SUV278" s="1069"/>
      <c r="SUW278" s="1069"/>
      <c r="SUX278" s="1069"/>
      <c r="SUY278" s="1069"/>
      <c r="SUZ278" s="1069"/>
      <c r="SVA278" s="1069"/>
      <c r="SVB278" s="1069"/>
      <c r="SVC278" s="1069"/>
      <c r="SVD278" s="1069"/>
      <c r="SVE278" s="1069"/>
      <c r="SVF278" s="1069"/>
      <c r="SVG278" s="1069"/>
      <c r="SVH278" s="1069"/>
      <c r="SVI278" s="1069"/>
      <c r="SVJ278" s="1069"/>
      <c r="SVK278" s="1069"/>
      <c r="SVL278" s="1069"/>
      <c r="SVM278" s="1069"/>
      <c r="SVN278" s="1069"/>
      <c r="SVO278" s="1069"/>
      <c r="SVP278" s="1069"/>
      <c r="SVQ278" s="1069"/>
      <c r="SVR278" s="1069"/>
      <c r="SVS278" s="1069"/>
      <c r="SVT278" s="1069"/>
      <c r="SVU278" s="1069"/>
      <c r="SVV278" s="1069"/>
      <c r="SVW278" s="1069"/>
      <c r="SVX278" s="1069"/>
      <c r="SVY278" s="1069"/>
      <c r="SVZ278" s="1069"/>
      <c r="SWA278" s="1069"/>
      <c r="SWB278" s="1069"/>
      <c r="SWC278" s="1069"/>
      <c r="SWD278" s="1069"/>
      <c r="SWE278" s="1069"/>
      <c r="SWF278" s="1069"/>
      <c r="SWG278" s="1069"/>
      <c r="SWH278" s="1069"/>
      <c r="SWI278" s="1069"/>
      <c r="SWJ278" s="1069"/>
      <c r="SWK278" s="1069"/>
      <c r="SWL278" s="1069"/>
      <c r="SWM278" s="1069"/>
      <c r="SWN278" s="1069"/>
      <c r="SWO278" s="1069"/>
      <c r="SWP278" s="1069"/>
      <c r="SWQ278" s="1069"/>
      <c r="SWR278" s="1069"/>
      <c r="SWS278" s="1069"/>
      <c r="SWT278" s="1069"/>
      <c r="SWU278" s="1069"/>
      <c r="SWV278" s="1069"/>
      <c r="SWW278" s="1069"/>
      <c r="SWX278" s="1069"/>
      <c r="SWY278" s="1069"/>
      <c r="SWZ278" s="1069"/>
      <c r="SXA278" s="1069"/>
      <c r="SXB278" s="1069"/>
      <c r="SXC278" s="1069"/>
      <c r="SXD278" s="1069"/>
      <c r="SXE278" s="1069"/>
      <c r="SXF278" s="1069"/>
      <c r="SXG278" s="1069"/>
      <c r="SXH278" s="1069"/>
      <c r="SXI278" s="1069"/>
      <c r="SXJ278" s="1069"/>
      <c r="SXK278" s="1069"/>
      <c r="SXL278" s="1069"/>
      <c r="SXM278" s="1069"/>
      <c r="SXN278" s="1069"/>
      <c r="SXO278" s="1069"/>
      <c r="SXP278" s="1069"/>
      <c r="SXQ278" s="1069"/>
      <c r="SXR278" s="1069"/>
      <c r="SXS278" s="1069"/>
      <c r="SXT278" s="1069"/>
      <c r="SXU278" s="1069"/>
      <c r="SXV278" s="1069"/>
      <c r="SXW278" s="1069"/>
      <c r="SXX278" s="1069"/>
      <c r="SXY278" s="1069"/>
      <c r="SXZ278" s="1069"/>
      <c r="SYA278" s="1069"/>
      <c r="SYB278" s="1069"/>
      <c r="SYC278" s="1069"/>
      <c r="SYD278" s="1069"/>
      <c r="SYE278" s="1069"/>
      <c r="SYF278" s="1069"/>
      <c r="SYG278" s="1069"/>
      <c r="SYH278" s="1069"/>
      <c r="SYI278" s="1069"/>
      <c r="SYJ278" s="1069"/>
      <c r="SYK278" s="1069"/>
      <c r="SYL278" s="1069"/>
      <c r="SYM278" s="1069"/>
      <c r="SYN278" s="1069"/>
      <c r="SYO278" s="1069"/>
      <c r="SYP278" s="1069"/>
      <c r="SYQ278" s="1069"/>
      <c r="SYR278" s="1069"/>
      <c r="SYS278" s="1069"/>
      <c r="SYT278" s="1069"/>
      <c r="SYU278" s="1069"/>
      <c r="SYV278" s="1069"/>
      <c r="SYW278" s="1069"/>
      <c r="SYX278" s="1069"/>
      <c r="SYY278" s="1069"/>
      <c r="SYZ278" s="1069"/>
      <c r="SZA278" s="1069"/>
      <c r="SZB278" s="1069"/>
      <c r="SZC278" s="1069"/>
      <c r="SZD278" s="1069"/>
      <c r="SZE278" s="1069"/>
      <c r="SZF278" s="1069"/>
      <c r="SZG278" s="1069"/>
      <c r="SZH278" s="1069"/>
      <c r="SZI278" s="1069"/>
      <c r="SZJ278" s="1069"/>
      <c r="SZK278" s="1069"/>
      <c r="SZL278" s="1069"/>
      <c r="SZM278" s="1069"/>
      <c r="SZN278" s="1069"/>
      <c r="SZO278" s="1069"/>
      <c r="SZP278" s="1069"/>
      <c r="SZQ278" s="1069"/>
      <c r="SZR278" s="1069"/>
      <c r="SZS278" s="1069"/>
      <c r="SZT278" s="1069"/>
      <c r="SZU278" s="1069"/>
      <c r="SZV278" s="1069"/>
      <c r="SZW278" s="1069"/>
      <c r="SZX278" s="1069"/>
      <c r="SZY278" s="1069"/>
      <c r="SZZ278" s="1069"/>
      <c r="TAA278" s="1069"/>
      <c r="TAB278" s="1069"/>
      <c r="TAC278" s="1069"/>
      <c r="TAD278" s="1069"/>
      <c r="TAE278" s="1069"/>
      <c r="TAF278" s="1069"/>
      <c r="TAG278" s="1069"/>
      <c r="TAH278" s="1069"/>
      <c r="TAI278" s="1069"/>
      <c r="TAJ278" s="1069"/>
      <c r="TAK278" s="1069"/>
      <c r="TAL278" s="1069"/>
      <c r="TAM278" s="1069"/>
      <c r="TAN278" s="1069"/>
      <c r="TAO278" s="1069"/>
      <c r="TAP278" s="1069"/>
      <c r="TAQ278" s="1069"/>
      <c r="TAR278" s="1069"/>
      <c r="TAS278" s="1069"/>
      <c r="TAT278" s="1069"/>
      <c r="TAU278" s="1069"/>
      <c r="TAV278" s="1069"/>
      <c r="TAW278" s="1069"/>
      <c r="TAX278" s="1069"/>
      <c r="TAY278" s="1069"/>
      <c r="TAZ278" s="1069"/>
      <c r="TBA278" s="1069"/>
      <c r="TBB278" s="1069"/>
      <c r="TBC278" s="1069"/>
      <c r="TBD278" s="1069"/>
      <c r="TBE278" s="1069"/>
      <c r="TBF278" s="1069"/>
      <c r="TBG278" s="1069"/>
      <c r="TBH278" s="1069"/>
      <c r="TBI278" s="1069"/>
      <c r="TBJ278" s="1069"/>
      <c r="TBK278" s="1069"/>
      <c r="TBL278" s="1069"/>
      <c r="TBM278" s="1069"/>
      <c r="TBN278" s="1069"/>
      <c r="TBO278" s="1069"/>
      <c r="TBP278" s="1069"/>
      <c r="TBQ278" s="1069"/>
      <c r="TBR278" s="1069"/>
      <c r="TBS278" s="1069"/>
      <c r="TBT278" s="1069"/>
      <c r="TBU278" s="1069"/>
      <c r="TBV278" s="1069"/>
      <c r="TBW278" s="1069"/>
      <c r="TBX278" s="1069"/>
      <c r="TBY278" s="1069"/>
      <c r="TBZ278" s="1069"/>
      <c r="TCA278" s="1069"/>
      <c r="TCB278" s="1069"/>
      <c r="TCC278" s="1069"/>
      <c r="TCD278" s="1069"/>
      <c r="TCE278" s="1069"/>
      <c r="TCF278" s="1069"/>
      <c r="TCG278" s="1069"/>
      <c r="TCH278" s="1069"/>
      <c r="TCI278" s="1069"/>
      <c r="TCJ278" s="1069"/>
      <c r="TCK278" s="1069"/>
      <c r="TCL278" s="1069"/>
      <c r="TCM278" s="1069"/>
      <c r="TCN278" s="1069"/>
      <c r="TCO278" s="1069"/>
      <c r="TCP278" s="1069"/>
      <c r="TCQ278" s="1069"/>
      <c r="TCR278" s="1069"/>
      <c r="TCS278" s="1069"/>
      <c r="TCT278" s="1069"/>
      <c r="TCU278" s="1069"/>
      <c r="TCV278" s="1069"/>
      <c r="TCW278" s="1069"/>
      <c r="TCX278" s="1069"/>
      <c r="TCY278" s="1069"/>
      <c r="TCZ278" s="1069"/>
      <c r="TDA278" s="1069"/>
      <c r="TDB278" s="1069"/>
      <c r="TDC278" s="1069"/>
      <c r="TDD278" s="1069"/>
      <c r="TDE278" s="1069"/>
      <c r="TDF278" s="1069"/>
      <c r="TDG278" s="1069"/>
      <c r="TDH278" s="1069"/>
      <c r="TDI278" s="1069"/>
      <c r="TDJ278" s="1069"/>
      <c r="TDK278" s="1069"/>
      <c r="TDL278" s="1069"/>
      <c r="TDM278" s="1069"/>
      <c r="TDN278" s="1069"/>
      <c r="TDO278" s="1069"/>
      <c r="TDP278" s="1069"/>
      <c r="TDQ278" s="1069"/>
      <c r="TDR278" s="1069"/>
      <c r="TDS278" s="1069"/>
      <c r="TDT278" s="1069"/>
      <c r="TDU278" s="1069"/>
      <c r="TDV278" s="1069"/>
      <c r="TDW278" s="1069"/>
      <c r="TDX278" s="1069"/>
      <c r="TDY278" s="1069"/>
      <c r="TDZ278" s="1069"/>
      <c r="TEA278" s="1069"/>
      <c r="TEB278" s="1069"/>
      <c r="TEC278" s="1069"/>
      <c r="TED278" s="1069"/>
      <c r="TEE278" s="1069"/>
      <c r="TEF278" s="1069"/>
      <c r="TEG278" s="1069"/>
      <c r="TEH278" s="1069"/>
      <c r="TEI278" s="1069"/>
      <c r="TEJ278" s="1069"/>
      <c r="TEK278" s="1069"/>
      <c r="TEL278" s="1069"/>
      <c r="TEM278" s="1069"/>
      <c r="TEN278" s="1069"/>
      <c r="TEO278" s="1069"/>
      <c r="TEP278" s="1069"/>
      <c r="TEQ278" s="1069"/>
      <c r="TER278" s="1069"/>
      <c r="TES278" s="1069"/>
      <c r="TET278" s="1069"/>
      <c r="TEU278" s="1069"/>
      <c r="TEV278" s="1069"/>
      <c r="TEW278" s="1069"/>
      <c r="TEX278" s="1069"/>
      <c r="TEY278" s="1069"/>
      <c r="TEZ278" s="1069"/>
      <c r="TFA278" s="1069"/>
      <c r="TFB278" s="1069"/>
      <c r="TFC278" s="1069"/>
      <c r="TFD278" s="1069"/>
      <c r="TFE278" s="1069"/>
      <c r="TFF278" s="1069"/>
      <c r="TFG278" s="1069"/>
      <c r="TFH278" s="1069"/>
      <c r="TFI278" s="1069"/>
      <c r="TFJ278" s="1069"/>
      <c r="TFK278" s="1069"/>
      <c r="TFL278" s="1069"/>
      <c r="TFM278" s="1069"/>
      <c r="TFN278" s="1069"/>
      <c r="TFO278" s="1069"/>
      <c r="TFP278" s="1069"/>
      <c r="TFQ278" s="1069"/>
      <c r="TFR278" s="1069"/>
      <c r="TFS278" s="1069"/>
      <c r="TFT278" s="1069"/>
      <c r="TFU278" s="1069"/>
      <c r="TFV278" s="1069"/>
      <c r="TFW278" s="1069"/>
      <c r="TFX278" s="1069"/>
      <c r="TFY278" s="1069"/>
      <c r="TFZ278" s="1069"/>
      <c r="TGA278" s="1069"/>
      <c r="TGB278" s="1069"/>
      <c r="TGC278" s="1069"/>
      <c r="TGD278" s="1069"/>
      <c r="TGE278" s="1069"/>
      <c r="TGF278" s="1069"/>
      <c r="TGG278" s="1069"/>
      <c r="TGH278" s="1069"/>
      <c r="TGI278" s="1069"/>
      <c r="TGJ278" s="1069"/>
      <c r="TGK278" s="1069"/>
      <c r="TGL278" s="1069"/>
      <c r="TGM278" s="1069"/>
      <c r="TGN278" s="1069"/>
      <c r="TGO278" s="1069"/>
      <c r="TGP278" s="1069"/>
      <c r="TGQ278" s="1069"/>
      <c r="TGR278" s="1069"/>
      <c r="TGS278" s="1069"/>
      <c r="TGT278" s="1069"/>
      <c r="TGU278" s="1069"/>
      <c r="TGV278" s="1069"/>
      <c r="TGW278" s="1069"/>
      <c r="TGX278" s="1069"/>
      <c r="TGY278" s="1069"/>
      <c r="TGZ278" s="1069"/>
      <c r="THA278" s="1069"/>
      <c r="THB278" s="1069"/>
      <c r="THC278" s="1069"/>
      <c r="THD278" s="1069"/>
      <c r="THE278" s="1069"/>
      <c r="THF278" s="1069"/>
      <c r="THG278" s="1069"/>
      <c r="THH278" s="1069"/>
      <c r="THI278" s="1069"/>
      <c r="THJ278" s="1069"/>
      <c r="THK278" s="1069"/>
      <c r="THL278" s="1069"/>
      <c r="THM278" s="1069"/>
      <c r="THN278" s="1069"/>
      <c r="THO278" s="1069"/>
      <c r="THP278" s="1069"/>
      <c r="THQ278" s="1069"/>
      <c r="THR278" s="1069"/>
      <c r="THS278" s="1069"/>
      <c r="THT278" s="1069"/>
      <c r="THU278" s="1069"/>
      <c r="THV278" s="1069"/>
      <c r="THW278" s="1069"/>
      <c r="THX278" s="1069"/>
      <c r="THY278" s="1069"/>
      <c r="THZ278" s="1069"/>
      <c r="TIA278" s="1069"/>
      <c r="TIB278" s="1069"/>
      <c r="TIC278" s="1069"/>
      <c r="TID278" s="1069"/>
      <c r="TIE278" s="1069"/>
      <c r="TIF278" s="1069"/>
      <c r="TIG278" s="1069"/>
      <c r="TIH278" s="1069"/>
      <c r="TII278" s="1069"/>
      <c r="TIJ278" s="1069"/>
      <c r="TIK278" s="1069"/>
      <c r="TIL278" s="1069"/>
      <c r="TIM278" s="1069"/>
      <c r="TIN278" s="1069"/>
      <c r="TIO278" s="1069"/>
      <c r="TIP278" s="1069"/>
      <c r="TIQ278" s="1069"/>
      <c r="TIR278" s="1069"/>
      <c r="TIS278" s="1069"/>
      <c r="TIT278" s="1069"/>
      <c r="TIU278" s="1069"/>
      <c r="TIV278" s="1069"/>
      <c r="TIW278" s="1069"/>
      <c r="TIX278" s="1069"/>
      <c r="TIY278" s="1069"/>
      <c r="TIZ278" s="1069"/>
      <c r="TJA278" s="1069"/>
      <c r="TJB278" s="1069"/>
      <c r="TJC278" s="1069"/>
      <c r="TJD278" s="1069"/>
      <c r="TJE278" s="1069"/>
      <c r="TJF278" s="1069"/>
      <c r="TJG278" s="1069"/>
      <c r="TJH278" s="1069"/>
      <c r="TJI278" s="1069"/>
      <c r="TJJ278" s="1069"/>
      <c r="TJK278" s="1069"/>
      <c r="TJL278" s="1069"/>
      <c r="TJM278" s="1069"/>
      <c r="TJN278" s="1069"/>
      <c r="TJO278" s="1069"/>
      <c r="TJP278" s="1069"/>
      <c r="TJQ278" s="1069"/>
      <c r="TJR278" s="1069"/>
      <c r="TJS278" s="1069"/>
      <c r="TJT278" s="1069"/>
      <c r="TJU278" s="1069"/>
      <c r="TJV278" s="1069"/>
      <c r="TJW278" s="1069"/>
      <c r="TJX278" s="1069"/>
      <c r="TJY278" s="1069"/>
      <c r="TJZ278" s="1069"/>
      <c r="TKA278" s="1069"/>
      <c r="TKB278" s="1069"/>
      <c r="TKC278" s="1069"/>
      <c r="TKD278" s="1069"/>
      <c r="TKE278" s="1069"/>
      <c r="TKF278" s="1069"/>
      <c r="TKG278" s="1069"/>
      <c r="TKH278" s="1069"/>
      <c r="TKI278" s="1069"/>
      <c r="TKJ278" s="1069"/>
      <c r="TKK278" s="1069"/>
      <c r="TKL278" s="1069"/>
      <c r="TKM278" s="1069"/>
      <c r="TKN278" s="1069"/>
      <c r="TKO278" s="1069"/>
      <c r="TKP278" s="1069"/>
      <c r="TKQ278" s="1069"/>
      <c r="TKR278" s="1069"/>
      <c r="TKS278" s="1069"/>
      <c r="TKT278" s="1069"/>
      <c r="TKU278" s="1069"/>
      <c r="TKV278" s="1069"/>
      <c r="TKW278" s="1069"/>
      <c r="TKX278" s="1069"/>
      <c r="TKY278" s="1069"/>
      <c r="TKZ278" s="1069"/>
      <c r="TLA278" s="1069"/>
      <c r="TLB278" s="1069"/>
      <c r="TLC278" s="1069"/>
      <c r="TLD278" s="1069"/>
      <c r="TLE278" s="1069"/>
      <c r="TLF278" s="1069"/>
      <c r="TLG278" s="1069"/>
      <c r="TLH278" s="1069"/>
      <c r="TLI278" s="1069"/>
      <c r="TLJ278" s="1069"/>
      <c r="TLK278" s="1069"/>
      <c r="TLL278" s="1069"/>
      <c r="TLM278" s="1069"/>
      <c r="TLN278" s="1069"/>
      <c r="TLO278" s="1069"/>
      <c r="TLP278" s="1069"/>
      <c r="TLQ278" s="1069"/>
      <c r="TLR278" s="1069"/>
      <c r="TLS278" s="1069"/>
      <c r="TLT278" s="1069"/>
      <c r="TLU278" s="1069"/>
      <c r="TLV278" s="1069"/>
      <c r="TLW278" s="1069"/>
      <c r="TLX278" s="1069"/>
      <c r="TLY278" s="1069"/>
      <c r="TLZ278" s="1069"/>
      <c r="TMA278" s="1069"/>
      <c r="TMB278" s="1069"/>
      <c r="TMC278" s="1069"/>
      <c r="TMD278" s="1069"/>
      <c r="TME278" s="1069"/>
      <c r="TMF278" s="1069"/>
      <c r="TMG278" s="1069"/>
      <c r="TMH278" s="1069"/>
      <c r="TMI278" s="1069"/>
      <c r="TMJ278" s="1069"/>
      <c r="TMK278" s="1069"/>
      <c r="TML278" s="1069"/>
      <c r="TMM278" s="1069"/>
      <c r="TMN278" s="1069"/>
      <c r="TMO278" s="1069"/>
      <c r="TMP278" s="1069"/>
      <c r="TMQ278" s="1069"/>
      <c r="TMR278" s="1069"/>
      <c r="TMS278" s="1069"/>
      <c r="TMT278" s="1069"/>
      <c r="TMU278" s="1069"/>
      <c r="TMV278" s="1069"/>
      <c r="TMW278" s="1069"/>
      <c r="TMX278" s="1069"/>
      <c r="TMY278" s="1069"/>
      <c r="TMZ278" s="1069"/>
      <c r="TNA278" s="1069"/>
      <c r="TNB278" s="1069"/>
      <c r="TNC278" s="1069"/>
      <c r="TND278" s="1069"/>
      <c r="TNE278" s="1069"/>
      <c r="TNF278" s="1069"/>
      <c r="TNG278" s="1069"/>
      <c r="TNH278" s="1069"/>
      <c r="TNI278" s="1069"/>
      <c r="TNJ278" s="1069"/>
      <c r="TNK278" s="1069"/>
      <c r="TNL278" s="1069"/>
      <c r="TNM278" s="1069"/>
      <c r="TNN278" s="1069"/>
      <c r="TNO278" s="1069"/>
      <c r="TNP278" s="1069"/>
      <c r="TNQ278" s="1069"/>
      <c r="TNR278" s="1069"/>
      <c r="TNS278" s="1069"/>
      <c r="TNT278" s="1069"/>
      <c r="TNU278" s="1069"/>
      <c r="TNV278" s="1069"/>
      <c r="TNW278" s="1069"/>
      <c r="TNX278" s="1069"/>
      <c r="TNY278" s="1069"/>
      <c r="TNZ278" s="1069"/>
      <c r="TOA278" s="1069"/>
      <c r="TOB278" s="1069"/>
      <c r="TOC278" s="1069"/>
      <c r="TOD278" s="1069"/>
      <c r="TOE278" s="1069"/>
      <c r="TOF278" s="1069"/>
      <c r="TOG278" s="1069"/>
      <c r="TOH278" s="1069"/>
      <c r="TOI278" s="1069"/>
      <c r="TOJ278" s="1069"/>
      <c r="TOK278" s="1069"/>
      <c r="TOL278" s="1069"/>
      <c r="TOM278" s="1069"/>
      <c r="TON278" s="1069"/>
      <c r="TOO278" s="1069"/>
      <c r="TOP278" s="1069"/>
      <c r="TOQ278" s="1069"/>
      <c r="TOR278" s="1069"/>
      <c r="TOS278" s="1069"/>
      <c r="TOT278" s="1069"/>
      <c r="TOU278" s="1069"/>
      <c r="TOV278" s="1069"/>
      <c r="TOW278" s="1069"/>
      <c r="TOX278" s="1069"/>
      <c r="TOY278" s="1069"/>
      <c r="TOZ278" s="1069"/>
      <c r="TPA278" s="1069"/>
      <c r="TPB278" s="1069"/>
      <c r="TPC278" s="1069"/>
      <c r="TPD278" s="1069"/>
      <c r="TPE278" s="1069"/>
      <c r="TPF278" s="1069"/>
      <c r="TPG278" s="1069"/>
      <c r="TPH278" s="1069"/>
      <c r="TPI278" s="1069"/>
      <c r="TPJ278" s="1069"/>
      <c r="TPK278" s="1069"/>
      <c r="TPL278" s="1069"/>
      <c r="TPM278" s="1069"/>
      <c r="TPN278" s="1069"/>
      <c r="TPO278" s="1069"/>
      <c r="TPP278" s="1069"/>
      <c r="TPQ278" s="1069"/>
      <c r="TPR278" s="1069"/>
      <c r="TPS278" s="1069"/>
      <c r="TPT278" s="1069"/>
      <c r="TPU278" s="1069"/>
      <c r="TPV278" s="1069"/>
      <c r="TPW278" s="1069"/>
      <c r="TPX278" s="1069"/>
      <c r="TPY278" s="1069"/>
      <c r="TPZ278" s="1069"/>
      <c r="TQA278" s="1069"/>
      <c r="TQB278" s="1069"/>
      <c r="TQC278" s="1069"/>
      <c r="TQD278" s="1069"/>
      <c r="TQE278" s="1069"/>
      <c r="TQF278" s="1069"/>
      <c r="TQG278" s="1069"/>
      <c r="TQH278" s="1069"/>
      <c r="TQI278" s="1069"/>
      <c r="TQJ278" s="1069"/>
      <c r="TQK278" s="1069"/>
      <c r="TQL278" s="1069"/>
      <c r="TQM278" s="1069"/>
      <c r="TQN278" s="1069"/>
      <c r="TQO278" s="1069"/>
      <c r="TQP278" s="1069"/>
      <c r="TQQ278" s="1069"/>
      <c r="TQR278" s="1069"/>
      <c r="TQS278" s="1069"/>
      <c r="TQT278" s="1069"/>
      <c r="TQU278" s="1069"/>
      <c r="TQV278" s="1069"/>
      <c r="TQW278" s="1069"/>
      <c r="TQX278" s="1069"/>
      <c r="TQY278" s="1069"/>
      <c r="TQZ278" s="1069"/>
      <c r="TRA278" s="1069"/>
      <c r="TRB278" s="1069"/>
      <c r="TRC278" s="1069"/>
      <c r="TRD278" s="1069"/>
      <c r="TRE278" s="1069"/>
      <c r="TRF278" s="1069"/>
      <c r="TRG278" s="1069"/>
      <c r="TRH278" s="1069"/>
      <c r="TRI278" s="1069"/>
      <c r="TRJ278" s="1069"/>
      <c r="TRK278" s="1069"/>
      <c r="TRL278" s="1069"/>
      <c r="TRM278" s="1069"/>
      <c r="TRN278" s="1069"/>
      <c r="TRO278" s="1069"/>
      <c r="TRP278" s="1069"/>
      <c r="TRQ278" s="1069"/>
      <c r="TRR278" s="1069"/>
      <c r="TRS278" s="1069"/>
      <c r="TRT278" s="1069"/>
      <c r="TRU278" s="1069"/>
      <c r="TRV278" s="1069"/>
      <c r="TRW278" s="1069"/>
      <c r="TRX278" s="1069"/>
      <c r="TRY278" s="1069"/>
      <c r="TRZ278" s="1069"/>
      <c r="TSA278" s="1069"/>
      <c r="TSB278" s="1069"/>
      <c r="TSC278" s="1069"/>
      <c r="TSD278" s="1069"/>
      <c r="TSE278" s="1069"/>
      <c r="TSF278" s="1069"/>
      <c r="TSG278" s="1069"/>
      <c r="TSH278" s="1069"/>
      <c r="TSI278" s="1069"/>
      <c r="TSJ278" s="1069"/>
      <c r="TSK278" s="1069"/>
      <c r="TSL278" s="1069"/>
      <c r="TSM278" s="1069"/>
      <c r="TSN278" s="1069"/>
      <c r="TSO278" s="1069"/>
      <c r="TSP278" s="1069"/>
      <c r="TSQ278" s="1069"/>
      <c r="TSR278" s="1069"/>
      <c r="TSS278" s="1069"/>
      <c r="TST278" s="1069"/>
      <c r="TSU278" s="1069"/>
      <c r="TSV278" s="1069"/>
      <c r="TSW278" s="1069"/>
      <c r="TSX278" s="1069"/>
      <c r="TSY278" s="1069"/>
      <c r="TSZ278" s="1069"/>
      <c r="TTA278" s="1069"/>
      <c r="TTB278" s="1069"/>
      <c r="TTC278" s="1069"/>
      <c r="TTD278" s="1069"/>
      <c r="TTE278" s="1069"/>
      <c r="TTF278" s="1069"/>
      <c r="TTG278" s="1069"/>
      <c r="TTH278" s="1069"/>
      <c r="TTI278" s="1069"/>
      <c r="TTJ278" s="1069"/>
      <c r="TTK278" s="1069"/>
      <c r="TTL278" s="1069"/>
      <c r="TTM278" s="1069"/>
      <c r="TTN278" s="1069"/>
      <c r="TTO278" s="1069"/>
      <c r="TTP278" s="1069"/>
      <c r="TTQ278" s="1069"/>
      <c r="TTR278" s="1069"/>
      <c r="TTS278" s="1069"/>
      <c r="TTT278" s="1069"/>
      <c r="TTU278" s="1069"/>
      <c r="TTV278" s="1069"/>
      <c r="TTW278" s="1069"/>
      <c r="TTX278" s="1069"/>
      <c r="TTY278" s="1069"/>
      <c r="TTZ278" s="1069"/>
      <c r="TUA278" s="1069"/>
      <c r="TUB278" s="1069"/>
      <c r="TUC278" s="1069"/>
      <c r="TUD278" s="1069"/>
      <c r="TUE278" s="1069"/>
      <c r="TUF278" s="1069"/>
      <c r="TUG278" s="1069"/>
      <c r="TUH278" s="1069"/>
      <c r="TUI278" s="1069"/>
      <c r="TUJ278" s="1069"/>
      <c r="TUK278" s="1069"/>
      <c r="TUL278" s="1069"/>
      <c r="TUM278" s="1069"/>
      <c r="TUN278" s="1069"/>
      <c r="TUO278" s="1069"/>
      <c r="TUP278" s="1069"/>
      <c r="TUQ278" s="1069"/>
      <c r="TUR278" s="1069"/>
      <c r="TUS278" s="1069"/>
      <c r="TUT278" s="1069"/>
      <c r="TUU278" s="1069"/>
      <c r="TUV278" s="1069"/>
      <c r="TUW278" s="1069"/>
      <c r="TUX278" s="1069"/>
      <c r="TUY278" s="1069"/>
      <c r="TUZ278" s="1069"/>
      <c r="TVA278" s="1069"/>
      <c r="TVB278" s="1069"/>
      <c r="TVC278" s="1069"/>
      <c r="TVD278" s="1069"/>
      <c r="TVE278" s="1069"/>
      <c r="TVF278" s="1069"/>
      <c r="TVG278" s="1069"/>
      <c r="TVH278" s="1069"/>
      <c r="TVI278" s="1069"/>
      <c r="TVJ278" s="1069"/>
      <c r="TVK278" s="1069"/>
      <c r="TVL278" s="1069"/>
      <c r="TVM278" s="1069"/>
      <c r="TVN278" s="1069"/>
      <c r="TVO278" s="1069"/>
      <c r="TVP278" s="1069"/>
      <c r="TVQ278" s="1069"/>
      <c r="TVR278" s="1069"/>
      <c r="TVS278" s="1069"/>
      <c r="TVT278" s="1069"/>
      <c r="TVU278" s="1069"/>
      <c r="TVV278" s="1069"/>
      <c r="TVW278" s="1069"/>
      <c r="TVX278" s="1069"/>
      <c r="TVY278" s="1069"/>
      <c r="TVZ278" s="1069"/>
      <c r="TWA278" s="1069"/>
      <c r="TWB278" s="1069"/>
      <c r="TWC278" s="1069"/>
      <c r="TWD278" s="1069"/>
      <c r="TWE278" s="1069"/>
      <c r="TWF278" s="1069"/>
      <c r="TWG278" s="1069"/>
      <c r="TWH278" s="1069"/>
      <c r="TWI278" s="1069"/>
      <c r="TWJ278" s="1069"/>
      <c r="TWK278" s="1069"/>
      <c r="TWL278" s="1069"/>
      <c r="TWM278" s="1069"/>
      <c r="TWN278" s="1069"/>
      <c r="TWO278" s="1069"/>
      <c r="TWP278" s="1069"/>
      <c r="TWQ278" s="1069"/>
      <c r="TWR278" s="1069"/>
      <c r="TWS278" s="1069"/>
      <c r="TWT278" s="1069"/>
      <c r="TWU278" s="1069"/>
      <c r="TWV278" s="1069"/>
      <c r="TWW278" s="1069"/>
      <c r="TWX278" s="1069"/>
      <c r="TWY278" s="1069"/>
      <c r="TWZ278" s="1069"/>
      <c r="TXA278" s="1069"/>
      <c r="TXB278" s="1069"/>
      <c r="TXC278" s="1069"/>
      <c r="TXD278" s="1069"/>
      <c r="TXE278" s="1069"/>
      <c r="TXF278" s="1069"/>
      <c r="TXG278" s="1069"/>
      <c r="TXH278" s="1069"/>
      <c r="TXI278" s="1069"/>
      <c r="TXJ278" s="1069"/>
      <c r="TXK278" s="1069"/>
      <c r="TXL278" s="1069"/>
      <c r="TXM278" s="1069"/>
      <c r="TXN278" s="1069"/>
      <c r="TXO278" s="1069"/>
      <c r="TXP278" s="1069"/>
      <c r="TXQ278" s="1069"/>
      <c r="TXR278" s="1069"/>
      <c r="TXS278" s="1069"/>
      <c r="TXT278" s="1069"/>
      <c r="TXU278" s="1069"/>
      <c r="TXV278" s="1069"/>
      <c r="TXW278" s="1069"/>
      <c r="TXX278" s="1069"/>
      <c r="TXY278" s="1069"/>
      <c r="TXZ278" s="1069"/>
      <c r="TYA278" s="1069"/>
      <c r="TYB278" s="1069"/>
      <c r="TYC278" s="1069"/>
      <c r="TYD278" s="1069"/>
      <c r="TYE278" s="1069"/>
      <c r="TYF278" s="1069"/>
      <c r="TYG278" s="1069"/>
      <c r="TYH278" s="1069"/>
      <c r="TYI278" s="1069"/>
      <c r="TYJ278" s="1069"/>
      <c r="TYK278" s="1069"/>
      <c r="TYL278" s="1069"/>
      <c r="TYM278" s="1069"/>
      <c r="TYN278" s="1069"/>
      <c r="TYO278" s="1069"/>
      <c r="TYP278" s="1069"/>
      <c r="TYQ278" s="1069"/>
      <c r="TYR278" s="1069"/>
      <c r="TYS278" s="1069"/>
      <c r="TYT278" s="1069"/>
      <c r="TYU278" s="1069"/>
      <c r="TYV278" s="1069"/>
      <c r="TYW278" s="1069"/>
      <c r="TYX278" s="1069"/>
      <c r="TYY278" s="1069"/>
      <c r="TYZ278" s="1069"/>
      <c r="TZA278" s="1069"/>
      <c r="TZB278" s="1069"/>
      <c r="TZC278" s="1069"/>
      <c r="TZD278" s="1069"/>
      <c r="TZE278" s="1069"/>
      <c r="TZF278" s="1069"/>
      <c r="TZG278" s="1069"/>
      <c r="TZH278" s="1069"/>
      <c r="TZI278" s="1069"/>
      <c r="TZJ278" s="1069"/>
      <c r="TZK278" s="1069"/>
      <c r="TZL278" s="1069"/>
      <c r="TZM278" s="1069"/>
      <c r="TZN278" s="1069"/>
      <c r="TZO278" s="1069"/>
      <c r="TZP278" s="1069"/>
      <c r="TZQ278" s="1069"/>
      <c r="TZR278" s="1069"/>
      <c r="TZS278" s="1069"/>
      <c r="TZT278" s="1069"/>
      <c r="TZU278" s="1069"/>
      <c r="TZV278" s="1069"/>
      <c r="TZW278" s="1069"/>
      <c r="TZX278" s="1069"/>
      <c r="TZY278" s="1069"/>
      <c r="TZZ278" s="1069"/>
      <c r="UAA278" s="1069"/>
      <c r="UAB278" s="1069"/>
      <c r="UAC278" s="1069"/>
      <c r="UAD278" s="1069"/>
      <c r="UAE278" s="1069"/>
      <c r="UAF278" s="1069"/>
      <c r="UAG278" s="1069"/>
      <c r="UAH278" s="1069"/>
      <c r="UAI278" s="1069"/>
      <c r="UAJ278" s="1069"/>
      <c r="UAK278" s="1069"/>
      <c r="UAL278" s="1069"/>
      <c r="UAM278" s="1069"/>
      <c r="UAN278" s="1069"/>
      <c r="UAO278" s="1069"/>
      <c r="UAP278" s="1069"/>
      <c r="UAQ278" s="1069"/>
      <c r="UAR278" s="1069"/>
      <c r="UAS278" s="1069"/>
      <c r="UAT278" s="1069"/>
      <c r="UAU278" s="1069"/>
      <c r="UAV278" s="1069"/>
      <c r="UAW278" s="1069"/>
      <c r="UAX278" s="1069"/>
      <c r="UAY278" s="1069"/>
      <c r="UAZ278" s="1069"/>
      <c r="UBA278" s="1069"/>
      <c r="UBB278" s="1069"/>
      <c r="UBC278" s="1069"/>
      <c r="UBD278" s="1069"/>
      <c r="UBE278" s="1069"/>
      <c r="UBF278" s="1069"/>
      <c r="UBG278" s="1069"/>
      <c r="UBH278" s="1069"/>
      <c r="UBI278" s="1069"/>
      <c r="UBJ278" s="1069"/>
      <c r="UBK278" s="1069"/>
      <c r="UBL278" s="1069"/>
      <c r="UBM278" s="1069"/>
      <c r="UBN278" s="1069"/>
      <c r="UBO278" s="1069"/>
      <c r="UBP278" s="1069"/>
      <c r="UBQ278" s="1069"/>
      <c r="UBR278" s="1069"/>
      <c r="UBS278" s="1069"/>
      <c r="UBT278" s="1069"/>
      <c r="UBU278" s="1069"/>
      <c r="UBV278" s="1069"/>
      <c r="UBW278" s="1069"/>
      <c r="UBX278" s="1069"/>
      <c r="UBY278" s="1069"/>
      <c r="UBZ278" s="1069"/>
      <c r="UCA278" s="1069"/>
      <c r="UCB278" s="1069"/>
      <c r="UCC278" s="1069"/>
      <c r="UCD278" s="1069"/>
      <c r="UCE278" s="1069"/>
      <c r="UCF278" s="1069"/>
      <c r="UCG278" s="1069"/>
      <c r="UCH278" s="1069"/>
      <c r="UCI278" s="1069"/>
      <c r="UCJ278" s="1069"/>
      <c r="UCK278" s="1069"/>
      <c r="UCL278" s="1069"/>
      <c r="UCM278" s="1069"/>
      <c r="UCN278" s="1069"/>
      <c r="UCO278" s="1069"/>
      <c r="UCP278" s="1069"/>
      <c r="UCQ278" s="1069"/>
      <c r="UCR278" s="1069"/>
      <c r="UCS278" s="1069"/>
      <c r="UCT278" s="1069"/>
      <c r="UCU278" s="1069"/>
      <c r="UCV278" s="1069"/>
      <c r="UCW278" s="1069"/>
      <c r="UCX278" s="1069"/>
      <c r="UCY278" s="1069"/>
      <c r="UCZ278" s="1069"/>
      <c r="UDA278" s="1069"/>
      <c r="UDB278" s="1069"/>
      <c r="UDC278" s="1069"/>
      <c r="UDD278" s="1069"/>
      <c r="UDE278" s="1069"/>
      <c r="UDF278" s="1069"/>
      <c r="UDG278" s="1069"/>
      <c r="UDH278" s="1069"/>
      <c r="UDI278" s="1069"/>
      <c r="UDJ278" s="1069"/>
      <c r="UDK278" s="1069"/>
      <c r="UDL278" s="1069"/>
      <c r="UDM278" s="1069"/>
      <c r="UDN278" s="1069"/>
      <c r="UDO278" s="1069"/>
      <c r="UDP278" s="1069"/>
      <c r="UDQ278" s="1069"/>
      <c r="UDR278" s="1069"/>
      <c r="UDS278" s="1069"/>
      <c r="UDT278" s="1069"/>
      <c r="UDU278" s="1069"/>
      <c r="UDV278" s="1069"/>
      <c r="UDW278" s="1069"/>
      <c r="UDX278" s="1069"/>
      <c r="UDY278" s="1069"/>
      <c r="UDZ278" s="1069"/>
      <c r="UEA278" s="1069"/>
      <c r="UEB278" s="1069"/>
      <c r="UEC278" s="1069"/>
      <c r="UED278" s="1069"/>
      <c r="UEE278" s="1069"/>
      <c r="UEF278" s="1069"/>
      <c r="UEG278" s="1069"/>
      <c r="UEH278" s="1069"/>
      <c r="UEI278" s="1069"/>
      <c r="UEJ278" s="1069"/>
      <c r="UEK278" s="1069"/>
      <c r="UEL278" s="1069"/>
      <c r="UEM278" s="1069"/>
      <c r="UEN278" s="1069"/>
      <c r="UEO278" s="1069"/>
      <c r="UEP278" s="1069"/>
      <c r="UEQ278" s="1069"/>
      <c r="UER278" s="1069"/>
      <c r="UES278" s="1069"/>
      <c r="UET278" s="1069"/>
      <c r="UEU278" s="1069"/>
      <c r="UEV278" s="1069"/>
      <c r="UEW278" s="1069"/>
      <c r="UEX278" s="1069"/>
      <c r="UEY278" s="1069"/>
      <c r="UEZ278" s="1069"/>
      <c r="UFA278" s="1069"/>
      <c r="UFB278" s="1069"/>
      <c r="UFC278" s="1069"/>
      <c r="UFD278" s="1069"/>
      <c r="UFE278" s="1069"/>
      <c r="UFF278" s="1069"/>
      <c r="UFG278" s="1069"/>
      <c r="UFH278" s="1069"/>
      <c r="UFI278" s="1069"/>
      <c r="UFJ278" s="1069"/>
      <c r="UFK278" s="1069"/>
      <c r="UFL278" s="1069"/>
      <c r="UFM278" s="1069"/>
      <c r="UFN278" s="1069"/>
      <c r="UFO278" s="1069"/>
      <c r="UFP278" s="1069"/>
      <c r="UFQ278" s="1069"/>
      <c r="UFR278" s="1069"/>
      <c r="UFS278" s="1069"/>
      <c r="UFT278" s="1069"/>
      <c r="UFU278" s="1069"/>
      <c r="UFV278" s="1069"/>
      <c r="UFW278" s="1069"/>
      <c r="UFX278" s="1069"/>
      <c r="UFY278" s="1069"/>
      <c r="UFZ278" s="1069"/>
      <c r="UGA278" s="1069"/>
      <c r="UGB278" s="1069"/>
      <c r="UGC278" s="1069"/>
      <c r="UGD278" s="1069"/>
      <c r="UGE278" s="1069"/>
      <c r="UGF278" s="1069"/>
      <c r="UGG278" s="1069"/>
      <c r="UGH278" s="1069"/>
      <c r="UGI278" s="1069"/>
      <c r="UGJ278" s="1069"/>
      <c r="UGK278" s="1069"/>
      <c r="UGL278" s="1069"/>
      <c r="UGM278" s="1069"/>
      <c r="UGN278" s="1069"/>
      <c r="UGO278" s="1069"/>
      <c r="UGP278" s="1069"/>
      <c r="UGQ278" s="1069"/>
      <c r="UGR278" s="1069"/>
      <c r="UGS278" s="1069"/>
      <c r="UGT278" s="1069"/>
      <c r="UGU278" s="1069"/>
      <c r="UGV278" s="1069"/>
      <c r="UGW278" s="1069"/>
      <c r="UGX278" s="1069"/>
      <c r="UGY278" s="1069"/>
      <c r="UGZ278" s="1069"/>
      <c r="UHA278" s="1069"/>
      <c r="UHB278" s="1069"/>
      <c r="UHC278" s="1069"/>
      <c r="UHD278" s="1069"/>
      <c r="UHE278" s="1069"/>
      <c r="UHF278" s="1069"/>
      <c r="UHG278" s="1069"/>
      <c r="UHH278" s="1069"/>
      <c r="UHI278" s="1069"/>
      <c r="UHJ278" s="1069"/>
      <c r="UHK278" s="1069"/>
      <c r="UHL278" s="1069"/>
      <c r="UHM278" s="1069"/>
      <c r="UHN278" s="1069"/>
      <c r="UHO278" s="1069"/>
      <c r="UHP278" s="1069"/>
      <c r="UHQ278" s="1069"/>
      <c r="UHR278" s="1069"/>
      <c r="UHS278" s="1069"/>
      <c r="UHT278" s="1069"/>
      <c r="UHU278" s="1069"/>
      <c r="UHV278" s="1069"/>
      <c r="UHW278" s="1069"/>
      <c r="UHX278" s="1069"/>
      <c r="UHY278" s="1069"/>
      <c r="UHZ278" s="1069"/>
      <c r="UIA278" s="1069"/>
      <c r="UIB278" s="1069"/>
      <c r="UIC278" s="1069"/>
      <c r="UID278" s="1069"/>
      <c r="UIE278" s="1069"/>
      <c r="UIF278" s="1069"/>
      <c r="UIG278" s="1069"/>
      <c r="UIH278" s="1069"/>
      <c r="UII278" s="1069"/>
      <c r="UIJ278" s="1069"/>
      <c r="UIK278" s="1069"/>
      <c r="UIL278" s="1069"/>
      <c r="UIM278" s="1069"/>
      <c r="UIN278" s="1069"/>
      <c r="UIO278" s="1069"/>
      <c r="UIP278" s="1069"/>
      <c r="UIQ278" s="1069"/>
      <c r="UIR278" s="1069"/>
      <c r="UIS278" s="1069"/>
      <c r="UIT278" s="1069"/>
      <c r="UIU278" s="1069"/>
      <c r="UIV278" s="1069"/>
      <c r="UIW278" s="1069"/>
      <c r="UIX278" s="1069"/>
      <c r="UIY278" s="1069"/>
      <c r="UIZ278" s="1069"/>
      <c r="UJA278" s="1069"/>
      <c r="UJB278" s="1069"/>
      <c r="UJC278" s="1069"/>
      <c r="UJD278" s="1069"/>
      <c r="UJE278" s="1069"/>
      <c r="UJF278" s="1069"/>
      <c r="UJG278" s="1069"/>
      <c r="UJH278" s="1069"/>
      <c r="UJI278" s="1069"/>
      <c r="UJJ278" s="1069"/>
      <c r="UJK278" s="1069"/>
      <c r="UJL278" s="1069"/>
      <c r="UJM278" s="1069"/>
      <c r="UJN278" s="1069"/>
      <c r="UJO278" s="1069"/>
      <c r="UJP278" s="1069"/>
      <c r="UJQ278" s="1069"/>
      <c r="UJR278" s="1069"/>
      <c r="UJS278" s="1069"/>
      <c r="UJT278" s="1069"/>
      <c r="UJU278" s="1069"/>
      <c r="UJV278" s="1069"/>
      <c r="UJW278" s="1069"/>
      <c r="UJX278" s="1069"/>
      <c r="UJY278" s="1069"/>
      <c r="UJZ278" s="1069"/>
      <c r="UKA278" s="1069"/>
      <c r="UKB278" s="1069"/>
      <c r="UKC278" s="1069"/>
      <c r="UKD278" s="1069"/>
      <c r="UKE278" s="1069"/>
      <c r="UKF278" s="1069"/>
      <c r="UKG278" s="1069"/>
      <c r="UKH278" s="1069"/>
      <c r="UKI278" s="1069"/>
      <c r="UKJ278" s="1069"/>
      <c r="UKK278" s="1069"/>
      <c r="UKL278" s="1069"/>
      <c r="UKM278" s="1069"/>
      <c r="UKN278" s="1069"/>
      <c r="UKO278" s="1069"/>
      <c r="UKP278" s="1069"/>
      <c r="UKQ278" s="1069"/>
      <c r="UKR278" s="1069"/>
      <c r="UKS278" s="1069"/>
      <c r="UKT278" s="1069"/>
      <c r="UKU278" s="1069"/>
      <c r="UKV278" s="1069"/>
      <c r="UKW278" s="1069"/>
      <c r="UKX278" s="1069"/>
      <c r="UKY278" s="1069"/>
      <c r="UKZ278" s="1069"/>
      <c r="ULA278" s="1069"/>
      <c r="ULB278" s="1069"/>
      <c r="ULC278" s="1069"/>
      <c r="ULD278" s="1069"/>
      <c r="ULE278" s="1069"/>
      <c r="ULF278" s="1069"/>
      <c r="ULG278" s="1069"/>
      <c r="ULH278" s="1069"/>
      <c r="ULI278" s="1069"/>
      <c r="ULJ278" s="1069"/>
      <c r="ULK278" s="1069"/>
      <c r="ULL278" s="1069"/>
      <c r="ULM278" s="1069"/>
      <c r="ULN278" s="1069"/>
      <c r="ULO278" s="1069"/>
      <c r="ULP278" s="1069"/>
      <c r="ULQ278" s="1069"/>
      <c r="ULR278" s="1069"/>
      <c r="ULS278" s="1069"/>
      <c r="ULT278" s="1069"/>
      <c r="ULU278" s="1069"/>
      <c r="ULV278" s="1069"/>
      <c r="ULW278" s="1069"/>
      <c r="ULX278" s="1069"/>
      <c r="ULY278" s="1069"/>
      <c r="ULZ278" s="1069"/>
      <c r="UMA278" s="1069"/>
      <c r="UMB278" s="1069"/>
      <c r="UMC278" s="1069"/>
      <c r="UMD278" s="1069"/>
      <c r="UME278" s="1069"/>
      <c r="UMF278" s="1069"/>
      <c r="UMG278" s="1069"/>
      <c r="UMH278" s="1069"/>
      <c r="UMI278" s="1069"/>
      <c r="UMJ278" s="1069"/>
      <c r="UMK278" s="1069"/>
      <c r="UML278" s="1069"/>
      <c r="UMM278" s="1069"/>
      <c r="UMN278" s="1069"/>
      <c r="UMO278" s="1069"/>
      <c r="UMP278" s="1069"/>
      <c r="UMQ278" s="1069"/>
      <c r="UMR278" s="1069"/>
      <c r="UMS278" s="1069"/>
      <c r="UMT278" s="1069"/>
      <c r="UMU278" s="1069"/>
      <c r="UMV278" s="1069"/>
      <c r="UMW278" s="1069"/>
      <c r="UMX278" s="1069"/>
      <c r="UMY278" s="1069"/>
      <c r="UMZ278" s="1069"/>
      <c r="UNA278" s="1069"/>
      <c r="UNB278" s="1069"/>
      <c r="UNC278" s="1069"/>
      <c r="UND278" s="1069"/>
      <c r="UNE278" s="1069"/>
      <c r="UNF278" s="1069"/>
      <c r="UNG278" s="1069"/>
      <c r="UNH278" s="1069"/>
      <c r="UNI278" s="1069"/>
      <c r="UNJ278" s="1069"/>
      <c r="UNK278" s="1069"/>
      <c r="UNL278" s="1069"/>
      <c r="UNM278" s="1069"/>
      <c r="UNN278" s="1069"/>
      <c r="UNO278" s="1069"/>
      <c r="UNP278" s="1069"/>
      <c r="UNQ278" s="1069"/>
      <c r="UNR278" s="1069"/>
      <c r="UNS278" s="1069"/>
      <c r="UNT278" s="1069"/>
      <c r="UNU278" s="1069"/>
      <c r="UNV278" s="1069"/>
      <c r="UNW278" s="1069"/>
      <c r="UNX278" s="1069"/>
      <c r="UNY278" s="1069"/>
      <c r="UNZ278" s="1069"/>
      <c r="UOA278" s="1069"/>
      <c r="UOB278" s="1069"/>
      <c r="UOC278" s="1069"/>
      <c r="UOD278" s="1069"/>
      <c r="UOE278" s="1069"/>
      <c r="UOF278" s="1069"/>
      <c r="UOG278" s="1069"/>
      <c r="UOH278" s="1069"/>
      <c r="UOI278" s="1069"/>
      <c r="UOJ278" s="1069"/>
      <c r="UOK278" s="1069"/>
      <c r="UOL278" s="1069"/>
      <c r="UOM278" s="1069"/>
      <c r="UON278" s="1069"/>
      <c r="UOO278" s="1069"/>
      <c r="UOP278" s="1069"/>
      <c r="UOQ278" s="1069"/>
      <c r="UOR278" s="1069"/>
      <c r="UOS278" s="1069"/>
      <c r="UOT278" s="1069"/>
      <c r="UOU278" s="1069"/>
      <c r="UOV278" s="1069"/>
      <c r="UOW278" s="1069"/>
      <c r="UOX278" s="1069"/>
      <c r="UOY278" s="1069"/>
      <c r="UOZ278" s="1069"/>
      <c r="UPA278" s="1069"/>
      <c r="UPB278" s="1069"/>
      <c r="UPC278" s="1069"/>
      <c r="UPD278" s="1069"/>
      <c r="UPE278" s="1069"/>
      <c r="UPF278" s="1069"/>
      <c r="UPG278" s="1069"/>
      <c r="UPH278" s="1069"/>
      <c r="UPI278" s="1069"/>
      <c r="UPJ278" s="1069"/>
      <c r="UPK278" s="1069"/>
      <c r="UPL278" s="1069"/>
      <c r="UPM278" s="1069"/>
      <c r="UPN278" s="1069"/>
      <c r="UPO278" s="1069"/>
      <c r="UPP278" s="1069"/>
      <c r="UPQ278" s="1069"/>
      <c r="UPR278" s="1069"/>
      <c r="UPS278" s="1069"/>
      <c r="UPT278" s="1069"/>
      <c r="UPU278" s="1069"/>
      <c r="UPV278" s="1069"/>
      <c r="UPW278" s="1069"/>
      <c r="UPX278" s="1069"/>
      <c r="UPY278" s="1069"/>
      <c r="UPZ278" s="1069"/>
      <c r="UQA278" s="1069"/>
      <c r="UQB278" s="1069"/>
      <c r="UQC278" s="1069"/>
      <c r="UQD278" s="1069"/>
      <c r="UQE278" s="1069"/>
      <c r="UQF278" s="1069"/>
      <c r="UQG278" s="1069"/>
      <c r="UQH278" s="1069"/>
      <c r="UQI278" s="1069"/>
      <c r="UQJ278" s="1069"/>
      <c r="UQK278" s="1069"/>
      <c r="UQL278" s="1069"/>
      <c r="UQM278" s="1069"/>
      <c r="UQN278" s="1069"/>
      <c r="UQO278" s="1069"/>
      <c r="UQP278" s="1069"/>
      <c r="UQQ278" s="1069"/>
      <c r="UQR278" s="1069"/>
      <c r="UQS278" s="1069"/>
      <c r="UQT278" s="1069"/>
      <c r="UQU278" s="1069"/>
      <c r="UQV278" s="1069"/>
      <c r="UQW278" s="1069"/>
      <c r="UQX278" s="1069"/>
      <c r="UQY278" s="1069"/>
      <c r="UQZ278" s="1069"/>
      <c r="URA278" s="1069"/>
      <c r="URB278" s="1069"/>
      <c r="URC278" s="1069"/>
      <c r="URD278" s="1069"/>
      <c r="URE278" s="1069"/>
      <c r="URF278" s="1069"/>
      <c r="URG278" s="1069"/>
      <c r="URH278" s="1069"/>
      <c r="URI278" s="1069"/>
      <c r="URJ278" s="1069"/>
      <c r="URK278" s="1069"/>
      <c r="URL278" s="1069"/>
      <c r="URM278" s="1069"/>
      <c r="URN278" s="1069"/>
      <c r="URO278" s="1069"/>
      <c r="URP278" s="1069"/>
      <c r="URQ278" s="1069"/>
      <c r="URR278" s="1069"/>
      <c r="URS278" s="1069"/>
      <c r="URT278" s="1069"/>
      <c r="URU278" s="1069"/>
      <c r="URV278" s="1069"/>
      <c r="URW278" s="1069"/>
      <c r="URX278" s="1069"/>
      <c r="URY278" s="1069"/>
      <c r="URZ278" s="1069"/>
      <c r="USA278" s="1069"/>
      <c r="USB278" s="1069"/>
      <c r="USC278" s="1069"/>
      <c r="USD278" s="1069"/>
      <c r="USE278" s="1069"/>
      <c r="USF278" s="1069"/>
      <c r="USG278" s="1069"/>
      <c r="USH278" s="1069"/>
      <c r="USI278" s="1069"/>
      <c r="USJ278" s="1069"/>
      <c r="USK278" s="1069"/>
      <c r="USL278" s="1069"/>
      <c r="USM278" s="1069"/>
      <c r="USN278" s="1069"/>
      <c r="USO278" s="1069"/>
      <c r="USP278" s="1069"/>
      <c r="USQ278" s="1069"/>
      <c r="USR278" s="1069"/>
      <c r="USS278" s="1069"/>
      <c r="UST278" s="1069"/>
      <c r="USU278" s="1069"/>
      <c r="USV278" s="1069"/>
      <c r="USW278" s="1069"/>
      <c r="USX278" s="1069"/>
      <c r="USY278" s="1069"/>
      <c r="USZ278" s="1069"/>
      <c r="UTA278" s="1069"/>
      <c r="UTB278" s="1069"/>
      <c r="UTC278" s="1069"/>
      <c r="UTD278" s="1069"/>
      <c r="UTE278" s="1069"/>
      <c r="UTF278" s="1069"/>
      <c r="UTG278" s="1069"/>
      <c r="UTH278" s="1069"/>
      <c r="UTI278" s="1069"/>
      <c r="UTJ278" s="1069"/>
      <c r="UTK278" s="1069"/>
      <c r="UTL278" s="1069"/>
      <c r="UTM278" s="1069"/>
      <c r="UTN278" s="1069"/>
      <c r="UTO278" s="1069"/>
      <c r="UTP278" s="1069"/>
      <c r="UTQ278" s="1069"/>
      <c r="UTR278" s="1069"/>
      <c r="UTS278" s="1069"/>
      <c r="UTT278" s="1069"/>
      <c r="UTU278" s="1069"/>
      <c r="UTV278" s="1069"/>
      <c r="UTW278" s="1069"/>
      <c r="UTX278" s="1069"/>
      <c r="UTY278" s="1069"/>
      <c r="UTZ278" s="1069"/>
      <c r="UUA278" s="1069"/>
      <c r="UUB278" s="1069"/>
      <c r="UUC278" s="1069"/>
      <c r="UUD278" s="1069"/>
      <c r="UUE278" s="1069"/>
      <c r="UUF278" s="1069"/>
      <c r="UUG278" s="1069"/>
      <c r="UUH278" s="1069"/>
      <c r="UUI278" s="1069"/>
      <c r="UUJ278" s="1069"/>
      <c r="UUK278" s="1069"/>
      <c r="UUL278" s="1069"/>
      <c r="UUM278" s="1069"/>
      <c r="UUN278" s="1069"/>
      <c r="UUO278" s="1069"/>
      <c r="UUP278" s="1069"/>
      <c r="UUQ278" s="1069"/>
      <c r="UUR278" s="1069"/>
      <c r="UUS278" s="1069"/>
      <c r="UUT278" s="1069"/>
      <c r="UUU278" s="1069"/>
      <c r="UUV278" s="1069"/>
      <c r="UUW278" s="1069"/>
      <c r="UUX278" s="1069"/>
      <c r="UUY278" s="1069"/>
      <c r="UUZ278" s="1069"/>
      <c r="UVA278" s="1069"/>
      <c r="UVB278" s="1069"/>
      <c r="UVC278" s="1069"/>
      <c r="UVD278" s="1069"/>
      <c r="UVE278" s="1069"/>
      <c r="UVF278" s="1069"/>
      <c r="UVG278" s="1069"/>
      <c r="UVH278" s="1069"/>
      <c r="UVI278" s="1069"/>
      <c r="UVJ278" s="1069"/>
      <c r="UVK278" s="1069"/>
      <c r="UVL278" s="1069"/>
      <c r="UVM278" s="1069"/>
      <c r="UVN278" s="1069"/>
      <c r="UVO278" s="1069"/>
      <c r="UVP278" s="1069"/>
      <c r="UVQ278" s="1069"/>
      <c r="UVR278" s="1069"/>
      <c r="UVS278" s="1069"/>
      <c r="UVT278" s="1069"/>
      <c r="UVU278" s="1069"/>
      <c r="UVV278" s="1069"/>
      <c r="UVW278" s="1069"/>
      <c r="UVX278" s="1069"/>
      <c r="UVY278" s="1069"/>
      <c r="UVZ278" s="1069"/>
      <c r="UWA278" s="1069"/>
      <c r="UWB278" s="1069"/>
      <c r="UWC278" s="1069"/>
      <c r="UWD278" s="1069"/>
      <c r="UWE278" s="1069"/>
      <c r="UWF278" s="1069"/>
      <c r="UWG278" s="1069"/>
      <c r="UWH278" s="1069"/>
      <c r="UWI278" s="1069"/>
      <c r="UWJ278" s="1069"/>
      <c r="UWK278" s="1069"/>
      <c r="UWL278" s="1069"/>
      <c r="UWM278" s="1069"/>
      <c r="UWN278" s="1069"/>
      <c r="UWO278" s="1069"/>
      <c r="UWP278" s="1069"/>
      <c r="UWQ278" s="1069"/>
      <c r="UWR278" s="1069"/>
      <c r="UWS278" s="1069"/>
      <c r="UWT278" s="1069"/>
      <c r="UWU278" s="1069"/>
      <c r="UWV278" s="1069"/>
      <c r="UWW278" s="1069"/>
      <c r="UWX278" s="1069"/>
      <c r="UWY278" s="1069"/>
      <c r="UWZ278" s="1069"/>
      <c r="UXA278" s="1069"/>
      <c r="UXB278" s="1069"/>
      <c r="UXC278" s="1069"/>
      <c r="UXD278" s="1069"/>
      <c r="UXE278" s="1069"/>
      <c r="UXF278" s="1069"/>
      <c r="UXG278" s="1069"/>
      <c r="UXH278" s="1069"/>
      <c r="UXI278" s="1069"/>
      <c r="UXJ278" s="1069"/>
      <c r="UXK278" s="1069"/>
      <c r="UXL278" s="1069"/>
      <c r="UXM278" s="1069"/>
      <c r="UXN278" s="1069"/>
      <c r="UXO278" s="1069"/>
      <c r="UXP278" s="1069"/>
      <c r="UXQ278" s="1069"/>
      <c r="UXR278" s="1069"/>
      <c r="UXS278" s="1069"/>
      <c r="UXT278" s="1069"/>
      <c r="UXU278" s="1069"/>
      <c r="UXV278" s="1069"/>
      <c r="UXW278" s="1069"/>
      <c r="UXX278" s="1069"/>
      <c r="UXY278" s="1069"/>
      <c r="UXZ278" s="1069"/>
      <c r="UYA278" s="1069"/>
      <c r="UYB278" s="1069"/>
      <c r="UYC278" s="1069"/>
      <c r="UYD278" s="1069"/>
      <c r="UYE278" s="1069"/>
      <c r="UYF278" s="1069"/>
      <c r="UYG278" s="1069"/>
      <c r="UYH278" s="1069"/>
      <c r="UYI278" s="1069"/>
      <c r="UYJ278" s="1069"/>
      <c r="UYK278" s="1069"/>
      <c r="UYL278" s="1069"/>
      <c r="UYM278" s="1069"/>
      <c r="UYN278" s="1069"/>
      <c r="UYO278" s="1069"/>
      <c r="UYP278" s="1069"/>
      <c r="UYQ278" s="1069"/>
      <c r="UYR278" s="1069"/>
      <c r="UYS278" s="1069"/>
      <c r="UYT278" s="1069"/>
      <c r="UYU278" s="1069"/>
      <c r="UYV278" s="1069"/>
      <c r="UYW278" s="1069"/>
      <c r="UYX278" s="1069"/>
      <c r="UYY278" s="1069"/>
      <c r="UYZ278" s="1069"/>
      <c r="UZA278" s="1069"/>
      <c r="UZB278" s="1069"/>
      <c r="UZC278" s="1069"/>
      <c r="UZD278" s="1069"/>
      <c r="UZE278" s="1069"/>
      <c r="UZF278" s="1069"/>
      <c r="UZG278" s="1069"/>
      <c r="UZH278" s="1069"/>
      <c r="UZI278" s="1069"/>
      <c r="UZJ278" s="1069"/>
      <c r="UZK278" s="1069"/>
      <c r="UZL278" s="1069"/>
      <c r="UZM278" s="1069"/>
      <c r="UZN278" s="1069"/>
      <c r="UZO278" s="1069"/>
      <c r="UZP278" s="1069"/>
      <c r="UZQ278" s="1069"/>
      <c r="UZR278" s="1069"/>
      <c r="UZS278" s="1069"/>
      <c r="UZT278" s="1069"/>
      <c r="UZU278" s="1069"/>
      <c r="UZV278" s="1069"/>
      <c r="UZW278" s="1069"/>
      <c r="UZX278" s="1069"/>
      <c r="UZY278" s="1069"/>
      <c r="UZZ278" s="1069"/>
      <c r="VAA278" s="1069"/>
      <c r="VAB278" s="1069"/>
      <c r="VAC278" s="1069"/>
      <c r="VAD278" s="1069"/>
      <c r="VAE278" s="1069"/>
      <c r="VAF278" s="1069"/>
      <c r="VAG278" s="1069"/>
      <c r="VAH278" s="1069"/>
      <c r="VAI278" s="1069"/>
      <c r="VAJ278" s="1069"/>
      <c r="VAK278" s="1069"/>
      <c r="VAL278" s="1069"/>
      <c r="VAM278" s="1069"/>
      <c r="VAN278" s="1069"/>
      <c r="VAO278" s="1069"/>
      <c r="VAP278" s="1069"/>
      <c r="VAQ278" s="1069"/>
      <c r="VAR278" s="1069"/>
      <c r="VAS278" s="1069"/>
      <c r="VAT278" s="1069"/>
      <c r="VAU278" s="1069"/>
      <c r="VAV278" s="1069"/>
      <c r="VAW278" s="1069"/>
      <c r="VAX278" s="1069"/>
      <c r="VAY278" s="1069"/>
      <c r="VAZ278" s="1069"/>
      <c r="VBA278" s="1069"/>
      <c r="VBB278" s="1069"/>
      <c r="VBC278" s="1069"/>
      <c r="VBD278" s="1069"/>
      <c r="VBE278" s="1069"/>
      <c r="VBF278" s="1069"/>
      <c r="VBG278" s="1069"/>
      <c r="VBH278" s="1069"/>
      <c r="VBI278" s="1069"/>
      <c r="VBJ278" s="1069"/>
      <c r="VBK278" s="1069"/>
      <c r="VBL278" s="1069"/>
      <c r="VBM278" s="1069"/>
      <c r="VBN278" s="1069"/>
      <c r="VBO278" s="1069"/>
      <c r="VBP278" s="1069"/>
      <c r="VBQ278" s="1069"/>
      <c r="VBR278" s="1069"/>
      <c r="VBS278" s="1069"/>
      <c r="VBT278" s="1069"/>
      <c r="VBU278" s="1069"/>
      <c r="VBV278" s="1069"/>
      <c r="VBW278" s="1069"/>
      <c r="VBX278" s="1069"/>
      <c r="VBY278" s="1069"/>
      <c r="VBZ278" s="1069"/>
      <c r="VCA278" s="1069"/>
      <c r="VCB278" s="1069"/>
      <c r="VCC278" s="1069"/>
      <c r="VCD278" s="1069"/>
      <c r="VCE278" s="1069"/>
      <c r="VCF278" s="1069"/>
      <c r="VCG278" s="1069"/>
      <c r="VCH278" s="1069"/>
      <c r="VCI278" s="1069"/>
      <c r="VCJ278" s="1069"/>
      <c r="VCK278" s="1069"/>
      <c r="VCL278" s="1069"/>
      <c r="VCM278" s="1069"/>
      <c r="VCN278" s="1069"/>
      <c r="VCO278" s="1069"/>
      <c r="VCP278" s="1069"/>
      <c r="VCQ278" s="1069"/>
      <c r="VCR278" s="1069"/>
      <c r="VCS278" s="1069"/>
      <c r="VCT278" s="1069"/>
      <c r="VCU278" s="1069"/>
      <c r="VCV278" s="1069"/>
      <c r="VCW278" s="1069"/>
      <c r="VCX278" s="1069"/>
      <c r="VCY278" s="1069"/>
      <c r="VCZ278" s="1069"/>
      <c r="VDA278" s="1069"/>
      <c r="VDB278" s="1069"/>
      <c r="VDC278" s="1069"/>
      <c r="VDD278" s="1069"/>
      <c r="VDE278" s="1069"/>
      <c r="VDF278" s="1069"/>
      <c r="VDG278" s="1069"/>
      <c r="VDH278" s="1069"/>
      <c r="VDI278" s="1069"/>
      <c r="VDJ278" s="1069"/>
      <c r="VDK278" s="1069"/>
      <c r="VDL278" s="1069"/>
      <c r="VDM278" s="1069"/>
      <c r="VDN278" s="1069"/>
      <c r="VDO278" s="1069"/>
      <c r="VDP278" s="1069"/>
      <c r="VDQ278" s="1069"/>
      <c r="VDR278" s="1069"/>
      <c r="VDS278" s="1069"/>
      <c r="VDT278" s="1069"/>
      <c r="VDU278" s="1069"/>
      <c r="VDV278" s="1069"/>
      <c r="VDW278" s="1069"/>
      <c r="VDX278" s="1069"/>
      <c r="VDY278" s="1069"/>
      <c r="VDZ278" s="1069"/>
      <c r="VEA278" s="1069"/>
      <c r="VEB278" s="1069"/>
      <c r="VEC278" s="1069"/>
      <c r="VED278" s="1069"/>
      <c r="VEE278" s="1069"/>
      <c r="VEF278" s="1069"/>
      <c r="VEG278" s="1069"/>
      <c r="VEH278" s="1069"/>
      <c r="VEI278" s="1069"/>
      <c r="VEJ278" s="1069"/>
      <c r="VEK278" s="1069"/>
      <c r="VEL278" s="1069"/>
      <c r="VEM278" s="1069"/>
      <c r="VEN278" s="1069"/>
      <c r="VEO278" s="1069"/>
      <c r="VEP278" s="1069"/>
      <c r="VEQ278" s="1069"/>
      <c r="VER278" s="1069"/>
      <c r="VES278" s="1069"/>
      <c r="VET278" s="1069"/>
      <c r="VEU278" s="1069"/>
      <c r="VEV278" s="1069"/>
      <c r="VEW278" s="1069"/>
      <c r="VEX278" s="1069"/>
      <c r="VEY278" s="1069"/>
      <c r="VEZ278" s="1069"/>
      <c r="VFA278" s="1069"/>
      <c r="VFB278" s="1069"/>
      <c r="VFC278" s="1069"/>
      <c r="VFD278" s="1069"/>
      <c r="VFE278" s="1069"/>
      <c r="VFF278" s="1069"/>
      <c r="VFG278" s="1069"/>
      <c r="VFH278" s="1069"/>
      <c r="VFI278" s="1069"/>
      <c r="VFJ278" s="1069"/>
      <c r="VFK278" s="1069"/>
      <c r="VFL278" s="1069"/>
      <c r="VFM278" s="1069"/>
      <c r="VFN278" s="1069"/>
      <c r="VFO278" s="1069"/>
      <c r="VFP278" s="1069"/>
      <c r="VFQ278" s="1069"/>
      <c r="VFR278" s="1069"/>
      <c r="VFS278" s="1069"/>
      <c r="VFT278" s="1069"/>
      <c r="VFU278" s="1069"/>
      <c r="VFV278" s="1069"/>
      <c r="VFW278" s="1069"/>
      <c r="VFX278" s="1069"/>
      <c r="VFY278" s="1069"/>
      <c r="VFZ278" s="1069"/>
      <c r="VGA278" s="1069"/>
      <c r="VGB278" s="1069"/>
      <c r="VGC278" s="1069"/>
      <c r="VGD278" s="1069"/>
      <c r="VGE278" s="1069"/>
      <c r="VGF278" s="1069"/>
      <c r="VGG278" s="1069"/>
      <c r="VGH278" s="1069"/>
      <c r="VGI278" s="1069"/>
      <c r="VGJ278" s="1069"/>
      <c r="VGK278" s="1069"/>
      <c r="VGL278" s="1069"/>
      <c r="VGM278" s="1069"/>
      <c r="VGN278" s="1069"/>
      <c r="VGO278" s="1069"/>
      <c r="VGP278" s="1069"/>
      <c r="VGQ278" s="1069"/>
      <c r="VGR278" s="1069"/>
      <c r="VGS278" s="1069"/>
      <c r="VGT278" s="1069"/>
      <c r="VGU278" s="1069"/>
      <c r="VGV278" s="1069"/>
      <c r="VGW278" s="1069"/>
      <c r="VGX278" s="1069"/>
      <c r="VGY278" s="1069"/>
      <c r="VGZ278" s="1069"/>
      <c r="VHA278" s="1069"/>
      <c r="VHB278" s="1069"/>
      <c r="VHC278" s="1069"/>
      <c r="VHD278" s="1069"/>
      <c r="VHE278" s="1069"/>
      <c r="VHF278" s="1069"/>
      <c r="VHG278" s="1069"/>
      <c r="VHH278" s="1069"/>
      <c r="VHI278" s="1069"/>
      <c r="VHJ278" s="1069"/>
      <c r="VHK278" s="1069"/>
      <c r="VHL278" s="1069"/>
      <c r="VHM278" s="1069"/>
      <c r="VHN278" s="1069"/>
      <c r="VHO278" s="1069"/>
      <c r="VHP278" s="1069"/>
      <c r="VHQ278" s="1069"/>
      <c r="VHR278" s="1069"/>
      <c r="VHS278" s="1069"/>
      <c r="VHT278" s="1069"/>
      <c r="VHU278" s="1069"/>
      <c r="VHV278" s="1069"/>
      <c r="VHW278" s="1069"/>
      <c r="VHX278" s="1069"/>
      <c r="VHY278" s="1069"/>
      <c r="VHZ278" s="1069"/>
      <c r="VIA278" s="1069"/>
      <c r="VIB278" s="1069"/>
      <c r="VIC278" s="1069"/>
      <c r="VID278" s="1069"/>
      <c r="VIE278" s="1069"/>
      <c r="VIF278" s="1069"/>
      <c r="VIG278" s="1069"/>
      <c r="VIH278" s="1069"/>
      <c r="VII278" s="1069"/>
      <c r="VIJ278" s="1069"/>
      <c r="VIK278" s="1069"/>
      <c r="VIL278" s="1069"/>
      <c r="VIM278" s="1069"/>
      <c r="VIN278" s="1069"/>
      <c r="VIO278" s="1069"/>
      <c r="VIP278" s="1069"/>
      <c r="VIQ278" s="1069"/>
      <c r="VIR278" s="1069"/>
      <c r="VIS278" s="1069"/>
      <c r="VIT278" s="1069"/>
      <c r="VIU278" s="1069"/>
      <c r="VIV278" s="1069"/>
      <c r="VIW278" s="1069"/>
      <c r="VIX278" s="1069"/>
      <c r="VIY278" s="1069"/>
      <c r="VIZ278" s="1069"/>
      <c r="VJA278" s="1069"/>
      <c r="VJB278" s="1069"/>
      <c r="VJC278" s="1069"/>
      <c r="VJD278" s="1069"/>
      <c r="VJE278" s="1069"/>
      <c r="VJF278" s="1069"/>
      <c r="VJG278" s="1069"/>
      <c r="VJH278" s="1069"/>
      <c r="VJI278" s="1069"/>
      <c r="VJJ278" s="1069"/>
      <c r="VJK278" s="1069"/>
      <c r="VJL278" s="1069"/>
      <c r="VJM278" s="1069"/>
      <c r="VJN278" s="1069"/>
      <c r="VJO278" s="1069"/>
      <c r="VJP278" s="1069"/>
      <c r="VJQ278" s="1069"/>
      <c r="VJR278" s="1069"/>
      <c r="VJS278" s="1069"/>
      <c r="VJT278" s="1069"/>
      <c r="VJU278" s="1069"/>
      <c r="VJV278" s="1069"/>
      <c r="VJW278" s="1069"/>
      <c r="VJX278" s="1069"/>
      <c r="VJY278" s="1069"/>
      <c r="VJZ278" s="1069"/>
      <c r="VKA278" s="1069"/>
      <c r="VKB278" s="1069"/>
      <c r="VKC278" s="1069"/>
      <c r="VKD278" s="1069"/>
      <c r="VKE278" s="1069"/>
      <c r="VKF278" s="1069"/>
      <c r="VKG278" s="1069"/>
      <c r="VKH278" s="1069"/>
      <c r="VKI278" s="1069"/>
      <c r="VKJ278" s="1069"/>
      <c r="VKK278" s="1069"/>
      <c r="VKL278" s="1069"/>
      <c r="VKM278" s="1069"/>
      <c r="VKN278" s="1069"/>
      <c r="VKO278" s="1069"/>
      <c r="VKP278" s="1069"/>
      <c r="VKQ278" s="1069"/>
      <c r="VKR278" s="1069"/>
      <c r="VKS278" s="1069"/>
      <c r="VKT278" s="1069"/>
      <c r="VKU278" s="1069"/>
      <c r="VKV278" s="1069"/>
      <c r="VKW278" s="1069"/>
      <c r="VKX278" s="1069"/>
      <c r="VKY278" s="1069"/>
      <c r="VKZ278" s="1069"/>
      <c r="VLA278" s="1069"/>
      <c r="VLB278" s="1069"/>
      <c r="VLC278" s="1069"/>
      <c r="VLD278" s="1069"/>
      <c r="VLE278" s="1069"/>
      <c r="VLF278" s="1069"/>
      <c r="VLG278" s="1069"/>
      <c r="VLH278" s="1069"/>
      <c r="VLI278" s="1069"/>
      <c r="VLJ278" s="1069"/>
      <c r="VLK278" s="1069"/>
      <c r="VLL278" s="1069"/>
      <c r="VLM278" s="1069"/>
      <c r="VLN278" s="1069"/>
      <c r="VLO278" s="1069"/>
      <c r="VLP278" s="1069"/>
      <c r="VLQ278" s="1069"/>
      <c r="VLR278" s="1069"/>
      <c r="VLS278" s="1069"/>
      <c r="VLT278" s="1069"/>
      <c r="VLU278" s="1069"/>
      <c r="VLV278" s="1069"/>
      <c r="VLW278" s="1069"/>
      <c r="VLX278" s="1069"/>
      <c r="VLY278" s="1069"/>
      <c r="VLZ278" s="1069"/>
      <c r="VMA278" s="1069"/>
      <c r="VMB278" s="1069"/>
      <c r="VMC278" s="1069"/>
      <c r="VMD278" s="1069"/>
      <c r="VME278" s="1069"/>
      <c r="VMF278" s="1069"/>
      <c r="VMG278" s="1069"/>
      <c r="VMH278" s="1069"/>
      <c r="VMI278" s="1069"/>
      <c r="VMJ278" s="1069"/>
      <c r="VMK278" s="1069"/>
      <c r="VML278" s="1069"/>
      <c r="VMM278" s="1069"/>
      <c r="VMN278" s="1069"/>
      <c r="VMO278" s="1069"/>
      <c r="VMP278" s="1069"/>
      <c r="VMQ278" s="1069"/>
      <c r="VMR278" s="1069"/>
      <c r="VMS278" s="1069"/>
      <c r="VMT278" s="1069"/>
      <c r="VMU278" s="1069"/>
      <c r="VMV278" s="1069"/>
      <c r="VMW278" s="1069"/>
      <c r="VMX278" s="1069"/>
      <c r="VMY278" s="1069"/>
      <c r="VMZ278" s="1069"/>
      <c r="VNA278" s="1069"/>
      <c r="VNB278" s="1069"/>
      <c r="VNC278" s="1069"/>
      <c r="VND278" s="1069"/>
      <c r="VNE278" s="1069"/>
      <c r="VNF278" s="1069"/>
      <c r="VNG278" s="1069"/>
      <c r="VNH278" s="1069"/>
      <c r="VNI278" s="1069"/>
      <c r="VNJ278" s="1069"/>
      <c r="VNK278" s="1069"/>
      <c r="VNL278" s="1069"/>
      <c r="VNM278" s="1069"/>
      <c r="VNN278" s="1069"/>
      <c r="VNO278" s="1069"/>
      <c r="VNP278" s="1069"/>
      <c r="VNQ278" s="1069"/>
      <c r="VNR278" s="1069"/>
      <c r="VNS278" s="1069"/>
      <c r="VNT278" s="1069"/>
      <c r="VNU278" s="1069"/>
      <c r="VNV278" s="1069"/>
      <c r="VNW278" s="1069"/>
      <c r="VNX278" s="1069"/>
      <c r="VNY278" s="1069"/>
      <c r="VNZ278" s="1069"/>
      <c r="VOA278" s="1069"/>
      <c r="VOB278" s="1069"/>
      <c r="VOC278" s="1069"/>
      <c r="VOD278" s="1069"/>
      <c r="VOE278" s="1069"/>
      <c r="VOF278" s="1069"/>
      <c r="VOG278" s="1069"/>
      <c r="VOH278" s="1069"/>
      <c r="VOI278" s="1069"/>
      <c r="VOJ278" s="1069"/>
      <c r="VOK278" s="1069"/>
      <c r="VOL278" s="1069"/>
      <c r="VOM278" s="1069"/>
      <c r="VON278" s="1069"/>
      <c r="VOO278" s="1069"/>
      <c r="VOP278" s="1069"/>
      <c r="VOQ278" s="1069"/>
      <c r="VOR278" s="1069"/>
      <c r="VOS278" s="1069"/>
      <c r="VOT278" s="1069"/>
      <c r="VOU278" s="1069"/>
      <c r="VOV278" s="1069"/>
      <c r="VOW278" s="1069"/>
      <c r="VOX278" s="1069"/>
      <c r="VOY278" s="1069"/>
      <c r="VOZ278" s="1069"/>
      <c r="VPA278" s="1069"/>
      <c r="VPB278" s="1069"/>
      <c r="VPC278" s="1069"/>
      <c r="VPD278" s="1069"/>
      <c r="VPE278" s="1069"/>
      <c r="VPF278" s="1069"/>
      <c r="VPG278" s="1069"/>
      <c r="VPH278" s="1069"/>
      <c r="VPI278" s="1069"/>
      <c r="VPJ278" s="1069"/>
      <c r="VPK278" s="1069"/>
      <c r="VPL278" s="1069"/>
      <c r="VPM278" s="1069"/>
      <c r="VPN278" s="1069"/>
      <c r="VPO278" s="1069"/>
      <c r="VPP278" s="1069"/>
      <c r="VPQ278" s="1069"/>
      <c r="VPR278" s="1069"/>
      <c r="VPS278" s="1069"/>
      <c r="VPT278" s="1069"/>
      <c r="VPU278" s="1069"/>
      <c r="VPV278" s="1069"/>
      <c r="VPW278" s="1069"/>
      <c r="VPX278" s="1069"/>
      <c r="VPY278" s="1069"/>
      <c r="VPZ278" s="1069"/>
      <c r="VQA278" s="1069"/>
      <c r="VQB278" s="1069"/>
      <c r="VQC278" s="1069"/>
      <c r="VQD278" s="1069"/>
      <c r="VQE278" s="1069"/>
      <c r="VQF278" s="1069"/>
      <c r="VQG278" s="1069"/>
      <c r="VQH278" s="1069"/>
      <c r="VQI278" s="1069"/>
      <c r="VQJ278" s="1069"/>
      <c r="VQK278" s="1069"/>
      <c r="VQL278" s="1069"/>
      <c r="VQM278" s="1069"/>
      <c r="VQN278" s="1069"/>
      <c r="VQO278" s="1069"/>
      <c r="VQP278" s="1069"/>
      <c r="VQQ278" s="1069"/>
      <c r="VQR278" s="1069"/>
      <c r="VQS278" s="1069"/>
      <c r="VQT278" s="1069"/>
      <c r="VQU278" s="1069"/>
      <c r="VQV278" s="1069"/>
      <c r="VQW278" s="1069"/>
      <c r="VQX278" s="1069"/>
      <c r="VQY278" s="1069"/>
      <c r="VQZ278" s="1069"/>
      <c r="VRA278" s="1069"/>
      <c r="VRB278" s="1069"/>
      <c r="VRC278" s="1069"/>
      <c r="VRD278" s="1069"/>
      <c r="VRE278" s="1069"/>
      <c r="VRF278" s="1069"/>
      <c r="VRG278" s="1069"/>
      <c r="VRH278" s="1069"/>
      <c r="VRI278" s="1069"/>
      <c r="VRJ278" s="1069"/>
      <c r="VRK278" s="1069"/>
      <c r="VRL278" s="1069"/>
      <c r="VRM278" s="1069"/>
      <c r="VRN278" s="1069"/>
      <c r="VRO278" s="1069"/>
      <c r="VRP278" s="1069"/>
      <c r="VRQ278" s="1069"/>
      <c r="VRR278" s="1069"/>
      <c r="VRS278" s="1069"/>
      <c r="VRT278" s="1069"/>
      <c r="VRU278" s="1069"/>
      <c r="VRV278" s="1069"/>
      <c r="VRW278" s="1069"/>
      <c r="VRX278" s="1069"/>
      <c r="VRY278" s="1069"/>
      <c r="VRZ278" s="1069"/>
      <c r="VSA278" s="1069"/>
      <c r="VSB278" s="1069"/>
      <c r="VSC278" s="1069"/>
      <c r="VSD278" s="1069"/>
      <c r="VSE278" s="1069"/>
      <c r="VSF278" s="1069"/>
      <c r="VSG278" s="1069"/>
      <c r="VSH278" s="1069"/>
      <c r="VSI278" s="1069"/>
      <c r="VSJ278" s="1069"/>
      <c r="VSK278" s="1069"/>
      <c r="VSL278" s="1069"/>
      <c r="VSM278" s="1069"/>
      <c r="VSN278" s="1069"/>
      <c r="VSO278" s="1069"/>
      <c r="VSP278" s="1069"/>
      <c r="VSQ278" s="1069"/>
      <c r="VSR278" s="1069"/>
      <c r="VSS278" s="1069"/>
      <c r="VST278" s="1069"/>
      <c r="VSU278" s="1069"/>
      <c r="VSV278" s="1069"/>
      <c r="VSW278" s="1069"/>
      <c r="VSX278" s="1069"/>
      <c r="VSY278" s="1069"/>
      <c r="VSZ278" s="1069"/>
      <c r="VTA278" s="1069"/>
      <c r="VTB278" s="1069"/>
      <c r="VTC278" s="1069"/>
      <c r="VTD278" s="1069"/>
      <c r="VTE278" s="1069"/>
      <c r="VTF278" s="1069"/>
      <c r="VTG278" s="1069"/>
      <c r="VTH278" s="1069"/>
      <c r="VTI278" s="1069"/>
      <c r="VTJ278" s="1069"/>
      <c r="VTK278" s="1069"/>
      <c r="VTL278" s="1069"/>
      <c r="VTM278" s="1069"/>
      <c r="VTN278" s="1069"/>
      <c r="VTO278" s="1069"/>
      <c r="VTP278" s="1069"/>
      <c r="VTQ278" s="1069"/>
      <c r="VTR278" s="1069"/>
      <c r="VTS278" s="1069"/>
      <c r="VTT278" s="1069"/>
      <c r="VTU278" s="1069"/>
      <c r="VTV278" s="1069"/>
      <c r="VTW278" s="1069"/>
      <c r="VTX278" s="1069"/>
      <c r="VTY278" s="1069"/>
      <c r="VTZ278" s="1069"/>
      <c r="VUA278" s="1069"/>
      <c r="VUB278" s="1069"/>
      <c r="VUC278" s="1069"/>
      <c r="VUD278" s="1069"/>
      <c r="VUE278" s="1069"/>
      <c r="VUF278" s="1069"/>
      <c r="VUG278" s="1069"/>
      <c r="VUH278" s="1069"/>
      <c r="VUI278" s="1069"/>
      <c r="VUJ278" s="1069"/>
      <c r="VUK278" s="1069"/>
      <c r="VUL278" s="1069"/>
      <c r="VUM278" s="1069"/>
      <c r="VUN278" s="1069"/>
      <c r="VUO278" s="1069"/>
      <c r="VUP278" s="1069"/>
      <c r="VUQ278" s="1069"/>
      <c r="VUR278" s="1069"/>
      <c r="VUS278" s="1069"/>
      <c r="VUT278" s="1069"/>
      <c r="VUU278" s="1069"/>
      <c r="VUV278" s="1069"/>
      <c r="VUW278" s="1069"/>
      <c r="VUX278" s="1069"/>
      <c r="VUY278" s="1069"/>
      <c r="VUZ278" s="1069"/>
      <c r="VVA278" s="1069"/>
      <c r="VVB278" s="1069"/>
      <c r="VVC278" s="1069"/>
      <c r="VVD278" s="1069"/>
      <c r="VVE278" s="1069"/>
      <c r="VVF278" s="1069"/>
      <c r="VVG278" s="1069"/>
      <c r="VVH278" s="1069"/>
      <c r="VVI278" s="1069"/>
      <c r="VVJ278" s="1069"/>
      <c r="VVK278" s="1069"/>
      <c r="VVL278" s="1069"/>
      <c r="VVM278" s="1069"/>
      <c r="VVN278" s="1069"/>
      <c r="VVO278" s="1069"/>
      <c r="VVP278" s="1069"/>
      <c r="VVQ278" s="1069"/>
      <c r="VVR278" s="1069"/>
      <c r="VVS278" s="1069"/>
      <c r="VVT278" s="1069"/>
      <c r="VVU278" s="1069"/>
      <c r="VVV278" s="1069"/>
      <c r="VVW278" s="1069"/>
      <c r="VVX278" s="1069"/>
      <c r="VVY278" s="1069"/>
      <c r="VVZ278" s="1069"/>
      <c r="VWA278" s="1069"/>
      <c r="VWB278" s="1069"/>
      <c r="VWC278" s="1069"/>
      <c r="VWD278" s="1069"/>
      <c r="VWE278" s="1069"/>
      <c r="VWF278" s="1069"/>
      <c r="VWG278" s="1069"/>
      <c r="VWH278" s="1069"/>
      <c r="VWI278" s="1069"/>
      <c r="VWJ278" s="1069"/>
      <c r="VWK278" s="1069"/>
      <c r="VWL278" s="1069"/>
      <c r="VWM278" s="1069"/>
      <c r="VWN278" s="1069"/>
      <c r="VWO278" s="1069"/>
      <c r="VWP278" s="1069"/>
      <c r="VWQ278" s="1069"/>
      <c r="VWR278" s="1069"/>
      <c r="VWS278" s="1069"/>
      <c r="VWT278" s="1069"/>
      <c r="VWU278" s="1069"/>
      <c r="VWV278" s="1069"/>
      <c r="VWW278" s="1069"/>
      <c r="VWX278" s="1069"/>
      <c r="VWY278" s="1069"/>
      <c r="VWZ278" s="1069"/>
      <c r="VXA278" s="1069"/>
      <c r="VXB278" s="1069"/>
      <c r="VXC278" s="1069"/>
      <c r="VXD278" s="1069"/>
      <c r="VXE278" s="1069"/>
      <c r="VXF278" s="1069"/>
      <c r="VXG278" s="1069"/>
      <c r="VXH278" s="1069"/>
      <c r="VXI278" s="1069"/>
      <c r="VXJ278" s="1069"/>
      <c r="VXK278" s="1069"/>
      <c r="VXL278" s="1069"/>
      <c r="VXM278" s="1069"/>
      <c r="VXN278" s="1069"/>
      <c r="VXO278" s="1069"/>
      <c r="VXP278" s="1069"/>
      <c r="VXQ278" s="1069"/>
      <c r="VXR278" s="1069"/>
      <c r="VXS278" s="1069"/>
      <c r="VXT278" s="1069"/>
      <c r="VXU278" s="1069"/>
      <c r="VXV278" s="1069"/>
      <c r="VXW278" s="1069"/>
      <c r="VXX278" s="1069"/>
      <c r="VXY278" s="1069"/>
      <c r="VXZ278" s="1069"/>
      <c r="VYA278" s="1069"/>
      <c r="VYB278" s="1069"/>
      <c r="VYC278" s="1069"/>
      <c r="VYD278" s="1069"/>
      <c r="VYE278" s="1069"/>
      <c r="VYF278" s="1069"/>
      <c r="VYG278" s="1069"/>
      <c r="VYH278" s="1069"/>
      <c r="VYI278" s="1069"/>
      <c r="VYJ278" s="1069"/>
      <c r="VYK278" s="1069"/>
      <c r="VYL278" s="1069"/>
      <c r="VYM278" s="1069"/>
      <c r="VYN278" s="1069"/>
      <c r="VYO278" s="1069"/>
      <c r="VYP278" s="1069"/>
      <c r="VYQ278" s="1069"/>
      <c r="VYR278" s="1069"/>
      <c r="VYS278" s="1069"/>
      <c r="VYT278" s="1069"/>
      <c r="VYU278" s="1069"/>
      <c r="VYV278" s="1069"/>
      <c r="VYW278" s="1069"/>
      <c r="VYX278" s="1069"/>
      <c r="VYY278" s="1069"/>
      <c r="VYZ278" s="1069"/>
      <c r="VZA278" s="1069"/>
      <c r="VZB278" s="1069"/>
      <c r="VZC278" s="1069"/>
      <c r="VZD278" s="1069"/>
      <c r="VZE278" s="1069"/>
      <c r="VZF278" s="1069"/>
      <c r="VZG278" s="1069"/>
      <c r="VZH278" s="1069"/>
      <c r="VZI278" s="1069"/>
      <c r="VZJ278" s="1069"/>
      <c r="VZK278" s="1069"/>
      <c r="VZL278" s="1069"/>
      <c r="VZM278" s="1069"/>
      <c r="VZN278" s="1069"/>
      <c r="VZO278" s="1069"/>
      <c r="VZP278" s="1069"/>
      <c r="VZQ278" s="1069"/>
      <c r="VZR278" s="1069"/>
      <c r="VZS278" s="1069"/>
      <c r="VZT278" s="1069"/>
      <c r="VZU278" s="1069"/>
      <c r="VZV278" s="1069"/>
      <c r="VZW278" s="1069"/>
      <c r="VZX278" s="1069"/>
      <c r="VZY278" s="1069"/>
      <c r="VZZ278" s="1069"/>
      <c r="WAA278" s="1069"/>
      <c r="WAB278" s="1069"/>
      <c r="WAC278" s="1069"/>
      <c r="WAD278" s="1069"/>
      <c r="WAE278" s="1069"/>
      <c r="WAF278" s="1069"/>
      <c r="WAG278" s="1069"/>
      <c r="WAH278" s="1069"/>
      <c r="WAI278" s="1069"/>
      <c r="WAJ278" s="1069"/>
      <c r="WAK278" s="1069"/>
      <c r="WAL278" s="1069"/>
      <c r="WAM278" s="1069"/>
      <c r="WAN278" s="1069"/>
      <c r="WAO278" s="1069"/>
      <c r="WAP278" s="1069"/>
      <c r="WAQ278" s="1069"/>
      <c r="WAR278" s="1069"/>
      <c r="WAS278" s="1069"/>
      <c r="WAT278" s="1069"/>
      <c r="WAU278" s="1069"/>
      <c r="WAV278" s="1069"/>
      <c r="WAW278" s="1069"/>
      <c r="WAX278" s="1069"/>
      <c r="WAY278" s="1069"/>
      <c r="WAZ278" s="1069"/>
      <c r="WBA278" s="1069"/>
      <c r="WBB278" s="1069"/>
      <c r="WBC278" s="1069"/>
      <c r="WBD278" s="1069"/>
      <c r="WBE278" s="1069"/>
      <c r="WBF278" s="1069"/>
      <c r="WBG278" s="1069"/>
      <c r="WBH278" s="1069"/>
      <c r="WBI278" s="1069"/>
      <c r="WBJ278" s="1069"/>
      <c r="WBK278" s="1069"/>
      <c r="WBL278" s="1069"/>
      <c r="WBM278" s="1069"/>
      <c r="WBN278" s="1069"/>
      <c r="WBO278" s="1069"/>
      <c r="WBP278" s="1069"/>
      <c r="WBQ278" s="1069"/>
      <c r="WBR278" s="1069"/>
      <c r="WBS278" s="1069"/>
      <c r="WBT278" s="1069"/>
      <c r="WBU278" s="1069"/>
      <c r="WBV278" s="1069"/>
      <c r="WBW278" s="1069"/>
      <c r="WBX278" s="1069"/>
      <c r="WBY278" s="1069"/>
      <c r="WBZ278" s="1069"/>
      <c r="WCA278" s="1069"/>
      <c r="WCB278" s="1069"/>
      <c r="WCC278" s="1069"/>
      <c r="WCD278" s="1069"/>
      <c r="WCE278" s="1069"/>
      <c r="WCF278" s="1069"/>
      <c r="WCG278" s="1069"/>
      <c r="WCH278" s="1069"/>
      <c r="WCI278" s="1069"/>
      <c r="WCJ278" s="1069"/>
      <c r="WCK278" s="1069"/>
      <c r="WCL278" s="1069"/>
      <c r="WCM278" s="1069"/>
      <c r="WCN278" s="1069"/>
      <c r="WCO278" s="1069"/>
      <c r="WCP278" s="1069"/>
      <c r="WCQ278" s="1069"/>
      <c r="WCR278" s="1069"/>
      <c r="WCS278" s="1069"/>
      <c r="WCT278" s="1069"/>
      <c r="WCU278" s="1069"/>
      <c r="WCV278" s="1069"/>
      <c r="WCW278" s="1069"/>
      <c r="WCX278" s="1069"/>
      <c r="WCY278" s="1069"/>
      <c r="WCZ278" s="1069"/>
      <c r="WDA278" s="1069"/>
      <c r="WDB278" s="1069"/>
      <c r="WDC278" s="1069"/>
      <c r="WDD278" s="1069"/>
      <c r="WDE278" s="1069"/>
      <c r="WDF278" s="1069"/>
      <c r="WDG278" s="1069"/>
      <c r="WDH278" s="1069"/>
      <c r="WDI278" s="1069"/>
      <c r="WDJ278" s="1069"/>
      <c r="WDK278" s="1069"/>
      <c r="WDL278" s="1069"/>
      <c r="WDM278" s="1069"/>
      <c r="WDN278" s="1069"/>
      <c r="WDO278" s="1069"/>
      <c r="WDP278" s="1069"/>
      <c r="WDQ278" s="1069"/>
      <c r="WDR278" s="1069"/>
      <c r="WDS278" s="1069"/>
      <c r="WDT278" s="1069"/>
      <c r="WDU278" s="1069"/>
      <c r="WDV278" s="1069"/>
      <c r="WDW278" s="1069"/>
      <c r="WDX278" s="1069"/>
      <c r="WDY278" s="1069"/>
      <c r="WDZ278" s="1069"/>
      <c r="WEA278" s="1069"/>
      <c r="WEB278" s="1069"/>
      <c r="WEC278" s="1069"/>
      <c r="WED278" s="1069"/>
      <c r="WEE278" s="1069"/>
      <c r="WEF278" s="1069"/>
      <c r="WEG278" s="1069"/>
      <c r="WEH278" s="1069"/>
      <c r="WEI278" s="1069"/>
      <c r="WEJ278" s="1069"/>
      <c r="WEK278" s="1069"/>
      <c r="WEL278" s="1069"/>
      <c r="WEM278" s="1069"/>
      <c r="WEN278" s="1069"/>
      <c r="WEO278" s="1069"/>
      <c r="WEP278" s="1069"/>
      <c r="WEQ278" s="1069"/>
      <c r="WER278" s="1069"/>
      <c r="WES278" s="1069"/>
      <c r="WET278" s="1069"/>
      <c r="WEU278" s="1069"/>
      <c r="WEV278" s="1069"/>
      <c r="WEW278" s="1069"/>
      <c r="WEX278" s="1069"/>
      <c r="WEY278" s="1069"/>
      <c r="WEZ278" s="1069"/>
      <c r="WFA278" s="1069"/>
      <c r="WFB278" s="1069"/>
      <c r="WFC278" s="1069"/>
      <c r="WFD278" s="1069"/>
      <c r="WFE278" s="1069"/>
      <c r="WFF278" s="1069"/>
      <c r="WFG278" s="1069"/>
      <c r="WFH278" s="1069"/>
      <c r="WFI278" s="1069"/>
      <c r="WFJ278" s="1069"/>
      <c r="WFK278" s="1069"/>
      <c r="WFL278" s="1069"/>
      <c r="WFM278" s="1069"/>
      <c r="WFN278" s="1069"/>
      <c r="WFO278" s="1069"/>
      <c r="WFP278" s="1069"/>
      <c r="WFQ278" s="1069"/>
      <c r="WFR278" s="1069"/>
      <c r="WFS278" s="1069"/>
      <c r="WFT278" s="1069"/>
      <c r="WFU278" s="1069"/>
      <c r="WFV278" s="1069"/>
      <c r="WFW278" s="1069"/>
      <c r="WFX278" s="1069"/>
      <c r="WFY278" s="1069"/>
      <c r="WFZ278" s="1069"/>
      <c r="WGA278" s="1069"/>
      <c r="WGB278" s="1069"/>
      <c r="WGC278" s="1069"/>
      <c r="WGD278" s="1069"/>
      <c r="WGE278" s="1069"/>
      <c r="WGF278" s="1069"/>
      <c r="WGG278" s="1069"/>
      <c r="WGH278" s="1069"/>
      <c r="WGI278" s="1069"/>
      <c r="WGJ278" s="1069"/>
      <c r="WGK278" s="1069"/>
      <c r="WGL278" s="1069"/>
      <c r="WGM278" s="1069"/>
      <c r="WGN278" s="1069"/>
      <c r="WGO278" s="1069"/>
      <c r="WGP278" s="1069"/>
      <c r="WGQ278" s="1069"/>
      <c r="WGR278" s="1069"/>
      <c r="WGS278" s="1069"/>
      <c r="WGT278" s="1069"/>
      <c r="WGU278" s="1069"/>
      <c r="WGV278" s="1069"/>
      <c r="WGW278" s="1069"/>
      <c r="WGX278" s="1069"/>
      <c r="WGY278" s="1069"/>
      <c r="WGZ278" s="1069"/>
      <c r="WHA278" s="1069"/>
      <c r="WHB278" s="1069"/>
      <c r="WHC278" s="1069"/>
      <c r="WHD278" s="1069"/>
      <c r="WHE278" s="1069"/>
      <c r="WHF278" s="1069"/>
      <c r="WHG278" s="1069"/>
      <c r="WHH278" s="1069"/>
      <c r="WHI278" s="1069"/>
      <c r="WHJ278" s="1069"/>
      <c r="WHK278" s="1069"/>
      <c r="WHL278" s="1069"/>
      <c r="WHM278" s="1069"/>
      <c r="WHN278" s="1069"/>
      <c r="WHO278" s="1069"/>
      <c r="WHP278" s="1069"/>
      <c r="WHQ278" s="1069"/>
      <c r="WHR278" s="1069"/>
      <c r="WHS278" s="1069"/>
      <c r="WHT278" s="1069"/>
      <c r="WHU278" s="1069"/>
      <c r="WHV278" s="1069"/>
      <c r="WHW278" s="1069"/>
      <c r="WHX278" s="1069"/>
      <c r="WHY278" s="1069"/>
      <c r="WHZ278" s="1069"/>
      <c r="WIA278" s="1069"/>
      <c r="WIB278" s="1069"/>
      <c r="WIC278" s="1069"/>
      <c r="WID278" s="1069"/>
      <c r="WIE278" s="1069"/>
      <c r="WIF278" s="1069"/>
      <c r="WIG278" s="1069"/>
      <c r="WIH278" s="1069"/>
      <c r="WII278" s="1069"/>
      <c r="WIJ278" s="1069"/>
      <c r="WIK278" s="1069"/>
      <c r="WIL278" s="1069"/>
      <c r="WIM278" s="1069"/>
      <c r="WIN278" s="1069"/>
      <c r="WIO278" s="1069"/>
      <c r="WIP278" s="1069"/>
      <c r="WIQ278" s="1069"/>
      <c r="WIR278" s="1069"/>
      <c r="WIS278" s="1069"/>
      <c r="WIT278" s="1069"/>
      <c r="WIU278" s="1069"/>
      <c r="WIV278" s="1069"/>
      <c r="WIW278" s="1069"/>
      <c r="WIX278" s="1069"/>
      <c r="WIY278" s="1069"/>
      <c r="WIZ278" s="1069"/>
      <c r="WJA278" s="1069"/>
      <c r="WJB278" s="1069"/>
      <c r="WJC278" s="1069"/>
      <c r="WJD278" s="1069"/>
      <c r="WJE278" s="1069"/>
      <c r="WJF278" s="1069"/>
      <c r="WJG278" s="1069"/>
      <c r="WJH278" s="1069"/>
      <c r="WJI278" s="1069"/>
      <c r="WJJ278" s="1069"/>
      <c r="WJK278" s="1069"/>
      <c r="WJL278" s="1069"/>
      <c r="WJM278" s="1069"/>
      <c r="WJN278" s="1069"/>
      <c r="WJO278" s="1069"/>
      <c r="WJP278" s="1069"/>
      <c r="WJQ278" s="1069"/>
      <c r="WJR278" s="1069"/>
      <c r="WJS278" s="1069"/>
      <c r="WJT278" s="1069"/>
      <c r="WJU278" s="1069"/>
      <c r="WJV278" s="1069"/>
      <c r="WJW278" s="1069"/>
      <c r="WJX278" s="1069"/>
      <c r="WJY278" s="1069"/>
      <c r="WJZ278" s="1069"/>
      <c r="WKA278" s="1069"/>
      <c r="WKB278" s="1069"/>
      <c r="WKC278" s="1069"/>
      <c r="WKD278" s="1069"/>
      <c r="WKE278" s="1069"/>
      <c r="WKF278" s="1069"/>
      <c r="WKG278" s="1069"/>
      <c r="WKH278" s="1069"/>
      <c r="WKI278" s="1069"/>
      <c r="WKJ278" s="1069"/>
      <c r="WKK278" s="1069"/>
      <c r="WKL278" s="1069"/>
      <c r="WKM278" s="1069"/>
      <c r="WKN278" s="1069"/>
      <c r="WKO278" s="1069"/>
      <c r="WKP278" s="1069"/>
      <c r="WKQ278" s="1069"/>
      <c r="WKR278" s="1069"/>
      <c r="WKS278" s="1069"/>
      <c r="WKT278" s="1069"/>
      <c r="WKU278" s="1069"/>
      <c r="WKV278" s="1069"/>
      <c r="WKW278" s="1069"/>
      <c r="WKX278" s="1069"/>
      <c r="WKY278" s="1069"/>
      <c r="WKZ278" s="1069"/>
      <c r="WLA278" s="1069"/>
      <c r="WLB278" s="1069"/>
      <c r="WLC278" s="1069"/>
      <c r="WLD278" s="1069"/>
      <c r="WLE278" s="1069"/>
      <c r="WLF278" s="1069"/>
      <c r="WLG278" s="1069"/>
      <c r="WLH278" s="1069"/>
      <c r="WLI278" s="1069"/>
      <c r="WLJ278" s="1069"/>
      <c r="WLK278" s="1069"/>
      <c r="WLL278" s="1069"/>
      <c r="WLM278" s="1069"/>
      <c r="WLN278" s="1069"/>
      <c r="WLO278" s="1069"/>
      <c r="WLP278" s="1069"/>
      <c r="WLQ278" s="1069"/>
      <c r="WLR278" s="1069"/>
      <c r="WLS278" s="1069"/>
      <c r="WLT278" s="1069"/>
      <c r="WLU278" s="1069"/>
      <c r="WLV278" s="1069"/>
      <c r="WLW278" s="1069"/>
      <c r="WLX278" s="1069"/>
      <c r="WLY278" s="1069"/>
      <c r="WLZ278" s="1069"/>
      <c r="WMA278" s="1069"/>
      <c r="WMB278" s="1069"/>
      <c r="WMC278" s="1069"/>
      <c r="WMD278" s="1069"/>
      <c r="WME278" s="1069"/>
      <c r="WMF278" s="1069"/>
      <c r="WMG278" s="1069"/>
      <c r="WMH278" s="1069"/>
      <c r="WMI278" s="1069"/>
      <c r="WMJ278" s="1069"/>
      <c r="WMK278" s="1069"/>
      <c r="WML278" s="1069"/>
      <c r="WMM278" s="1069"/>
      <c r="WMN278" s="1069"/>
      <c r="WMO278" s="1069"/>
      <c r="WMP278" s="1069"/>
      <c r="WMQ278" s="1069"/>
      <c r="WMR278" s="1069"/>
      <c r="WMS278" s="1069"/>
      <c r="WMT278" s="1069"/>
      <c r="WMU278" s="1069"/>
      <c r="WMV278" s="1069"/>
      <c r="WMW278" s="1069"/>
      <c r="WMX278" s="1069"/>
      <c r="WMY278" s="1069"/>
      <c r="WMZ278" s="1069"/>
      <c r="WNA278" s="1069"/>
      <c r="WNB278" s="1069"/>
      <c r="WNC278" s="1069"/>
      <c r="WND278" s="1069"/>
      <c r="WNE278" s="1069"/>
      <c r="WNF278" s="1069"/>
      <c r="WNG278" s="1069"/>
      <c r="WNH278" s="1069"/>
      <c r="WNI278" s="1069"/>
      <c r="WNJ278" s="1069"/>
      <c r="WNK278" s="1069"/>
      <c r="WNL278" s="1069"/>
      <c r="WNM278" s="1069"/>
      <c r="WNN278" s="1069"/>
      <c r="WNO278" s="1069"/>
      <c r="WNP278" s="1069"/>
      <c r="WNQ278" s="1069"/>
      <c r="WNR278" s="1069"/>
      <c r="WNS278" s="1069"/>
      <c r="WNT278" s="1069"/>
      <c r="WNU278" s="1069"/>
      <c r="WNV278" s="1069"/>
      <c r="WNW278" s="1069"/>
      <c r="WNX278" s="1069"/>
      <c r="WNY278" s="1069"/>
      <c r="WNZ278" s="1069"/>
      <c r="WOA278" s="1069"/>
      <c r="WOB278" s="1069"/>
      <c r="WOC278" s="1069"/>
      <c r="WOD278" s="1069"/>
      <c r="WOE278" s="1069"/>
      <c r="WOF278" s="1069"/>
      <c r="WOG278" s="1069"/>
      <c r="WOH278" s="1069"/>
      <c r="WOI278" s="1069"/>
      <c r="WOJ278" s="1069"/>
      <c r="WOK278" s="1069"/>
      <c r="WOL278" s="1069"/>
      <c r="WOM278" s="1069"/>
      <c r="WON278" s="1069"/>
      <c r="WOO278" s="1069"/>
      <c r="WOP278" s="1069"/>
      <c r="WOQ278" s="1069"/>
      <c r="WOR278" s="1069"/>
      <c r="WOS278" s="1069"/>
      <c r="WOT278" s="1069"/>
      <c r="WOU278" s="1069"/>
      <c r="WOV278" s="1069"/>
      <c r="WOW278" s="1069"/>
      <c r="WOX278" s="1069"/>
      <c r="WOY278" s="1069"/>
      <c r="WOZ278" s="1069"/>
      <c r="WPA278" s="1069"/>
      <c r="WPB278" s="1069"/>
      <c r="WPC278" s="1069"/>
      <c r="WPD278" s="1069"/>
      <c r="WPE278" s="1069"/>
      <c r="WPF278" s="1069"/>
      <c r="WPG278" s="1069"/>
      <c r="WPH278" s="1069"/>
      <c r="WPI278" s="1069"/>
      <c r="WPJ278" s="1069"/>
      <c r="WPK278" s="1069"/>
      <c r="WPL278" s="1069"/>
      <c r="WPM278" s="1069"/>
      <c r="WPN278" s="1069"/>
      <c r="WPO278" s="1069"/>
      <c r="WPP278" s="1069"/>
      <c r="WPQ278" s="1069"/>
      <c r="WPR278" s="1069"/>
      <c r="WPS278" s="1069"/>
      <c r="WPT278" s="1069"/>
      <c r="WPU278" s="1069"/>
      <c r="WPV278" s="1069"/>
      <c r="WPW278" s="1069"/>
      <c r="WPX278" s="1069"/>
      <c r="WPY278" s="1069"/>
      <c r="WPZ278" s="1069"/>
      <c r="WQA278" s="1069"/>
      <c r="WQB278" s="1069"/>
      <c r="WQC278" s="1069"/>
      <c r="WQD278" s="1069"/>
      <c r="WQE278" s="1069"/>
      <c r="WQF278" s="1069"/>
      <c r="WQG278" s="1069"/>
      <c r="WQH278" s="1069"/>
      <c r="WQI278" s="1069"/>
      <c r="WQJ278" s="1069"/>
      <c r="WQK278" s="1069"/>
      <c r="WQL278" s="1069"/>
      <c r="WQM278" s="1069"/>
      <c r="WQN278" s="1069"/>
      <c r="WQO278" s="1069"/>
      <c r="WQP278" s="1069"/>
      <c r="WQQ278" s="1069"/>
      <c r="WQR278" s="1069"/>
      <c r="WQS278" s="1069"/>
      <c r="WQT278" s="1069"/>
      <c r="WQU278" s="1069"/>
      <c r="WQV278" s="1069"/>
      <c r="WQW278" s="1069"/>
      <c r="WQX278" s="1069"/>
      <c r="WQY278" s="1069"/>
      <c r="WQZ278" s="1069"/>
      <c r="WRA278" s="1069"/>
      <c r="WRB278" s="1069"/>
      <c r="WRC278" s="1069"/>
      <c r="WRD278" s="1069"/>
      <c r="WRE278" s="1069"/>
      <c r="WRF278" s="1069"/>
      <c r="WRG278" s="1069"/>
      <c r="WRH278" s="1069"/>
      <c r="WRI278" s="1069"/>
      <c r="WRJ278" s="1069"/>
      <c r="WRK278" s="1069"/>
      <c r="WRL278" s="1069"/>
      <c r="WRM278" s="1069"/>
      <c r="WRN278" s="1069"/>
      <c r="WRO278" s="1069"/>
      <c r="WRP278" s="1069"/>
      <c r="WRQ278" s="1069"/>
      <c r="WRR278" s="1069"/>
      <c r="WRS278" s="1069"/>
      <c r="WRT278" s="1069"/>
      <c r="WRU278" s="1069"/>
      <c r="WRV278" s="1069"/>
      <c r="WRW278" s="1069"/>
      <c r="WRX278" s="1069"/>
      <c r="WRY278" s="1069"/>
      <c r="WRZ278" s="1069"/>
      <c r="WSA278" s="1069"/>
      <c r="WSB278" s="1069"/>
      <c r="WSC278" s="1069"/>
      <c r="WSD278" s="1069"/>
      <c r="WSE278" s="1069"/>
      <c r="WSF278" s="1069"/>
      <c r="WSG278" s="1069"/>
      <c r="WSH278" s="1069"/>
      <c r="WSI278" s="1069"/>
      <c r="WSJ278" s="1069"/>
      <c r="WSK278" s="1069"/>
      <c r="WSL278" s="1069"/>
      <c r="WSM278" s="1069"/>
      <c r="WSN278" s="1069"/>
      <c r="WSO278" s="1069"/>
      <c r="WSP278" s="1069"/>
      <c r="WSQ278" s="1069"/>
      <c r="WSR278" s="1069"/>
      <c r="WSS278" s="1069"/>
      <c r="WST278" s="1069"/>
      <c r="WSU278" s="1069"/>
      <c r="WSV278" s="1069"/>
      <c r="WSW278" s="1069"/>
      <c r="WSX278" s="1069"/>
      <c r="WSY278" s="1069"/>
      <c r="WSZ278" s="1069"/>
      <c r="WTA278" s="1069"/>
      <c r="WTB278" s="1069"/>
      <c r="WTC278" s="1069"/>
      <c r="WTD278" s="1069"/>
      <c r="WTE278" s="1069"/>
      <c r="WTF278" s="1069"/>
      <c r="WTG278" s="1069"/>
      <c r="WTH278" s="1069"/>
      <c r="WTI278" s="1069"/>
      <c r="WTJ278" s="1069"/>
      <c r="WTK278" s="1069"/>
      <c r="WTL278" s="1069"/>
      <c r="WTM278" s="1069"/>
      <c r="WTN278" s="1069"/>
      <c r="WTO278" s="1069"/>
      <c r="WTP278" s="1069"/>
      <c r="WTQ278" s="1069"/>
      <c r="WTR278" s="1069"/>
      <c r="WTS278" s="1069"/>
      <c r="WTT278" s="1069"/>
      <c r="WTU278" s="1069"/>
      <c r="WTV278" s="1069"/>
      <c r="WTW278" s="1069"/>
      <c r="WTX278" s="1069"/>
      <c r="WTY278" s="1069"/>
      <c r="WTZ278" s="1069"/>
      <c r="WUA278" s="1069"/>
      <c r="WUB278" s="1069"/>
      <c r="WUC278" s="1069"/>
      <c r="WUD278" s="1069"/>
      <c r="WUE278" s="1069"/>
      <c r="WUF278" s="1069"/>
      <c r="WUG278" s="1069"/>
      <c r="WUH278" s="1069"/>
      <c r="WUI278" s="1069"/>
      <c r="WUJ278" s="1069"/>
      <c r="WUK278" s="1069"/>
      <c r="WUL278" s="1069"/>
      <c r="WUM278" s="1069"/>
      <c r="WUN278" s="1069"/>
      <c r="WUO278" s="1069"/>
      <c r="WUP278" s="1069"/>
      <c r="WUQ278" s="1069"/>
      <c r="WUR278" s="1069"/>
      <c r="WUS278" s="1069"/>
      <c r="WUT278" s="1069"/>
      <c r="WUU278" s="1069"/>
      <c r="WUV278" s="1069"/>
      <c r="WUW278" s="1069"/>
      <c r="WUX278" s="1069"/>
      <c r="WUY278" s="1069"/>
      <c r="WUZ278" s="1069"/>
      <c r="WVA278" s="1069"/>
      <c r="WVB278" s="1069"/>
      <c r="WVC278" s="1069"/>
      <c r="WVD278" s="1069"/>
      <c r="WVE278" s="1069"/>
      <c r="WVF278" s="1069"/>
      <c r="WVG278" s="1069"/>
      <c r="WVH278" s="1069"/>
      <c r="WVI278" s="1069"/>
      <c r="WVJ278" s="1069"/>
      <c r="WVK278" s="1069"/>
      <c r="WVL278" s="1069"/>
      <c r="WVM278" s="1069"/>
      <c r="WVN278" s="1069"/>
      <c r="WVO278" s="1069"/>
      <c r="WVP278" s="1069"/>
      <c r="WVQ278" s="1069"/>
      <c r="WVR278" s="1069"/>
      <c r="WVS278" s="1069"/>
      <c r="WVT278" s="1069"/>
      <c r="WVU278" s="1069"/>
      <c r="WVV278" s="1069"/>
      <c r="WVW278" s="1069"/>
      <c r="WVX278" s="1069"/>
      <c r="WVY278" s="1069"/>
      <c r="WVZ278" s="1069"/>
      <c r="WWA278" s="1069"/>
      <c r="WWB278" s="1069"/>
      <c r="WWC278" s="1069"/>
      <c r="WWD278" s="1069"/>
      <c r="WWE278" s="1069"/>
      <c r="WWF278" s="1069"/>
      <c r="WWG278" s="1069"/>
      <c r="WWH278" s="1069"/>
      <c r="WWI278" s="1069"/>
      <c r="WWJ278" s="1069"/>
      <c r="WWK278" s="1069"/>
      <c r="WWL278" s="1069"/>
      <c r="WWM278" s="1069"/>
      <c r="WWN278" s="1069"/>
      <c r="WWO278" s="1069"/>
      <c r="WWP278" s="1069"/>
      <c r="WWQ278" s="1069"/>
      <c r="WWR278" s="1069"/>
      <c r="WWS278" s="1069"/>
      <c r="WWT278" s="1069"/>
      <c r="WWU278" s="1069"/>
      <c r="WWV278" s="1069"/>
      <c r="WWW278" s="1069"/>
      <c r="WWX278" s="1069"/>
      <c r="WWY278" s="1069"/>
      <c r="WWZ278" s="1069"/>
      <c r="WXA278" s="1069"/>
      <c r="WXB278" s="1069"/>
      <c r="WXC278" s="1069"/>
      <c r="WXD278" s="1069"/>
      <c r="WXE278" s="1069"/>
      <c r="WXF278" s="1069"/>
      <c r="WXG278" s="1069"/>
      <c r="WXH278" s="1069"/>
      <c r="WXI278" s="1069"/>
      <c r="WXJ278" s="1069"/>
      <c r="WXK278" s="1069"/>
      <c r="WXL278" s="1069"/>
      <c r="WXM278" s="1069"/>
      <c r="WXN278" s="1069"/>
      <c r="WXO278" s="1069"/>
      <c r="WXP278" s="1069"/>
      <c r="WXQ278" s="1069"/>
      <c r="WXR278" s="1069"/>
      <c r="WXS278" s="1069"/>
      <c r="WXT278" s="1069"/>
      <c r="WXU278" s="1069"/>
      <c r="WXV278" s="1069"/>
      <c r="WXW278" s="1069"/>
      <c r="WXX278" s="1069"/>
      <c r="WXY278" s="1069"/>
      <c r="WXZ278" s="1069"/>
      <c r="WYA278" s="1069"/>
      <c r="WYB278" s="1069"/>
      <c r="WYC278" s="1069"/>
      <c r="WYD278" s="1069"/>
      <c r="WYE278" s="1069"/>
      <c r="WYF278" s="1069"/>
      <c r="WYG278" s="1069"/>
      <c r="WYH278" s="1069"/>
      <c r="WYI278" s="1069"/>
      <c r="WYJ278" s="1069"/>
      <c r="WYK278" s="1069"/>
      <c r="WYL278" s="1069"/>
      <c r="WYM278" s="1069"/>
      <c r="WYN278" s="1069"/>
      <c r="WYO278" s="1069"/>
      <c r="WYP278" s="1069"/>
      <c r="WYQ278" s="1069"/>
      <c r="WYR278" s="1069"/>
      <c r="WYS278" s="1069"/>
      <c r="WYT278" s="1069"/>
      <c r="WYU278" s="1069"/>
      <c r="WYV278" s="1069"/>
      <c r="WYW278" s="1069"/>
      <c r="WYX278" s="1069"/>
      <c r="WYY278" s="1069"/>
      <c r="WYZ278" s="1069"/>
      <c r="WZA278" s="1069"/>
      <c r="WZB278" s="1069"/>
      <c r="WZC278" s="1069"/>
      <c r="WZD278" s="1069"/>
      <c r="WZE278" s="1069"/>
      <c r="WZF278" s="1069"/>
      <c r="WZG278" s="1069"/>
      <c r="WZH278" s="1069"/>
      <c r="WZI278" s="1069"/>
      <c r="WZJ278" s="1069"/>
      <c r="WZK278" s="1069"/>
      <c r="WZL278" s="1069"/>
      <c r="WZM278" s="1069"/>
      <c r="WZN278" s="1069"/>
      <c r="WZO278" s="1069"/>
      <c r="WZP278" s="1069"/>
      <c r="WZQ278" s="1069"/>
      <c r="WZR278" s="1069"/>
      <c r="WZS278" s="1069"/>
      <c r="WZT278" s="1069"/>
      <c r="WZU278" s="1069"/>
      <c r="WZV278" s="1069"/>
      <c r="WZW278" s="1069"/>
      <c r="WZX278" s="1069"/>
      <c r="WZY278" s="1069"/>
      <c r="WZZ278" s="1069"/>
      <c r="XAA278" s="1069"/>
      <c r="XAB278" s="1069"/>
      <c r="XAC278" s="1069"/>
      <c r="XAD278" s="1069"/>
      <c r="XAE278" s="1069"/>
      <c r="XAF278" s="1069"/>
      <c r="XAG278" s="1069"/>
      <c r="XAH278" s="1069"/>
      <c r="XAI278" s="1069"/>
      <c r="XAJ278" s="1069"/>
      <c r="XAK278" s="1069"/>
      <c r="XAL278" s="1069"/>
      <c r="XAM278" s="1069"/>
      <c r="XAN278" s="1069"/>
      <c r="XAO278" s="1069"/>
      <c r="XAP278" s="1069"/>
      <c r="XAQ278" s="1069"/>
      <c r="XAR278" s="1069"/>
      <c r="XAS278" s="1069"/>
      <c r="XAT278" s="1069"/>
      <c r="XAU278" s="1069"/>
      <c r="XAV278" s="1069"/>
      <c r="XAW278" s="1069"/>
      <c r="XAX278" s="1069"/>
      <c r="XAY278" s="1069"/>
      <c r="XAZ278" s="1069"/>
      <c r="XBA278" s="1069"/>
      <c r="XBB278" s="1069"/>
      <c r="XBC278" s="1069"/>
      <c r="XBD278" s="1069"/>
      <c r="XBE278" s="1069"/>
      <c r="XBF278" s="1069"/>
      <c r="XBG278" s="1069"/>
      <c r="XBH278" s="1069"/>
      <c r="XBI278" s="1069"/>
      <c r="XBJ278" s="1069"/>
      <c r="XBK278" s="1069"/>
      <c r="XBL278" s="1069"/>
      <c r="XBM278" s="1069"/>
      <c r="XBN278" s="1069"/>
      <c r="XBO278" s="1069"/>
      <c r="XBP278" s="1069"/>
      <c r="XBQ278" s="1069"/>
      <c r="XBR278" s="1069"/>
      <c r="XBS278" s="1069"/>
      <c r="XBT278" s="1069"/>
      <c r="XBU278" s="1069"/>
      <c r="XBV278" s="1069"/>
      <c r="XBW278" s="1069"/>
      <c r="XBX278" s="1069"/>
      <c r="XBY278" s="1069"/>
      <c r="XBZ278" s="1069"/>
      <c r="XCA278" s="1069"/>
      <c r="XCB278" s="1069"/>
      <c r="XCC278" s="1069"/>
      <c r="XCD278" s="1069"/>
      <c r="XCE278" s="1069"/>
      <c r="XCF278" s="1069"/>
      <c r="XCG278" s="1069"/>
      <c r="XCH278" s="1069"/>
      <c r="XCI278" s="1069"/>
      <c r="XCJ278" s="1069"/>
      <c r="XCK278" s="1069"/>
      <c r="XCL278" s="1069"/>
      <c r="XCM278" s="1069"/>
      <c r="XCN278" s="1069"/>
      <c r="XCO278" s="1069"/>
      <c r="XCP278" s="1069"/>
      <c r="XCQ278" s="1069"/>
      <c r="XCR278" s="1069"/>
      <c r="XCS278" s="1069"/>
      <c r="XCT278" s="1069"/>
      <c r="XCU278" s="1069"/>
      <c r="XCV278" s="1069"/>
      <c r="XCW278" s="1069"/>
      <c r="XCX278" s="1069"/>
      <c r="XCY278" s="1069"/>
      <c r="XCZ278" s="1069"/>
      <c r="XDA278" s="1069"/>
      <c r="XDB278" s="1069"/>
      <c r="XDC278" s="1069"/>
      <c r="XDD278" s="1069"/>
      <c r="XDE278" s="1069"/>
      <c r="XDF278" s="1069"/>
      <c r="XDG278" s="1069"/>
      <c r="XDH278" s="1069"/>
      <c r="XDI278" s="1069"/>
      <c r="XDJ278" s="1069"/>
      <c r="XDK278" s="1069"/>
      <c r="XDL278" s="1069"/>
      <c r="XDM278" s="1069"/>
      <c r="XDN278" s="1069"/>
      <c r="XDO278" s="1069"/>
      <c r="XDP278" s="1069"/>
      <c r="XDQ278" s="1069"/>
      <c r="XDR278" s="1069"/>
      <c r="XDS278" s="1069"/>
      <c r="XDT278" s="1069"/>
      <c r="XDU278" s="1069"/>
      <c r="XDV278" s="1069"/>
      <c r="XDW278" s="1069"/>
      <c r="XDX278" s="1069"/>
      <c r="XDY278" s="1069"/>
      <c r="XDZ278" s="1069"/>
      <c r="XEA278" s="1069"/>
      <c r="XEB278" s="1069"/>
      <c r="XEC278" s="1069"/>
    </row>
    <row r="279" spans="1:16357" ht="12.75" hidden="1" customHeight="1" outlineLevel="1" x14ac:dyDescent="0.35">
      <c r="A279" s="1124" t="s">
        <v>706</v>
      </c>
      <c r="B279" s="1125"/>
      <c r="C279" s="1137"/>
      <c r="D279" s="1129"/>
      <c r="E279" s="1129"/>
      <c r="F279" s="1128"/>
      <c r="G279" s="1125"/>
      <c r="H279" s="1137"/>
      <c r="I279" s="1129"/>
      <c r="J279" s="1129"/>
      <c r="K279" s="1129"/>
      <c r="L279" s="1125"/>
      <c r="M279" s="1129"/>
      <c r="N279" s="1129"/>
      <c r="O279" s="1129"/>
      <c r="P279" s="1129"/>
      <c r="Q279" s="1125"/>
      <c r="R279" s="1130"/>
      <c r="S279" s="1130"/>
      <c r="T279" s="1130"/>
      <c r="U279" s="1131"/>
      <c r="V279" s="1125"/>
      <c r="W279" s="1130"/>
      <c r="X279" s="1130"/>
      <c r="Y279" s="1130"/>
      <c r="Z279" s="1131"/>
      <c r="AA279" s="1132"/>
      <c r="AB279" s="1133"/>
      <c r="AC279" s="1130"/>
      <c r="AD279" s="1130"/>
      <c r="AE279" s="1130"/>
      <c r="AF279" s="1125"/>
      <c r="AG279" s="1130"/>
      <c r="AH279" s="1130"/>
      <c r="AI279" s="1130"/>
      <c r="AJ279" s="1130"/>
      <c r="AK279" s="1125"/>
      <c r="AL279" s="1130"/>
      <c r="AM279" s="1130"/>
      <c r="AN279" s="1130"/>
      <c r="AO279" s="1130"/>
      <c r="AP279" s="1125"/>
      <c r="AQ279" s="1130"/>
      <c r="AR279" s="1130"/>
      <c r="AS279" s="1130"/>
      <c r="AT279" s="1130"/>
      <c r="AU279" s="1135"/>
      <c r="AV279" s="1136"/>
      <c r="AW279" s="1130"/>
      <c r="AX279" s="1130"/>
      <c r="AY279" s="1130"/>
      <c r="AZ279" s="1130"/>
      <c r="BA279" s="1125"/>
      <c r="BB279" s="1130"/>
      <c r="BC279" s="1130"/>
      <c r="BD279" s="1130"/>
      <c r="BE279" s="1130"/>
      <c r="BF279" s="1125"/>
      <c r="BG279" s="1130"/>
      <c r="BH279" s="1130"/>
      <c r="BI279" s="1130"/>
      <c r="BJ279" s="1130"/>
      <c r="BK279" s="1125"/>
      <c r="BL279" s="1130"/>
      <c r="BM279" s="1130"/>
      <c r="BN279" s="1130"/>
      <c r="BO279" s="1130"/>
      <c r="BP279" s="1125"/>
      <c r="BQ279" s="1130"/>
      <c r="BR279" s="1130"/>
      <c r="BS279" s="1130"/>
      <c r="BT279" s="1130"/>
      <c r="BU279" s="1125"/>
      <c r="BV279" s="1307"/>
      <c r="BW279" s="1307"/>
      <c r="BX279" s="1307"/>
      <c r="BY279" s="1307"/>
      <c r="BZ279" s="1125"/>
      <c r="CA279" s="1130"/>
      <c r="CB279" s="1130"/>
      <c r="CC279" s="1130"/>
      <c r="CD279" s="1130"/>
      <c r="CE279" s="1125"/>
      <c r="CF279" s="1130"/>
      <c r="CG279" s="1130"/>
      <c r="CH279" s="1130"/>
      <c r="CI279" s="1130"/>
      <c r="CJ279" s="1125"/>
      <c r="CK279" s="1130"/>
      <c r="CL279" s="1130"/>
      <c r="CM279" s="1130"/>
      <c r="CN279" s="1130"/>
      <c r="CO279" s="1125"/>
      <c r="CP279" s="1130"/>
      <c r="CQ279" s="1130"/>
      <c r="CR279" s="1130"/>
      <c r="CS279" s="1130"/>
      <c r="CT279" s="1125"/>
      <c r="CU279" s="1130"/>
      <c r="CV279" s="1130"/>
      <c r="CW279" s="1130"/>
      <c r="CX279" s="1130"/>
      <c r="CY279" s="1125"/>
      <c r="CZ279" s="1130"/>
      <c r="DA279" s="1130"/>
      <c r="DB279" s="1130"/>
      <c r="DC279" s="1130"/>
      <c r="DD279" s="1125"/>
      <c r="DE279" s="1130"/>
      <c r="DF279" s="1130"/>
      <c r="DG279" s="1130"/>
      <c r="DH279" s="1130"/>
      <c r="DI279" s="1125"/>
      <c r="DJ279" s="1130"/>
      <c r="DK279" s="1130"/>
      <c r="DL279" s="1130"/>
      <c r="DM279" s="1130"/>
      <c r="DN279" s="1125"/>
      <c r="DO279" s="1130"/>
      <c r="DP279" s="1130"/>
      <c r="DQ279" s="1130"/>
      <c r="DR279" s="1130"/>
      <c r="DS279" s="1125"/>
      <c r="DT279" s="1130"/>
      <c r="DU279" s="1130"/>
      <c r="DV279" s="1130"/>
      <c r="DW279" s="1130"/>
      <c r="DX279" s="1125"/>
      <c r="DY279" s="1130"/>
      <c r="DZ279" s="1130"/>
      <c r="EA279" s="1130"/>
      <c r="EB279" s="1130"/>
      <c r="EC279" s="1125"/>
      <c r="ED279" s="38"/>
      <c r="EE279" s="21"/>
      <c r="EF279" s="373"/>
      <c r="EG279" s="16"/>
      <c r="EH279" s="16"/>
      <c r="EI279" s="16"/>
      <c r="EJ279" s="16"/>
      <c r="EK279" s="16"/>
      <c r="EL279" s="16"/>
      <c r="EM279" s="16"/>
      <c r="EN279" s="16"/>
      <c r="EO279" s="16"/>
      <c r="EP279" s="16"/>
      <c r="EQ279" s="16"/>
      <c r="ER279" s="16"/>
      <c r="ES279" s="16"/>
      <c r="ET279" s="16"/>
      <c r="EU279" s="16"/>
      <c r="EX279" s="16"/>
      <c r="EY279" s="228"/>
      <c r="EZ279" s="477"/>
      <c r="FA279" s="477"/>
      <c r="FB279" s="228"/>
      <c r="FC279" s="477"/>
      <c r="FD279" s="16"/>
    </row>
    <row r="280" spans="1:16357" s="1072" customFormat="1" ht="12.75" hidden="1" customHeight="1" outlineLevel="1" x14ac:dyDescent="0.35">
      <c r="A280" s="1104" t="s">
        <v>709</v>
      </c>
      <c r="B280" s="438"/>
      <c r="C280" s="1138"/>
      <c r="D280" s="1139"/>
      <c r="E280" s="1139"/>
      <c r="F280" s="1140"/>
      <c r="G280" s="438"/>
      <c r="H280" s="1138"/>
      <c r="I280" s="1139"/>
      <c r="J280" s="1139"/>
      <c r="K280" s="1139"/>
      <c r="L280" s="438"/>
      <c r="M280" s="1139"/>
      <c r="N280" s="1139"/>
      <c r="O280" s="1139"/>
      <c r="P280" s="1139"/>
      <c r="Q280" s="438"/>
      <c r="R280" s="440"/>
      <c r="S280" s="440"/>
      <c r="T280" s="440"/>
      <c r="U280" s="441"/>
      <c r="V280" s="438"/>
      <c r="W280" s="440"/>
      <c r="X280" s="440"/>
      <c r="Y280" s="440"/>
      <c r="Z280" s="441"/>
      <c r="AA280" s="442"/>
      <c r="AB280" s="439"/>
      <c r="AC280" s="440"/>
      <c r="AD280" s="440"/>
      <c r="AE280" s="440"/>
      <c r="AF280" s="438"/>
      <c r="AG280" s="440"/>
      <c r="AH280" s="440"/>
      <c r="AI280" s="440"/>
      <c r="AJ280" s="440"/>
      <c r="AK280" s="438"/>
      <c r="AL280" s="440"/>
      <c r="AM280" s="440"/>
      <c r="AN280" s="440"/>
      <c r="AO280" s="440"/>
      <c r="AP280" s="438"/>
      <c r="AQ280" s="440"/>
      <c r="AR280" s="440"/>
      <c r="AS280" s="440"/>
      <c r="AT280" s="440"/>
      <c r="AU280" s="761"/>
      <c r="AV280" s="281"/>
      <c r="AW280" s="440"/>
      <c r="AX280" s="440"/>
      <c r="AY280" s="440"/>
      <c r="AZ280" s="440"/>
      <c r="BA280" s="438"/>
      <c r="BB280" s="440"/>
      <c r="BC280" s="440"/>
      <c r="BD280" s="440"/>
      <c r="BE280" s="440"/>
      <c r="BF280" s="438"/>
      <c r="BG280" s="440"/>
      <c r="BH280" s="440"/>
      <c r="BI280" s="440"/>
      <c r="BJ280" s="440"/>
      <c r="BK280" s="438"/>
      <c r="BL280" s="38"/>
      <c r="BM280" s="440"/>
      <c r="BN280" s="440"/>
      <c r="BO280" s="440"/>
      <c r="BP280" s="438"/>
      <c r="BQ280" s="440"/>
      <c r="BR280" s="440"/>
      <c r="BS280" s="440"/>
      <c r="BT280" s="440"/>
      <c r="BU280" s="438"/>
      <c r="BV280" s="1300"/>
      <c r="BW280" s="1300"/>
      <c r="BX280" s="1300"/>
      <c r="BY280" s="1300"/>
      <c r="BZ280" s="438"/>
      <c r="CA280" s="440"/>
      <c r="CB280" s="440"/>
      <c r="CC280" s="440"/>
      <c r="CD280" s="440"/>
      <c r="CE280" s="438"/>
      <c r="CF280" s="440"/>
      <c r="CG280" s="440"/>
      <c r="CH280" s="440"/>
      <c r="CI280" s="440"/>
      <c r="CJ280" s="438"/>
      <c r="CK280" s="440"/>
      <c r="CL280" s="440"/>
      <c r="CM280" s="440"/>
      <c r="CN280" s="440"/>
      <c r="CO280" s="438"/>
      <c r="CP280" s="440"/>
      <c r="CQ280" s="440"/>
      <c r="CR280" s="440"/>
      <c r="CS280" s="440"/>
      <c r="CT280" s="438"/>
      <c r="CU280" s="440"/>
      <c r="CV280" s="440"/>
      <c r="CW280" s="440"/>
      <c r="CX280" s="440"/>
      <c r="CY280" s="438"/>
      <c r="CZ280" s="440"/>
      <c r="DA280" s="440"/>
      <c r="DB280" s="440"/>
      <c r="DC280" s="440"/>
      <c r="DD280" s="438"/>
      <c r="DE280" s="440"/>
      <c r="DF280" s="440"/>
      <c r="DG280" s="440"/>
      <c r="DH280" s="440"/>
      <c r="DI280" s="438"/>
      <c r="DJ280" s="440"/>
      <c r="DK280" s="440"/>
      <c r="DL280" s="440"/>
      <c r="DM280" s="440"/>
      <c r="DN280" s="438"/>
      <c r="DO280" s="440"/>
      <c r="DP280" s="440"/>
      <c r="DQ280" s="440"/>
      <c r="DR280" s="440"/>
      <c r="DS280" s="438"/>
      <c r="DT280" s="440"/>
      <c r="DU280" s="440"/>
      <c r="DV280" s="440"/>
      <c r="DW280" s="440"/>
      <c r="DX280" s="438"/>
      <c r="DY280" s="440"/>
      <c r="DZ280" s="440"/>
      <c r="EA280" s="440"/>
      <c r="EB280" s="440"/>
      <c r="EC280" s="438"/>
      <c r="ED280" s="852"/>
      <c r="EE280" s="64"/>
      <c r="EF280" s="1141"/>
      <c r="EG280" s="120"/>
      <c r="EH280" s="120"/>
      <c r="EI280" s="120"/>
      <c r="EJ280" s="120"/>
      <c r="EK280" s="120"/>
      <c r="EL280" s="120"/>
      <c r="EM280" s="120"/>
      <c r="EN280" s="120"/>
      <c r="EO280" s="120"/>
      <c r="EP280" s="120"/>
      <c r="EQ280" s="120"/>
      <c r="ER280" s="120"/>
      <c r="ES280" s="120"/>
      <c r="ET280" s="120"/>
      <c r="EU280" s="120"/>
      <c r="EX280" s="120"/>
      <c r="EY280" s="1142"/>
      <c r="EZ280" s="1143"/>
      <c r="FA280" s="1143"/>
      <c r="FB280" s="1142"/>
      <c r="FC280" s="1143"/>
      <c r="FD280" s="120"/>
      <c r="FE280"/>
      <c r="FF280"/>
      <c r="FG280"/>
      <c r="FH280"/>
      <c r="FI280"/>
      <c r="FJ280"/>
      <c r="FK280" s="1144"/>
      <c r="FL280" s="1144"/>
      <c r="FM280" s="1144"/>
      <c r="FN280" s="1144"/>
      <c r="FO280" s="1144"/>
      <c r="FP280" s="1144"/>
      <c r="FQ280" s="1144"/>
      <c r="FR280" s="1144"/>
      <c r="FS280" s="1144"/>
      <c r="FT280" s="1144"/>
      <c r="FU280" s="1144"/>
      <c r="FV280" s="1144"/>
      <c r="FW280" s="1144"/>
      <c r="FX280" s="1144"/>
      <c r="FY280" s="1144"/>
      <c r="FZ280" s="1144"/>
      <c r="GA280" s="1144"/>
      <c r="GB280" s="1144"/>
      <c r="GC280" s="1144"/>
      <c r="GD280" s="1144"/>
      <c r="GE280" s="1144"/>
      <c r="GF280" s="1144"/>
      <c r="GG280" s="1144"/>
      <c r="GH280" s="1144"/>
      <c r="GI280" s="1144"/>
      <c r="GJ280" s="1144"/>
      <c r="GK280" s="1144"/>
      <c r="GL280" s="1144"/>
      <c r="GM280" s="1144"/>
      <c r="GN280" s="1144"/>
      <c r="GO280" s="1144"/>
      <c r="GP280" s="1144"/>
      <c r="GQ280" s="1144"/>
      <c r="GR280" s="1144"/>
      <c r="GS280" s="1144"/>
      <c r="GT280" s="1144"/>
      <c r="GU280" s="1144"/>
      <c r="GV280" s="1144"/>
      <c r="GW280" s="1144"/>
      <c r="GX280" s="1144"/>
      <c r="GY280" s="1144"/>
      <c r="GZ280" s="1144"/>
      <c r="HA280" s="1144"/>
      <c r="HB280" s="1144"/>
      <c r="HC280" s="1144"/>
      <c r="HD280" s="1144"/>
      <c r="HE280" s="1144"/>
      <c r="HF280" s="1144"/>
      <c r="HG280" s="1144"/>
      <c r="HH280" s="1144"/>
      <c r="HI280" s="1144"/>
      <c r="HJ280" s="1144"/>
      <c r="HK280" s="1144"/>
      <c r="HL280" s="1144"/>
      <c r="HM280" s="1144"/>
      <c r="HN280" s="1144"/>
      <c r="HO280" s="1144"/>
      <c r="HP280" s="1144"/>
      <c r="HQ280" s="1144"/>
      <c r="HR280" s="1144"/>
      <c r="HS280" s="1144"/>
      <c r="HT280" s="1144"/>
      <c r="HU280" s="1144"/>
      <c r="HV280" s="1144"/>
      <c r="HW280" s="1144"/>
      <c r="HX280" s="1144"/>
      <c r="HY280" s="1144"/>
      <c r="HZ280" s="1144"/>
      <c r="IA280" s="1144"/>
      <c r="IB280" s="1144"/>
      <c r="IC280" s="1144"/>
      <c r="ID280" s="1144"/>
      <c r="IE280" s="1144"/>
      <c r="IF280" s="1144"/>
      <c r="IG280" s="1144"/>
      <c r="IH280" s="1144"/>
      <c r="II280" s="1144"/>
      <c r="IJ280" s="1144"/>
      <c r="IK280" s="1144"/>
      <c r="IL280" s="1144"/>
      <c r="IM280" s="1144"/>
      <c r="IN280" s="1144"/>
      <c r="IO280" s="1144"/>
      <c r="IP280" s="1144"/>
      <c r="IQ280" s="1144"/>
      <c r="IR280" s="1144"/>
      <c r="IS280" s="1144"/>
      <c r="IT280" s="1144"/>
      <c r="IU280" s="1144"/>
      <c r="IV280" s="1144"/>
      <c r="IW280" s="1144"/>
      <c r="IX280" s="1144"/>
      <c r="IY280" s="1144"/>
      <c r="IZ280" s="1144"/>
      <c r="JA280" s="1144"/>
      <c r="JB280" s="1144"/>
      <c r="JC280" s="1144"/>
      <c r="JD280" s="1144"/>
      <c r="JE280" s="1144"/>
      <c r="JF280" s="1144"/>
      <c r="JG280" s="1144"/>
      <c r="JH280" s="1144"/>
      <c r="JI280" s="1144"/>
      <c r="JJ280" s="1144"/>
      <c r="JK280" s="1144"/>
      <c r="JL280" s="1144"/>
      <c r="JM280" s="1144"/>
      <c r="JN280" s="1144"/>
      <c r="JO280" s="1144"/>
      <c r="JP280" s="1144"/>
      <c r="JQ280" s="1144"/>
      <c r="JR280" s="1144"/>
      <c r="JS280" s="1144"/>
      <c r="JT280" s="1144"/>
      <c r="JU280" s="1144"/>
      <c r="JV280" s="1144"/>
      <c r="JW280" s="1144"/>
      <c r="JX280" s="1144"/>
      <c r="JY280" s="1144"/>
      <c r="JZ280" s="1144"/>
      <c r="KA280" s="1144"/>
      <c r="KB280" s="1144"/>
      <c r="KC280" s="1144"/>
      <c r="KD280" s="1144"/>
      <c r="KE280" s="1144"/>
      <c r="KF280" s="1144"/>
      <c r="KG280" s="1144"/>
      <c r="KH280" s="1144"/>
      <c r="KI280" s="1144"/>
      <c r="KJ280" s="1144"/>
      <c r="KK280" s="1144"/>
      <c r="KL280" s="1144"/>
      <c r="KM280" s="1144"/>
      <c r="KN280" s="1144"/>
      <c r="KO280" s="1144"/>
      <c r="KP280" s="1144"/>
      <c r="KQ280" s="1144"/>
      <c r="KR280" s="1144"/>
      <c r="KS280" s="1144"/>
      <c r="KT280" s="1144"/>
      <c r="KU280" s="1144"/>
      <c r="KV280" s="1144"/>
      <c r="KW280" s="1144"/>
      <c r="KX280" s="1144"/>
      <c r="KY280" s="1144"/>
      <c r="KZ280" s="1144"/>
      <c r="LA280" s="1144"/>
      <c r="LB280" s="1144"/>
      <c r="LC280" s="1144"/>
      <c r="LD280" s="1144"/>
      <c r="LE280" s="1144"/>
      <c r="LF280" s="1144"/>
      <c r="LG280" s="1144"/>
      <c r="LH280" s="1144"/>
      <c r="LI280" s="1144"/>
      <c r="LJ280" s="1144"/>
      <c r="LK280" s="1144"/>
      <c r="LL280" s="1144"/>
      <c r="LM280" s="1144"/>
      <c r="LN280" s="1144"/>
      <c r="LO280" s="1144"/>
      <c r="LP280" s="1144"/>
      <c r="LQ280" s="1144"/>
      <c r="LR280" s="1144"/>
      <c r="LS280" s="1144"/>
      <c r="LT280" s="1144"/>
      <c r="LU280" s="1144"/>
      <c r="LV280" s="1144"/>
      <c r="LW280" s="1144"/>
      <c r="LX280" s="1144"/>
      <c r="LY280" s="1144"/>
      <c r="LZ280" s="1144"/>
      <c r="MA280" s="1144"/>
      <c r="MB280" s="1144"/>
      <c r="MC280" s="1144"/>
      <c r="MD280" s="1144"/>
      <c r="ME280" s="1144"/>
      <c r="MF280" s="1144"/>
      <c r="MG280" s="1144"/>
      <c r="MH280" s="1144"/>
      <c r="MI280" s="1144"/>
      <c r="MJ280" s="1144"/>
      <c r="MK280" s="1144"/>
      <c r="ML280" s="1144"/>
      <c r="MM280" s="1144"/>
      <c r="MN280" s="1144"/>
      <c r="MO280" s="1144"/>
      <c r="MP280" s="1144"/>
      <c r="MQ280" s="1144"/>
      <c r="MR280" s="1144"/>
      <c r="MS280" s="1144"/>
      <c r="MT280" s="1144"/>
      <c r="MU280" s="1144"/>
      <c r="MV280" s="1144"/>
      <c r="MW280" s="1144"/>
      <c r="MX280" s="1144"/>
      <c r="MY280" s="1144"/>
      <c r="MZ280" s="1144"/>
      <c r="NA280" s="1144"/>
      <c r="NB280" s="1144"/>
      <c r="NC280" s="1144"/>
      <c r="ND280" s="1144"/>
      <c r="NE280" s="1144"/>
      <c r="NF280" s="1144"/>
      <c r="NG280" s="1144"/>
      <c r="NH280" s="1144"/>
      <c r="NI280" s="1144"/>
      <c r="NJ280" s="1144"/>
      <c r="NK280" s="1144"/>
      <c r="NL280" s="1144"/>
      <c r="NM280" s="1144"/>
      <c r="NN280" s="1144"/>
      <c r="NO280" s="1144"/>
      <c r="NP280" s="1144"/>
      <c r="NQ280" s="1144"/>
      <c r="NR280" s="1144"/>
      <c r="NS280" s="1144"/>
      <c r="NT280" s="1144"/>
      <c r="NU280" s="1144"/>
      <c r="NV280" s="1144"/>
      <c r="NW280" s="1144"/>
      <c r="NX280" s="1144"/>
      <c r="NY280" s="1144"/>
      <c r="NZ280" s="1144"/>
      <c r="OA280" s="1144"/>
      <c r="OB280" s="1144"/>
      <c r="OC280" s="1144"/>
      <c r="OD280" s="1144"/>
      <c r="OE280" s="1144"/>
      <c r="OF280" s="1144"/>
      <c r="OG280" s="1144"/>
      <c r="OH280" s="1144"/>
      <c r="OI280" s="1144"/>
      <c r="OJ280" s="1144"/>
      <c r="OK280" s="1144"/>
      <c r="OL280" s="1144"/>
      <c r="OM280" s="1144"/>
      <c r="ON280" s="1144"/>
      <c r="OO280" s="1144"/>
      <c r="OP280" s="1144"/>
      <c r="OQ280" s="1144"/>
      <c r="OR280" s="1144"/>
      <c r="OS280" s="1144"/>
      <c r="OT280" s="1144"/>
      <c r="OU280" s="1144"/>
      <c r="OV280" s="1144"/>
      <c r="OW280" s="1144"/>
      <c r="OX280" s="1144"/>
      <c r="OY280" s="1144"/>
      <c r="OZ280" s="1144"/>
      <c r="PA280" s="1144"/>
      <c r="PB280" s="1144"/>
      <c r="PC280" s="1144"/>
      <c r="PD280" s="1144"/>
      <c r="PE280" s="1144"/>
      <c r="PF280" s="1144"/>
      <c r="PG280" s="1144"/>
      <c r="PH280" s="1144"/>
      <c r="PI280" s="1144"/>
      <c r="PJ280" s="1144"/>
      <c r="PK280" s="1144"/>
      <c r="PL280" s="1144"/>
      <c r="PM280" s="1144"/>
      <c r="PN280" s="1144"/>
      <c r="PO280" s="1144"/>
      <c r="PP280" s="1144"/>
      <c r="PQ280" s="1144"/>
      <c r="PR280" s="1144"/>
      <c r="PS280" s="1144"/>
      <c r="PT280" s="1144"/>
      <c r="PU280" s="1144"/>
      <c r="PV280" s="1144"/>
      <c r="PW280" s="1144"/>
      <c r="PX280" s="1144"/>
      <c r="PY280" s="1144"/>
      <c r="PZ280" s="1144"/>
      <c r="QA280" s="1144"/>
      <c r="QB280" s="1144"/>
      <c r="QC280" s="1144"/>
      <c r="QD280" s="1144"/>
      <c r="QE280" s="1144"/>
      <c r="QF280" s="1144"/>
      <c r="QG280" s="1144"/>
      <c r="QH280" s="1144"/>
      <c r="QI280" s="1144"/>
      <c r="QJ280" s="1144"/>
      <c r="QK280" s="1144"/>
      <c r="QL280" s="1144"/>
      <c r="QM280" s="1144"/>
      <c r="QN280" s="1144"/>
      <c r="QO280" s="1144"/>
      <c r="QP280" s="1144"/>
      <c r="QQ280" s="1144"/>
      <c r="QR280" s="1144"/>
      <c r="QS280" s="1144"/>
      <c r="QT280" s="1144"/>
      <c r="QU280" s="1144"/>
      <c r="QV280" s="1144"/>
      <c r="QW280" s="1144"/>
      <c r="QX280" s="1144"/>
      <c r="QY280" s="1144"/>
      <c r="QZ280" s="1144"/>
      <c r="RA280" s="1144"/>
      <c r="RB280" s="1144"/>
      <c r="RC280" s="1144"/>
      <c r="RD280" s="1144"/>
      <c r="RE280" s="1144"/>
      <c r="RF280" s="1144"/>
      <c r="RG280" s="1144"/>
      <c r="RH280" s="1144"/>
      <c r="RI280" s="1144"/>
      <c r="RJ280" s="1144"/>
      <c r="RK280" s="1144"/>
      <c r="RL280" s="1144"/>
      <c r="RM280" s="1144"/>
      <c r="RN280" s="1144"/>
      <c r="RO280" s="1144"/>
      <c r="RP280" s="1144"/>
      <c r="RQ280" s="1144"/>
      <c r="RR280" s="1144"/>
      <c r="RS280" s="1144"/>
      <c r="RT280" s="1144"/>
      <c r="RU280" s="1144"/>
      <c r="RV280" s="1144"/>
      <c r="RW280" s="1144"/>
      <c r="RX280" s="1144"/>
      <c r="RY280" s="1144"/>
      <c r="RZ280" s="1144"/>
      <c r="SA280" s="1144"/>
      <c r="SB280" s="1144"/>
      <c r="SC280" s="1144"/>
      <c r="SD280" s="1144"/>
      <c r="SE280" s="1144"/>
      <c r="SF280" s="1144"/>
      <c r="SG280" s="1144"/>
      <c r="SH280" s="1144"/>
      <c r="SI280" s="1144"/>
      <c r="SJ280" s="1144"/>
      <c r="SK280" s="1144"/>
      <c r="SL280" s="1144"/>
      <c r="SM280" s="1144"/>
      <c r="SN280" s="1144"/>
      <c r="SO280" s="1144"/>
      <c r="SP280" s="1144"/>
      <c r="SQ280" s="1144"/>
      <c r="SR280" s="1144"/>
      <c r="SS280" s="1144"/>
      <c r="ST280" s="1144"/>
      <c r="SU280" s="1144"/>
      <c r="SV280" s="1144"/>
      <c r="SW280" s="1144"/>
      <c r="SX280" s="1144"/>
      <c r="SY280" s="1144"/>
      <c r="SZ280" s="1144"/>
      <c r="TA280" s="1144"/>
      <c r="TB280" s="1144"/>
      <c r="TC280" s="1144"/>
      <c r="TD280" s="1144"/>
      <c r="TE280" s="1144"/>
      <c r="TF280" s="1144"/>
      <c r="TG280" s="1144"/>
      <c r="TH280" s="1144"/>
      <c r="TI280" s="1144"/>
      <c r="TJ280" s="1144"/>
      <c r="TK280" s="1144"/>
      <c r="TL280" s="1144"/>
      <c r="TM280" s="1144"/>
      <c r="TN280" s="1144"/>
      <c r="TO280" s="1144"/>
      <c r="TP280" s="1144"/>
      <c r="TQ280" s="1144"/>
      <c r="TR280" s="1144"/>
      <c r="TS280" s="1144"/>
      <c r="TT280" s="1144"/>
      <c r="TU280" s="1144"/>
      <c r="TV280" s="1144"/>
      <c r="TW280" s="1144"/>
      <c r="TX280" s="1144"/>
      <c r="TY280" s="1144"/>
      <c r="TZ280" s="1144"/>
      <c r="UA280" s="1144"/>
      <c r="UB280" s="1144"/>
      <c r="UC280" s="1144"/>
      <c r="UD280" s="1144"/>
      <c r="UE280" s="1144"/>
      <c r="UF280" s="1144"/>
      <c r="UG280" s="1144"/>
      <c r="UH280" s="1144"/>
      <c r="UI280" s="1144"/>
      <c r="UJ280" s="1144"/>
      <c r="UK280" s="1144"/>
      <c r="UL280" s="1144"/>
      <c r="UM280" s="1144"/>
      <c r="UN280" s="1144"/>
      <c r="UO280" s="1144"/>
      <c r="UP280" s="1144"/>
      <c r="UQ280" s="1144"/>
      <c r="UR280" s="1144"/>
      <c r="US280" s="1144"/>
      <c r="UT280" s="1144"/>
      <c r="UU280" s="1144"/>
      <c r="UV280" s="1144"/>
      <c r="UW280" s="1144"/>
      <c r="UX280" s="1144"/>
      <c r="UY280" s="1144"/>
      <c r="UZ280" s="1144"/>
      <c r="VA280" s="1144"/>
      <c r="VB280" s="1144"/>
      <c r="VC280" s="1144"/>
      <c r="VD280" s="1144"/>
      <c r="VE280" s="1144"/>
      <c r="VF280" s="1144"/>
      <c r="VG280" s="1144"/>
      <c r="VH280" s="1144"/>
      <c r="VI280" s="1144"/>
      <c r="VJ280" s="1144"/>
      <c r="VK280" s="1144"/>
      <c r="VL280" s="1144"/>
      <c r="VM280" s="1144"/>
      <c r="VN280" s="1144"/>
      <c r="VO280" s="1144"/>
      <c r="VP280" s="1144"/>
      <c r="VQ280" s="1144"/>
      <c r="VR280" s="1144"/>
      <c r="VS280" s="1144"/>
      <c r="VT280" s="1144"/>
      <c r="VU280" s="1144"/>
      <c r="VV280" s="1144"/>
      <c r="VW280" s="1144"/>
      <c r="VX280" s="1144"/>
      <c r="VY280" s="1144"/>
      <c r="VZ280" s="1144"/>
      <c r="WA280" s="1144"/>
      <c r="WB280" s="1144"/>
      <c r="WC280" s="1144"/>
      <c r="WD280" s="1144"/>
      <c r="WE280" s="1144"/>
      <c r="WF280" s="1144"/>
      <c r="WG280" s="1144"/>
      <c r="WH280" s="1144"/>
      <c r="WI280" s="1144"/>
      <c r="WJ280" s="1144"/>
      <c r="WK280" s="1144"/>
      <c r="WL280" s="1144"/>
      <c r="WM280" s="1144"/>
      <c r="WN280" s="1144"/>
      <c r="WO280" s="1144"/>
      <c r="WP280" s="1144"/>
      <c r="WQ280" s="1144"/>
      <c r="WR280" s="1144"/>
      <c r="WS280" s="1144"/>
      <c r="WT280" s="1144"/>
      <c r="WU280" s="1144"/>
      <c r="WV280" s="1144"/>
      <c r="WW280" s="1144"/>
      <c r="WX280" s="1144"/>
      <c r="WY280" s="1144"/>
      <c r="WZ280" s="1144"/>
      <c r="XA280" s="1144"/>
      <c r="XB280" s="1144"/>
      <c r="XC280" s="1144"/>
      <c r="XD280" s="1144"/>
      <c r="XE280" s="1144"/>
      <c r="XF280" s="1144"/>
      <c r="XG280" s="1144"/>
      <c r="XH280" s="1144"/>
      <c r="XI280" s="1144"/>
      <c r="XJ280" s="1144"/>
      <c r="XK280" s="1144"/>
      <c r="XL280" s="1144"/>
      <c r="XM280" s="1144"/>
      <c r="XN280" s="1144"/>
      <c r="XO280" s="1144"/>
      <c r="XP280" s="1144"/>
      <c r="XQ280" s="1144"/>
      <c r="XR280" s="1144"/>
      <c r="XS280" s="1144"/>
      <c r="XT280" s="1144"/>
      <c r="XU280" s="1144"/>
      <c r="XV280" s="1144"/>
      <c r="XW280" s="1144"/>
      <c r="XX280" s="1144"/>
      <c r="XY280" s="1144"/>
      <c r="XZ280" s="1144"/>
      <c r="YA280" s="1144"/>
      <c r="YB280" s="1144"/>
      <c r="YC280" s="1144"/>
      <c r="YD280" s="1144"/>
      <c r="YE280" s="1144"/>
      <c r="YF280" s="1144"/>
      <c r="YG280" s="1144"/>
      <c r="YH280" s="1144"/>
      <c r="YI280" s="1144"/>
      <c r="YJ280" s="1144"/>
      <c r="YK280" s="1144"/>
      <c r="YL280" s="1144"/>
      <c r="YM280" s="1144"/>
      <c r="YN280" s="1144"/>
      <c r="YO280" s="1144"/>
      <c r="YP280" s="1144"/>
      <c r="YQ280" s="1144"/>
      <c r="YR280" s="1144"/>
      <c r="YS280" s="1144"/>
      <c r="YT280" s="1144"/>
      <c r="YU280" s="1144"/>
      <c r="YV280" s="1144"/>
      <c r="YW280" s="1144"/>
      <c r="YX280" s="1144"/>
      <c r="YY280" s="1144"/>
      <c r="YZ280" s="1144"/>
      <c r="ZA280" s="1144"/>
      <c r="ZB280" s="1144"/>
      <c r="ZC280" s="1144"/>
      <c r="ZD280" s="1144"/>
      <c r="ZE280" s="1144"/>
      <c r="ZF280" s="1144"/>
      <c r="ZG280" s="1144"/>
      <c r="ZH280" s="1144"/>
      <c r="ZI280" s="1144"/>
      <c r="ZJ280" s="1144"/>
      <c r="ZK280" s="1144"/>
      <c r="ZL280" s="1144"/>
      <c r="ZM280" s="1144"/>
      <c r="ZN280" s="1144"/>
      <c r="ZO280" s="1144"/>
      <c r="ZP280" s="1144"/>
      <c r="ZQ280" s="1144"/>
      <c r="ZR280" s="1144"/>
      <c r="ZS280" s="1144"/>
      <c r="ZT280" s="1144"/>
      <c r="ZU280" s="1144"/>
      <c r="ZV280" s="1144"/>
      <c r="ZW280" s="1144"/>
      <c r="ZX280" s="1144"/>
      <c r="ZY280" s="1144"/>
      <c r="ZZ280" s="1144"/>
      <c r="AAA280" s="1144"/>
      <c r="AAB280" s="1144"/>
      <c r="AAC280" s="1144"/>
      <c r="AAD280" s="1144"/>
      <c r="AAE280" s="1144"/>
      <c r="AAF280" s="1144"/>
      <c r="AAG280" s="1144"/>
      <c r="AAH280" s="1144"/>
      <c r="AAI280" s="1144"/>
      <c r="AAJ280" s="1144"/>
      <c r="AAK280" s="1144"/>
      <c r="AAL280" s="1144"/>
      <c r="AAM280" s="1144"/>
      <c r="AAN280" s="1144"/>
      <c r="AAO280" s="1144"/>
      <c r="AAP280" s="1144"/>
      <c r="AAQ280" s="1144"/>
      <c r="AAR280" s="1144"/>
      <c r="AAS280" s="1144"/>
      <c r="AAT280" s="1144"/>
      <c r="AAU280" s="1144"/>
      <c r="AAV280" s="1144"/>
      <c r="AAW280" s="1144"/>
      <c r="AAX280" s="1144"/>
      <c r="AAY280" s="1144"/>
      <c r="AAZ280" s="1144"/>
      <c r="ABA280" s="1144"/>
      <c r="ABB280" s="1144"/>
      <c r="ABC280" s="1144"/>
      <c r="ABD280" s="1144"/>
      <c r="ABE280" s="1144"/>
      <c r="ABF280" s="1144"/>
      <c r="ABG280" s="1144"/>
      <c r="ABH280" s="1144"/>
      <c r="ABI280" s="1144"/>
      <c r="ABJ280" s="1144"/>
      <c r="ABK280" s="1144"/>
      <c r="ABL280" s="1144"/>
      <c r="ABM280" s="1144"/>
      <c r="ABN280" s="1144"/>
      <c r="ABO280" s="1144"/>
      <c r="ABP280" s="1144"/>
      <c r="ABQ280" s="1144"/>
      <c r="ABR280" s="1144"/>
      <c r="ABS280" s="1144"/>
      <c r="ABT280" s="1144"/>
      <c r="ABU280" s="1144"/>
      <c r="ABV280" s="1144"/>
      <c r="ABW280" s="1144"/>
      <c r="ABX280" s="1144"/>
      <c r="ABY280" s="1144"/>
      <c r="ABZ280" s="1144"/>
      <c r="ACA280" s="1144"/>
      <c r="ACB280" s="1144"/>
      <c r="ACC280" s="1144"/>
      <c r="ACD280" s="1144"/>
      <c r="ACE280" s="1144"/>
      <c r="ACF280" s="1144"/>
      <c r="ACG280" s="1144"/>
      <c r="ACH280" s="1144"/>
      <c r="ACI280" s="1144"/>
      <c r="ACJ280" s="1144"/>
      <c r="ACK280" s="1144"/>
      <c r="ACL280" s="1144"/>
      <c r="ACM280" s="1144"/>
      <c r="ACN280" s="1144"/>
      <c r="ACO280" s="1144"/>
      <c r="ACP280" s="1144"/>
      <c r="ACQ280" s="1144"/>
      <c r="ACR280" s="1144"/>
      <c r="ACS280" s="1144"/>
      <c r="ACT280" s="1144"/>
      <c r="ACU280" s="1144"/>
      <c r="ACV280" s="1144"/>
      <c r="ACW280" s="1144"/>
      <c r="ACX280" s="1144"/>
      <c r="ACY280" s="1144"/>
      <c r="ACZ280" s="1144"/>
      <c r="ADA280" s="1144"/>
      <c r="ADB280" s="1144"/>
      <c r="ADC280" s="1144"/>
      <c r="ADD280" s="1144"/>
      <c r="ADE280" s="1144"/>
      <c r="ADF280" s="1144"/>
      <c r="ADG280" s="1144"/>
      <c r="ADH280" s="1144"/>
      <c r="ADI280" s="1144"/>
      <c r="ADJ280" s="1144"/>
      <c r="ADK280" s="1144"/>
      <c r="ADL280" s="1144"/>
      <c r="ADM280" s="1144"/>
      <c r="ADN280" s="1144"/>
      <c r="ADO280" s="1144"/>
      <c r="ADP280" s="1144"/>
      <c r="ADQ280" s="1144"/>
      <c r="ADR280" s="1144"/>
      <c r="ADS280" s="1144"/>
      <c r="ADT280" s="1144"/>
      <c r="ADU280" s="1144"/>
      <c r="ADV280" s="1144"/>
      <c r="ADW280" s="1144"/>
      <c r="ADX280" s="1144"/>
      <c r="ADY280" s="1144"/>
      <c r="ADZ280" s="1144"/>
      <c r="AEA280" s="1144"/>
      <c r="AEB280" s="1144"/>
      <c r="AEC280" s="1144"/>
      <c r="AED280" s="1144"/>
      <c r="AEE280" s="1144"/>
      <c r="AEF280" s="1144"/>
      <c r="AEG280" s="1144"/>
      <c r="AEH280" s="1144"/>
      <c r="AEI280" s="1144"/>
      <c r="AEJ280" s="1144"/>
      <c r="AEK280" s="1144"/>
      <c r="AEL280" s="1144"/>
      <c r="AEM280" s="1144"/>
      <c r="AEN280" s="1144"/>
      <c r="AEO280" s="1144"/>
      <c r="AEP280" s="1144"/>
      <c r="AEQ280" s="1144"/>
      <c r="AER280" s="1144"/>
      <c r="AES280" s="1144"/>
      <c r="AET280" s="1144"/>
      <c r="AEU280" s="1144"/>
      <c r="AEV280" s="1144"/>
      <c r="AEW280" s="1144"/>
      <c r="AEX280" s="1144"/>
      <c r="AEY280" s="1144"/>
      <c r="AEZ280" s="1144"/>
      <c r="AFA280" s="1144"/>
      <c r="AFB280" s="1144"/>
      <c r="AFC280" s="1144"/>
      <c r="AFD280" s="1144"/>
      <c r="AFE280" s="1144"/>
      <c r="AFF280" s="1144"/>
      <c r="AFG280" s="1144"/>
      <c r="AFH280" s="1144"/>
      <c r="AFI280" s="1144"/>
      <c r="AFJ280" s="1144"/>
      <c r="AFK280" s="1144"/>
      <c r="AFL280" s="1144"/>
      <c r="AFM280" s="1144"/>
      <c r="AFN280" s="1144"/>
      <c r="AFO280" s="1144"/>
      <c r="AFP280" s="1144"/>
      <c r="AFQ280" s="1144"/>
      <c r="AFR280" s="1144"/>
      <c r="AFS280" s="1144"/>
      <c r="AFT280" s="1144"/>
      <c r="AFU280" s="1144"/>
      <c r="AFV280" s="1144"/>
      <c r="AFW280" s="1144"/>
      <c r="AFX280" s="1144"/>
      <c r="AFY280" s="1144"/>
      <c r="AFZ280" s="1144"/>
      <c r="AGA280" s="1144"/>
      <c r="AGB280" s="1144"/>
      <c r="AGC280" s="1144"/>
      <c r="AGD280" s="1144"/>
      <c r="AGE280" s="1144"/>
      <c r="AGF280" s="1144"/>
      <c r="AGG280" s="1144"/>
      <c r="AGH280" s="1144"/>
      <c r="AGI280" s="1144"/>
      <c r="AGJ280" s="1144"/>
      <c r="AGK280" s="1144"/>
      <c r="AGL280" s="1144"/>
      <c r="AGM280" s="1144"/>
      <c r="AGN280" s="1144"/>
      <c r="AGO280" s="1144"/>
      <c r="AGP280" s="1144"/>
      <c r="AGQ280" s="1144"/>
      <c r="AGR280" s="1144"/>
      <c r="AGS280" s="1144"/>
      <c r="AGT280" s="1144"/>
      <c r="AGU280" s="1144"/>
      <c r="AGV280" s="1144"/>
      <c r="AGW280" s="1144"/>
      <c r="AGX280" s="1144"/>
      <c r="AGY280" s="1144"/>
      <c r="AGZ280" s="1144"/>
      <c r="AHA280" s="1144"/>
      <c r="AHB280" s="1144"/>
      <c r="AHC280" s="1144"/>
      <c r="AHD280" s="1144"/>
      <c r="AHE280" s="1144"/>
      <c r="AHF280" s="1144"/>
      <c r="AHG280" s="1144"/>
      <c r="AHH280" s="1144"/>
      <c r="AHI280" s="1144"/>
      <c r="AHJ280" s="1144"/>
      <c r="AHK280" s="1144"/>
      <c r="AHL280" s="1144"/>
      <c r="AHM280" s="1144"/>
      <c r="AHN280" s="1144"/>
      <c r="AHO280" s="1144"/>
      <c r="AHP280" s="1144"/>
      <c r="AHQ280" s="1144"/>
      <c r="AHR280" s="1144"/>
      <c r="AHS280" s="1144"/>
      <c r="AHT280" s="1144"/>
      <c r="AHU280" s="1144"/>
      <c r="AHV280" s="1144"/>
      <c r="AHW280" s="1144"/>
      <c r="AHX280" s="1144"/>
      <c r="AHY280" s="1144"/>
      <c r="AHZ280" s="1144"/>
      <c r="AIA280" s="1144"/>
      <c r="AIB280" s="1144"/>
      <c r="AIC280" s="1144"/>
      <c r="AID280" s="1144"/>
      <c r="AIE280" s="1144"/>
      <c r="AIF280" s="1144"/>
      <c r="AIG280" s="1144"/>
      <c r="AIH280" s="1144"/>
      <c r="AII280" s="1144"/>
      <c r="AIJ280" s="1144"/>
      <c r="AIK280" s="1144"/>
      <c r="AIL280" s="1144"/>
      <c r="AIM280" s="1144"/>
      <c r="AIN280" s="1144"/>
      <c r="AIO280" s="1144"/>
      <c r="AIP280" s="1144"/>
      <c r="AIQ280" s="1144"/>
      <c r="AIR280" s="1144"/>
      <c r="AIS280" s="1144"/>
      <c r="AIT280" s="1144"/>
      <c r="AIU280" s="1144"/>
      <c r="AIV280" s="1144"/>
      <c r="AIW280" s="1144"/>
      <c r="AIX280" s="1144"/>
      <c r="AIY280" s="1144"/>
      <c r="AIZ280" s="1144"/>
      <c r="AJA280" s="1144"/>
      <c r="AJB280" s="1144"/>
      <c r="AJC280" s="1144"/>
      <c r="AJD280" s="1144"/>
      <c r="AJE280" s="1144"/>
      <c r="AJF280" s="1144"/>
      <c r="AJG280" s="1144"/>
      <c r="AJH280" s="1144"/>
      <c r="AJI280" s="1144"/>
      <c r="AJJ280" s="1144"/>
      <c r="AJK280" s="1144"/>
      <c r="AJL280" s="1144"/>
      <c r="AJM280" s="1144"/>
      <c r="AJN280" s="1144"/>
      <c r="AJO280" s="1144"/>
      <c r="AJP280" s="1144"/>
      <c r="AJQ280" s="1144"/>
      <c r="AJR280" s="1144"/>
      <c r="AJS280" s="1144"/>
      <c r="AJT280" s="1144"/>
      <c r="AJU280" s="1144"/>
      <c r="AJV280" s="1144"/>
      <c r="AJW280" s="1144"/>
      <c r="AJX280" s="1144"/>
      <c r="AJY280" s="1144"/>
      <c r="AJZ280" s="1144"/>
      <c r="AKA280" s="1144"/>
      <c r="AKB280" s="1144"/>
      <c r="AKC280" s="1144"/>
      <c r="AKD280" s="1144"/>
      <c r="AKE280" s="1144"/>
      <c r="AKF280" s="1144"/>
      <c r="AKG280" s="1144"/>
      <c r="AKH280" s="1144"/>
      <c r="AKI280" s="1144"/>
      <c r="AKJ280" s="1144"/>
      <c r="AKK280" s="1144"/>
      <c r="AKL280" s="1144"/>
      <c r="AKM280" s="1144"/>
      <c r="AKN280" s="1144"/>
      <c r="AKO280" s="1144"/>
      <c r="AKP280" s="1144"/>
      <c r="AKQ280" s="1144"/>
      <c r="AKR280" s="1144"/>
      <c r="AKS280" s="1144"/>
      <c r="AKT280" s="1144"/>
      <c r="AKU280" s="1144"/>
      <c r="AKV280" s="1144"/>
      <c r="AKW280" s="1144"/>
      <c r="AKX280" s="1144"/>
      <c r="AKY280" s="1144"/>
      <c r="AKZ280" s="1144"/>
      <c r="ALA280" s="1144"/>
      <c r="ALB280" s="1144"/>
      <c r="ALC280" s="1144"/>
      <c r="ALD280" s="1144"/>
      <c r="ALE280" s="1144"/>
      <c r="ALF280" s="1144"/>
      <c r="ALG280" s="1144"/>
      <c r="ALH280" s="1144"/>
      <c r="ALI280" s="1144"/>
      <c r="ALJ280" s="1144"/>
      <c r="ALK280" s="1144"/>
      <c r="ALL280" s="1144"/>
      <c r="ALM280" s="1144"/>
      <c r="ALN280" s="1144"/>
      <c r="ALO280" s="1144"/>
      <c r="ALP280" s="1144"/>
      <c r="ALQ280" s="1144"/>
      <c r="ALR280" s="1144"/>
      <c r="ALS280" s="1144"/>
      <c r="ALT280" s="1144"/>
      <c r="ALU280" s="1144"/>
      <c r="ALV280" s="1144"/>
      <c r="ALW280" s="1144"/>
      <c r="ALX280" s="1144"/>
      <c r="ALY280" s="1144"/>
      <c r="ALZ280" s="1144"/>
      <c r="AMA280" s="1144"/>
      <c r="AMB280" s="1144"/>
      <c r="AMC280" s="1144"/>
      <c r="AMD280" s="1144"/>
      <c r="AME280" s="1144"/>
      <c r="AMF280" s="1144"/>
      <c r="AMG280" s="1144"/>
      <c r="AMH280" s="1144"/>
      <c r="AMI280" s="1144"/>
      <c r="AMJ280" s="1144"/>
      <c r="AMK280" s="1144"/>
      <c r="AML280" s="1144"/>
      <c r="AMM280" s="1144"/>
      <c r="AMN280" s="1144"/>
      <c r="AMO280" s="1144"/>
      <c r="AMP280" s="1144"/>
      <c r="AMQ280" s="1144"/>
      <c r="AMR280" s="1144"/>
      <c r="AMS280" s="1144"/>
      <c r="AMT280" s="1144"/>
      <c r="AMU280" s="1144"/>
      <c r="AMV280" s="1144"/>
      <c r="AMW280" s="1144"/>
      <c r="AMX280" s="1144"/>
      <c r="AMY280" s="1144"/>
      <c r="AMZ280" s="1144"/>
      <c r="ANA280" s="1144"/>
      <c r="ANB280" s="1144"/>
      <c r="ANC280" s="1144"/>
      <c r="AND280" s="1144"/>
      <c r="ANE280" s="1144"/>
      <c r="ANF280" s="1144"/>
      <c r="ANG280" s="1144"/>
      <c r="ANH280" s="1144"/>
      <c r="ANI280" s="1144"/>
      <c r="ANJ280" s="1144"/>
      <c r="ANK280" s="1144"/>
      <c r="ANL280" s="1144"/>
      <c r="ANM280" s="1144"/>
      <c r="ANN280" s="1144"/>
      <c r="ANO280" s="1144"/>
      <c r="ANP280" s="1144"/>
      <c r="ANQ280" s="1144"/>
      <c r="ANR280" s="1144"/>
      <c r="ANS280" s="1144"/>
      <c r="ANT280" s="1144"/>
      <c r="ANU280" s="1144"/>
      <c r="ANV280" s="1144"/>
      <c r="ANW280" s="1144"/>
      <c r="ANX280" s="1144"/>
      <c r="ANY280" s="1144"/>
      <c r="ANZ280" s="1144"/>
      <c r="AOA280" s="1144"/>
      <c r="AOB280" s="1144"/>
      <c r="AOC280" s="1144"/>
      <c r="AOD280" s="1144"/>
      <c r="AOE280" s="1144"/>
      <c r="AOF280" s="1144"/>
      <c r="AOG280" s="1144"/>
      <c r="AOH280" s="1144"/>
      <c r="AOI280" s="1144"/>
      <c r="AOJ280" s="1144"/>
      <c r="AOK280" s="1144"/>
      <c r="AOL280" s="1144"/>
      <c r="AOM280" s="1144"/>
      <c r="AON280" s="1144"/>
      <c r="AOO280" s="1144"/>
      <c r="AOP280" s="1144"/>
      <c r="AOQ280" s="1144"/>
      <c r="AOR280" s="1144"/>
      <c r="AOS280" s="1144"/>
      <c r="AOT280" s="1144"/>
      <c r="AOU280" s="1144"/>
      <c r="AOV280" s="1144"/>
      <c r="AOW280" s="1144"/>
      <c r="AOX280" s="1144"/>
      <c r="AOY280" s="1144"/>
      <c r="AOZ280" s="1144"/>
      <c r="APA280" s="1144"/>
      <c r="APB280" s="1144"/>
      <c r="APC280" s="1144"/>
      <c r="APD280" s="1144"/>
      <c r="APE280" s="1144"/>
      <c r="APF280" s="1144"/>
      <c r="APG280" s="1144"/>
      <c r="APH280" s="1144"/>
      <c r="API280" s="1144"/>
      <c r="APJ280" s="1144"/>
      <c r="APK280" s="1144"/>
      <c r="APL280" s="1144"/>
      <c r="APM280" s="1144"/>
      <c r="APN280" s="1144"/>
      <c r="APO280" s="1144"/>
      <c r="APP280" s="1144"/>
      <c r="APQ280" s="1144"/>
      <c r="APR280" s="1144"/>
      <c r="APS280" s="1144"/>
      <c r="APT280" s="1144"/>
      <c r="APU280" s="1144"/>
      <c r="APV280" s="1144"/>
      <c r="APW280" s="1144"/>
      <c r="APX280" s="1144"/>
      <c r="APY280" s="1144"/>
      <c r="APZ280" s="1144"/>
      <c r="AQA280" s="1144"/>
      <c r="AQB280" s="1144"/>
      <c r="AQC280" s="1144"/>
      <c r="AQD280" s="1144"/>
      <c r="AQE280" s="1144"/>
      <c r="AQF280" s="1144"/>
      <c r="AQG280" s="1144"/>
      <c r="AQH280" s="1144"/>
      <c r="AQI280" s="1144"/>
      <c r="AQJ280" s="1144"/>
      <c r="AQK280" s="1144"/>
      <c r="AQL280" s="1144"/>
      <c r="AQM280" s="1144"/>
      <c r="AQN280" s="1144"/>
      <c r="AQO280" s="1144"/>
      <c r="AQP280" s="1144"/>
      <c r="AQQ280" s="1144"/>
      <c r="AQR280" s="1144"/>
      <c r="AQS280" s="1144"/>
      <c r="AQT280" s="1144"/>
      <c r="AQU280" s="1144"/>
      <c r="AQV280" s="1144"/>
      <c r="AQW280" s="1144"/>
      <c r="AQX280" s="1144"/>
      <c r="AQY280" s="1144"/>
      <c r="AQZ280" s="1144"/>
      <c r="ARA280" s="1144"/>
      <c r="ARB280" s="1144"/>
      <c r="ARC280" s="1144"/>
      <c r="ARD280" s="1144"/>
      <c r="ARE280" s="1144"/>
      <c r="ARF280" s="1144"/>
      <c r="ARG280" s="1144"/>
      <c r="ARH280" s="1144"/>
      <c r="ARI280" s="1144"/>
      <c r="ARJ280" s="1144"/>
      <c r="ARK280" s="1144"/>
      <c r="ARL280" s="1144"/>
      <c r="ARM280" s="1144"/>
      <c r="ARN280" s="1144"/>
      <c r="ARO280" s="1144"/>
      <c r="ARP280" s="1144"/>
      <c r="ARQ280" s="1144"/>
      <c r="ARR280" s="1144"/>
      <c r="ARS280" s="1144"/>
      <c r="ART280" s="1144"/>
      <c r="ARU280" s="1144"/>
      <c r="ARV280" s="1144"/>
      <c r="ARW280" s="1144"/>
      <c r="ARX280" s="1144"/>
      <c r="ARY280" s="1144"/>
      <c r="ARZ280" s="1144"/>
      <c r="ASA280" s="1144"/>
      <c r="ASB280" s="1144"/>
      <c r="ASC280" s="1144"/>
      <c r="ASD280" s="1144"/>
      <c r="ASE280" s="1144"/>
      <c r="ASF280" s="1144"/>
      <c r="ASG280" s="1144"/>
      <c r="ASH280" s="1144"/>
      <c r="ASI280" s="1144"/>
      <c r="ASJ280" s="1144"/>
      <c r="ASK280" s="1144"/>
      <c r="ASL280" s="1144"/>
      <c r="ASM280" s="1144"/>
      <c r="ASN280" s="1144"/>
      <c r="ASO280" s="1144"/>
      <c r="ASP280" s="1144"/>
      <c r="ASQ280" s="1144"/>
      <c r="ASR280" s="1144"/>
      <c r="ASS280" s="1144"/>
      <c r="AST280" s="1144"/>
      <c r="ASU280" s="1144"/>
      <c r="ASV280" s="1144"/>
      <c r="ASW280" s="1144"/>
      <c r="ASX280" s="1144"/>
      <c r="ASY280" s="1144"/>
      <c r="ASZ280" s="1144"/>
      <c r="ATA280" s="1144"/>
      <c r="ATB280" s="1144"/>
      <c r="ATC280" s="1144"/>
      <c r="ATD280" s="1144"/>
      <c r="ATE280" s="1144"/>
      <c r="ATF280" s="1144"/>
      <c r="ATG280" s="1144"/>
      <c r="ATH280" s="1144"/>
      <c r="ATI280" s="1144"/>
      <c r="ATJ280" s="1144"/>
      <c r="ATK280" s="1144"/>
      <c r="ATL280" s="1144"/>
      <c r="ATM280" s="1144"/>
      <c r="ATN280" s="1144"/>
      <c r="ATO280" s="1144"/>
      <c r="ATP280" s="1144"/>
      <c r="ATQ280" s="1144"/>
      <c r="ATR280" s="1144"/>
      <c r="ATS280" s="1144"/>
      <c r="ATT280" s="1144"/>
      <c r="ATU280" s="1144"/>
      <c r="ATV280" s="1144"/>
      <c r="ATW280" s="1144"/>
      <c r="ATX280" s="1144"/>
      <c r="ATY280" s="1144"/>
      <c r="ATZ280" s="1144"/>
      <c r="AUA280" s="1144"/>
      <c r="AUB280" s="1144"/>
      <c r="AUC280" s="1144"/>
      <c r="AUD280" s="1144"/>
      <c r="AUE280" s="1144"/>
      <c r="AUF280" s="1144"/>
      <c r="AUG280" s="1144"/>
      <c r="AUH280" s="1144"/>
      <c r="AUI280" s="1144"/>
      <c r="AUJ280" s="1144"/>
      <c r="AUK280" s="1144"/>
      <c r="AUL280" s="1144"/>
      <c r="AUM280" s="1144"/>
      <c r="AUN280" s="1144"/>
      <c r="AUO280" s="1144"/>
      <c r="AUP280" s="1144"/>
      <c r="AUQ280" s="1144"/>
      <c r="AUR280" s="1144"/>
      <c r="AUS280" s="1144"/>
      <c r="AUT280" s="1144"/>
      <c r="AUU280" s="1144"/>
      <c r="AUV280" s="1144"/>
      <c r="AUW280" s="1144"/>
      <c r="AUX280" s="1144"/>
      <c r="AUY280" s="1144"/>
      <c r="AUZ280" s="1144"/>
      <c r="AVA280" s="1144"/>
      <c r="AVB280" s="1144"/>
      <c r="AVC280" s="1144"/>
      <c r="AVD280" s="1144"/>
      <c r="AVE280" s="1144"/>
      <c r="AVF280" s="1144"/>
      <c r="AVG280" s="1144"/>
      <c r="AVH280" s="1144"/>
      <c r="AVI280" s="1144"/>
      <c r="AVJ280" s="1144"/>
      <c r="AVK280" s="1144"/>
      <c r="AVL280" s="1144"/>
      <c r="AVM280" s="1144"/>
      <c r="AVN280" s="1144"/>
      <c r="AVO280" s="1144"/>
      <c r="AVP280" s="1144"/>
      <c r="AVQ280" s="1144"/>
      <c r="AVR280" s="1144"/>
      <c r="AVS280" s="1144"/>
      <c r="AVT280" s="1144"/>
      <c r="AVU280" s="1144"/>
      <c r="AVV280" s="1144"/>
      <c r="AVW280" s="1144"/>
      <c r="AVX280" s="1144"/>
      <c r="AVY280" s="1144"/>
      <c r="AVZ280" s="1144"/>
      <c r="AWA280" s="1144"/>
      <c r="AWB280" s="1144"/>
      <c r="AWC280" s="1144"/>
      <c r="AWD280" s="1144"/>
      <c r="AWE280" s="1144"/>
      <c r="AWF280" s="1144"/>
      <c r="AWG280" s="1144"/>
      <c r="AWH280" s="1144"/>
      <c r="AWI280" s="1144"/>
      <c r="AWJ280" s="1144"/>
      <c r="AWK280" s="1144"/>
      <c r="AWL280" s="1144"/>
      <c r="AWM280" s="1144"/>
      <c r="AWN280" s="1144"/>
      <c r="AWO280" s="1144"/>
      <c r="AWP280" s="1144"/>
      <c r="AWQ280" s="1144"/>
      <c r="AWR280" s="1144"/>
      <c r="AWS280" s="1144"/>
      <c r="AWT280" s="1144"/>
      <c r="AWU280" s="1144"/>
      <c r="AWV280" s="1144"/>
      <c r="AWW280" s="1144"/>
      <c r="AWX280" s="1144"/>
      <c r="AWY280" s="1144"/>
      <c r="AWZ280" s="1144"/>
      <c r="AXA280" s="1144"/>
      <c r="AXB280" s="1144"/>
      <c r="AXC280" s="1144"/>
      <c r="AXD280" s="1144"/>
      <c r="AXE280" s="1144"/>
      <c r="AXF280" s="1144"/>
      <c r="AXG280" s="1144"/>
      <c r="AXH280" s="1144"/>
      <c r="AXI280" s="1144"/>
      <c r="AXJ280" s="1144"/>
      <c r="AXK280" s="1144"/>
      <c r="AXL280" s="1144"/>
      <c r="AXM280" s="1144"/>
      <c r="AXN280" s="1144"/>
      <c r="AXO280" s="1144"/>
      <c r="AXP280" s="1144"/>
      <c r="AXQ280" s="1144"/>
      <c r="AXR280" s="1144"/>
      <c r="AXS280" s="1144"/>
      <c r="AXT280" s="1144"/>
      <c r="AXU280" s="1144"/>
      <c r="AXV280" s="1144"/>
      <c r="AXW280" s="1144"/>
      <c r="AXX280" s="1144"/>
      <c r="AXY280" s="1144"/>
      <c r="AXZ280" s="1144"/>
      <c r="AYA280" s="1144"/>
      <c r="AYB280" s="1144"/>
      <c r="AYC280" s="1144"/>
      <c r="AYD280" s="1144"/>
      <c r="AYE280" s="1144"/>
      <c r="AYF280" s="1144"/>
      <c r="AYG280" s="1144"/>
      <c r="AYH280" s="1144"/>
      <c r="AYI280" s="1144"/>
      <c r="AYJ280" s="1144"/>
      <c r="AYK280" s="1144"/>
      <c r="AYL280" s="1144"/>
      <c r="AYM280" s="1144"/>
      <c r="AYN280" s="1144"/>
      <c r="AYO280" s="1144"/>
      <c r="AYP280" s="1144"/>
      <c r="AYQ280" s="1144"/>
      <c r="AYR280" s="1144"/>
      <c r="AYS280" s="1144"/>
      <c r="AYT280" s="1144"/>
      <c r="AYU280" s="1144"/>
      <c r="AYV280" s="1144"/>
      <c r="AYW280" s="1144"/>
      <c r="AYX280" s="1144"/>
      <c r="AYY280" s="1144"/>
      <c r="AYZ280" s="1144"/>
      <c r="AZA280" s="1144"/>
      <c r="AZB280" s="1144"/>
      <c r="AZC280" s="1144"/>
      <c r="AZD280" s="1144"/>
      <c r="AZE280" s="1144"/>
      <c r="AZF280" s="1144"/>
      <c r="AZG280" s="1144"/>
      <c r="AZH280" s="1144"/>
      <c r="AZI280" s="1144"/>
      <c r="AZJ280" s="1144"/>
      <c r="AZK280" s="1144"/>
      <c r="AZL280" s="1144"/>
      <c r="AZM280" s="1144"/>
      <c r="AZN280" s="1144"/>
      <c r="AZO280" s="1144"/>
      <c r="AZP280" s="1144"/>
      <c r="AZQ280" s="1144"/>
      <c r="AZR280" s="1144"/>
      <c r="AZS280" s="1144"/>
      <c r="AZT280" s="1144"/>
      <c r="AZU280" s="1144"/>
      <c r="AZV280" s="1144"/>
      <c r="AZW280" s="1144"/>
      <c r="AZX280" s="1144"/>
      <c r="AZY280" s="1144"/>
      <c r="AZZ280" s="1144"/>
      <c r="BAA280" s="1144"/>
      <c r="BAB280" s="1144"/>
      <c r="BAC280" s="1144"/>
      <c r="BAD280" s="1144"/>
      <c r="BAE280" s="1144"/>
      <c r="BAF280" s="1144"/>
      <c r="BAG280" s="1144"/>
      <c r="BAH280" s="1144"/>
      <c r="BAI280" s="1144"/>
      <c r="BAJ280" s="1144"/>
      <c r="BAK280" s="1144"/>
      <c r="BAL280" s="1144"/>
      <c r="BAM280" s="1144"/>
      <c r="BAN280" s="1144"/>
      <c r="BAO280" s="1144"/>
      <c r="BAP280" s="1144"/>
      <c r="BAQ280" s="1144"/>
      <c r="BAR280" s="1144"/>
      <c r="BAS280" s="1144"/>
      <c r="BAT280" s="1144"/>
      <c r="BAU280" s="1144"/>
      <c r="BAV280" s="1144"/>
      <c r="BAW280" s="1144"/>
      <c r="BAX280" s="1144"/>
      <c r="BAY280" s="1144"/>
      <c r="BAZ280" s="1144"/>
      <c r="BBA280" s="1144"/>
      <c r="BBB280" s="1144"/>
      <c r="BBC280" s="1144"/>
      <c r="BBD280" s="1144"/>
      <c r="BBE280" s="1144"/>
      <c r="BBF280" s="1144"/>
      <c r="BBG280" s="1144"/>
      <c r="BBH280" s="1144"/>
      <c r="BBI280" s="1144"/>
      <c r="BBJ280" s="1144"/>
      <c r="BBK280" s="1144"/>
      <c r="BBL280" s="1144"/>
      <c r="BBM280" s="1144"/>
      <c r="BBN280" s="1144"/>
      <c r="BBO280" s="1144"/>
      <c r="BBP280" s="1144"/>
      <c r="BBQ280" s="1144"/>
      <c r="BBR280" s="1144"/>
      <c r="BBS280" s="1144"/>
      <c r="BBT280" s="1144"/>
      <c r="BBU280" s="1144"/>
      <c r="BBV280" s="1144"/>
      <c r="BBW280" s="1144"/>
      <c r="BBX280" s="1144"/>
      <c r="BBY280" s="1144"/>
      <c r="BBZ280" s="1144"/>
      <c r="BCA280" s="1144"/>
      <c r="BCB280" s="1144"/>
      <c r="BCC280" s="1144"/>
      <c r="BCD280" s="1144"/>
      <c r="BCE280" s="1144"/>
      <c r="BCF280" s="1144"/>
      <c r="BCG280" s="1144"/>
      <c r="BCH280" s="1144"/>
      <c r="BCI280" s="1144"/>
      <c r="BCJ280" s="1144"/>
      <c r="BCK280" s="1144"/>
      <c r="BCL280" s="1144"/>
      <c r="BCM280" s="1144"/>
      <c r="BCN280" s="1144"/>
      <c r="BCO280" s="1144"/>
      <c r="BCP280" s="1144"/>
      <c r="BCQ280" s="1144"/>
      <c r="BCR280" s="1144"/>
      <c r="BCS280" s="1144"/>
      <c r="BCT280" s="1144"/>
      <c r="BCU280" s="1144"/>
      <c r="BCV280" s="1144"/>
      <c r="BCW280" s="1144"/>
      <c r="BCX280" s="1144"/>
      <c r="BCY280" s="1144"/>
      <c r="BCZ280" s="1144"/>
      <c r="BDA280" s="1144"/>
      <c r="BDB280" s="1144"/>
      <c r="BDC280" s="1144"/>
      <c r="BDD280" s="1144"/>
      <c r="BDE280" s="1144"/>
      <c r="BDF280" s="1144"/>
      <c r="BDG280" s="1144"/>
      <c r="BDH280" s="1144"/>
      <c r="BDI280" s="1144"/>
      <c r="BDJ280" s="1144"/>
      <c r="BDK280" s="1144"/>
      <c r="BDL280" s="1144"/>
      <c r="BDM280" s="1144"/>
      <c r="BDN280" s="1144"/>
      <c r="BDO280" s="1144"/>
      <c r="BDP280" s="1144"/>
      <c r="BDQ280" s="1144"/>
      <c r="BDR280" s="1144"/>
      <c r="BDS280" s="1144"/>
      <c r="BDT280" s="1144"/>
      <c r="BDU280" s="1144"/>
      <c r="BDV280" s="1144"/>
      <c r="BDW280" s="1144"/>
      <c r="BDX280" s="1144"/>
      <c r="BDY280" s="1144"/>
      <c r="BDZ280" s="1144"/>
      <c r="BEA280" s="1144"/>
      <c r="BEB280" s="1144"/>
      <c r="BEC280" s="1144"/>
      <c r="BED280" s="1144"/>
      <c r="BEE280" s="1144"/>
      <c r="BEF280" s="1144"/>
      <c r="BEG280" s="1144"/>
      <c r="BEH280" s="1144"/>
      <c r="BEI280" s="1144"/>
      <c r="BEJ280" s="1144"/>
      <c r="BEK280" s="1144"/>
      <c r="BEL280" s="1144"/>
      <c r="BEM280" s="1144"/>
      <c r="BEN280" s="1144"/>
      <c r="BEO280" s="1144"/>
      <c r="BEP280" s="1144"/>
      <c r="BEQ280" s="1144"/>
      <c r="BER280" s="1144"/>
      <c r="BES280" s="1144"/>
      <c r="BET280" s="1144"/>
      <c r="BEU280" s="1144"/>
      <c r="BEV280" s="1144"/>
      <c r="BEW280" s="1144"/>
      <c r="BEX280" s="1144"/>
      <c r="BEY280" s="1144"/>
      <c r="BEZ280" s="1144"/>
      <c r="BFA280" s="1144"/>
      <c r="BFB280" s="1144"/>
      <c r="BFC280" s="1144"/>
      <c r="BFD280" s="1144"/>
      <c r="BFE280" s="1144"/>
      <c r="BFF280" s="1144"/>
      <c r="BFG280" s="1144"/>
      <c r="BFH280" s="1144"/>
      <c r="BFI280" s="1144"/>
      <c r="BFJ280" s="1144"/>
      <c r="BFK280" s="1144"/>
      <c r="BFL280" s="1144"/>
      <c r="BFM280" s="1144"/>
      <c r="BFN280" s="1144"/>
      <c r="BFO280" s="1144"/>
      <c r="BFP280" s="1144"/>
      <c r="BFQ280" s="1144"/>
      <c r="BFR280" s="1144"/>
      <c r="BFS280" s="1144"/>
      <c r="BFT280" s="1144"/>
      <c r="BFU280" s="1144"/>
      <c r="BFV280" s="1144"/>
      <c r="BFW280" s="1144"/>
      <c r="BFX280" s="1144"/>
      <c r="BFY280" s="1144"/>
      <c r="BFZ280" s="1144"/>
      <c r="BGA280" s="1144"/>
      <c r="BGB280" s="1144"/>
      <c r="BGC280" s="1144"/>
      <c r="BGD280" s="1144"/>
      <c r="BGE280" s="1144"/>
      <c r="BGF280" s="1144"/>
      <c r="BGG280" s="1144"/>
      <c r="BGH280" s="1144"/>
      <c r="BGI280" s="1144"/>
      <c r="BGJ280" s="1144"/>
      <c r="BGK280" s="1144"/>
      <c r="BGL280" s="1144"/>
      <c r="BGM280" s="1144"/>
      <c r="BGN280" s="1144"/>
      <c r="BGO280" s="1144"/>
      <c r="BGP280" s="1144"/>
      <c r="BGQ280" s="1144"/>
      <c r="BGR280" s="1144"/>
      <c r="BGS280" s="1144"/>
      <c r="BGT280" s="1144"/>
      <c r="BGU280" s="1144"/>
      <c r="BGV280" s="1144"/>
      <c r="BGW280" s="1144"/>
      <c r="BGX280" s="1144"/>
      <c r="BGY280" s="1144"/>
      <c r="BGZ280" s="1144"/>
      <c r="BHA280" s="1144"/>
      <c r="BHB280" s="1144"/>
      <c r="BHC280" s="1144"/>
      <c r="BHD280" s="1144"/>
      <c r="BHE280" s="1144"/>
      <c r="BHF280" s="1144"/>
      <c r="BHG280" s="1144"/>
      <c r="BHH280" s="1144"/>
      <c r="BHI280" s="1144"/>
      <c r="BHJ280" s="1144"/>
      <c r="BHK280" s="1144"/>
      <c r="BHL280" s="1144"/>
      <c r="BHM280" s="1144"/>
      <c r="BHN280" s="1144"/>
      <c r="BHO280" s="1144"/>
      <c r="BHP280" s="1144"/>
      <c r="BHQ280" s="1144"/>
      <c r="BHR280" s="1144"/>
      <c r="BHS280" s="1144"/>
      <c r="BHT280" s="1144"/>
      <c r="BHU280" s="1144"/>
      <c r="BHV280" s="1144"/>
      <c r="BHW280" s="1144"/>
      <c r="BHX280" s="1144"/>
      <c r="BHY280" s="1144"/>
      <c r="BHZ280" s="1144"/>
      <c r="BIA280" s="1144"/>
      <c r="BIB280" s="1144"/>
      <c r="BIC280" s="1144"/>
      <c r="BID280" s="1144"/>
      <c r="BIE280" s="1144"/>
      <c r="BIF280" s="1144"/>
      <c r="BIG280" s="1144"/>
      <c r="BIH280" s="1144"/>
      <c r="BII280" s="1144"/>
      <c r="BIJ280" s="1144"/>
      <c r="BIK280" s="1144"/>
      <c r="BIL280" s="1144"/>
      <c r="BIM280" s="1144"/>
      <c r="BIN280" s="1144"/>
      <c r="BIO280" s="1144"/>
      <c r="BIP280" s="1144"/>
      <c r="BIQ280" s="1144"/>
      <c r="BIR280" s="1144"/>
      <c r="BIS280" s="1144"/>
      <c r="BIT280" s="1144"/>
      <c r="BIU280" s="1144"/>
      <c r="BIV280" s="1144"/>
      <c r="BIW280" s="1144"/>
      <c r="BIX280" s="1144"/>
      <c r="BIY280" s="1144"/>
      <c r="BIZ280" s="1144"/>
      <c r="BJA280" s="1144"/>
      <c r="BJB280" s="1144"/>
      <c r="BJC280" s="1144"/>
      <c r="BJD280" s="1144"/>
      <c r="BJE280" s="1144"/>
      <c r="BJF280" s="1144"/>
      <c r="BJG280" s="1144"/>
      <c r="BJH280" s="1144"/>
      <c r="BJI280" s="1144"/>
      <c r="BJJ280" s="1144"/>
      <c r="BJK280" s="1144"/>
      <c r="BJL280" s="1144"/>
      <c r="BJM280" s="1144"/>
      <c r="BJN280" s="1144"/>
      <c r="BJO280" s="1144"/>
      <c r="BJP280" s="1144"/>
      <c r="BJQ280" s="1144"/>
      <c r="BJR280" s="1144"/>
      <c r="BJS280" s="1144"/>
      <c r="BJT280" s="1144"/>
      <c r="BJU280" s="1144"/>
      <c r="BJV280" s="1144"/>
      <c r="BJW280" s="1144"/>
      <c r="BJX280" s="1144"/>
      <c r="BJY280" s="1144"/>
      <c r="BJZ280" s="1144"/>
      <c r="BKA280" s="1144"/>
      <c r="BKB280" s="1144"/>
      <c r="BKC280" s="1144"/>
      <c r="BKD280" s="1144"/>
      <c r="BKE280" s="1144"/>
      <c r="BKF280" s="1144"/>
      <c r="BKG280" s="1144"/>
      <c r="BKH280" s="1144"/>
      <c r="BKI280" s="1144"/>
      <c r="BKJ280" s="1144"/>
      <c r="BKK280" s="1144"/>
      <c r="BKL280" s="1144"/>
      <c r="BKM280" s="1144"/>
      <c r="BKN280" s="1144"/>
      <c r="BKO280" s="1144"/>
      <c r="BKP280" s="1144"/>
      <c r="BKQ280" s="1144"/>
      <c r="BKR280" s="1144"/>
      <c r="BKS280" s="1144"/>
      <c r="BKT280" s="1144"/>
      <c r="BKU280" s="1144"/>
      <c r="BKV280" s="1144"/>
      <c r="BKW280" s="1144"/>
      <c r="BKX280" s="1144"/>
      <c r="BKY280" s="1144"/>
      <c r="BKZ280" s="1144"/>
      <c r="BLA280" s="1144"/>
      <c r="BLB280" s="1144"/>
      <c r="BLC280" s="1144"/>
      <c r="BLD280" s="1144"/>
      <c r="BLE280" s="1144"/>
      <c r="BLF280" s="1144"/>
      <c r="BLG280" s="1144"/>
      <c r="BLH280" s="1144"/>
      <c r="BLI280" s="1144"/>
      <c r="BLJ280" s="1144"/>
      <c r="BLK280" s="1144"/>
      <c r="BLL280" s="1144"/>
      <c r="BLM280" s="1144"/>
      <c r="BLN280" s="1144"/>
      <c r="BLO280" s="1144"/>
      <c r="BLP280" s="1144"/>
      <c r="BLQ280" s="1144"/>
      <c r="BLR280" s="1144"/>
      <c r="BLS280" s="1144"/>
      <c r="BLT280" s="1144"/>
      <c r="BLU280" s="1144"/>
      <c r="BLV280" s="1144"/>
      <c r="BLW280" s="1144"/>
      <c r="BLX280" s="1144"/>
      <c r="BLY280" s="1144"/>
      <c r="BLZ280" s="1144"/>
      <c r="BMA280" s="1144"/>
      <c r="BMB280" s="1144"/>
      <c r="BMC280" s="1144"/>
      <c r="BMD280" s="1144"/>
      <c r="BME280" s="1144"/>
      <c r="BMF280" s="1144"/>
      <c r="BMG280" s="1144"/>
      <c r="BMH280" s="1144"/>
      <c r="BMI280" s="1144"/>
      <c r="BMJ280" s="1144"/>
      <c r="BMK280" s="1144"/>
      <c r="BML280" s="1144"/>
      <c r="BMM280" s="1144"/>
      <c r="BMN280" s="1144"/>
      <c r="BMO280" s="1144"/>
      <c r="BMP280" s="1144"/>
      <c r="BMQ280" s="1144"/>
      <c r="BMR280" s="1144"/>
      <c r="BMS280" s="1144"/>
      <c r="BMT280" s="1144"/>
      <c r="BMU280" s="1144"/>
      <c r="BMV280" s="1144"/>
      <c r="BMW280" s="1144"/>
      <c r="BMX280" s="1144"/>
      <c r="BMY280" s="1144"/>
      <c r="BMZ280" s="1144"/>
      <c r="BNA280" s="1144"/>
      <c r="BNB280" s="1144"/>
      <c r="BNC280" s="1144"/>
      <c r="BND280" s="1144"/>
      <c r="BNE280" s="1144"/>
      <c r="BNF280" s="1144"/>
      <c r="BNG280" s="1144"/>
      <c r="BNH280" s="1144"/>
      <c r="BNI280" s="1144"/>
      <c r="BNJ280" s="1144"/>
      <c r="BNK280" s="1144"/>
      <c r="BNL280" s="1144"/>
      <c r="BNM280" s="1144"/>
      <c r="BNN280" s="1144"/>
      <c r="BNO280" s="1144"/>
      <c r="BNP280" s="1144"/>
      <c r="BNQ280" s="1144"/>
      <c r="BNR280" s="1144"/>
      <c r="BNS280" s="1144"/>
      <c r="BNT280" s="1144"/>
      <c r="BNU280" s="1144"/>
      <c r="BNV280" s="1144"/>
      <c r="BNW280" s="1144"/>
      <c r="BNX280" s="1144"/>
      <c r="BNY280" s="1144"/>
      <c r="BNZ280" s="1144"/>
      <c r="BOA280" s="1144"/>
      <c r="BOB280" s="1144"/>
      <c r="BOC280" s="1144"/>
      <c r="BOD280" s="1144"/>
      <c r="BOE280" s="1144"/>
      <c r="BOF280" s="1144"/>
      <c r="BOG280" s="1144"/>
      <c r="BOH280" s="1144"/>
      <c r="BOI280" s="1144"/>
      <c r="BOJ280" s="1144"/>
      <c r="BOK280" s="1144"/>
      <c r="BOL280" s="1144"/>
      <c r="BOM280" s="1144"/>
      <c r="BON280" s="1144"/>
      <c r="BOO280" s="1144"/>
      <c r="BOP280" s="1144"/>
      <c r="BOQ280" s="1144"/>
      <c r="BOR280" s="1144"/>
      <c r="BOS280" s="1144"/>
      <c r="BOT280" s="1144"/>
      <c r="BOU280" s="1144"/>
      <c r="BOV280" s="1144"/>
      <c r="BOW280" s="1144"/>
      <c r="BOX280" s="1144"/>
      <c r="BOY280" s="1144"/>
      <c r="BOZ280" s="1144"/>
      <c r="BPA280" s="1144"/>
      <c r="BPB280" s="1144"/>
      <c r="BPC280" s="1144"/>
      <c r="BPD280" s="1144"/>
      <c r="BPE280" s="1144"/>
      <c r="BPF280" s="1144"/>
      <c r="BPG280" s="1144"/>
      <c r="BPH280" s="1144"/>
      <c r="BPI280" s="1144"/>
      <c r="BPJ280" s="1144"/>
      <c r="BPK280" s="1144"/>
      <c r="BPL280" s="1144"/>
      <c r="BPM280" s="1144"/>
      <c r="BPN280" s="1144"/>
      <c r="BPO280" s="1144"/>
      <c r="BPP280" s="1144"/>
      <c r="BPQ280" s="1144"/>
      <c r="BPR280" s="1144"/>
      <c r="BPS280" s="1144"/>
      <c r="BPT280" s="1144"/>
      <c r="BPU280" s="1144"/>
      <c r="BPV280" s="1144"/>
      <c r="BPW280" s="1144"/>
      <c r="BPX280" s="1144"/>
      <c r="BPY280" s="1144"/>
      <c r="BPZ280" s="1144"/>
      <c r="BQA280" s="1144"/>
      <c r="BQB280" s="1144"/>
      <c r="BQC280" s="1144"/>
      <c r="BQD280" s="1144"/>
      <c r="BQE280" s="1144"/>
      <c r="BQF280" s="1144"/>
      <c r="BQG280" s="1144"/>
      <c r="BQH280" s="1144"/>
      <c r="BQI280" s="1144"/>
      <c r="BQJ280" s="1144"/>
      <c r="BQK280" s="1144"/>
      <c r="BQL280" s="1144"/>
      <c r="BQM280" s="1144"/>
      <c r="BQN280" s="1144"/>
      <c r="BQO280" s="1144"/>
      <c r="BQP280" s="1144"/>
      <c r="BQQ280" s="1144"/>
      <c r="BQR280" s="1144"/>
      <c r="BQS280" s="1144"/>
      <c r="BQT280" s="1144"/>
      <c r="BQU280" s="1144"/>
      <c r="BQV280" s="1144"/>
      <c r="BQW280" s="1144"/>
      <c r="BQX280" s="1144"/>
      <c r="BQY280" s="1144"/>
      <c r="BQZ280" s="1144"/>
      <c r="BRA280" s="1144"/>
      <c r="BRB280" s="1144"/>
      <c r="BRC280" s="1144"/>
      <c r="BRD280" s="1144"/>
      <c r="BRE280" s="1144"/>
      <c r="BRF280" s="1144"/>
      <c r="BRG280" s="1144"/>
      <c r="BRH280" s="1144"/>
      <c r="BRI280" s="1144"/>
      <c r="BRJ280" s="1144"/>
      <c r="BRK280" s="1144"/>
      <c r="BRL280" s="1144"/>
      <c r="BRM280" s="1144"/>
      <c r="BRN280" s="1144"/>
      <c r="BRO280" s="1144"/>
      <c r="BRP280" s="1144"/>
      <c r="BRQ280" s="1144"/>
      <c r="BRR280" s="1144"/>
      <c r="BRS280" s="1144"/>
      <c r="BRT280" s="1144"/>
      <c r="BRU280" s="1144"/>
      <c r="BRV280" s="1144"/>
      <c r="BRW280" s="1144"/>
      <c r="BRX280" s="1144"/>
      <c r="BRY280" s="1144"/>
      <c r="BRZ280" s="1144"/>
      <c r="BSA280" s="1144"/>
      <c r="BSB280" s="1144"/>
      <c r="BSC280" s="1144"/>
      <c r="BSD280" s="1144"/>
      <c r="BSE280" s="1144"/>
      <c r="BSF280" s="1144"/>
      <c r="BSG280" s="1144"/>
      <c r="BSH280" s="1144"/>
      <c r="BSI280" s="1144"/>
      <c r="BSJ280" s="1144"/>
      <c r="BSK280" s="1144"/>
      <c r="BSL280" s="1144"/>
      <c r="BSM280" s="1144"/>
      <c r="BSN280" s="1144"/>
      <c r="BSO280" s="1144"/>
      <c r="BSP280" s="1144"/>
      <c r="BSQ280" s="1144"/>
      <c r="BSR280" s="1144"/>
      <c r="BSS280" s="1144"/>
      <c r="BST280" s="1144"/>
      <c r="BSU280" s="1144"/>
      <c r="BSV280" s="1144"/>
      <c r="BSW280" s="1144"/>
      <c r="BSX280" s="1144"/>
      <c r="BSY280" s="1144"/>
      <c r="BSZ280" s="1144"/>
      <c r="BTA280" s="1144"/>
      <c r="BTB280" s="1144"/>
      <c r="BTC280" s="1144"/>
      <c r="BTD280" s="1144"/>
      <c r="BTE280" s="1144"/>
      <c r="BTF280" s="1144"/>
      <c r="BTG280" s="1144"/>
      <c r="BTH280" s="1144"/>
      <c r="BTI280" s="1144"/>
      <c r="BTJ280" s="1144"/>
      <c r="BTK280" s="1144"/>
      <c r="BTL280" s="1144"/>
      <c r="BTM280" s="1144"/>
      <c r="BTN280" s="1144"/>
      <c r="BTO280" s="1144"/>
      <c r="BTP280" s="1144"/>
      <c r="BTQ280" s="1144"/>
      <c r="BTR280" s="1144"/>
      <c r="BTS280" s="1144"/>
      <c r="BTT280" s="1144"/>
      <c r="BTU280" s="1144"/>
      <c r="BTV280" s="1144"/>
      <c r="BTW280" s="1144"/>
      <c r="BTX280" s="1144"/>
      <c r="BTY280" s="1144"/>
      <c r="BTZ280" s="1144"/>
      <c r="BUA280" s="1144"/>
      <c r="BUB280" s="1144"/>
      <c r="BUC280" s="1144"/>
      <c r="BUD280" s="1144"/>
      <c r="BUE280" s="1144"/>
      <c r="BUF280" s="1144"/>
      <c r="BUG280" s="1144"/>
      <c r="BUH280" s="1144"/>
      <c r="BUI280" s="1144"/>
      <c r="BUJ280" s="1144"/>
      <c r="BUK280" s="1144"/>
      <c r="BUL280" s="1144"/>
      <c r="BUM280" s="1144"/>
      <c r="BUN280" s="1144"/>
      <c r="BUO280" s="1144"/>
      <c r="BUP280" s="1144"/>
      <c r="BUQ280" s="1144"/>
      <c r="BUR280" s="1144"/>
      <c r="BUS280" s="1144"/>
      <c r="BUT280" s="1144"/>
      <c r="BUU280" s="1144"/>
      <c r="BUV280" s="1144"/>
      <c r="BUW280" s="1144"/>
      <c r="BUX280" s="1144"/>
      <c r="BUY280" s="1144"/>
      <c r="BUZ280" s="1144"/>
      <c r="BVA280" s="1144"/>
      <c r="BVB280" s="1144"/>
      <c r="BVC280" s="1144"/>
      <c r="BVD280" s="1144"/>
      <c r="BVE280" s="1144"/>
      <c r="BVF280" s="1144"/>
      <c r="BVG280" s="1144"/>
      <c r="BVH280" s="1144"/>
      <c r="BVI280" s="1144"/>
      <c r="BVJ280" s="1144"/>
      <c r="BVK280" s="1144"/>
      <c r="BVL280" s="1144"/>
      <c r="BVM280" s="1144"/>
      <c r="BVN280" s="1144"/>
      <c r="BVO280" s="1144"/>
      <c r="BVP280" s="1144"/>
      <c r="BVQ280" s="1144"/>
      <c r="BVR280" s="1144"/>
      <c r="BVS280" s="1144"/>
      <c r="BVT280" s="1144"/>
      <c r="BVU280" s="1144"/>
      <c r="BVV280" s="1144"/>
      <c r="BVW280" s="1144"/>
      <c r="BVX280" s="1144"/>
      <c r="BVY280" s="1144"/>
      <c r="BVZ280" s="1144"/>
      <c r="BWA280" s="1144"/>
      <c r="BWB280" s="1144"/>
      <c r="BWC280" s="1144"/>
      <c r="BWD280" s="1144"/>
      <c r="BWE280" s="1144"/>
      <c r="BWF280" s="1144"/>
      <c r="BWG280" s="1144"/>
      <c r="BWH280" s="1144"/>
      <c r="BWI280" s="1144"/>
      <c r="BWJ280" s="1144"/>
      <c r="BWK280" s="1144"/>
      <c r="BWL280" s="1144"/>
      <c r="BWM280" s="1144"/>
      <c r="BWN280" s="1144"/>
      <c r="BWO280" s="1144"/>
      <c r="BWP280" s="1144"/>
      <c r="BWQ280" s="1144"/>
      <c r="BWR280" s="1144"/>
      <c r="BWS280" s="1144"/>
      <c r="BWT280" s="1144"/>
      <c r="BWU280" s="1144"/>
      <c r="BWV280" s="1144"/>
      <c r="BWW280" s="1144"/>
      <c r="BWX280" s="1144"/>
      <c r="BWY280" s="1144"/>
      <c r="BWZ280" s="1144"/>
      <c r="BXA280" s="1144"/>
      <c r="BXB280" s="1144"/>
      <c r="BXC280" s="1144"/>
      <c r="BXD280" s="1144"/>
      <c r="BXE280" s="1144"/>
      <c r="BXF280" s="1144"/>
      <c r="BXG280" s="1144"/>
      <c r="BXH280" s="1144"/>
      <c r="BXI280" s="1144"/>
      <c r="BXJ280" s="1144"/>
      <c r="BXK280" s="1144"/>
      <c r="BXL280" s="1144"/>
      <c r="BXM280" s="1144"/>
      <c r="BXN280" s="1144"/>
      <c r="BXO280" s="1144"/>
      <c r="BXP280" s="1144"/>
      <c r="BXQ280" s="1144"/>
      <c r="BXR280" s="1144"/>
      <c r="BXS280" s="1144"/>
      <c r="BXT280" s="1144"/>
      <c r="BXU280" s="1144"/>
      <c r="BXV280" s="1144"/>
      <c r="BXW280" s="1144"/>
      <c r="BXX280" s="1144"/>
      <c r="BXY280" s="1144"/>
      <c r="BXZ280" s="1144"/>
      <c r="BYA280" s="1144"/>
      <c r="BYB280" s="1144"/>
      <c r="BYC280" s="1144"/>
      <c r="BYD280" s="1144"/>
      <c r="BYE280" s="1144"/>
      <c r="BYF280" s="1144"/>
      <c r="BYG280" s="1144"/>
      <c r="BYH280" s="1144"/>
      <c r="BYI280" s="1144"/>
      <c r="BYJ280" s="1144"/>
      <c r="BYK280" s="1144"/>
      <c r="BYL280" s="1144"/>
      <c r="BYM280" s="1144"/>
      <c r="BYN280" s="1144"/>
      <c r="BYO280" s="1144"/>
      <c r="BYP280" s="1144"/>
      <c r="BYQ280" s="1144"/>
      <c r="BYR280" s="1144"/>
      <c r="BYS280" s="1144"/>
      <c r="BYT280" s="1144"/>
      <c r="BYU280" s="1144"/>
      <c r="BYV280" s="1144"/>
      <c r="BYW280" s="1144"/>
      <c r="BYX280" s="1144"/>
      <c r="BYY280" s="1144"/>
      <c r="BYZ280" s="1144"/>
      <c r="BZA280" s="1144"/>
      <c r="BZB280" s="1144"/>
      <c r="BZC280" s="1144"/>
      <c r="BZD280" s="1144"/>
      <c r="BZE280" s="1144"/>
      <c r="BZF280" s="1144"/>
      <c r="BZG280" s="1144"/>
      <c r="BZH280" s="1144"/>
      <c r="BZI280" s="1144"/>
      <c r="BZJ280" s="1144"/>
      <c r="BZK280" s="1144"/>
      <c r="BZL280" s="1144"/>
      <c r="BZM280" s="1144"/>
      <c r="BZN280" s="1144"/>
      <c r="BZO280" s="1144"/>
      <c r="BZP280" s="1144"/>
      <c r="BZQ280" s="1144"/>
      <c r="BZR280" s="1144"/>
      <c r="BZS280" s="1144"/>
      <c r="BZT280" s="1144"/>
      <c r="BZU280" s="1144"/>
      <c r="BZV280" s="1144"/>
      <c r="BZW280" s="1144"/>
      <c r="BZX280" s="1144"/>
      <c r="BZY280" s="1144"/>
      <c r="BZZ280" s="1144"/>
      <c r="CAA280" s="1144"/>
      <c r="CAB280" s="1144"/>
      <c r="CAC280" s="1144"/>
      <c r="CAD280" s="1144"/>
      <c r="CAE280" s="1144"/>
      <c r="CAF280" s="1144"/>
      <c r="CAG280" s="1144"/>
      <c r="CAH280" s="1144"/>
      <c r="CAI280" s="1144"/>
      <c r="CAJ280" s="1144"/>
      <c r="CAK280" s="1144"/>
      <c r="CAL280" s="1144"/>
      <c r="CAM280" s="1144"/>
      <c r="CAN280" s="1144"/>
      <c r="CAO280" s="1144"/>
      <c r="CAP280" s="1144"/>
      <c r="CAQ280" s="1144"/>
      <c r="CAR280" s="1144"/>
      <c r="CAS280" s="1144"/>
      <c r="CAT280" s="1144"/>
      <c r="CAU280" s="1144"/>
      <c r="CAV280" s="1144"/>
      <c r="CAW280" s="1144"/>
      <c r="CAX280" s="1144"/>
      <c r="CAY280" s="1144"/>
      <c r="CAZ280" s="1144"/>
      <c r="CBA280" s="1144"/>
      <c r="CBB280" s="1144"/>
      <c r="CBC280" s="1144"/>
      <c r="CBD280" s="1144"/>
      <c r="CBE280" s="1144"/>
      <c r="CBF280" s="1144"/>
      <c r="CBG280" s="1144"/>
      <c r="CBH280" s="1144"/>
      <c r="CBI280" s="1144"/>
      <c r="CBJ280" s="1144"/>
      <c r="CBK280" s="1144"/>
      <c r="CBL280" s="1144"/>
      <c r="CBM280" s="1144"/>
      <c r="CBN280" s="1144"/>
      <c r="CBO280" s="1144"/>
      <c r="CBP280" s="1144"/>
      <c r="CBQ280" s="1144"/>
      <c r="CBR280" s="1144"/>
      <c r="CBS280" s="1144"/>
      <c r="CBT280" s="1144"/>
      <c r="CBU280" s="1144"/>
      <c r="CBV280" s="1144"/>
      <c r="CBW280" s="1144"/>
      <c r="CBX280" s="1144"/>
      <c r="CBY280" s="1144"/>
      <c r="CBZ280" s="1144"/>
      <c r="CCA280" s="1144"/>
      <c r="CCB280" s="1144"/>
      <c r="CCC280" s="1144"/>
      <c r="CCD280" s="1144"/>
      <c r="CCE280" s="1144"/>
      <c r="CCF280" s="1144"/>
      <c r="CCG280" s="1144"/>
      <c r="CCH280" s="1144"/>
      <c r="CCI280" s="1144"/>
      <c r="CCJ280" s="1144"/>
      <c r="CCK280" s="1144"/>
      <c r="CCL280" s="1144"/>
      <c r="CCM280" s="1144"/>
      <c r="CCN280" s="1144"/>
      <c r="CCO280" s="1144"/>
      <c r="CCP280" s="1144"/>
      <c r="CCQ280" s="1144"/>
      <c r="CCR280" s="1144"/>
      <c r="CCS280" s="1144"/>
      <c r="CCT280" s="1144"/>
      <c r="CCU280" s="1144"/>
      <c r="CCV280" s="1144"/>
      <c r="CCW280" s="1144"/>
      <c r="CCX280" s="1144"/>
      <c r="CCY280" s="1144"/>
      <c r="CCZ280" s="1144"/>
      <c r="CDA280" s="1144"/>
      <c r="CDB280" s="1144"/>
      <c r="CDC280" s="1144"/>
      <c r="CDD280" s="1144"/>
      <c r="CDE280" s="1144"/>
      <c r="CDF280" s="1144"/>
      <c r="CDG280" s="1144"/>
      <c r="CDH280" s="1144"/>
      <c r="CDI280" s="1144"/>
      <c r="CDJ280" s="1144"/>
      <c r="CDK280" s="1144"/>
      <c r="CDL280" s="1144"/>
      <c r="CDM280" s="1144"/>
      <c r="CDN280" s="1144"/>
      <c r="CDO280" s="1144"/>
      <c r="CDP280" s="1144"/>
      <c r="CDQ280" s="1144"/>
      <c r="CDR280" s="1144"/>
      <c r="CDS280" s="1144"/>
      <c r="CDT280" s="1144"/>
      <c r="CDU280" s="1144"/>
      <c r="CDV280" s="1144"/>
      <c r="CDW280" s="1144"/>
      <c r="CDX280" s="1144"/>
      <c r="CDY280" s="1144"/>
      <c r="CDZ280" s="1144"/>
      <c r="CEA280" s="1144"/>
      <c r="CEB280" s="1144"/>
      <c r="CEC280" s="1144"/>
      <c r="CED280" s="1144"/>
      <c r="CEE280" s="1144"/>
      <c r="CEF280" s="1144"/>
      <c r="CEG280" s="1144"/>
      <c r="CEH280" s="1144"/>
      <c r="CEI280" s="1144"/>
      <c r="CEJ280" s="1144"/>
      <c r="CEK280" s="1144"/>
      <c r="CEL280" s="1144"/>
      <c r="CEM280" s="1144"/>
      <c r="CEN280" s="1144"/>
      <c r="CEO280" s="1144"/>
      <c r="CEP280" s="1144"/>
      <c r="CEQ280" s="1144"/>
      <c r="CER280" s="1144"/>
      <c r="CES280" s="1144"/>
      <c r="CET280" s="1144"/>
      <c r="CEU280" s="1144"/>
      <c r="CEV280" s="1144"/>
      <c r="CEW280" s="1144"/>
      <c r="CEX280" s="1144"/>
      <c r="CEY280" s="1144"/>
      <c r="CEZ280" s="1144"/>
      <c r="CFA280" s="1144"/>
      <c r="CFB280" s="1144"/>
      <c r="CFC280" s="1144"/>
      <c r="CFD280" s="1144"/>
      <c r="CFE280" s="1144"/>
      <c r="CFF280" s="1144"/>
      <c r="CFG280" s="1144"/>
      <c r="CFH280" s="1144"/>
      <c r="CFI280" s="1144"/>
      <c r="CFJ280" s="1144"/>
      <c r="CFK280" s="1144"/>
      <c r="CFL280" s="1144"/>
      <c r="CFM280" s="1144"/>
      <c r="CFN280" s="1144"/>
      <c r="CFO280" s="1144"/>
      <c r="CFP280" s="1144"/>
      <c r="CFQ280" s="1144"/>
      <c r="CFR280" s="1144"/>
      <c r="CFS280" s="1144"/>
      <c r="CFT280" s="1144"/>
      <c r="CFU280" s="1144"/>
      <c r="CFV280" s="1144"/>
      <c r="CFW280" s="1144"/>
      <c r="CFX280" s="1144"/>
      <c r="CFY280" s="1144"/>
      <c r="CFZ280" s="1144"/>
      <c r="CGA280" s="1144"/>
      <c r="CGB280" s="1144"/>
      <c r="CGC280" s="1144"/>
      <c r="CGD280" s="1144"/>
      <c r="CGE280" s="1144"/>
      <c r="CGF280" s="1144"/>
      <c r="CGG280" s="1144"/>
      <c r="CGH280" s="1144"/>
      <c r="CGI280" s="1144"/>
      <c r="CGJ280" s="1144"/>
      <c r="CGK280" s="1144"/>
      <c r="CGL280" s="1144"/>
      <c r="CGM280" s="1144"/>
      <c r="CGN280" s="1144"/>
      <c r="CGO280" s="1144"/>
      <c r="CGP280" s="1144"/>
      <c r="CGQ280" s="1144"/>
      <c r="CGR280" s="1144"/>
      <c r="CGS280" s="1144"/>
      <c r="CGT280" s="1144"/>
      <c r="CGU280" s="1144"/>
      <c r="CGV280" s="1144"/>
      <c r="CGW280" s="1144"/>
      <c r="CGX280" s="1144"/>
      <c r="CGY280" s="1144"/>
      <c r="CGZ280" s="1144"/>
      <c r="CHA280" s="1144"/>
      <c r="CHB280" s="1144"/>
      <c r="CHC280" s="1144"/>
      <c r="CHD280" s="1144"/>
      <c r="CHE280" s="1144"/>
      <c r="CHF280" s="1144"/>
      <c r="CHG280" s="1144"/>
      <c r="CHH280" s="1144"/>
      <c r="CHI280" s="1144"/>
      <c r="CHJ280" s="1144"/>
      <c r="CHK280" s="1144"/>
      <c r="CHL280" s="1144"/>
      <c r="CHM280" s="1144"/>
      <c r="CHN280" s="1144"/>
      <c r="CHO280" s="1144"/>
      <c r="CHP280" s="1144"/>
      <c r="CHQ280" s="1144"/>
      <c r="CHR280" s="1144"/>
      <c r="CHS280" s="1144"/>
      <c r="CHT280" s="1144"/>
      <c r="CHU280" s="1144"/>
      <c r="CHV280" s="1144"/>
      <c r="CHW280" s="1144"/>
      <c r="CHX280" s="1144"/>
      <c r="CHY280" s="1144"/>
      <c r="CHZ280" s="1144"/>
      <c r="CIA280" s="1144"/>
      <c r="CIB280" s="1144"/>
      <c r="CIC280" s="1144"/>
      <c r="CID280" s="1144"/>
      <c r="CIE280" s="1144"/>
      <c r="CIF280" s="1144"/>
      <c r="CIG280" s="1144"/>
      <c r="CIH280" s="1144"/>
      <c r="CII280" s="1144"/>
      <c r="CIJ280" s="1144"/>
      <c r="CIK280" s="1144"/>
      <c r="CIL280" s="1144"/>
      <c r="CIM280" s="1144"/>
      <c r="CIN280" s="1144"/>
      <c r="CIO280" s="1144"/>
      <c r="CIP280" s="1144"/>
      <c r="CIQ280" s="1144"/>
      <c r="CIR280" s="1144"/>
      <c r="CIS280" s="1144"/>
      <c r="CIT280" s="1144"/>
      <c r="CIU280" s="1144"/>
      <c r="CIV280" s="1144"/>
      <c r="CIW280" s="1144"/>
      <c r="CIX280" s="1144"/>
      <c r="CIY280" s="1144"/>
      <c r="CIZ280" s="1144"/>
      <c r="CJA280" s="1144"/>
      <c r="CJB280" s="1144"/>
      <c r="CJC280" s="1144"/>
      <c r="CJD280" s="1144"/>
      <c r="CJE280" s="1144"/>
      <c r="CJF280" s="1144"/>
      <c r="CJG280" s="1144"/>
      <c r="CJH280" s="1144"/>
      <c r="CJI280" s="1144"/>
      <c r="CJJ280" s="1144"/>
      <c r="CJK280" s="1144"/>
      <c r="CJL280" s="1144"/>
      <c r="CJM280" s="1144"/>
      <c r="CJN280" s="1144"/>
      <c r="CJO280" s="1144"/>
      <c r="CJP280" s="1144"/>
      <c r="CJQ280" s="1144"/>
      <c r="CJR280" s="1144"/>
      <c r="CJS280" s="1144"/>
      <c r="CJT280" s="1144"/>
      <c r="CJU280" s="1144"/>
      <c r="CJV280" s="1144"/>
      <c r="CJW280" s="1144"/>
      <c r="CJX280" s="1144"/>
      <c r="CJY280" s="1144"/>
      <c r="CJZ280" s="1144"/>
      <c r="CKA280" s="1144"/>
      <c r="CKB280" s="1144"/>
      <c r="CKC280" s="1144"/>
      <c r="CKD280" s="1144"/>
      <c r="CKE280" s="1144"/>
      <c r="CKF280" s="1144"/>
      <c r="CKG280" s="1144"/>
      <c r="CKH280" s="1144"/>
      <c r="CKI280" s="1144"/>
      <c r="CKJ280" s="1144"/>
      <c r="CKK280" s="1144"/>
      <c r="CKL280" s="1144"/>
      <c r="CKM280" s="1144"/>
      <c r="CKN280" s="1144"/>
      <c r="CKO280" s="1144"/>
      <c r="CKP280" s="1144"/>
      <c r="CKQ280" s="1144"/>
      <c r="CKR280" s="1144"/>
      <c r="CKS280" s="1144"/>
      <c r="CKT280" s="1144"/>
      <c r="CKU280" s="1144"/>
      <c r="CKV280" s="1144"/>
      <c r="CKW280" s="1144"/>
      <c r="CKX280" s="1144"/>
      <c r="CKY280" s="1144"/>
      <c r="CKZ280" s="1144"/>
      <c r="CLA280" s="1144"/>
      <c r="CLB280" s="1144"/>
      <c r="CLC280" s="1144"/>
      <c r="CLD280" s="1144"/>
      <c r="CLE280" s="1144"/>
      <c r="CLF280" s="1144"/>
      <c r="CLG280" s="1144"/>
      <c r="CLH280" s="1144"/>
      <c r="CLI280" s="1144"/>
      <c r="CLJ280" s="1144"/>
      <c r="CLK280" s="1144"/>
      <c r="CLL280" s="1144"/>
      <c r="CLM280" s="1144"/>
      <c r="CLN280" s="1144"/>
      <c r="CLO280" s="1144"/>
      <c r="CLP280" s="1144"/>
      <c r="CLQ280" s="1144"/>
      <c r="CLR280" s="1144"/>
      <c r="CLS280" s="1144"/>
      <c r="CLT280" s="1144"/>
      <c r="CLU280" s="1144"/>
      <c r="CLV280" s="1144"/>
      <c r="CLW280" s="1144"/>
      <c r="CLX280" s="1144"/>
      <c r="CLY280" s="1144"/>
      <c r="CLZ280" s="1144"/>
      <c r="CMA280" s="1144"/>
      <c r="CMB280" s="1144"/>
      <c r="CMC280" s="1144"/>
      <c r="CMD280" s="1144"/>
      <c r="CME280" s="1144"/>
      <c r="CMF280" s="1144"/>
      <c r="CMG280" s="1144"/>
      <c r="CMH280" s="1144"/>
      <c r="CMI280" s="1144"/>
      <c r="CMJ280" s="1144"/>
      <c r="CMK280" s="1144"/>
      <c r="CML280" s="1144"/>
      <c r="CMM280" s="1144"/>
      <c r="CMN280" s="1144"/>
      <c r="CMO280" s="1144"/>
      <c r="CMP280" s="1144"/>
      <c r="CMQ280" s="1144"/>
      <c r="CMR280" s="1144"/>
      <c r="CMS280" s="1144"/>
      <c r="CMT280" s="1144"/>
      <c r="CMU280" s="1144"/>
      <c r="CMV280" s="1144"/>
      <c r="CMW280" s="1144"/>
      <c r="CMX280" s="1144"/>
      <c r="CMY280" s="1144"/>
      <c r="CMZ280" s="1144"/>
      <c r="CNA280" s="1144"/>
      <c r="CNB280" s="1144"/>
      <c r="CNC280" s="1144"/>
      <c r="CND280" s="1144"/>
      <c r="CNE280" s="1144"/>
      <c r="CNF280" s="1144"/>
      <c r="CNG280" s="1144"/>
      <c r="CNH280" s="1144"/>
      <c r="CNI280" s="1144"/>
      <c r="CNJ280" s="1144"/>
      <c r="CNK280" s="1144"/>
      <c r="CNL280" s="1144"/>
      <c r="CNM280" s="1144"/>
      <c r="CNN280" s="1144"/>
      <c r="CNO280" s="1144"/>
      <c r="CNP280" s="1144"/>
      <c r="CNQ280" s="1144"/>
      <c r="CNR280" s="1144"/>
      <c r="CNS280" s="1144"/>
      <c r="CNT280" s="1144"/>
      <c r="CNU280" s="1144"/>
      <c r="CNV280" s="1144"/>
      <c r="CNW280" s="1144"/>
      <c r="CNX280" s="1144"/>
      <c r="CNY280" s="1144"/>
      <c r="CNZ280" s="1144"/>
      <c r="COA280" s="1144"/>
      <c r="COB280" s="1144"/>
      <c r="COC280" s="1144"/>
      <c r="COD280" s="1144"/>
      <c r="COE280" s="1144"/>
      <c r="COF280" s="1144"/>
      <c r="COG280" s="1144"/>
      <c r="COH280" s="1144"/>
      <c r="COI280" s="1144"/>
      <c r="COJ280" s="1144"/>
      <c r="COK280" s="1144"/>
      <c r="COL280" s="1144"/>
      <c r="COM280" s="1144"/>
      <c r="CON280" s="1144"/>
      <c r="COO280" s="1144"/>
      <c r="COP280" s="1144"/>
      <c r="COQ280" s="1144"/>
      <c r="COR280" s="1144"/>
      <c r="COS280" s="1144"/>
      <c r="COT280" s="1144"/>
      <c r="COU280" s="1144"/>
      <c r="COV280" s="1144"/>
      <c r="COW280" s="1144"/>
      <c r="COX280" s="1144"/>
      <c r="COY280" s="1144"/>
      <c r="COZ280" s="1144"/>
      <c r="CPA280" s="1144"/>
      <c r="CPB280" s="1144"/>
      <c r="CPC280" s="1144"/>
      <c r="CPD280" s="1144"/>
      <c r="CPE280" s="1144"/>
      <c r="CPF280" s="1144"/>
      <c r="CPG280" s="1144"/>
      <c r="CPH280" s="1144"/>
      <c r="CPI280" s="1144"/>
      <c r="CPJ280" s="1144"/>
      <c r="CPK280" s="1144"/>
      <c r="CPL280" s="1144"/>
      <c r="CPM280" s="1144"/>
      <c r="CPN280" s="1144"/>
      <c r="CPO280" s="1144"/>
      <c r="CPP280" s="1144"/>
      <c r="CPQ280" s="1144"/>
      <c r="CPR280" s="1144"/>
      <c r="CPS280" s="1144"/>
      <c r="CPT280" s="1144"/>
      <c r="CPU280" s="1144"/>
      <c r="CPV280" s="1144"/>
      <c r="CPW280" s="1144"/>
      <c r="CPX280" s="1144"/>
      <c r="CPY280" s="1144"/>
      <c r="CPZ280" s="1144"/>
      <c r="CQA280" s="1144"/>
      <c r="CQB280" s="1144"/>
      <c r="CQC280" s="1144"/>
      <c r="CQD280" s="1144"/>
      <c r="CQE280" s="1144"/>
      <c r="CQF280" s="1144"/>
      <c r="CQG280" s="1144"/>
      <c r="CQH280" s="1144"/>
      <c r="CQI280" s="1144"/>
      <c r="CQJ280" s="1144"/>
      <c r="CQK280" s="1144"/>
      <c r="CQL280" s="1144"/>
      <c r="CQM280" s="1144"/>
      <c r="CQN280" s="1144"/>
      <c r="CQO280" s="1144"/>
      <c r="CQP280" s="1144"/>
      <c r="CQQ280" s="1144"/>
      <c r="CQR280" s="1144"/>
      <c r="CQS280" s="1144"/>
      <c r="CQT280" s="1144"/>
      <c r="CQU280" s="1144"/>
      <c r="CQV280" s="1144"/>
      <c r="CQW280" s="1144"/>
      <c r="CQX280" s="1144"/>
      <c r="CQY280" s="1144"/>
      <c r="CQZ280" s="1144"/>
      <c r="CRA280" s="1144"/>
      <c r="CRB280" s="1144"/>
      <c r="CRC280" s="1144"/>
      <c r="CRD280" s="1144"/>
      <c r="CRE280" s="1144"/>
      <c r="CRF280" s="1144"/>
      <c r="CRG280" s="1144"/>
      <c r="CRH280" s="1144"/>
      <c r="CRI280" s="1144"/>
      <c r="CRJ280" s="1144"/>
      <c r="CRK280" s="1144"/>
      <c r="CRL280" s="1144"/>
      <c r="CRM280" s="1144"/>
      <c r="CRN280" s="1144"/>
      <c r="CRO280" s="1144"/>
      <c r="CRP280" s="1144"/>
      <c r="CRQ280" s="1144"/>
      <c r="CRR280" s="1144"/>
      <c r="CRS280" s="1144"/>
      <c r="CRT280" s="1144"/>
      <c r="CRU280" s="1144"/>
      <c r="CRV280" s="1144"/>
      <c r="CRW280" s="1144"/>
      <c r="CRX280" s="1144"/>
      <c r="CRY280" s="1144"/>
      <c r="CRZ280" s="1144"/>
      <c r="CSA280" s="1144"/>
      <c r="CSB280" s="1144"/>
      <c r="CSC280" s="1144"/>
      <c r="CSD280" s="1144"/>
      <c r="CSE280" s="1144"/>
      <c r="CSF280" s="1144"/>
      <c r="CSG280" s="1144"/>
      <c r="CSH280" s="1144"/>
      <c r="CSI280" s="1144"/>
      <c r="CSJ280" s="1144"/>
      <c r="CSK280" s="1144"/>
      <c r="CSL280" s="1144"/>
      <c r="CSM280" s="1144"/>
      <c r="CSN280" s="1144"/>
      <c r="CSO280" s="1144"/>
      <c r="CSP280" s="1144"/>
      <c r="CSQ280" s="1144"/>
      <c r="CSR280" s="1144"/>
      <c r="CSS280" s="1144"/>
      <c r="CST280" s="1144"/>
      <c r="CSU280" s="1144"/>
      <c r="CSV280" s="1144"/>
      <c r="CSW280" s="1144"/>
      <c r="CSX280" s="1144"/>
      <c r="CSY280" s="1144"/>
      <c r="CSZ280" s="1144"/>
      <c r="CTA280" s="1144"/>
      <c r="CTB280" s="1144"/>
      <c r="CTC280" s="1144"/>
      <c r="CTD280" s="1144"/>
      <c r="CTE280" s="1144"/>
      <c r="CTF280" s="1144"/>
      <c r="CTG280" s="1144"/>
      <c r="CTH280" s="1144"/>
      <c r="CTI280" s="1144"/>
      <c r="CTJ280" s="1144"/>
      <c r="CTK280" s="1144"/>
      <c r="CTL280" s="1144"/>
      <c r="CTM280" s="1144"/>
      <c r="CTN280" s="1144"/>
      <c r="CTO280" s="1144"/>
      <c r="CTP280" s="1144"/>
      <c r="CTQ280" s="1144"/>
      <c r="CTR280" s="1144"/>
      <c r="CTS280" s="1144"/>
      <c r="CTT280" s="1144"/>
      <c r="CTU280" s="1144"/>
      <c r="CTV280" s="1144"/>
      <c r="CTW280" s="1144"/>
      <c r="CTX280" s="1144"/>
      <c r="CTY280" s="1144"/>
      <c r="CTZ280" s="1144"/>
      <c r="CUA280" s="1144"/>
      <c r="CUB280" s="1144"/>
      <c r="CUC280" s="1144"/>
      <c r="CUD280" s="1144"/>
      <c r="CUE280" s="1144"/>
      <c r="CUF280" s="1144"/>
      <c r="CUG280" s="1144"/>
      <c r="CUH280" s="1144"/>
      <c r="CUI280" s="1144"/>
      <c r="CUJ280" s="1144"/>
      <c r="CUK280" s="1144"/>
      <c r="CUL280" s="1144"/>
      <c r="CUM280" s="1144"/>
      <c r="CUN280" s="1144"/>
      <c r="CUO280" s="1144"/>
      <c r="CUP280" s="1144"/>
      <c r="CUQ280" s="1144"/>
      <c r="CUR280" s="1144"/>
      <c r="CUS280" s="1144"/>
      <c r="CUT280" s="1144"/>
      <c r="CUU280" s="1144"/>
      <c r="CUV280" s="1144"/>
      <c r="CUW280" s="1144"/>
      <c r="CUX280" s="1144"/>
      <c r="CUY280" s="1144"/>
      <c r="CUZ280" s="1144"/>
      <c r="CVA280" s="1144"/>
      <c r="CVB280" s="1144"/>
      <c r="CVC280" s="1144"/>
      <c r="CVD280" s="1144"/>
      <c r="CVE280" s="1144"/>
      <c r="CVF280" s="1144"/>
      <c r="CVG280" s="1144"/>
      <c r="CVH280" s="1144"/>
      <c r="CVI280" s="1144"/>
      <c r="CVJ280" s="1144"/>
      <c r="CVK280" s="1144"/>
      <c r="CVL280" s="1144"/>
      <c r="CVM280" s="1144"/>
      <c r="CVN280" s="1144"/>
      <c r="CVO280" s="1144"/>
      <c r="CVP280" s="1144"/>
      <c r="CVQ280" s="1144"/>
      <c r="CVR280" s="1144"/>
      <c r="CVS280" s="1144"/>
      <c r="CVT280" s="1144"/>
      <c r="CVU280" s="1144"/>
      <c r="CVV280" s="1144"/>
      <c r="CVW280" s="1144"/>
      <c r="CVX280" s="1144"/>
      <c r="CVY280" s="1144"/>
      <c r="CVZ280" s="1144"/>
      <c r="CWA280" s="1144"/>
      <c r="CWB280" s="1144"/>
      <c r="CWC280" s="1144"/>
      <c r="CWD280" s="1144"/>
      <c r="CWE280" s="1144"/>
      <c r="CWF280" s="1144"/>
      <c r="CWG280" s="1144"/>
      <c r="CWH280" s="1144"/>
      <c r="CWI280" s="1144"/>
      <c r="CWJ280" s="1144"/>
      <c r="CWK280" s="1144"/>
      <c r="CWL280" s="1144"/>
      <c r="CWM280" s="1144"/>
      <c r="CWN280" s="1144"/>
      <c r="CWO280" s="1144"/>
      <c r="CWP280" s="1144"/>
      <c r="CWQ280" s="1144"/>
      <c r="CWR280" s="1144"/>
      <c r="CWS280" s="1144"/>
      <c r="CWT280" s="1144"/>
      <c r="CWU280" s="1144"/>
      <c r="CWV280" s="1144"/>
      <c r="CWW280" s="1144"/>
      <c r="CWX280" s="1144"/>
      <c r="CWY280" s="1144"/>
      <c r="CWZ280" s="1144"/>
      <c r="CXA280" s="1144"/>
      <c r="CXB280" s="1144"/>
      <c r="CXC280" s="1144"/>
      <c r="CXD280" s="1144"/>
      <c r="CXE280" s="1144"/>
      <c r="CXF280" s="1144"/>
      <c r="CXG280" s="1144"/>
      <c r="CXH280" s="1144"/>
      <c r="CXI280" s="1144"/>
      <c r="CXJ280" s="1144"/>
      <c r="CXK280" s="1144"/>
      <c r="CXL280" s="1144"/>
      <c r="CXM280" s="1144"/>
      <c r="CXN280" s="1144"/>
      <c r="CXO280" s="1144"/>
      <c r="CXP280" s="1144"/>
      <c r="CXQ280" s="1144"/>
      <c r="CXR280" s="1144"/>
      <c r="CXS280" s="1144"/>
      <c r="CXT280" s="1144"/>
      <c r="CXU280" s="1144"/>
      <c r="CXV280" s="1144"/>
      <c r="CXW280" s="1144"/>
      <c r="CXX280" s="1144"/>
      <c r="CXY280" s="1144"/>
      <c r="CXZ280" s="1144"/>
      <c r="CYA280" s="1144"/>
      <c r="CYB280" s="1144"/>
      <c r="CYC280" s="1144"/>
      <c r="CYD280" s="1144"/>
      <c r="CYE280" s="1144"/>
      <c r="CYF280" s="1144"/>
      <c r="CYG280" s="1144"/>
      <c r="CYH280" s="1144"/>
      <c r="CYI280" s="1144"/>
      <c r="CYJ280" s="1144"/>
      <c r="CYK280" s="1144"/>
      <c r="CYL280" s="1144"/>
      <c r="CYM280" s="1144"/>
      <c r="CYN280" s="1144"/>
      <c r="CYO280" s="1144"/>
      <c r="CYP280" s="1144"/>
      <c r="CYQ280" s="1144"/>
      <c r="CYR280" s="1144"/>
      <c r="CYS280" s="1144"/>
      <c r="CYT280" s="1144"/>
      <c r="CYU280" s="1144"/>
      <c r="CYV280" s="1144"/>
      <c r="CYW280" s="1144"/>
      <c r="CYX280" s="1144"/>
      <c r="CYY280" s="1144"/>
      <c r="CYZ280" s="1144"/>
      <c r="CZA280" s="1144"/>
      <c r="CZB280" s="1144"/>
      <c r="CZC280" s="1144"/>
      <c r="CZD280" s="1144"/>
      <c r="CZE280" s="1144"/>
      <c r="CZF280" s="1144"/>
      <c r="CZG280" s="1144"/>
      <c r="CZH280" s="1144"/>
      <c r="CZI280" s="1144"/>
      <c r="CZJ280" s="1144"/>
      <c r="CZK280" s="1144"/>
      <c r="CZL280" s="1144"/>
      <c r="CZM280" s="1144"/>
      <c r="CZN280" s="1144"/>
      <c r="CZO280" s="1144"/>
      <c r="CZP280" s="1144"/>
      <c r="CZQ280" s="1144"/>
      <c r="CZR280" s="1144"/>
      <c r="CZS280" s="1144"/>
      <c r="CZT280" s="1144"/>
      <c r="CZU280" s="1144"/>
      <c r="CZV280" s="1144"/>
      <c r="CZW280" s="1144"/>
      <c r="CZX280" s="1144"/>
      <c r="CZY280" s="1144"/>
      <c r="CZZ280" s="1144"/>
      <c r="DAA280" s="1144"/>
      <c r="DAB280" s="1144"/>
      <c r="DAC280" s="1144"/>
      <c r="DAD280" s="1144"/>
      <c r="DAE280" s="1144"/>
      <c r="DAF280" s="1144"/>
      <c r="DAG280" s="1144"/>
      <c r="DAH280" s="1144"/>
      <c r="DAI280" s="1144"/>
      <c r="DAJ280" s="1144"/>
      <c r="DAK280" s="1144"/>
      <c r="DAL280" s="1144"/>
      <c r="DAM280" s="1144"/>
      <c r="DAN280" s="1144"/>
      <c r="DAO280" s="1144"/>
      <c r="DAP280" s="1144"/>
      <c r="DAQ280" s="1144"/>
      <c r="DAR280" s="1144"/>
      <c r="DAS280" s="1144"/>
      <c r="DAT280" s="1144"/>
      <c r="DAU280" s="1144"/>
      <c r="DAV280" s="1144"/>
      <c r="DAW280" s="1144"/>
      <c r="DAX280" s="1144"/>
      <c r="DAY280" s="1144"/>
      <c r="DAZ280" s="1144"/>
      <c r="DBA280" s="1144"/>
      <c r="DBB280" s="1144"/>
      <c r="DBC280" s="1144"/>
      <c r="DBD280" s="1144"/>
      <c r="DBE280" s="1144"/>
      <c r="DBF280" s="1144"/>
      <c r="DBG280" s="1144"/>
      <c r="DBH280" s="1144"/>
      <c r="DBI280" s="1144"/>
      <c r="DBJ280" s="1144"/>
      <c r="DBK280" s="1144"/>
      <c r="DBL280" s="1144"/>
      <c r="DBM280" s="1144"/>
      <c r="DBN280" s="1144"/>
      <c r="DBO280" s="1144"/>
      <c r="DBP280" s="1144"/>
      <c r="DBQ280" s="1144"/>
      <c r="DBR280" s="1144"/>
      <c r="DBS280" s="1144"/>
      <c r="DBT280" s="1144"/>
      <c r="DBU280" s="1144"/>
      <c r="DBV280" s="1144"/>
      <c r="DBW280" s="1144"/>
      <c r="DBX280" s="1144"/>
      <c r="DBY280" s="1144"/>
      <c r="DBZ280" s="1144"/>
      <c r="DCA280" s="1144"/>
      <c r="DCB280" s="1144"/>
      <c r="DCC280" s="1144"/>
      <c r="DCD280" s="1144"/>
      <c r="DCE280" s="1144"/>
      <c r="DCF280" s="1144"/>
      <c r="DCG280" s="1144"/>
      <c r="DCH280" s="1144"/>
      <c r="DCI280" s="1144"/>
      <c r="DCJ280" s="1144"/>
      <c r="DCK280" s="1144"/>
      <c r="DCL280" s="1144"/>
      <c r="DCM280" s="1144"/>
      <c r="DCN280" s="1144"/>
      <c r="DCO280" s="1144"/>
      <c r="DCP280" s="1144"/>
      <c r="DCQ280" s="1144"/>
      <c r="DCR280" s="1144"/>
      <c r="DCS280" s="1144"/>
      <c r="DCT280" s="1144"/>
      <c r="DCU280" s="1144"/>
      <c r="DCV280" s="1144"/>
      <c r="DCW280" s="1144"/>
      <c r="DCX280" s="1144"/>
      <c r="DCY280" s="1144"/>
      <c r="DCZ280" s="1144"/>
      <c r="DDA280" s="1144"/>
      <c r="DDB280" s="1144"/>
      <c r="DDC280" s="1144"/>
      <c r="DDD280" s="1144"/>
      <c r="DDE280" s="1144"/>
      <c r="DDF280" s="1144"/>
      <c r="DDG280" s="1144"/>
      <c r="DDH280" s="1144"/>
      <c r="DDI280" s="1144"/>
      <c r="DDJ280" s="1144"/>
      <c r="DDK280" s="1144"/>
      <c r="DDL280" s="1144"/>
      <c r="DDM280" s="1144"/>
      <c r="DDN280" s="1144"/>
      <c r="DDO280" s="1144"/>
      <c r="DDP280" s="1144"/>
      <c r="DDQ280" s="1144"/>
      <c r="DDR280" s="1144"/>
      <c r="DDS280" s="1144"/>
      <c r="DDT280" s="1144"/>
      <c r="DDU280" s="1144"/>
      <c r="DDV280" s="1144"/>
      <c r="DDW280" s="1144"/>
      <c r="DDX280" s="1144"/>
      <c r="DDY280" s="1144"/>
      <c r="DDZ280" s="1144"/>
      <c r="DEA280" s="1144"/>
      <c r="DEB280" s="1144"/>
      <c r="DEC280" s="1144"/>
      <c r="DED280" s="1144"/>
      <c r="DEE280" s="1144"/>
      <c r="DEF280" s="1144"/>
      <c r="DEG280" s="1144"/>
      <c r="DEH280" s="1144"/>
      <c r="DEI280" s="1144"/>
      <c r="DEJ280" s="1144"/>
      <c r="DEK280" s="1144"/>
      <c r="DEL280" s="1144"/>
      <c r="DEM280" s="1144"/>
      <c r="DEN280" s="1144"/>
      <c r="DEO280" s="1144"/>
      <c r="DEP280" s="1144"/>
      <c r="DEQ280" s="1144"/>
      <c r="DER280" s="1144"/>
      <c r="DES280" s="1144"/>
      <c r="DET280" s="1144"/>
      <c r="DEU280" s="1144"/>
      <c r="DEV280" s="1144"/>
      <c r="DEW280" s="1144"/>
      <c r="DEX280" s="1144"/>
      <c r="DEY280" s="1144"/>
      <c r="DEZ280" s="1144"/>
      <c r="DFA280" s="1144"/>
      <c r="DFB280" s="1144"/>
      <c r="DFC280" s="1144"/>
      <c r="DFD280" s="1144"/>
      <c r="DFE280" s="1144"/>
      <c r="DFF280" s="1144"/>
      <c r="DFG280" s="1144"/>
      <c r="DFH280" s="1144"/>
      <c r="DFI280" s="1144"/>
      <c r="DFJ280" s="1144"/>
      <c r="DFK280" s="1144"/>
      <c r="DFL280" s="1144"/>
      <c r="DFM280" s="1144"/>
      <c r="DFN280" s="1144"/>
      <c r="DFO280" s="1144"/>
      <c r="DFP280" s="1144"/>
      <c r="DFQ280" s="1144"/>
      <c r="DFR280" s="1144"/>
      <c r="DFS280" s="1144"/>
      <c r="DFT280" s="1144"/>
      <c r="DFU280" s="1144"/>
      <c r="DFV280" s="1144"/>
      <c r="DFW280" s="1144"/>
      <c r="DFX280" s="1144"/>
      <c r="DFY280" s="1144"/>
      <c r="DFZ280" s="1144"/>
      <c r="DGA280" s="1144"/>
      <c r="DGB280" s="1144"/>
      <c r="DGC280" s="1144"/>
      <c r="DGD280" s="1144"/>
      <c r="DGE280" s="1144"/>
      <c r="DGF280" s="1144"/>
      <c r="DGG280" s="1144"/>
      <c r="DGH280" s="1144"/>
      <c r="DGI280" s="1144"/>
      <c r="DGJ280" s="1144"/>
      <c r="DGK280" s="1144"/>
      <c r="DGL280" s="1144"/>
      <c r="DGM280" s="1144"/>
      <c r="DGN280" s="1144"/>
      <c r="DGO280" s="1144"/>
      <c r="DGP280" s="1144"/>
      <c r="DGQ280" s="1144"/>
      <c r="DGR280" s="1144"/>
      <c r="DGS280" s="1144"/>
      <c r="DGT280" s="1144"/>
      <c r="DGU280" s="1144"/>
      <c r="DGV280" s="1144"/>
      <c r="DGW280" s="1144"/>
      <c r="DGX280" s="1144"/>
      <c r="DGY280" s="1144"/>
      <c r="DGZ280" s="1144"/>
      <c r="DHA280" s="1144"/>
      <c r="DHB280" s="1144"/>
      <c r="DHC280" s="1144"/>
      <c r="DHD280" s="1144"/>
      <c r="DHE280" s="1144"/>
      <c r="DHF280" s="1144"/>
      <c r="DHG280" s="1144"/>
      <c r="DHH280" s="1144"/>
      <c r="DHI280" s="1144"/>
      <c r="DHJ280" s="1144"/>
      <c r="DHK280" s="1144"/>
      <c r="DHL280" s="1144"/>
      <c r="DHM280" s="1144"/>
      <c r="DHN280" s="1144"/>
      <c r="DHO280" s="1144"/>
      <c r="DHP280" s="1144"/>
      <c r="DHQ280" s="1144"/>
      <c r="DHR280" s="1144"/>
      <c r="DHS280" s="1144"/>
      <c r="DHT280" s="1144"/>
      <c r="DHU280" s="1144"/>
      <c r="DHV280" s="1144"/>
      <c r="DHW280" s="1144"/>
      <c r="DHX280" s="1144"/>
      <c r="DHY280" s="1144"/>
      <c r="DHZ280" s="1144"/>
      <c r="DIA280" s="1144"/>
      <c r="DIB280" s="1144"/>
      <c r="DIC280" s="1144"/>
      <c r="DID280" s="1144"/>
      <c r="DIE280" s="1144"/>
      <c r="DIF280" s="1144"/>
      <c r="DIG280" s="1144"/>
      <c r="DIH280" s="1144"/>
      <c r="DII280" s="1144"/>
      <c r="DIJ280" s="1144"/>
      <c r="DIK280" s="1144"/>
      <c r="DIL280" s="1144"/>
      <c r="DIM280" s="1144"/>
      <c r="DIN280" s="1144"/>
      <c r="DIO280" s="1144"/>
      <c r="DIP280" s="1144"/>
      <c r="DIQ280" s="1144"/>
      <c r="DIR280" s="1144"/>
      <c r="DIS280" s="1144"/>
      <c r="DIT280" s="1144"/>
      <c r="DIU280" s="1144"/>
      <c r="DIV280" s="1144"/>
      <c r="DIW280" s="1144"/>
      <c r="DIX280" s="1144"/>
      <c r="DIY280" s="1144"/>
      <c r="DIZ280" s="1144"/>
      <c r="DJA280" s="1144"/>
      <c r="DJB280" s="1144"/>
      <c r="DJC280" s="1144"/>
      <c r="DJD280" s="1144"/>
      <c r="DJE280" s="1144"/>
      <c r="DJF280" s="1144"/>
      <c r="DJG280" s="1144"/>
      <c r="DJH280" s="1144"/>
      <c r="DJI280" s="1144"/>
      <c r="DJJ280" s="1144"/>
      <c r="DJK280" s="1144"/>
      <c r="DJL280" s="1144"/>
      <c r="DJM280" s="1144"/>
      <c r="DJN280" s="1144"/>
      <c r="DJO280" s="1144"/>
      <c r="DJP280" s="1144"/>
      <c r="DJQ280" s="1144"/>
      <c r="DJR280" s="1144"/>
      <c r="DJS280" s="1144"/>
      <c r="DJT280" s="1144"/>
      <c r="DJU280" s="1144"/>
      <c r="DJV280" s="1144"/>
      <c r="DJW280" s="1144"/>
      <c r="DJX280" s="1144"/>
      <c r="DJY280" s="1144"/>
      <c r="DJZ280" s="1144"/>
      <c r="DKA280" s="1144"/>
      <c r="DKB280" s="1144"/>
      <c r="DKC280" s="1144"/>
      <c r="DKD280" s="1144"/>
      <c r="DKE280" s="1144"/>
      <c r="DKF280" s="1144"/>
      <c r="DKG280" s="1144"/>
      <c r="DKH280" s="1144"/>
      <c r="DKI280" s="1144"/>
      <c r="DKJ280" s="1144"/>
      <c r="DKK280" s="1144"/>
      <c r="DKL280" s="1144"/>
      <c r="DKM280" s="1144"/>
      <c r="DKN280" s="1144"/>
      <c r="DKO280" s="1144"/>
      <c r="DKP280" s="1144"/>
      <c r="DKQ280" s="1144"/>
      <c r="DKR280" s="1144"/>
      <c r="DKS280" s="1144"/>
      <c r="DKT280" s="1144"/>
      <c r="DKU280" s="1144"/>
      <c r="DKV280" s="1144"/>
      <c r="DKW280" s="1144"/>
      <c r="DKX280" s="1144"/>
      <c r="DKY280" s="1144"/>
      <c r="DKZ280" s="1144"/>
      <c r="DLA280" s="1144"/>
      <c r="DLB280" s="1144"/>
      <c r="DLC280" s="1144"/>
      <c r="DLD280" s="1144"/>
      <c r="DLE280" s="1144"/>
      <c r="DLF280" s="1144"/>
      <c r="DLG280" s="1144"/>
      <c r="DLH280" s="1144"/>
      <c r="DLI280" s="1144"/>
      <c r="DLJ280" s="1144"/>
      <c r="DLK280" s="1144"/>
      <c r="DLL280" s="1144"/>
      <c r="DLM280" s="1144"/>
      <c r="DLN280" s="1144"/>
      <c r="DLO280" s="1144"/>
      <c r="DLP280" s="1144"/>
      <c r="DLQ280" s="1144"/>
      <c r="DLR280" s="1144"/>
      <c r="DLS280" s="1144"/>
      <c r="DLT280" s="1144"/>
      <c r="DLU280" s="1144"/>
      <c r="DLV280" s="1144"/>
      <c r="DLW280" s="1144"/>
      <c r="DLX280" s="1144"/>
      <c r="DLY280" s="1144"/>
      <c r="DLZ280" s="1144"/>
      <c r="DMA280" s="1144"/>
      <c r="DMB280" s="1144"/>
      <c r="DMC280" s="1144"/>
      <c r="DMD280" s="1144"/>
      <c r="DME280" s="1144"/>
      <c r="DMF280" s="1144"/>
      <c r="DMG280" s="1144"/>
      <c r="DMH280" s="1144"/>
      <c r="DMI280" s="1144"/>
      <c r="DMJ280" s="1144"/>
      <c r="DMK280" s="1144"/>
      <c r="DML280" s="1144"/>
      <c r="DMM280" s="1144"/>
      <c r="DMN280" s="1144"/>
      <c r="DMO280" s="1144"/>
      <c r="DMP280" s="1144"/>
      <c r="DMQ280" s="1144"/>
      <c r="DMR280" s="1144"/>
      <c r="DMS280" s="1144"/>
      <c r="DMT280" s="1144"/>
      <c r="DMU280" s="1144"/>
      <c r="DMV280" s="1144"/>
      <c r="DMW280" s="1144"/>
      <c r="DMX280" s="1144"/>
      <c r="DMY280" s="1144"/>
      <c r="DMZ280" s="1144"/>
      <c r="DNA280" s="1144"/>
      <c r="DNB280" s="1144"/>
      <c r="DNC280" s="1144"/>
      <c r="DND280" s="1144"/>
      <c r="DNE280" s="1144"/>
      <c r="DNF280" s="1144"/>
      <c r="DNG280" s="1144"/>
      <c r="DNH280" s="1144"/>
      <c r="DNI280" s="1144"/>
      <c r="DNJ280" s="1144"/>
      <c r="DNK280" s="1144"/>
      <c r="DNL280" s="1144"/>
      <c r="DNM280" s="1144"/>
      <c r="DNN280" s="1144"/>
      <c r="DNO280" s="1144"/>
      <c r="DNP280" s="1144"/>
      <c r="DNQ280" s="1144"/>
      <c r="DNR280" s="1144"/>
      <c r="DNS280" s="1144"/>
      <c r="DNT280" s="1144"/>
      <c r="DNU280" s="1144"/>
      <c r="DNV280" s="1144"/>
      <c r="DNW280" s="1144"/>
      <c r="DNX280" s="1144"/>
      <c r="DNY280" s="1144"/>
      <c r="DNZ280" s="1144"/>
      <c r="DOA280" s="1144"/>
      <c r="DOB280" s="1144"/>
      <c r="DOC280" s="1144"/>
      <c r="DOD280" s="1144"/>
      <c r="DOE280" s="1144"/>
      <c r="DOF280" s="1144"/>
      <c r="DOG280" s="1144"/>
      <c r="DOH280" s="1144"/>
      <c r="DOI280" s="1144"/>
      <c r="DOJ280" s="1144"/>
      <c r="DOK280" s="1144"/>
      <c r="DOL280" s="1144"/>
      <c r="DOM280" s="1144"/>
      <c r="DON280" s="1144"/>
      <c r="DOO280" s="1144"/>
      <c r="DOP280" s="1144"/>
      <c r="DOQ280" s="1144"/>
      <c r="DOR280" s="1144"/>
      <c r="DOS280" s="1144"/>
      <c r="DOT280" s="1144"/>
      <c r="DOU280" s="1144"/>
      <c r="DOV280" s="1144"/>
      <c r="DOW280" s="1144"/>
      <c r="DOX280" s="1144"/>
      <c r="DOY280" s="1144"/>
      <c r="DOZ280" s="1144"/>
      <c r="DPA280" s="1144"/>
      <c r="DPB280" s="1144"/>
      <c r="DPC280" s="1144"/>
      <c r="DPD280" s="1144"/>
      <c r="DPE280" s="1144"/>
      <c r="DPF280" s="1144"/>
      <c r="DPG280" s="1144"/>
      <c r="DPH280" s="1144"/>
      <c r="DPI280" s="1144"/>
      <c r="DPJ280" s="1144"/>
      <c r="DPK280" s="1144"/>
      <c r="DPL280" s="1144"/>
      <c r="DPM280" s="1144"/>
      <c r="DPN280" s="1144"/>
      <c r="DPO280" s="1144"/>
      <c r="DPP280" s="1144"/>
      <c r="DPQ280" s="1144"/>
      <c r="DPR280" s="1144"/>
      <c r="DPS280" s="1144"/>
      <c r="DPT280" s="1144"/>
      <c r="DPU280" s="1144"/>
      <c r="DPV280" s="1144"/>
      <c r="DPW280" s="1144"/>
      <c r="DPX280" s="1144"/>
      <c r="DPY280" s="1144"/>
      <c r="DPZ280" s="1144"/>
      <c r="DQA280" s="1144"/>
      <c r="DQB280" s="1144"/>
      <c r="DQC280" s="1144"/>
      <c r="DQD280" s="1144"/>
      <c r="DQE280" s="1144"/>
      <c r="DQF280" s="1144"/>
      <c r="DQG280" s="1144"/>
      <c r="DQH280" s="1144"/>
      <c r="DQI280" s="1144"/>
      <c r="DQJ280" s="1144"/>
      <c r="DQK280" s="1144"/>
      <c r="DQL280" s="1144"/>
      <c r="DQM280" s="1144"/>
      <c r="DQN280" s="1144"/>
      <c r="DQO280" s="1144"/>
      <c r="DQP280" s="1144"/>
      <c r="DQQ280" s="1144"/>
      <c r="DQR280" s="1144"/>
      <c r="DQS280" s="1144"/>
      <c r="DQT280" s="1144"/>
      <c r="DQU280" s="1144"/>
      <c r="DQV280" s="1144"/>
      <c r="DQW280" s="1144"/>
      <c r="DQX280" s="1144"/>
      <c r="DQY280" s="1144"/>
      <c r="DQZ280" s="1144"/>
      <c r="DRA280" s="1144"/>
      <c r="DRB280" s="1144"/>
      <c r="DRC280" s="1144"/>
      <c r="DRD280" s="1144"/>
      <c r="DRE280" s="1144"/>
      <c r="DRF280" s="1144"/>
      <c r="DRG280" s="1144"/>
      <c r="DRH280" s="1144"/>
      <c r="DRI280" s="1144"/>
      <c r="DRJ280" s="1144"/>
      <c r="DRK280" s="1144"/>
      <c r="DRL280" s="1144"/>
      <c r="DRM280" s="1144"/>
      <c r="DRN280" s="1144"/>
      <c r="DRO280" s="1144"/>
      <c r="DRP280" s="1144"/>
      <c r="DRQ280" s="1144"/>
      <c r="DRR280" s="1144"/>
      <c r="DRS280" s="1144"/>
      <c r="DRT280" s="1144"/>
      <c r="DRU280" s="1144"/>
      <c r="DRV280" s="1144"/>
      <c r="DRW280" s="1144"/>
      <c r="DRX280" s="1144"/>
      <c r="DRY280" s="1144"/>
      <c r="DRZ280" s="1144"/>
      <c r="DSA280" s="1144"/>
      <c r="DSB280" s="1144"/>
      <c r="DSC280" s="1144"/>
      <c r="DSD280" s="1144"/>
      <c r="DSE280" s="1144"/>
      <c r="DSF280" s="1144"/>
      <c r="DSG280" s="1144"/>
      <c r="DSH280" s="1144"/>
      <c r="DSI280" s="1144"/>
      <c r="DSJ280" s="1144"/>
      <c r="DSK280" s="1144"/>
      <c r="DSL280" s="1144"/>
      <c r="DSM280" s="1144"/>
      <c r="DSN280" s="1144"/>
      <c r="DSO280" s="1144"/>
      <c r="DSP280" s="1144"/>
      <c r="DSQ280" s="1144"/>
      <c r="DSR280" s="1144"/>
      <c r="DSS280" s="1144"/>
      <c r="DST280" s="1144"/>
      <c r="DSU280" s="1144"/>
      <c r="DSV280" s="1144"/>
      <c r="DSW280" s="1144"/>
      <c r="DSX280" s="1144"/>
      <c r="DSY280" s="1144"/>
      <c r="DSZ280" s="1144"/>
      <c r="DTA280" s="1144"/>
      <c r="DTB280" s="1144"/>
      <c r="DTC280" s="1144"/>
      <c r="DTD280" s="1144"/>
      <c r="DTE280" s="1144"/>
      <c r="DTF280" s="1144"/>
      <c r="DTG280" s="1144"/>
      <c r="DTH280" s="1144"/>
      <c r="DTI280" s="1144"/>
      <c r="DTJ280" s="1144"/>
      <c r="DTK280" s="1144"/>
      <c r="DTL280" s="1144"/>
      <c r="DTM280" s="1144"/>
      <c r="DTN280" s="1144"/>
      <c r="DTO280" s="1144"/>
      <c r="DTP280" s="1144"/>
      <c r="DTQ280" s="1144"/>
      <c r="DTR280" s="1144"/>
      <c r="DTS280" s="1144"/>
      <c r="DTT280" s="1144"/>
      <c r="DTU280" s="1144"/>
      <c r="DTV280" s="1144"/>
      <c r="DTW280" s="1144"/>
      <c r="DTX280" s="1144"/>
      <c r="DTY280" s="1144"/>
      <c r="DTZ280" s="1144"/>
      <c r="DUA280" s="1144"/>
      <c r="DUB280" s="1144"/>
      <c r="DUC280" s="1144"/>
      <c r="DUD280" s="1144"/>
      <c r="DUE280" s="1144"/>
      <c r="DUF280" s="1144"/>
      <c r="DUG280" s="1144"/>
      <c r="DUH280" s="1144"/>
      <c r="DUI280" s="1144"/>
      <c r="DUJ280" s="1144"/>
      <c r="DUK280" s="1144"/>
      <c r="DUL280" s="1144"/>
      <c r="DUM280" s="1144"/>
      <c r="DUN280" s="1144"/>
      <c r="DUO280" s="1144"/>
      <c r="DUP280" s="1144"/>
      <c r="DUQ280" s="1144"/>
      <c r="DUR280" s="1144"/>
      <c r="DUS280" s="1144"/>
      <c r="DUT280" s="1144"/>
      <c r="DUU280" s="1144"/>
      <c r="DUV280" s="1144"/>
      <c r="DUW280" s="1144"/>
      <c r="DUX280" s="1144"/>
      <c r="DUY280" s="1144"/>
      <c r="DUZ280" s="1144"/>
      <c r="DVA280" s="1144"/>
      <c r="DVB280" s="1144"/>
      <c r="DVC280" s="1144"/>
      <c r="DVD280" s="1144"/>
      <c r="DVE280" s="1144"/>
      <c r="DVF280" s="1144"/>
      <c r="DVG280" s="1144"/>
      <c r="DVH280" s="1144"/>
      <c r="DVI280" s="1144"/>
      <c r="DVJ280" s="1144"/>
      <c r="DVK280" s="1144"/>
      <c r="DVL280" s="1144"/>
      <c r="DVM280" s="1144"/>
      <c r="DVN280" s="1144"/>
      <c r="DVO280" s="1144"/>
      <c r="DVP280" s="1144"/>
      <c r="DVQ280" s="1144"/>
      <c r="DVR280" s="1144"/>
      <c r="DVS280" s="1144"/>
      <c r="DVT280" s="1144"/>
      <c r="DVU280" s="1144"/>
      <c r="DVV280" s="1144"/>
      <c r="DVW280" s="1144"/>
      <c r="DVX280" s="1144"/>
      <c r="DVY280" s="1144"/>
      <c r="DVZ280" s="1144"/>
      <c r="DWA280" s="1144"/>
      <c r="DWB280" s="1144"/>
      <c r="DWC280" s="1144"/>
      <c r="DWD280" s="1144"/>
      <c r="DWE280" s="1144"/>
      <c r="DWF280" s="1144"/>
      <c r="DWG280" s="1144"/>
      <c r="DWH280" s="1144"/>
      <c r="DWI280" s="1144"/>
      <c r="DWJ280" s="1144"/>
      <c r="DWK280" s="1144"/>
      <c r="DWL280" s="1144"/>
      <c r="DWM280" s="1144"/>
      <c r="DWN280" s="1144"/>
      <c r="DWO280" s="1144"/>
      <c r="DWP280" s="1144"/>
      <c r="DWQ280" s="1144"/>
      <c r="DWR280" s="1144"/>
      <c r="DWS280" s="1144"/>
      <c r="DWT280" s="1144"/>
      <c r="DWU280" s="1144"/>
      <c r="DWV280" s="1144"/>
      <c r="DWW280" s="1144"/>
      <c r="DWX280" s="1144"/>
      <c r="DWY280" s="1144"/>
      <c r="DWZ280" s="1144"/>
      <c r="DXA280" s="1144"/>
      <c r="DXB280" s="1144"/>
      <c r="DXC280" s="1144"/>
      <c r="DXD280" s="1144"/>
      <c r="DXE280" s="1144"/>
      <c r="DXF280" s="1144"/>
      <c r="DXG280" s="1144"/>
      <c r="DXH280" s="1144"/>
      <c r="DXI280" s="1144"/>
      <c r="DXJ280" s="1144"/>
      <c r="DXK280" s="1144"/>
      <c r="DXL280" s="1144"/>
      <c r="DXM280" s="1144"/>
      <c r="DXN280" s="1144"/>
      <c r="DXO280" s="1144"/>
      <c r="DXP280" s="1144"/>
      <c r="DXQ280" s="1144"/>
      <c r="DXR280" s="1144"/>
      <c r="DXS280" s="1144"/>
      <c r="DXT280" s="1144"/>
      <c r="DXU280" s="1144"/>
      <c r="DXV280" s="1144"/>
      <c r="DXW280" s="1144"/>
      <c r="DXX280" s="1144"/>
      <c r="DXY280" s="1144"/>
      <c r="DXZ280" s="1144"/>
      <c r="DYA280" s="1144"/>
      <c r="DYB280" s="1144"/>
      <c r="DYC280" s="1144"/>
      <c r="DYD280" s="1144"/>
      <c r="DYE280" s="1144"/>
      <c r="DYF280" s="1144"/>
      <c r="DYG280" s="1144"/>
      <c r="DYH280" s="1144"/>
      <c r="DYI280" s="1144"/>
      <c r="DYJ280" s="1144"/>
      <c r="DYK280" s="1144"/>
      <c r="DYL280" s="1144"/>
      <c r="DYM280" s="1144"/>
      <c r="DYN280" s="1144"/>
      <c r="DYO280" s="1144"/>
      <c r="DYP280" s="1144"/>
      <c r="DYQ280" s="1144"/>
      <c r="DYR280" s="1144"/>
      <c r="DYS280" s="1144"/>
      <c r="DYT280" s="1144"/>
      <c r="DYU280" s="1144"/>
      <c r="DYV280" s="1144"/>
      <c r="DYW280" s="1144"/>
      <c r="DYX280" s="1144"/>
      <c r="DYY280" s="1144"/>
      <c r="DYZ280" s="1144"/>
      <c r="DZA280" s="1144"/>
      <c r="DZB280" s="1144"/>
      <c r="DZC280" s="1144"/>
      <c r="DZD280" s="1144"/>
      <c r="DZE280" s="1144"/>
      <c r="DZF280" s="1144"/>
      <c r="DZG280" s="1144"/>
      <c r="DZH280" s="1144"/>
      <c r="DZI280" s="1144"/>
      <c r="DZJ280" s="1144"/>
      <c r="DZK280" s="1144"/>
      <c r="DZL280" s="1144"/>
      <c r="DZM280" s="1144"/>
      <c r="DZN280" s="1144"/>
      <c r="DZO280" s="1144"/>
      <c r="DZP280" s="1144"/>
      <c r="DZQ280" s="1144"/>
      <c r="DZR280" s="1144"/>
      <c r="DZS280" s="1144"/>
      <c r="DZT280" s="1144"/>
      <c r="DZU280" s="1144"/>
      <c r="DZV280" s="1144"/>
      <c r="DZW280" s="1144"/>
      <c r="DZX280" s="1144"/>
      <c r="DZY280" s="1144"/>
      <c r="DZZ280" s="1144"/>
      <c r="EAA280" s="1144"/>
      <c r="EAB280" s="1144"/>
      <c r="EAC280" s="1144"/>
      <c r="EAD280" s="1144"/>
      <c r="EAE280" s="1144"/>
      <c r="EAF280" s="1144"/>
      <c r="EAG280" s="1144"/>
      <c r="EAH280" s="1144"/>
      <c r="EAI280" s="1144"/>
      <c r="EAJ280" s="1144"/>
      <c r="EAK280" s="1144"/>
      <c r="EAL280" s="1144"/>
      <c r="EAM280" s="1144"/>
      <c r="EAN280" s="1144"/>
      <c r="EAO280" s="1144"/>
      <c r="EAP280" s="1144"/>
      <c r="EAQ280" s="1144"/>
      <c r="EAR280" s="1144"/>
      <c r="EAS280" s="1144"/>
      <c r="EAT280" s="1144"/>
      <c r="EAU280" s="1144"/>
      <c r="EAV280" s="1144"/>
      <c r="EAW280" s="1144"/>
      <c r="EAX280" s="1144"/>
      <c r="EAY280" s="1144"/>
      <c r="EAZ280" s="1144"/>
      <c r="EBA280" s="1144"/>
      <c r="EBB280" s="1144"/>
      <c r="EBC280" s="1144"/>
      <c r="EBD280" s="1144"/>
      <c r="EBE280" s="1144"/>
      <c r="EBF280" s="1144"/>
      <c r="EBG280" s="1144"/>
      <c r="EBH280" s="1144"/>
      <c r="EBI280" s="1144"/>
      <c r="EBJ280" s="1144"/>
      <c r="EBK280" s="1144"/>
      <c r="EBL280" s="1144"/>
      <c r="EBM280" s="1144"/>
      <c r="EBN280" s="1144"/>
      <c r="EBO280" s="1144"/>
      <c r="EBP280" s="1144"/>
      <c r="EBQ280" s="1144"/>
      <c r="EBR280" s="1144"/>
      <c r="EBS280" s="1144"/>
      <c r="EBT280" s="1144"/>
      <c r="EBU280" s="1144"/>
      <c r="EBV280" s="1144"/>
      <c r="EBW280" s="1144"/>
      <c r="EBX280" s="1144"/>
      <c r="EBY280" s="1144"/>
      <c r="EBZ280" s="1144"/>
      <c r="ECA280" s="1144"/>
      <c r="ECB280" s="1144"/>
      <c r="ECC280" s="1144"/>
      <c r="ECD280" s="1144"/>
      <c r="ECE280" s="1144"/>
      <c r="ECF280" s="1144"/>
      <c r="ECG280" s="1144"/>
      <c r="ECH280" s="1144"/>
      <c r="ECI280" s="1144"/>
      <c r="ECJ280" s="1144"/>
      <c r="ECK280" s="1144"/>
      <c r="ECL280" s="1144"/>
      <c r="ECM280" s="1144"/>
      <c r="ECN280" s="1144"/>
      <c r="ECO280" s="1144"/>
      <c r="ECP280" s="1144"/>
      <c r="ECQ280" s="1144"/>
      <c r="ECR280" s="1144"/>
      <c r="ECS280" s="1144"/>
      <c r="ECT280" s="1144"/>
      <c r="ECU280" s="1144"/>
      <c r="ECV280" s="1144"/>
      <c r="ECW280" s="1144"/>
      <c r="ECX280" s="1144"/>
      <c r="ECY280" s="1144"/>
      <c r="ECZ280" s="1144"/>
      <c r="EDA280" s="1144"/>
      <c r="EDB280" s="1144"/>
      <c r="EDC280" s="1144"/>
      <c r="EDD280" s="1144"/>
      <c r="EDE280" s="1144"/>
      <c r="EDF280" s="1144"/>
      <c r="EDG280" s="1144"/>
      <c r="EDH280" s="1144"/>
      <c r="EDI280" s="1144"/>
      <c r="EDJ280" s="1144"/>
      <c r="EDK280" s="1144"/>
      <c r="EDL280" s="1144"/>
      <c r="EDM280" s="1144"/>
      <c r="EDN280" s="1144"/>
      <c r="EDO280" s="1144"/>
      <c r="EDP280" s="1144"/>
      <c r="EDQ280" s="1144"/>
      <c r="EDR280" s="1144"/>
      <c r="EDS280" s="1144"/>
      <c r="EDT280" s="1144"/>
      <c r="EDU280" s="1144"/>
      <c r="EDV280" s="1144"/>
      <c r="EDW280" s="1144"/>
      <c r="EDX280" s="1144"/>
      <c r="EDY280" s="1144"/>
      <c r="EDZ280" s="1144"/>
      <c r="EEA280" s="1144"/>
      <c r="EEB280" s="1144"/>
      <c r="EEC280" s="1144"/>
      <c r="EED280" s="1144"/>
      <c r="EEE280" s="1144"/>
      <c r="EEF280" s="1144"/>
      <c r="EEG280" s="1144"/>
      <c r="EEH280" s="1144"/>
      <c r="EEI280" s="1144"/>
      <c r="EEJ280" s="1144"/>
      <c r="EEK280" s="1144"/>
      <c r="EEL280" s="1144"/>
      <c r="EEM280" s="1144"/>
      <c r="EEN280" s="1144"/>
      <c r="EEO280" s="1144"/>
      <c r="EEP280" s="1144"/>
      <c r="EEQ280" s="1144"/>
      <c r="EER280" s="1144"/>
      <c r="EES280" s="1144"/>
      <c r="EET280" s="1144"/>
      <c r="EEU280" s="1144"/>
      <c r="EEV280" s="1144"/>
      <c r="EEW280" s="1144"/>
      <c r="EEX280" s="1144"/>
      <c r="EEY280" s="1144"/>
      <c r="EEZ280" s="1144"/>
      <c r="EFA280" s="1144"/>
      <c r="EFB280" s="1144"/>
      <c r="EFC280" s="1144"/>
      <c r="EFD280" s="1144"/>
      <c r="EFE280" s="1144"/>
      <c r="EFF280" s="1144"/>
      <c r="EFG280" s="1144"/>
      <c r="EFH280" s="1144"/>
      <c r="EFI280" s="1144"/>
      <c r="EFJ280" s="1144"/>
      <c r="EFK280" s="1144"/>
      <c r="EFL280" s="1144"/>
      <c r="EFM280" s="1144"/>
      <c r="EFN280" s="1144"/>
      <c r="EFO280" s="1144"/>
      <c r="EFP280" s="1144"/>
      <c r="EFQ280" s="1144"/>
      <c r="EFR280" s="1144"/>
      <c r="EFS280" s="1144"/>
      <c r="EFT280" s="1144"/>
      <c r="EFU280" s="1144"/>
      <c r="EFV280" s="1144"/>
      <c r="EFW280" s="1144"/>
      <c r="EFX280" s="1144"/>
      <c r="EFY280" s="1144"/>
      <c r="EFZ280" s="1144"/>
      <c r="EGA280" s="1144"/>
      <c r="EGB280" s="1144"/>
      <c r="EGC280" s="1144"/>
      <c r="EGD280" s="1144"/>
      <c r="EGE280" s="1144"/>
      <c r="EGF280" s="1144"/>
      <c r="EGG280" s="1144"/>
      <c r="EGH280" s="1144"/>
      <c r="EGI280" s="1144"/>
      <c r="EGJ280" s="1144"/>
      <c r="EGK280" s="1144"/>
      <c r="EGL280" s="1144"/>
      <c r="EGM280" s="1144"/>
      <c r="EGN280" s="1144"/>
      <c r="EGO280" s="1144"/>
      <c r="EGP280" s="1144"/>
      <c r="EGQ280" s="1144"/>
      <c r="EGR280" s="1144"/>
      <c r="EGS280" s="1144"/>
      <c r="EGT280" s="1144"/>
      <c r="EGU280" s="1144"/>
      <c r="EGV280" s="1144"/>
      <c r="EGW280" s="1144"/>
      <c r="EGX280" s="1144"/>
      <c r="EGY280" s="1144"/>
      <c r="EGZ280" s="1144"/>
      <c r="EHA280" s="1144"/>
      <c r="EHB280" s="1144"/>
      <c r="EHC280" s="1144"/>
      <c r="EHD280" s="1144"/>
      <c r="EHE280" s="1144"/>
      <c r="EHF280" s="1144"/>
      <c r="EHG280" s="1144"/>
      <c r="EHH280" s="1144"/>
      <c r="EHI280" s="1144"/>
      <c r="EHJ280" s="1144"/>
      <c r="EHK280" s="1144"/>
      <c r="EHL280" s="1144"/>
      <c r="EHM280" s="1144"/>
      <c r="EHN280" s="1144"/>
      <c r="EHO280" s="1144"/>
      <c r="EHP280" s="1144"/>
      <c r="EHQ280" s="1144"/>
      <c r="EHR280" s="1144"/>
      <c r="EHS280" s="1144"/>
      <c r="EHT280" s="1144"/>
      <c r="EHU280" s="1144"/>
      <c r="EHV280" s="1144"/>
      <c r="EHW280" s="1144"/>
      <c r="EHX280" s="1144"/>
      <c r="EHY280" s="1144"/>
      <c r="EHZ280" s="1144"/>
      <c r="EIA280" s="1144"/>
      <c r="EIB280" s="1144"/>
      <c r="EIC280" s="1144"/>
      <c r="EID280" s="1144"/>
      <c r="EIE280" s="1144"/>
      <c r="EIF280" s="1144"/>
      <c r="EIG280" s="1144"/>
      <c r="EIH280" s="1144"/>
      <c r="EII280" s="1144"/>
      <c r="EIJ280" s="1144"/>
      <c r="EIK280" s="1144"/>
      <c r="EIL280" s="1144"/>
      <c r="EIM280" s="1144"/>
      <c r="EIN280" s="1144"/>
      <c r="EIO280" s="1144"/>
      <c r="EIP280" s="1144"/>
      <c r="EIQ280" s="1144"/>
      <c r="EIR280" s="1144"/>
      <c r="EIS280" s="1144"/>
      <c r="EIT280" s="1144"/>
      <c r="EIU280" s="1144"/>
      <c r="EIV280" s="1144"/>
      <c r="EIW280" s="1144"/>
      <c r="EIX280" s="1144"/>
      <c r="EIY280" s="1144"/>
      <c r="EIZ280" s="1144"/>
      <c r="EJA280" s="1144"/>
      <c r="EJB280" s="1144"/>
      <c r="EJC280" s="1144"/>
      <c r="EJD280" s="1144"/>
      <c r="EJE280" s="1144"/>
      <c r="EJF280" s="1144"/>
      <c r="EJG280" s="1144"/>
      <c r="EJH280" s="1144"/>
      <c r="EJI280" s="1144"/>
      <c r="EJJ280" s="1144"/>
      <c r="EJK280" s="1144"/>
      <c r="EJL280" s="1144"/>
      <c r="EJM280" s="1144"/>
      <c r="EJN280" s="1144"/>
      <c r="EJO280" s="1144"/>
      <c r="EJP280" s="1144"/>
      <c r="EJQ280" s="1144"/>
      <c r="EJR280" s="1144"/>
      <c r="EJS280" s="1144"/>
      <c r="EJT280" s="1144"/>
      <c r="EJU280" s="1144"/>
      <c r="EJV280" s="1144"/>
      <c r="EJW280" s="1144"/>
      <c r="EJX280" s="1144"/>
      <c r="EJY280" s="1144"/>
      <c r="EJZ280" s="1144"/>
      <c r="EKA280" s="1144"/>
      <c r="EKB280" s="1144"/>
      <c r="EKC280" s="1144"/>
      <c r="EKD280" s="1144"/>
      <c r="EKE280" s="1144"/>
      <c r="EKF280" s="1144"/>
      <c r="EKG280" s="1144"/>
      <c r="EKH280" s="1144"/>
      <c r="EKI280" s="1144"/>
      <c r="EKJ280" s="1144"/>
      <c r="EKK280" s="1144"/>
      <c r="EKL280" s="1144"/>
      <c r="EKM280" s="1144"/>
      <c r="EKN280" s="1144"/>
      <c r="EKO280" s="1144"/>
      <c r="EKP280" s="1144"/>
      <c r="EKQ280" s="1144"/>
      <c r="EKR280" s="1144"/>
      <c r="EKS280" s="1144"/>
      <c r="EKT280" s="1144"/>
      <c r="EKU280" s="1144"/>
      <c r="EKV280" s="1144"/>
      <c r="EKW280" s="1144"/>
      <c r="EKX280" s="1144"/>
      <c r="EKY280" s="1144"/>
      <c r="EKZ280" s="1144"/>
      <c r="ELA280" s="1144"/>
      <c r="ELB280" s="1144"/>
      <c r="ELC280" s="1144"/>
      <c r="ELD280" s="1144"/>
      <c r="ELE280" s="1144"/>
      <c r="ELF280" s="1144"/>
      <c r="ELG280" s="1144"/>
      <c r="ELH280" s="1144"/>
      <c r="ELI280" s="1144"/>
      <c r="ELJ280" s="1144"/>
      <c r="ELK280" s="1144"/>
      <c r="ELL280" s="1144"/>
      <c r="ELM280" s="1144"/>
      <c r="ELN280" s="1144"/>
      <c r="ELO280" s="1144"/>
      <c r="ELP280" s="1144"/>
      <c r="ELQ280" s="1144"/>
      <c r="ELR280" s="1144"/>
      <c r="ELS280" s="1144"/>
      <c r="ELT280" s="1144"/>
      <c r="ELU280" s="1144"/>
      <c r="ELV280" s="1144"/>
      <c r="ELW280" s="1144"/>
      <c r="ELX280" s="1144"/>
      <c r="ELY280" s="1144"/>
      <c r="ELZ280" s="1144"/>
      <c r="EMA280" s="1144"/>
      <c r="EMB280" s="1144"/>
      <c r="EMC280" s="1144"/>
      <c r="EMD280" s="1144"/>
      <c r="EME280" s="1144"/>
      <c r="EMF280" s="1144"/>
      <c r="EMG280" s="1144"/>
      <c r="EMH280" s="1144"/>
      <c r="EMI280" s="1144"/>
      <c r="EMJ280" s="1144"/>
      <c r="EMK280" s="1144"/>
      <c r="EML280" s="1144"/>
      <c r="EMM280" s="1144"/>
      <c r="EMN280" s="1144"/>
      <c r="EMO280" s="1144"/>
      <c r="EMP280" s="1144"/>
      <c r="EMQ280" s="1144"/>
      <c r="EMR280" s="1144"/>
      <c r="EMS280" s="1144"/>
      <c r="EMT280" s="1144"/>
      <c r="EMU280" s="1144"/>
      <c r="EMV280" s="1144"/>
      <c r="EMW280" s="1144"/>
      <c r="EMX280" s="1144"/>
      <c r="EMY280" s="1144"/>
      <c r="EMZ280" s="1144"/>
      <c r="ENA280" s="1144"/>
      <c r="ENB280" s="1144"/>
      <c r="ENC280" s="1144"/>
      <c r="END280" s="1144"/>
      <c r="ENE280" s="1144"/>
      <c r="ENF280" s="1144"/>
      <c r="ENG280" s="1144"/>
      <c r="ENH280" s="1144"/>
      <c r="ENI280" s="1144"/>
      <c r="ENJ280" s="1144"/>
      <c r="ENK280" s="1144"/>
      <c r="ENL280" s="1144"/>
      <c r="ENM280" s="1144"/>
      <c r="ENN280" s="1144"/>
      <c r="ENO280" s="1144"/>
      <c r="ENP280" s="1144"/>
      <c r="ENQ280" s="1144"/>
      <c r="ENR280" s="1144"/>
      <c r="ENS280" s="1144"/>
      <c r="ENT280" s="1144"/>
      <c r="ENU280" s="1144"/>
      <c r="ENV280" s="1144"/>
      <c r="ENW280" s="1144"/>
      <c r="ENX280" s="1144"/>
      <c r="ENY280" s="1144"/>
      <c r="ENZ280" s="1144"/>
      <c r="EOA280" s="1144"/>
      <c r="EOB280" s="1144"/>
      <c r="EOC280" s="1144"/>
      <c r="EOD280" s="1144"/>
      <c r="EOE280" s="1144"/>
      <c r="EOF280" s="1144"/>
      <c r="EOG280" s="1144"/>
      <c r="EOH280" s="1144"/>
      <c r="EOI280" s="1144"/>
      <c r="EOJ280" s="1144"/>
      <c r="EOK280" s="1144"/>
      <c r="EOL280" s="1144"/>
      <c r="EOM280" s="1144"/>
      <c r="EON280" s="1144"/>
      <c r="EOO280" s="1144"/>
      <c r="EOP280" s="1144"/>
      <c r="EOQ280" s="1144"/>
      <c r="EOR280" s="1144"/>
      <c r="EOS280" s="1144"/>
      <c r="EOT280" s="1144"/>
      <c r="EOU280" s="1144"/>
      <c r="EOV280" s="1144"/>
      <c r="EOW280" s="1144"/>
      <c r="EOX280" s="1144"/>
      <c r="EOY280" s="1144"/>
      <c r="EOZ280" s="1144"/>
      <c r="EPA280" s="1144"/>
      <c r="EPB280" s="1144"/>
      <c r="EPC280" s="1144"/>
      <c r="EPD280" s="1144"/>
      <c r="EPE280" s="1144"/>
      <c r="EPF280" s="1144"/>
      <c r="EPG280" s="1144"/>
      <c r="EPH280" s="1144"/>
      <c r="EPI280" s="1144"/>
      <c r="EPJ280" s="1144"/>
      <c r="EPK280" s="1144"/>
      <c r="EPL280" s="1144"/>
      <c r="EPM280" s="1144"/>
      <c r="EPN280" s="1144"/>
      <c r="EPO280" s="1144"/>
      <c r="EPP280" s="1144"/>
      <c r="EPQ280" s="1144"/>
      <c r="EPR280" s="1144"/>
      <c r="EPS280" s="1144"/>
      <c r="EPT280" s="1144"/>
      <c r="EPU280" s="1144"/>
      <c r="EPV280" s="1144"/>
      <c r="EPW280" s="1144"/>
      <c r="EPX280" s="1144"/>
      <c r="EPY280" s="1144"/>
      <c r="EPZ280" s="1144"/>
      <c r="EQA280" s="1144"/>
      <c r="EQB280" s="1144"/>
      <c r="EQC280" s="1144"/>
      <c r="EQD280" s="1144"/>
      <c r="EQE280" s="1144"/>
      <c r="EQF280" s="1144"/>
      <c r="EQG280" s="1144"/>
      <c r="EQH280" s="1144"/>
      <c r="EQI280" s="1144"/>
      <c r="EQJ280" s="1144"/>
      <c r="EQK280" s="1144"/>
      <c r="EQL280" s="1144"/>
      <c r="EQM280" s="1144"/>
      <c r="EQN280" s="1144"/>
      <c r="EQO280" s="1144"/>
      <c r="EQP280" s="1144"/>
      <c r="EQQ280" s="1144"/>
      <c r="EQR280" s="1144"/>
      <c r="EQS280" s="1144"/>
      <c r="EQT280" s="1144"/>
      <c r="EQU280" s="1144"/>
      <c r="EQV280" s="1144"/>
      <c r="EQW280" s="1144"/>
      <c r="EQX280" s="1144"/>
      <c r="EQY280" s="1144"/>
      <c r="EQZ280" s="1144"/>
      <c r="ERA280" s="1144"/>
      <c r="ERB280" s="1144"/>
      <c r="ERC280" s="1144"/>
      <c r="ERD280" s="1144"/>
      <c r="ERE280" s="1144"/>
      <c r="ERF280" s="1144"/>
      <c r="ERG280" s="1144"/>
      <c r="ERH280" s="1144"/>
      <c r="ERI280" s="1144"/>
      <c r="ERJ280" s="1144"/>
      <c r="ERK280" s="1144"/>
      <c r="ERL280" s="1144"/>
      <c r="ERM280" s="1144"/>
      <c r="ERN280" s="1144"/>
      <c r="ERO280" s="1144"/>
      <c r="ERP280" s="1144"/>
      <c r="ERQ280" s="1144"/>
      <c r="ERR280" s="1144"/>
      <c r="ERS280" s="1144"/>
      <c r="ERT280" s="1144"/>
      <c r="ERU280" s="1144"/>
      <c r="ERV280" s="1144"/>
      <c r="ERW280" s="1144"/>
      <c r="ERX280" s="1144"/>
      <c r="ERY280" s="1144"/>
      <c r="ERZ280" s="1144"/>
      <c r="ESA280" s="1144"/>
      <c r="ESB280" s="1144"/>
      <c r="ESC280" s="1144"/>
      <c r="ESD280" s="1144"/>
      <c r="ESE280" s="1144"/>
      <c r="ESF280" s="1144"/>
      <c r="ESG280" s="1144"/>
      <c r="ESH280" s="1144"/>
      <c r="ESI280" s="1144"/>
      <c r="ESJ280" s="1144"/>
      <c r="ESK280" s="1144"/>
      <c r="ESL280" s="1144"/>
      <c r="ESM280" s="1144"/>
      <c r="ESN280" s="1144"/>
      <c r="ESO280" s="1144"/>
      <c r="ESP280" s="1144"/>
      <c r="ESQ280" s="1144"/>
      <c r="ESR280" s="1144"/>
      <c r="ESS280" s="1144"/>
      <c r="EST280" s="1144"/>
      <c r="ESU280" s="1144"/>
      <c r="ESV280" s="1144"/>
      <c r="ESW280" s="1144"/>
      <c r="ESX280" s="1144"/>
      <c r="ESY280" s="1144"/>
      <c r="ESZ280" s="1144"/>
      <c r="ETA280" s="1144"/>
      <c r="ETB280" s="1144"/>
      <c r="ETC280" s="1144"/>
      <c r="ETD280" s="1144"/>
      <c r="ETE280" s="1144"/>
      <c r="ETF280" s="1144"/>
      <c r="ETG280" s="1144"/>
      <c r="ETH280" s="1144"/>
      <c r="ETI280" s="1144"/>
      <c r="ETJ280" s="1144"/>
      <c r="ETK280" s="1144"/>
      <c r="ETL280" s="1144"/>
      <c r="ETM280" s="1144"/>
      <c r="ETN280" s="1144"/>
      <c r="ETO280" s="1144"/>
      <c r="ETP280" s="1144"/>
      <c r="ETQ280" s="1144"/>
      <c r="ETR280" s="1144"/>
      <c r="ETS280" s="1144"/>
      <c r="ETT280" s="1144"/>
      <c r="ETU280" s="1144"/>
      <c r="ETV280" s="1144"/>
      <c r="ETW280" s="1144"/>
      <c r="ETX280" s="1144"/>
      <c r="ETY280" s="1144"/>
      <c r="ETZ280" s="1144"/>
      <c r="EUA280" s="1144"/>
      <c r="EUB280" s="1144"/>
      <c r="EUC280" s="1144"/>
      <c r="EUD280" s="1144"/>
      <c r="EUE280" s="1144"/>
      <c r="EUF280" s="1144"/>
      <c r="EUG280" s="1144"/>
      <c r="EUH280" s="1144"/>
      <c r="EUI280" s="1144"/>
      <c r="EUJ280" s="1144"/>
      <c r="EUK280" s="1144"/>
      <c r="EUL280" s="1144"/>
      <c r="EUM280" s="1144"/>
      <c r="EUN280" s="1144"/>
      <c r="EUO280" s="1144"/>
      <c r="EUP280" s="1144"/>
      <c r="EUQ280" s="1144"/>
      <c r="EUR280" s="1144"/>
      <c r="EUS280" s="1144"/>
      <c r="EUT280" s="1144"/>
      <c r="EUU280" s="1144"/>
      <c r="EUV280" s="1144"/>
      <c r="EUW280" s="1144"/>
      <c r="EUX280" s="1144"/>
      <c r="EUY280" s="1144"/>
      <c r="EUZ280" s="1144"/>
      <c r="EVA280" s="1144"/>
      <c r="EVB280" s="1144"/>
      <c r="EVC280" s="1144"/>
      <c r="EVD280" s="1144"/>
      <c r="EVE280" s="1144"/>
      <c r="EVF280" s="1144"/>
      <c r="EVG280" s="1144"/>
      <c r="EVH280" s="1144"/>
      <c r="EVI280" s="1144"/>
      <c r="EVJ280" s="1144"/>
      <c r="EVK280" s="1144"/>
      <c r="EVL280" s="1144"/>
      <c r="EVM280" s="1144"/>
      <c r="EVN280" s="1144"/>
      <c r="EVO280" s="1144"/>
      <c r="EVP280" s="1144"/>
      <c r="EVQ280" s="1144"/>
      <c r="EVR280" s="1144"/>
      <c r="EVS280" s="1144"/>
      <c r="EVT280" s="1144"/>
      <c r="EVU280" s="1144"/>
      <c r="EVV280" s="1144"/>
      <c r="EVW280" s="1144"/>
      <c r="EVX280" s="1144"/>
      <c r="EVY280" s="1144"/>
      <c r="EVZ280" s="1144"/>
      <c r="EWA280" s="1144"/>
      <c r="EWB280" s="1144"/>
      <c r="EWC280" s="1144"/>
      <c r="EWD280" s="1144"/>
      <c r="EWE280" s="1144"/>
      <c r="EWF280" s="1144"/>
      <c r="EWG280" s="1144"/>
      <c r="EWH280" s="1144"/>
      <c r="EWI280" s="1144"/>
      <c r="EWJ280" s="1144"/>
      <c r="EWK280" s="1144"/>
      <c r="EWL280" s="1144"/>
      <c r="EWM280" s="1144"/>
      <c r="EWN280" s="1144"/>
      <c r="EWO280" s="1144"/>
      <c r="EWP280" s="1144"/>
      <c r="EWQ280" s="1144"/>
      <c r="EWR280" s="1144"/>
      <c r="EWS280" s="1144"/>
      <c r="EWT280" s="1144"/>
      <c r="EWU280" s="1144"/>
      <c r="EWV280" s="1144"/>
      <c r="EWW280" s="1144"/>
      <c r="EWX280" s="1144"/>
      <c r="EWY280" s="1144"/>
      <c r="EWZ280" s="1144"/>
      <c r="EXA280" s="1144"/>
      <c r="EXB280" s="1144"/>
      <c r="EXC280" s="1144"/>
      <c r="EXD280" s="1144"/>
      <c r="EXE280" s="1144"/>
      <c r="EXF280" s="1144"/>
      <c r="EXG280" s="1144"/>
      <c r="EXH280" s="1144"/>
      <c r="EXI280" s="1144"/>
      <c r="EXJ280" s="1144"/>
      <c r="EXK280" s="1144"/>
      <c r="EXL280" s="1144"/>
      <c r="EXM280" s="1144"/>
      <c r="EXN280" s="1144"/>
      <c r="EXO280" s="1144"/>
      <c r="EXP280" s="1144"/>
      <c r="EXQ280" s="1144"/>
      <c r="EXR280" s="1144"/>
      <c r="EXS280" s="1144"/>
      <c r="EXT280" s="1144"/>
      <c r="EXU280" s="1144"/>
      <c r="EXV280" s="1144"/>
      <c r="EXW280" s="1144"/>
      <c r="EXX280" s="1144"/>
      <c r="EXY280" s="1144"/>
      <c r="EXZ280" s="1144"/>
      <c r="EYA280" s="1144"/>
      <c r="EYB280" s="1144"/>
      <c r="EYC280" s="1144"/>
      <c r="EYD280" s="1144"/>
      <c r="EYE280" s="1144"/>
      <c r="EYF280" s="1144"/>
      <c r="EYG280" s="1144"/>
      <c r="EYH280" s="1144"/>
      <c r="EYI280" s="1144"/>
      <c r="EYJ280" s="1144"/>
      <c r="EYK280" s="1144"/>
      <c r="EYL280" s="1144"/>
      <c r="EYM280" s="1144"/>
      <c r="EYN280" s="1144"/>
      <c r="EYO280" s="1144"/>
      <c r="EYP280" s="1144"/>
      <c r="EYQ280" s="1144"/>
      <c r="EYR280" s="1144"/>
      <c r="EYS280" s="1144"/>
      <c r="EYT280" s="1144"/>
      <c r="EYU280" s="1144"/>
      <c r="EYV280" s="1144"/>
      <c r="EYW280" s="1144"/>
      <c r="EYX280" s="1144"/>
      <c r="EYY280" s="1144"/>
      <c r="EYZ280" s="1144"/>
      <c r="EZA280" s="1144"/>
      <c r="EZB280" s="1144"/>
      <c r="EZC280" s="1144"/>
      <c r="EZD280" s="1144"/>
      <c r="EZE280" s="1144"/>
      <c r="EZF280" s="1144"/>
      <c r="EZG280" s="1144"/>
      <c r="EZH280" s="1144"/>
      <c r="EZI280" s="1144"/>
      <c r="EZJ280" s="1144"/>
      <c r="EZK280" s="1144"/>
      <c r="EZL280" s="1144"/>
      <c r="EZM280" s="1144"/>
      <c r="EZN280" s="1144"/>
      <c r="EZO280" s="1144"/>
      <c r="EZP280" s="1144"/>
      <c r="EZQ280" s="1144"/>
      <c r="EZR280" s="1144"/>
      <c r="EZS280" s="1144"/>
      <c r="EZT280" s="1144"/>
      <c r="EZU280" s="1144"/>
      <c r="EZV280" s="1144"/>
      <c r="EZW280" s="1144"/>
      <c r="EZX280" s="1144"/>
      <c r="EZY280" s="1144"/>
      <c r="EZZ280" s="1144"/>
      <c r="FAA280" s="1144"/>
      <c r="FAB280" s="1144"/>
      <c r="FAC280" s="1144"/>
      <c r="FAD280" s="1144"/>
      <c r="FAE280" s="1144"/>
      <c r="FAF280" s="1144"/>
      <c r="FAG280" s="1144"/>
      <c r="FAH280" s="1144"/>
      <c r="FAI280" s="1144"/>
      <c r="FAJ280" s="1144"/>
      <c r="FAK280" s="1144"/>
      <c r="FAL280" s="1144"/>
      <c r="FAM280" s="1144"/>
      <c r="FAN280" s="1144"/>
      <c r="FAO280" s="1144"/>
      <c r="FAP280" s="1144"/>
      <c r="FAQ280" s="1144"/>
      <c r="FAR280" s="1144"/>
      <c r="FAS280" s="1144"/>
      <c r="FAT280" s="1144"/>
      <c r="FAU280" s="1144"/>
      <c r="FAV280" s="1144"/>
      <c r="FAW280" s="1144"/>
      <c r="FAX280" s="1144"/>
      <c r="FAY280" s="1144"/>
      <c r="FAZ280" s="1144"/>
      <c r="FBA280" s="1144"/>
      <c r="FBB280" s="1144"/>
      <c r="FBC280" s="1144"/>
      <c r="FBD280" s="1144"/>
      <c r="FBE280" s="1144"/>
      <c r="FBF280" s="1144"/>
      <c r="FBG280" s="1144"/>
      <c r="FBH280" s="1144"/>
      <c r="FBI280" s="1144"/>
      <c r="FBJ280" s="1144"/>
      <c r="FBK280" s="1144"/>
      <c r="FBL280" s="1144"/>
      <c r="FBM280" s="1144"/>
      <c r="FBN280" s="1144"/>
      <c r="FBO280" s="1144"/>
      <c r="FBP280" s="1144"/>
      <c r="FBQ280" s="1144"/>
      <c r="FBR280" s="1144"/>
      <c r="FBS280" s="1144"/>
      <c r="FBT280" s="1144"/>
      <c r="FBU280" s="1144"/>
      <c r="FBV280" s="1144"/>
      <c r="FBW280" s="1144"/>
      <c r="FBX280" s="1144"/>
      <c r="FBY280" s="1144"/>
      <c r="FBZ280" s="1144"/>
      <c r="FCA280" s="1144"/>
      <c r="FCB280" s="1144"/>
      <c r="FCC280" s="1144"/>
      <c r="FCD280" s="1144"/>
      <c r="FCE280" s="1144"/>
      <c r="FCF280" s="1144"/>
      <c r="FCG280" s="1144"/>
      <c r="FCH280" s="1144"/>
      <c r="FCI280" s="1144"/>
      <c r="FCJ280" s="1144"/>
      <c r="FCK280" s="1144"/>
      <c r="FCL280" s="1144"/>
      <c r="FCM280" s="1144"/>
      <c r="FCN280" s="1144"/>
      <c r="FCO280" s="1144"/>
      <c r="FCP280" s="1144"/>
      <c r="FCQ280" s="1144"/>
      <c r="FCR280" s="1144"/>
      <c r="FCS280" s="1144"/>
      <c r="FCT280" s="1144"/>
      <c r="FCU280" s="1144"/>
      <c r="FCV280" s="1144"/>
      <c r="FCW280" s="1144"/>
      <c r="FCX280" s="1144"/>
      <c r="FCY280" s="1144"/>
      <c r="FCZ280" s="1144"/>
      <c r="FDA280" s="1144"/>
      <c r="FDB280" s="1144"/>
      <c r="FDC280" s="1144"/>
      <c r="FDD280" s="1144"/>
      <c r="FDE280" s="1144"/>
      <c r="FDF280" s="1144"/>
      <c r="FDG280" s="1144"/>
      <c r="FDH280" s="1144"/>
      <c r="FDI280" s="1144"/>
      <c r="FDJ280" s="1144"/>
      <c r="FDK280" s="1144"/>
      <c r="FDL280" s="1144"/>
      <c r="FDM280" s="1144"/>
      <c r="FDN280" s="1144"/>
      <c r="FDO280" s="1144"/>
      <c r="FDP280" s="1144"/>
      <c r="FDQ280" s="1144"/>
      <c r="FDR280" s="1144"/>
      <c r="FDS280" s="1144"/>
      <c r="FDT280" s="1144"/>
      <c r="FDU280" s="1144"/>
      <c r="FDV280" s="1144"/>
      <c r="FDW280" s="1144"/>
      <c r="FDX280" s="1144"/>
      <c r="FDY280" s="1144"/>
      <c r="FDZ280" s="1144"/>
      <c r="FEA280" s="1144"/>
      <c r="FEB280" s="1144"/>
      <c r="FEC280" s="1144"/>
      <c r="FED280" s="1144"/>
      <c r="FEE280" s="1144"/>
      <c r="FEF280" s="1144"/>
      <c r="FEG280" s="1144"/>
      <c r="FEH280" s="1144"/>
      <c r="FEI280" s="1144"/>
      <c r="FEJ280" s="1144"/>
      <c r="FEK280" s="1144"/>
      <c r="FEL280" s="1144"/>
      <c r="FEM280" s="1144"/>
      <c r="FEN280" s="1144"/>
      <c r="FEO280" s="1144"/>
      <c r="FEP280" s="1144"/>
      <c r="FEQ280" s="1144"/>
      <c r="FER280" s="1144"/>
      <c r="FES280" s="1144"/>
      <c r="FET280" s="1144"/>
      <c r="FEU280" s="1144"/>
      <c r="FEV280" s="1144"/>
      <c r="FEW280" s="1144"/>
      <c r="FEX280" s="1144"/>
      <c r="FEY280" s="1144"/>
      <c r="FEZ280" s="1144"/>
      <c r="FFA280" s="1144"/>
      <c r="FFB280" s="1144"/>
      <c r="FFC280" s="1144"/>
      <c r="FFD280" s="1144"/>
      <c r="FFE280" s="1144"/>
      <c r="FFF280" s="1144"/>
      <c r="FFG280" s="1144"/>
      <c r="FFH280" s="1144"/>
      <c r="FFI280" s="1144"/>
      <c r="FFJ280" s="1144"/>
      <c r="FFK280" s="1144"/>
      <c r="FFL280" s="1144"/>
      <c r="FFM280" s="1144"/>
      <c r="FFN280" s="1144"/>
      <c r="FFO280" s="1144"/>
      <c r="FFP280" s="1144"/>
      <c r="FFQ280" s="1144"/>
      <c r="FFR280" s="1144"/>
      <c r="FFS280" s="1144"/>
      <c r="FFT280" s="1144"/>
      <c r="FFU280" s="1144"/>
      <c r="FFV280" s="1144"/>
      <c r="FFW280" s="1144"/>
      <c r="FFX280" s="1144"/>
      <c r="FFY280" s="1144"/>
      <c r="FFZ280" s="1144"/>
      <c r="FGA280" s="1144"/>
      <c r="FGB280" s="1144"/>
      <c r="FGC280" s="1144"/>
      <c r="FGD280" s="1144"/>
      <c r="FGE280" s="1144"/>
      <c r="FGF280" s="1144"/>
      <c r="FGG280" s="1144"/>
      <c r="FGH280" s="1144"/>
      <c r="FGI280" s="1144"/>
      <c r="FGJ280" s="1144"/>
      <c r="FGK280" s="1144"/>
      <c r="FGL280" s="1144"/>
      <c r="FGM280" s="1144"/>
      <c r="FGN280" s="1144"/>
      <c r="FGO280" s="1144"/>
      <c r="FGP280" s="1144"/>
      <c r="FGQ280" s="1144"/>
      <c r="FGR280" s="1144"/>
      <c r="FGS280" s="1144"/>
      <c r="FGT280" s="1144"/>
      <c r="FGU280" s="1144"/>
      <c r="FGV280" s="1144"/>
      <c r="FGW280" s="1144"/>
      <c r="FGX280" s="1144"/>
      <c r="FGY280" s="1144"/>
      <c r="FGZ280" s="1144"/>
      <c r="FHA280" s="1144"/>
      <c r="FHB280" s="1144"/>
      <c r="FHC280" s="1144"/>
      <c r="FHD280" s="1144"/>
      <c r="FHE280" s="1144"/>
      <c r="FHF280" s="1144"/>
      <c r="FHG280" s="1144"/>
      <c r="FHH280" s="1144"/>
      <c r="FHI280" s="1144"/>
      <c r="FHJ280" s="1144"/>
      <c r="FHK280" s="1144"/>
      <c r="FHL280" s="1144"/>
      <c r="FHM280" s="1144"/>
      <c r="FHN280" s="1144"/>
      <c r="FHO280" s="1144"/>
      <c r="FHP280" s="1144"/>
      <c r="FHQ280" s="1144"/>
      <c r="FHR280" s="1144"/>
      <c r="FHS280" s="1144"/>
      <c r="FHT280" s="1144"/>
      <c r="FHU280" s="1144"/>
      <c r="FHV280" s="1144"/>
      <c r="FHW280" s="1144"/>
      <c r="FHX280" s="1144"/>
      <c r="FHY280" s="1144"/>
      <c r="FHZ280" s="1144"/>
      <c r="FIA280" s="1144"/>
      <c r="FIB280" s="1144"/>
      <c r="FIC280" s="1144"/>
      <c r="FID280" s="1144"/>
      <c r="FIE280" s="1144"/>
      <c r="FIF280" s="1144"/>
      <c r="FIG280" s="1144"/>
      <c r="FIH280" s="1144"/>
      <c r="FII280" s="1144"/>
      <c r="FIJ280" s="1144"/>
      <c r="FIK280" s="1144"/>
      <c r="FIL280" s="1144"/>
      <c r="FIM280" s="1144"/>
      <c r="FIN280" s="1144"/>
      <c r="FIO280" s="1144"/>
      <c r="FIP280" s="1144"/>
      <c r="FIQ280" s="1144"/>
      <c r="FIR280" s="1144"/>
      <c r="FIS280" s="1144"/>
      <c r="FIT280" s="1144"/>
      <c r="FIU280" s="1144"/>
      <c r="FIV280" s="1144"/>
      <c r="FIW280" s="1144"/>
      <c r="FIX280" s="1144"/>
      <c r="FIY280" s="1144"/>
      <c r="FIZ280" s="1144"/>
      <c r="FJA280" s="1144"/>
      <c r="FJB280" s="1144"/>
      <c r="FJC280" s="1144"/>
      <c r="FJD280" s="1144"/>
      <c r="FJE280" s="1144"/>
      <c r="FJF280" s="1144"/>
      <c r="FJG280" s="1144"/>
      <c r="FJH280" s="1144"/>
      <c r="FJI280" s="1144"/>
      <c r="FJJ280" s="1144"/>
      <c r="FJK280" s="1144"/>
      <c r="FJL280" s="1144"/>
      <c r="FJM280" s="1144"/>
      <c r="FJN280" s="1144"/>
      <c r="FJO280" s="1144"/>
      <c r="FJP280" s="1144"/>
      <c r="FJQ280" s="1144"/>
      <c r="FJR280" s="1144"/>
      <c r="FJS280" s="1144"/>
      <c r="FJT280" s="1144"/>
      <c r="FJU280" s="1144"/>
      <c r="FJV280" s="1144"/>
      <c r="FJW280" s="1144"/>
      <c r="FJX280" s="1144"/>
      <c r="FJY280" s="1144"/>
      <c r="FJZ280" s="1144"/>
      <c r="FKA280" s="1144"/>
      <c r="FKB280" s="1144"/>
      <c r="FKC280" s="1144"/>
      <c r="FKD280" s="1144"/>
      <c r="FKE280" s="1144"/>
      <c r="FKF280" s="1144"/>
      <c r="FKG280" s="1144"/>
      <c r="FKH280" s="1144"/>
      <c r="FKI280" s="1144"/>
      <c r="FKJ280" s="1144"/>
      <c r="FKK280" s="1144"/>
      <c r="FKL280" s="1144"/>
      <c r="FKM280" s="1144"/>
      <c r="FKN280" s="1144"/>
      <c r="FKO280" s="1144"/>
      <c r="FKP280" s="1144"/>
      <c r="FKQ280" s="1144"/>
      <c r="FKR280" s="1144"/>
      <c r="FKS280" s="1144"/>
      <c r="FKT280" s="1144"/>
      <c r="FKU280" s="1144"/>
      <c r="FKV280" s="1144"/>
      <c r="FKW280" s="1144"/>
      <c r="FKX280" s="1144"/>
      <c r="FKY280" s="1144"/>
      <c r="FKZ280" s="1144"/>
      <c r="FLA280" s="1144"/>
      <c r="FLB280" s="1144"/>
      <c r="FLC280" s="1144"/>
      <c r="FLD280" s="1144"/>
      <c r="FLE280" s="1144"/>
      <c r="FLF280" s="1144"/>
      <c r="FLG280" s="1144"/>
      <c r="FLH280" s="1144"/>
      <c r="FLI280" s="1144"/>
      <c r="FLJ280" s="1144"/>
      <c r="FLK280" s="1144"/>
      <c r="FLL280" s="1144"/>
      <c r="FLM280" s="1144"/>
      <c r="FLN280" s="1144"/>
      <c r="FLO280" s="1144"/>
      <c r="FLP280" s="1144"/>
      <c r="FLQ280" s="1144"/>
      <c r="FLR280" s="1144"/>
      <c r="FLS280" s="1144"/>
      <c r="FLT280" s="1144"/>
      <c r="FLU280" s="1144"/>
      <c r="FLV280" s="1144"/>
      <c r="FLW280" s="1144"/>
      <c r="FLX280" s="1144"/>
      <c r="FLY280" s="1144"/>
      <c r="FLZ280" s="1144"/>
      <c r="FMA280" s="1144"/>
      <c r="FMB280" s="1144"/>
      <c r="FMC280" s="1144"/>
      <c r="FMD280" s="1144"/>
      <c r="FME280" s="1144"/>
      <c r="FMF280" s="1144"/>
      <c r="FMG280" s="1144"/>
      <c r="FMH280" s="1144"/>
      <c r="FMI280" s="1144"/>
      <c r="FMJ280" s="1144"/>
      <c r="FMK280" s="1144"/>
      <c r="FML280" s="1144"/>
      <c r="FMM280" s="1144"/>
      <c r="FMN280" s="1144"/>
      <c r="FMO280" s="1144"/>
      <c r="FMP280" s="1144"/>
      <c r="FMQ280" s="1144"/>
      <c r="FMR280" s="1144"/>
      <c r="FMS280" s="1144"/>
      <c r="FMT280" s="1144"/>
      <c r="FMU280" s="1144"/>
      <c r="FMV280" s="1144"/>
      <c r="FMW280" s="1144"/>
      <c r="FMX280" s="1144"/>
      <c r="FMY280" s="1144"/>
      <c r="FMZ280" s="1144"/>
      <c r="FNA280" s="1144"/>
      <c r="FNB280" s="1144"/>
      <c r="FNC280" s="1144"/>
      <c r="FND280" s="1144"/>
      <c r="FNE280" s="1144"/>
      <c r="FNF280" s="1144"/>
      <c r="FNG280" s="1144"/>
      <c r="FNH280" s="1144"/>
      <c r="FNI280" s="1144"/>
      <c r="FNJ280" s="1144"/>
      <c r="FNK280" s="1144"/>
      <c r="FNL280" s="1144"/>
      <c r="FNM280" s="1144"/>
      <c r="FNN280" s="1144"/>
      <c r="FNO280" s="1144"/>
      <c r="FNP280" s="1144"/>
      <c r="FNQ280" s="1144"/>
      <c r="FNR280" s="1144"/>
      <c r="FNS280" s="1144"/>
      <c r="FNT280" s="1144"/>
      <c r="FNU280" s="1144"/>
      <c r="FNV280" s="1144"/>
      <c r="FNW280" s="1144"/>
      <c r="FNX280" s="1144"/>
      <c r="FNY280" s="1144"/>
      <c r="FNZ280" s="1144"/>
      <c r="FOA280" s="1144"/>
      <c r="FOB280" s="1144"/>
      <c r="FOC280" s="1144"/>
      <c r="FOD280" s="1144"/>
      <c r="FOE280" s="1144"/>
      <c r="FOF280" s="1144"/>
      <c r="FOG280" s="1144"/>
      <c r="FOH280" s="1144"/>
      <c r="FOI280" s="1144"/>
      <c r="FOJ280" s="1144"/>
      <c r="FOK280" s="1144"/>
      <c r="FOL280" s="1144"/>
      <c r="FOM280" s="1144"/>
      <c r="FON280" s="1144"/>
      <c r="FOO280" s="1144"/>
      <c r="FOP280" s="1144"/>
      <c r="FOQ280" s="1144"/>
      <c r="FOR280" s="1144"/>
      <c r="FOS280" s="1144"/>
      <c r="FOT280" s="1144"/>
      <c r="FOU280" s="1144"/>
      <c r="FOV280" s="1144"/>
      <c r="FOW280" s="1144"/>
      <c r="FOX280" s="1144"/>
      <c r="FOY280" s="1144"/>
      <c r="FOZ280" s="1144"/>
      <c r="FPA280" s="1144"/>
      <c r="FPB280" s="1144"/>
      <c r="FPC280" s="1144"/>
      <c r="FPD280" s="1144"/>
      <c r="FPE280" s="1144"/>
      <c r="FPF280" s="1144"/>
      <c r="FPG280" s="1144"/>
      <c r="FPH280" s="1144"/>
      <c r="FPI280" s="1144"/>
      <c r="FPJ280" s="1144"/>
      <c r="FPK280" s="1144"/>
      <c r="FPL280" s="1144"/>
      <c r="FPM280" s="1144"/>
      <c r="FPN280" s="1144"/>
      <c r="FPO280" s="1144"/>
      <c r="FPP280" s="1144"/>
      <c r="FPQ280" s="1144"/>
      <c r="FPR280" s="1144"/>
      <c r="FPS280" s="1144"/>
      <c r="FPT280" s="1144"/>
      <c r="FPU280" s="1144"/>
      <c r="FPV280" s="1144"/>
      <c r="FPW280" s="1144"/>
      <c r="FPX280" s="1144"/>
      <c r="FPY280" s="1144"/>
      <c r="FPZ280" s="1144"/>
      <c r="FQA280" s="1144"/>
      <c r="FQB280" s="1144"/>
      <c r="FQC280" s="1144"/>
      <c r="FQD280" s="1144"/>
      <c r="FQE280" s="1144"/>
      <c r="FQF280" s="1144"/>
      <c r="FQG280" s="1144"/>
      <c r="FQH280" s="1144"/>
      <c r="FQI280" s="1144"/>
      <c r="FQJ280" s="1144"/>
      <c r="FQK280" s="1144"/>
      <c r="FQL280" s="1144"/>
      <c r="FQM280" s="1144"/>
      <c r="FQN280" s="1144"/>
      <c r="FQO280" s="1144"/>
      <c r="FQP280" s="1144"/>
      <c r="FQQ280" s="1144"/>
      <c r="FQR280" s="1144"/>
      <c r="FQS280" s="1144"/>
      <c r="FQT280" s="1144"/>
      <c r="FQU280" s="1144"/>
      <c r="FQV280" s="1144"/>
      <c r="FQW280" s="1144"/>
      <c r="FQX280" s="1144"/>
      <c r="FQY280" s="1144"/>
      <c r="FQZ280" s="1144"/>
      <c r="FRA280" s="1144"/>
      <c r="FRB280" s="1144"/>
      <c r="FRC280" s="1144"/>
      <c r="FRD280" s="1144"/>
      <c r="FRE280" s="1144"/>
      <c r="FRF280" s="1144"/>
      <c r="FRG280" s="1144"/>
      <c r="FRH280" s="1144"/>
      <c r="FRI280" s="1144"/>
      <c r="FRJ280" s="1144"/>
      <c r="FRK280" s="1144"/>
      <c r="FRL280" s="1144"/>
      <c r="FRM280" s="1144"/>
      <c r="FRN280" s="1144"/>
      <c r="FRO280" s="1144"/>
      <c r="FRP280" s="1144"/>
      <c r="FRQ280" s="1144"/>
      <c r="FRR280" s="1144"/>
      <c r="FRS280" s="1144"/>
      <c r="FRT280" s="1144"/>
      <c r="FRU280" s="1144"/>
      <c r="FRV280" s="1144"/>
      <c r="FRW280" s="1144"/>
      <c r="FRX280" s="1144"/>
      <c r="FRY280" s="1144"/>
      <c r="FRZ280" s="1144"/>
      <c r="FSA280" s="1144"/>
      <c r="FSB280" s="1144"/>
      <c r="FSC280" s="1144"/>
      <c r="FSD280" s="1144"/>
      <c r="FSE280" s="1144"/>
      <c r="FSF280" s="1144"/>
      <c r="FSG280" s="1144"/>
      <c r="FSH280" s="1144"/>
      <c r="FSI280" s="1144"/>
      <c r="FSJ280" s="1144"/>
      <c r="FSK280" s="1144"/>
      <c r="FSL280" s="1144"/>
      <c r="FSM280" s="1144"/>
      <c r="FSN280" s="1144"/>
      <c r="FSO280" s="1144"/>
      <c r="FSP280" s="1144"/>
      <c r="FSQ280" s="1144"/>
      <c r="FSR280" s="1144"/>
      <c r="FSS280" s="1144"/>
      <c r="FST280" s="1144"/>
      <c r="FSU280" s="1144"/>
      <c r="FSV280" s="1144"/>
      <c r="FSW280" s="1144"/>
      <c r="FSX280" s="1144"/>
      <c r="FSY280" s="1144"/>
      <c r="FSZ280" s="1144"/>
      <c r="FTA280" s="1144"/>
      <c r="FTB280" s="1144"/>
      <c r="FTC280" s="1144"/>
      <c r="FTD280" s="1144"/>
      <c r="FTE280" s="1144"/>
      <c r="FTF280" s="1144"/>
      <c r="FTG280" s="1144"/>
      <c r="FTH280" s="1144"/>
      <c r="FTI280" s="1144"/>
      <c r="FTJ280" s="1144"/>
      <c r="FTK280" s="1144"/>
      <c r="FTL280" s="1144"/>
      <c r="FTM280" s="1144"/>
      <c r="FTN280" s="1144"/>
      <c r="FTO280" s="1144"/>
      <c r="FTP280" s="1144"/>
      <c r="FTQ280" s="1144"/>
      <c r="FTR280" s="1144"/>
      <c r="FTS280" s="1144"/>
      <c r="FTT280" s="1144"/>
      <c r="FTU280" s="1144"/>
      <c r="FTV280" s="1144"/>
      <c r="FTW280" s="1144"/>
      <c r="FTX280" s="1144"/>
      <c r="FTY280" s="1144"/>
      <c r="FTZ280" s="1144"/>
      <c r="FUA280" s="1144"/>
      <c r="FUB280" s="1144"/>
      <c r="FUC280" s="1144"/>
      <c r="FUD280" s="1144"/>
      <c r="FUE280" s="1144"/>
      <c r="FUF280" s="1144"/>
      <c r="FUG280" s="1144"/>
      <c r="FUH280" s="1144"/>
      <c r="FUI280" s="1144"/>
      <c r="FUJ280" s="1144"/>
      <c r="FUK280" s="1144"/>
      <c r="FUL280" s="1144"/>
      <c r="FUM280" s="1144"/>
      <c r="FUN280" s="1144"/>
      <c r="FUO280" s="1144"/>
      <c r="FUP280" s="1144"/>
      <c r="FUQ280" s="1144"/>
      <c r="FUR280" s="1144"/>
      <c r="FUS280" s="1144"/>
      <c r="FUT280" s="1144"/>
      <c r="FUU280" s="1144"/>
      <c r="FUV280" s="1144"/>
      <c r="FUW280" s="1144"/>
      <c r="FUX280" s="1144"/>
      <c r="FUY280" s="1144"/>
      <c r="FUZ280" s="1144"/>
      <c r="FVA280" s="1144"/>
      <c r="FVB280" s="1144"/>
      <c r="FVC280" s="1144"/>
      <c r="FVD280" s="1144"/>
      <c r="FVE280" s="1144"/>
      <c r="FVF280" s="1144"/>
      <c r="FVG280" s="1144"/>
      <c r="FVH280" s="1144"/>
      <c r="FVI280" s="1144"/>
      <c r="FVJ280" s="1144"/>
      <c r="FVK280" s="1144"/>
      <c r="FVL280" s="1144"/>
      <c r="FVM280" s="1144"/>
      <c r="FVN280" s="1144"/>
      <c r="FVO280" s="1144"/>
      <c r="FVP280" s="1144"/>
      <c r="FVQ280" s="1144"/>
      <c r="FVR280" s="1144"/>
      <c r="FVS280" s="1144"/>
      <c r="FVT280" s="1144"/>
      <c r="FVU280" s="1144"/>
      <c r="FVV280" s="1144"/>
      <c r="FVW280" s="1144"/>
      <c r="FVX280" s="1144"/>
      <c r="FVY280" s="1144"/>
      <c r="FVZ280" s="1144"/>
      <c r="FWA280" s="1144"/>
      <c r="FWB280" s="1144"/>
      <c r="FWC280" s="1144"/>
      <c r="FWD280" s="1144"/>
      <c r="FWE280" s="1144"/>
      <c r="FWF280" s="1144"/>
      <c r="FWG280" s="1144"/>
      <c r="FWH280" s="1144"/>
      <c r="FWI280" s="1144"/>
      <c r="FWJ280" s="1144"/>
      <c r="FWK280" s="1144"/>
      <c r="FWL280" s="1144"/>
      <c r="FWM280" s="1144"/>
      <c r="FWN280" s="1144"/>
      <c r="FWO280" s="1144"/>
      <c r="FWP280" s="1144"/>
      <c r="FWQ280" s="1144"/>
      <c r="FWR280" s="1144"/>
      <c r="FWS280" s="1144"/>
      <c r="FWT280" s="1144"/>
      <c r="FWU280" s="1144"/>
      <c r="FWV280" s="1144"/>
      <c r="FWW280" s="1144"/>
      <c r="FWX280" s="1144"/>
      <c r="FWY280" s="1144"/>
      <c r="FWZ280" s="1144"/>
      <c r="FXA280" s="1144"/>
      <c r="FXB280" s="1144"/>
      <c r="FXC280" s="1144"/>
      <c r="FXD280" s="1144"/>
      <c r="FXE280" s="1144"/>
      <c r="FXF280" s="1144"/>
      <c r="FXG280" s="1144"/>
      <c r="FXH280" s="1144"/>
      <c r="FXI280" s="1144"/>
      <c r="FXJ280" s="1144"/>
      <c r="FXK280" s="1144"/>
      <c r="FXL280" s="1144"/>
      <c r="FXM280" s="1144"/>
      <c r="FXN280" s="1144"/>
      <c r="FXO280" s="1144"/>
      <c r="FXP280" s="1144"/>
      <c r="FXQ280" s="1144"/>
      <c r="FXR280" s="1144"/>
      <c r="FXS280" s="1144"/>
      <c r="FXT280" s="1144"/>
      <c r="FXU280" s="1144"/>
      <c r="FXV280" s="1144"/>
      <c r="FXW280" s="1144"/>
      <c r="FXX280" s="1144"/>
      <c r="FXY280" s="1144"/>
      <c r="FXZ280" s="1144"/>
      <c r="FYA280" s="1144"/>
      <c r="FYB280" s="1144"/>
      <c r="FYC280" s="1144"/>
      <c r="FYD280" s="1144"/>
      <c r="FYE280" s="1144"/>
      <c r="FYF280" s="1144"/>
      <c r="FYG280" s="1144"/>
      <c r="FYH280" s="1144"/>
      <c r="FYI280" s="1144"/>
      <c r="FYJ280" s="1144"/>
      <c r="FYK280" s="1144"/>
      <c r="FYL280" s="1144"/>
      <c r="FYM280" s="1144"/>
      <c r="FYN280" s="1144"/>
      <c r="FYO280" s="1144"/>
      <c r="FYP280" s="1144"/>
      <c r="FYQ280" s="1144"/>
      <c r="FYR280" s="1144"/>
      <c r="FYS280" s="1144"/>
      <c r="FYT280" s="1144"/>
      <c r="FYU280" s="1144"/>
      <c r="FYV280" s="1144"/>
      <c r="FYW280" s="1144"/>
      <c r="FYX280" s="1144"/>
      <c r="FYY280" s="1144"/>
      <c r="FYZ280" s="1144"/>
      <c r="FZA280" s="1144"/>
      <c r="FZB280" s="1144"/>
      <c r="FZC280" s="1144"/>
      <c r="FZD280" s="1144"/>
      <c r="FZE280" s="1144"/>
      <c r="FZF280" s="1144"/>
      <c r="FZG280" s="1144"/>
      <c r="FZH280" s="1144"/>
      <c r="FZI280" s="1144"/>
      <c r="FZJ280" s="1144"/>
      <c r="FZK280" s="1144"/>
      <c r="FZL280" s="1144"/>
      <c r="FZM280" s="1144"/>
      <c r="FZN280" s="1144"/>
      <c r="FZO280" s="1144"/>
      <c r="FZP280" s="1144"/>
      <c r="FZQ280" s="1144"/>
      <c r="FZR280" s="1144"/>
      <c r="FZS280" s="1144"/>
      <c r="FZT280" s="1144"/>
      <c r="FZU280" s="1144"/>
      <c r="FZV280" s="1144"/>
      <c r="FZW280" s="1144"/>
      <c r="FZX280" s="1144"/>
      <c r="FZY280" s="1144"/>
      <c r="FZZ280" s="1144"/>
      <c r="GAA280" s="1144"/>
      <c r="GAB280" s="1144"/>
      <c r="GAC280" s="1144"/>
      <c r="GAD280" s="1144"/>
      <c r="GAE280" s="1144"/>
      <c r="GAF280" s="1144"/>
      <c r="GAG280" s="1144"/>
      <c r="GAH280" s="1144"/>
      <c r="GAI280" s="1144"/>
      <c r="GAJ280" s="1144"/>
      <c r="GAK280" s="1144"/>
      <c r="GAL280" s="1144"/>
      <c r="GAM280" s="1144"/>
      <c r="GAN280" s="1144"/>
      <c r="GAO280" s="1144"/>
      <c r="GAP280" s="1144"/>
      <c r="GAQ280" s="1144"/>
      <c r="GAR280" s="1144"/>
      <c r="GAS280" s="1144"/>
      <c r="GAT280" s="1144"/>
      <c r="GAU280" s="1144"/>
      <c r="GAV280" s="1144"/>
      <c r="GAW280" s="1144"/>
      <c r="GAX280" s="1144"/>
      <c r="GAY280" s="1144"/>
      <c r="GAZ280" s="1144"/>
      <c r="GBA280" s="1144"/>
      <c r="GBB280" s="1144"/>
      <c r="GBC280" s="1144"/>
      <c r="GBD280" s="1144"/>
      <c r="GBE280" s="1144"/>
      <c r="GBF280" s="1144"/>
      <c r="GBG280" s="1144"/>
      <c r="GBH280" s="1144"/>
      <c r="GBI280" s="1144"/>
      <c r="GBJ280" s="1144"/>
      <c r="GBK280" s="1144"/>
      <c r="GBL280" s="1144"/>
      <c r="GBM280" s="1144"/>
      <c r="GBN280" s="1144"/>
      <c r="GBO280" s="1144"/>
      <c r="GBP280" s="1144"/>
      <c r="GBQ280" s="1144"/>
      <c r="GBR280" s="1144"/>
      <c r="GBS280" s="1144"/>
      <c r="GBT280" s="1144"/>
      <c r="GBU280" s="1144"/>
      <c r="GBV280" s="1144"/>
      <c r="GBW280" s="1144"/>
      <c r="GBX280" s="1144"/>
      <c r="GBY280" s="1144"/>
      <c r="GBZ280" s="1144"/>
      <c r="GCA280" s="1144"/>
      <c r="GCB280" s="1144"/>
      <c r="GCC280" s="1144"/>
      <c r="GCD280" s="1144"/>
      <c r="GCE280" s="1144"/>
      <c r="GCF280" s="1144"/>
      <c r="GCG280" s="1144"/>
      <c r="GCH280" s="1144"/>
      <c r="GCI280" s="1144"/>
      <c r="GCJ280" s="1144"/>
      <c r="GCK280" s="1144"/>
      <c r="GCL280" s="1144"/>
      <c r="GCM280" s="1144"/>
      <c r="GCN280" s="1144"/>
      <c r="GCO280" s="1144"/>
      <c r="GCP280" s="1144"/>
      <c r="GCQ280" s="1144"/>
      <c r="GCR280" s="1144"/>
      <c r="GCS280" s="1144"/>
      <c r="GCT280" s="1144"/>
      <c r="GCU280" s="1144"/>
      <c r="GCV280" s="1144"/>
      <c r="GCW280" s="1144"/>
      <c r="GCX280" s="1144"/>
      <c r="GCY280" s="1144"/>
      <c r="GCZ280" s="1144"/>
      <c r="GDA280" s="1144"/>
      <c r="GDB280" s="1144"/>
      <c r="GDC280" s="1144"/>
      <c r="GDD280" s="1144"/>
      <c r="GDE280" s="1144"/>
      <c r="GDF280" s="1144"/>
      <c r="GDG280" s="1144"/>
      <c r="GDH280" s="1144"/>
      <c r="GDI280" s="1144"/>
      <c r="GDJ280" s="1144"/>
      <c r="GDK280" s="1144"/>
      <c r="GDL280" s="1144"/>
      <c r="GDM280" s="1144"/>
      <c r="GDN280" s="1144"/>
      <c r="GDO280" s="1144"/>
      <c r="GDP280" s="1144"/>
      <c r="GDQ280" s="1144"/>
      <c r="GDR280" s="1144"/>
      <c r="GDS280" s="1144"/>
      <c r="GDT280" s="1144"/>
      <c r="GDU280" s="1144"/>
      <c r="GDV280" s="1144"/>
      <c r="GDW280" s="1144"/>
      <c r="GDX280" s="1144"/>
      <c r="GDY280" s="1144"/>
      <c r="GDZ280" s="1144"/>
      <c r="GEA280" s="1144"/>
      <c r="GEB280" s="1144"/>
      <c r="GEC280" s="1144"/>
      <c r="GED280" s="1144"/>
      <c r="GEE280" s="1144"/>
      <c r="GEF280" s="1144"/>
      <c r="GEG280" s="1144"/>
      <c r="GEH280" s="1144"/>
      <c r="GEI280" s="1144"/>
      <c r="GEJ280" s="1144"/>
      <c r="GEK280" s="1144"/>
      <c r="GEL280" s="1144"/>
      <c r="GEM280" s="1144"/>
      <c r="GEN280" s="1144"/>
      <c r="GEO280" s="1144"/>
      <c r="GEP280" s="1144"/>
      <c r="GEQ280" s="1144"/>
      <c r="GER280" s="1144"/>
      <c r="GES280" s="1144"/>
      <c r="GET280" s="1144"/>
      <c r="GEU280" s="1144"/>
      <c r="GEV280" s="1144"/>
      <c r="GEW280" s="1144"/>
      <c r="GEX280" s="1144"/>
      <c r="GEY280" s="1144"/>
      <c r="GEZ280" s="1144"/>
      <c r="GFA280" s="1144"/>
      <c r="GFB280" s="1144"/>
      <c r="GFC280" s="1144"/>
      <c r="GFD280" s="1144"/>
      <c r="GFE280" s="1144"/>
      <c r="GFF280" s="1144"/>
      <c r="GFG280" s="1144"/>
      <c r="GFH280" s="1144"/>
      <c r="GFI280" s="1144"/>
      <c r="GFJ280" s="1144"/>
      <c r="GFK280" s="1144"/>
      <c r="GFL280" s="1144"/>
      <c r="GFM280" s="1144"/>
      <c r="GFN280" s="1144"/>
      <c r="GFO280" s="1144"/>
      <c r="GFP280" s="1144"/>
      <c r="GFQ280" s="1144"/>
      <c r="GFR280" s="1144"/>
      <c r="GFS280" s="1144"/>
      <c r="GFT280" s="1144"/>
      <c r="GFU280" s="1144"/>
      <c r="GFV280" s="1144"/>
      <c r="GFW280" s="1144"/>
      <c r="GFX280" s="1144"/>
      <c r="GFY280" s="1144"/>
      <c r="GFZ280" s="1144"/>
      <c r="GGA280" s="1144"/>
      <c r="GGB280" s="1144"/>
      <c r="GGC280" s="1144"/>
      <c r="GGD280" s="1144"/>
      <c r="GGE280" s="1144"/>
      <c r="GGF280" s="1144"/>
      <c r="GGG280" s="1144"/>
      <c r="GGH280" s="1144"/>
      <c r="GGI280" s="1144"/>
      <c r="GGJ280" s="1144"/>
      <c r="GGK280" s="1144"/>
      <c r="GGL280" s="1144"/>
      <c r="GGM280" s="1144"/>
      <c r="GGN280" s="1144"/>
      <c r="GGO280" s="1144"/>
      <c r="GGP280" s="1144"/>
      <c r="GGQ280" s="1144"/>
      <c r="GGR280" s="1144"/>
      <c r="GGS280" s="1144"/>
      <c r="GGT280" s="1144"/>
      <c r="GGU280" s="1144"/>
      <c r="GGV280" s="1144"/>
      <c r="GGW280" s="1144"/>
      <c r="GGX280" s="1144"/>
      <c r="GGY280" s="1144"/>
      <c r="GGZ280" s="1144"/>
      <c r="GHA280" s="1144"/>
      <c r="GHB280" s="1144"/>
      <c r="GHC280" s="1144"/>
      <c r="GHD280" s="1144"/>
      <c r="GHE280" s="1144"/>
      <c r="GHF280" s="1144"/>
      <c r="GHG280" s="1144"/>
      <c r="GHH280" s="1144"/>
      <c r="GHI280" s="1144"/>
      <c r="GHJ280" s="1144"/>
      <c r="GHK280" s="1144"/>
      <c r="GHL280" s="1144"/>
      <c r="GHM280" s="1144"/>
      <c r="GHN280" s="1144"/>
      <c r="GHO280" s="1144"/>
      <c r="GHP280" s="1144"/>
      <c r="GHQ280" s="1144"/>
      <c r="GHR280" s="1144"/>
      <c r="GHS280" s="1144"/>
      <c r="GHT280" s="1144"/>
      <c r="GHU280" s="1144"/>
      <c r="GHV280" s="1144"/>
      <c r="GHW280" s="1144"/>
      <c r="GHX280" s="1144"/>
      <c r="GHY280" s="1144"/>
      <c r="GHZ280" s="1144"/>
      <c r="GIA280" s="1144"/>
      <c r="GIB280" s="1144"/>
      <c r="GIC280" s="1144"/>
      <c r="GID280" s="1144"/>
      <c r="GIE280" s="1144"/>
      <c r="GIF280" s="1144"/>
      <c r="GIG280" s="1144"/>
      <c r="GIH280" s="1144"/>
      <c r="GII280" s="1144"/>
      <c r="GIJ280" s="1144"/>
      <c r="GIK280" s="1144"/>
      <c r="GIL280" s="1144"/>
      <c r="GIM280" s="1144"/>
      <c r="GIN280" s="1144"/>
      <c r="GIO280" s="1144"/>
      <c r="GIP280" s="1144"/>
      <c r="GIQ280" s="1144"/>
      <c r="GIR280" s="1144"/>
      <c r="GIS280" s="1144"/>
      <c r="GIT280" s="1144"/>
      <c r="GIU280" s="1144"/>
      <c r="GIV280" s="1144"/>
      <c r="GIW280" s="1144"/>
      <c r="GIX280" s="1144"/>
      <c r="GIY280" s="1144"/>
      <c r="GIZ280" s="1144"/>
      <c r="GJA280" s="1144"/>
      <c r="GJB280" s="1144"/>
      <c r="GJC280" s="1144"/>
      <c r="GJD280" s="1144"/>
      <c r="GJE280" s="1144"/>
      <c r="GJF280" s="1144"/>
      <c r="GJG280" s="1144"/>
      <c r="GJH280" s="1144"/>
      <c r="GJI280" s="1144"/>
      <c r="GJJ280" s="1144"/>
      <c r="GJK280" s="1144"/>
      <c r="GJL280" s="1144"/>
      <c r="GJM280" s="1144"/>
      <c r="GJN280" s="1144"/>
      <c r="GJO280" s="1144"/>
      <c r="GJP280" s="1144"/>
      <c r="GJQ280" s="1144"/>
      <c r="GJR280" s="1144"/>
      <c r="GJS280" s="1144"/>
      <c r="GJT280" s="1144"/>
      <c r="GJU280" s="1144"/>
      <c r="GJV280" s="1144"/>
      <c r="GJW280" s="1144"/>
      <c r="GJX280" s="1144"/>
      <c r="GJY280" s="1144"/>
      <c r="GJZ280" s="1144"/>
      <c r="GKA280" s="1144"/>
      <c r="GKB280" s="1144"/>
      <c r="GKC280" s="1144"/>
      <c r="GKD280" s="1144"/>
      <c r="GKE280" s="1144"/>
      <c r="GKF280" s="1144"/>
      <c r="GKG280" s="1144"/>
      <c r="GKH280" s="1144"/>
      <c r="GKI280" s="1144"/>
      <c r="GKJ280" s="1144"/>
      <c r="GKK280" s="1144"/>
      <c r="GKL280" s="1144"/>
      <c r="GKM280" s="1144"/>
      <c r="GKN280" s="1144"/>
      <c r="GKO280" s="1144"/>
      <c r="GKP280" s="1144"/>
      <c r="GKQ280" s="1144"/>
      <c r="GKR280" s="1144"/>
      <c r="GKS280" s="1144"/>
      <c r="GKT280" s="1144"/>
      <c r="GKU280" s="1144"/>
      <c r="GKV280" s="1144"/>
      <c r="GKW280" s="1144"/>
      <c r="GKX280" s="1144"/>
      <c r="GKY280" s="1144"/>
      <c r="GKZ280" s="1144"/>
      <c r="GLA280" s="1144"/>
      <c r="GLB280" s="1144"/>
      <c r="GLC280" s="1144"/>
      <c r="GLD280" s="1144"/>
      <c r="GLE280" s="1144"/>
      <c r="GLF280" s="1144"/>
      <c r="GLG280" s="1144"/>
      <c r="GLH280" s="1144"/>
      <c r="GLI280" s="1144"/>
      <c r="GLJ280" s="1144"/>
      <c r="GLK280" s="1144"/>
      <c r="GLL280" s="1144"/>
      <c r="GLM280" s="1144"/>
      <c r="GLN280" s="1144"/>
      <c r="GLO280" s="1144"/>
      <c r="GLP280" s="1144"/>
      <c r="GLQ280" s="1144"/>
      <c r="GLR280" s="1144"/>
      <c r="GLS280" s="1144"/>
      <c r="GLT280" s="1144"/>
      <c r="GLU280" s="1144"/>
      <c r="GLV280" s="1144"/>
      <c r="GLW280" s="1144"/>
      <c r="GLX280" s="1144"/>
      <c r="GLY280" s="1144"/>
      <c r="GLZ280" s="1144"/>
      <c r="GMA280" s="1144"/>
      <c r="GMB280" s="1144"/>
      <c r="GMC280" s="1144"/>
      <c r="GMD280" s="1144"/>
      <c r="GME280" s="1144"/>
      <c r="GMF280" s="1144"/>
      <c r="GMG280" s="1144"/>
      <c r="GMH280" s="1144"/>
      <c r="GMI280" s="1144"/>
      <c r="GMJ280" s="1144"/>
      <c r="GMK280" s="1144"/>
      <c r="GML280" s="1144"/>
      <c r="GMM280" s="1144"/>
      <c r="GMN280" s="1144"/>
      <c r="GMO280" s="1144"/>
      <c r="GMP280" s="1144"/>
      <c r="GMQ280" s="1144"/>
      <c r="GMR280" s="1144"/>
      <c r="GMS280" s="1144"/>
      <c r="GMT280" s="1144"/>
      <c r="GMU280" s="1144"/>
      <c r="GMV280" s="1144"/>
      <c r="GMW280" s="1144"/>
      <c r="GMX280" s="1144"/>
      <c r="GMY280" s="1144"/>
      <c r="GMZ280" s="1144"/>
      <c r="GNA280" s="1144"/>
      <c r="GNB280" s="1144"/>
      <c r="GNC280" s="1144"/>
      <c r="GND280" s="1144"/>
      <c r="GNE280" s="1144"/>
      <c r="GNF280" s="1144"/>
      <c r="GNG280" s="1144"/>
      <c r="GNH280" s="1144"/>
      <c r="GNI280" s="1144"/>
      <c r="GNJ280" s="1144"/>
      <c r="GNK280" s="1144"/>
      <c r="GNL280" s="1144"/>
      <c r="GNM280" s="1144"/>
      <c r="GNN280" s="1144"/>
      <c r="GNO280" s="1144"/>
      <c r="GNP280" s="1144"/>
      <c r="GNQ280" s="1144"/>
      <c r="GNR280" s="1144"/>
      <c r="GNS280" s="1144"/>
      <c r="GNT280" s="1144"/>
      <c r="GNU280" s="1144"/>
      <c r="GNV280" s="1144"/>
      <c r="GNW280" s="1144"/>
      <c r="GNX280" s="1144"/>
      <c r="GNY280" s="1144"/>
      <c r="GNZ280" s="1144"/>
      <c r="GOA280" s="1144"/>
      <c r="GOB280" s="1144"/>
      <c r="GOC280" s="1144"/>
      <c r="GOD280" s="1144"/>
      <c r="GOE280" s="1144"/>
      <c r="GOF280" s="1144"/>
      <c r="GOG280" s="1144"/>
      <c r="GOH280" s="1144"/>
      <c r="GOI280" s="1144"/>
      <c r="GOJ280" s="1144"/>
      <c r="GOK280" s="1144"/>
      <c r="GOL280" s="1144"/>
      <c r="GOM280" s="1144"/>
      <c r="GON280" s="1144"/>
      <c r="GOO280" s="1144"/>
      <c r="GOP280" s="1144"/>
      <c r="GOQ280" s="1144"/>
      <c r="GOR280" s="1144"/>
      <c r="GOS280" s="1144"/>
      <c r="GOT280" s="1144"/>
      <c r="GOU280" s="1144"/>
      <c r="GOV280" s="1144"/>
      <c r="GOW280" s="1144"/>
      <c r="GOX280" s="1144"/>
      <c r="GOY280" s="1144"/>
      <c r="GOZ280" s="1144"/>
      <c r="GPA280" s="1144"/>
      <c r="GPB280" s="1144"/>
      <c r="GPC280" s="1144"/>
      <c r="GPD280" s="1144"/>
      <c r="GPE280" s="1144"/>
      <c r="GPF280" s="1144"/>
      <c r="GPG280" s="1144"/>
      <c r="GPH280" s="1144"/>
      <c r="GPI280" s="1144"/>
      <c r="GPJ280" s="1144"/>
      <c r="GPK280" s="1144"/>
      <c r="GPL280" s="1144"/>
      <c r="GPM280" s="1144"/>
      <c r="GPN280" s="1144"/>
      <c r="GPO280" s="1144"/>
      <c r="GPP280" s="1144"/>
      <c r="GPQ280" s="1144"/>
      <c r="GPR280" s="1144"/>
      <c r="GPS280" s="1144"/>
      <c r="GPT280" s="1144"/>
      <c r="GPU280" s="1144"/>
      <c r="GPV280" s="1144"/>
      <c r="GPW280" s="1144"/>
      <c r="GPX280" s="1144"/>
      <c r="GPY280" s="1144"/>
      <c r="GPZ280" s="1144"/>
      <c r="GQA280" s="1144"/>
      <c r="GQB280" s="1144"/>
      <c r="GQC280" s="1144"/>
      <c r="GQD280" s="1144"/>
      <c r="GQE280" s="1144"/>
      <c r="GQF280" s="1144"/>
      <c r="GQG280" s="1144"/>
      <c r="GQH280" s="1144"/>
      <c r="GQI280" s="1144"/>
      <c r="GQJ280" s="1144"/>
      <c r="GQK280" s="1144"/>
      <c r="GQL280" s="1144"/>
      <c r="GQM280" s="1144"/>
      <c r="GQN280" s="1144"/>
      <c r="GQO280" s="1144"/>
      <c r="GQP280" s="1144"/>
      <c r="GQQ280" s="1144"/>
      <c r="GQR280" s="1144"/>
      <c r="GQS280" s="1144"/>
      <c r="GQT280" s="1144"/>
      <c r="GQU280" s="1144"/>
      <c r="GQV280" s="1144"/>
      <c r="GQW280" s="1144"/>
      <c r="GQX280" s="1144"/>
      <c r="GQY280" s="1144"/>
      <c r="GQZ280" s="1144"/>
      <c r="GRA280" s="1144"/>
      <c r="GRB280" s="1144"/>
      <c r="GRC280" s="1144"/>
      <c r="GRD280" s="1144"/>
      <c r="GRE280" s="1144"/>
      <c r="GRF280" s="1144"/>
      <c r="GRG280" s="1144"/>
      <c r="GRH280" s="1144"/>
      <c r="GRI280" s="1144"/>
      <c r="GRJ280" s="1144"/>
      <c r="GRK280" s="1144"/>
      <c r="GRL280" s="1144"/>
      <c r="GRM280" s="1144"/>
      <c r="GRN280" s="1144"/>
      <c r="GRO280" s="1144"/>
      <c r="GRP280" s="1144"/>
      <c r="GRQ280" s="1144"/>
      <c r="GRR280" s="1144"/>
      <c r="GRS280" s="1144"/>
      <c r="GRT280" s="1144"/>
      <c r="GRU280" s="1144"/>
      <c r="GRV280" s="1144"/>
      <c r="GRW280" s="1144"/>
      <c r="GRX280" s="1144"/>
      <c r="GRY280" s="1144"/>
      <c r="GRZ280" s="1144"/>
      <c r="GSA280" s="1144"/>
      <c r="GSB280" s="1144"/>
      <c r="GSC280" s="1144"/>
      <c r="GSD280" s="1144"/>
      <c r="GSE280" s="1144"/>
      <c r="GSF280" s="1144"/>
      <c r="GSG280" s="1144"/>
      <c r="GSH280" s="1144"/>
      <c r="GSI280" s="1144"/>
      <c r="GSJ280" s="1144"/>
      <c r="GSK280" s="1144"/>
      <c r="GSL280" s="1144"/>
      <c r="GSM280" s="1144"/>
      <c r="GSN280" s="1144"/>
      <c r="GSO280" s="1144"/>
      <c r="GSP280" s="1144"/>
      <c r="GSQ280" s="1144"/>
      <c r="GSR280" s="1144"/>
      <c r="GSS280" s="1144"/>
      <c r="GST280" s="1144"/>
      <c r="GSU280" s="1144"/>
      <c r="GSV280" s="1144"/>
      <c r="GSW280" s="1144"/>
      <c r="GSX280" s="1144"/>
      <c r="GSY280" s="1144"/>
      <c r="GSZ280" s="1144"/>
      <c r="GTA280" s="1144"/>
      <c r="GTB280" s="1144"/>
      <c r="GTC280" s="1144"/>
      <c r="GTD280" s="1144"/>
      <c r="GTE280" s="1144"/>
      <c r="GTF280" s="1144"/>
      <c r="GTG280" s="1144"/>
      <c r="GTH280" s="1144"/>
      <c r="GTI280" s="1144"/>
      <c r="GTJ280" s="1144"/>
      <c r="GTK280" s="1144"/>
      <c r="GTL280" s="1144"/>
      <c r="GTM280" s="1144"/>
      <c r="GTN280" s="1144"/>
      <c r="GTO280" s="1144"/>
      <c r="GTP280" s="1144"/>
      <c r="GTQ280" s="1144"/>
      <c r="GTR280" s="1144"/>
      <c r="GTS280" s="1144"/>
      <c r="GTT280" s="1144"/>
      <c r="GTU280" s="1144"/>
      <c r="GTV280" s="1144"/>
      <c r="GTW280" s="1144"/>
      <c r="GTX280" s="1144"/>
      <c r="GTY280" s="1144"/>
      <c r="GTZ280" s="1144"/>
      <c r="GUA280" s="1144"/>
      <c r="GUB280" s="1144"/>
      <c r="GUC280" s="1144"/>
      <c r="GUD280" s="1144"/>
      <c r="GUE280" s="1144"/>
      <c r="GUF280" s="1144"/>
      <c r="GUG280" s="1144"/>
      <c r="GUH280" s="1144"/>
      <c r="GUI280" s="1144"/>
      <c r="GUJ280" s="1144"/>
      <c r="GUK280" s="1144"/>
      <c r="GUL280" s="1144"/>
      <c r="GUM280" s="1144"/>
      <c r="GUN280" s="1144"/>
      <c r="GUO280" s="1144"/>
      <c r="GUP280" s="1144"/>
      <c r="GUQ280" s="1144"/>
      <c r="GUR280" s="1144"/>
      <c r="GUS280" s="1144"/>
      <c r="GUT280" s="1144"/>
      <c r="GUU280" s="1144"/>
      <c r="GUV280" s="1144"/>
      <c r="GUW280" s="1144"/>
      <c r="GUX280" s="1144"/>
      <c r="GUY280" s="1144"/>
      <c r="GUZ280" s="1144"/>
      <c r="GVA280" s="1144"/>
      <c r="GVB280" s="1144"/>
      <c r="GVC280" s="1144"/>
      <c r="GVD280" s="1144"/>
      <c r="GVE280" s="1144"/>
      <c r="GVF280" s="1144"/>
      <c r="GVG280" s="1144"/>
      <c r="GVH280" s="1144"/>
      <c r="GVI280" s="1144"/>
      <c r="GVJ280" s="1144"/>
      <c r="GVK280" s="1144"/>
      <c r="GVL280" s="1144"/>
      <c r="GVM280" s="1144"/>
      <c r="GVN280" s="1144"/>
      <c r="GVO280" s="1144"/>
      <c r="GVP280" s="1144"/>
      <c r="GVQ280" s="1144"/>
      <c r="GVR280" s="1144"/>
      <c r="GVS280" s="1144"/>
      <c r="GVT280" s="1144"/>
      <c r="GVU280" s="1144"/>
      <c r="GVV280" s="1144"/>
      <c r="GVW280" s="1144"/>
      <c r="GVX280" s="1144"/>
      <c r="GVY280" s="1144"/>
      <c r="GVZ280" s="1144"/>
      <c r="GWA280" s="1144"/>
      <c r="GWB280" s="1144"/>
      <c r="GWC280" s="1144"/>
      <c r="GWD280" s="1144"/>
      <c r="GWE280" s="1144"/>
      <c r="GWF280" s="1144"/>
      <c r="GWG280" s="1144"/>
      <c r="GWH280" s="1144"/>
      <c r="GWI280" s="1144"/>
      <c r="GWJ280" s="1144"/>
      <c r="GWK280" s="1144"/>
      <c r="GWL280" s="1144"/>
      <c r="GWM280" s="1144"/>
      <c r="GWN280" s="1144"/>
      <c r="GWO280" s="1144"/>
      <c r="GWP280" s="1144"/>
      <c r="GWQ280" s="1144"/>
      <c r="GWR280" s="1144"/>
      <c r="GWS280" s="1144"/>
      <c r="GWT280" s="1144"/>
      <c r="GWU280" s="1144"/>
      <c r="GWV280" s="1144"/>
      <c r="GWW280" s="1144"/>
      <c r="GWX280" s="1144"/>
      <c r="GWY280" s="1144"/>
      <c r="GWZ280" s="1144"/>
      <c r="GXA280" s="1144"/>
      <c r="GXB280" s="1144"/>
      <c r="GXC280" s="1144"/>
      <c r="GXD280" s="1144"/>
      <c r="GXE280" s="1144"/>
      <c r="GXF280" s="1144"/>
      <c r="GXG280" s="1144"/>
      <c r="GXH280" s="1144"/>
      <c r="GXI280" s="1144"/>
      <c r="GXJ280" s="1144"/>
      <c r="GXK280" s="1144"/>
      <c r="GXL280" s="1144"/>
      <c r="GXM280" s="1144"/>
      <c r="GXN280" s="1144"/>
      <c r="GXO280" s="1144"/>
      <c r="GXP280" s="1144"/>
      <c r="GXQ280" s="1144"/>
      <c r="GXR280" s="1144"/>
      <c r="GXS280" s="1144"/>
      <c r="GXT280" s="1144"/>
      <c r="GXU280" s="1144"/>
      <c r="GXV280" s="1144"/>
      <c r="GXW280" s="1144"/>
      <c r="GXX280" s="1144"/>
      <c r="GXY280" s="1144"/>
      <c r="GXZ280" s="1144"/>
      <c r="GYA280" s="1144"/>
      <c r="GYB280" s="1144"/>
      <c r="GYC280" s="1144"/>
      <c r="GYD280" s="1144"/>
      <c r="GYE280" s="1144"/>
      <c r="GYF280" s="1144"/>
      <c r="GYG280" s="1144"/>
      <c r="GYH280" s="1144"/>
      <c r="GYI280" s="1144"/>
      <c r="GYJ280" s="1144"/>
      <c r="GYK280" s="1144"/>
      <c r="GYL280" s="1144"/>
      <c r="GYM280" s="1144"/>
      <c r="GYN280" s="1144"/>
      <c r="GYO280" s="1144"/>
      <c r="GYP280" s="1144"/>
      <c r="GYQ280" s="1144"/>
      <c r="GYR280" s="1144"/>
      <c r="GYS280" s="1144"/>
      <c r="GYT280" s="1144"/>
      <c r="GYU280" s="1144"/>
      <c r="GYV280" s="1144"/>
      <c r="GYW280" s="1144"/>
      <c r="GYX280" s="1144"/>
      <c r="GYY280" s="1144"/>
      <c r="GYZ280" s="1144"/>
      <c r="GZA280" s="1144"/>
      <c r="GZB280" s="1144"/>
      <c r="GZC280" s="1144"/>
      <c r="GZD280" s="1144"/>
      <c r="GZE280" s="1144"/>
      <c r="GZF280" s="1144"/>
      <c r="GZG280" s="1144"/>
      <c r="GZH280" s="1144"/>
      <c r="GZI280" s="1144"/>
      <c r="GZJ280" s="1144"/>
      <c r="GZK280" s="1144"/>
      <c r="GZL280" s="1144"/>
      <c r="GZM280" s="1144"/>
      <c r="GZN280" s="1144"/>
      <c r="GZO280" s="1144"/>
      <c r="GZP280" s="1144"/>
      <c r="GZQ280" s="1144"/>
      <c r="GZR280" s="1144"/>
      <c r="GZS280" s="1144"/>
      <c r="GZT280" s="1144"/>
      <c r="GZU280" s="1144"/>
      <c r="GZV280" s="1144"/>
      <c r="GZW280" s="1144"/>
      <c r="GZX280" s="1144"/>
      <c r="GZY280" s="1144"/>
      <c r="GZZ280" s="1144"/>
      <c r="HAA280" s="1144"/>
      <c r="HAB280" s="1144"/>
      <c r="HAC280" s="1144"/>
      <c r="HAD280" s="1144"/>
      <c r="HAE280" s="1144"/>
      <c r="HAF280" s="1144"/>
      <c r="HAG280" s="1144"/>
      <c r="HAH280" s="1144"/>
      <c r="HAI280" s="1144"/>
      <c r="HAJ280" s="1144"/>
      <c r="HAK280" s="1144"/>
      <c r="HAL280" s="1144"/>
      <c r="HAM280" s="1144"/>
      <c r="HAN280" s="1144"/>
      <c r="HAO280" s="1144"/>
      <c r="HAP280" s="1144"/>
      <c r="HAQ280" s="1144"/>
      <c r="HAR280" s="1144"/>
      <c r="HAS280" s="1144"/>
      <c r="HAT280" s="1144"/>
      <c r="HAU280" s="1144"/>
      <c r="HAV280" s="1144"/>
      <c r="HAW280" s="1144"/>
      <c r="HAX280" s="1144"/>
      <c r="HAY280" s="1144"/>
      <c r="HAZ280" s="1144"/>
      <c r="HBA280" s="1144"/>
      <c r="HBB280" s="1144"/>
      <c r="HBC280" s="1144"/>
      <c r="HBD280" s="1144"/>
      <c r="HBE280" s="1144"/>
      <c r="HBF280" s="1144"/>
      <c r="HBG280" s="1144"/>
      <c r="HBH280" s="1144"/>
      <c r="HBI280" s="1144"/>
      <c r="HBJ280" s="1144"/>
      <c r="HBK280" s="1144"/>
      <c r="HBL280" s="1144"/>
      <c r="HBM280" s="1144"/>
      <c r="HBN280" s="1144"/>
      <c r="HBO280" s="1144"/>
      <c r="HBP280" s="1144"/>
      <c r="HBQ280" s="1144"/>
      <c r="HBR280" s="1144"/>
      <c r="HBS280" s="1144"/>
      <c r="HBT280" s="1144"/>
      <c r="HBU280" s="1144"/>
      <c r="HBV280" s="1144"/>
      <c r="HBW280" s="1144"/>
      <c r="HBX280" s="1144"/>
      <c r="HBY280" s="1144"/>
      <c r="HBZ280" s="1144"/>
      <c r="HCA280" s="1144"/>
      <c r="HCB280" s="1144"/>
      <c r="HCC280" s="1144"/>
      <c r="HCD280" s="1144"/>
      <c r="HCE280" s="1144"/>
      <c r="HCF280" s="1144"/>
      <c r="HCG280" s="1144"/>
      <c r="HCH280" s="1144"/>
      <c r="HCI280" s="1144"/>
      <c r="HCJ280" s="1144"/>
      <c r="HCK280" s="1144"/>
      <c r="HCL280" s="1144"/>
      <c r="HCM280" s="1144"/>
      <c r="HCN280" s="1144"/>
      <c r="HCO280" s="1144"/>
      <c r="HCP280" s="1144"/>
      <c r="HCQ280" s="1144"/>
      <c r="HCR280" s="1144"/>
      <c r="HCS280" s="1144"/>
      <c r="HCT280" s="1144"/>
      <c r="HCU280" s="1144"/>
      <c r="HCV280" s="1144"/>
      <c r="HCW280" s="1144"/>
      <c r="HCX280" s="1144"/>
      <c r="HCY280" s="1144"/>
      <c r="HCZ280" s="1144"/>
      <c r="HDA280" s="1144"/>
      <c r="HDB280" s="1144"/>
      <c r="HDC280" s="1144"/>
      <c r="HDD280" s="1144"/>
      <c r="HDE280" s="1144"/>
      <c r="HDF280" s="1144"/>
      <c r="HDG280" s="1144"/>
      <c r="HDH280" s="1144"/>
      <c r="HDI280" s="1144"/>
      <c r="HDJ280" s="1144"/>
      <c r="HDK280" s="1144"/>
      <c r="HDL280" s="1144"/>
      <c r="HDM280" s="1144"/>
      <c r="HDN280" s="1144"/>
      <c r="HDO280" s="1144"/>
      <c r="HDP280" s="1144"/>
      <c r="HDQ280" s="1144"/>
      <c r="HDR280" s="1144"/>
      <c r="HDS280" s="1144"/>
      <c r="HDT280" s="1144"/>
      <c r="HDU280" s="1144"/>
      <c r="HDV280" s="1144"/>
      <c r="HDW280" s="1144"/>
      <c r="HDX280" s="1144"/>
      <c r="HDY280" s="1144"/>
      <c r="HDZ280" s="1144"/>
      <c r="HEA280" s="1144"/>
      <c r="HEB280" s="1144"/>
      <c r="HEC280" s="1144"/>
      <c r="HED280" s="1144"/>
      <c r="HEE280" s="1144"/>
      <c r="HEF280" s="1144"/>
      <c r="HEG280" s="1144"/>
      <c r="HEH280" s="1144"/>
      <c r="HEI280" s="1144"/>
      <c r="HEJ280" s="1144"/>
      <c r="HEK280" s="1144"/>
      <c r="HEL280" s="1144"/>
      <c r="HEM280" s="1144"/>
      <c r="HEN280" s="1144"/>
      <c r="HEO280" s="1144"/>
      <c r="HEP280" s="1144"/>
      <c r="HEQ280" s="1144"/>
      <c r="HER280" s="1144"/>
      <c r="HES280" s="1144"/>
      <c r="HET280" s="1144"/>
      <c r="HEU280" s="1144"/>
      <c r="HEV280" s="1144"/>
      <c r="HEW280" s="1144"/>
      <c r="HEX280" s="1144"/>
      <c r="HEY280" s="1144"/>
      <c r="HEZ280" s="1144"/>
      <c r="HFA280" s="1144"/>
      <c r="HFB280" s="1144"/>
      <c r="HFC280" s="1144"/>
      <c r="HFD280" s="1144"/>
      <c r="HFE280" s="1144"/>
      <c r="HFF280" s="1144"/>
      <c r="HFG280" s="1144"/>
      <c r="HFH280" s="1144"/>
      <c r="HFI280" s="1144"/>
      <c r="HFJ280" s="1144"/>
      <c r="HFK280" s="1144"/>
      <c r="HFL280" s="1144"/>
      <c r="HFM280" s="1144"/>
      <c r="HFN280" s="1144"/>
      <c r="HFO280" s="1144"/>
      <c r="HFP280" s="1144"/>
      <c r="HFQ280" s="1144"/>
      <c r="HFR280" s="1144"/>
      <c r="HFS280" s="1144"/>
      <c r="HFT280" s="1144"/>
      <c r="HFU280" s="1144"/>
      <c r="HFV280" s="1144"/>
      <c r="HFW280" s="1144"/>
      <c r="HFX280" s="1144"/>
      <c r="HFY280" s="1144"/>
      <c r="HFZ280" s="1144"/>
      <c r="HGA280" s="1144"/>
      <c r="HGB280" s="1144"/>
      <c r="HGC280" s="1144"/>
      <c r="HGD280" s="1144"/>
      <c r="HGE280" s="1144"/>
      <c r="HGF280" s="1144"/>
      <c r="HGG280" s="1144"/>
      <c r="HGH280" s="1144"/>
      <c r="HGI280" s="1144"/>
      <c r="HGJ280" s="1144"/>
      <c r="HGK280" s="1144"/>
      <c r="HGL280" s="1144"/>
      <c r="HGM280" s="1144"/>
      <c r="HGN280" s="1144"/>
      <c r="HGO280" s="1144"/>
      <c r="HGP280" s="1144"/>
      <c r="HGQ280" s="1144"/>
      <c r="HGR280" s="1144"/>
      <c r="HGS280" s="1144"/>
      <c r="HGT280" s="1144"/>
      <c r="HGU280" s="1144"/>
      <c r="HGV280" s="1144"/>
      <c r="HGW280" s="1144"/>
      <c r="HGX280" s="1144"/>
      <c r="HGY280" s="1144"/>
      <c r="HGZ280" s="1144"/>
      <c r="HHA280" s="1144"/>
      <c r="HHB280" s="1144"/>
      <c r="HHC280" s="1144"/>
      <c r="HHD280" s="1144"/>
      <c r="HHE280" s="1144"/>
      <c r="HHF280" s="1144"/>
      <c r="HHG280" s="1144"/>
      <c r="HHH280" s="1144"/>
      <c r="HHI280" s="1144"/>
      <c r="HHJ280" s="1144"/>
      <c r="HHK280" s="1144"/>
      <c r="HHL280" s="1144"/>
      <c r="HHM280" s="1144"/>
      <c r="HHN280" s="1144"/>
      <c r="HHO280" s="1144"/>
      <c r="HHP280" s="1144"/>
      <c r="HHQ280" s="1144"/>
      <c r="HHR280" s="1144"/>
      <c r="HHS280" s="1144"/>
      <c r="HHT280" s="1144"/>
      <c r="HHU280" s="1144"/>
      <c r="HHV280" s="1144"/>
      <c r="HHW280" s="1144"/>
      <c r="HHX280" s="1144"/>
      <c r="HHY280" s="1144"/>
      <c r="HHZ280" s="1144"/>
      <c r="HIA280" s="1144"/>
      <c r="HIB280" s="1144"/>
      <c r="HIC280" s="1144"/>
      <c r="HID280" s="1144"/>
      <c r="HIE280" s="1144"/>
      <c r="HIF280" s="1144"/>
      <c r="HIG280" s="1144"/>
      <c r="HIH280" s="1144"/>
      <c r="HII280" s="1144"/>
      <c r="HIJ280" s="1144"/>
      <c r="HIK280" s="1144"/>
      <c r="HIL280" s="1144"/>
      <c r="HIM280" s="1144"/>
      <c r="HIN280" s="1144"/>
      <c r="HIO280" s="1144"/>
      <c r="HIP280" s="1144"/>
      <c r="HIQ280" s="1144"/>
      <c r="HIR280" s="1144"/>
      <c r="HIS280" s="1144"/>
      <c r="HIT280" s="1144"/>
      <c r="HIU280" s="1144"/>
      <c r="HIV280" s="1144"/>
      <c r="HIW280" s="1144"/>
      <c r="HIX280" s="1144"/>
      <c r="HIY280" s="1144"/>
      <c r="HIZ280" s="1144"/>
      <c r="HJA280" s="1144"/>
      <c r="HJB280" s="1144"/>
      <c r="HJC280" s="1144"/>
      <c r="HJD280" s="1144"/>
      <c r="HJE280" s="1144"/>
      <c r="HJF280" s="1144"/>
      <c r="HJG280" s="1144"/>
      <c r="HJH280" s="1144"/>
      <c r="HJI280" s="1144"/>
      <c r="HJJ280" s="1144"/>
      <c r="HJK280" s="1144"/>
      <c r="HJL280" s="1144"/>
      <c r="HJM280" s="1144"/>
      <c r="HJN280" s="1144"/>
      <c r="HJO280" s="1144"/>
      <c r="HJP280" s="1144"/>
      <c r="HJQ280" s="1144"/>
      <c r="HJR280" s="1144"/>
      <c r="HJS280" s="1144"/>
      <c r="HJT280" s="1144"/>
      <c r="HJU280" s="1144"/>
      <c r="HJV280" s="1144"/>
      <c r="HJW280" s="1144"/>
      <c r="HJX280" s="1144"/>
      <c r="HJY280" s="1144"/>
      <c r="HJZ280" s="1144"/>
      <c r="HKA280" s="1144"/>
      <c r="HKB280" s="1144"/>
      <c r="HKC280" s="1144"/>
      <c r="HKD280" s="1144"/>
      <c r="HKE280" s="1144"/>
      <c r="HKF280" s="1144"/>
      <c r="HKG280" s="1144"/>
      <c r="HKH280" s="1144"/>
      <c r="HKI280" s="1144"/>
      <c r="HKJ280" s="1144"/>
      <c r="HKK280" s="1144"/>
      <c r="HKL280" s="1144"/>
      <c r="HKM280" s="1144"/>
      <c r="HKN280" s="1144"/>
      <c r="HKO280" s="1144"/>
      <c r="HKP280" s="1144"/>
      <c r="HKQ280" s="1144"/>
      <c r="HKR280" s="1144"/>
      <c r="HKS280" s="1144"/>
      <c r="HKT280" s="1144"/>
      <c r="HKU280" s="1144"/>
      <c r="HKV280" s="1144"/>
      <c r="HKW280" s="1144"/>
      <c r="HKX280" s="1144"/>
      <c r="HKY280" s="1144"/>
      <c r="HKZ280" s="1144"/>
      <c r="HLA280" s="1144"/>
      <c r="HLB280" s="1144"/>
      <c r="HLC280" s="1144"/>
      <c r="HLD280" s="1144"/>
      <c r="HLE280" s="1144"/>
      <c r="HLF280" s="1144"/>
      <c r="HLG280" s="1144"/>
      <c r="HLH280" s="1144"/>
      <c r="HLI280" s="1144"/>
      <c r="HLJ280" s="1144"/>
      <c r="HLK280" s="1144"/>
      <c r="HLL280" s="1144"/>
      <c r="HLM280" s="1144"/>
      <c r="HLN280" s="1144"/>
      <c r="HLO280" s="1144"/>
      <c r="HLP280" s="1144"/>
      <c r="HLQ280" s="1144"/>
      <c r="HLR280" s="1144"/>
      <c r="HLS280" s="1144"/>
      <c r="HLT280" s="1144"/>
      <c r="HLU280" s="1144"/>
      <c r="HLV280" s="1144"/>
      <c r="HLW280" s="1144"/>
      <c r="HLX280" s="1144"/>
      <c r="HLY280" s="1144"/>
      <c r="HLZ280" s="1144"/>
      <c r="HMA280" s="1144"/>
      <c r="HMB280" s="1144"/>
      <c r="HMC280" s="1144"/>
      <c r="HMD280" s="1144"/>
      <c r="HME280" s="1144"/>
      <c r="HMF280" s="1144"/>
      <c r="HMG280" s="1144"/>
      <c r="HMH280" s="1144"/>
      <c r="HMI280" s="1144"/>
      <c r="HMJ280" s="1144"/>
      <c r="HMK280" s="1144"/>
      <c r="HML280" s="1144"/>
      <c r="HMM280" s="1144"/>
      <c r="HMN280" s="1144"/>
      <c r="HMO280" s="1144"/>
      <c r="HMP280" s="1144"/>
      <c r="HMQ280" s="1144"/>
      <c r="HMR280" s="1144"/>
      <c r="HMS280" s="1144"/>
      <c r="HMT280" s="1144"/>
      <c r="HMU280" s="1144"/>
      <c r="HMV280" s="1144"/>
      <c r="HMW280" s="1144"/>
      <c r="HMX280" s="1144"/>
      <c r="HMY280" s="1144"/>
      <c r="HMZ280" s="1144"/>
      <c r="HNA280" s="1144"/>
      <c r="HNB280" s="1144"/>
      <c r="HNC280" s="1144"/>
      <c r="HND280" s="1144"/>
      <c r="HNE280" s="1144"/>
      <c r="HNF280" s="1144"/>
      <c r="HNG280" s="1144"/>
      <c r="HNH280" s="1144"/>
      <c r="HNI280" s="1144"/>
      <c r="HNJ280" s="1144"/>
      <c r="HNK280" s="1144"/>
      <c r="HNL280" s="1144"/>
      <c r="HNM280" s="1144"/>
      <c r="HNN280" s="1144"/>
      <c r="HNO280" s="1144"/>
      <c r="HNP280" s="1144"/>
      <c r="HNQ280" s="1144"/>
      <c r="HNR280" s="1144"/>
      <c r="HNS280" s="1144"/>
      <c r="HNT280" s="1144"/>
      <c r="HNU280" s="1144"/>
      <c r="HNV280" s="1144"/>
      <c r="HNW280" s="1144"/>
      <c r="HNX280" s="1144"/>
      <c r="HNY280" s="1144"/>
      <c r="HNZ280" s="1144"/>
      <c r="HOA280" s="1144"/>
      <c r="HOB280" s="1144"/>
      <c r="HOC280" s="1144"/>
      <c r="HOD280" s="1144"/>
      <c r="HOE280" s="1144"/>
      <c r="HOF280" s="1144"/>
      <c r="HOG280" s="1144"/>
      <c r="HOH280" s="1144"/>
      <c r="HOI280" s="1144"/>
      <c r="HOJ280" s="1144"/>
      <c r="HOK280" s="1144"/>
      <c r="HOL280" s="1144"/>
      <c r="HOM280" s="1144"/>
      <c r="HON280" s="1144"/>
      <c r="HOO280" s="1144"/>
      <c r="HOP280" s="1144"/>
      <c r="HOQ280" s="1144"/>
      <c r="HOR280" s="1144"/>
      <c r="HOS280" s="1144"/>
      <c r="HOT280" s="1144"/>
      <c r="HOU280" s="1144"/>
      <c r="HOV280" s="1144"/>
      <c r="HOW280" s="1144"/>
      <c r="HOX280" s="1144"/>
      <c r="HOY280" s="1144"/>
      <c r="HOZ280" s="1144"/>
      <c r="HPA280" s="1144"/>
      <c r="HPB280" s="1144"/>
      <c r="HPC280" s="1144"/>
      <c r="HPD280" s="1144"/>
      <c r="HPE280" s="1144"/>
      <c r="HPF280" s="1144"/>
      <c r="HPG280" s="1144"/>
      <c r="HPH280" s="1144"/>
      <c r="HPI280" s="1144"/>
      <c r="HPJ280" s="1144"/>
      <c r="HPK280" s="1144"/>
      <c r="HPL280" s="1144"/>
      <c r="HPM280" s="1144"/>
      <c r="HPN280" s="1144"/>
      <c r="HPO280" s="1144"/>
      <c r="HPP280" s="1144"/>
      <c r="HPQ280" s="1144"/>
      <c r="HPR280" s="1144"/>
      <c r="HPS280" s="1144"/>
      <c r="HPT280" s="1144"/>
      <c r="HPU280" s="1144"/>
      <c r="HPV280" s="1144"/>
      <c r="HPW280" s="1144"/>
      <c r="HPX280" s="1144"/>
      <c r="HPY280" s="1144"/>
      <c r="HPZ280" s="1144"/>
      <c r="HQA280" s="1144"/>
      <c r="HQB280" s="1144"/>
      <c r="HQC280" s="1144"/>
      <c r="HQD280" s="1144"/>
      <c r="HQE280" s="1144"/>
      <c r="HQF280" s="1144"/>
      <c r="HQG280" s="1144"/>
      <c r="HQH280" s="1144"/>
      <c r="HQI280" s="1144"/>
      <c r="HQJ280" s="1144"/>
      <c r="HQK280" s="1144"/>
      <c r="HQL280" s="1144"/>
      <c r="HQM280" s="1144"/>
      <c r="HQN280" s="1144"/>
      <c r="HQO280" s="1144"/>
      <c r="HQP280" s="1144"/>
      <c r="HQQ280" s="1144"/>
      <c r="HQR280" s="1144"/>
      <c r="HQS280" s="1144"/>
      <c r="HQT280" s="1144"/>
      <c r="HQU280" s="1144"/>
      <c r="HQV280" s="1144"/>
      <c r="HQW280" s="1144"/>
      <c r="HQX280" s="1144"/>
      <c r="HQY280" s="1144"/>
      <c r="HQZ280" s="1144"/>
      <c r="HRA280" s="1144"/>
      <c r="HRB280" s="1144"/>
      <c r="HRC280" s="1144"/>
      <c r="HRD280" s="1144"/>
      <c r="HRE280" s="1144"/>
      <c r="HRF280" s="1144"/>
      <c r="HRG280" s="1144"/>
      <c r="HRH280" s="1144"/>
      <c r="HRI280" s="1144"/>
      <c r="HRJ280" s="1144"/>
      <c r="HRK280" s="1144"/>
      <c r="HRL280" s="1144"/>
      <c r="HRM280" s="1144"/>
      <c r="HRN280" s="1144"/>
      <c r="HRO280" s="1144"/>
      <c r="HRP280" s="1144"/>
      <c r="HRQ280" s="1144"/>
      <c r="HRR280" s="1144"/>
      <c r="HRS280" s="1144"/>
      <c r="HRT280" s="1144"/>
      <c r="HRU280" s="1144"/>
      <c r="HRV280" s="1144"/>
      <c r="HRW280" s="1144"/>
      <c r="HRX280" s="1144"/>
      <c r="HRY280" s="1144"/>
      <c r="HRZ280" s="1144"/>
      <c r="HSA280" s="1144"/>
      <c r="HSB280" s="1144"/>
      <c r="HSC280" s="1144"/>
      <c r="HSD280" s="1144"/>
      <c r="HSE280" s="1144"/>
      <c r="HSF280" s="1144"/>
      <c r="HSG280" s="1144"/>
      <c r="HSH280" s="1144"/>
      <c r="HSI280" s="1144"/>
      <c r="HSJ280" s="1144"/>
      <c r="HSK280" s="1144"/>
      <c r="HSL280" s="1144"/>
      <c r="HSM280" s="1144"/>
      <c r="HSN280" s="1144"/>
      <c r="HSO280" s="1144"/>
      <c r="HSP280" s="1144"/>
      <c r="HSQ280" s="1144"/>
      <c r="HSR280" s="1144"/>
      <c r="HSS280" s="1144"/>
      <c r="HST280" s="1144"/>
      <c r="HSU280" s="1144"/>
      <c r="HSV280" s="1144"/>
      <c r="HSW280" s="1144"/>
      <c r="HSX280" s="1144"/>
      <c r="HSY280" s="1144"/>
      <c r="HSZ280" s="1144"/>
      <c r="HTA280" s="1144"/>
      <c r="HTB280" s="1144"/>
      <c r="HTC280" s="1144"/>
      <c r="HTD280" s="1144"/>
      <c r="HTE280" s="1144"/>
      <c r="HTF280" s="1144"/>
      <c r="HTG280" s="1144"/>
      <c r="HTH280" s="1144"/>
      <c r="HTI280" s="1144"/>
      <c r="HTJ280" s="1144"/>
      <c r="HTK280" s="1144"/>
      <c r="HTL280" s="1144"/>
      <c r="HTM280" s="1144"/>
      <c r="HTN280" s="1144"/>
      <c r="HTO280" s="1144"/>
      <c r="HTP280" s="1144"/>
      <c r="HTQ280" s="1144"/>
      <c r="HTR280" s="1144"/>
      <c r="HTS280" s="1144"/>
      <c r="HTT280" s="1144"/>
      <c r="HTU280" s="1144"/>
      <c r="HTV280" s="1144"/>
      <c r="HTW280" s="1144"/>
      <c r="HTX280" s="1144"/>
      <c r="HTY280" s="1144"/>
      <c r="HTZ280" s="1144"/>
      <c r="HUA280" s="1144"/>
      <c r="HUB280" s="1144"/>
      <c r="HUC280" s="1144"/>
      <c r="HUD280" s="1144"/>
      <c r="HUE280" s="1144"/>
      <c r="HUF280" s="1144"/>
      <c r="HUG280" s="1144"/>
      <c r="HUH280" s="1144"/>
      <c r="HUI280" s="1144"/>
      <c r="HUJ280" s="1144"/>
      <c r="HUK280" s="1144"/>
      <c r="HUL280" s="1144"/>
      <c r="HUM280" s="1144"/>
      <c r="HUN280" s="1144"/>
      <c r="HUO280" s="1144"/>
      <c r="HUP280" s="1144"/>
      <c r="HUQ280" s="1144"/>
      <c r="HUR280" s="1144"/>
      <c r="HUS280" s="1144"/>
      <c r="HUT280" s="1144"/>
      <c r="HUU280" s="1144"/>
      <c r="HUV280" s="1144"/>
      <c r="HUW280" s="1144"/>
      <c r="HUX280" s="1144"/>
      <c r="HUY280" s="1144"/>
      <c r="HUZ280" s="1144"/>
      <c r="HVA280" s="1144"/>
      <c r="HVB280" s="1144"/>
      <c r="HVC280" s="1144"/>
      <c r="HVD280" s="1144"/>
      <c r="HVE280" s="1144"/>
      <c r="HVF280" s="1144"/>
      <c r="HVG280" s="1144"/>
      <c r="HVH280" s="1144"/>
      <c r="HVI280" s="1144"/>
      <c r="HVJ280" s="1144"/>
      <c r="HVK280" s="1144"/>
      <c r="HVL280" s="1144"/>
      <c r="HVM280" s="1144"/>
      <c r="HVN280" s="1144"/>
      <c r="HVO280" s="1144"/>
      <c r="HVP280" s="1144"/>
      <c r="HVQ280" s="1144"/>
      <c r="HVR280" s="1144"/>
      <c r="HVS280" s="1144"/>
      <c r="HVT280" s="1144"/>
      <c r="HVU280" s="1144"/>
      <c r="HVV280" s="1144"/>
      <c r="HVW280" s="1144"/>
      <c r="HVX280" s="1144"/>
      <c r="HVY280" s="1144"/>
      <c r="HVZ280" s="1144"/>
      <c r="HWA280" s="1144"/>
      <c r="HWB280" s="1144"/>
      <c r="HWC280" s="1144"/>
      <c r="HWD280" s="1144"/>
      <c r="HWE280" s="1144"/>
      <c r="HWF280" s="1144"/>
      <c r="HWG280" s="1144"/>
      <c r="HWH280" s="1144"/>
      <c r="HWI280" s="1144"/>
      <c r="HWJ280" s="1144"/>
      <c r="HWK280" s="1144"/>
      <c r="HWL280" s="1144"/>
      <c r="HWM280" s="1144"/>
      <c r="HWN280" s="1144"/>
      <c r="HWO280" s="1144"/>
      <c r="HWP280" s="1144"/>
      <c r="HWQ280" s="1144"/>
      <c r="HWR280" s="1144"/>
      <c r="HWS280" s="1144"/>
      <c r="HWT280" s="1144"/>
      <c r="HWU280" s="1144"/>
      <c r="HWV280" s="1144"/>
      <c r="HWW280" s="1144"/>
      <c r="HWX280" s="1144"/>
      <c r="HWY280" s="1144"/>
      <c r="HWZ280" s="1144"/>
      <c r="HXA280" s="1144"/>
      <c r="HXB280" s="1144"/>
      <c r="HXC280" s="1144"/>
      <c r="HXD280" s="1144"/>
      <c r="HXE280" s="1144"/>
      <c r="HXF280" s="1144"/>
      <c r="HXG280" s="1144"/>
      <c r="HXH280" s="1144"/>
      <c r="HXI280" s="1144"/>
      <c r="HXJ280" s="1144"/>
      <c r="HXK280" s="1144"/>
      <c r="HXL280" s="1144"/>
      <c r="HXM280" s="1144"/>
      <c r="HXN280" s="1144"/>
      <c r="HXO280" s="1144"/>
      <c r="HXP280" s="1144"/>
      <c r="HXQ280" s="1144"/>
      <c r="HXR280" s="1144"/>
      <c r="HXS280" s="1144"/>
      <c r="HXT280" s="1144"/>
      <c r="HXU280" s="1144"/>
      <c r="HXV280" s="1144"/>
      <c r="HXW280" s="1144"/>
      <c r="HXX280" s="1144"/>
      <c r="HXY280" s="1144"/>
      <c r="HXZ280" s="1144"/>
      <c r="HYA280" s="1144"/>
      <c r="HYB280" s="1144"/>
      <c r="HYC280" s="1144"/>
      <c r="HYD280" s="1144"/>
      <c r="HYE280" s="1144"/>
      <c r="HYF280" s="1144"/>
      <c r="HYG280" s="1144"/>
      <c r="HYH280" s="1144"/>
      <c r="HYI280" s="1144"/>
      <c r="HYJ280" s="1144"/>
      <c r="HYK280" s="1144"/>
      <c r="HYL280" s="1144"/>
      <c r="HYM280" s="1144"/>
      <c r="HYN280" s="1144"/>
      <c r="HYO280" s="1144"/>
      <c r="HYP280" s="1144"/>
      <c r="HYQ280" s="1144"/>
      <c r="HYR280" s="1144"/>
      <c r="HYS280" s="1144"/>
      <c r="HYT280" s="1144"/>
      <c r="HYU280" s="1144"/>
      <c r="HYV280" s="1144"/>
      <c r="HYW280" s="1144"/>
      <c r="HYX280" s="1144"/>
      <c r="HYY280" s="1144"/>
      <c r="HYZ280" s="1144"/>
      <c r="HZA280" s="1144"/>
      <c r="HZB280" s="1144"/>
      <c r="HZC280" s="1144"/>
      <c r="HZD280" s="1144"/>
      <c r="HZE280" s="1144"/>
      <c r="HZF280" s="1144"/>
      <c r="HZG280" s="1144"/>
      <c r="HZH280" s="1144"/>
      <c r="HZI280" s="1144"/>
      <c r="HZJ280" s="1144"/>
      <c r="HZK280" s="1144"/>
      <c r="HZL280" s="1144"/>
      <c r="HZM280" s="1144"/>
      <c r="HZN280" s="1144"/>
      <c r="HZO280" s="1144"/>
      <c r="HZP280" s="1144"/>
      <c r="HZQ280" s="1144"/>
      <c r="HZR280" s="1144"/>
      <c r="HZS280" s="1144"/>
      <c r="HZT280" s="1144"/>
      <c r="HZU280" s="1144"/>
      <c r="HZV280" s="1144"/>
      <c r="HZW280" s="1144"/>
      <c r="HZX280" s="1144"/>
      <c r="HZY280" s="1144"/>
      <c r="HZZ280" s="1144"/>
      <c r="IAA280" s="1144"/>
      <c r="IAB280" s="1144"/>
      <c r="IAC280" s="1144"/>
      <c r="IAD280" s="1144"/>
      <c r="IAE280" s="1144"/>
      <c r="IAF280" s="1144"/>
      <c r="IAG280" s="1144"/>
      <c r="IAH280" s="1144"/>
      <c r="IAI280" s="1144"/>
      <c r="IAJ280" s="1144"/>
      <c r="IAK280" s="1144"/>
      <c r="IAL280" s="1144"/>
      <c r="IAM280" s="1144"/>
      <c r="IAN280" s="1144"/>
      <c r="IAO280" s="1144"/>
      <c r="IAP280" s="1144"/>
      <c r="IAQ280" s="1144"/>
      <c r="IAR280" s="1144"/>
      <c r="IAS280" s="1144"/>
      <c r="IAT280" s="1144"/>
      <c r="IAU280" s="1144"/>
      <c r="IAV280" s="1144"/>
      <c r="IAW280" s="1144"/>
      <c r="IAX280" s="1144"/>
      <c r="IAY280" s="1144"/>
      <c r="IAZ280" s="1144"/>
      <c r="IBA280" s="1144"/>
      <c r="IBB280" s="1144"/>
      <c r="IBC280" s="1144"/>
      <c r="IBD280" s="1144"/>
      <c r="IBE280" s="1144"/>
      <c r="IBF280" s="1144"/>
      <c r="IBG280" s="1144"/>
      <c r="IBH280" s="1144"/>
      <c r="IBI280" s="1144"/>
      <c r="IBJ280" s="1144"/>
      <c r="IBK280" s="1144"/>
      <c r="IBL280" s="1144"/>
      <c r="IBM280" s="1144"/>
      <c r="IBN280" s="1144"/>
      <c r="IBO280" s="1144"/>
      <c r="IBP280" s="1144"/>
      <c r="IBQ280" s="1144"/>
      <c r="IBR280" s="1144"/>
      <c r="IBS280" s="1144"/>
      <c r="IBT280" s="1144"/>
      <c r="IBU280" s="1144"/>
      <c r="IBV280" s="1144"/>
      <c r="IBW280" s="1144"/>
      <c r="IBX280" s="1144"/>
      <c r="IBY280" s="1144"/>
      <c r="IBZ280" s="1144"/>
      <c r="ICA280" s="1144"/>
      <c r="ICB280" s="1144"/>
      <c r="ICC280" s="1144"/>
      <c r="ICD280" s="1144"/>
      <c r="ICE280" s="1144"/>
      <c r="ICF280" s="1144"/>
      <c r="ICG280" s="1144"/>
      <c r="ICH280" s="1144"/>
      <c r="ICI280" s="1144"/>
      <c r="ICJ280" s="1144"/>
      <c r="ICK280" s="1144"/>
      <c r="ICL280" s="1144"/>
      <c r="ICM280" s="1144"/>
      <c r="ICN280" s="1144"/>
      <c r="ICO280" s="1144"/>
      <c r="ICP280" s="1144"/>
      <c r="ICQ280" s="1144"/>
      <c r="ICR280" s="1144"/>
      <c r="ICS280" s="1144"/>
      <c r="ICT280" s="1144"/>
      <c r="ICU280" s="1144"/>
      <c r="ICV280" s="1144"/>
      <c r="ICW280" s="1144"/>
      <c r="ICX280" s="1144"/>
      <c r="ICY280" s="1144"/>
      <c r="ICZ280" s="1144"/>
      <c r="IDA280" s="1144"/>
      <c r="IDB280" s="1144"/>
      <c r="IDC280" s="1144"/>
      <c r="IDD280" s="1144"/>
      <c r="IDE280" s="1144"/>
      <c r="IDF280" s="1144"/>
      <c r="IDG280" s="1144"/>
      <c r="IDH280" s="1144"/>
      <c r="IDI280" s="1144"/>
      <c r="IDJ280" s="1144"/>
      <c r="IDK280" s="1144"/>
      <c r="IDL280" s="1144"/>
      <c r="IDM280" s="1144"/>
      <c r="IDN280" s="1144"/>
      <c r="IDO280" s="1144"/>
      <c r="IDP280" s="1144"/>
      <c r="IDQ280" s="1144"/>
      <c r="IDR280" s="1144"/>
      <c r="IDS280" s="1144"/>
      <c r="IDT280" s="1144"/>
      <c r="IDU280" s="1144"/>
      <c r="IDV280" s="1144"/>
      <c r="IDW280" s="1144"/>
      <c r="IDX280" s="1144"/>
      <c r="IDY280" s="1144"/>
      <c r="IDZ280" s="1144"/>
      <c r="IEA280" s="1144"/>
      <c r="IEB280" s="1144"/>
      <c r="IEC280" s="1144"/>
      <c r="IED280" s="1144"/>
      <c r="IEE280" s="1144"/>
      <c r="IEF280" s="1144"/>
      <c r="IEG280" s="1144"/>
      <c r="IEH280" s="1144"/>
      <c r="IEI280" s="1144"/>
      <c r="IEJ280" s="1144"/>
      <c r="IEK280" s="1144"/>
      <c r="IEL280" s="1144"/>
      <c r="IEM280" s="1144"/>
      <c r="IEN280" s="1144"/>
      <c r="IEO280" s="1144"/>
      <c r="IEP280" s="1144"/>
      <c r="IEQ280" s="1144"/>
      <c r="IER280" s="1144"/>
      <c r="IES280" s="1144"/>
      <c r="IET280" s="1144"/>
      <c r="IEU280" s="1144"/>
      <c r="IEV280" s="1144"/>
      <c r="IEW280" s="1144"/>
      <c r="IEX280" s="1144"/>
      <c r="IEY280" s="1144"/>
      <c r="IEZ280" s="1144"/>
      <c r="IFA280" s="1144"/>
      <c r="IFB280" s="1144"/>
      <c r="IFC280" s="1144"/>
      <c r="IFD280" s="1144"/>
      <c r="IFE280" s="1144"/>
      <c r="IFF280" s="1144"/>
      <c r="IFG280" s="1144"/>
      <c r="IFH280" s="1144"/>
      <c r="IFI280" s="1144"/>
      <c r="IFJ280" s="1144"/>
      <c r="IFK280" s="1144"/>
      <c r="IFL280" s="1144"/>
      <c r="IFM280" s="1144"/>
      <c r="IFN280" s="1144"/>
      <c r="IFO280" s="1144"/>
      <c r="IFP280" s="1144"/>
      <c r="IFQ280" s="1144"/>
      <c r="IFR280" s="1144"/>
      <c r="IFS280" s="1144"/>
      <c r="IFT280" s="1144"/>
      <c r="IFU280" s="1144"/>
      <c r="IFV280" s="1144"/>
      <c r="IFW280" s="1144"/>
      <c r="IFX280" s="1144"/>
      <c r="IFY280" s="1144"/>
      <c r="IFZ280" s="1144"/>
      <c r="IGA280" s="1144"/>
      <c r="IGB280" s="1144"/>
      <c r="IGC280" s="1144"/>
      <c r="IGD280" s="1144"/>
      <c r="IGE280" s="1144"/>
      <c r="IGF280" s="1144"/>
      <c r="IGG280" s="1144"/>
      <c r="IGH280" s="1144"/>
      <c r="IGI280" s="1144"/>
      <c r="IGJ280" s="1144"/>
      <c r="IGK280" s="1144"/>
      <c r="IGL280" s="1144"/>
      <c r="IGM280" s="1144"/>
      <c r="IGN280" s="1144"/>
      <c r="IGO280" s="1144"/>
      <c r="IGP280" s="1144"/>
      <c r="IGQ280" s="1144"/>
      <c r="IGR280" s="1144"/>
      <c r="IGS280" s="1144"/>
      <c r="IGT280" s="1144"/>
      <c r="IGU280" s="1144"/>
      <c r="IGV280" s="1144"/>
      <c r="IGW280" s="1144"/>
      <c r="IGX280" s="1144"/>
      <c r="IGY280" s="1144"/>
      <c r="IGZ280" s="1144"/>
      <c r="IHA280" s="1144"/>
      <c r="IHB280" s="1144"/>
      <c r="IHC280" s="1144"/>
      <c r="IHD280" s="1144"/>
      <c r="IHE280" s="1144"/>
      <c r="IHF280" s="1144"/>
      <c r="IHG280" s="1144"/>
      <c r="IHH280" s="1144"/>
      <c r="IHI280" s="1144"/>
      <c r="IHJ280" s="1144"/>
      <c r="IHK280" s="1144"/>
      <c r="IHL280" s="1144"/>
      <c r="IHM280" s="1144"/>
      <c r="IHN280" s="1144"/>
      <c r="IHO280" s="1144"/>
      <c r="IHP280" s="1144"/>
      <c r="IHQ280" s="1144"/>
      <c r="IHR280" s="1144"/>
      <c r="IHS280" s="1144"/>
      <c r="IHT280" s="1144"/>
      <c r="IHU280" s="1144"/>
      <c r="IHV280" s="1144"/>
      <c r="IHW280" s="1144"/>
      <c r="IHX280" s="1144"/>
      <c r="IHY280" s="1144"/>
      <c r="IHZ280" s="1144"/>
      <c r="IIA280" s="1144"/>
      <c r="IIB280" s="1144"/>
      <c r="IIC280" s="1144"/>
      <c r="IID280" s="1144"/>
      <c r="IIE280" s="1144"/>
      <c r="IIF280" s="1144"/>
      <c r="IIG280" s="1144"/>
      <c r="IIH280" s="1144"/>
      <c r="III280" s="1144"/>
      <c r="IIJ280" s="1144"/>
      <c r="IIK280" s="1144"/>
      <c r="IIL280" s="1144"/>
      <c r="IIM280" s="1144"/>
      <c r="IIN280" s="1144"/>
      <c r="IIO280" s="1144"/>
      <c r="IIP280" s="1144"/>
      <c r="IIQ280" s="1144"/>
      <c r="IIR280" s="1144"/>
      <c r="IIS280" s="1144"/>
      <c r="IIT280" s="1144"/>
      <c r="IIU280" s="1144"/>
      <c r="IIV280" s="1144"/>
      <c r="IIW280" s="1144"/>
      <c r="IIX280" s="1144"/>
      <c r="IIY280" s="1144"/>
      <c r="IIZ280" s="1144"/>
      <c r="IJA280" s="1144"/>
      <c r="IJB280" s="1144"/>
      <c r="IJC280" s="1144"/>
      <c r="IJD280" s="1144"/>
      <c r="IJE280" s="1144"/>
      <c r="IJF280" s="1144"/>
      <c r="IJG280" s="1144"/>
      <c r="IJH280" s="1144"/>
      <c r="IJI280" s="1144"/>
      <c r="IJJ280" s="1144"/>
      <c r="IJK280" s="1144"/>
      <c r="IJL280" s="1144"/>
      <c r="IJM280" s="1144"/>
      <c r="IJN280" s="1144"/>
      <c r="IJO280" s="1144"/>
      <c r="IJP280" s="1144"/>
      <c r="IJQ280" s="1144"/>
      <c r="IJR280" s="1144"/>
      <c r="IJS280" s="1144"/>
      <c r="IJT280" s="1144"/>
      <c r="IJU280" s="1144"/>
      <c r="IJV280" s="1144"/>
      <c r="IJW280" s="1144"/>
      <c r="IJX280" s="1144"/>
      <c r="IJY280" s="1144"/>
      <c r="IJZ280" s="1144"/>
      <c r="IKA280" s="1144"/>
      <c r="IKB280" s="1144"/>
      <c r="IKC280" s="1144"/>
      <c r="IKD280" s="1144"/>
      <c r="IKE280" s="1144"/>
      <c r="IKF280" s="1144"/>
      <c r="IKG280" s="1144"/>
      <c r="IKH280" s="1144"/>
      <c r="IKI280" s="1144"/>
      <c r="IKJ280" s="1144"/>
      <c r="IKK280" s="1144"/>
      <c r="IKL280" s="1144"/>
      <c r="IKM280" s="1144"/>
      <c r="IKN280" s="1144"/>
      <c r="IKO280" s="1144"/>
      <c r="IKP280" s="1144"/>
      <c r="IKQ280" s="1144"/>
      <c r="IKR280" s="1144"/>
      <c r="IKS280" s="1144"/>
      <c r="IKT280" s="1144"/>
      <c r="IKU280" s="1144"/>
      <c r="IKV280" s="1144"/>
      <c r="IKW280" s="1144"/>
      <c r="IKX280" s="1144"/>
      <c r="IKY280" s="1144"/>
      <c r="IKZ280" s="1144"/>
      <c r="ILA280" s="1144"/>
      <c r="ILB280" s="1144"/>
      <c r="ILC280" s="1144"/>
      <c r="ILD280" s="1144"/>
      <c r="ILE280" s="1144"/>
      <c r="ILF280" s="1144"/>
      <c r="ILG280" s="1144"/>
      <c r="ILH280" s="1144"/>
      <c r="ILI280" s="1144"/>
      <c r="ILJ280" s="1144"/>
      <c r="ILK280" s="1144"/>
      <c r="ILL280" s="1144"/>
      <c r="ILM280" s="1144"/>
      <c r="ILN280" s="1144"/>
      <c r="ILO280" s="1144"/>
      <c r="ILP280" s="1144"/>
      <c r="ILQ280" s="1144"/>
      <c r="ILR280" s="1144"/>
      <c r="ILS280" s="1144"/>
      <c r="ILT280" s="1144"/>
      <c r="ILU280" s="1144"/>
      <c r="ILV280" s="1144"/>
      <c r="ILW280" s="1144"/>
      <c r="ILX280" s="1144"/>
      <c r="ILY280" s="1144"/>
      <c r="ILZ280" s="1144"/>
      <c r="IMA280" s="1144"/>
      <c r="IMB280" s="1144"/>
      <c r="IMC280" s="1144"/>
      <c r="IMD280" s="1144"/>
      <c r="IME280" s="1144"/>
      <c r="IMF280" s="1144"/>
      <c r="IMG280" s="1144"/>
      <c r="IMH280" s="1144"/>
      <c r="IMI280" s="1144"/>
      <c r="IMJ280" s="1144"/>
      <c r="IMK280" s="1144"/>
      <c r="IML280" s="1144"/>
      <c r="IMM280" s="1144"/>
      <c r="IMN280" s="1144"/>
      <c r="IMO280" s="1144"/>
      <c r="IMP280" s="1144"/>
      <c r="IMQ280" s="1144"/>
      <c r="IMR280" s="1144"/>
      <c r="IMS280" s="1144"/>
      <c r="IMT280" s="1144"/>
      <c r="IMU280" s="1144"/>
      <c r="IMV280" s="1144"/>
      <c r="IMW280" s="1144"/>
      <c r="IMX280" s="1144"/>
      <c r="IMY280" s="1144"/>
      <c r="IMZ280" s="1144"/>
      <c r="INA280" s="1144"/>
      <c r="INB280" s="1144"/>
      <c r="INC280" s="1144"/>
      <c r="IND280" s="1144"/>
      <c r="INE280" s="1144"/>
      <c r="INF280" s="1144"/>
      <c r="ING280" s="1144"/>
      <c r="INH280" s="1144"/>
      <c r="INI280" s="1144"/>
      <c r="INJ280" s="1144"/>
      <c r="INK280" s="1144"/>
      <c r="INL280" s="1144"/>
      <c r="INM280" s="1144"/>
      <c r="INN280" s="1144"/>
      <c r="INO280" s="1144"/>
      <c r="INP280" s="1144"/>
      <c r="INQ280" s="1144"/>
      <c r="INR280" s="1144"/>
      <c r="INS280" s="1144"/>
      <c r="INT280" s="1144"/>
      <c r="INU280" s="1144"/>
      <c r="INV280" s="1144"/>
      <c r="INW280" s="1144"/>
      <c r="INX280" s="1144"/>
      <c r="INY280" s="1144"/>
      <c r="INZ280" s="1144"/>
      <c r="IOA280" s="1144"/>
      <c r="IOB280" s="1144"/>
      <c r="IOC280" s="1144"/>
      <c r="IOD280" s="1144"/>
      <c r="IOE280" s="1144"/>
      <c r="IOF280" s="1144"/>
      <c r="IOG280" s="1144"/>
      <c r="IOH280" s="1144"/>
      <c r="IOI280" s="1144"/>
      <c r="IOJ280" s="1144"/>
      <c r="IOK280" s="1144"/>
      <c r="IOL280" s="1144"/>
      <c r="IOM280" s="1144"/>
      <c r="ION280" s="1144"/>
      <c r="IOO280" s="1144"/>
      <c r="IOP280" s="1144"/>
      <c r="IOQ280" s="1144"/>
      <c r="IOR280" s="1144"/>
      <c r="IOS280" s="1144"/>
      <c r="IOT280" s="1144"/>
      <c r="IOU280" s="1144"/>
      <c r="IOV280" s="1144"/>
      <c r="IOW280" s="1144"/>
      <c r="IOX280" s="1144"/>
      <c r="IOY280" s="1144"/>
      <c r="IOZ280" s="1144"/>
      <c r="IPA280" s="1144"/>
      <c r="IPB280" s="1144"/>
      <c r="IPC280" s="1144"/>
      <c r="IPD280" s="1144"/>
      <c r="IPE280" s="1144"/>
      <c r="IPF280" s="1144"/>
      <c r="IPG280" s="1144"/>
      <c r="IPH280" s="1144"/>
      <c r="IPI280" s="1144"/>
      <c r="IPJ280" s="1144"/>
      <c r="IPK280" s="1144"/>
      <c r="IPL280" s="1144"/>
      <c r="IPM280" s="1144"/>
      <c r="IPN280" s="1144"/>
      <c r="IPO280" s="1144"/>
      <c r="IPP280" s="1144"/>
      <c r="IPQ280" s="1144"/>
      <c r="IPR280" s="1144"/>
      <c r="IPS280" s="1144"/>
      <c r="IPT280" s="1144"/>
      <c r="IPU280" s="1144"/>
      <c r="IPV280" s="1144"/>
      <c r="IPW280" s="1144"/>
      <c r="IPX280" s="1144"/>
      <c r="IPY280" s="1144"/>
      <c r="IPZ280" s="1144"/>
      <c r="IQA280" s="1144"/>
      <c r="IQB280" s="1144"/>
      <c r="IQC280" s="1144"/>
      <c r="IQD280" s="1144"/>
      <c r="IQE280" s="1144"/>
      <c r="IQF280" s="1144"/>
      <c r="IQG280" s="1144"/>
      <c r="IQH280" s="1144"/>
      <c r="IQI280" s="1144"/>
      <c r="IQJ280" s="1144"/>
      <c r="IQK280" s="1144"/>
      <c r="IQL280" s="1144"/>
      <c r="IQM280" s="1144"/>
      <c r="IQN280" s="1144"/>
      <c r="IQO280" s="1144"/>
      <c r="IQP280" s="1144"/>
      <c r="IQQ280" s="1144"/>
      <c r="IQR280" s="1144"/>
      <c r="IQS280" s="1144"/>
      <c r="IQT280" s="1144"/>
      <c r="IQU280" s="1144"/>
      <c r="IQV280" s="1144"/>
      <c r="IQW280" s="1144"/>
      <c r="IQX280" s="1144"/>
      <c r="IQY280" s="1144"/>
      <c r="IQZ280" s="1144"/>
      <c r="IRA280" s="1144"/>
      <c r="IRB280" s="1144"/>
      <c r="IRC280" s="1144"/>
      <c r="IRD280" s="1144"/>
      <c r="IRE280" s="1144"/>
      <c r="IRF280" s="1144"/>
      <c r="IRG280" s="1144"/>
      <c r="IRH280" s="1144"/>
      <c r="IRI280" s="1144"/>
      <c r="IRJ280" s="1144"/>
      <c r="IRK280" s="1144"/>
      <c r="IRL280" s="1144"/>
      <c r="IRM280" s="1144"/>
      <c r="IRN280" s="1144"/>
      <c r="IRO280" s="1144"/>
      <c r="IRP280" s="1144"/>
      <c r="IRQ280" s="1144"/>
      <c r="IRR280" s="1144"/>
      <c r="IRS280" s="1144"/>
      <c r="IRT280" s="1144"/>
      <c r="IRU280" s="1144"/>
      <c r="IRV280" s="1144"/>
      <c r="IRW280" s="1144"/>
      <c r="IRX280" s="1144"/>
      <c r="IRY280" s="1144"/>
      <c r="IRZ280" s="1144"/>
      <c r="ISA280" s="1144"/>
      <c r="ISB280" s="1144"/>
      <c r="ISC280" s="1144"/>
      <c r="ISD280" s="1144"/>
      <c r="ISE280" s="1144"/>
      <c r="ISF280" s="1144"/>
      <c r="ISG280" s="1144"/>
      <c r="ISH280" s="1144"/>
      <c r="ISI280" s="1144"/>
      <c r="ISJ280" s="1144"/>
      <c r="ISK280" s="1144"/>
      <c r="ISL280" s="1144"/>
      <c r="ISM280" s="1144"/>
      <c r="ISN280" s="1144"/>
      <c r="ISO280" s="1144"/>
      <c r="ISP280" s="1144"/>
      <c r="ISQ280" s="1144"/>
      <c r="ISR280" s="1144"/>
      <c r="ISS280" s="1144"/>
      <c r="IST280" s="1144"/>
      <c r="ISU280" s="1144"/>
      <c r="ISV280" s="1144"/>
      <c r="ISW280" s="1144"/>
      <c r="ISX280" s="1144"/>
      <c r="ISY280" s="1144"/>
      <c r="ISZ280" s="1144"/>
      <c r="ITA280" s="1144"/>
      <c r="ITB280" s="1144"/>
      <c r="ITC280" s="1144"/>
      <c r="ITD280" s="1144"/>
      <c r="ITE280" s="1144"/>
      <c r="ITF280" s="1144"/>
      <c r="ITG280" s="1144"/>
      <c r="ITH280" s="1144"/>
      <c r="ITI280" s="1144"/>
      <c r="ITJ280" s="1144"/>
      <c r="ITK280" s="1144"/>
      <c r="ITL280" s="1144"/>
      <c r="ITM280" s="1144"/>
      <c r="ITN280" s="1144"/>
      <c r="ITO280" s="1144"/>
      <c r="ITP280" s="1144"/>
      <c r="ITQ280" s="1144"/>
      <c r="ITR280" s="1144"/>
      <c r="ITS280" s="1144"/>
      <c r="ITT280" s="1144"/>
      <c r="ITU280" s="1144"/>
      <c r="ITV280" s="1144"/>
      <c r="ITW280" s="1144"/>
      <c r="ITX280" s="1144"/>
      <c r="ITY280" s="1144"/>
      <c r="ITZ280" s="1144"/>
      <c r="IUA280" s="1144"/>
      <c r="IUB280" s="1144"/>
      <c r="IUC280" s="1144"/>
      <c r="IUD280" s="1144"/>
      <c r="IUE280" s="1144"/>
      <c r="IUF280" s="1144"/>
      <c r="IUG280" s="1144"/>
      <c r="IUH280" s="1144"/>
      <c r="IUI280" s="1144"/>
      <c r="IUJ280" s="1144"/>
      <c r="IUK280" s="1144"/>
      <c r="IUL280" s="1144"/>
      <c r="IUM280" s="1144"/>
      <c r="IUN280" s="1144"/>
      <c r="IUO280" s="1144"/>
      <c r="IUP280" s="1144"/>
      <c r="IUQ280" s="1144"/>
      <c r="IUR280" s="1144"/>
      <c r="IUS280" s="1144"/>
      <c r="IUT280" s="1144"/>
      <c r="IUU280" s="1144"/>
      <c r="IUV280" s="1144"/>
      <c r="IUW280" s="1144"/>
      <c r="IUX280" s="1144"/>
      <c r="IUY280" s="1144"/>
      <c r="IUZ280" s="1144"/>
      <c r="IVA280" s="1144"/>
      <c r="IVB280" s="1144"/>
      <c r="IVC280" s="1144"/>
      <c r="IVD280" s="1144"/>
      <c r="IVE280" s="1144"/>
      <c r="IVF280" s="1144"/>
      <c r="IVG280" s="1144"/>
      <c r="IVH280" s="1144"/>
      <c r="IVI280" s="1144"/>
      <c r="IVJ280" s="1144"/>
      <c r="IVK280" s="1144"/>
      <c r="IVL280" s="1144"/>
      <c r="IVM280" s="1144"/>
      <c r="IVN280" s="1144"/>
      <c r="IVO280" s="1144"/>
      <c r="IVP280" s="1144"/>
      <c r="IVQ280" s="1144"/>
      <c r="IVR280" s="1144"/>
      <c r="IVS280" s="1144"/>
      <c r="IVT280" s="1144"/>
      <c r="IVU280" s="1144"/>
      <c r="IVV280" s="1144"/>
      <c r="IVW280" s="1144"/>
      <c r="IVX280" s="1144"/>
      <c r="IVY280" s="1144"/>
      <c r="IVZ280" s="1144"/>
      <c r="IWA280" s="1144"/>
      <c r="IWB280" s="1144"/>
      <c r="IWC280" s="1144"/>
      <c r="IWD280" s="1144"/>
      <c r="IWE280" s="1144"/>
      <c r="IWF280" s="1144"/>
      <c r="IWG280" s="1144"/>
      <c r="IWH280" s="1144"/>
      <c r="IWI280" s="1144"/>
      <c r="IWJ280" s="1144"/>
      <c r="IWK280" s="1144"/>
      <c r="IWL280" s="1144"/>
      <c r="IWM280" s="1144"/>
      <c r="IWN280" s="1144"/>
      <c r="IWO280" s="1144"/>
      <c r="IWP280" s="1144"/>
      <c r="IWQ280" s="1144"/>
      <c r="IWR280" s="1144"/>
      <c r="IWS280" s="1144"/>
      <c r="IWT280" s="1144"/>
      <c r="IWU280" s="1144"/>
      <c r="IWV280" s="1144"/>
      <c r="IWW280" s="1144"/>
      <c r="IWX280" s="1144"/>
      <c r="IWY280" s="1144"/>
      <c r="IWZ280" s="1144"/>
      <c r="IXA280" s="1144"/>
      <c r="IXB280" s="1144"/>
      <c r="IXC280" s="1144"/>
      <c r="IXD280" s="1144"/>
      <c r="IXE280" s="1144"/>
      <c r="IXF280" s="1144"/>
      <c r="IXG280" s="1144"/>
      <c r="IXH280" s="1144"/>
      <c r="IXI280" s="1144"/>
      <c r="IXJ280" s="1144"/>
      <c r="IXK280" s="1144"/>
      <c r="IXL280" s="1144"/>
      <c r="IXM280" s="1144"/>
      <c r="IXN280" s="1144"/>
      <c r="IXO280" s="1144"/>
      <c r="IXP280" s="1144"/>
      <c r="IXQ280" s="1144"/>
      <c r="IXR280" s="1144"/>
      <c r="IXS280" s="1144"/>
      <c r="IXT280" s="1144"/>
      <c r="IXU280" s="1144"/>
      <c r="IXV280" s="1144"/>
      <c r="IXW280" s="1144"/>
      <c r="IXX280" s="1144"/>
      <c r="IXY280" s="1144"/>
      <c r="IXZ280" s="1144"/>
      <c r="IYA280" s="1144"/>
      <c r="IYB280" s="1144"/>
      <c r="IYC280" s="1144"/>
      <c r="IYD280" s="1144"/>
      <c r="IYE280" s="1144"/>
      <c r="IYF280" s="1144"/>
      <c r="IYG280" s="1144"/>
      <c r="IYH280" s="1144"/>
      <c r="IYI280" s="1144"/>
      <c r="IYJ280" s="1144"/>
      <c r="IYK280" s="1144"/>
      <c r="IYL280" s="1144"/>
      <c r="IYM280" s="1144"/>
      <c r="IYN280" s="1144"/>
      <c r="IYO280" s="1144"/>
      <c r="IYP280" s="1144"/>
      <c r="IYQ280" s="1144"/>
      <c r="IYR280" s="1144"/>
      <c r="IYS280" s="1144"/>
      <c r="IYT280" s="1144"/>
      <c r="IYU280" s="1144"/>
      <c r="IYV280" s="1144"/>
      <c r="IYW280" s="1144"/>
      <c r="IYX280" s="1144"/>
      <c r="IYY280" s="1144"/>
      <c r="IYZ280" s="1144"/>
      <c r="IZA280" s="1144"/>
      <c r="IZB280" s="1144"/>
      <c r="IZC280" s="1144"/>
      <c r="IZD280" s="1144"/>
      <c r="IZE280" s="1144"/>
      <c r="IZF280" s="1144"/>
      <c r="IZG280" s="1144"/>
      <c r="IZH280" s="1144"/>
      <c r="IZI280" s="1144"/>
      <c r="IZJ280" s="1144"/>
      <c r="IZK280" s="1144"/>
      <c r="IZL280" s="1144"/>
      <c r="IZM280" s="1144"/>
      <c r="IZN280" s="1144"/>
      <c r="IZO280" s="1144"/>
      <c r="IZP280" s="1144"/>
      <c r="IZQ280" s="1144"/>
      <c r="IZR280" s="1144"/>
      <c r="IZS280" s="1144"/>
      <c r="IZT280" s="1144"/>
      <c r="IZU280" s="1144"/>
      <c r="IZV280" s="1144"/>
      <c r="IZW280" s="1144"/>
      <c r="IZX280" s="1144"/>
      <c r="IZY280" s="1144"/>
      <c r="IZZ280" s="1144"/>
      <c r="JAA280" s="1144"/>
      <c r="JAB280" s="1144"/>
      <c r="JAC280" s="1144"/>
      <c r="JAD280" s="1144"/>
      <c r="JAE280" s="1144"/>
      <c r="JAF280" s="1144"/>
      <c r="JAG280" s="1144"/>
      <c r="JAH280" s="1144"/>
      <c r="JAI280" s="1144"/>
      <c r="JAJ280" s="1144"/>
      <c r="JAK280" s="1144"/>
      <c r="JAL280" s="1144"/>
      <c r="JAM280" s="1144"/>
      <c r="JAN280" s="1144"/>
      <c r="JAO280" s="1144"/>
      <c r="JAP280" s="1144"/>
      <c r="JAQ280" s="1144"/>
      <c r="JAR280" s="1144"/>
      <c r="JAS280" s="1144"/>
      <c r="JAT280" s="1144"/>
      <c r="JAU280" s="1144"/>
      <c r="JAV280" s="1144"/>
      <c r="JAW280" s="1144"/>
      <c r="JAX280" s="1144"/>
      <c r="JAY280" s="1144"/>
      <c r="JAZ280" s="1144"/>
      <c r="JBA280" s="1144"/>
      <c r="JBB280" s="1144"/>
      <c r="JBC280" s="1144"/>
      <c r="JBD280" s="1144"/>
      <c r="JBE280" s="1144"/>
      <c r="JBF280" s="1144"/>
      <c r="JBG280" s="1144"/>
      <c r="JBH280" s="1144"/>
      <c r="JBI280" s="1144"/>
      <c r="JBJ280" s="1144"/>
      <c r="JBK280" s="1144"/>
      <c r="JBL280" s="1144"/>
      <c r="JBM280" s="1144"/>
      <c r="JBN280" s="1144"/>
      <c r="JBO280" s="1144"/>
      <c r="JBP280" s="1144"/>
      <c r="JBQ280" s="1144"/>
      <c r="JBR280" s="1144"/>
      <c r="JBS280" s="1144"/>
      <c r="JBT280" s="1144"/>
      <c r="JBU280" s="1144"/>
      <c r="JBV280" s="1144"/>
      <c r="JBW280" s="1144"/>
      <c r="JBX280" s="1144"/>
      <c r="JBY280" s="1144"/>
      <c r="JBZ280" s="1144"/>
      <c r="JCA280" s="1144"/>
      <c r="JCB280" s="1144"/>
      <c r="JCC280" s="1144"/>
      <c r="JCD280" s="1144"/>
      <c r="JCE280" s="1144"/>
      <c r="JCF280" s="1144"/>
      <c r="JCG280" s="1144"/>
      <c r="JCH280" s="1144"/>
      <c r="JCI280" s="1144"/>
      <c r="JCJ280" s="1144"/>
      <c r="JCK280" s="1144"/>
      <c r="JCL280" s="1144"/>
      <c r="JCM280" s="1144"/>
      <c r="JCN280" s="1144"/>
      <c r="JCO280" s="1144"/>
      <c r="JCP280" s="1144"/>
      <c r="JCQ280" s="1144"/>
      <c r="JCR280" s="1144"/>
      <c r="JCS280" s="1144"/>
      <c r="JCT280" s="1144"/>
      <c r="JCU280" s="1144"/>
      <c r="JCV280" s="1144"/>
      <c r="JCW280" s="1144"/>
      <c r="JCX280" s="1144"/>
      <c r="JCY280" s="1144"/>
      <c r="JCZ280" s="1144"/>
      <c r="JDA280" s="1144"/>
      <c r="JDB280" s="1144"/>
      <c r="JDC280" s="1144"/>
      <c r="JDD280" s="1144"/>
      <c r="JDE280" s="1144"/>
      <c r="JDF280" s="1144"/>
      <c r="JDG280" s="1144"/>
      <c r="JDH280" s="1144"/>
      <c r="JDI280" s="1144"/>
      <c r="JDJ280" s="1144"/>
      <c r="JDK280" s="1144"/>
      <c r="JDL280" s="1144"/>
      <c r="JDM280" s="1144"/>
      <c r="JDN280" s="1144"/>
      <c r="JDO280" s="1144"/>
      <c r="JDP280" s="1144"/>
      <c r="JDQ280" s="1144"/>
      <c r="JDR280" s="1144"/>
      <c r="JDS280" s="1144"/>
      <c r="JDT280" s="1144"/>
      <c r="JDU280" s="1144"/>
      <c r="JDV280" s="1144"/>
      <c r="JDW280" s="1144"/>
      <c r="JDX280" s="1144"/>
      <c r="JDY280" s="1144"/>
      <c r="JDZ280" s="1144"/>
      <c r="JEA280" s="1144"/>
      <c r="JEB280" s="1144"/>
      <c r="JEC280" s="1144"/>
      <c r="JED280" s="1144"/>
      <c r="JEE280" s="1144"/>
      <c r="JEF280" s="1144"/>
      <c r="JEG280" s="1144"/>
      <c r="JEH280" s="1144"/>
      <c r="JEI280" s="1144"/>
      <c r="JEJ280" s="1144"/>
      <c r="JEK280" s="1144"/>
      <c r="JEL280" s="1144"/>
      <c r="JEM280" s="1144"/>
      <c r="JEN280" s="1144"/>
      <c r="JEO280" s="1144"/>
      <c r="JEP280" s="1144"/>
      <c r="JEQ280" s="1144"/>
      <c r="JER280" s="1144"/>
      <c r="JES280" s="1144"/>
      <c r="JET280" s="1144"/>
      <c r="JEU280" s="1144"/>
      <c r="JEV280" s="1144"/>
      <c r="JEW280" s="1144"/>
      <c r="JEX280" s="1144"/>
      <c r="JEY280" s="1144"/>
      <c r="JEZ280" s="1144"/>
      <c r="JFA280" s="1144"/>
      <c r="JFB280" s="1144"/>
      <c r="JFC280" s="1144"/>
      <c r="JFD280" s="1144"/>
      <c r="JFE280" s="1144"/>
      <c r="JFF280" s="1144"/>
      <c r="JFG280" s="1144"/>
      <c r="JFH280" s="1144"/>
      <c r="JFI280" s="1144"/>
      <c r="JFJ280" s="1144"/>
      <c r="JFK280" s="1144"/>
      <c r="JFL280" s="1144"/>
      <c r="JFM280" s="1144"/>
      <c r="JFN280" s="1144"/>
      <c r="JFO280" s="1144"/>
      <c r="JFP280" s="1144"/>
      <c r="JFQ280" s="1144"/>
      <c r="JFR280" s="1144"/>
      <c r="JFS280" s="1144"/>
      <c r="JFT280" s="1144"/>
      <c r="JFU280" s="1144"/>
      <c r="JFV280" s="1144"/>
      <c r="JFW280" s="1144"/>
      <c r="JFX280" s="1144"/>
      <c r="JFY280" s="1144"/>
      <c r="JFZ280" s="1144"/>
      <c r="JGA280" s="1144"/>
      <c r="JGB280" s="1144"/>
      <c r="JGC280" s="1144"/>
      <c r="JGD280" s="1144"/>
      <c r="JGE280" s="1144"/>
      <c r="JGF280" s="1144"/>
      <c r="JGG280" s="1144"/>
      <c r="JGH280" s="1144"/>
      <c r="JGI280" s="1144"/>
      <c r="JGJ280" s="1144"/>
      <c r="JGK280" s="1144"/>
      <c r="JGL280" s="1144"/>
      <c r="JGM280" s="1144"/>
      <c r="JGN280" s="1144"/>
      <c r="JGO280" s="1144"/>
      <c r="JGP280" s="1144"/>
      <c r="JGQ280" s="1144"/>
      <c r="JGR280" s="1144"/>
      <c r="JGS280" s="1144"/>
      <c r="JGT280" s="1144"/>
      <c r="JGU280" s="1144"/>
      <c r="JGV280" s="1144"/>
      <c r="JGW280" s="1144"/>
      <c r="JGX280" s="1144"/>
      <c r="JGY280" s="1144"/>
      <c r="JGZ280" s="1144"/>
      <c r="JHA280" s="1144"/>
      <c r="JHB280" s="1144"/>
      <c r="JHC280" s="1144"/>
      <c r="JHD280" s="1144"/>
      <c r="JHE280" s="1144"/>
      <c r="JHF280" s="1144"/>
      <c r="JHG280" s="1144"/>
      <c r="JHH280" s="1144"/>
      <c r="JHI280" s="1144"/>
      <c r="JHJ280" s="1144"/>
      <c r="JHK280" s="1144"/>
      <c r="JHL280" s="1144"/>
      <c r="JHM280" s="1144"/>
      <c r="JHN280" s="1144"/>
      <c r="JHO280" s="1144"/>
      <c r="JHP280" s="1144"/>
      <c r="JHQ280" s="1144"/>
      <c r="JHR280" s="1144"/>
      <c r="JHS280" s="1144"/>
      <c r="JHT280" s="1144"/>
      <c r="JHU280" s="1144"/>
      <c r="JHV280" s="1144"/>
      <c r="JHW280" s="1144"/>
      <c r="JHX280" s="1144"/>
      <c r="JHY280" s="1144"/>
      <c r="JHZ280" s="1144"/>
      <c r="JIA280" s="1144"/>
      <c r="JIB280" s="1144"/>
      <c r="JIC280" s="1144"/>
      <c r="JID280" s="1144"/>
      <c r="JIE280" s="1144"/>
      <c r="JIF280" s="1144"/>
      <c r="JIG280" s="1144"/>
      <c r="JIH280" s="1144"/>
      <c r="JII280" s="1144"/>
      <c r="JIJ280" s="1144"/>
      <c r="JIK280" s="1144"/>
      <c r="JIL280" s="1144"/>
      <c r="JIM280" s="1144"/>
      <c r="JIN280" s="1144"/>
      <c r="JIO280" s="1144"/>
      <c r="JIP280" s="1144"/>
      <c r="JIQ280" s="1144"/>
      <c r="JIR280" s="1144"/>
      <c r="JIS280" s="1144"/>
      <c r="JIT280" s="1144"/>
      <c r="JIU280" s="1144"/>
      <c r="JIV280" s="1144"/>
      <c r="JIW280" s="1144"/>
      <c r="JIX280" s="1144"/>
      <c r="JIY280" s="1144"/>
      <c r="JIZ280" s="1144"/>
      <c r="JJA280" s="1144"/>
      <c r="JJB280" s="1144"/>
      <c r="JJC280" s="1144"/>
      <c r="JJD280" s="1144"/>
      <c r="JJE280" s="1144"/>
      <c r="JJF280" s="1144"/>
      <c r="JJG280" s="1144"/>
      <c r="JJH280" s="1144"/>
      <c r="JJI280" s="1144"/>
      <c r="JJJ280" s="1144"/>
      <c r="JJK280" s="1144"/>
      <c r="JJL280" s="1144"/>
      <c r="JJM280" s="1144"/>
      <c r="JJN280" s="1144"/>
      <c r="JJO280" s="1144"/>
      <c r="JJP280" s="1144"/>
      <c r="JJQ280" s="1144"/>
      <c r="JJR280" s="1144"/>
      <c r="JJS280" s="1144"/>
      <c r="JJT280" s="1144"/>
      <c r="JJU280" s="1144"/>
      <c r="JJV280" s="1144"/>
      <c r="JJW280" s="1144"/>
      <c r="JJX280" s="1144"/>
      <c r="JJY280" s="1144"/>
      <c r="JJZ280" s="1144"/>
      <c r="JKA280" s="1144"/>
      <c r="JKB280" s="1144"/>
      <c r="JKC280" s="1144"/>
      <c r="JKD280" s="1144"/>
      <c r="JKE280" s="1144"/>
      <c r="JKF280" s="1144"/>
      <c r="JKG280" s="1144"/>
      <c r="JKH280" s="1144"/>
      <c r="JKI280" s="1144"/>
      <c r="JKJ280" s="1144"/>
      <c r="JKK280" s="1144"/>
      <c r="JKL280" s="1144"/>
      <c r="JKM280" s="1144"/>
      <c r="JKN280" s="1144"/>
      <c r="JKO280" s="1144"/>
      <c r="JKP280" s="1144"/>
      <c r="JKQ280" s="1144"/>
      <c r="JKR280" s="1144"/>
      <c r="JKS280" s="1144"/>
      <c r="JKT280" s="1144"/>
      <c r="JKU280" s="1144"/>
      <c r="JKV280" s="1144"/>
      <c r="JKW280" s="1144"/>
      <c r="JKX280" s="1144"/>
      <c r="JKY280" s="1144"/>
      <c r="JKZ280" s="1144"/>
      <c r="JLA280" s="1144"/>
      <c r="JLB280" s="1144"/>
      <c r="JLC280" s="1144"/>
      <c r="JLD280" s="1144"/>
      <c r="JLE280" s="1144"/>
      <c r="JLF280" s="1144"/>
      <c r="JLG280" s="1144"/>
      <c r="JLH280" s="1144"/>
      <c r="JLI280" s="1144"/>
      <c r="JLJ280" s="1144"/>
      <c r="JLK280" s="1144"/>
      <c r="JLL280" s="1144"/>
      <c r="JLM280" s="1144"/>
      <c r="JLN280" s="1144"/>
      <c r="JLO280" s="1144"/>
      <c r="JLP280" s="1144"/>
      <c r="JLQ280" s="1144"/>
      <c r="JLR280" s="1144"/>
      <c r="JLS280" s="1144"/>
      <c r="JLT280" s="1144"/>
      <c r="JLU280" s="1144"/>
      <c r="JLV280" s="1144"/>
      <c r="JLW280" s="1144"/>
      <c r="JLX280" s="1144"/>
      <c r="JLY280" s="1144"/>
      <c r="JLZ280" s="1144"/>
      <c r="JMA280" s="1144"/>
      <c r="JMB280" s="1144"/>
      <c r="JMC280" s="1144"/>
      <c r="JMD280" s="1144"/>
      <c r="JME280" s="1144"/>
      <c r="JMF280" s="1144"/>
      <c r="JMG280" s="1144"/>
      <c r="JMH280" s="1144"/>
      <c r="JMI280" s="1144"/>
      <c r="JMJ280" s="1144"/>
      <c r="JMK280" s="1144"/>
      <c r="JML280" s="1144"/>
      <c r="JMM280" s="1144"/>
      <c r="JMN280" s="1144"/>
      <c r="JMO280" s="1144"/>
      <c r="JMP280" s="1144"/>
      <c r="JMQ280" s="1144"/>
      <c r="JMR280" s="1144"/>
      <c r="JMS280" s="1144"/>
      <c r="JMT280" s="1144"/>
      <c r="JMU280" s="1144"/>
      <c r="JMV280" s="1144"/>
      <c r="JMW280" s="1144"/>
      <c r="JMX280" s="1144"/>
      <c r="JMY280" s="1144"/>
      <c r="JMZ280" s="1144"/>
      <c r="JNA280" s="1144"/>
      <c r="JNB280" s="1144"/>
      <c r="JNC280" s="1144"/>
      <c r="JND280" s="1144"/>
      <c r="JNE280" s="1144"/>
      <c r="JNF280" s="1144"/>
      <c r="JNG280" s="1144"/>
      <c r="JNH280" s="1144"/>
      <c r="JNI280" s="1144"/>
      <c r="JNJ280" s="1144"/>
      <c r="JNK280" s="1144"/>
      <c r="JNL280" s="1144"/>
      <c r="JNM280" s="1144"/>
      <c r="JNN280" s="1144"/>
      <c r="JNO280" s="1144"/>
      <c r="JNP280" s="1144"/>
      <c r="JNQ280" s="1144"/>
      <c r="JNR280" s="1144"/>
      <c r="JNS280" s="1144"/>
      <c r="JNT280" s="1144"/>
      <c r="JNU280" s="1144"/>
      <c r="JNV280" s="1144"/>
      <c r="JNW280" s="1144"/>
      <c r="JNX280" s="1144"/>
      <c r="JNY280" s="1144"/>
      <c r="JNZ280" s="1144"/>
      <c r="JOA280" s="1144"/>
      <c r="JOB280" s="1144"/>
      <c r="JOC280" s="1144"/>
      <c r="JOD280" s="1144"/>
      <c r="JOE280" s="1144"/>
      <c r="JOF280" s="1144"/>
      <c r="JOG280" s="1144"/>
      <c r="JOH280" s="1144"/>
      <c r="JOI280" s="1144"/>
      <c r="JOJ280" s="1144"/>
      <c r="JOK280" s="1144"/>
      <c r="JOL280" s="1144"/>
      <c r="JOM280" s="1144"/>
      <c r="JON280" s="1144"/>
      <c r="JOO280" s="1144"/>
      <c r="JOP280" s="1144"/>
      <c r="JOQ280" s="1144"/>
      <c r="JOR280" s="1144"/>
      <c r="JOS280" s="1144"/>
      <c r="JOT280" s="1144"/>
      <c r="JOU280" s="1144"/>
      <c r="JOV280" s="1144"/>
      <c r="JOW280" s="1144"/>
      <c r="JOX280" s="1144"/>
      <c r="JOY280" s="1144"/>
      <c r="JOZ280" s="1144"/>
      <c r="JPA280" s="1144"/>
      <c r="JPB280" s="1144"/>
      <c r="JPC280" s="1144"/>
      <c r="JPD280" s="1144"/>
      <c r="JPE280" s="1144"/>
      <c r="JPF280" s="1144"/>
      <c r="JPG280" s="1144"/>
      <c r="JPH280" s="1144"/>
      <c r="JPI280" s="1144"/>
      <c r="JPJ280" s="1144"/>
      <c r="JPK280" s="1144"/>
      <c r="JPL280" s="1144"/>
      <c r="JPM280" s="1144"/>
      <c r="JPN280" s="1144"/>
      <c r="JPO280" s="1144"/>
      <c r="JPP280" s="1144"/>
      <c r="JPQ280" s="1144"/>
      <c r="JPR280" s="1144"/>
      <c r="JPS280" s="1144"/>
      <c r="JPT280" s="1144"/>
      <c r="JPU280" s="1144"/>
      <c r="JPV280" s="1144"/>
      <c r="JPW280" s="1144"/>
      <c r="JPX280" s="1144"/>
      <c r="JPY280" s="1144"/>
      <c r="JPZ280" s="1144"/>
      <c r="JQA280" s="1144"/>
      <c r="JQB280" s="1144"/>
      <c r="JQC280" s="1144"/>
      <c r="JQD280" s="1144"/>
      <c r="JQE280" s="1144"/>
      <c r="JQF280" s="1144"/>
      <c r="JQG280" s="1144"/>
      <c r="JQH280" s="1144"/>
      <c r="JQI280" s="1144"/>
      <c r="JQJ280" s="1144"/>
      <c r="JQK280" s="1144"/>
      <c r="JQL280" s="1144"/>
      <c r="JQM280" s="1144"/>
      <c r="JQN280" s="1144"/>
      <c r="JQO280" s="1144"/>
      <c r="JQP280" s="1144"/>
      <c r="JQQ280" s="1144"/>
      <c r="JQR280" s="1144"/>
      <c r="JQS280" s="1144"/>
      <c r="JQT280" s="1144"/>
      <c r="JQU280" s="1144"/>
      <c r="JQV280" s="1144"/>
      <c r="JQW280" s="1144"/>
      <c r="JQX280" s="1144"/>
      <c r="JQY280" s="1144"/>
      <c r="JQZ280" s="1144"/>
      <c r="JRA280" s="1144"/>
      <c r="JRB280" s="1144"/>
      <c r="JRC280" s="1144"/>
      <c r="JRD280" s="1144"/>
      <c r="JRE280" s="1144"/>
      <c r="JRF280" s="1144"/>
      <c r="JRG280" s="1144"/>
      <c r="JRH280" s="1144"/>
      <c r="JRI280" s="1144"/>
      <c r="JRJ280" s="1144"/>
      <c r="JRK280" s="1144"/>
      <c r="JRL280" s="1144"/>
      <c r="JRM280" s="1144"/>
      <c r="JRN280" s="1144"/>
      <c r="JRO280" s="1144"/>
      <c r="JRP280" s="1144"/>
      <c r="JRQ280" s="1144"/>
      <c r="JRR280" s="1144"/>
      <c r="JRS280" s="1144"/>
      <c r="JRT280" s="1144"/>
      <c r="JRU280" s="1144"/>
      <c r="JRV280" s="1144"/>
      <c r="JRW280" s="1144"/>
      <c r="JRX280" s="1144"/>
      <c r="JRY280" s="1144"/>
      <c r="JRZ280" s="1144"/>
      <c r="JSA280" s="1144"/>
      <c r="JSB280" s="1144"/>
      <c r="JSC280" s="1144"/>
      <c r="JSD280" s="1144"/>
      <c r="JSE280" s="1144"/>
      <c r="JSF280" s="1144"/>
      <c r="JSG280" s="1144"/>
      <c r="JSH280" s="1144"/>
      <c r="JSI280" s="1144"/>
      <c r="JSJ280" s="1144"/>
      <c r="JSK280" s="1144"/>
      <c r="JSL280" s="1144"/>
      <c r="JSM280" s="1144"/>
      <c r="JSN280" s="1144"/>
      <c r="JSO280" s="1144"/>
      <c r="JSP280" s="1144"/>
      <c r="JSQ280" s="1144"/>
      <c r="JSR280" s="1144"/>
      <c r="JSS280" s="1144"/>
      <c r="JST280" s="1144"/>
      <c r="JSU280" s="1144"/>
      <c r="JSV280" s="1144"/>
      <c r="JSW280" s="1144"/>
      <c r="JSX280" s="1144"/>
      <c r="JSY280" s="1144"/>
      <c r="JSZ280" s="1144"/>
      <c r="JTA280" s="1144"/>
      <c r="JTB280" s="1144"/>
      <c r="JTC280" s="1144"/>
      <c r="JTD280" s="1144"/>
      <c r="JTE280" s="1144"/>
      <c r="JTF280" s="1144"/>
      <c r="JTG280" s="1144"/>
      <c r="JTH280" s="1144"/>
      <c r="JTI280" s="1144"/>
      <c r="JTJ280" s="1144"/>
      <c r="JTK280" s="1144"/>
      <c r="JTL280" s="1144"/>
      <c r="JTM280" s="1144"/>
      <c r="JTN280" s="1144"/>
      <c r="JTO280" s="1144"/>
      <c r="JTP280" s="1144"/>
      <c r="JTQ280" s="1144"/>
      <c r="JTR280" s="1144"/>
      <c r="JTS280" s="1144"/>
      <c r="JTT280" s="1144"/>
      <c r="JTU280" s="1144"/>
      <c r="JTV280" s="1144"/>
      <c r="JTW280" s="1144"/>
      <c r="JTX280" s="1144"/>
      <c r="JTY280" s="1144"/>
      <c r="JTZ280" s="1144"/>
      <c r="JUA280" s="1144"/>
      <c r="JUB280" s="1144"/>
      <c r="JUC280" s="1144"/>
      <c r="JUD280" s="1144"/>
      <c r="JUE280" s="1144"/>
      <c r="JUF280" s="1144"/>
      <c r="JUG280" s="1144"/>
      <c r="JUH280" s="1144"/>
      <c r="JUI280" s="1144"/>
      <c r="JUJ280" s="1144"/>
      <c r="JUK280" s="1144"/>
      <c r="JUL280" s="1144"/>
      <c r="JUM280" s="1144"/>
      <c r="JUN280" s="1144"/>
      <c r="JUO280" s="1144"/>
      <c r="JUP280" s="1144"/>
      <c r="JUQ280" s="1144"/>
      <c r="JUR280" s="1144"/>
      <c r="JUS280" s="1144"/>
      <c r="JUT280" s="1144"/>
      <c r="JUU280" s="1144"/>
      <c r="JUV280" s="1144"/>
      <c r="JUW280" s="1144"/>
      <c r="JUX280" s="1144"/>
      <c r="JUY280" s="1144"/>
      <c r="JUZ280" s="1144"/>
      <c r="JVA280" s="1144"/>
      <c r="JVB280" s="1144"/>
      <c r="JVC280" s="1144"/>
      <c r="JVD280" s="1144"/>
      <c r="JVE280" s="1144"/>
      <c r="JVF280" s="1144"/>
      <c r="JVG280" s="1144"/>
      <c r="JVH280" s="1144"/>
      <c r="JVI280" s="1144"/>
      <c r="JVJ280" s="1144"/>
      <c r="JVK280" s="1144"/>
      <c r="JVL280" s="1144"/>
      <c r="JVM280" s="1144"/>
      <c r="JVN280" s="1144"/>
      <c r="JVO280" s="1144"/>
      <c r="JVP280" s="1144"/>
      <c r="JVQ280" s="1144"/>
      <c r="JVR280" s="1144"/>
      <c r="JVS280" s="1144"/>
      <c r="JVT280" s="1144"/>
      <c r="JVU280" s="1144"/>
      <c r="JVV280" s="1144"/>
      <c r="JVW280" s="1144"/>
      <c r="JVX280" s="1144"/>
      <c r="JVY280" s="1144"/>
      <c r="JVZ280" s="1144"/>
      <c r="JWA280" s="1144"/>
      <c r="JWB280" s="1144"/>
      <c r="JWC280" s="1144"/>
      <c r="JWD280" s="1144"/>
      <c r="JWE280" s="1144"/>
      <c r="JWF280" s="1144"/>
      <c r="JWG280" s="1144"/>
      <c r="JWH280" s="1144"/>
      <c r="JWI280" s="1144"/>
      <c r="JWJ280" s="1144"/>
      <c r="JWK280" s="1144"/>
      <c r="JWL280" s="1144"/>
      <c r="JWM280" s="1144"/>
      <c r="JWN280" s="1144"/>
      <c r="JWO280" s="1144"/>
      <c r="JWP280" s="1144"/>
      <c r="JWQ280" s="1144"/>
      <c r="JWR280" s="1144"/>
      <c r="JWS280" s="1144"/>
      <c r="JWT280" s="1144"/>
      <c r="JWU280" s="1144"/>
      <c r="JWV280" s="1144"/>
      <c r="JWW280" s="1144"/>
      <c r="JWX280" s="1144"/>
      <c r="JWY280" s="1144"/>
      <c r="JWZ280" s="1144"/>
      <c r="JXA280" s="1144"/>
      <c r="JXB280" s="1144"/>
      <c r="JXC280" s="1144"/>
      <c r="JXD280" s="1144"/>
      <c r="JXE280" s="1144"/>
      <c r="JXF280" s="1144"/>
      <c r="JXG280" s="1144"/>
      <c r="JXH280" s="1144"/>
      <c r="JXI280" s="1144"/>
      <c r="JXJ280" s="1144"/>
      <c r="JXK280" s="1144"/>
      <c r="JXL280" s="1144"/>
      <c r="JXM280" s="1144"/>
      <c r="JXN280" s="1144"/>
      <c r="JXO280" s="1144"/>
      <c r="JXP280" s="1144"/>
      <c r="JXQ280" s="1144"/>
      <c r="JXR280" s="1144"/>
      <c r="JXS280" s="1144"/>
      <c r="JXT280" s="1144"/>
      <c r="JXU280" s="1144"/>
      <c r="JXV280" s="1144"/>
      <c r="JXW280" s="1144"/>
      <c r="JXX280" s="1144"/>
      <c r="JXY280" s="1144"/>
      <c r="JXZ280" s="1144"/>
      <c r="JYA280" s="1144"/>
      <c r="JYB280" s="1144"/>
      <c r="JYC280" s="1144"/>
      <c r="JYD280" s="1144"/>
      <c r="JYE280" s="1144"/>
      <c r="JYF280" s="1144"/>
      <c r="JYG280" s="1144"/>
      <c r="JYH280" s="1144"/>
      <c r="JYI280" s="1144"/>
      <c r="JYJ280" s="1144"/>
      <c r="JYK280" s="1144"/>
      <c r="JYL280" s="1144"/>
      <c r="JYM280" s="1144"/>
      <c r="JYN280" s="1144"/>
      <c r="JYO280" s="1144"/>
      <c r="JYP280" s="1144"/>
      <c r="JYQ280" s="1144"/>
      <c r="JYR280" s="1144"/>
      <c r="JYS280" s="1144"/>
      <c r="JYT280" s="1144"/>
      <c r="JYU280" s="1144"/>
      <c r="JYV280" s="1144"/>
      <c r="JYW280" s="1144"/>
      <c r="JYX280" s="1144"/>
      <c r="JYY280" s="1144"/>
      <c r="JYZ280" s="1144"/>
      <c r="JZA280" s="1144"/>
      <c r="JZB280" s="1144"/>
      <c r="JZC280" s="1144"/>
      <c r="JZD280" s="1144"/>
      <c r="JZE280" s="1144"/>
      <c r="JZF280" s="1144"/>
      <c r="JZG280" s="1144"/>
      <c r="JZH280" s="1144"/>
      <c r="JZI280" s="1144"/>
      <c r="JZJ280" s="1144"/>
      <c r="JZK280" s="1144"/>
      <c r="JZL280" s="1144"/>
      <c r="JZM280" s="1144"/>
      <c r="JZN280" s="1144"/>
      <c r="JZO280" s="1144"/>
      <c r="JZP280" s="1144"/>
      <c r="JZQ280" s="1144"/>
      <c r="JZR280" s="1144"/>
      <c r="JZS280" s="1144"/>
      <c r="JZT280" s="1144"/>
      <c r="JZU280" s="1144"/>
      <c r="JZV280" s="1144"/>
      <c r="JZW280" s="1144"/>
      <c r="JZX280" s="1144"/>
      <c r="JZY280" s="1144"/>
      <c r="JZZ280" s="1144"/>
      <c r="KAA280" s="1144"/>
      <c r="KAB280" s="1144"/>
      <c r="KAC280" s="1144"/>
      <c r="KAD280" s="1144"/>
      <c r="KAE280" s="1144"/>
      <c r="KAF280" s="1144"/>
      <c r="KAG280" s="1144"/>
      <c r="KAH280" s="1144"/>
      <c r="KAI280" s="1144"/>
      <c r="KAJ280" s="1144"/>
      <c r="KAK280" s="1144"/>
      <c r="KAL280" s="1144"/>
      <c r="KAM280" s="1144"/>
      <c r="KAN280" s="1144"/>
      <c r="KAO280" s="1144"/>
      <c r="KAP280" s="1144"/>
      <c r="KAQ280" s="1144"/>
      <c r="KAR280" s="1144"/>
      <c r="KAS280" s="1144"/>
      <c r="KAT280" s="1144"/>
      <c r="KAU280" s="1144"/>
      <c r="KAV280" s="1144"/>
      <c r="KAW280" s="1144"/>
      <c r="KAX280" s="1144"/>
      <c r="KAY280" s="1144"/>
      <c r="KAZ280" s="1144"/>
      <c r="KBA280" s="1144"/>
      <c r="KBB280" s="1144"/>
      <c r="KBC280" s="1144"/>
      <c r="KBD280" s="1144"/>
      <c r="KBE280" s="1144"/>
      <c r="KBF280" s="1144"/>
      <c r="KBG280" s="1144"/>
      <c r="KBH280" s="1144"/>
      <c r="KBI280" s="1144"/>
      <c r="KBJ280" s="1144"/>
      <c r="KBK280" s="1144"/>
      <c r="KBL280" s="1144"/>
      <c r="KBM280" s="1144"/>
      <c r="KBN280" s="1144"/>
      <c r="KBO280" s="1144"/>
      <c r="KBP280" s="1144"/>
      <c r="KBQ280" s="1144"/>
      <c r="KBR280" s="1144"/>
      <c r="KBS280" s="1144"/>
      <c r="KBT280" s="1144"/>
      <c r="KBU280" s="1144"/>
      <c r="KBV280" s="1144"/>
      <c r="KBW280" s="1144"/>
      <c r="KBX280" s="1144"/>
      <c r="KBY280" s="1144"/>
      <c r="KBZ280" s="1144"/>
      <c r="KCA280" s="1144"/>
      <c r="KCB280" s="1144"/>
      <c r="KCC280" s="1144"/>
      <c r="KCD280" s="1144"/>
      <c r="KCE280" s="1144"/>
      <c r="KCF280" s="1144"/>
      <c r="KCG280" s="1144"/>
      <c r="KCH280" s="1144"/>
      <c r="KCI280" s="1144"/>
      <c r="KCJ280" s="1144"/>
      <c r="KCK280" s="1144"/>
      <c r="KCL280" s="1144"/>
      <c r="KCM280" s="1144"/>
      <c r="KCN280" s="1144"/>
      <c r="KCO280" s="1144"/>
      <c r="KCP280" s="1144"/>
      <c r="KCQ280" s="1144"/>
      <c r="KCR280" s="1144"/>
      <c r="KCS280" s="1144"/>
      <c r="KCT280" s="1144"/>
      <c r="KCU280" s="1144"/>
      <c r="KCV280" s="1144"/>
      <c r="KCW280" s="1144"/>
      <c r="KCX280" s="1144"/>
      <c r="KCY280" s="1144"/>
      <c r="KCZ280" s="1144"/>
      <c r="KDA280" s="1144"/>
      <c r="KDB280" s="1144"/>
      <c r="KDC280" s="1144"/>
      <c r="KDD280" s="1144"/>
      <c r="KDE280" s="1144"/>
      <c r="KDF280" s="1144"/>
      <c r="KDG280" s="1144"/>
      <c r="KDH280" s="1144"/>
      <c r="KDI280" s="1144"/>
      <c r="KDJ280" s="1144"/>
      <c r="KDK280" s="1144"/>
      <c r="KDL280" s="1144"/>
      <c r="KDM280" s="1144"/>
      <c r="KDN280" s="1144"/>
      <c r="KDO280" s="1144"/>
      <c r="KDP280" s="1144"/>
      <c r="KDQ280" s="1144"/>
      <c r="KDR280" s="1144"/>
      <c r="KDS280" s="1144"/>
      <c r="KDT280" s="1144"/>
      <c r="KDU280" s="1144"/>
      <c r="KDV280" s="1144"/>
      <c r="KDW280" s="1144"/>
      <c r="KDX280" s="1144"/>
      <c r="KDY280" s="1144"/>
      <c r="KDZ280" s="1144"/>
      <c r="KEA280" s="1144"/>
      <c r="KEB280" s="1144"/>
      <c r="KEC280" s="1144"/>
      <c r="KED280" s="1144"/>
      <c r="KEE280" s="1144"/>
      <c r="KEF280" s="1144"/>
      <c r="KEG280" s="1144"/>
      <c r="KEH280" s="1144"/>
      <c r="KEI280" s="1144"/>
      <c r="KEJ280" s="1144"/>
      <c r="KEK280" s="1144"/>
      <c r="KEL280" s="1144"/>
      <c r="KEM280" s="1144"/>
      <c r="KEN280" s="1144"/>
      <c r="KEO280" s="1144"/>
      <c r="KEP280" s="1144"/>
      <c r="KEQ280" s="1144"/>
      <c r="KER280" s="1144"/>
      <c r="KES280" s="1144"/>
      <c r="KET280" s="1144"/>
      <c r="KEU280" s="1144"/>
      <c r="KEV280" s="1144"/>
      <c r="KEW280" s="1144"/>
      <c r="KEX280" s="1144"/>
      <c r="KEY280" s="1144"/>
      <c r="KEZ280" s="1144"/>
      <c r="KFA280" s="1144"/>
      <c r="KFB280" s="1144"/>
      <c r="KFC280" s="1144"/>
      <c r="KFD280" s="1144"/>
      <c r="KFE280" s="1144"/>
      <c r="KFF280" s="1144"/>
      <c r="KFG280" s="1144"/>
      <c r="KFH280" s="1144"/>
      <c r="KFI280" s="1144"/>
      <c r="KFJ280" s="1144"/>
      <c r="KFK280" s="1144"/>
      <c r="KFL280" s="1144"/>
      <c r="KFM280" s="1144"/>
      <c r="KFN280" s="1144"/>
      <c r="KFO280" s="1144"/>
      <c r="KFP280" s="1144"/>
      <c r="KFQ280" s="1144"/>
      <c r="KFR280" s="1144"/>
      <c r="KFS280" s="1144"/>
      <c r="KFT280" s="1144"/>
      <c r="KFU280" s="1144"/>
      <c r="KFV280" s="1144"/>
      <c r="KFW280" s="1144"/>
      <c r="KFX280" s="1144"/>
      <c r="KFY280" s="1144"/>
      <c r="KFZ280" s="1144"/>
      <c r="KGA280" s="1144"/>
      <c r="KGB280" s="1144"/>
      <c r="KGC280" s="1144"/>
      <c r="KGD280" s="1144"/>
      <c r="KGE280" s="1144"/>
      <c r="KGF280" s="1144"/>
      <c r="KGG280" s="1144"/>
      <c r="KGH280" s="1144"/>
      <c r="KGI280" s="1144"/>
      <c r="KGJ280" s="1144"/>
      <c r="KGK280" s="1144"/>
      <c r="KGL280" s="1144"/>
      <c r="KGM280" s="1144"/>
      <c r="KGN280" s="1144"/>
      <c r="KGO280" s="1144"/>
      <c r="KGP280" s="1144"/>
      <c r="KGQ280" s="1144"/>
      <c r="KGR280" s="1144"/>
      <c r="KGS280" s="1144"/>
      <c r="KGT280" s="1144"/>
      <c r="KGU280" s="1144"/>
      <c r="KGV280" s="1144"/>
      <c r="KGW280" s="1144"/>
      <c r="KGX280" s="1144"/>
      <c r="KGY280" s="1144"/>
      <c r="KGZ280" s="1144"/>
      <c r="KHA280" s="1144"/>
      <c r="KHB280" s="1144"/>
      <c r="KHC280" s="1144"/>
      <c r="KHD280" s="1144"/>
      <c r="KHE280" s="1144"/>
      <c r="KHF280" s="1144"/>
      <c r="KHG280" s="1144"/>
      <c r="KHH280" s="1144"/>
      <c r="KHI280" s="1144"/>
      <c r="KHJ280" s="1144"/>
      <c r="KHK280" s="1144"/>
      <c r="KHL280" s="1144"/>
      <c r="KHM280" s="1144"/>
      <c r="KHN280" s="1144"/>
      <c r="KHO280" s="1144"/>
      <c r="KHP280" s="1144"/>
      <c r="KHQ280" s="1144"/>
      <c r="KHR280" s="1144"/>
      <c r="KHS280" s="1144"/>
      <c r="KHT280" s="1144"/>
      <c r="KHU280" s="1144"/>
      <c r="KHV280" s="1144"/>
      <c r="KHW280" s="1144"/>
      <c r="KHX280" s="1144"/>
      <c r="KHY280" s="1144"/>
      <c r="KHZ280" s="1144"/>
      <c r="KIA280" s="1144"/>
      <c r="KIB280" s="1144"/>
      <c r="KIC280" s="1144"/>
      <c r="KID280" s="1144"/>
      <c r="KIE280" s="1144"/>
      <c r="KIF280" s="1144"/>
      <c r="KIG280" s="1144"/>
      <c r="KIH280" s="1144"/>
      <c r="KII280" s="1144"/>
      <c r="KIJ280" s="1144"/>
      <c r="KIK280" s="1144"/>
      <c r="KIL280" s="1144"/>
      <c r="KIM280" s="1144"/>
      <c r="KIN280" s="1144"/>
      <c r="KIO280" s="1144"/>
      <c r="KIP280" s="1144"/>
      <c r="KIQ280" s="1144"/>
      <c r="KIR280" s="1144"/>
      <c r="KIS280" s="1144"/>
      <c r="KIT280" s="1144"/>
      <c r="KIU280" s="1144"/>
      <c r="KIV280" s="1144"/>
      <c r="KIW280" s="1144"/>
      <c r="KIX280" s="1144"/>
      <c r="KIY280" s="1144"/>
      <c r="KIZ280" s="1144"/>
      <c r="KJA280" s="1144"/>
      <c r="KJB280" s="1144"/>
      <c r="KJC280" s="1144"/>
      <c r="KJD280" s="1144"/>
      <c r="KJE280" s="1144"/>
      <c r="KJF280" s="1144"/>
      <c r="KJG280" s="1144"/>
      <c r="KJH280" s="1144"/>
      <c r="KJI280" s="1144"/>
      <c r="KJJ280" s="1144"/>
      <c r="KJK280" s="1144"/>
      <c r="KJL280" s="1144"/>
      <c r="KJM280" s="1144"/>
      <c r="KJN280" s="1144"/>
      <c r="KJO280" s="1144"/>
      <c r="KJP280" s="1144"/>
      <c r="KJQ280" s="1144"/>
      <c r="KJR280" s="1144"/>
      <c r="KJS280" s="1144"/>
      <c r="KJT280" s="1144"/>
      <c r="KJU280" s="1144"/>
      <c r="KJV280" s="1144"/>
      <c r="KJW280" s="1144"/>
      <c r="KJX280" s="1144"/>
      <c r="KJY280" s="1144"/>
      <c r="KJZ280" s="1144"/>
      <c r="KKA280" s="1144"/>
      <c r="KKB280" s="1144"/>
      <c r="KKC280" s="1144"/>
      <c r="KKD280" s="1144"/>
      <c r="KKE280" s="1144"/>
      <c r="KKF280" s="1144"/>
      <c r="KKG280" s="1144"/>
      <c r="KKH280" s="1144"/>
      <c r="KKI280" s="1144"/>
      <c r="KKJ280" s="1144"/>
      <c r="KKK280" s="1144"/>
      <c r="KKL280" s="1144"/>
      <c r="KKM280" s="1144"/>
      <c r="KKN280" s="1144"/>
      <c r="KKO280" s="1144"/>
      <c r="KKP280" s="1144"/>
      <c r="KKQ280" s="1144"/>
      <c r="KKR280" s="1144"/>
      <c r="KKS280" s="1144"/>
      <c r="KKT280" s="1144"/>
      <c r="KKU280" s="1144"/>
      <c r="KKV280" s="1144"/>
      <c r="KKW280" s="1144"/>
      <c r="KKX280" s="1144"/>
      <c r="KKY280" s="1144"/>
      <c r="KKZ280" s="1144"/>
      <c r="KLA280" s="1144"/>
      <c r="KLB280" s="1144"/>
      <c r="KLC280" s="1144"/>
      <c r="KLD280" s="1144"/>
      <c r="KLE280" s="1144"/>
      <c r="KLF280" s="1144"/>
      <c r="KLG280" s="1144"/>
      <c r="KLH280" s="1144"/>
      <c r="KLI280" s="1144"/>
      <c r="KLJ280" s="1144"/>
      <c r="KLK280" s="1144"/>
      <c r="KLL280" s="1144"/>
      <c r="KLM280" s="1144"/>
      <c r="KLN280" s="1144"/>
      <c r="KLO280" s="1144"/>
      <c r="KLP280" s="1144"/>
      <c r="KLQ280" s="1144"/>
      <c r="KLR280" s="1144"/>
      <c r="KLS280" s="1144"/>
      <c r="KLT280" s="1144"/>
      <c r="KLU280" s="1144"/>
      <c r="KLV280" s="1144"/>
      <c r="KLW280" s="1144"/>
      <c r="KLX280" s="1144"/>
      <c r="KLY280" s="1144"/>
      <c r="KLZ280" s="1144"/>
      <c r="KMA280" s="1144"/>
      <c r="KMB280" s="1144"/>
      <c r="KMC280" s="1144"/>
      <c r="KMD280" s="1144"/>
      <c r="KME280" s="1144"/>
      <c r="KMF280" s="1144"/>
      <c r="KMG280" s="1144"/>
      <c r="KMH280" s="1144"/>
      <c r="KMI280" s="1144"/>
      <c r="KMJ280" s="1144"/>
      <c r="KMK280" s="1144"/>
      <c r="KML280" s="1144"/>
      <c r="KMM280" s="1144"/>
      <c r="KMN280" s="1144"/>
      <c r="KMO280" s="1144"/>
      <c r="KMP280" s="1144"/>
      <c r="KMQ280" s="1144"/>
      <c r="KMR280" s="1144"/>
      <c r="KMS280" s="1144"/>
      <c r="KMT280" s="1144"/>
      <c r="KMU280" s="1144"/>
      <c r="KMV280" s="1144"/>
      <c r="KMW280" s="1144"/>
      <c r="KMX280" s="1144"/>
      <c r="KMY280" s="1144"/>
      <c r="KMZ280" s="1144"/>
      <c r="KNA280" s="1144"/>
      <c r="KNB280" s="1144"/>
      <c r="KNC280" s="1144"/>
      <c r="KND280" s="1144"/>
      <c r="KNE280" s="1144"/>
      <c r="KNF280" s="1144"/>
      <c r="KNG280" s="1144"/>
      <c r="KNH280" s="1144"/>
      <c r="KNI280" s="1144"/>
      <c r="KNJ280" s="1144"/>
      <c r="KNK280" s="1144"/>
      <c r="KNL280" s="1144"/>
      <c r="KNM280" s="1144"/>
      <c r="KNN280" s="1144"/>
      <c r="KNO280" s="1144"/>
      <c r="KNP280" s="1144"/>
      <c r="KNQ280" s="1144"/>
      <c r="KNR280" s="1144"/>
      <c r="KNS280" s="1144"/>
      <c r="KNT280" s="1144"/>
      <c r="KNU280" s="1144"/>
      <c r="KNV280" s="1144"/>
      <c r="KNW280" s="1144"/>
      <c r="KNX280" s="1144"/>
      <c r="KNY280" s="1144"/>
      <c r="KNZ280" s="1144"/>
      <c r="KOA280" s="1144"/>
      <c r="KOB280" s="1144"/>
      <c r="KOC280" s="1144"/>
      <c r="KOD280" s="1144"/>
      <c r="KOE280" s="1144"/>
      <c r="KOF280" s="1144"/>
      <c r="KOG280" s="1144"/>
      <c r="KOH280" s="1144"/>
      <c r="KOI280" s="1144"/>
      <c r="KOJ280" s="1144"/>
      <c r="KOK280" s="1144"/>
      <c r="KOL280" s="1144"/>
      <c r="KOM280" s="1144"/>
      <c r="KON280" s="1144"/>
      <c r="KOO280" s="1144"/>
      <c r="KOP280" s="1144"/>
      <c r="KOQ280" s="1144"/>
      <c r="KOR280" s="1144"/>
      <c r="KOS280" s="1144"/>
      <c r="KOT280" s="1144"/>
      <c r="KOU280" s="1144"/>
      <c r="KOV280" s="1144"/>
      <c r="KOW280" s="1144"/>
      <c r="KOX280" s="1144"/>
      <c r="KOY280" s="1144"/>
      <c r="KOZ280" s="1144"/>
      <c r="KPA280" s="1144"/>
      <c r="KPB280" s="1144"/>
      <c r="KPC280" s="1144"/>
      <c r="KPD280" s="1144"/>
      <c r="KPE280" s="1144"/>
      <c r="KPF280" s="1144"/>
      <c r="KPG280" s="1144"/>
      <c r="KPH280" s="1144"/>
      <c r="KPI280" s="1144"/>
      <c r="KPJ280" s="1144"/>
      <c r="KPK280" s="1144"/>
      <c r="KPL280" s="1144"/>
      <c r="KPM280" s="1144"/>
      <c r="KPN280" s="1144"/>
      <c r="KPO280" s="1144"/>
      <c r="KPP280" s="1144"/>
      <c r="KPQ280" s="1144"/>
      <c r="KPR280" s="1144"/>
      <c r="KPS280" s="1144"/>
      <c r="KPT280" s="1144"/>
      <c r="KPU280" s="1144"/>
      <c r="KPV280" s="1144"/>
      <c r="KPW280" s="1144"/>
      <c r="KPX280" s="1144"/>
      <c r="KPY280" s="1144"/>
      <c r="KPZ280" s="1144"/>
      <c r="KQA280" s="1144"/>
      <c r="KQB280" s="1144"/>
      <c r="KQC280" s="1144"/>
      <c r="KQD280" s="1144"/>
      <c r="KQE280" s="1144"/>
      <c r="KQF280" s="1144"/>
      <c r="KQG280" s="1144"/>
      <c r="KQH280" s="1144"/>
      <c r="KQI280" s="1144"/>
      <c r="KQJ280" s="1144"/>
      <c r="KQK280" s="1144"/>
      <c r="KQL280" s="1144"/>
      <c r="KQM280" s="1144"/>
      <c r="KQN280" s="1144"/>
      <c r="KQO280" s="1144"/>
      <c r="KQP280" s="1144"/>
      <c r="KQQ280" s="1144"/>
      <c r="KQR280" s="1144"/>
      <c r="KQS280" s="1144"/>
      <c r="KQT280" s="1144"/>
      <c r="KQU280" s="1144"/>
      <c r="KQV280" s="1144"/>
      <c r="KQW280" s="1144"/>
      <c r="KQX280" s="1144"/>
      <c r="KQY280" s="1144"/>
      <c r="KQZ280" s="1144"/>
      <c r="KRA280" s="1144"/>
      <c r="KRB280" s="1144"/>
      <c r="KRC280" s="1144"/>
      <c r="KRD280" s="1144"/>
      <c r="KRE280" s="1144"/>
      <c r="KRF280" s="1144"/>
      <c r="KRG280" s="1144"/>
      <c r="KRH280" s="1144"/>
      <c r="KRI280" s="1144"/>
      <c r="KRJ280" s="1144"/>
      <c r="KRK280" s="1144"/>
      <c r="KRL280" s="1144"/>
      <c r="KRM280" s="1144"/>
      <c r="KRN280" s="1144"/>
      <c r="KRO280" s="1144"/>
      <c r="KRP280" s="1144"/>
      <c r="KRQ280" s="1144"/>
      <c r="KRR280" s="1144"/>
      <c r="KRS280" s="1144"/>
      <c r="KRT280" s="1144"/>
      <c r="KRU280" s="1144"/>
      <c r="KRV280" s="1144"/>
      <c r="KRW280" s="1144"/>
      <c r="KRX280" s="1144"/>
      <c r="KRY280" s="1144"/>
      <c r="KRZ280" s="1144"/>
      <c r="KSA280" s="1144"/>
      <c r="KSB280" s="1144"/>
      <c r="KSC280" s="1144"/>
      <c r="KSD280" s="1144"/>
      <c r="KSE280" s="1144"/>
      <c r="KSF280" s="1144"/>
      <c r="KSG280" s="1144"/>
      <c r="KSH280" s="1144"/>
      <c r="KSI280" s="1144"/>
      <c r="KSJ280" s="1144"/>
      <c r="KSK280" s="1144"/>
      <c r="KSL280" s="1144"/>
      <c r="KSM280" s="1144"/>
      <c r="KSN280" s="1144"/>
      <c r="KSO280" s="1144"/>
      <c r="KSP280" s="1144"/>
      <c r="KSQ280" s="1144"/>
      <c r="KSR280" s="1144"/>
      <c r="KSS280" s="1144"/>
      <c r="KST280" s="1144"/>
      <c r="KSU280" s="1144"/>
      <c r="KSV280" s="1144"/>
      <c r="KSW280" s="1144"/>
      <c r="KSX280" s="1144"/>
      <c r="KSY280" s="1144"/>
      <c r="KSZ280" s="1144"/>
      <c r="KTA280" s="1144"/>
      <c r="KTB280" s="1144"/>
      <c r="KTC280" s="1144"/>
      <c r="KTD280" s="1144"/>
      <c r="KTE280" s="1144"/>
      <c r="KTF280" s="1144"/>
      <c r="KTG280" s="1144"/>
      <c r="KTH280" s="1144"/>
      <c r="KTI280" s="1144"/>
      <c r="KTJ280" s="1144"/>
      <c r="KTK280" s="1144"/>
      <c r="KTL280" s="1144"/>
      <c r="KTM280" s="1144"/>
      <c r="KTN280" s="1144"/>
      <c r="KTO280" s="1144"/>
      <c r="KTP280" s="1144"/>
      <c r="KTQ280" s="1144"/>
      <c r="KTR280" s="1144"/>
      <c r="KTS280" s="1144"/>
      <c r="KTT280" s="1144"/>
      <c r="KTU280" s="1144"/>
      <c r="KTV280" s="1144"/>
      <c r="KTW280" s="1144"/>
      <c r="KTX280" s="1144"/>
      <c r="KTY280" s="1144"/>
      <c r="KTZ280" s="1144"/>
      <c r="KUA280" s="1144"/>
      <c r="KUB280" s="1144"/>
      <c r="KUC280" s="1144"/>
      <c r="KUD280" s="1144"/>
      <c r="KUE280" s="1144"/>
      <c r="KUF280" s="1144"/>
      <c r="KUG280" s="1144"/>
      <c r="KUH280" s="1144"/>
      <c r="KUI280" s="1144"/>
      <c r="KUJ280" s="1144"/>
      <c r="KUK280" s="1144"/>
      <c r="KUL280" s="1144"/>
      <c r="KUM280" s="1144"/>
      <c r="KUN280" s="1144"/>
      <c r="KUO280" s="1144"/>
      <c r="KUP280" s="1144"/>
      <c r="KUQ280" s="1144"/>
      <c r="KUR280" s="1144"/>
      <c r="KUS280" s="1144"/>
      <c r="KUT280" s="1144"/>
      <c r="KUU280" s="1144"/>
      <c r="KUV280" s="1144"/>
      <c r="KUW280" s="1144"/>
      <c r="KUX280" s="1144"/>
      <c r="KUY280" s="1144"/>
      <c r="KUZ280" s="1144"/>
      <c r="KVA280" s="1144"/>
      <c r="KVB280" s="1144"/>
      <c r="KVC280" s="1144"/>
      <c r="KVD280" s="1144"/>
      <c r="KVE280" s="1144"/>
      <c r="KVF280" s="1144"/>
      <c r="KVG280" s="1144"/>
      <c r="KVH280" s="1144"/>
      <c r="KVI280" s="1144"/>
      <c r="KVJ280" s="1144"/>
      <c r="KVK280" s="1144"/>
      <c r="KVL280" s="1144"/>
      <c r="KVM280" s="1144"/>
      <c r="KVN280" s="1144"/>
      <c r="KVO280" s="1144"/>
      <c r="KVP280" s="1144"/>
      <c r="KVQ280" s="1144"/>
      <c r="KVR280" s="1144"/>
      <c r="KVS280" s="1144"/>
      <c r="KVT280" s="1144"/>
      <c r="KVU280" s="1144"/>
      <c r="KVV280" s="1144"/>
      <c r="KVW280" s="1144"/>
      <c r="KVX280" s="1144"/>
      <c r="KVY280" s="1144"/>
      <c r="KVZ280" s="1144"/>
      <c r="KWA280" s="1144"/>
      <c r="KWB280" s="1144"/>
      <c r="KWC280" s="1144"/>
      <c r="KWD280" s="1144"/>
      <c r="KWE280" s="1144"/>
      <c r="KWF280" s="1144"/>
      <c r="KWG280" s="1144"/>
      <c r="KWH280" s="1144"/>
      <c r="KWI280" s="1144"/>
      <c r="KWJ280" s="1144"/>
      <c r="KWK280" s="1144"/>
      <c r="KWL280" s="1144"/>
      <c r="KWM280" s="1144"/>
      <c r="KWN280" s="1144"/>
      <c r="KWO280" s="1144"/>
      <c r="KWP280" s="1144"/>
      <c r="KWQ280" s="1144"/>
      <c r="KWR280" s="1144"/>
      <c r="KWS280" s="1144"/>
      <c r="KWT280" s="1144"/>
      <c r="KWU280" s="1144"/>
      <c r="KWV280" s="1144"/>
      <c r="KWW280" s="1144"/>
      <c r="KWX280" s="1144"/>
      <c r="KWY280" s="1144"/>
      <c r="KWZ280" s="1144"/>
      <c r="KXA280" s="1144"/>
      <c r="KXB280" s="1144"/>
      <c r="KXC280" s="1144"/>
      <c r="KXD280" s="1144"/>
      <c r="KXE280" s="1144"/>
      <c r="KXF280" s="1144"/>
      <c r="KXG280" s="1144"/>
      <c r="KXH280" s="1144"/>
      <c r="KXI280" s="1144"/>
      <c r="KXJ280" s="1144"/>
      <c r="KXK280" s="1144"/>
      <c r="KXL280" s="1144"/>
      <c r="KXM280" s="1144"/>
      <c r="KXN280" s="1144"/>
      <c r="KXO280" s="1144"/>
      <c r="KXP280" s="1144"/>
      <c r="KXQ280" s="1144"/>
      <c r="KXR280" s="1144"/>
      <c r="KXS280" s="1144"/>
      <c r="KXT280" s="1144"/>
      <c r="KXU280" s="1144"/>
      <c r="KXV280" s="1144"/>
      <c r="KXW280" s="1144"/>
      <c r="KXX280" s="1144"/>
      <c r="KXY280" s="1144"/>
      <c r="KXZ280" s="1144"/>
      <c r="KYA280" s="1144"/>
      <c r="KYB280" s="1144"/>
      <c r="KYC280" s="1144"/>
      <c r="KYD280" s="1144"/>
      <c r="KYE280" s="1144"/>
      <c r="KYF280" s="1144"/>
      <c r="KYG280" s="1144"/>
      <c r="KYH280" s="1144"/>
      <c r="KYI280" s="1144"/>
      <c r="KYJ280" s="1144"/>
      <c r="KYK280" s="1144"/>
      <c r="KYL280" s="1144"/>
      <c r="KYM280" s="1144"/>
      <c r="KYN280" s="1144"/>
      <c r="KYO280" s="1144"/>
      <c r="KYP280" s="1144"/>
      <c r="KYQ280" s="1144"/>
      <c r="KYR280" s="1144"/>
      <c r="KYS280" s="1144"/>
      <c r="KYT280" s="1144"/>
      <c r="KYU280" s="1144"/>
      <c r="KYV280" s="1144"/>
      <c r="KYW280" s="1144"/>
      <c r="KYX280" s="1144"/>
      <c r="KYY280" s="1144"/>
      <c r="KYZ280" s="1144"/>
      <c r="KZA280" s="1144"/>
      <c r="KZB280" s="1144"/>
      <c r="KZC280" s="1144"/>
      <c r="KZD280" s="1144"/>
      <c r="KZE280" s="1144"/>
      <c r="KZF280" s="1144"/>
      <c r="KZG280" s="1144"/>
      <c r="KZH280" s="1144"/>
      <c r="KZI280" s="1144"/>
      <c r="KZJ280" s="1144"/>
      <c r="KZK280" s="1144"/>
      <c r="KZL280" s="1144"/>
      <c r="KZM280" s="1144"/>
      <c r="KZN280" s="1144"/>
      <c r="KZO280" s="1144"/>
      <c r="KZP280" s="1144"/>
      <c r="KZQ280" s="1144"/>
      <c r="KZR280" s="1144"/>
      <c r="KZS280" s="1144"/>
      <c r="KZT280" s="1144"/>
      <c r="KZU280" s="1144"/>
      <c r="KZV280" s="1144"/>
      <c r="KZW280" s="1144"/>
      <c r="KZX280" s="1144"/>
      <c r="KZY280" s="1144"/>
      <c r="KZZ280" s="1144"/>
      <c r="LAA280" s="1144"/>
      <c r="LAB280" s="1144"/>
      <c r="LAC280" s="1144"/>
      <c r="LAD280" s="1144"/>
      <c r="LAE280" s="1144"/>
      <c r="LAF280" s="1144"/>
      <c r="LAG280" s="1144"/>
      <c r="LAH280" s="1144"/>
      <c r="LAI280" s="1144"/>
      <c r="LAJ280" s="1144"/>
      <c r="LAK280" s="1144"/>
      <c r="LAL280" s="1144"/>
      <c r="LAM280" s="1144"/>
      <c r="LAN280" s="1144"/>
      <c r="LAO280" s="1144"/>
      <c r="LAP280" s="1144"/>
      <c r="LAQ280" s="1144"/>
      <c r="LAR280" s="1144"/>
      <c r="LAS280" s="1144"/>
      <c r="LAT280" s="1144"/>
      <c r="LAU280" s="1144"/>
      <c r="LAV280" s="1144"/>
      <c r="LAW280" s="1144"/>
      <c r="LAX280" s="1144"/>
      <c r="LAY280" s="1144"/>
      <c r="LAZ280" s="1144"/>
      <c r="LBA280" s="1144"/>
      <c r="LBB280" s="1144"/>
      <c r="LBC280" s="1144"/>
      <c r="LBD280" s="1144"/>
      <c r="LBE280" s="1144"/>
      <c r="LBF280" s="1144"/>
      <c r="LBG280" s="1144"/>
      <c r="LBH280" s="1144"/>
      <c r="LBI280" s="1144"/>
      <c r="LBJ280" s="1144"/>
      <c r="LBK280" s="1144"/>
      <c r="LBL280" s="1144"/>
      <c r="LBM280" s="1144"/>
      <c r="LBN280" s="1144"/>
      <c r="LBO280" s="1144"/>
      <c r="LBP280" s="1144"/>
      <c r="LBQ280" s="1144"/>
      <c r="LBR280" s="1144"/>
      <c r="LBS280" s="1144"/>
      <c r="LBT280" s="1144"/>
      <c r="LBU280" s="1144"/>
      <c r="LBV280" s="1144"/>
      <c r="LBW280" s="1144"/>
      <c r="LBX280" s="1144"/>
      <c r="LBY280" s="1144"/>
      <c r="LBZ280" s="1144"/>
      <c r="LCA280" s="1144"/>
      <c r="LCB280" s="1144"/>
      <c r="LCC280" s="1144"/>
      <c r="LCD280" s="1144"/>
      <c r="LCE280" s="1144"/>
      <c r="LCF280" s="1144"/>
      <c r="LCG280" s="1144"/>
      <c r="LCH280" s="1144"/>
      <c r="LCI280" s="1144"/>
      <c r="LCJ280" s="1144"/>
      <c r="LCK280" s="1144"/>
      <c r="LCL280" s="1144"/>
      <c r="LCM280" s="1144"/>
      <c r="LCN280" s="1144"/>
      <c r="LCO280" s="1144"/>
      <c r="LCP280" s="1144"/>
      <c r="LCQ280" s="1144"/>
      <c r="LCR280" s="1144"/>
      <c r="LCS280" s="1144"/>
      <c r="LCT280" s="1144"/>
      <c r="LCU280" s="1144"/>
      <c r="LCV280" s="1144"/>
      <c r="LCW280" s="1144"/>
      <c r="LCX280" s="1144"/>
      <c r="LCY280" s="1144"/>
      <c r="LCZ280" s="1144"/>
      <c r="LDA280" s="1144"/>
      <c r="LDB280" s="1144"/>
      <c r="LDC280" s="1144"/>
      <c r="LDD280" s="1144"/>
      <c r="LDE280" s="1144"/>
      <c r="LDF280" s="1144"/>
      <c r="LDG280" s="1144"/>
      <c r="LDH280" s="1144"/>
      <c r="LDI280" s="1144"/>
      <c r="LDJ280" s="1144"/>
      <c r="LDK280" s="1144"/>
      <c r="LDL280" s="1144"/>
      <c r="LDM280" s="1144"/>
      <c r="LDN280" s="1144"/>
      <c r="LDO280" s="1144"/>
      <c r="LDP280" s="1144"/>
      <c r="LDQ280" s="1144"/>
      <c r="LDR280" s="1144"/>
      <c r="LDS280" s="1144"/>
      <c r="LDT280" s="1144"/>
      <c r="LDU280" s="1144"/>
      <c r="LDV280" s="1144"/>
      <c r="LDW280" s="1144"/>
      <c r="LDX280" s="1144"/>
      <c r="LDY280" s="1144"/>
      <c r="LDZ280" s="1144"/>
      <c r="LEA280" s="1144"/>
      <c r="LEB280" s="1144"/>
      <c r="LEC280" s="1144"/>
      <c r="LED280" s="1144"/>
      <c r="LEE280" s="1144"/>
      <c r="LEF280" s="1144"/>
      <c r="LEG280" s="1144"/>
      <c r="LEH280" s="1144"/>
      <c r="LEI280" s="1144"/>
      <c r="LEJ280" s="1144"/>
      <c r="LEK280" s="1144"/>
      <c r="LEL280" s="1144"/>
      <c r="LEM280" s="1144"/>
      <c r="LEN280" s="1144"/>
      <c r="LEO280" s="1144"/>
      <c r="LEP280" s="1144"/>
      <c r="LEQ280" s="1144"/>
      <c r="LER280" s="1144"/>
      <c r="LES280" s="1144"/>
      <c r="LET280" s="1144"/>
      <c r="LEU280" s="1144"/>
      <c r="LEV280" s="1144"/>
      <c r="LEW280" s="1144"/>
      <c r="LEX280" s="1144"/>
      <c r="LEY280" s="1144"/>
      <c r="LEZ280" s="1144"/>
      <c r="LFA280" s="1144"/>
      <c r="LFB280" s="1144"/>
      <c r="LFC280" s="1144"/>
      <c r="LFD280" s="1144"/>
      <c r="LFE280" s="1144"/>
      <c r="LFF280" s="1144"/>
      <c r="LFG280" s="1144"/>
      <c r="LFH280" s="1144"/>
      <c r="LFI280" s="1144"/>
      <c r="LFJ280" s="1144"/>
      <c r="LFK280" s="1144"/>
      <c r="LFL280" s="1144"/>
      <c r="LFM280" s="1144"/>
      <c r="LFN280" s="1144"/>
      <c r="LFO280" s="1144"/>
      <c r="LFP280" s="1144"/>
      <c r="LFQ280" s="1144"/>
      <c r="LFR280" s="1144"/>
      <c r="LFS280" s="1144"/>
      <c r="LFT280" s="1144"/>
      <c r="LFU280" s="1144"/>
      <c r="LFV280" s="1144"/>
      <c r="LFW280" s="1144"/>
      <c r="LFX280" s="1144"/>
      <c r="LFY280" s="1144"/>
      <c r="LFZ280" s="1144"/>
      <c r="LGA280" s="1144"/>
      <c r="LGB280" s="1144"/>
      <c r="LGC280" s="1144"/>
      <c r="LGD280" s="1144"/>
      <c r="LGE280" s="1144"/>
      <c r="LGF280" s="1144"/>
      <c r="LGG280" s="1144"/>
      <c r="LGH280" s="1144"/>
      <c r="LGI280" s="1144"/>
      <c r="LGJ280" s="1144"/>
      <c r="LGK280" s="1144"/>
      <c r="LGL280" s="1144"/>
      <c r="LGM280" s="1144"/>
      <c r="LGN280" s="1144"/>
      <c r="LGO280" s="1144"/>
      <c r="LGP280" s="1144"/>
      <c r="LGQ280" s="1144"/>
      <c r="LGR280" s="1144"/>
      <c r="LGS280" s="1144"/>
      <c r="LGT280" s="1144"/>
      <c r="LGU280" s="1144"/>
      <c r="LGV280" s="1144"/>
      <c r="LGW280" s="1144"/>
      <c r="LGX280" s="1144"/>
      <c r="LGY280" s="1144"/>
      <c r="LGZ280" s="1144"/>
      <c r="LHA280" s="1144"/>
      <c r="LHB280" s="1144"/>
      <c r="LHC280" s="1144"/>
      <c r="LHD280" s="1144"/>
      <c r="LHE280" s="1144"/>
      <c r="LHF280" s="1144"/>
      <c r="LHG280" s="1144"/>
      <c r="LHH280" s="1144"/>
      <c r="LHI280" s="1144"/>
      <c r="LHJ280" s="1144"/>
      <c r="LHK280" s="1144"/>
      <c r="LHL280" s="1144"/>
      <c r="LHM280" s="1144"/>
      <c r="LHN280" s="1144"/>
      <c r="LHO280" s="1144"/>
      <c r="LHP280" s="1144"/>
      <c r="LHQ280" s="1144"/>
      <c r="LHR280" s="1144"/>
      <c r="LHS280" s="1144"/>
      <c r="LHT280" s="1144"/>
      <c r="LHU280" s="1144"/>
      <c r="LHV280" s="1144"/>
      <c r="LHW280" s="1144"/>
      <c r="LHX280" s="1144"/>
      <c r="LHY280" s="1144"/>
      <c r="LHZ280" s="1144"/>
      <c r="LIA280" s="1144"/>
      <c r="LIB280" s="1144"/>
      <c r="LIC280" s="1144"/>
      <c r="LID280" s="1144"/>
      <c r="LIE280" s="1144"/>
      <c r="LIF280" s="1144"/>
      <c r="LIG280" s="1144"/>
      <c r="LIH280" s="1144"/>
      <c r="LII280" s="1144"/>
      <c r="LIJ280" s="1144"/>
      <c r="LIK280" s="1144"/>
      <c r="LIL280" s="1144"/>
      <c r="LIM280" s="1144"/>
      <c r="LIN280" s="1144"/>
      <c r="LIO280" s="1144"/>
      <c r="LIP280" s="1144"/>
      <c r="LIQ280" s="1144"/>
      <c r="LIR280" s="1144"/>
      <c r="LIS280" s="1144"/>
      <c r="LIT280" s="1144"/>
      <c r="LIU280" s="1144"/>
      <c r="LIV280" s="1144"/>
      <c r="LIW280" s="1144"/>
      <c r="LIX280" s="1144"/>
      <c r="LIY280" s="1144"/>
      <c r="LIZ280" s="1144"/>
      <c r="LJA280" s="1144"/>
      <c r="LJB280" s="1144"/>
      <c r="LJC280" s="1144"/>
      <c r="LJD280" s="1144"/>
      <c r="LJE280" s="1144"/>
      <c r="LJF280" s="1144"/>
      <c r="LJG280" s="1144"/>
      <c r="LJH280" s="1144"/>
      <c r="LJI280" s="1144"/>
      <c r="LJJ280" s="1144"/>
      <c r="LJK280" s="1144"/>
      <c r="LJL280" s="1144"/>
      <c r="LJM280" s="1144"/>
      <c r="LJN280" s="1144"/>
      <c r="LJO280" s="1144"/>
      <c r="LJP280" s="1144"/>
      <c r="LJQ280" s="1144"/>
      <c r="LJR280" s="1144"/>
      <c r="LJS280" s="1144"/>
      <c r="LJT280" s="1144"/>
      <c r="LJU280" s="1144"/>
      <c r="LJV280" s="1144"/>
      <c r="LJW280" s="1144"/>
      <c r="LJX280" s="1144"/>
      <c r="LJY280" s="1144"/>
      <c r="LJZ280" s="1144"/>
      <c r="LKA280" s="1144"/>
      <c r="LKB280" s="1144"/>
      <c r="LKC280" s="1144"/>
      <c r="LKD280" s="1144"/>
      <c r="LKE280" s="1144"/>
      <c r="LKF280" s="1144"/>
      <c r="LKG280" s="1144"/>
      <c r="LKH280" s="1144"/>
      <c r="LKI280" s="1144"/>
      <c r="LKJ280" s="1144"/>
      <c r="LKK280" s="1144"/>
      <c r="LKL280" s="1144"/>
      <c r="LKM280" s="1144"/>
      <c r="LKN280" s="1144"/>
      <c r="LKO280" s="1144"/>
      <c r="LKP280" s="1144"/>
      <c r="LKQ280" s="1144"/>
      <c r="LKR280" s="1144"/>
      <c r="LKS280" s="1144"/>
      <c r="LKT280" s="1144"/>
      <c r="LKU280" s="1144"/>
      <c r="LKV280" s="1144"/>
      <c r="LKW280" s="1144"/>
      <c r="LKX280" s="1144"/>
      <c r="LKY280" s="1144"/>
      <c r="LKZ280" s="1144"/>
      <c r="LLA280" s="1144"/>
      <c r="LLB280" s="1144"/>
      <c r="LLC280" s="1144"/>
      <c r="LLD280" s="1144"/>
      <c r="LLE280" s="1144"/>
      <c r="LLF280" s="1144"/>
      <c r="LLG280" s="1144"/>
      <c r="LLH280" s="1144"/>
      <c r="LLI280" s="1144"/>
      <c r="LLJ280" s="1144"/>
      <c r="LLK280" s="1144"/>
      <c r="LLL280" s="1144"/>
      <c r="LLM280" s="1144"/>
      <c r="LLN280" s="1144"/>
      <c r="LLO280" s="1144"/>
      <c r="LLP280" s="1144"/>
      <c r="LLQ280" s="1144"/>
      <c r="LLR280" s="1144"/>
      <c r="LLS280" s="1144"/>
      <c r="LLT280" s="1144"/>
      <c r="LLU280" s="1144"/>
      <c r="LLV280" s="1144"/>
      <c r="LLW280" s="1144"/>
      <c r="LLX280" s="1144"/>
      <c r="LLY280" s="1144"/>
      <c r="LLZ280" s="1144"/>
      <c r="LMA280" s="1144"/>
      <c r="LMB280" s="1144"/>
      <c r="LMC280" s="1144"/>
      <c r="LMD280" s="1144"/>
      <c r="LME280" s="1144"/>
      <c r="LMF280" s="1144"/>
      <c r="LMG280" s="1144"/>
      <c r="LMH280" s="1144"/>
      <c r="LMI280" s="1144"/>
      <c r="LMJ280" s="1144"/>
      <c r="LMK280" s="1144"/>
      <c r="LML280" s="1144"/>
      <c r="LMM280" s="1144"/>
      <c r="LMN280" s="1144"/>
      <c r="LMO280" s="1144"/>
      <c r="LMP280" s="1144"/>
      <c r="LMQ280" s="1144"/>
      <c r="LMR280" s="1144"/>
      <c r="LMS280" s="1144"/>
      <c r="LMT280" s="1144"/>
      <c r="LMU280" s="1144"/>
      <c r="LMV280" s="1144"/>
      <c r="LMW280" s="1144"/>
      <c r="LMX280" s="1144"/>
      <c r="LMY280" s="1144"/>
      <c r="LMZ280" s="1144"/>
      <c r="LNA280" s="1144"/>
      <c r="LNB280" s="1144"/>
      <c r="LNC280" s="1144"/>
      <c r="LND280" s="1144"/>
      <c r="LNE280" s="1144"/>
      <c r="LNF280" s="1144"/>
      <c r="LNG280" s="1144"/>
      <c r="LNH280" s="1144"/>
      <c r="LNI280" s="1144"/>
      <c r="LNJ280" s="1144"/>
      <c r="LNK280" s="1144"/>
      <c r="LNL280" s="1144"/>
      <c r="LNM280" s="1144"/>
      <c r="LNN280" s="1144"/>
      <c r="LNO280" s="1144"/>
      <c r="LNP280" s="1144"/>
      <c r="LNQ280" s="1144"/>
      <c r="LNR280" s="1144"/>
      <c r="LNS280" s="1144"/>
      <c r="LNT280" s="1144"/>
      <c r="LNU280" s="1144"/>
      <c r="LNV280" s="1144"/>
      <c r="LNW280" s="1144"/>
      <c r="LNX280" s="1144"/>
      <c r="LNY280" s="1144"/>
      <c r="LNZ280" s="1144"/>
      <c r="LOA280" s="1144"/>
      <c r="LOB280" s="1144"/>
      <c r="LOC280" s="1144"/>
      <c r="LOD280" s="1144"/>
      <c r="LOE280" s="1144"/>
      <c r="LOF280" s="1144"/>
      <c r="LOG280" s="1144"/>
      <c r="LOH280" s="1144"/>
      <c r="LOI280" s="1144"/>
      <c r="LOJ280" s="1144"/>
      <c r="LOK280" s="1144"/>
      <c r="LOL280" s="1144"/>
      <c r="LOM280" s="1144"/>
      <c r="LON280" s="1144"/>
      <c r="LOO280" s="1144"/>
      <c r="LOP280" s="1144"/>
      <c r="LOQ280" s="1144"/>
      <c r="LOR280" s="1144"/>
      <c r="LOS280" s="1144"/>
      <c r="LOT280" s="1144"/>
      <c r="LOU280" s="1144"/>
      <c r="LOV280" s="1144"/>
      <c r="LOW280" s="1144"/>
      <c r="LOX280" s="1144"/>
      <c r="LOY280" s="1144"/>
      <c r="LOZ280" s="1144"/>
      <c r="LPA280" s="1144"/>
      <c r="LPB280" s="1144"/>
      <c r="LPC280" s="1144"/>
      <c r="LPD280" s="1144"/>
      <c r="LPE280" s="1144"/>
      <c r="LPF280" s="1144"/>
      <c r="LPG280" s="1144"/>
      <c r="LPH280" s="1144"/>
      <c r="LPI280" s="1144"/>
      <c r="LPJ280" s="1144"/>
      <c r="LPK280" s="1144"/>
      <c r="LPL280" s="1144"/>
      <c r="LPM280" s="1144"/>
      <c r="LPN280" s="1144"/>
      <c r="LPO280" s="1144"/>
      <c r="LPP280" s="1144"/>
      <c r="LPQ280" s="1144"/>
      <c r="LPR280" s="1144"/>
      <c r="LPS280" s="1144"/>
      <c r="LPT280" s="1144"/>
      <c r="LPU280" s="1144"/>
      <c r="LPV280" s="1144"/>
      <c r="LPW280" s="1144"/>
      <c r="LPX280" s="1144"/>
      <c r="LPY280" s="1144"/>
      <c r="LPZ280" s="1144"/>
      <c r="LQA280" s="1144"/>
      <c r="LQB280" s="1144"/>
      <c r="LQC280" s="1144"/>
      <c r="LQD280" s="1144"/>
      <c r="LQE280" s="1144"/>
      <c r="LQF280" s="1144"/>
      <c r="LQG280" s="1144"/>
      <c r="LQH280" s="1144"/>
      <c r="LQI280" s="1144"/>
      <c r="LQJ280" s="1144"/>
      <c r="LQK280" s="1144"/>
      <c r="LQL280" s="1144"/>
      <c r="LQM280" s="1144"/>
      <c r="LQN280" s="1144"/>
      <c r="LQO280" s="1144"/>
      <c r="LQP280" s="1144"/>
      <c r="LQQ280" s="1144"/>
      <c r="LQR280" s="1144"/>
      <c r="LQS280" s="1144"/>
      <c r="LQT280" s="1144"/>
      <c r="LQU280" s="1144"/>
      <c r="LQV280" s="1144"/>
      <c r="LQW280" s="1144"/>
      <c r="LQX280" s="1144"/>
      <c r="LQY280" s="1144"/>
      <c r="LQZ280" s="1144"/>
      <c r="LRA280" s="1144"/>
      <c r="LRB280" s="1144"/>
      <c r="LRC280" s="1144"/>
      <c r="LRD280" s="1144"/>
      <c r="LRE280" s="1144"/>
      <c r="LRF280" s="1144"/>
      <c r="LRG280" s="1144"/>
      <c r="LRH280" s="1144"/>
      <c r="LRI280" s="1144"/>
      <c r="LRJ280" s="1144"/>
      <c r="LRK280" s="1144"/>
      <c r="LRL280" s="1144"/>
      <c r="LRM280" s="1144"/>
      <c r="LRN280" s="1144"/>
      <c r="LRO280" s="1144"/>
      <c r="LRP280" s="1144"/>
      <c r="LRQ280" s="1144"/>
      <c r="LRR280" s="1144"/>
      <c r="LRS280" s="1144"/>
      <c r="LRT280" s="1144"/>
      <c r="LRU280" s="1144"/>
      <c r="LRV280" s="1144"/>
      <c r="LRW280" s="1144"/>
      <c r="LRX280" s="1144"/>
      <c r="LRY280" s="1144"/>
      <c r="LRZ280" s="1144"/>
      <c r="LSA280" s="1144"/>
      <c r="LSB280" s="1144"/>
      <c r="LSC280" s="1144"/>
      <c r="LSD280" s="1144"/>
      <c r="LSE280" s="1144"/>
      <c r="LSF280" s="1144"/>
      <c r="LSG280" s="1144"/>
      <c r="LSH280" s="1144"/>
      <c r="LSI280" s="1144"/>
      <c r="LSJ280" s="1144"/>
      <c r="LSK280" s="1144"/>
      <c r="LSL280" s="1144"/>
      <c r="LSM280" s="1144"/>
      <c r="LSN280" s="1144"/>
      <c r="LSO280" s="1144"/>
      <c r="LSP280" s="1144"/>
      <c r="LSQ280" s="1144"/>
      <c r="LSR280" s="1144"/>
      <c r="LSS280" s="1144"/>
      <c r="LST280" s="1144"/>
      <c r="LSU280" s="1144"/>
      <c r="LSV280" s="1144"/>
      <c r="LSW280" s="1144"/>
      <c r="LSX280" s="1144"/>
      <c r="LSY280" s="1144"/>
      <c r="LSZ280" s="1144"/>
      <c r="LTA280" s="1144"/>
      <c r="LTB280" s="1144"/>
      <c r="LTC280" s="1144"/>
      <c r="LTD280" s="1144"/>
      <c r="LTE280" s="1144"/>
      <c r="LTF280" s="1144"/>
      <c r="LTG280" s="1144"/>
      <c r="LTH280" s="1144"/>
      <c r="LTI280" s="1144"/>
      <c r="LTJ280" s="1144"/>
      <c r="LTK280" s="1144"/>
      <c r="LTL280" s="1144"/>
      <c r="LTM280" s="1144"/>
      <c r="LTN280" s="1144"/>
      <c r="LTO280" s="1144"/>
      <c r="LTP280" s="1144"/>
      <c r="LTQ280" s="1144"/>
      <c r="LTR280" s="1144"/>
      <c r="LTS280" s="1144"/>
      <c r="LTT280" s="1144"/>
      <c r="LTU280" s="1144"/>
      <c r="LTV280" s="1144"/>
      <c r="LTW280" s="1144"/>
      <c r="LTX280" s="1144"/>
      <c r="LTY280" s="1144"/>
      <c r="LTZ280" s="1144"/>
      <c r="LUA280" s="1144"/>
      <c r="LUB280" s="1144"/>
      <c r="LUC280" s="1144"/>
      <c r="LUD280" s="1144"/>
      <c r="LUE280" s="1144"/>
      <c r="LUF280" s="1144"/>
      <c r="LUG280" s="1144"/>
      <c r="LUH280" s="1144"/>
      <c r="LUI280" s="1144"/>
      <c r="LUJ280" s="1144"/>
      <c r="LUK280" s="1144"/>
      <c r="LUL280" s="1144"/>
      <c r="LUM280" s="1144"/>
      <c r="LUN280" s="1144"/>
      <c r="LUO280" s="1144"/>
      <c r="LUP280" s="1144"/>
      <c r="LUQ280" s="1144"/>
      <c r="LUR280" s="1144"/>
      <c r="LUS280" s="1144"/>
      <c r="LUT280" s="1144"/>
      <c r="LUU280" s="1144"/>
      <c r="LUV280" s="1144"/>
      <c r="LUW280" s="1144"/>
      <c r="LUX280" s="1144"/>
      <c r="LUY280" s="1144"/>
      <c r="LUZ280" s="1144"/>
      <c r="LVA280" s="1144"/>
      <c r="LVB280" s="1144"/>
      <c r="LVC280" s="1144"/>
      <c r="LVD280" s="1144"/>
      <c r="LVE280" s="1144"/>
      <c r="LVF280" s="1144"/>
      <c r="LVG280" s="1144"/>
      <c r="LVH280" s="1144"/>
      <c r="LVI280" s="1144"/>
      <c r="LVJ280" s="1144"/>
      <c r="LVK280" s="1144"/>
      <c r="LVL280" s="1144"/>
      <c r="LVM280" s="1144"/>
      <c r="LVN280" s="1144"/>
      <c r="LVO280" s="1144"/>
      <c r="LVP280" s="1144"/>
      <c r="LVQ280" s="1144"/>
      <c r="LVR280" s="1144"/>
      <c r="LVS280" s="1144"/>
      <c r="LVT280" s="1144"/>
      <c r="LVU280" s="1144"/>
      <c r="LVV280" s="1144"/>
      <c r="LVW280" s="1144"/>
      <c r="LVX280" s="1144"/>
      <c r="LVY280" s="1144"/>
      <c r="LVZ280" s="1144"/>
      <c r="LWA280" s="1144"/>
      <c r="LWB280" s="1144"/>
      <c r="LWC280" s="1144"/>
      <c r="LWD280" s="1144"/>
      <c r="LWE280" s="1144"/>
      <c r="LWF280" s="1144"/>
      <c r="LWG280" s="1144"/>
      <c r="LWH280" s="1144"/>
      <c r="LWI280" s="1144"/>
      <c r="LWJ280" s="1144"/>
      <c r="LWK280" s="1144"/>
      <c r="LWL280" s="1144"/>
      <c r="LWM280" s="1144"/>
      <c r="LWN280" s="1144"/>
      <c r="LWO280" s="1144"/>
      <c r="LWP280" s="1144"/>
      <c r="LWQ280" s="1144"/>
      <c r="LWR280" s="1144"/>
      <c r="LWS280" s="1144"/>
      <c r="LWT280" s="1144"/>
      <c r="LWU280" s="1144"/>
      <c r="LWV280" s="1144"/>
      <c r="LWW280" s="1144"/>
      <c r="LWX280" s="1144"/>
      <c r="LWY280" s="1144"/>
      <c r="LWZ280" s="1144"/>
      <c r="LXA280" s="1144"/>
      <c r="LXB280" s="1144"/>
      <c r="LXC280" s="1144"/>
      <c r="LXD280" s="1144"/>
      <c r="LXE280" s="1144"/>
      <c r="LXF280" s="1144"/>
      <c r="LXG280" s="1144"/>
      <c r="LXH280" s="1144"/>
      <c r="LXI280" s="1144"/>
      <c r="LXJ280" s="1144"/>
      <c r="LXK280" s="1144"/>
      <c r="LXL280" s="1144"/>
      <c r="LXM280" s="1144"/>
      <c r="LXN280" s="1144"/>
      <c r="LXO280" s="1144"/>
      <c r="LXP280" s="1144"/>
      <c r="LXQ280" s="1144"/>
      <c r="LXR280" s="1144"/>
      <c r="LXS280" s="1144"/>
      <c r="LXT280" s="1144"/>
      <c r="LXU280" s="1144"/>
      <c r="LXV280" s="1144"/>
      <c r="LXW280" s="1144"/>
      <c r="LXX280" s="1144"/>
      <c r="LXY280" s="1144"/>
      <c r="LXZ280" s="1144"/>
      <c r="LYA280" s="1144"/>
      <c r="LYB280" s="1144"/>
      <c r="LYC280" s="1144"/>
      <c r="LYD280" s="1144"/>
      <c r="LYE280" s="1144"/>
      <c r="LYF280" s="1144"/>
      <c r="LYG280" s="1144"/>
      <c r="LYH280" s="1144"/>
      <c r="LYI280" s="1144"/>
      <c r="LYJ280" s="1144"/>
      <c r="LYK280" s="1144"/>
      <c r="LYL280" s="1144"/>
      <c r="LYM280" s="1144"/>
      <c r="LYN280" s="1144"/>
      <c r="LYO280" s="1144"/>
      <c r="LYP280" s="1144"/>
      <c r="LYQ280" s="1144"/>
      <c r="LYR280" s="1144"/>
      <c r="LYS280" s="1144"/>
      <c r="LYT280" s="1144"/>
      <c r="LYU280" s="1144"/>
      <c r="LYV280" s="1144"/>
      <c r="LYW280" s="1144"/>
      <c r="LYX280" s="1144"/>
      <c r="LYY280" s="1144"/>
      <c r="LYZ280" s="1144"/>
      <c r="LZA280" s="1144"/>
      <c r="LZB280" s="1144"/>
      <c r="LZC280" s="1144"/>
      <c r="LZD280" s="1144"/>
      <c r="LZE280" s="1144"/>
      <c r="LZF280" s="1144"/>
      <c r="LZG280" s="1144"/>
      <c r="LZH280" s="1144"/>
      <c r="LZI280" s="1144"/>
      <c r="LZJ280" s="1144"/>
      <c r="LZK280" s="1144"/>
      <c r="LZL280" s="1144"/>
      <c r="LZM280" s="1144"/>
      <c r="LZN280" s="1144"/>
      <c r="LZO280" s="1144"/>
      <c r="LZP280" s="1144"/>
      <c r="LZQ280" s="1144"/>
      <c r="LZR280" s="1144"/>
      <c r="LZS280" s="1144"/>
      <c r="LZT280" s="1144"/>
      <c r="LZU280" s="1144"/>
      <c r="LZV280" s="1144"/>
      <c r="LZW280" s="1144"/>
      <c r="LZX280" s="1144"/>
      <c r="LZY280" s="1144"/>
      <c r="LZZ280" s="1144"/>
      <c r="MAA280" s="1144"/>
      <c r="MAB280" s="1144"/>
      <c r="MAC280" s="1144"/>
      <c r="MAD280" s="1144"/>
      <c r="MAE280" s="1144"/>
      <c r="MAF280" s="1144"/>
      <c r="MAG280" s="1144"/>
      <c r="MAH280" s="1144"/>
      <c r="MAI280" s="1144"/>
      <c r="MAJ280" s="1144"/>
      <c r="MAK280" s="1144"/>
      <c r="MAL280" s="1144"/>
      <c r="MAM280" s="1144"/>
      <c r="MAN280" s="1144"/>
      <c r="MAO280" s="1144"/>
      <c r="MAP280" s="1144"/>
      <c r="MAQ280" s="1144"/>
      <c r="MAR280" s="1144"/>
      <c r="MAS280" s="1144"/>
      <c r="MAT280" s="1144"/>
      <c r="MAU280" s="1144"/>
      <c r="MAV280" s="1144"/>
      <c r="MAW280" s="1144"/>
      <c r="MAX280" s="1144"/>
      <c r="MAY280" s="1144"/>
      <c r="MAZ280" s="1144"/>
      <c r="MBA280" s="1144"/>
      <c r="MBB280" s="1144"/>
      <c r="MBC280" s="1144"/>
      <c r="MBD280" s="1144"/>
      <c r="MBE280" s="1144"/>
      <c r="MBF280" s="1144"/>
      <c r="MBG280" s="1144"/>
      <c r="MBH280" s="1144"/>
      <c r="MBI280" s="1144"/>
      <c r="MBJ280" s="1144"/>
      <c r="MBK280" s="1144"/>
      <c r="MBL280" s="1144"/>
      <c r="MBM280" s="1144"/>
      <c r="MBN280" s="1144"/>
      <c r="MBO280" s="1144"/>
      <c r="MBP280" s="1144"/>
      <c r="MBQ280" s="1144"/>
      <c r="MBR280" s="1144"/>
      <c r="MBS280" s="1144"/>
      <c r="MBT280" s="1144"/>
      <c r="MBU280" s="1144"/>
      <c r="MBV280" s="1144"/>
      <c r="MBW280" s="1144"/>
      <c r="MBX280" s="1144"/>
      <c r="MBY280" s="1144"/>
      <c r="MBZ280" s="1144"/>
      <c r="MCA280" s="1144"/>
      <c r="MCB280" s="1144"/>
      <c r="MCC280" s="1144"/>
      <c r="MCD280" s="1144"/>
      <c r="MCE280" s="1144"/>
      <c r="MCF280" s="1144"/>
      <c r="MCG280" s="1144"/>
      <c r="MCH280" s="1144"/>
      <c r="MCI280" s="1144"/>
      <c r="MCJ280" s="1144"/>
      <c r="MCK280" s="1144"/>
      <c r="MCL280" s="1144"/>
      <c r="MCM280" s="1144"/>
      <c r="MCN280" s="1144"/>
      <c r="MCO280" s="1144"/>
      <c r="MCP280" s="1144"/>
      <c r="MCQ280" s="1144"/>
      <c r="MCR280" s="1144"/>
      <c r="MCS280" s="1144"/>
      <c r="MCT280" s="1144"/>
      <c r="MCU280" s="1144"/>
      <c r="MCV280" s="1144"/>
      <c r="MCW280" s="1144"/>
      <c r="MCX280" s="1144"/>
      <c r="MCY280" s="1144"/>
      <c r="MCZ280" s="1144"/>
      <c r="MDA280" s="1144"/>
      <c r="MDB280" s="1144"/>
      <c r="MDC280" s="1144"/>
      <c r="MDD280" s="1144"/>
      <c r="MDE280" s="1144"/>
      <c r="MDF280" s="1144"/>
      <c r="MDG280" s="1144"/>
      <c r="MDH280" s="1144"/>
      <c r="MDI280" s="1144"/>
      <c r="MDJ280" s="1144"/>
      <c r="MDK280" s="1144"/>
      <c r="MDL280" s="1144"/>
      <c r="MDM280" s="1144"/>
      <c r="MDN280" s="1144"/>
      <c r="MDO280" s="1144"/>
      <c r="MDP280" s="1144"/>
      <c r="MDQ280" s="1144"/>
      <c r="MDR280" s="1144"/>
      <c r="MDS280" s="1144"/>
      <c r="MDT280" s="1144"/>
      <c r="MDU280" s="1144"/>
      <c r="MDV280" s="1144"/>
      <c r="MDW280" s="1144"/>
      <c r="MDX280" s="1144"/>
      <c r="MDY280" s="1144"/>
      <c r="MDZ280" s="1144"/>
      <c r="MEA280" s="1144"/>
      <c r="MEB280" s="1144"/>
      <c r="MEC280" s="1144"/>
      <c r="MED280" s="1144"/>
      <c r="MEE280" s="1144"/>
      <c r="MEF280" s="1144"/>
      <c r="MEG280" s="1144"/>
      <c r="MEH280" s="1144"/>
      <c r="MEI280" s="1144"/>
      <c r="MEJ280" s="1144"/>
      <c r="MEK280" s="1144"/>
      <c r="MEL280" s="1144"/>
      <c r="MEM280" s="1144"/>
      <c r="MEN280" s="1144"/>
      <c r="MEO280" s="1144"/>
      <c r="MEP280" s="1144"/>
      <c r="MEQ280" s="1144"/>
      <c r="MER280" s="1144"/>
      <c r="MES280" s="1144"/>
      <c r="MET280" s="1144"/>
      <c r="MEU280" s="1144"/>
      <c r="MEV280" s="1144"/>
      <c r="MEW280" s="1144"/>
      <c r="MEX280" s="1144"/>
      <c r="MEY280" s="1144"/>
      <c r="MEZ280" s="1144"/>
      <c r="MFA280" s="1144"/>
      <c r="MFB280" s="1144"/>
      <c r="MFC280" s="1144"/>
      <c r="MFD280" s="1144"/>
      <c r="MFE280" s="1144"/>
      <c r="MFF280" s="1144"/>
      <c r="MFG280" s="1144"/>
      <c r="MFH280" s="1144"/>
      <c r="MFI280" s="1144"/>
      <c r="MFJ280" s="1144"/>
      <c r="MFK280" s="1144"/>
      <c r="MFL280" s="1144"/>
      <c r="MFM280" s="1144"/>
      <c r="MFN280" s="1144"/>
      <c r="MFO280" s="1144"/>
      <c r="MFP280" s="1144"/>
      <c r="MFQ280" s="1144"/>
      <c r="MFR280" s="1144"/>
      <c r="MFS280" s="1144"/>
      <c r="MFT280" s="1144"/>
      <c r="MFU280" s="1144"/>
      <c r="MFV280" s="1144"/>
      <c r="MFW280" s="1144"/>
      <c r="MFX280" s="1144"/>
      <c r="MFY280" s="1144"/>
      <c r="MFZ280" s="1144"/>
      <c r="MGA280" s="1144"/>
      <c r="MGB280" s="1144"/>
      <c r="MGC280" s="1144"/>
      <c r="MGD280" s="1144"/>
      <c r="MGE280" s="1144"/>
      <c r="MGF280" s="1144"/>
      <c r="MGG280" s="1144"/>
      <c r="MGH280" s="1144"/>
      <c r="MGI280" s="1144"/>
      <c r="MGJ280" s="1144"/>
      <c r="MGK280" s="1144"/>
      <c r="MGL280" s="1144"/>
      <c r="MGM280" s="1144"/>
      <c r="MGN280" s="1144"/>
      <c r="MGO280" s="1144"/>
      <c r="MGP280" s="1144"/>
      <c r="MGQ280" s="1144"/>
      <c r="MGR280" s="1144"/>
      <c r="MGS280" s="1144"/>
      <c r="MGT280" s="1144"/>
      <c r="MGU280" s="1144"/>
      <c r="MGV280" s="1144"/>
      <c r="MGW280" s="1144"/>
      <c r="MGX280" s="1144"/>
      <c r="MGY280" s="1144"/>
      <c r="MGZ280" s="1144"/>
      <c r="MHA280" s="1144"/>
      <c r="MHB280" s="1144"/>
      <c r="MHC280" s="1144"/>
      <c r="MHD280" s="1144"/>
      <c r="MHE280" s="1144"/>
      <c r="MHF280" s="1144"/>
      <c r="MHG280" s="1144"/>
      <c r="MHH280" s="1144"/>
      <c r="MHI280" s="1144"/>
      <c r="MHJ280" s="1144"/>
      <c r="MHK280" s="1144"/>
      <c r="MHL280" s="1144"/>
      <c r="MHM280" s="1144"/>
      <c r="MHN280" s="1144"/>
      <c r="MHO280" s="1144"/>
      <c r="MHP280" s="1144"/>
      <c r="MHQ280" s="1144"/>
      <c r="MHR280" s="1144"/>
      <c r="MHS280" s="1144"/>
      <c r="MHT280" s="1144"/>
      <c r="MHU280" s="1144"/>
      <c r="MHV280" s="1144"/>
      <c r="MHW280" s="1144"/>
      <c r="MHX280" s="1144"/>
      <c r="MHY280" s="1144"/>
      <c r="MHZ280" s="1144"/>
      <c r="MIA280" s="1144"/>
      <c r="MIB280" s="1144"/>
      <c r="MIC280" s="1144"/>
      <c r="MID280" s="1144"/>
      <c r="MIE280" s="1144"/>
      <c r="MIF280" s="1144"/>
      <c r="MIG280" s="1144"/>
      <c r="MIH280" s="1144"/>
      <c r="MII280" s="1144"/>
      <c r="MIJ280" s="1144"/>
      <c r="MIK280" s="1144"/>
      <c r="MIL280" s="1144"/>
      <c r="MIM280" s="1144"/>
      <c r="MIN280" s="1144"/>
      <c r="MIO280" s="1144"/>
      <c r="MIP280" s="1144"/>
      <c r="MIQ280" s="1144"/>
      <c r="MIR280" s="1144"/>
      <c r="MIS280" s="1144"/>
      <c r="MIT280" s="1144"/>
      <c r="MIU280" s="1144"/>
      <c r="MIV280" s="1144"/>
      <c r="MIW280" s="1144"/>
      <c r="MIX280" s="1144"/>
      <c r="MIY280" s="1144"/>
      <c r="MIZ280" s="1144"/>
      <c r="MJA280" s="1144"/>
      <c r="MJB280" s="1144"/>
      <c r="MJC280" s="1144"/>
      <c r="MJD280" s="1144"/>
      <c r="MJE280" s="1144"/>
      <c r="MJF280" s="1144"/>
      <c r="MJG280" s="1144"/>
      <c r="MJH280" s="1144"/>
      <c r="MJI280" s="1144"/>
      <c r="MJJ280" s="1144"/>
      <c r="MJK280" s="1144"/>
      <c r="MJL280" s="1144"/>
      <c r="MJM280" s="1144"/>
      <c r="MJN280" s="1144"/>
      <c r="MJO280" s="1144"/>
      <c r="MJP280" s="1144"/>
      <c r="MJQ280" s="1144"/>
      <c r="MJR280" s="1144"/>
      <c r="MJS280" s="1144"/>
      <c r="MJT280" s="1144"/>
      <c r="MJU280" s="1144"/>
      <c r="MJV280" s="1144"/>
      <c r="MJW280" s="1144"/>
      <c r="MJX280" s="1144"/>
      <c r="MJY280" s="1144"/>
      <c r="MJZ280" s="1144"/>
      <c r="MKA280" s="1144"/>
      <c r="MKB280" s="1144"/>
      <c r="MKC280" s="1144"/>
      <c r="MKD280" s="1144"/>
      <c r="MKE280" s="1144"/>
      <c r="MKF280" s="1144"/>
      <c r="MKG280" s="1144"/>
      <c r="MKH280" s="1144"/>
      <c r="MKI280" s="1144"/>
      <c r="MKJ280" s="1144"/>
      <c r="MKK280" s="1144"/>
      <c r="MKL280" s="1144"/>
      <c r="MKM280" s="1144"/>
      <c r="MKN280" s="1144"/>
      <c r="MKO280" s="1144"/>
      <c r="MKP280" s="1144"/>
      <c r="MKQ280" s="1144"/>
      <c r="MKR280" s="1144"/>
      <c r="MKS280" s="1144"/>
      <c r="MKT280" s="1144"/>
      <c r="MKU280" s="1144"/>
      <c r="MKV280" s="1144"/>
      <c r="MKW280" s="1144"/>
      <c r="MKX280" s="1144"/>
      <c r="MKY280" s="1144"/>
      <c r="MKZ280" s="1144"/>
      <c r="MLA280" s="1144"/>
      <c r="MLB280" s="1144"/>
      <c r="MLC280" s="1144"/>
      <c r="MLD280" s="1144"/>
      <c r="MLE280" s="1144"/>
      <c r="MLF280" s="1144"/>
      <c r="MLG280" s="1144"/>
      <c r="MLH280" s="1144"/>
      <c r="MLI280" s="1144"/>
      <c r="MLJ280" s="1144"/>
      <c r="MLK280" s="1144"/>
      <c r="MLL280" s="1144"/>
      <c r="MLM280" s="1144"/>
      <c r="MLN280" s="1144"/>
      <c r="MLO280" s="1144"/>
      <c r="MLP280" s="1144"/>
      <c r="MLQ280" s="1144"/>
      <c r="MLR280" s="1144"/>
      <c r="MLS280" s="1144"/>
      <c r="MLT280" s="1144"/>
      <c r="MLU280" s="1144"/>
      <c r="MLV280" s="1144"/>
      <c r="MLW280" s="1144"/>
      <c r="MLX280" s="1144"/>
      <c r="MLY280" s="1144"/>
      <c r="MLZ280" s="1144"/>
      <c r="MMA280" s="1144"/>
      <c r="MMB280" s="1144"/>
      <c r="MMC280" s="1144"/>
      <c r="MMD280" s="1144"/>
      <c r="MME280" s="1144"/>
      <c r="MMF280" s="1144"/>
      <c r="MMG280" s="1144"/>
      <c r="MMH280" s="1144"/>
      <c r="MMI280" s="1144"/>
      <c r="MMJ280" s="1144"/>
      <c r="MMK280" s="1144"/>
      <c r="MML280" s="1144"/>
      <c r="MMM280" s="1144"/>
      <c r="MMN280" s="1144"/>
      <c r="MMO280" s="1144"/>
      <c r="MMP280" s="1144"/>
      <c r="MMQ280" s="1144"/>
      <c r="MMR280" s="1144"/>
      <c r="MMS280" s="1144"/>
      <c r="MMT280" s="1144"/>
      <c r="MMU280" s="1144"/>
      <c r="MMV280" s="1144"/>
      <c r="MMW280" s="1144"/>
      <c r="MMX280" s="1144"/>
      <c r="MMY280" s="1144"/>
      <c r="MMZ280" s="1144"/>
      <c r="MNA280" s="1144"/>
      <c r="MNB280" s="1144"/>
      <c r="MNC280" s="1144"/>
      <c r="MND280" s="1144"/>
      <c r="MNE280" s="1144"/>
      <c r="MNF280" s="1144"/>
      <c r="MNG280" s="1144"/>
      <c r="MNH280" s="1144"/>
      <c r="MNI280" s="1144"/>
      <c r="MNJ280" s="1144"/>
      <c r="MNK280" s="1144"/>
      <c r="MNL280" s="1144"/>
      <c r="MNM280" s="1144"/>
      <c r="MNN280" s="1144"/>
      <c r="MNO280" s="1144"/>
      <c r="MNP280" s="1144"/>
      <c r="MNQ280" s="1144"/>
      <c r="MNR280" s="1144"/>
      <c r="MNS280" s="1144"/>
      <c r="MNT280" s="1144"/>
      <c r="MNU280" s="1144"/>
      <c r="MNV280" s="1144"/>
      <c r="MNW280" s="1144"/>
      <c r="MNX280" s="1144"/>
      <c r="MNY280" s="1144"/>
      <c r="MNZ280" s="1144"/>
      <c r="MOA280" s="1144"/>
      <c r="MOB280" s="1144"/>
      <c r="MOC280" s="1144"/>
      <c r="MOD280" s="1144"/>
      <c r="MOE280" s="1144"/>
      <c r="MOF280" s="1144"/>
      <c r="MOG280" s="1144"/>
      <c r="MOH280" s="1144"/>
      <c r="MOI280" s="1144"/>
      <c r="MOJ280" s="1144"/>
      <c r="MOK280" s="1144"/>
      <c r="MOL280" s="1144"/>
      <c r="MOM280" s="1144"/>
      <c r="MON280" s="1144"/>
      <c r="MOO280" s="1144"/>
      <c r="MOP280" s="1144"/>
      <c r="MOQ280" s="1144"/>
      <c r="MOR280" s="1144"/>
      <c r="MOS280" s="1144"/>
      <c r="MOT280" s="1144"/>
      <c r="MOU280" s="1144"/>
      <c r="MOV280" s="1144"/>
      <c r="MOW280" s="1144"/>
      <c r="MOX280" s="1144"/>
      <c r="MOY280" s="1144"/>
      <c r="MOZ280" s="1144"/>
      <c r="MPA280" s="1144"/>
      <c r="MPB280" s="1144"/>
      <c r="MPC280" s="1144"/>
      <c r="MPD280" s="1144"/>
      <c r="MPE280" s="1144"/>
      <c r="MPF280" s="1144"/>
      <c r="MPG280" s="1144"/>
      <c r="MPH280" s="1144"/>
      <c r="MPI280" s="1144"/>
      <c r="MPJ280" s="1144"/>
      <c r="MPK280" s="1144"/>
      <c r="MPL280" s="1144"/>
      <c r="MPM280" s="1144"/>
      <c r="MPN280" s="1144"/>
      <c r="MPO280" s="1144"/>
      <c r="MPP280" s="1144"/>
      <c r="MPQ280" s="1144"/>
      <c r="MPR280" s="1144"/>
      <c r="MPS280" s="1144"/>
      <c r="MPT280" s="1144"/>
      <c r="MPU280" s="1144"/>
      <c r="MPV280" s="1144"/>
      <c r="MPW280" s="1144"/>
      <c r="MPX280" s="1144"/>
      <c r="MPY280" s="1144"/>
      <c r="MPZ280" s="1144"/>
      <c r="MQA280" s="1144"/>
      <c r="MQB280" s="1144"/>
      <c r="MQC280" s="1144"/>
      <c r="MQD280" s="1144"/>
      <c r="MQE280" s="1144"/>
      <c r="MQF280" s="1144"/>
      <c r="MQG280" s="1144"/>
      <c r="MQH280" s="1144"/>
      <c r="MQI280" s="1144"/>
      <c r="MQJ280" s="1144"/>
      <c r="MQK280" s="1144"/>
      <c r="MQL280" s="1144"/>
      <c r="MQM280" s="1144"/>
      <c r="MQN280" s="1144"/>
      <c r="MQO280" s="1144"/>
      <c r="MQP280" s="1144"/>
      <c r="MQQ280" s="1144"/>
      <c r="MQR280" s="1144"/>
      <c r="MQS280" s="1144"/>
      <c r="MQT280" s="1144"/>
      <c r="MQU280" s="1144"/>
      <c r="MQV280" s="1144"/>
      <c r="MQW280" s="1144"/>
      <c r="MQX280" s="1144"/>
      <c r="MQY280" s="1144"/>
      <c r="MQZ280" s="1144"/>
      <c r="MRA280" s="1144"/>
      <c r="MRB280" s="1144"/>
      <c r="MRC280" s="1144"/>
      <c r="MRD280" s="1144"/>
      <c r="MRE280" s="1144"/>
      <c r="MRF280" s="1144"/>
      <c r="MRG280" s="1144"/>
      <c r="MRH280" s="1144"/>
      <c r="MRI280" s="1144"/>
      <c r="MRJ280" s="1144"/>
      <c r="MRK280" s="1144"/>
      <c r="MRL280" s="1144"/>
      <c r="MRM280" s="1144"/>
      <c r="MRN280" s="1144"/>
      <c r="MRO280" s="1144"/>
      <c r="MRP280" s="1144"/>
      <c r="MRQ280" s="1144"/>
      <c r="MRR280" s="1144"/>
      <c r="MRS280" s="1144"/>
      <c r="MRT280" s="1144"/>
      <c r="MRU280" s="1144"/>
      <c r="MRV280" s="1144"/>
      <c r="MRW280" s="1144"/>
      <c r="MRX280" s="1144"/>
      <c r="MRY280" s="1144"/>
      <c r="MRZ280" s="1144"/>
      <c r="MSA280" s="1144"/>
      <c r="MSB280" s="1144"/>
      <c r="MSC280" s="1144"/>
      <c r="MSD280" s="1144"/>
      <c r="MSE280" s="1144"/>
      <c r="MSF280" s="1144"/>
      <c r="MSG280" s="1144"/>
      <c r="MSH280" s="1144"/>
      <c r="MSI280" s="1144"/>
      <c r="MSJ280" s="1144"/>
      <c r="MSK280" s="1144"/>
      <c r="MSL280" s="1144"/>
      <c r="MSM280" s="1144"/>
      <c r="MSN280" s="1144"/>
      <c r="MSO280" s="1144"/>
      <c r="MSP280" s="1144"/>
      <c r="MSQ280" s="1144"/>
      <c r="MSR280" s="1144"/>
      <c r="MSS280" s="1144"/>
      <c r="MST280" s="1144"/>
      <c r="MSU280" s="1144"/>
      <c r="MSV280" s="1144"/>
      <c r="MSW280" s="1144"/>
      <c r="MSX280" s="1144"/>
      <c r="MSY280" s="1144"/>
      <c r="MSZ280" s="1144"/>
      <c r="MTA280" s="1144"/>
      <c r="MTB280" s="1144"/>
      <c r="MTC280" s="1144"/>
      <c r="MTD280" s="1144"/>
      <c r="MTE280" s="1144"/>
      <c r="MTF280" s="1144"/>
      <c r="MTG280" s="1144"/>
      <c r="MTH280" s="1144"/>
      <c r="MTI280" s="1144"/>
      <c r="MTJ280" s="1144"/>
      <c r="MTK280" s="1144"/>
      <c r="MTL280" s="1144"/>
      <c r="MTM280" s="1144"/>
      <c r="MTN280" s="1144"/>
      <c r="MTO280" s="1144"/>
      <c r="MTP280" s="1144"/>
      <c r="MTQ280" s="1144"/>
      <c r="MTR280" s="1144"/>
      <c r="MTS280" s="1144"/>
      <c r="MTT280" s="1144"/>
      <c r="MTU280" s="1144"/>
      <c r="MTV280" s="1144"/>
      <c r="MTW280" s="1144"/>
      <c r="MTX280" s="1144"/>
      <c r="MTY280" s="1144"/>
      <c r="MTZ280" s="1144"/>
      <c r="MUA280" s="1144"/>
      <c r="MUB280" s="1144"/>
      <c r="MUC280" s="1144"/>
      <c r="MUD280" s="1144"/>
      <c r="MUE280" s="1144"/>
      <c r="MUF280" s="1144"/>
      <c r="MUG280" s="1144"/>
      <c r="MUH280" s="1144"/>
      <c r="MUI280" s="1144"/>
      <c r="MUJ280" s="1144"/>
      <c r="MUK280" s="1144"/>
      <c r="MUL280" s="1144"/>
      <c r="MUM280" s="1144"/>
      <c r="MUN280" s="1144"/>
      <c r="MUO280" s="1144"/>
      <c r="MUP280" s="1144"/>
      <c r="MUQ280" s="1144"/>
      <c r="MUR280" s="1144"/>
      <c r="MUS280" s="1144"/>
      <c r="MUT280" s="1144"/>
      <c r="MUU280" s="1144"/>
      <c r="MUV280" s="1144"/>
      <c r="MUW280" s="1144"/>
      <c r="MUX280" s="1144"/>
      <c r="MUY280" s="1144"/>
      <c r="MUZ280" s="1144"/>
      <c r="MVA280" s="1144"/>
      <c r="MVB280" s="1144"/>
      <c r="MVC280" s="1144"/>
      <c r="MVD280" s="1144"/>
      <c r="MVE280" s="1144"/>
      <c r="MVF280" s="1144"/>
      <c r="MVG280" s="1144"/>
      <c r="MVH280" s="1144"/>
      <c r="MVI280" s="1144"/>
      <c r="MVJ280" s="1144"/>
      <c r="MVK280" s="1144"/>
      <c r="MVL280" s="1144"/>
      <c r="MVM280" s="1144"/>
      <c r="MVN280" s="1144"/>
      <c r="MVO280" s="1144"/>
      <c r="MVP280" s="1144"/>
      <c r="MVQ280" s="1144"/>
      <c r="MVR280" s="1144"/>
      <c r="MVS280" s="1144"/>
      <c r="MVT280" s="1144"/>
      <c r="MVU280" s="1144"/>
      <c r="MVV280" s="1144"/>
      <c r="MVW280" s="1144"/>
      <c r="MVX280" s="1144"/>
      <c r="MVY280" s="1144"/>
      <c r="MVZ280" s="1144"/>
      <c r="MWA280" s="1144"/>
      <c r="MWB280" s="1144"/>
      <c r="MWC280" s="1144"/>
      <c r="MWD280" s="1144"/>
      <c r="MWE280" s="1144"/>
      <c r="MWF280" s="1144"/>
      <c r="MWG280" s="1144"/>
      <c r="MWH280" s="1144"/>
      <c r="MWI280" s="1144"/>
      <c r="MWJ280" s="1144"/>
      <c r="MWK280" s="1144"/>
      <c r="MWL280" s="1144"/>
      <c r="MWM280" s="1144"/>
      <c r="MWN280" s="1144"/>
      <c r="MWO280" s="1144"/>
      <c r="MWP280" s="1144"/>
      <c r="MWQ280" s="1144"/>
      <c r="MWR280" s="1144"/>
      <c r="MWS280" s="1144"/>
      <c r="MWT280" s="1144"/>
      <c r="MWU280" s="1144"/>
      <c r="MWV280" s="1144"/>
      <c r="MWW280" s="1144"/>
      <c r="MWX280" s="1144"/>
      <c r="MWY280" s="1144"/>
      <c r="MWZ280" s="1144"/>
      <c r="MXA280" s="1144"/>
      <c r="MXB280" s="1144"/>
      <c r="MXC280" s="1144"/>
      <c r="MXD280" s="1144"/>
      <c r="MXE280" s="1144"/>
      <c r="MXF280" s="1144"/>
      <c r="MXG280" s="1144"/>
      <c r="MXH280" s="1144"/>
      <c r="MXI280" s="1144"/>
      <c r="MXJ280" s="1144"/>
      <c r="MXK280" s="1144"/>
      <c r="MXL280" s="1144"/>
      <c r="MXM280" s="1144"/>
      <c r="MXN280" s="1144"/>
      <c r="MXO280" s="1144"/>
      <c r="MXP280" s="1144"/>
      <c r="MXQ280" s="1144"/>
      <c r="MXR280" s="1144"/>
      <c r="MXS280" s="1144"/>
      <c r="MXT280" s="1144"/>
      <c r="MXU280" s="1144"/>
      <c r="MXV280" s="1144"/>
      <c r="MXW280" s="1144"/>
      <c r="MXX280" s="1144"/>
      <c r="MXY280" s="1144"/>
      <c r="MXZ280" s="1144"/>
      <c r="MYA280" s="1144"/>
      <c r="MYB280" s="1144"/>
      <c r="MYC280" s="1144"/>
      <c r="MYD280" s="1144"/>
      <c r="MYE280" s="1144"/>
      <c r="MYF280" s="1144"/>
      <c r="MYG280" s="1144"/>
      <c r="MYH280" s="1144"/>
      <c r="MYI280" s="1144"/>
      <c r="MYJ280" s="1144"/>
      <c r="MYK280" s="1144"/>
      <c r="MYL280" s="1144"/>
      <c r="MYM280" s="1144"/>
      <c r="MYN280" s="1144"/>
      <c r="MYO280" s="1144"/>
      <c r="MYP280" s="1144"/>
      <c r="MYQ280" s="1144"/>
      <c r="MYR280" s="1144"/>
      <c r="MYS280" s="1144"/>
      <c r="MYT280" s="1144"/>
      <c r="MYU280" s="1144"/>
      <c r="MYV280" s="1144"/>
      <c r="MYW280" s="1144"/>
      <c r="MYX280" s="1144"/>
      <c r="MYY280" s="1144"/>
      <c r="MYZ280" s="1144"/>
      <c r="MZA280" s="1144"/>
      <c r="MZB280" s="1144"/>
      <c r="MZC280" s="1144"/>
      <c r="MZD280" s="1144"/>
      <c r="MZE280" s="1144"/>
      <c r="MZF280" s="1144"/>
      <c r="MZG280" s="1144"/>
      <c r="MZH280" s="1144"/>
      <c r="MZI280" s="1144"/>
      <c r="MZJ280" s="1144"/>
      <c r="MZK280" s="1144"/>
      <c r="MZL280" s="1144"/>
      <c r="MZM280" s="1144"/>
      <c r="MZN280" s="1144"/>
      <c r="MZO280" s="1144"/>
      <c r="MZP280" s="1144"/>
      <c r="MZQ280" s="1144"/>
      <c r="MZR280" s="1144"/>
      <c r="MZS280" s="1144"/>
      <c r="MZT280" s="1144"/>
      <c r="MZU280" s="1144"/>
      <c r="MZV280" s="1144"/>
      <c r="MZW280" s="1144"/>
      <c r="MZX280" s="1144"/>
      <c r="MZY280" s="1144"/>
      <c r="MZZ280" s="1144"/>
      <c r="NAA280" s="1144"/>
      <c r="NAB280" s="1144"/>
      <c r="NAC280" s="1144"/>
      <c r="NAD280" s="1144"/>
      <c r="NAE280" s="1144"/>
      <c r="NAF280" s="1144"/>
      <c r="NAG280" s="1144"/>
      <c r="NAH280" s="1144"/>
      <c r="NAI280" s="1144"/>
      <c r="NAJ280" s="1144"/>
      <c r="NAK280" s="1144"/>
      <c r="NAL280" s="1144"/>
      <c r="NAM280" s="1144"/>
      <c r="NAN280" s="1144"/>
      <c r="NAO280" s="1144"/>
      <c r="NAP280" s="1144"/>
      <c r="NAQ280" s="1144"/>
      <c r="NAR280" s="1144"/>
      <c r="NAS280" s="1144"/>
      <c r="NAT280" s="1144"/>
      <c r="NAU280" s="1144"/>
      <c r="NAV280" s="1144"/>
      <c r="NAW280" s="1144"/>
      <c r="NAX280" s="1144"/>
      <c r="NAY280" s="1144"/>
      <c r="NAZ280" s="1144"/>
      <c r="NBA280" s="1144"/>
      <c r="NBB280" s="1144"/>
      <c r="NBC280" s="1144"/>
      <c r="NBD280" s="1144"/>
      <c r="NBE280" s="1144"/>
      <c r="NBF280" s="1144"/>
      <c r="NBG280" s="1144"/>
      <c r="NBH280" s="1144"/>
      <c r="NBI280" s="1144"/>
      <c r="NBJ280" s="1144"/>
      <c r="NBK280" s="1144"/>
      <c r="NBL280" s="1144"/>
      <c r="NBM280" s="1144"/>
      <c r="NBN280" s="1144"/>
      <c r="NBO280" s="1144"/>
      <c r="NBP280" s="1144"/>
      <c r="NBQ280" s="1144"/>
      <c r="NBR280" s="1144"/>
      <c r="NBS280" s="1144"/>
      <c r="NBT280" s="1144"/>
      <c r="NBU280" s="1144"/>
      <c r="NBV280" s="1144"/>
      <c r="NBW280" s="1144"/>
      <c r="NBX280" s="1144"/>
      <c r="NBY280" s="1144"/>
      <c r="NBZ280" s="1144"/>
      <c r="NCA280" s="1144"/>
      <c r="NCB280" s="1144"/>
      <c r="NCC280" s="1144"/>
      <c r="NCD280" s="1144"/>
      <c r="NCE280" s="1144"/>
      <c r="NCF280" s="1144"/>
      <c r="NCG280" s="1144"/>
      <c r="NCH280" s="1144"/>
      <c r="NCI280" s="1144"/>
      <c r="NCJ280" s="1144"/>
      <c r="NCK280" s="1144"/>
      <c r="NCL280" s="1144"/>
      <c r="NCM280" s="1144"/>
      <c r="NCN280" s="1144"/>
      <c r="NCO280" s="1144"/>
      <c r="NCP280" s="1144"/>
      <c r="NCQ280" s="1144"/>
      <c r="NCR280" s="1144"/>
      <c r="NCS280" s="1144"/>
      <c r="NCT280" s="1144"/>
      <c r="NCU280" s="1144"/>
      <c r="NCV280" s="1144"/>
      <c r="NCW280" s="1144"/>
      <c r="NCX280" s="1144"/>
      <c r="NCY280" s="1144"/>
      <c r="NCZ280" s="1144"/>
      <c r="NDA280" s="1144"/>
      <c r="NDB280" s="1144"/>
      <c r="NDC280" s="1144"/>
      <c r="NDD280" s="1144"/>
      <c r="NDE280" s="1144"/>
      <c r="NDF280" s="1144"/>
      <c r="NDG280" s="1144"/>
      <c r="NDH280" s="1144"/>
      <c r="NDI280" s="1144"/>
      <c r="NDJ280" s="1144"/>
      <c r="NDK280" s="1144"/>
      <c r="NDL280" s="1144"/>
      <c r="NDM280" s="1144"/>
      <c r="NDN280" s="1144"/>
      <c r="NDO280" s="1144"/>
      <c r="NDP280" s="1144"/>
      <c r="NDQ280" s="1144"/>
      <c r="NDR280" s="1144"/>
      <c r="NDS280" s="1144"/>
      <c r="NDT280" s="1144"/>
      <c r="NDU280" s="1144"/>
      <c r="NDV280" s="1144"/>
      <c r="NDW280" s="1144"/>
      <c r="NDX280" s="1144"/>
      <c r="NDY280" s="1144"/>
      <c r="NDZ280" s="1144"/>
      <c r="NEA280" s="1144"/>
      <c r="NEB280" s="1144"/>
      <c r="NEC280" s="1144"/>
      <c r="NED280" s="1144"/>
      <c r="NEE280" s="1144"/>
      <c r="NEF280" s="1144"/>
      <c r="NEG280" s="1144"/>
      <c r="NEH280" s="1144"/>
      <c r="NEI280" s="1144"/>
      <c r="NEJ280" s="1144"/>
      <c r="NEK280" s="1144"/>
      <c r="NEL280" s="1144"/>
      <c r="NEM280" s="1144"/>
      <c r="NEN280" s="1144"/>
      <c r="NEO280" s="1144"/>
      <c r="NEP280" s="1144"/>
      <c r="NEQ280" s="1144"/>
      <c r="NER280" s="1144"/>
      <c r="NES280" s="1144"/>
      <c r="NET280" s="1144"/>
      <c r="NEU280" s="1144"/>
      <c r="NEV280" s="1144"/>
      <c r="NEW280" s="1144"/>
      <c r="NEX280" s="1144"/>
      <c r="NEY280" s="1144"/>
      <c r="NEZ280" s="1144"/>
      <c r="NFA280" s="1144"/>
      <c r="NFB280" s="1144"/>
      <c r="NFC280" s="1144"/>
      <c r="NFD280" s="1144"/>
      <c r="NFE280" s="1144"/>
      <c r="NFF280" s="1144"/>
      <c r="NFG280" s="1144"/>
      <c r="NFH280" s="1144"/>
      <c r="NFI280" s="1144"/>
      <c r="NFJ280" s="1144"/>
      <c r="NFK280" s="1144"/>
      <c r="NFL280" s="1144"/>
      <c r="NFM280" s="1144"/>
      <c r="NFN280" s="1144"/>
      <c r="NFO280" s="1144"/>
      <c r="NFP280" s="1144"/>
      <c r="NFQ280" s="1144"/>
      <c r="NFR280" s="1144"/>
      <c r="NFS280" s="1144"/>
      <c r="NFT280" s="1144"/>
      <c r="NFU280" s="1144"/>
      <c r="NFV280" s="1144"/>
      <c r="NFW280" s="1144"/>
      <c r="NFX280" s="1144"/>
      <c r="NFY280" s="1144"/>
      <c r="NFZ280" s="1144"/>
      <c r="NGA280" s="1144"/>
      <c r="NGB280" s="1144"/>
      <c r="NGC280" s="1144"/>
      <c r="NGD280" s="1144"/>
      <c r="NGE280" s="1144"/>
      <c r="NGF280" s="1144"/>
      <c r="NGG280" s="1144"/>
      <c r="NGH280" s="1144"/>
      <c r="NGI280" s="1144"/>
      <c r="NGJ280" s="1144"/>
      <c r="NGK280" s="1144"/>
      <c r="NGL280" s="1144"/>
      <c r="NGM280" s="1144"/>
      <c r="NGN280" s="1144"/>
      <c r="NGO280" s="1144"/>
      <c r="NGP280" s="1144"/>
      <c r="NGQ280" s="1144"/>
      <c r="NGR280" s="1144"/>
      <c r="NGS280" s="1144"/>
      <c r="NGT280" s="1144"/>
      <c r="NGU280" s="1144"/>
      <c r="NGV280" s="1144"/>
      <c r="NGW280" s="1144"/>
      <c r="NGX280" s="1144"/>
      <c r="NGY280" s="1144"/>
      <c r="NGZ280" s="1144"/>
      <c r="NHA280" s="1144"/>
      <c r="NHB280" s="1144"/>
      <c r="NHC280" s="1144"/>
      <c r="NHD280" s="1144"/>
      <c r="NHE280" s="1144"/>
      <c r="NHF280" s="1144"/>
      <c r="NHG280" s="1144"/>
      <c r="NHH280" s="1144"/>
      <c r="NHI280" s="1144"/>
      <c r="NHJ280" s="1144"/>
      <c r="NHK280" s="1144"/>
      <c r="NHL280" s="1144"/>
      <c r="NHM280" s="1144"/>
      <c r="NHN280" s="1144"/>
      <c r="NHO280" s="1144"/>
      <c r="NHP280" s="1144"/>
      <c r="NHQ280" s="1144"/>
      <c r="NHR280" s="1144"/>
      <c r="NHS280" s="1144"/>
      <c r="NHT280" s="1144"/>
      <c r="NHU280" s="1144"/>
      <c r="NHV280" s="1144"/>
      <c r="NHW280" s="1144"/>
      <c r="NHX280" s="1144"/>
      <c r="NHY280" s="1144"/>
      <c r="NHZ280" s="1144"/>
      <c r="NIA280" s="1144"/>
      <c r="NIB280" s="1144"/>
      <c r="NIC280" s="1144"/>
      <c r="NID280" s="1144"/>
      <c r="NIE280" s="1144"/>
      <c r="NIF280" s="1144"/>
      <c r="NIG280" s="1144"/>
      <c r="NIH280" s="1144"/>
      <c r="NII280" s="1144"/>
      <c r="NIJ280" s="1144"/>
      <c r="NIK280" s="1144"/>
      <c r="NIL280" s="1144"/>
      <c r="NIM280" s="1144"/>
      <c r="NIN280" s="1144"/>
      <c r="NIO280" s="1144"/>
      <c r="NIP280" s="1144"/>
      <c r="NIQ280" s="1144"/>
      <c r="NIR280" s="1144"/>
      <c r="NIS280" s="1144"/>
      <c r="NIT280" s="1144"/>
      <c r="NIU280" s="1144"/>
      <c r="NIV280" s="1144"/>
      <c r="NIW280" s="1144"/>
      <c r="NIX280" s="1144"/>
      <c r="NIY280" s="1144"/>
      <c r="NIZ280" s="1144"/>
      <c r="NJA280" s="1144"/>
      <c r="NJB280" s="1144"/>
      <c r="NJC280" s="1144"/>
      <c r="NJD280" s="1144"/>
      <c r="NJE280" s="1144"/>
      <c r="NJF280" s="1144"/>
      <c r="NJG280" s="1144"/>
      <c r="NJH280" s="1144"/>
      <c r="NJI280" s="1144"/>
      <c r="NJJ280" s="1144"/>
      <c r="NJK280" s="1144"/>
      <c r="NJL280" s="1144"/>
      <c r="NJM280" s="1144"/>
      <c r="NJN280" s="1144"/>
      <c r="NJO280" s="1144"/>
      <c r="NJP280" s="1144"/>
      <c r="NJQ280" s="1144"/>
      <c r="NJR280" s="1144"/>
      <c r="NJS280" s="1144"/>
      <c r="NJT280" s="1144"/>
      <c r="NJU280" s="1144"/>
      <c r="NJV280" s="1144"/>
      <c r="NJW280" s="1144"/>
      <c r="NJX280" s="1144"/>
      <c r="NJY280" s="1144"/>
      <c r="NJZ280" s="1144"/>
      <c r="NKA280" s="1144"/>
      <c r="NKB280" s="1144"/>
      <c r="NKC280" s="1144"/>
      <c r="NKD280" s="1144"/>
      <c r="NKE280" s="1144"/>
      <c r="NKF280" s="1144"/>
      <c r="NKG280" s="1144"/>
      <c r="NKH280" s="1144"/>
      <c r="NKI280" s="1144"/>
      <c r="NKJ280" s="1144"/>
      <c r="NKK280" s="1144"/>
      <c r="NKL280" s="1144"/>
      <c r="NKM280" s="1144"/>
      <c r="NKN280" s="1144"/>
      <c r="NKO280" s="1144"/>
      <c r="NKP280" s="1144"/>
      <c r="NKQ280" s="1144"/>
      <c r="NKR280" s="1144"/>
      <c r="NKS280" s="1144"/>
      <c r="NKT280" s="1144"/>
      <c r="NKU280" s="1144"/>
      <c r="NKV280" s="1144"/>
      <c r="NKW280" s="1144"/>
      <c r="NKX280" s="1144"/>
      <c r="NKY280" s="1144"/>
      <c r="NKZ280" s="1144"/>
      <c r="NLA280" s="1144"/>
      <c r="NLB280" s="1144"/>
      <c r="NLC280" s="1144"/>
      <c r="NLD280" s="1144"/>
      <c r="NLE280" s="1144"/>
      <c r="NLF280" s="1144"/>
      <c r="NLG280" s="1144"/>
      <c r="NLH280" s="1144"/>
      <c r="NLI280" s="1144"/>
      <c r="NLJ280" s="1144"/>
      <c r="NLK280" s="1144"/>
      <c r="NLL280" s="1144"/>
      <c r="NLM280" s="1144"/>
      <c r="NLN280" s="1144"/>
      <c r="NLO280" s="1144"/>
      <c r="NLP280" s="1144"/>
      <c r="NLQ280" s="1144"/>
      <c r="NLR280" s="1144"/>
      <c r="NLS280" s="1144"/>
      <c r="NLT280" s="1144"/>
      <c r="NLU280" s="1144"/>
      <c r="NLV280" s="1144"/>
      <c r="NLW280" s="1144"/>
      <c r="NLX280" s="1144"/>
      <c r="NLY280" s="1144"/>
      <c r="NLZ280" s="1144"/>
      <c r="NMA280" s="1144"/>
      <c r="NMB280" s="1144"/>
      <c r="NMC280" s="1144"/>
      <c r="NMD280" s="1144"/>
      <c r="NME280" s="1144"/>
      <c r="NMF280" s="1144"/>
      <c r="NMG280" s="1144"/>
      <c r="NMH280" s="1144"/>
      <c r="NMI280" s="1144"/>
      <c r="NMJ280" s="1144"/>
      <c r="NMK280" s="1144"/>
      <c r="NML280" s="1144"/>
      <c r="NMM280" s="1144"/>
      <c r="NMN280" s="1144"/>
      <c r="NMO280" s="1144"/>
      <c r="NMP280" s="1144"/>
      <c r="NMQ280" s="1144"/>
      <c r="NMR280" s="1144"/>
      <c r="NMS280" s="1144"/>
      <c r="NMT280" s="1144"/>
      <c r="NMU280" s="1144"/>
      <c r="NMV280" s="1144"/>
      <c r="NMW280" s="1144"/>
      <c r="NMX280" s="1144"/>
      <c r="NMY280" s="1144"/>
      <c r="NMZ280" s="1144"/>
      <c r="NNA280" s="1144"/>
      <c r="NNB280" s="1144"/>
      <c r="NNC280" s="1144"/>
      <c r="NND280" s="1144"/>
      <c r="NNE280" s="1144"/>
      <c r="NNF280" s="1144"/>
      <c r="NNG280" s="1144"/>
      <c r="NNH280" s="1144"/>
      <c r="NNI280" s="1144"/>
      <c r="NNJ280" s="1144"/>
      <c r="NNK280" s="1144"/>
      <c r="NNL280" s="1144"/>
      <c r="NNM280" s="1144"/>
      <c r="NNN280" s="1144"/>
      <c r="NNO280" s="1144"/>
      <c r="NNP280" s="1144"/>
      <c r="NNQ280" s="1144"/>
      <c r="NNR280" s="1144"/>
      <c r="NNS280" s="1144"/>
      <c r="NNT280" s="1144"/>
      <c r="NNU280" s="1144"/>
      <c r="NNV280" s="1144"/>
      <c r="NNW280" s="1144"/>
      <c r="NNX280" s="1144"/>
      <c r="NNY280" s="1144"/>
      <c r="NNZ280" s="1144"/>
      <c r="NOA280" s="1144"/>
      <c r="NOB280" s="1144"/>
      <c r="NOC280" s="1144"/>
      <c r="NOD280" s="1144"/>
      <c r="NOE280" s="1144"/>
      <c r="NOF280" s="1144"/>
      <c r="NOG280" s="1144"/>
      <c r="NOH280" s="1144"/>
      <c r="NOI280" s="1144"/>
      <c r="NOJ280" s="1144"/>
      <c r="NOK280" s="1144"/>
      <c r="NOL280" s="1144"/>
      <c r="NOM280" s="1144"/>
      <c r="NON280" s="1144"/>
      <c r="NOO280" s="1144"/>
      <c r="NOP280" s="1144"/>
      <c r="NOQ280" s="1144"/>
      <c r="NOR280" s="1144"/>
      <c r="NOS280" s="1144"/>
      <c r="NOT280" s="1144"/>
      <c r="NOU280" s="1144"/>
      <c r="NOV280" s="1144"/>
      <c r="NOW280" s="1144"/>
      <c r="NOX280" s="1144"/>
      <c r="NOY280" s="1144"/>
      <c r="NOZ280" s="1144"/>
      <c r="NPA280" s="1144"/>
      <c r="NPB280" s="1144"/>
      <c r="NPC280" s="1144"/>
      <c r="NPD280" s="1144"/>
      <c r="NPE280" s="1144"/>
      <c r="NPF280" s="1144"/>
      <c r="NPG280" s="1144"/>
      <c r="NPH280" s="1144"/>
      <c r="NPI280" s="1144"/>
      <c r="NPJ280" s="1144"/>
      <c r="NPK280" s="1144"/>
      <c r="NPL280" s="1144"/>
      <c r="NPM280" s="1144"/>
      <c r="NPN280" s="1144"/>
      <c r="NPO280" s="1144"/>
      <c r="NPP280" s="1144"/>
      <c r="NPQ280" s="1144"/>
      <c r="NPR280" s="1144"/>
      <c r="NPS280" s="1144"/>
      <c r="NPT280" s="1144"/>
      <c r="NPU280" s="1144"/>
      <c r="NPV280" s="1144"/>
      <c r="NPW280" s="1144"/>
      <c r="NPX280" s="1144"/>
      <c r="NPY280" s="1144"/>
      <c r="NPZ280" s="1144"/>
      <c r="NQA280" s="1144"/>
      <c r="NQB280" s="1144"/>
      <c r="NQC280" s="1144"/>
      <c r="NQD280" s="1144"/>
      <c r="NQE280" s="1144"/>
      <c r="NQF280" s="1144"/>
      <c r="NQG280" s="1144"/>
      <c r="NQH280" s="1144"/>
      <c r="NQI280" s="1144"/>
      <c r="NQJ280" s="1144"/>
      <c r="NQK280" s="1144"/>
      <c r="NQL280" s="1144"/>
      <c r="NQM280" s="1144"/>
      <c r="NQN280" s="1144"/>
      <c r="NQO280" s="1144"/>
      <c r="NQP280" s="1144"/>
      <c r="NQQ280" s="1144"/>
      <c r="NQR280" s="1144"/>
      <c r="NQS280" s="1144"/>
      <c r="NQT280" s="1144"/>
      <c r="NQU280" s="1144"/>
      <c r="NQV280" s="1144"/>
      <c r="NQW280" s="1144"/>
      <c r="NQX280" s="1144"/>
      <c r="NQY280" s="1144"/>
      <c r="NQZ280" s="1144"/>
      <c r="NRA280" s="1144"/>
      <c r="NRB280" s="1144"/>
      <c r="NRC280" s="1144"/>
      <c r="NRD280" s="1144"/>
      <c r="NRE280" s="1144"/>
      <c r="NRF280" s="1144"/>
      <c r="NRG280" s="1144"/>
      <c r="NRH280" s="1144"/>
      <c r="NRI280" s="1144"/>
      <c r="NRJ280" s="1144"/>
      <c r="NRK280" s="1144"/>
      <c r="NRL280" s="1144"/>
      <c r="NRM280" s="1144"/>
      <c r="NRN280" s="1144"/>
      <c r="NRO280" s="1144"/>
      <c r="NRP280" s="1144"/>
      <c r="NRQ280" s="1144"/>
      <c r="NRR280" s="1144"/>
      <c r="NRS280" s="1144"/>
      <c r="NRT280" s="1144"/>
      <c r="NRU280" s="1144"/>
      <c r="NRV280" s="1144"/>
      <c r="NRW280" s="1144"/>
      <c r="NRX280" s="1144"/>
      <c r="NRY280" s="1144"/>
      <c r="NRZ280" s="1144"/>
      <c r="NSA280" s="1144"/>
      <c r="NSB280" s="1144"/>
      <c r="NSC280" s="1144"/>
      <c r="NSD280" s="1144"/>
      <c r="NSE280" s="1144"/>
      <c r="NSF280" s="1144"/>
      <c r="NSG280" s="1144"/>
      <c r="NSH280" s="1144"/>
      <c r="NSI280" s="1144"/>
      <c r="NSJ280" s="1144"/>
      <c r="NSK280" s="1144"/>
      <c r="NSL280" s="1144"/>
      <c r="NSM280" s="1144"/>
      <c r="NSN280" s="1144"/>
      <c r="NSO280" s="1144"/>
      <c r="NSP280" s="1144"/>
      <c r="NSQ280" s="1144"/>
      <c r="NSR280" s="1144"/>
      <c r="NSS280" s="1144"/>
      <c r="NST280" s="1144"/>
      <c r="NSU280" s="1144"/>
      <c r="NSV280" s="1144"/>
      <c r="NSW280" s="1144"/>
      <c r="NSX280" s="1144"/>
      <c r="NSY280" s="1144"/>
      <c r="NSZ280" s="1144"/>
      <c r="NTA280" s="1144"/>
      <c r="NTB280" s="1144"/>
      <c r="NTC280" s="1144"/>
      <c r="NTD280" s="1144"/>
      <c r="NTE280" s="1144"/>
      <c r="NTF280" s="1144"/>
      <c r="NTG280" s="1144"/>
      <c r="NTH280" s="1144"/>
      <c r="NTI280" s="1144"/>
      <c r="NTJ280" s="1144"/>
      <c r="NTK280" s="1144"/>
      <c r="NTL280" s="1144"/>
      <c r="NTM280" s="1144"/>
      <c r="NTN280" s="1144"/>
      <c r="NTO280" s="1144"/>
      <c r="NTP280" s="1144"/>
      <c r="NTQ280" s="1144"/>
      <c r="NTR280" s="1144"/>
      <c r="NTS280" s="1144"/>
      <c r="NTT280" s="1144"/>
      <c r="NTU280" s="1144"/>
      <c r="NTV280" s="1144"/>
      <c r="NTW280" s="1144"/>
      <c r="NTX280" s="1144"/>
      <c r="NTY280" s="1144"/>
      <c r="NTZ280" s="1144"/>
      <c r="NUA280" s="1144"/>
      <c r="NUB280" s="1144"/>
      <c r="NUC280" s="1144"/>
      <c r="NUD280" s="1144"/>
      <c r="NUE280" s="1144"/>
      <c r="NUF280" s="1144"/>
      <c r="NUG280" s="1144"/>
      <c r="NUH280" s="1144"/>
      <c r="NUI280" s="1144"/>
      <c r="NUJ280" s="1144"/>
      <c r="NUK280" s="1144"/>
      <c r="NUL280" s="1144"/>
      <c r="NUM280" s="1144"/>
      <c r="NUN280" s="1144"/>
      <c r="NUO280" s="1144"/>
      <c r="NUP280" s="1144"/>
      <c r="NUQ280" s="1144"/>
      <c r="NUR280" s="1144"/>
      <c r="NUS280" s="1144"/>
      <c r="NUT280" s="1144"/>
      <c r="NUU280" s="1144"/>
      <c r="NUV280" s="1144"/>
      <c r="NUW280" s="1144"/>
      <c r="NUX280" s="1144"/>
      <c r="NUY280" s="1144"/>
      <c r="NUZ280" s="1144"/>
      <c r="NVA280" s="1144"/>
      <c r="NVB280" s="1144"/>
      <c r="NVC280" s="1144"/>
      <c r="NVD280" s="1144"/>
      <c r="NVE280" s="1144"/>
      <c r="NVF280" s="1144"/>
      <c r="NVG280" s="1144"/>
      <c r="NVH280" s="1144"/>
      <c r="NVI280" s="1144"/>
      <c r="NVJ280" s="1144"/>
      <c r="NVK280" s="1144"/>
      <c r="NVL280" s="1144"/>
      <c r="NVM280" s="1144"/>
      <c r="NVN280" s="1144"/>
      <c r="NVO280" s="1144"/>
      <c r="NVP280" s="1144"/>
      <c r="NVQ280" s="1144"/>
      <c r="NVR280" s="1144"/>
      <c r="NVS280" s="1144"/>
      <c r="NVT280" s="1144"/>
      <c r="NVU280" s="1144"/>
      <c r="NVV280" s="1144"/>
      <c r="NVW280" s="1144"/>
      <c r="NVX280" s="1144"/>
      <c r="NVY280" s="1144"/>
      <c r="NVZ280" s="1144"/>
      <c r="NWA280" s="1144"/>
      <c r="NWB280" s="1144"/>
      <c r="NWC280" s="1144"/>
      <c r="NWD280" s="1144"/>
      <c r="NWE280" s="1144"/>
      <c r="NWF280" s="1144"/>
      <c r="NWG280" s="1144"/>
      <c r="NWH280" s="1144"/>
      <c r="NWI280" s="1144"/>
      <c r="NWJ280" s="1144"/>
      <c r="NWK280" s="1144"/>
      <c r="NWL280" s="1144"/>
      <c r="NWM280" s="1144"/>
      <c r="NWN280" s="1144"/>
      <c r="NWO280" s="1144"/>
      <c r="NWP280" s="1144"/>
      <c r="NWQ280" s="1144"/>
      <c r="NWR280" s="1144"/>
      <c r="NWS280" s="1144"/>
      <c r="NWT280" s="1144"/>
      <c r="NWU280" s="1144"/>
      <c r="NWV280" s="1144"/>
      <c r="NWW280" s="1144"/>
      <c r="NWX280" s="1144"/>
      <c r="NWY280" s="1144"/>
      <c r="NWZ280" s="1144"/>
      <c r="NXA280" s="1144"/>
      <c r="NXB280" s="1144"/>
      <c r="NXC280" s="1144"/>
      <c r="NXD280" s="1144"/>
      <c r="NXE280" s="1144"/>
      <c r="NXF280" s="1144"/>
      <c r="NXG280" s="1144"/>
      <c r="NXH280" s="1144"/>
      <c r="NXI280" s="1144"/>
      <c r="NXJ280" s="1144"/>
      <c r="NXK280" s="1144"/>
      <c r="NXL280" s="1144"/>
      <c r="NXM280" s="1144"/>
      <c r="NXN280" s="1144"/>
      <c r="NXO280" s="1144"/>
      <c r="NXP280" s="1144"/>
      <c r="NXQ280" s="1144"/>
      <c r="NXR280" s="1144"/>
      <c r="NXS280" s="1144"/>
      <c r="NXT280" s="1144"/>
      <c r="NXU280" s="1144"/>
      <c r="NXV280" s="1144"/>
      <c r="NXW280" s="1144"/>
      <c r="NXX280" s="1144"/>
      <c r="NXY280" s="1144"/>
      <c r="NXZ280" s="1144"/>
      <c r="NYA280" s="1144"/>
      <c r="NYB280" s="1144"/>
      <c r="NYC280" s="1144"/>
      <c r="NYD280" s="1144"/>
      <c r="NYE280" s="1144"/>
      <c r="NYF280" s="1144"/>
      <c r="NYG280" s="1144"/>
      <c r="NYH280" s="1144"/>
      <c r="NYI280" s="1144"/>
      <c r="NYJ280" s="1144"/>
      <c r="NYK280" s="1144"/>
      <c r="NYL280" s="1144"/>
      <c r="NYM280" s="1144"/>
      <c r="NYN280" s="1144"/>
      <c r="NYO280" s="1144"/>
      <c r="NYP280" s="1144"/>
      <c r="NYQ280" s="1144"/>
      <c r="NYR280" s="1144"/>
      <c r="NYS280" s="1144"/>
      <c r="NYT280" s="1144"/>
      <c r="NYU280" s="1144"/>
      <c r="NYV280" s="1144"/>
      <c r="NYW280" s="1144"/>
      <c r="NYX280" s="1144"/>
      <c r="NYY280" s="1144"/>
      <c r="NYZ280" s="1144"/>
      <c r="NZA280" s="1144"/>
      <c r="NZB280" s="1144"/>
      <c r="NZC280" s="1144"/>
      <c r="NZD280" s="1144"/>
      <c r="NZE280" s="1144"/>
      <c r="NZF280" s="1144"/>
      <c r="NZG280" s="1144"/>
      <c r="NZH280" s="1144"/>
      <c r="NZI280" s="1144"/>
      <c r="NZJ280" s="1144"/>
      <c r="NZK280" s="1144"/>
      <c r="NZL280" s="1144"/>
      <c r="NZM280" s="1144"/>
      <c r="NZN280" s="1144"/>
      <c r="NZO280" s="1144"/>
      <c r="NZP280" s="1144"/>
      <c r="NZQ280" s="1144"/>
      <c r="NZR280" s="1144"/>
      <c r="NZS280" s="1144"/>
      <c r="NZT280" s="1144"/>
      <c r="NZU280" s="1144"/>
      <c r="NZV280" s="1144"/>
      <c r="NZW280" s="1144"/>
      <c r="NZX280" s="1144"/>
      <c r="NZY280" s="1144"/>
      <c r="NZZ280" s="1144"/>
      <c r="OAA280" s="1144"/>
      <c r="OAB280" s="1144"/>
      <c r="OAC280" s="1144"/>
      <c r="OAD280" s="1144"/>
      <c r="OAE280" s="1144"/>
      <c r="OAF280" s="1144"/>
      <c r="OAG280" s="1144"/>
      <c r="OAH280" s="1144"/>
      <c r="OAI280" s="1144"/>
      <c r="OAJ280" s="1144"/>
      <c r="OAK280" s="1144"/>
      <c r="OAL280" s="1144"/>
      <c r="OAM280" s="1144"/>
      <c r="OAN280" s="1144"/>
      <c r="OAO280" s="1144"/>
      <c r="OAP280" s="1144"/>
      <c r="OAQ280" s="1144"/>
      <c r="OAR280" s="1144"/>
      <c r="OAS280" s="1144"/>
      <c r="OAT280" s="1144"/>
      <c r="OAU280" s="1144"/>
      <c r="OAV280" s="1144"/>
      <c r="OAW280" s="1144"/>
      <c r="OAX280" s="1144"/>
      <c r="OAY280" s="1144"/>
      <c r="OAZ280" s="1144"/>
      <c r="OBA280" s="1144"/>
      <c r="OBB280" s="1144"/>
      <c r="OBC280" s="1144"/>
      <c r="OBD280" s="1144"/>
      <c r="OBE280" s="1144"/>
      <c r="OBF280" s="1144"/>
      <c r="OBG280" s="1144"/>
      <c r="OBH280" s="1144"/>
      <c r="OBI280" s="1144"/>
      <c r="OBJ280" s="1144"/>
      <c r="OBK280" s="1144"/>
      <c r="OBL280" s="1144"/>
      <c r="OBM280" s="1144"/>
      <c r="OBN280" s="1144"/>
      <c r="OBO280" s="1144"/>
      <c r="OBP280" s="1144"/>
      <c r="OBQ280" s="1144"/>
      <c r="OBR280" s="1144"/>
      <c r="OBS280" s="1144"/>
      <c r="OBT280" s="1144"/>
      <c r="OBU280" s="1144"/>
      <c r="OBV280" s="1144"/>
      <c r="OBW280" s="1144"/>
      <c r="OBX280" s="1144"/>
      <c r="OBY280" s="1144"/>
      <c r="OBZ280" s="1144"/>
      <c r="OCA280" s="1144"/>
      <c r="OCB280" s="1144"/>
      <c r="OCC280" s="1144"/>
      <c r="OCD280" s="1144"/>
      <c r="OCE280" s="1144"/>
      <c r="OCF280" s="1144"/>
      <c r="OCG280" s="1144"/>
      <c r="OCH280" s="1144"/>
      <c r="OCI280" s="1144"/>
      <c r="OCJ280" s="1144"/>
      <c r="OCK280" s="1144"/>
      <c r="OCL280" s="1144"/>
      <c r="OCM280" s="1144"/>
      <c r="OCN280" s="1144"/>
      <c r="OCO280" s="1144"/>
      <c r="OCP280" s="1144"/>
      <c r="OCQ280" s="1144"/>
      <c r="OCR280" s="1144"/>
      <c r="OCS280" s="1144"/>
      <c r="OCT280" s="1144"/>
      <c r="OCU280" s="1144"/>
      <c r="OCV280" s="1144"/>
      <c r="OCW280" s="1144"/>
      <c r="OCX280" s="1144"/>
      <c r="OCY280" s="1144"/>
      <c r="OCZ280" s="1144"/>
      <c r="ODA280" s="1144"/>
      <c r="ODB280" s="1144"/>
      <c r="ODC280" s="1144"/>
      <c r="ODD280" s="1144"/>
      <c r="ODE280" s="1144"/>
      <c r="ODF280" s="1144"/>
      <c r="ODG280" s="1144"/>
      <c r="ODH280" s="1144"/>
      <c r="ODI280" s="1144"/>
      <c r="ODJ280" s="1144"/>
      <c r="ODK280" s="1144"/>
      <c r="ODL280" s="1144"/>
      <c r="ODM280" s="1144"/>
      <c r="ODN280" s="1144"/>
      <c r="ODO280" s="1144"/>
      <c r="ODP280" s="1144"/>
      <c r="ODQ280" s="1144"/>
      <c r="ODR280" s="1144"/>
      <c r="ODS280" s="1144"/>
      <c r="ODT280" s="1144"/>
      <c r="ODU280" s="1144"/>
      <c r="ODV280" s="1144"/>
      <c r="ODW280" s="1144"/>
      <c r="ODX280" s="1144"/>
      <c r="ODY280" s="1144"/>
      <c r="ODZ280" s="1144"/>
      <c r="OEA280" s="1144"/>
      <c r="OEB280" s="1144"/>
      <c r="OEC280" s="1144"/>
      <c r="OED280" s="1144"/>
      <c r="OEE280" s="1144"/>
      <c r="OEF280" s="1144"/>
      <c r="OEG280" s="1144"/>
      <c r="OEH280" s="1144"/>
      <c r="OEI280" s="1144"/>
      <c r="OEJ280" s="1144"/>
      <c r="OEK280" s="1144"/>
      <c r="OEL280" s="1144"/>
      <c r="OEM280" s="1144"/>
      <c r="OEN280" s="1144"/>
      <c r="OEO280" s="1144"/>
      <c r="OEP280" s="1144"/>
      <c r="OEQ280" s="1144"/>
      <c r="OER280" s="1144"/>
      <c r="OES280" s="1144"/>
      <c r="OET280" s="1144"/>
      <c r="OEU280" s="1144"/>
      <c r="OEV280" s="1144"/>
      <c r="OEW280" s="1144"/>
      <c r="OEX280" s="1144"/>
      <c r="OEY280" s="1144"/>
      <c r="OEZ280" s="1144"/>
      <c r="OFA280" s="1144"/>
      <c r="OFB280" s="1144"/>
      <c r="OFC280" s="1144"/>
      <c r="OFD280" s="1144"/>
      <c r="OFE280" s="1144"/>
      <c r="OFF280" s="1144"/>
      <c r="OFG280" s="1144"/>
      <c r="OFH280" s="1144"/>
      <c r="OFI280" s="1144"/>
      <c r="OFJ280" s="1144"/>
      <c r="OFK280" s="1144"/>
      <c r="OFL280" s="1144"/>
      <c r="OFM280" s="1144"/>
      <c r="OFN280" s="1144"/>
      <c r="OFO280" s="1144"/>
      <c r="OFP280" s="1144"/>
      <c r="OFQ280" s="1144"/>
      <c r="OFR280" s="1144"/>
      <c r="OFS280" s="1144"/>
      <c r="OFT280" s="1144"/>
      <c r="OFU280" s="1144"/>
      <c r="OFV280" s="1144"/>
      <c r="OFW280" s="1144"/>
      <c r="OFX280" s="1144"/>
      <c r="OFY280" s="1144"/>
      <c r="OFZ280" s="1144"/>
      <c r="OGA280" s="1144"/>
      <c r="OGB280" s="1144"/>
      <c r="OGC280" s="1144"/>
      <c r="OGD280" s="1144"/>
      <c r="OGE280" s="1144"/>
      <c r="OGF280" s="1144"/>
      <c r="OGG280" s="1144"/>
      <c r="OGH280" s="1144"/>
      <c r="OGI280" s="1144"/>
      <c r="OGJ280" s="1144"/>
      <c r="OGK280" s="1144"/>
      <c r="OGL280" s="1144"/>
      <c r="OGM280" s="1144"/>
      <c r="OGN280" s="1144"/>
      <c r="OGO280" s="1144"/>
      <c r="OGP280" s="1144"/>
      <c r="OGQ280" s="1144"/>
      <c r="OGR280" s="1144"/>
      <c r="OGS280" s="1144"/>
      <c r="OGT280" s="1144"/>
      <c r="OGU280" s="1144"/>
      <c r="OGV280" s="1144"/>
      <c r="OGW280" s="1144"/>
      <c r="OGX280" s="1144"/>
      <c r="OGY280" s="1144"/>
      <c r="OGZ280" s="1144"/>
      <c r="OHA280" s="1144"/>
      <c r="OHB280" s="1144"/>
      <c r="OHC280" s="1144"/>
      <c r="OHD280" s="1144"/>
      <c r="OHE280" s="1144"/>
      <c r="OHF280" s="1144"/>
      <c r="OHG280" s="1144"/>
      <c r="OHH280" s="1144"/>
      <c r="OHI280" s="1144"/>
      <c r="OHJ280" s="1144"/>
      <c r="OHK280" s="1144"/>
      <c r="OHL280" s="1144"/>
      <c r="OHM280" s="1144"/>
      <c r="OHN280" s="1144"/>
      <c r="OHO280" s="1144"/>
      <c r="OHP280" s="1144"/>
      <c r="OHQ280" s="1144"/>
      <c r="OHR280" s="1144"/>
      <c r="OHS280" s="1144"/>
      <c r="OHT280" s="1144"/>
      <c r="OHU280" s="1144"/>
      <c r="OHV280" s="1144"/>
      <c r="OHW280" s="1144"/>
      <c r="OHX280" s="1144"/>
      <c r="OHY280" s="1144"/>
      <c r="OHZ280" s="1144"/>
      <c r="OIA280" s="1144"/>
      <c r="OIB280" s="1144"/>
      <c r="OIC280" s="1144"/>
      <c r="OID280" s="1144"/>
      <c r="OIE280" s="1144"/>
      <c r="OIF280" s="1144"/>
      <c r="OIG280" s="1144"/>
      <c r="OIH280" s="1144"/>
      <c r="OII280" s="1144"/>
      <c r="OIJ280" s="1144"/>
      <c r="OIK280" s="1144"/>
      <c r="OIL280" s="1144"/>
      <c r="OIM280" s="1144"/>
      <c r="OIN280" s="1144"/>
      <c r="OIO280" s="1144"/>
      <c r="OIP280" s="1144"/>
      <c r="OIQ280" s="1144"/>
      <c r="OIR280" s="1144"/>
      <c r="OIS280" s="1144"/>
      <c r="OIT280" s="1144"/>
      <c r="OIU280" s="1144"/>
      <c r="OIV280" s="1144"/>
      <c r="OIW280" s="1144"/>
      <c r="OIX280" s="1144"/>
      <c r="OIY280" s="1144"/>
      <c r="OIZ280" s="1144"/>
      <c r="OJA280" s="1144"/>
      <c r="OJB280" s="1144"/>
      <c r="OJC280" s="1144"/>
      <c r="OJD280" s="1144"/>
      <c r="OJE280" s="1144"/>
      <c r="OJF280" s="1144"/>
      <c r="OJG280" s="1144"/>
      <c r="OJH280" s="1144"/>
      <c r="OJI280" s="1144"/>
      <c r="OJJ280" s="1144"/>
      <c r="OJK280" s="1144"/>
      <c r="OJL280" s="1144"/>
      <c r="OJM280" s="1144"/>
      <c r="OJN280" s="1144"/>
      <c r="OJO280" s="1144"/>
      <c r="OJP280" s="1144"/>
      <c r="OJQ280" s="1144"/>
      <c r="OJR280" s="1144"/>
      <c r="OJS280" s="1144"/>
      <c r="OJT280" s="1144"/>
      <c r="OJU280" s="1144"/>
      <c r="OJV280" s="1144"/>
      <c r="OJW280" s="1144"/>
      <c r="OJX280" s="1144"/>
      <c r="OJY280" s="1144"/>
      <c r="OJZ280" s="1144"/>
      <c r="OKA280" s="1144"/>
      <c r="OKB280" s="1144"/>
      <c r="OKC280" s="1144"/>
      <c r="OKD280" s="1144"/>
      <c r="OKE280" s="1144"/>
      <c r="OKF280" s="1144"/>
      <c r="OKG280" s="1144"/>
      <c r="OKH280" s="1144"/>
      <c r="OKI280" s="1144"/>
      <c r="OKJ280" s="1144"/>
      <c r="OKK280" s="1144"/>
      <c r="OKL280" s="1144"/>
      <c r="OKM280" s="1144"/>
      <c r="OKN280" s="1144"/>
      <c r="OKO280" s="1144"/>
      <c r="OKP280" s="1144"/>
      <c r="OKQ280" s="1144"/>
      <c r="OKR280" s="1144"/>
      <c r="OKS280" s="1144"/>
      <c r="OKT280" s="1144"/>
      <c r="OKU280" s="1144"/>
      <c r="OKV280" s="1144"/>
      <c r="OKW280" s="1144"/>
      <c r="OKX280" s="1144"/>
      <c r="OKY280" s="1144"/>
      <c r="OKZ280" s="1144"/>
      <c r="OLA280" s="1144"/>
      <c r="OLB280" s="1144"/>
      <c r="OLC280" s="1144"/>
      <c r="OLD280" s="1144"/>
      <c r="OLE280" s="1144"/>
      <c r="OLF280" s="1144"/>
      <c r="OLG280" s="1144"/>
      <c r="OLH280" s="1144"/>
      <c r="OLI280" s="1144"/>
      <c r="OLJ280" s="1144"/>
      <c r="OLK280" s="1144"/>
      <c r="OLL280" s="1144"/>
      <c r="OLM280" s="1144"/>
      <c r="OLN280" s="1144"/>
      <c r="OLO280" s="1144"/>
      <c r="OLP280" s="1144"/>
      <c r="OLQ280" s="1144"/>
      <c r="OLR280" s="1144"/>
      <c r="OLS280" s="1144"/>
      <c r="OLT280" s="1144"/>
      <c r="OLU280" s="1144"/>
      <c r="OLV280" s="1144"/>
      <c r="OLW280" s="1144"/>
      <c r="OLX280" s="1144"/>
      <c r="OLY280" s="1144"/>
      <c r="OLZ280" s="1144"/>
      <c r="OMA280" s="1144"/>
      <c r="OMB280" s="1144"/>
      <c r="OMC280" s="1144"/>
      <c r="OMD280" s="1144"/>
      <c r="OME280" s="1144"/>
      <c r="OMF280" s="1144"/>
      <c r="OMG280" s="1144"/>
      <c r="OMH280" s="1144"/>
      <c r="OMI280" s="1144"/>
      <c r="OMJ280" s="1144"/>
      <c r="OMK280" s="1144"/>
      <c r="OML280" s="1144"/>
      <c r="OMM280" s="1144"/>
      <c r="OMN280" s="1144"/>
      <c r="OMO280" s="1144"/>
      <c r="OMP280" s="1144"/>
      <c r="OMQ280" s="1144"/>
      <c r="OMR280" s="1144"/>
      <c r="OMS280" s="1144"/>
      <c r="OMT280" s="1144"/>
      <c r="OMU280" s="1144"/>
      <c r="OMV280" s="1144"/>
      <c r="OMW280" s="1144"/>
      <c r="OMX280" s="1144"/>
      <c r="OMY280" s="1144"/>
      <c r="OMZ280" s="1144"/>
      <c r="ONA280" s="1144"/>
      <c r="ONB280" s="1144"/>
      <c r="ONC280" s="1144"/>
      <c r="OND280" s="1144"/>
      <c r="ONE280" s="1144"/>
      <c r="ONF280" s="1144"/>
      <c r="ONG280" s="1144"/>
      <c r="ONH280" s="1144"/>
      <c r="ONI280" s="1144"/>
      <c r="ONJ280" s="1144"/>
      <c r="ONK280" s="1144"/>
      <c r="ONL280" s="1144"/>
      <c r="ONM280" s="1144"/>
      <c r="ONN280" s="1144"/>
      <c r="ONO280" s="1144"/>
      <c r="ONP280" s="1144"/>
      <c r="ONQ280" s="1144"/>
      <c r="ONR280" s="1144"/>
      <c r="ONS280" s="1144"/>
      <c r="ONT280" s="1144"/>
      <c r="ONU280" s="1144"/>
      <c r="ONV280" s="1144"/>
      <c r="ONW280" s="1144"/>
      <c r="ONX280" s="1144"/>
      <c r="ONY280" s="1144"/>
      <c r="ONZ280" s="1144"/>
      <c r="OOA280" s="1144"/>
      <c r="OOB280" s="1144"/>
      <c r="OOC280" s="1144"/>
      <c r="OOD280" s="1144"/>
      <c r="OOE280" s="1144"/>
      <c r="OOF280" s="1144"/>
      <c r="OOG280" s="1144"/>
      <c r="OOH280" s="1144"/>
      <c r="OOI280" s="1144"/>
      <c r="OOJ280" s="1144"/>
      <c r="OOK280" s="1144"/>
      <c r="OOL280" s="1144"/>
      <c r="OOM280" s="1144"/>
      <c r="OON280" s="1144"/>
      <c r="OOO280" s="1144"/>
      <c r="OOP280" s="1144"/>
      <c r="OOQ280" s="1144"/>
      <c r="OOR280" s="1144"/>
      <c r="OOS280" s="1144"/>
      <c r="OOT280" s="1144"/>
      <c r="OOU280" s="1144"/>
      <c r="OOV280" s="1144"/>
      <c r="OOW280" s="1144"/>
      <c r="OOX280" s="1144"/>
      <c r="OOY280" s="1144"/>
      <c r="OOZ280" s="1144"/>
      <c r="OPA280" s="1144"/>
      <c r="OPB280" s="1144"/>
      <c r="OPC280" s="1144"/>
      <c r="OPD280" s="1144"/>
      <c r="OPE280" s="1144"/>
      <c r="OPF280" s="1144"/>
      <c r="OPG280" s="1144"/>
      <c r="OPH280" s="1144"/>
      <c r="OPI280" s="1144"/>
      <c r="OPJ280" s="1144"/>
      <c r="OPK280" s="1144"/>
      <c r="OPL280" s="1144"/>
      <c r="OPM280" s="1144"/>
      <c r="OPN280" s="1144"/>
      <c r="OPO280" s="1144"/>
      <c r="OPP280" s="1144"/>
      <c r="OPQ280" s="1144"/>
      <c r="OPR280" s="1144"/>
      <c r="OPS280" s="1144"/>
      <c r="OPT280" s="1144"/>
      <c r="OPU280" s="1144"/>
      <c r="OPV280" s="1144"/>
      <c r="OPW280" s="1144"/>
      <c r="OPX280" s="1144"/>
      <c r="OPY280" s="1144"/>
      <c r="OPZ280" s="1144"/>
      <c r="OQA280" s="1144"/>
      <c r="OQB280" s="1144"/>
      <c r="OQC280" s="1144"/>
      <c r="OQD280" s="1144"/>
      <c r="OQE280" s="1144"/>
      <c r="OQF280" s="1144"/>
      <c r="OQG280" s="1144"/>
      <c r="OQH280" s="1144"/>
      <c r="OQI280" s="1144"/>
      <c r="OQJ280" s="1144"/>
      <c r="OQK280" s="1144"/>
      <c r="OQL280" s="1144"/>
      <c r="OQM280" s="1144"/>
      <c r="OQN280" s="1144"/>
      <c r="OQO280" s="1144"/>
      <c r="OQP280" s="1144"/>
      <c r="OQQ280" s="1144"/>
      <c r="OQR280" s="1144"/>
      <c r="OQS280" s="1144"/>
      <c r="OQT280" s="1144"/>
      <c r="OQU280" s="1144"/>
      <c r="OQV280" s="1144"/>
      <c r="OQW280" s="1144"/>
      <c r="OQX280" s="1144"/>
      <c r="OQY280" s="1144"/>
      <c r="OQZ280" s="1144"/>
      <c r="ORA280" s="1144"/>
      <c r="ORB280" s="1144"/>
      <c r="ORC280" s="1144"/>
      <c r="ORD280" s="1144"/>
      <c r="ORE280" s="1144"/>
      <c r="ORF280" s="1144"/>
      <c r="ORG280" s="1144"/>
      <c r="ORH280" s="1144"/>
      <c r="ORI280" s="1144"/>
      <c r="ORJ280" s="1144"/>
      <c r="ORK280" s="1144"/>
      <c r="ORL280" s="1144"/>
      <c r="ORM280" s="1144"/>
      <c r="ORN280" s="1144"/>
      <c r="ORO280" s="1144"/>
      <c r="ORP280" s="1144"/>
      <c r="ORQ280" s="1144"/>
      <c r="ORR280" s="1144"/>
      <c r="ORS280" s="1144"/>
      <c r="ORT280" s="1144"/>
      <c r="ORU280" s="1144"/>
      <c r="ORV280" s="1144"/>
      <c r="ORW280" s="1144"/>
      <c r="ORX280" s="1144"/>
      <c r="ORY280" s="1144"/>
      <c r="ORZ280" s="1144"/>
      <c r="OSA280" s="1144"/>
      <c r="OSB280" s="1144"/>
      <c r="OSC280" s="1144"/>
      <c r="OSD280" s="1144"/>
      <c r="OSE280" s="1144"/>
      <c r="OSF280" s="1144"/>
      <c r="OSG280" s="1144"/>
      <c r="OSH280" s="1144"/>
      <c r="OSI280" s="1144"/>
      <c r="OSJ280" s="1144"/>
      <c r="OSK280" s="1144"/>
      <c r="OSL280" s="1144"/>
      <c r="OSM280" s="1144"/>
      <c r="OSN280" s="1144"/>
      <c r="OSO280" s="1144"/>
      <c r="OSP280" s="1144"/>
      <c r="OSQ280" s="1144"/>
      <c r="OSR280" s="1144"/>
      <c r="OSS280" s="1144"/>
      <c r="OST280" s="1144"/>
      <c r="OSU280" s="1144"/>
      <c r="OSV280" s="1144"/>
      <c r="OSW280" s="1144"/>
      <c r="OSX280" s="1144"/>
      <c r="OSY280" s="1144"/>
      <c r="OSZ280" s="1144"/>
      <c r="OTA280" s="1144"/>
      <c r="OTB280" s="1144"/>
      <c r="OTC280" s="1144"/>
      <c r="OTD280" s="1144"/>
      <c r="OTE280" s="1144"/>
      <c r="OTF280" s="1144"/>
      <c r="OTG280" s="1144"/>
      <c r="OTH280" s="1144"/>
      <c r="OTI280" s="1144"/>
      <c r="OTJ280" s="1144"/>
      <c r="OTK280" s="1144"/>
      <c r="OTL280" s="1144"/>
      <c r="OTM280" s="1144"/>
      <c r="OTN280" s="1144"/>
      <c r="OTO280" s="1144"/>
      <c r="OTP280" s="1144"/>
      <c r="OTQ280" s="1144"/>
      <c r="OTR280" s="1144"/>
      <c r="OTS280" s="1144"/>
      <c r="OTT280" s="1144"/>
      <c r="OTU280" s="1144"/>
      <c r="OTV280" s="1144"/>
      <c r="OTW280" s="1144"/>
      <c r="OTX280" s="1144"/>
      <c r="OTY280" s="1144"/>
      <c r="OTZ280" s="1144"/>
      <c r="OUA280" s="1144"/>
      <c r="OUB280" s="1144"/>
      <c r="OUC280" s="1144"/>
      <c r="OUD280" s="1144"/>
      <c r="OUE280" s="1144"/>
      <c r="OUF280" s="1144"/>
      <c r="OUG280" s="1144"/>
      <c r="OUH280" s="1144"/>
      <c r="OUI280" s="1144"/>
      <c r="OUJ280" s="1144"/>
      <c r="OUK280" s="1144"/>
      <c r="OUL280" s="1144"/>
      <c r="OUM280" s="1144"/>
      <c r="OUN280" s="1144"/>
      <c r="OUO280" s="1144"/>
      <c r="OUP280" s="1144"/>
      <c r="OUQ280" s="1144"/>
      <c r="OUR280" s="1144"/>
      <c r="OUS280" s="1144"/>
      <c r="OUT280" s="1144"/>
      <c r="OUU280" s="1144"/>
      <c r="OUV280" s="1144"/>
      <c r="OUW280" s="1144"/>
      <c r="OUX280" s="1144"/>
      <c r="OUY280" s="1144"/>
      <c r="OUZ280" s="1144"/>
      <c r="OVA280" s="1144"/>
      <c r="OVB280" s="1144"/>
      <c r="OVC280" s="1144"/>
      <c r="OVD280" s="1144"/>
      <c r="OVE280" s="1144"/>
      <c r="OVF280" s="1144"/>
      <c r="OVG280" s="1144"/>
      <c r="OVH280" s="1144"/>
      <c r="OVI280" s="1144"/>
      <c r="OVJ280" s="1144"/>
      <c r="OVK280" s="1144"/>
      <c r="OVL280" s="1144"/>
      <c r="OVM280" s="1144"/>
      <c r="OVN280" s="1144"/>
      <c r="OVO280" s="1144"/>
      <c r="OVP280" s="1144"/>
      <c r="OVQ280" s="1144"/>
      <c r="OVR280" s="1144"/>
      <c r="OVS280" s="1144"/>
      <c r="OVT280" s="1144"/>
      <c r="OVU280" s="1144"/>
      <c r="OVV280" s="1144"/>
      <c r="OVW280" s="1144"/>
      <c r="OVX280" s="1144"/>
      <c r="OVY280" s="1144"/>
      <c r="OVZ280" s="1144"/>
      <c r="OWA280" s="1144"/>
      <c r="OWB280" s="1144"/>
      <c r="OWC280" s="1144"/>
      <c r="OWD280" s="1144"/>
      <c r="OWE280" s="1144"/>
      <c r="OWF280" s="1144"/>
      <c r="OWG280" s="1144"/>
      <c r="OWH280" s="1144"/>
      <c r="OWI280" s="1144"/>
      <c r="OWJ280" s="1144"/>
      <c r="OWK280" s="1144"/>
      <c r="OWL280" s="1144"/>
      <c r="OWM280" s="1144"/>
      <c r="OWN280" s="1144"/>
      <c r="OWO280" s="1144"/>
      <c r="OWP280" s="1144"/>
      <c r="OWQ280" s="1144"/>
      <c r="OWR280" s="1144"/>
      <c r="OWS280" s="1144"/>
      <c r="OWT280" s="1144"/>
      <c r="OWU280" s="1144"/>
      <c r="OWV280" s="1144"/>
      <c r="OWW280" s="1144"/>
      <c r="OWX280" s="1144"/>
      <c r="OWY280" s="1144"/>
      <c r="OWZ280" s="1144"/>
      <c r="OXA280" s="1144"/>
      <c r="OXB280" s="1144"/>
      <c r="OXC280" s="1144"/>
      <c r="OXD280" s="1144"/>
      <c r="OXE280" s="1144"/>
      <c r="OXF280" s="1144"/>
      <c r="OXG280" s="1144"/>
      <c r="OXH280" s="1144"/>
      <c r="OXI280" s="1144"/>
      <c r="OXJ280" s="1144"/>
      <c r="OXK280" s="1144"/>
      <c r="OXL280" s="1144"/>
      <c r="OXM280" s="1144"/>
      <c r="OXN280" s="1144"/>
      <c r="OXO280" s="1144"/>
      <c r="OXP280" s="1144"/>
      <c r="OXQ280" s="1144"/>
      <c r="OXR280" s="1144"/>
      <c r="OXS280" s="1144"/>
      <c r="OXT280" s="1144"/>
      <c r="OXU280" s="1144"/>
      <c r="OXV280" s="1144"/>
      <c r="OXW280" s="1144"/>
      <c r="OXX280" s="1144"/>
      <c r="OXY280" s="1144"/>
      <c r="OXZ280" s="1144"/>
      <c r="OYA280" s="1144"/>
      <c r="OYB280" s="1144"/>
      <c r="OYC280" s="1144"/>
      <c r="OYD280" s="1144"/>
      <c r="OYE280" s="1144"/>
      <c r="OYF280" s="1144"/>
      <c r="OYG280" s="1144"/>
      <c r="OYH280" s="1144"/>
      <c r="OYI280" s="1144"/>
      <c r="OYJ280" s="1144"/>
      <c r="OYK280" s="1144"/>
      <c r="OYL280" s="1144"/>
      <c r="OYM280" s="1144"/>
      <c r="OYN280" s="1144"/>
      <c r="OYO280" s="1144"/>
      <c r="OYP280" s="1144"/>
      <c r="OYQ280" s="1144"/>
      <c r="OYR280" s="1144"/>
      <c r="OYS280" s="1144"/>
      <c r="OYT280" s="1144"/>
      <c r="OYU280" s="1144"/>
      <c r="OYV280" s="1144"/>
      <c r="OYW280" s="1144"/>
      <c r="OYX280" s="1144"/>
      <c r="OYY280" s="1144"/>
      <c r="OYZ280" s="1144"/>
      <c r="OZA280" s="1144"/>
      <c r="OZB280" s="1144"/>
      <c r="OZC280" s="1144"/>
      <c r="OZD280" s="1144"/>
      <c r="OZE280" s="1144"/>
      <c r="OZF280" s="1144"/>
      <c r="OZG280" s="1144"/>
      <c r="OZH280" s="1144"/>
      <c r="OZI280" s="1144"/>
      <c r="OZJ280" s="1144"/>
      <c r="OZK280" s="1144"/>
      <c r="OZL280" s="1144"/>
      <c r="OZM280" s="1144"/>
      <c r="OZN280" s="1144"/>
      <c r="OZO280" s="1144"/>
      <c r="OZP280" s="1144"/>
      <c r="OZQ280" s="1144"/>
      <c r="OZR280" s="1144"/>
      <c r="OZS280" s="1144"/>
      <c r="OZT280" s="1144"/>
      <c r="OZU280" s="1144"/>
      <c r="OZV280" s="1144"/>
      <c r="OZW280" s="1144"/>
      <c r="OZX280" s="1144"/>
      <c r="OZY280" s="1144"/>
      <c r="OZZ280" s="1144"/>
      <c r="PAA280" s="1144"/>
      <c r="PAB280" s="1144"/>
      <c r="PAC280" s="1144"/>
      <c r="PAD280" s="1144"/>
      <c r="PAE280" s="1144"/>
      <c r="PAF280" s="1144"/>
      <c r="PAG280" s="1144"/>
      <c r="PAH280" s="1144"/>
      <c r="PAI280" s="1144"/>
      <c r="PAJ280" s="1144"/>
      <c r="PAK280" s="1144"/>
      <c r="PAL280" s="1144"/>
      <c r="PAM280" s="1144"/>
      <c r="PAN280" s="1144"/>
      <c r="PAO280" s="1144"/>
      <c r="PAP280" s="1144"/>
      <c r="PAQ280" s="1144"/>
      <c r="PAR280" s="1144"/>
      <c r="PAS280" s="1144"/>
      <c r="PAT280" s="1144"/>
      <c r="PAU280" s="1144"/>
      <c r="PAV280" s="1144"/>
      <c r="PAW280" s="1144"/>
      <c r="PAX280" s="1144"/>
      <c r="PAY280" s="1144"/>
      <c r="PAZ280" s="1144"/>
      <c r="PBA280" s="1144"/>
      <c r="PBB280" s="1144"/>
      <c r="PBC280" s="1144"/>
      <c r="PBD280" s="1144"/>
      <c r="PBE280" s="1144"/>
      <c r="PBF280" s="1144"/>
      <c r="PBG280" s="1144"/>
      <c r="PBH280" s="1144"/>
      <c r="PBI280" s="1144"/>
      <c r="PBJ280" s="1144"/>
      <c r="PBK280" s="1144"/>
      <c r="PBL280" s="1144"/>
      <c r="PBM280" s="1144"/>
      <c r="PBN280" s="1144"/>
      <c r="PBO280" s="1144"/>
      <c r="PBP280" s="1144"/>
      <c r="PBQ280" s="1144"/>
      <c r="PBR280" s="1144"/>
      <c r="PBS280" s="1144"/>
      <c r="PBT280" s="1144"/>
      <c r="PBU280" s="1144"/>
      <c r="PBV280" s="1144"/>
      <c r="PBW280" s="1144"/>
      <c r="PBX280" s="1144"/>
      <c r="PBY280" s="1144"/>
      <c r="PBZ280" s="1144"/>
      <c r="PCA280" s="1144"/>
      <c r="PCB280" s="1144"/>
      <c r="PCC280" s="1144"/>
      <c r="PCD280" s="1144"/>
      <c r="PCE280" s="1144"/>
      <c r="PCF280" s="1144"/>
      <c r="PCG280" s="1144"/>
      <c r="PCH280" s="1144"/>
      <c r="PCI280" s="1144"/>
      <c r="PCJ280" s="1144"/>
      <c r="PCK280" s="1144"/>
      <c r="PCL280" s="1144"/>
      <c r="PCM280" s="1144"/>
      <c r="PCN280" s="1144"/>
      <c r="PCO280" s="1144"/>
      <c r="PCP280" s="1144"/>
      <c r="PCQ280" s="1144"/>
      <c r="PCR280" s="1144"/>
      <c r="PCS280" s="1144"/>
      <c r="PCT280" s="1144"/>
      <c r="PCU280" s="1144"/>
      <c r="PCV280" s="1144"/>
      <c r="PCW280" s="1144"/>
      <c r="PCX280" s="1144"/>
      <c r="PCY280" s="1144"/>
      <c r="PCZ280" s="1144"/>
      <c r="PDA280" s="1144"/>
      <c r="PDB280" s="1144"/>
      <c r="PDC280" s="1144"/>
      <c r="PDD280" s="1144"/>
      <c r="PDE280" s="1144"/>
      <c r="PDF280" s="1144"/>
      <c r="PDG280" s="1144"/>
      <c r="PDH280" s="1144"/>
      <c r="PDI280" s="1144"/>
      <c r="PDJ280" s="1144"/>
      <c r="PDK280" s="1144"/>
      <c r="PDL280" s="1144"/>
      <c r="PDM280" s="1144"/>
      <c r="PDN280" s="1144"/>
      <c r="PDO280" s="1144"/>
      <c r="PDP280" s="1144"/>
      <c r="PDQ280" s="1144"/>
      <c r="PDR280" s="1144"/>
      <c r="PDS280" s="1144"/>
      <c r="PDT280" s="1144"/>
      <c r="PDU280" s="1144"/>
      <c r="PDV280" s="1144"/>
      <c r="PDW280" s="1144"/>
      <c r="PDX280" s="1144"/>
      <c r="PDY280" s="1144"/>
      <c r="PDZ280" s="1144"/>
      <c r="PEA280" s="1144"/>
      <c r="PEB280" s="1144"/>
      <c r="PEC280" s="1144"/>
      <c r="PED280" s="1144"/>
      <c r="PEE280" s="1144"/>
      <c r="PEF280" s="1144"/>
      <c r="PEG280" s="1144"/>
      <c r="PEH280" s="1144"/>
      <c r="PEI280" s="1144"/>
      <c r="PEJ280" s="1144"/>
      <c r="PEK280" s="1144"/>
      <c r="PEL280" s="1144"/>
      <c r="PEM280" s="1144"/>
      <c r="PEN280" s="1144"/>
      <c r="PEO280" s="1144"/>
      <c r="PEP280" s="1144"/>
      <c r="PEQ280" s="1144"/>
      <c r="PER280" s="1144"/>
      <c r="PES280" s="1144"/>
      <c r="PET280" s="1144"/>
      <c r="PEU280" s="1144"/>
      <c r="PEV280" s="1144"/>
      <c r="PEW280" s="1144"/>
      <c r="PEX280" s="1144"/>
      <c r="PEY280" s="1144"/>
      <c r="PEZ280" s="1144"/>
      <c r="PFA280" s="1144"/>
      <c r="PFB280" s="1144"/>
      <c r="PFC280" s="1144"/>
      <c r="PFD280" s="1144"/>
      <c r="PFE280" s="1144"/>
      <c r="PFF280" s="1144"/>
      <c r="PFG280" s="1144"/>
      <c r="PFH280" s="1144"/>
      <c r="PFI280" s="1144"/>
      <c r="PFJ280" s="1144"/>
      <c r="PFK280" s="1144"/>
      <c r="PFL280" s="1144"/>
      <c r="PFM280" s="1144"/>
      <c r="PFN280" s="1144"/>
      <c r="PFO280" s="1144"/>
      <c r="PFP280" s="1144"/>
      <c r="PFQ280" s="1144"/>
      <c r="PFR280" s="1144"/>
      <c r="PFS280" s="1144"/>
      <c r="PFT280" s="1144"/>
      <c r="PFU280" s="1144"/>
      <c r="PFV280" s="1144"/>
      <c r="PFW280" s="1144"/>
      <c r="PFX280" s="1144"/>
      <c r="PFY280" s="1144"/>
      <c r="PFZ280" s="1144"/>
      <c r="PGA280" s="1144"/>
      <c r="PGB280" s="1144"/>
      <c r="PGC280" s="1144"/>
      <c r="PGD280" s="1144"/>
      <c r="PGE280" s="1144"/>
      <c r="PGF280" s="1144"/>
      <c r="PGG280" s="1144"/>
      <c r="PGH280" s="1144"/>
      <c r="PGI280" s="1144"/>
      <c r="PGJ280" s="1144"/>
      <c r="PGK280" s="1144"/>
      <c r="PGL280" s="1144"/>
      <c r="PGM280" s="1144"/>
      <c r="PGN280" s="1144"/>
      <c r="PGO280" s="1144"/>
      <c r="PGP280" s="1144"/>
      <c r="PGQ280" s="1144"/>
      <c r="PGR280" s="1144"/>
      <c r="PGS280" s="1144"/>
      <c r="PGT280" s="1144"/>
      <c r="PGU280" s="1144"/>
      <c r="PGV280" s="1144"/>
      <c r="PGW280" s="1144"/>
      <c r="PGX280" s="1144"/>
      <c r="PGY280" s="1144"/>
      <c r="PGZ280" s="1144"/>
      <c r="PHA280" s="1144"/>
      <c r="PHB280" s="1144"/>
      <c r="PHC280" s="1144"/>
      <c r="PHD280" s="1144"/>
      <c r="PHE280" s="1144"/>
      <c r="PHF280" s="1144"/>
      <c r="PHG280" s="1144"/>
      <c r="PHH280" s="1144"/>
      <c r="PHI280" s="1144"/>
      <c r="PHJ280" s="1144"/>
      <c r="PHK280" s="1144"/>
      <c r="PHL280" s="1144"/>
      <c r="PHM280" s="1144"/>
      <c r="PHN280" s="1144"/>
      <c r="PHO280" s="1144"/>
      <c r="PHP280" s="1144"/>
      <c r="PHQ280" s="1144"/>
      <c r="PHR280" s="1144"/>
      <c r="PHS280" s="1144"/>
      <c r="PHT280" s="1144"/>
      <c r="PHU280" s="1144"/>
      <c r="PHV280" s="1144"/>
      <c r="PHW280" s="1144"/>
      <c r="PHX280" s="1144"/>
      <c r="PHY280" s="1144"/>
      <c r="PHZ280" s="1144"/>
      <c r="PIA280" s="1144"/>
      <c r="PIB280" s="1144"/>
      <c r="PIC280" s="1144"/>
      <c r="PID280" s="1144"/>
      <c r="PIE280" s="1144"/>
      <c r="PIF280" s="1144"/>
      <c r="PIG280" s="1144"/>
      <c r="PIH280" s="1144"/>
      <c r="PII280" s="1144"/>
      <c r="PIJ280" s="1144"/>
      <c r="PIK280" s="1144"/>
      <c r="PIL280" s="1144"/>
      <c r="PIM280" s="1144"/>
      <c r="PIN280" s="1144"/>
      <c r="PIO280" s="1144"/>
      <c r="PIP280" s="1144"/>
      <c r="PIQ280" s="1144"/>
      <c r="PIR280" s="1144"/>
      <c r="PIS280" s="1144"/>
      <c r="PIT280" s="1144"/>
      <c r="PIU280" s="1144"/>
      <c r="PIV280" s="1144"/>
      <c r="PIW280" s="1144"/>
      <c r="PIX280" s="1144"/>
      <c r="PIY280" s="1144"/>
      <c r="PIZ280" s="1144"/>
      <c r="PJA280" s="1144"/>
      <c r="PJB280" s="1144"/>
      <c r="PJC280" s="1144"/>
      <c r="PJD280" s="1144"/>
      <c r="PJE280" s="1144"/>
      <c r="PJF280" s="1144"/>
      <c r="PJG280" s="1144"/>
      <c r="PJH280" s="1144"/>
      <c r="PJI280" s="1144"/>
      <c r="PJJ280" s="1144"/>
      <c r="PJK280" s="1144"/>
      <c r="PJL280" s="1144"/>
      <c r="PJM280" s="1144"/>
      <c r="PJN280" s="1144"/>
      <c r="PJO280" s="1144"/>
      <c r="PJP280" s="1144"/>
      <c r="PJQ280" s="1144"/>
      <c r="PJR280" s="1144"/>
      <c r="PJS280" s="1144"/>
      <c r="PJT280" s="1144"/>
      <c r="PJU280" s="1144"/>
      <c r="PJV280" s="1144"/>
      <c r="PJW280" s="1144"/>
      <c r="PJX280" s="1144"/>
      <c r="PJY280" s="1144"/>
      <c r="PJZ280" s="1144"/>
      <c r="PKA280" s="1144"/>
      <c r="PKB280" s="1144"/>
      <c r="PKC280" s="1144"/>
      <c r="PKD280" s="1144"/>
      <c r="PKE280" s="1144"/>
      <c r="PKF280" s="1144"/>
      <c r="PKG280" s="1144"/>
      <c r="PKH280" s="1144"/>
      <c r="PKI280" s="1144"/>
      <c r="PKJ280" s="1144"/>
      <c r="PKK280" s="1144"/>
      <c r="PKL280" s="1144"/>
      <c r="PKM280" s="1144"/>
      <c r="PKN280" s="1144"/>
      <c r="PKO280" s="1144"/>
      <c r="PKP280" s="1144"/>
      <c r="PKQ280" s="1144"/>
      <c r="PKR280" s="1144"/>
      <c r="PKS280" s="1144"/>
      <c r="PKT280" s="1144"/>
      <c r="PKU280" s="1144"/>
      <c r="PKV280" s="1144"/>
      <c r="PKW280" s="1144"/>
      <c r="PKX280" s="1144"/>
      <c r="PKY280" s="1144"/>
      <c r="PKZ280" s="1144"/>
      <c r="PLA280" s="1144"/>
      <c r="PLB280" s="1144"/>
      <c r="PLC280" s="1144"/>
      <c r="PLD280" s="1144"/>
      <c r="PLE280" s="1144"/>
      <c r="PLF280" s="1144"/>
      <c r="PLG280" s="1144"/>
      <c r="PLH280" s="1144"/>
      <c r="PLI280" s="1144"/>
      <c r="PLJ280" s="1144"/>
      <c r="PLK280" s="1144"/>
      <c r="PLL280" s="1144"/>
      <c r="PLM280" s="1144"/>
      <c r="PLN280" s="1144"/>
      <c r="PLO280" s="1144"/>
      <c r="PLP280" s="1144"/>
      <c r="PLQ280" s="1144"/>
      <c r="PLR280" s="1144"/>
      <c r="PLS280" s="1144"/>
      <c r="PLT280" s="1144"/>
      <c r="PLU280" s="1144"/>
      <c r="PLV280" s="1144"/>
      <c r="PLW280" s="1144"/>
      <c r="PLX280" s="1144"/>
      <c r="PLY280" s="1144"/>
      <c r="PLZ280" s="1144"/>
      <c r="PMA280" s="1144"/>
      <c r="PMB280" s="1144"/>
      <c r="PMC280" s="1144"/>
      <c r="PMD280" s="1144"/>
      <c r="PME280" s="1144"/>
      <c r="PMF280" s="1144"/>
      <c r="PMG280" s="1144"/>
      <c r="PMH280" s="1144"/>
      <c r="PMI280" s="1144"/>
      <c r="PMJ280" s="1144"/>
      <c r="PMK280" s="1144"/>
      <c r="PML280" s="1144"/>
      <c r="PMM280" s="1144"/>
      <c r="PMN280" s="1144"/>
      <c r="PMO280" s="1144"/>
      <c r="PMP280" s="1144"/>
      <c r="PMQ280" s="1144"/>
      <c r="PMR280" s="1144"/>
      <c r="PMS280" s="1144"/>
      <c r="PMT280" s="1144"/>
      <c r="PMU280" s="1144"/>
      <c r="PMV280" s="1144"/>
      <c r="PMW280" s="1144"/>
      <c r="PMX280" s="1144"/>
      <c r="PMY280" s="1144"/>
      <c r="PMZ280" s="1144"/>
      <c r="PNA280" s="1144"/>
      <c r="PNB280" s="1144"/>
      <c r="PNC280" s="1144"/>
      <c r="PND280" s="1144"/>
      <c r="PNE280" s="1144"/>
      <c r="PNF280" s="1144"/>
      <c r="PNG280" s="1144"/>
      <c r="PNH280" s="1144"/>
      <c r="PNI280" s="1144"/>
      <c r="PNJ280" s="1144"/>
      <c r="PNK280" s="1144"/>
      <c r="PNL280" s="1144"/>
      <c r="PNM280" s="1144"/>
      <c r="PNN280" s="1144"/>
      <c r="PNO280" s="1144"/>
      <c r="PNP280" s="1144"/>
      <c r="PNQ280" s="1144"/>
      <c r="PNR280" s="1144"/>
      <c r="PNS280" s="1144"/>
      <c r="PNT280" s="1144"/>
      <c r="PNU280" s="1144"/>
      <c r="PNV280" s="1144"/>
      <c r="PNW280" s="1144"/>
      <c r="PNX280" s="1144"/>
      <c r="PNY280" s="1144"/>
      <c r="PNZ280" s="1144"/>
      <c r="POA280" s="1144"/>
      <c r="POB280" s="1144"/>
      <c r="POC280" s="1144"/>
      <c r="POD280" s="1144"/>
      <c r="POE280" s="1144"/>
      <c r="POF280" s="1144"/>
      <c r="POG280" s="1144"/>
      <c r="POH280" s="1144"/>
      <c r="POI280" s="1144"/>
      <c r="POJ280" s="1144"/>
      <c r="POK280" s="1144"/>
      <c r="POL280" s="1144"/>
      <c r="POM280" s="1144"/>
      <c r="PON280" s="1144"/>
      <c r="POO280" s="1144"/>
      <c r="POP280" s="1144"/>
      <c r="POQ280" s="1144"/>
      <c r="POR280" s="1144"/>
      <c r="POS280" s="1144"/>
      <c r="POT280" s="1144"/>
      <c r="POU280" s="1144"/>
      <c r="POV280" s="1144"/>
      <c r="POW280" s="1144"/>
      <c r="POX280" s="1144"/>
      <c r="POY280" s="1144"/>
      <c r="POZ280" s="1144"/>
      <c r="PPA280" s="1144"/>
      <c r="PPB280" s="1144"/>
      <c r="PPC280" s="1144"/>
      <c r="PPD280" s="1144"/>
      <c r="PPE280" s="1144"/>
      <c r="PPF280" s="1144"/>
      <c r="PPG280" s="1144"/>
      <c r="PPH280" s="1144"/>
      <c r="PPI280" s="1144"/>
      <c r="PPJ280" s="1144"/>
      <c r="PPK280" s="1144"/>
      <c r="PPL280" s="1144"/>
      <c r="PPM280" s="1144"/>
      <c r="PPN280" s="1144"/>
      <c r="PPO280" s="1144"/>
      <c r="PPP280" s="1144"/>
      <c r="PPQ280" s="1144"/>
      <c r="PPR280" s="1144"/>
      <c r="PPS280" s="1144"/>
      <c r="PPT280" s="1144"/>
      <c r="PPU280" s="1144"/>
      <c r="PPV280" s="1144"/>
      <c r="PPW280" s="1144"/>
      <c r="PPX280" s="1144"/>
      <c r="PPY280" s="1144"/>
      <c r="PPZ280" s="1144"/>
      <c r="PQA280" s="1144"/>
      <c r="PQB280" s="1144"/>
      <c r="PQC280" s="1144"/>
      <c r="PQD280" s="1144"/>
      <c r="PQE280" s="1144"/>
      <c r="PQF280" s="1144"/>
      <c r="PQG280" s="1144"/>
      <c r="PQH280" s="1144"/>
      <c r="PQI280" s="1144"/>
      <c r="PQJ280" s="1144"/>
      <c r="PQK280" s="1144"/>
      <c r="PQL280" s="1144"/>
      <c r="PQM280" s="1144"/>
      <c r="PQN280" s="1144"/>
      <c r="PQO280" s="1144"/>
      <c r="PQP280" s="1144"/>
      <c r="PQQ280" s="1144"/>
      <c r="PQR280" s="1144"/>
      <c r="PQS280" s="1144"/>
      <c r="PQT280" s="1144"/>
      <c r="PQU280" s="1144"/>
      <c r="PQV280" s="1144"/>
      <c r="PQW280" s="1144"/>
      <c r="PQX280" s="1144"/>
      <c r="PQY280" s="1144"/>
      <c r="PQZ280" s="1144"/>
      <c r="PRA280" s="1144"/>
      <c r="PRB280" s="1144"/>
      <c r="PRC280" s="1144"/>
      <c r="PRD280" s="1144"/>
      <c r="PRE280" s="1144"/>
      <c r="PRF280" s="1144"/>
      <c r="PRG280" s="1144"/>
      <c r="PRH280" s="1144"/>
      <c r="PRI280" s="1144"/>
      <c r="PRJ280" s="1144"/>
      <c r="PRK280" s="1144"/>
      <c r="PRL280" s="1144"/>
      <c r="PRM280" s="1144"/>
      <c r="PRN280" s="1144"/>
      <c r="PRO280" s="1144"/>
      <c r="PRP280" s="1144"/>
      <c r="PRQ280" s="1144"/>
      <c r="PRR280" s="1144"/>
      <c r="PRS280" s="1144"/>
      <c r="PRT280" s="1144"/>
      <c r="PRU280" s="1144"/>
      <c r="PRV280" s="1144"/>
      <c r="PRW280" s="1144"/>
      <c r="PRX280" s="1144"/>
      <c r="PRY280" s="1144"/>
      <c r="PRZ280" s="1144"/>
      <c r="PSA280" s="1144"/>
      <c r="PSB280" s="1144"/>
      <c r="PSC280" s="1144"/>
      <c r="PSD280" s="1144"/>
      <c r="PSE280" s="1144"/>
      <c r="PSF280" s="1144"/>
      <c r="PSG280" s="1144"/>
      <c r="PSH280" s="1144"/>
      <c r="PSI280" s="1144"/>
      <c r="PSJ280" s="1144"/>
      <c r="PSK280" s="1144"/>
      <c r="PSL280" s="1144"/>
      <c r="PSM280" s="1144"/>
      <c r="PSN280" s="1144"/>
      <c r="PSO280" s="1144"/>
      <c r="PSP280" s="1144"/>
      <c r="PSQ280" s="1144"/>
      <c r="PSR280" s="1144"/>
      <c r="PSS280" s="1144"/>
      <c r="PST280" s="1144"/>
      <c r="PSU280" s="1144"/>
      <c r="PSV280" s="1144"/>
      <c r="PSW280" s="1144"/>
      <c r="PSX280" s="1144"/>
      <c r="PSY280" s="1144"/>
      <c r="PSZ280" s="1144"/>
      <c r="PTA280" s="1144"/>
      <c r="PTB280" s="1144"/>
      <c r="PTC280" s="1144"/>
      <c r="PTD280" s="1144"/>
      <c r="PTE280" s="1144"/>
      <c r="PTF280" s="1144"/>
      <c r="PTG280" s="1144"/>
      <c r="PTH280" s="1144"/>
      <c r="PTI280" s="1144"/>
      <c r="PTJ280" s="1144"/>
      <c r="PTK280" s="1144"/>
      <c r="PTL280" s="1144"/>
      <c r="PTM280" s="1144"/>
      <c r="PTN280" s="1144"/>
      <c r="PTO280" s="1144"/>
      <c r="PTP280" s="1144"/>
      <c r="PTQ280" s="1144"/>
      <c r="PTR280" s="1144"/>
      <c r="PTS280" s="1144"/>
      <c r="PTT280" s="1144"/>
      <c r="PTU280" s="1144"/>
      <c r="PTV280" s="1144"/>
      <c r="PTW280" s="1144"/>
      <c r="PTX280" s="1144"/>
      <c r="PTY280" s="1144"/>
      <c r="PTZ280" s="1144"/>
      <c r="PUA280" s="1144"/>
      <c r="PUB280" s="1144"/>
      <c r="PUC280" s="1144"/>
      <c r="PUD280" s="1144"/>
      <c r="PUE280" s="1144"/>
      <c r="PUF280" s="1144"/>
      <c r="PUG280" s="1144"/>
      <c r="PUH280" s="1144"/>
      <c r="PUI280" s="1144"/>
      <c r="PUJ280" s="1144"/>
      <c r="PUK280" s="1144"/>
      <c r="PUL280" s="1144"/>
      <c r="PUM280" s="1144"/>
      <c r="PUN280" s="1144"/>
      <c r="PUO280" s="1144"/>
      <c r="PUP280" s="1144"/>
      <c r="PUQ280" s="1144"/>
      <c r="PUR280" s="1144"/>
      <c r="PUS280" s="1144"/>
      <c r="PUT280" s="1144"/>
      <c r="PUU280" s="1144"/>
      <c r="PUV280" s="1144"/>
      <c r="PUW280" s="1144"/>
      <c r="PUX280" s="1144"/>
      <c r="PUY280" s="1144"/>
      <c r="PUZ280" s="1144"/>
      <c r="PVA280" s="1144"/>
      <c r="PVB280" s="1144"/>
      <c r="PVC280" s="1144"/>
      <c r="PVD280" s="1144"/>
      <c r="PVE280" s="1144"/>
      <c r="PVF280" s="1144"/>
      <c r="PVG280" s="1144"/>
      <c r="PVH280" s="1144"/>
      <c r="PVI280" s="1144"/>
      <c r="PVJ280" s="1144"/>
      <c r="PVK280" s="1144"/>
      <c r="PVL280" s="1144"/>
      <c r="PVM280" s="1144"/>
      <c r="PVN280" s="1144"/>
      <c r="PVO280" s="1144"/>
      <c r="PVP280" s="1144"/>
      <c r="PVQ280" s="1144"/>
      <c r="PVR280" s="1144"/>
      <c r="PVS280" s="1144"/>
      <c r="PVT280" s="1144"/>
      <c r="PVU280" s="1144"/>
      <c r="PVV280" s="1144"/>
      <c r="PVW280" s="1144"/>
      <c r="PVX280" s="1144"/>
      <c r="PVY280" s="1144"/>
      <c r="PVZ280" s="1144"/>
      <c r="PWA280" s="1144"/>
      <c r="PWB280" s="1144"/>
      <c r="PWC280" s="1144"/>
      <c r="PWD280" s="1144"/>
      <c r="PWE280" s="1144"/>
      <c r="PWF280" s="1144"/>
      <c r="PWG280" s="1144"/>
      <c r="PWH280" s="1144"/>
      <c r="PWI280" s="1144"/>
      <c r="PWJ280" s="1144"/>
      <c r="PWK280" s="1144"/>
      <c r="PWL280" s="1144"/>
      <c r="PWM280" s="1144"/>
      <c r="PWN280" s="1144"/>
      <c r="PWO280" s="1144"/>
      <c r="PWP280" s="1144"/>
      <c r="PWQ280" s="1144"/>
      <c r="PWR280" s="1144"/>
      <c r="PWS280" s="1144"/>
      <c r="PWT280" s="1144"/>
      <c r="PWU280" s="1144"/>
      <c r="PWV280" s="1144"/>
      <c r="PWW280" s="1144"/>
      <c r="PWX280" s="1144"/>
      <c r="PWY280" s="1144"/>
      <c r="PWZ280" s="1144"/>
      <c r="PXA280" s="1144"/>
      <c r="PXB280" s="1144"/>
      <c r="PXC280" s="1144"/>
      <c r="PXD280" s="1144"/>
      <c r="PXE280" s="1144"/>
      <c r="PXF280" s="1144"/>
      <c r="PXG280" s="1144"/>
      <c r="PXH280" s="1144"/>
      <c r="PXI280" s="1144"/>
      <c r="PXJ280" s="1144"/>
      <c r="PXK280" s="1144"/>
      <c r="PXL280" s="1144"/>
      <c r="PXM280" s="1144"/>
      <c r="PXN280" s="1144"/>
      <c r="PXO280" s="1144"/>
      <c r="PXP280" s="1144"/>
      <c r="PXQ280" s="1144"/>
      <c r="PXR280" s="1144"/>
      <c r="PXS280" s="1144"/>
      <c r="PXT280" s="1144"/>
      <c r="PXU280" s="1144"/>
      <c r="PXV280" s="1144"/>
      <c r="PXW280" s="1144"/>
      <c r="PXX280" s="1144"/>
      <c r="PXY280" s="1144"/>
      <c r="PXZ280" s="1144"/>
      <c r="PYA280" s="1144"/>
      <c r="PYB280" s="1144"/>
      <c r="PYC280" s="1144"/>
      <c r="PYD280" s="1144"/>
      <c r="PYE280" s="1144"/>
      <c r="PYF280" s="1144"/>
      <c r="PYG280" s="1144"/>
      <c r="PYH280" s="1144"/>
      <c r="PYI280" s="1144"/>
      <c r="PYJ280" s="1144"/>
      <c r="PYK280" s="1144"/>
      <c r="PYL280" s="1144"/>
      <c r="PYM280" s="1144"/>
      <c r="PYN280" s="1144"/>
      <c r="PYO280" s="1144"/>
      <c r="PYP280" s="1144"/>
      <c r="PYQ280" s="1144"/>
      <c r="PYR280" s="1144"/>
      <c r="PYS280" s="1144"/>
      <c r="PYT280" s="1144"/>
      <c r="PYU280" s="1144"/>
      <c r="PYV280" s="1144"/>
      <c r="PYW280" s="1144"/>
      <c r="PYX280" s="1144"/>
      <c r="PYY280" s="1144"/>
      <c r="PYZ280" s="1144"/>
      <c r="PZA280" s="1144"/>
      <c r="PZB280" s="1144"/>
      <c r="PZC280" s="1144"/>
      <c r="PZD280" s="1144"/>
      <c r="PZE280" s="1144"/>
      <c r="PZF280" s="1144"/>
      <c r="PZG280" s="1144"/>
      <c r="PZH280" s="1144"/>
      <c r="PZI280" s="1144"/>
      <c r="PZJ280" s="1144"/>
      <c r="PZK280" s="1144"/>
      <c r="PZL280" s="1144"/>
      <c r="PZM280" s="1144"/>
      <c r="PZN280" s="1144"/>
      <c r="PZO280" s="1144"/>
      <c r="PZP280" s="1144"/>
      <c r="PZQ280" s="1144"/>
      <c r="PZR280" s="1144"/>
      <c r="PZS280" s="1144"/>
      <c r="PZT280" s="1144"/>
      <c r="PZU280" s="1144"/>
      <c r="PZV280" s="1144"/>
      <c r="PZW280" s="1144"/>
      <c r="PZX280" s="1144"/>
      <c r="PZY280" s="1144"/>
      <c r="PZZ280" s="1144"/>
      <c r="QAA280" s="1144"/>
      <c r="QAB280" s="1144"/>
      <c r="QAC280" s="1144"/>
      <c r="QAD280" s="1144"/>
      <c r="QAE280" s="1144"/>
      <c r="QAF280" s="1144"/>
      <c r="QAG280" s="1144"/>
      <c r="QAH280" s="1144"/>
      <c r="QAI280" s="1144"/>
      <c r="QAJ280" s="1144"/>
      <c r="QAK280" s="1144"/>
      <c r="QAL280" s="1144"/>
      <c r="QAM280" s="1144"/>
      <c r="QAN280" s="1144"/>
      <c r="QAO280" s="1144"/>
      <c r="QAP280" s="1144"/>
      <c r="QAQ280" s="1144"/>
      <c r="QAR280" s="1144"/>
      <c r="QAS280" s="1144"/>
      <c r="QAT280" s="1144"/>
      <c r="QAU280" s="1144"/>
      <c r="QAV280" s="1144"/>
      <c r="QAW280" s="1144"/>
      <c r="QAX280" s="1144"/>
      <c r="QAY280" s="1144"/>
      <c r="QAZ280" s="1144"/>
      <c r="QBA280" s="1144"/>
      <c r="QBB280" s="1144"/>
      <c r="QBC280" s="1144"/>
      <c r="QBD280" s="1144"/>
      <c r="QBE280" s="1144"/>
      <c r="QBF280" s="1144"/>
      <c r="QBG280" s="1144"/>
      <c r="QBH280" s="1144"/>
      <c r="QBI280" s="1144"/>
      <c r="QBJ280" s="1144"/>
      <c r="QBK280" s="1144"/>
      <c r="QBL280" s="1144"/>
      <c r="QBM280" s="1144"/>
      <c r="QBN280" s="1144"/>
      <c r="QBO280" s="1144"/>
      <c r="QBP280" s="1144"/>
      <c r="QBQ280" s="1144"/>
      <c r="QBR280" s="1144"/>
      <c r="QBS280" s="1144"/>
      <c r="QBT280" s="1144"/>
      <c r="QBU280" s="1144"/>
      <c r="QBV280" s="1144"/>
      <c r="QBW280" s="1144"/>
      <c r="QBX280" s="1144"/>
      <c r="QBY280" s="1144"/>
      <c r="QBZ280" s="1144"/>
      <c r="QCA280" s="1144"/>
      <c r="QCB280" s="1144"/>
      <c r="QCC280" s="1144"/>
      <c r="QCD280" s="1144"/>
      <c r="QCE280" s="1144"/>
      <c r="QCF280" s="1144"/>
      <c r="QCG280" s="1144"/>
      <c r="QCH280" s="1144"/>
      <c r="QCI280" s="1144"/>
      <c r="QCJ280" s="1144"/>
      <c r="QCK280" s="1144"/>
      <c r="QCL280" s="1144"/>
      <c r="QCM280" s="1144"/>
      <c r="QCN280" s="1144"/>
      <c r="QCO280" s="1144"/>
      <c r="QCP280" s="1144"/>
      <c r="QCQ280" s="1144"/>
      <c r="QCR280" s="1144"/>
      <c r="QCS280" s="1144"/>
      <c r="QCT280" s="1144"/>
      <c r="QCU280" s="1144"/>
      <c r="QCV280" s="1144"/>
      <c r="QCW280" s="1144"/>
      <c r="QCX280" s="1144"/>
      <c r="QCY280" s="1144"/>
      <c r="QCZ280" s="1144"/>
      <c r="QDA280" s="1144"/>
      <c r="QDB280" s="1144"/>
      <c r="QDC280" s="1144"/>
      <c r="QDD280" s="1144"/>
      <c r="QDE280" s="1144"/>
      <c r="QDF280" s="1144"/>
      <c r="QDG280" s="1144"/>
      <c r="QDH280" s="1144"/>
      <c r="QDI280" s="1144"/>
      <c r="QDJ280" s="1144"/>
      <c r="QDK280" s="1144"/>
      <c r="QDL280" s="1144"/>
      <c r="QDM280" s="1144"/>
      <c r="QDN280" s="1144"/>
      <c r="QDO280" s="1144"/>
      <c r="QDP280" s="1144"/>
      <c r="QDQ280" s="1144"/>
      <c r="QDR280" s="1144"/>
      <c r="QDS280" s="1144"/>
      <c r="QDT280" s="1144"/>
      <c r="QDU280" s="1144"/>
      <c r="QDV280" s="1144"/>
      <c r="QDW280" s="1144"/>
      <c r="QDX280" s="1144"/>
      <c r="QDY280" s="1144"/>
      <c r="QDZ280" s="1144"/>
      <c r="QEA280" s="1144"/>
      <c r="QEB280" s="1144"/>
      <c r="QEC280" s="1144"/>
      <c r="QED280" s="1144"/>
      <c r="QEE280" s="1144"/>
      <c r="QEF280" s="1144"/>
      <c r="QEG280" s="1144"/>
      <c r="QEH280" s="1144"/>
      <c r="QEI280" s="1144"/>
      <c r="QEJ280" s="1144"/>
      <c r="QEK280" s="1144"/>
      <c r="QEL280" s="1144"/>
      <c r="QEM280" s="1144"/>
      <c r="QEN280" s="1144"/>
      <c r="QEO280" s="1144"/>
      <c r="QEP280" s="1144"/>
      <c r="QEQ280" s="1144"/>
      <c r="QER280" s="1144"/>
      <c r="QES280" s="1144"/>
      <c r="QET280" s="1144"/>
      <c r="QEU280" s="1144"/>
      <c r="QEV280" s="1144"/>
      <c r="QEW280" s="1144"/>
      <c r="QEX280" s="1144"/>
      <c r="QEY280" s="1144"/>
      <c r="QEZ280" s="1144"/>
      <c r="QFA280" s="1144"/>
      <c r="QFB280" s="1144"/>
      <c r="QFC280" s="1144"/>
      <c r="QFD280" s="1144"/>
      <c r="QFE280" s="1144"/>
      <c r="QFF280" s="1144"/>
      <c r="QFG280" s="1144"/>
      <c r="QFH280" s="1144"/>
      <c r="QFI280" s="1144"/>
      <c r="QFJ280" s="1144"/>
      <c r="QFK280" s="1144"/>
      <c r="QFL280" s="1144"/>
      <c r="QFM280" s="1144"/>
      <c r="QFN280" s="1144"/>
      <c r="QFO280" s="1144"/>
      <c r="QFP280" s="1144"/>
      <c r="QFQ280" s="1144"/>
      <c r="QFR280" s="1144"/>
      <c r="QFS280" s="1144"/>
      <c r="QFT280" s="1144"/>
      <c r="QFU280" s="1144"/>
      <c r="QFV280" s="1144"/>
      <c r="QFW280" s="1144"/>
      <c r="QFX280" s="1144"/>
      <c r="QFY280" s="1144"/>
      <c r="QFZ280" s="1144"/>
      <c r="QGA280" s="1144"/>
      <c r="QGB280" s="1144"/>
      <c r="QGC280" s="1144"/>
      <c r="QGD280" s="1144"/>
      <c r="QGE280" s="1144"/>
      <c r="QGF280" s="1144"/>
      <c r="QGG280" s="1144"/>
      <c r="QGH280" s="1144"/>
      <c r="QGI280" s="1144"/>
      <c r="QGJ280" s="1144"/>
      <c r="QGK280" s="1144"/>
      <c r="QGL280" s="1144"/>
      <c r="QGM280" s="1144"/>
      <c r="QGN280" s="1144"/>
      <c r="QGO280" s="1144"/>
      <c r="QGP280" s="1144"/>
      <c r="QGQ280" s="1144"/>
      <c r="QGR280" s="1144"/>
      <c r="QGS280" s="1144"/>
      <c r="QGT280" s="1144"/>
      <c r="QGU280" s="1144"/>
      <c r="QGV280" s="1144"/>
      <c r="QGW280" s="1144"/>
      <c r="QGX280" s="1144"/>
      <c r="QGY280" s="1144"/>
      <c r="QGZ280" s="1144"/>
      <c r="QHA280" s="1144"/>
      <c r="QHB280" s="1144"/>
      <c r="QHC280" s="1144"/>
      <c r="QHD280" s="1144"/>
      <c r="QHE280" s="1144"/>
      <c r="QHF280" s="1144"/>
      <c r="QHG280" s="1144"/>
      <c r="QHH280" s="1144"/>
      <c r="QHI280" s="1144"/>
      <c r="QHJ280" s="1144"/>
      <c r="QHK280" s="1144"/>
      <c r="QHL280" s="1144"/>
      <c r="QHM280" s="1144"/>
      <c r="QHN280" s="1144"/>
      <c r="QHO280" s="1144"/>
      <c r="QHP280" s="1144"/>
      <c r="QHQ280" s="1144"/>
      <c r="QHR280" s="1144"/>
      <c r="QHS280" s="1144"/>
      <c r="QHT280" s="1144"/>
      <c r="QHU280" s="1144"/>
      <c r="QHV280" s="1144"/>
      <c r="QHW280" s="1144"/>
      <c r="QHX280" s="1144"/>
      <c r="QHY280" s="1144"/>
      <c r="QHZ280" s="1144"/>
      <c r="QIA280" s="1144"/>
      <c r="QIB280" s="1144"/>
      <c r="QIC280" s="1144"/>
      <c r="QID280" s="1144"/>
      <c r="QIE280" s="1144"/>
      <c r="QIF280" s="1144"/>
      <c r="QIG280" s="1144"/>
      <c r="QIH280" s="1144"/>
      <c r="QII280" s="1144"/>
      <c r="QIJ280" s="1144"/>
      <c r="QIK280" s="1144"/>
      <c r="QIL280" s="1144"/>
      <c r="QIM280" s="1144"/>
      <c r="QIN280" s="1144"/>
      <c r="QIO280" s="1144"/>
      <c r="QIP280" s="1144"/>
      <c r="QIQ280" s="1144"/>
      <c r="QIR280" s="1144"/>
      <c r="QIS280" s="1144"/>
      <c r="QIT280" s="1144"/>
      <c r="QIU280" s="1144"/>
      <c r="QIV280" s="1144"/>
      <c r="QIW280" s="1144"/>
      <c r="QIX280" s="1144"/>
      <c r="QIY280" s="1144"/>
      <c r="QIZ280" s="1144"/>
      <c r="QJA280" s="1144"/>
      <c r="QJB280" s="1144"/>
      <c r="QJC280" s="1144"/>
      <c r="QJD280" s="1144"/>
      <c r="QJE280" s="1144"/>
      <c r="QJF280" s="1144"/>
      <c r="QJG280" s="1144"/>
      <c r="QJH280" s="1144"/>
      <c r="QJI280" s="1144"/>
      <c r="QJJ280" s="1144"/>
      <c r="QJK280" s="1144"/>
      <c r="QJL280" s="1144"/>
      <c r="QJM280" s="1144"/>
      <c r="QJN280" s="1144"/>
      <c r="QJO280" s="1144"/>
      <c r="QJP280" s="1144"/>
      <c r="QJQ280" s="1144"/>
      <c r="QJR280" s="1144"/>
      <c r="QJS280" s="1144"/>
      <c r="QJT280" s="1144"/>
      <c r="QJU280" s="1144"/>
      <c r="QJV280" s="1144"/>
      <c r="QJW280" s="1144"/>
      <c r="QJX280" s="1144"/>
      <c r="QJY280" s="1144"/>
      <c r="QJZ280" s="1144"/>
      <c r="QKA280" s="1144"/>
      <c r="QKB280" s="1144"/>
      <c r="QKC280" s="1144"/>
      <c r="QKD280" s="1144"/>
      <c r="QKE280" s="1144"/>
      <c r="QKF280" s="1144"/>
      <c r="QKG280" s="1144"/>
      <c r="QKH280" s="1144"/>
      <c r="QKI280" s="1144"/>
      <c r="QKJ280" s="1144"/>
      <c r="QKK280" s="1144"/>
      <c r="QKL280" s="1144"/>
      <c r="QKM280" s="1144"/>
      <c r="QKN280" s="1144"/>
      <c r="QKO280" s="1144"/>
      <c r="QKP280" s="1144"/>
      <c r="QKQ280" s="1144"/>
      <c r="QKR280" s="1144"/>
      <c r="QKS280" s="1144"/>
      <c r="QKT280" s="1144"/>
      <c r="QKU280" s="1144"/>
      <c r="QKV280" s="1144"/>
      <c r="QKW280" s="1144"/>
      <c r="QKX280" s="1144"/>
      <c r="QKY280" s="1144"/>
      <c r="QKZ280" s="1144"/>
      <c r="QLA280" s="1144"/>
      <c r="QLB280" s="1144"/>
      <c r="QLC280" s="1144"/>
      <c r="QLD280" s="1144"/>
      <c r="QLE280" s="1144"/>
      <c r="QLF280" s="1144"/>
      <c r="QLG280" s="1144"/>
      <c r="QLH280" s="1144"/>
      <c r="QLI280" s="1144"/>
      <c r="QLJ280" s="1144"/>
      <c r="QLK280" s="1144"/>
      <c r="QLL280" s="1144"/>
      <c r="QLM280" s="1144"/>
      <c r="QLN280" s="1144"/>
      <c r="QLO280" s="1144"/>
      <c r="QLP280" s="1144"/>
      <c r="QLQ280" s="1144"/>
      <c r="QLR280" s="1144"/>
      <c r="QLS280" s="1144"/>
      <c r="QLT280" s="1144"/>
      <c r="QLU280" s="1144"/>
      <c r="QLV280" s="1144"/>
      <c r="QLW280" s="1144"/>
      <c r="QLX280" s="1144"/>
      <c r="QLY280" s="1144"/>
      <c r="QLZ280" s="1144"/>
      <c r="QMA280" s="1144"/>
      <c r="QMB280" s="1144"/>
      <c r="QMC280" s="1144"/>
      <c r="QMD280" s="1144"/>
      <c r="QME280" s="1144"/>
      <c r="QMF280" s="1144"/>
      <c r="QMG280" s="1144"/>
      <c r="QMH280" s="1144"/>
      <c r="QMI280" s="1144"/>
      <c r="QMJ280" s="1144"/>
      <c r="QMK280" s="1144"/>
      <c r="QML280" s="1144"/>
      <c r="QMM280" s="1144"/>
      <c r="QMN280" s="1144"/>
      <c r="QMO280" s="1144"/>
      <c r="QMP280" s="1144"/>
      <c r="QMQ280" s="1144"/>
      <c r="QMR280" s="1144"/>
      <c r="QMS280" s="1144"/>
      <c r="QMT280" s="1144"/>
      <c r="QMU280" s="1144"/>
      <c r="QMV280" s="1144"/>
      <c r="QMW280" s="1144"/>
      <c r="QMX280" s="1144"/>
      <c r="QMY280" s="1144"/>
      <c r="QMZ280" s="1144"/>
      <c r="QNA280" s="1144"/>
      <c r="QNB280" s="1144"/>
      <c r="QNC280" s="1144"/>
      <c r="QND280" s="1144"/>
      <c r="QNE280" s="1144"/>
      <c r="QNF280" s="1144"/>
      <c r="QNG280" s="1144"/>
      <c r="QNH280" s="1144"/>
      <c r="QNI280" s="1144"/>
      <c r="QNJ280" s="1144"/>
      <c r="QNK280" s="1144"/>
      <c r="QNL280" s="1144"/>
      <c r="QNM280" s="1144"/>
      <c r="QNN280" s="1144"/>
      <c r="QNO280" s="1144"/>
      <c r="QNP280" s="1144"/>
      <c r="QNQ280" s="1144"/>
      <c r="QNR280" s="1144"/>
      <c r="QNS280" s="1144"/>
      <c r="QNT280" s="1144"/>
      <c r="QNU280" s="1144"/>
      <c r="QNV280" s="1144"/>
      <c r="QNW280" s="1144"/>
      <c r="QNX280" s="1144"/>
      <c r="QNY280" s="1144"/>
      <c r="QNZ280" s="1144"/>
      <c r="QOA280" s="1144"/>
      <c r="QOB280" s="1144"/>
      <c r="QOC280" s="1144"/>
      <c r="QOD280" s="1144"/>
      <c r="QOE280" s="1144"/>
      <c r="QOF280" s="1144"/>
      <c r="QOG280" s="1144"/>
      <c r="QOH280" s="1144"/>
      <c r="QOI280" s="1144"/>
      <c r="QOJ280" s="1144"/>
      <c r="QOK280" s="1144"/>
      <c r="QOL280" s="1144"/>
      <c r="QOM280" s="1144"/>
      <c r="QON280" s="1144"/>
      <c r="QOO280" s="1144"/>
      <c r="QOP280" s="1144"/>
      <c r="QOQ280" s="1144"/>
      <c r="QOR280" s="1144"/>
      <c r="QOS280" s="1144"/>
      <c r="QOT280" s="1144"/>
      <c r="QOU280" s="1144"/>
      <c r="QOV280" s="1144"/>
      <c r="QOW280" s="1144"/>
      <c r="QOX280" s="1144"/>
      <c r="QOY280" s="1144"/>
      <c r="QOZ280" s="1144"/>
      <c r="QPA280" s="1144"/>
      <c r="QPB280" s="1144"/>
      <c r="QPC280" s="1144"/>
      <c r="QPD280" s="1144"/>
      <c r="QPE280" s="1144"/>
      <c r="QPF280" s="1144"/>
      <c r="QPG280" s="1144"/>
      <c r="QPH280" s="1144"/>
      <c r="QPI280" s="1144"/>
      <c r="QPJ280" s="1144"/>
      <c r="QPK280" s="1144"/>
      <c r="QPL280" s="1144"/>
      <c r="QPM280" s="1144"/>
      <c r="QPN280" s="1144"/>
      <c r="QPO280" s="1144"/>
      <c r="QPP280" s="1144"/>
      <c r="QPQ280" s="1144"/>
      <c r="QPR280" s="1144"/>
      <c r="QPS280" s="1144"/>
      <c r="QPT280" s="1144"/>
      <c r="QPU280" s="1144"/>
      <c r="QPV280" s="1144"/>
      <c r="QPW280" s="1144"/>
      <c r="QPX280" s="1144"/>
      <c r="QPY280" s="1144"/>
      <c r="QPZ280" s="1144"/>
      <c r="QQA280" s="1144"/>
      <c r="QQB280" s="1144"/>
      <c r="QQC280" s="1144"/>
      <c r="QQD280" s="1144"/>
      <c r="QQE280" s="1144"/>
      <c r="QQF280" s="1144"/>
      <c r="QQG280" s="1144"/>
      <c r="QQH280" s="1144"/>
      <c r="QQI280" s="1144"/>
      <c r="QQJ280" s="1144"/>
      <c r="QQK280" s="1144"/>
      <c r="QQL280" s="1144"/>
      <c r="QQM280" s="1144"/>
      <c r="QQN280" s="1144"/>
      <c r="QQO280" s="1144"/>
      <c r="QQP280" s="1144"/>
      <c r="QQQ280" s="1144"/>
      <c r="QQR280" s="1144"/>
      <c r="QQS280" s="1144"/>
      <c r="QQT280" s="1144"/>
      <c r="QQU280" s="1144"/>
      <c r="QQV280" s="1144"/>
      <c r="QQW280" s="1144"/>
      <c r="QQX280" s="1144"/>
      <c r="QQY280" s="1144"/>
      <c r="QQZ280" s="1144"/>
      <c r="QRA280" s="1144"/>
      <c r="QRB280" s="1144"/>
      <c r="QRC280" s="1144"/>
      <c r="QRD280" s="1144"/>
      <c r="QRE280" s="1144"/>
      <c r="QRF280" s="1144"/>
      <c r="QRG280" s="1144"/>
      <c r="QRH280" s="1144"/>
      <c r="QRI280" s="1144"/>
      <c r="QRJ280" s="1144"/>
      <c r="QRK280" s="1144"/>
      <c r="QRL280" s="1144"/>
      <c r="QRM280" s="1144"/>
      <c r="QRN280" s="1144"/>
      <c r="QRO280" s="1144"/>
      <c r="QRP280" s="1144"/>
      <c r="QRQ280" s="1144"/>
      <c r="QRR280" s="1144"/>
      <c r="QRS280" s="1144"/>
      <c r="QRT280" s="1144"/>
      <c r="QRU280" s="1144"/>
      <c r="QRV280" s="1144"/>
      <c r="QRW280" s="1144"/>
      <c r="QRX280" s="1144"/>
      <c r="QRY280" s="1144"/>
      <c r="QRZ280" s="1144"/>
      <c r="QSA280" s="1144"/>
      <c r="QSB280" s="1144"/>
      <c r="QSC280" s="1144"/>
      <c r="QSD280" s="1144"/>
      <c r="QSE280" s="1144"/>
      <c r="QSF280" s="1144"/>
      <c r="QSG280" s="1144"/>
      <c r="QSH280" s="1144"/>
      <c r="QSI280" s="1144"/>
      <c r="QSJ280" s="1144"/>
      <c r="QSK280" s="1144"/>
      <c r="QSL280" s="1144"/>
      <c r="QSM280" s="1144"/>
      <c r="QSN280" s="1144"/>
      <c r="QSO280" s="1144"/>
      <c r="QSP280" s="1144"/>
      <c r="QSQ280" s="1144"/>
      <c r="QSR280" s="1144"/>
      <c r="QSS280" s="1144"/>
      <c r="QST280" s="1144"/>
      <c r="QSU280" s="1144"/>
      <c r="QSV280" s="1144"/>
      <c r="QSW280" s="1144"/>
      <c r="QSX280" s="1144"/>
      <c r="QSY280" s="1144"/>
      <c r="QSZ280" s="1144"/>
      <c r="QTA280" s="1144"/>
      <c r="QTB280" s="1144"/>
      <c r="QTC280" s="1144"/>
      <c r="QTD280" s="1144"/>
      <c r="QTE280" s="1144"/>
      <c r="QTF280" s="1144"/>
      <c r="QTG280" s="1144"/>
      <c r="QTH280" s="1144"/>
      <c r="QTI280" s="1144"/>
      <c r="QTJ280" s="1144"/>
      <c r="QTK280" s="1144"/>
      <c r="QTL280" s="1144"/>
      <c r="QTM280" s="1144"/>
      <c r="QTN280" s="1144"/>
      <c r="QTO280" s="1144"/>
      <c r="QTP280" s="1144"/>
      <c r="QTQ280" s="1144"/>
      <c r="QTR280" s="1144"/>
      <c r="QTS280" s="1144"/>
      <c r="QTT280" s="1144"/>
      <c r="QTU280" s="1144"/>
      <c r="QTV280" s="1144"/>
      <c r="QTW280" s="1144"/>
      <c r="QTX280" s="1144"/>
      <c r="QTY280" s="1144"/>
      <c r="QTZ280" s="1144"/>
      <c r="QUA280" s="1144"/>
      <c r="QUB280" s="1144"/>
      <c r="QUC280" s="1144"/>
      <c r="QUD280" s="1144"/>
      <c r="QUE280" s="1144"/>
      <c r="QUF280" s="1144"/>
      <c r="QUG280" s="1144"/>
      <c r="QUH280" s="1144"/>
      <c r="QUI280" s="1144"/>
      <c r="QUJ280" s="1144"/>
      <c r="QUK280" s="1144"/>
      <c r="QUL280" s="1144"/>
      <c r="QUM280" s="1144"/>
      <c r="QUN280" s="1144"/>
      <c r="QUO280" s="1144"/>
      <c r="QUP280" s="1144"/>
      <c r="QUQ280" s="1144"/>
      <c r="QUR280" s="1144"/>
      <c r="QUS280" s="1144"/>
      <c r="QUT280" s="1144"/>
      <c r="QUU280" s="1144"/>
      <c r="QUV280" s="1144"/>
      <c r="QUW280" s="1144"/>
      <c r="QUX280" s="1144"/>
      <c r="QUY280" s="1144"/>
      <c r="QUZ280" s="1144"/>
      <c r="QVA280" s="1144"/>
      <c r="QVB280" s="1144"/>
      <c r="QVC280" s="1144"/>
      <c r="QVD280" s="1144"/>
      <c r="QVE280" s="1144"/>
      <c r="QVF280" s="1144"/>
      <c r="QVG280" s="1144"/>
      <c r="QVH280" s="1144"/>
      <c r="QVI280" s="1144"/>
      <c r="QVJ280" s="1144"/>
      <c r="QVK280" s="1144"/>
      <c r="QVL280" s="1144"/>
      <c r="QVM280" s="1144"/>
      <c r="QVN280" s="1144"/>
      <c r="QVO280" s="1144"/>
      <c r="QVP280" s="1144"/>
      <c r="QVQ280" s="1144"/>
      <c r="QVR280" s="1144"/>
      <c r="QVS280" s="1144"/>
      <c r="QVT280" s="1144"/>
      <c r="QVU280" s="1144"/>
      <c r="QVV280" s="1144"/>
      <c r="QVW280" s="1144"/>
      <c r="QVX280" s="1144"/>
      <c r="QVY280" s="1144"/>
      <c r="QVZ280" s="1144"/>
      <c r="QWA280" s="1144"/>
      <c r="QWB280" s="1144"/>
      <c r="QWC280" s="1144"/>
      <c r="QWD280" s="1144"/>
      <c r="QWE280" s="1144"/>
      <c r="QWF280" s="1144"/>
      <c r="QWG280" s="1144"/>
      <c r="QWH280" s="1144"/>
      <c r="QWI280" s="1144"/>
      <c r="QWJ280" s="1144"/>
      <c r="QWK280" s="1144"/>
      <c r="QWL280" s="1144"/>
      <c r="QWM280" s="1144"/>
      <c r="QWN280" s="1144"/>
      <c r="QWO280" s="1144"/>
      <c r="QWP280" s="1144"/>
      <c r="QWQ280" s="1144"/>
      <c r="QWR280" s="1144"/>
      <c r="QWS280" s="1144"/>
      <c r="QWT280" s="1144"/>
      <c r="QWU280" s="1144"/>
      <c r="QWV280" s="1144"/>
      <c r="QWW280" s="1144"/>
      <c r="QWX280" s="1144"/>
      <c r="QWY280" s="1144"/>
      <c r="QWZ280" s="1144"/>
      <c r="QXA280" s="1144"/>
      <c r="QXB280" s="1144"/>
      <c r="QXC280" s="1144"/>
      <c r="QXD280" s="1144"/>
      <c r="QXE280" s="1144"/>
      <c r="QXF280" s="1144"/>
      <c r="QXG280" s="1144"/>
      <c r="QXH280" s="1144"/>
      <c r="QXI280" s="1144"/>
      <c r="QXJ280" s="1144"/>
      <c r="QXK280" s="1144"/>
      <c r="QXL280" s="1144"/>
      <c r="QXM280" s="1144"/>
      <c r="QXN280" s="1144"/>
      <c r="QXO280" s="1144"/>
      <c r="QXP280" s="1144"/>
      <c r="QXQ280" s="1144"/>
      <c r="QXR280" s="1144"/>
      <c r="QXS280" s="1144"/>
      <c r="QXT280" s="1144"/>
      <c r="QXU280" s="1144"/>
      <c r="QXV280" s="1144"/>
      <c r="QXW280" s="1144"/>
      <c r="QXX280" s="1144"/>
      <c r="QXY280" s="1144"/>
      <c r="QXZ280" s="1144"/>
      <c r="QYA280" s="1144"/>
      <c r="QYB280" s="1144"/>
      <c r="QYC280" s="1144"/>
      <c r="QYD280" s="1144"/>
      <c r="QYE280" s="1144"/>
      <c r="QYF280" s="1144"/>
      <c r="QYG280" s="1144"/>
      <c r="QYH280" s="1144"/>
      <c r="QYI280" s="1144"/>
      <c r="QYJ280" s="1144"/>
      <c r="QYK280" s="1144"/>
      <c r="QYL280" s="1144"/>
      <c r="QYM280" s="1144"/>
      <c r="QYN280" s="1144"/>
      <c r="QYO280" s="1144"/>
      <c r="QYP280" s="1144"/>
      <c r="QYQ280" s="1144"/>
      <c r="QYR280" s="1144"/>
      <c r="QYS280" s="1144"/>
      <c r="QYT280" s="1144"/>
      <c r="QYU280" s="1144"/>
      <c r="QYV280" s="1144"/>
      <c r="QYW280" s="1144"/>
      <c r="QYX280" s="1144"/>
      <c r="QYY280" s="1144"/>
      <c r="QYZ280" s="1144"/>
      <c r="QZA280" s="1144"/>
      <c r="QZB280" s="1144"/>
      <c r="QZC280" s="1144"/>
      <c r="QZD280" s="1144"/>
      <c r="QZE280" s="1144"/>
      <c r="QZF280" s="1144"/>
      <c r="QZG280" s="1144"/>
      <c r="QZH280" s="1144"/>
      <c r="QZI280" s="1144"/>
      <c r="QZJ280" s="1144"/>
      <c r="QZK280" s="1144"/>
      <c r="QZL280" s="1144"/>
      <c r="QZM280" s="1144"/>
      <c r="QZN280" s="1144"/>
      <c r="QZO280" s="1144"/>
      <c r="QZP280" s="1144"/>
      <c r="QZQ280" s="1144"/>
      <c r="QZR280" s="1144"/>
      <c r="QZS280" s="1144"/>
      <c r="QZT280" s="1144"/>
      <c r="QZU280" s="1144"/>
      <c r="QZV280" s="1144"/>
      <c r="QZW280" s="1144"/>
      <c r="QZX280" s="1144"/>
      <c r="QZY280" s="1144"/>
      <c r="QZZ280" s="1144"/>
      <c r="RAA280" s="1144"/>
      <c r="RAB280" s="1144"/>
      <c r="RAC280" s="1144"/>
      <c r="RAD280" s="1144"/>
      <c r="RAE280" s="1144"/>
      <c r="RAF280" s="1144"/>
      <c r="RAG280" s="1144"/>
      <c r="RAH280" s="1144"/>
      <c r="RAI280" s="1144"/>
      <c r="RAJ280" s="1144"/>
      <c r="RAK280" s="1144"/>
      <c r="RAL280" s="1144"/>
      <c r="RAM280" s="1144"/>
      <c r="RAN280" s="1144"/>
      <c r="RAO280" s="1144"/>
      <c r="RAP280" s="1144"/>
      <c r="RAQ280" s="1144"/>
      <c r="RAR280" s="1144"/>
      <c r="RAS280" s="1144"/>
      <c r="RAT280" s="1144"/>
      <c r="RAU280" s="1144"/>
      <c r="RAV280" s="1144"/>
      <c r="RAW280" s="1144"/>
      <c r="RAX280" s="1144"/>
      <c r="RAY280" s="1144"/>
      <c r="RAZ280" s="1144"/>
      <c r="RBA280" s="1144"/>
      <c r="RBB280" s="1144"/>
      <c r="RBC280" s="1144"/>
      <c r="RBD280" s="1144"/>
      <c r="RBE280" s="1144"/>
      <c r="RBF280" s="1144"/>
      <c r="RBG280" s="1144"/>
      <c r="RBH280" s="1144"/>
      <c r="RBI280" s="1144"/>
      <c r="RBJ280" s="1144"/>
      <c r="RBK280" s="1144"/>
      <c r="RBL280" s="1144"/>
      <c r="RBM280" s="1144"/>
      <c r="RBN280" s="1144"/>
      <c r="RBO280" s="1144"/>
      <c r="RBP280" s="1144"/>
      <c r="RBQ280" s="1144"/>
      <c r="RBR280" s="1144"/>
      <c r="RBS280" s="1144"/>
      <c r="RBT280" s="1144"/>
      <c r="RBU280" s="1144"/>
      <c r="RBV280" s="1144"/>
      <c r="RBW280" s="1144"/>
      <c r="RBX280" s="1144"/>
      <c r="RBY280" s="1144"/>
      <c r="RBZ280" s="1144"/>
      <c r="RCA280" s="1144"/>
      <c r="RCB280" s="1144"/>
      <c r="RCC280" s="1144"/>
      <c r="RCD280" s="1144"/>
      <c r="RCE280" s="1144"/>
      <c r="RCF280" s="1144"/>
      <c r="RCG280" s="1144"/>
      <c r="RCH280" s="1144"/>
      <c r="RCI280" s="1144"/>
      <c r="RCJ280" s="1144"/>
      <c r="RCK280" s="1144"/>
      <c r="RCL280" s="1144"/>
      <c r="RCM280" s="1144"/>
      <c r="RCN280" s="1144"/>
      <c r="RCO280" s="1144"/>
      <c r="RCP280" s="1144"/>
      <c r="RCQ280" s="1144"/>
      <c r="RCR280" s="1144"/>
      <c r="RCS280" s="1144"/>
      <c r="RCT280" s="1144"/>
      <c r="RCU280" s="1144"/>
      <c r="RCV280" s="1144"/>
      <c r="RCW280" s="1144"/>
      <c r="RCX280" s="1144"/>
      <c r="RCY280" s="1144"/>
      <c r="RCZ280" s="1144"/>
      <c r="RDA280" s="1144"/>
      <c r="RDB280" s="1144"/>
      <c r="RDC280" s="1144"/>
      <c r="RDD280" s="1144"/>
      <c r="RDE280" s="1144"/>
      <c r="RDF280" s="1144"/>
      <c r="RDG280" s="1144"/>
      <c r="RDH280" s="1144"/>
      <c r="RDI280" s="1144"/>
      <c r="RDJ280" s="1144"/>
      <c r="RDK280" s="1144"/>
      <c r="RDL280" s="1144"/>
      <c r="RDM280" s="1144"/>
      <c r="RDN280" s="1144"/>
      <c r="RDO280" s="1144"/>
      <c r="RDP280" s="1144"/>
      <c r="RDQ280" s="1144"/>
      <c r="RDR280" s="1144"/>
      <c r="RDS280" s="1144"/>
      <c r="RDT280" s="1144"/>
      <c r="RDU280" s="1144"/>
      <c r="RDV280" s="1144"/>
      <c r="RDW280" s="1144"/>
      <c r="RDX280" s="1144"/>
      <c r="RDY280" s="1144"/>
      <c r="RDZ280" s="1144"/>
      <c r="REA280" s="1144"/>
      <c r="REB280" s="1144"/>
      <c r="REC280" s="1144"/>
      <c r="RED280" s="1144"/>
      <c r="REE280" s="1144"/>
      <c r="REF280" s="1144"/>
      <c r="REG280" s="1144"/>
      <c r="REH280" s="1144"/>
      <c r="REI280" s="1144"/>
      <c r="REJ280" s="1144"/>
      <c r="REK280" s="1144"/>
      <c r="REL280" s="1144"/>
      <c r="REM280" s="1144"/>
      <c r="REN280" s="1144"/>
      <c r="REO280" s="1144"/>
      <c r="REP280" s="1144"/>
      <c r="REQ280" s="1144"/>
      <c r="RER280" s="1144"/>
      <c r="RES280" s="1144"/>
      <c r="RET280" s="1144"/>
      <c r="REU280" s="1144"/>
      <c r="REV280" s="1144"/>
      <c r="REW280" s="1144"/>
      <c r="REX280" s="1144"/>
      <c r="REY280" s="1144"/>
      <c r="REZ280" s="1144"/>
      <c r="RFA280" s="1144"/>
      <c r="RFB280" s="1144"/>
      <c r="RFC280" s="1144"/>
      <c r="RFD280" s="1144"/>
      <c r="RFE280" s="1144"/>
      <c r="RFF280" s="1144"/>
      <c r="RFG280" s="1144"/>
      <c r="RFH280" s="1144"/>
      <c r="RFI280" s="1144"/>
      <c r="RFJ280" s="1144"/>
      <c r="RFK280" s="1144"/>
      <c r="RFL280" s="1144"/>
      <c r="RFM280" s="1144"/>
      <c r="RFN280" s="1144"/>
      <c r="RFO280" s="1144"/>
      <c r="RFP280" s="1144"/>
      <c r="RFQ280" s="1144"/>
      <c r="RFR280" s="1144"/>
      <c r="RFS280" s="1144"/>
      <c r="RFT280" s="1144"/>
      <c r="RFU280" s="1144"/>
      <c r="RFV280" s="1144"/>
      <c r="RFW280" s="1144"/>
      <c r="RFX280" s="1144"/>
      <c r="RFY280" s="1144"/>
      <c r="RFZ280" s="1144"/>
      <c r="RGA280" s="1144"/>
      <c r="RGB280" s="1144"/>
      <c r="RGC280" s="1144"/>
      <c r="RGD280" s="1144"/>
      <c r="RGE280" s="1144"/>
      <c r="RGF280" s="1144"/>
      <c r="RGG280" s="1144"/>
      <c r="RGH280" s="1144"/>
      <c r="RGI280" s="1144"/>
      <c r="RGJ280" s="1144"/>
      <c r="RGK280" s="1144"/>
      <c r="RGL280" s="1144"/>
      <c r="RGM280" s="1144"/>
      <c r="RGN280" s="1144"/>
      <c r="RGO280" s="1144"/>
      <c r="RGP280" s="1144"/>
      <c r="RGQ280" s="1144"/>
      <c r="RGR280" s="1144"/>
      <c r="RGS280" s="1144"/>
      <c r="RGT280" s="1144"/>
      <c r="RGU280" s="1144"/>
      <c r="RGV280" s="1144"/>
      <c r="RGW280" s="1144"/>
      <c r="RGX280" s="1144"/>
      <c r="RGY280" s="1144"/>
      <c r="RGZ280" s="1144"/>
      <c r="RHA280" s="1144"/>
      <c r="RHB280" s="1144"/>
      <c r="RHC280" s="1144"/>
      <c r="RHD280" s="1144"/>
      <c r="RHE280" s="1144"/>
      <c r="RHF280" s="1144"/>
      <c r="RHG280" s="1144"/>
      <c r="RHH280" s="1144"/>
      <c r="RHI280" s="1144"/>
      <c r="RHJ280" s="1144"/>
      <c r="RHK280" s="1144"/>
      <c r="RHL280" s="1144"/>
      <c r="RHM280" s="1144"/>
      <c r="RHN280" s="1144"/>
      <c r="RHO280" s="1144"/>
      <c r="RHP280" s="1144"/>
      <c r="RHQ280" s="1144"/>
      <c r="RHR280" s="1144"/>
      <c r="RHS280" s="1144"/>
      <c r="RHT280" s="1144"/>
      <c r="RHU280" s="1144"/>
      <c r="RHV280" s="1144"/>
      <c r="RHW280" s="1144"/>
      <c r="RHX280" s="1144"/>
      <c r="RHY280" s="1144"/>
      <c r="RHZ280" s="1144"/>
      <c r="RIA280" s="1144"/>
      <c r="RIB280" s="1144"/>
      <c r="RIC280" s="1144"/>
      <c r="RID280" s="1144"/>
      <c r="RIE280" s="1144"/>
      <c r="RIF280" s="1144"/>
      <c r="RIG280" s="1144"/>
      <c r="RIH280" s="1144"/>
      <c r="RII280" s="1144"/>
      <c r="RIJ280" s="1144"/>
      <c r="RIK280" s="1144"/>
      <c r="RIL280" s="1144"/>
      <c r="RIM280" s="1144"/>
      <c r="RIN280" s="1144"/>
      <c r="RIO280" s="1144"/>
      <c r="RIP280" s="1144"/>
      <c r="RIQ280" s="1144"/>
      <c r="RIR280" s="1144"/>
      <c r="RIS280" s="1144"/>
      <c r="RIT280" s="1144"/>
      <c r="RIU280" s="1144"/>
      <c r="RIV280" s="1144"/>
      <c r="RIW280" s="1144"/>
      <c r="RIX280" s="1144"/>
      <c r="RIY280" s="1144"/>
      <c r="RIZ280" s="1144"/>
      <c r="RJA280" s="1144"/>
      <c r="RJB280" s="1144"/>
      <c r="RJC280" s="1144"/>
      <c r="RJD280" s="1144"/>
      <c r="RJE280" s="1144"/>
      <c r="RJF280" s="1144"/>
      <c r="RJG280" s="1144"/>
      <c r="RJH280" s="1144"/>
      <c r="RJI280" s="1144"/>
      <c r="RJJ280" s="1144"/>
      <c r="RJK280" s="1144"/>
      <c r="RJL280" s="1144"/>
      <c r="RJM280" s="1144"/>
      <c r="RJN280" s="1144"/>
      <c r="RJO280" s="1144"/>
      <c r="RJP280" s="1144"/>
      <c r="RJQ280" s="1144"/>
      <c r="RJR280" s="1144"/>
      <c r="RJS280" s="1144"/>
      <c r="RJT280" s="1144"/>
      <c r="RJU280" s="1144"/>
      <c r="RJV280" s="1144"/>
      <c r="RJW280" s="1144"/>
      <c r="RJX280" s="1144"/>
      <c r="RJY280" s="1144"/>
      <c r="RJZ280" s="1144"/>
      <c r="RKA280" s="1144"/>
      <c r="RKB280" s="1144"/>
      <c r="RKC280" s="1144"/>
      <c r="RKD280" s="1144"/>
      <c r="RKE280" s="1144"/>
      <c r="RKF280" s="1144"/>
      <c r="RKG280" s="1144"/>
      <c r="RKH280" s="1144"/>
      <c r="RKI280" s="1144"/>
      <c r="RKJ280" s="1144"/>
      <c r="RKK280" s="1144"/>
      <c r="RKL280" s="1144"/>
      <c r="RKM280" s="1144"/>
      <c r="RKN280" s="1144"/>
      <c r="RKO280" s="1144"/>
      <c r="RKP280" s="1144"/>
      <c r="RKQ280" s="1144"/>
      <c r="RKR280" s="1144"/>
      <c r="RKS280" s="1144"/>
      <c r="RKT280" s="1144"/>
      <c r="RKU280" s="1144"/>
      <c r="RKV280" s="1144"/>
      <c r="RKW280" s="1144"/>
      <c r="RKX280" s="1144"/>
      <c r="RKY280" s="1144"/>
      <c r="RKZ280" s="1144"/>
      <c r="RLA280" s="1144"/>
      <c r="RLB280" s="1144"/>
      <c r="RLC280" s="1144"/>
      <c r="RLD280" s="1144"/>
      <c r="RLE280" s="1144"/>
      <c r="RLF280" s="1144"/>
      <c r="RLG280" s="1144"/>
      <c r="RLH280" s="1144"/>
      <c r="RLI280" s="1144"/>
      <c r="RLJ280" s="1144"/>
      <c r="RLK280" s="1144"/>
      <c r="RLL280" s="1144"/>
      <c r="RLM280" s="1144"/>
      <c r="RLN280" s="1144"/>
      <c r="RLO280" s="1144"/>
      <c r="RLP280" s="1144"/>
      <c r="RLQ280" s="1144"/>
      <c r="RLR280" s="1144"/>
      <c r="RLS280" s="1144"/>
      <c r="RLT280" s="1144"/>
      <c r="RLU280" s="1144"/>
      <c r="RLV280" s="1144"/>
      <c r="RLW280" s="1144"/>
      <c r="RLX280" s="1144"/>
      <c r="RLY280" s="1144"/>
      <c r="RLZ280" s="1144"/>
      <c r="RMA280" s="1144"/>
      <c r="RMB280" s="1144"/>
      <c r="RMC280" s="1144"/>
      <c r="RMD280" s="1144"/>
      <c r="RME280" s="1144"/>
      <c r="RMF280" s="1144"/>
      <c r="RMG280" s="1144"/>
      <c r="RMH280" s="1144"/>
      <c r="RMI280" s="1144"/>
      <c r="RMJ280" s="1144"/>
      <c r="RMK280" s="1144"/>
      <c r="RML280" s="1144"/>
      <c r="RMM280" s="1144"/>
      <c r="RMN280" s="1144"/>
      <c r="RMO280" s="1144"/>
      <c r="RMP280" s="1144"/>
      <c r="RMQ280" s="1144"/>
      <c r="RMR280" s="1144"/>
      <c r="RMS280" s="1144"/>
      <c r="RMT280" s="1144"/>
      <c r="RMU280" s="1144"/>
      <c r="RMV280" s="1144"/>
      <c r="RMW280" s="1144"/>
      <c r="RMX280" s="1144"/>
      <c r="RMY280" s="1144"/>
      <c r="RMZ280" s="1144"/>
      <c r="RNA280" s="1144"/>
      <c r="RNB280" s="1144"/>
      <c r="RNC280" s="1144"/>
      <c r="RND280" s="1144"/>
      <c r="RNE280" s="1144"/>
      <c r="RNF280" s="1144"/>
      <c r="RNG280" s="1144"/>
      <c r="RNH280" s="1144"/>
      <c r="RNI280" s="1144"/>
      <c r="RNJ280" s="1144"/>
      <c r="RNK280" s="1144"/>
      <c r="RNL280" s="1144"/>
      <c r="RNM280" s="1144"/>
      <c r="RNN280" s="1144"/>
      <c r="RNO280" s="1144"/>
      <c r="RNP280" s="1144"/>
      <c r="RNQ280" s="1144"/>
      <c r="RNR280" s="1144"/>
      <c r="RNS280" s="1144"/>
      <c r="RNT280" s="1144"/>
      <c r="RNU280" s="1144"/>
      <c r="RNV280" s="1144"/>
      <c r="RNW280" s="1144"/>
      <c r="RNX280" s="1144"/>
      <c r="RNY280" s="1144"/>
      <c r="RNZ280" s="1144"/>
      <c r="ROA280" s="1144"/>
      <c r="ROB280" s="1144"/>
      <c r="ROC280" s="1144"/>
      <c r="ROD280" s="1144"/>
      <c r="ROE280" s="1144"/>
      <c r="ROF280" s="1144"/>
      <c r="ROG280" s="1144"/>
      <c r="ROH280" s="1144"/>
      <c r="ROI280" s="1144"/>
      <c r="ROJ280" s="1144"/>
      <c r="ROK280" s="1144"/>
      <c r="ROL280" s="1144"/>
      <c r="ROM280" s="1144"/>
      <c r="RON280" s="1144"/>
      <c r="ROO280" s="1144"/>
      <c r="ROP280" s="1144"/>
      <c r="ROQ280" s="1144"/>
      <c r="ROR280" s="1144"/>
      <c r="ROS280" s="1144"/>
      <c r="ROT280" s="1144"/>
      <c r="ROU280" s="1144"/>
      <c r="ROV280" s="1144"/>
      <c r="ROW280" s="1144"/>
      <c r="ROX280" s="1144"/>
      <c r="ROY280" s="1144"/>
      <c r="ROZ280" s="1144"/>
      <c r="RPA280" s="1144"/>
      <c r="RPB280" s="1144"/>
      <c r="RPC280" s="1144"/>
      <c r="RPD280" s="1144"/>
      <c r="RPE280" s="1144"/>
      <c r="RPF280" s="1144"/>
      <c r="RPG280" s="1144"/>
      <c r="RPH280" s="1144"/>
      <c r="RPI280" s="1144"/>
      <c r="RPJ280" s="1144"/>
      <c r="RPK280" s="1144"/>
      <c r="RPL280" s="1144"/>
      <c r="RPM280" s="1144"/>
      <c r="RPN280" s="1144"/>
      <c r="RPO280" s="1144"/>
      <c r="RPP280" s="1144"/>
      <c r="RPQ280" s="1144"/>
      <c r="RPR280" s="1144"/>
      <c r="RPS280" s="1144"/>
      <c r="RPT280" s="1144"/>
      <c r="RPU280" s="1144"/>
      <c r="RPV280" s="1144"/>
      <c r="RPW280" s="1144"/>
      <c r="RPX280" s="1144"/>
      <c r="RPY280" s="1144"/>
      <c r="RPZ280" s="1144"/>
      <c r="RQA280" s="1144"/>
      <c r="RQB280" s="1144"/>
      <c r="RQC280" s="1144"/>
      <c r="RQD280" s="1144"/>
      <c r="RQE280" s="1144"/>
      <c r="RQF280" s="1144"/>
      <c r="RQG280" s="1144"/>
      <c r="RQH280" s="1144"/>
      <c r="RQI280" s="1144"/>
      <c r="RQJ280" s="1144"/>
      <c r="RQK280" s="1144"/>
      <c r="RQL280" s="1144"/>
      <c r="RQM280" s="1144"/>
      <c r="RQN280" s="1144"/>
      <c r="RQO280" s="1144"/>
      <c r="RQP280" s="1144"/>
      <c r="RQQ280" s="1144"/>
      <c r="RQR280" s="1144"/>
      <c r="RQS280" s="1144"/>
      <c r="RQT280" s="1144"/>
      <c r="RQU280" s="1144"/>
      <c r="RQV280" s="1144"/>
      <c r="RQW280" s="1144"/>
      <c r="RQX280" s="1144"/>
      <c r="RQY280" s="1144"/>
      <c r="RQZ280" s="1144"/>
      <c r="RRA280" s="1144"/>
      <c r="RRB280" s="1144"/>
      <c r="RRC280" s="1144"/>
      <c r="RRD280" s="1144"/>
      <c r="RRE280" s="1144"/>
      <c r="RRF280" s="1144"/>
      <c r="RRG280" s="1144"/>
      <c r="RRH280" s="1144"/>
      <c r="RRI280" s="1144"/>
      <c r="RRJ280" s="1144"/>
      <c r="RRK280" s="1144"/>
      <c r="RRL280" s="1144"/>
      <c r="RRM280" s="1144"/>
      <c r="RRN280" s="1144"/>
      <c r="RRO280" s="1144"/>
      <c r="RRP280" s="1144"/>
      <c r="RRQ280" s="1144"/>
      <c r="RRR280" s="1144"/>
      <c r="RRS280" s="1144"/>
      <c r="RRT280" s="1144"/>
      <c r="RRU280" s="1144"/>
      <c r="RRV280" s="1144"/>
      <c r="RRW280" s="1144"/>
      <c r="RRX280" s="1144"/>
      <c r="RRY280" s="1144"/>
      <c r="RRZ280" s="1144"/>
      <c r="RSA280" s="1144"/>
      <c r="RSB280" s="1144"/>
      <c r="RSC280" s="1144"/>
      <c r="RSD280" s="1144"/>
      <c r="RSE280" s="1144"/>
      <c r="RSF280" s="1144"/>
      <c r="RSG280" s="1144"/>
      <c r="RSH280" s="1144"/>
      <c r="RSI280" s="1144"/>
      <c r="RSJ280" s="1144"/>
      <c r="RSK280" s="1144"/>
      <c r="RSL280" s="1144"/>
      <c r="RSM280" s="1144"/>
      <c r="RSN280" s="1144"/>
      <c r="RSO280" s="1144"/>
      <c r="RSP280" s="1144"/>
      <c r="RSQ280" s="1144"/>
      <c r="RSR280" s="1144"/>
      <c r="RSS280" s="1144"/>
      <c r="RST280" s="1144"/>
      <c r="RSU280" s="1144"/>
      <c r="RSV280" s="1144"/>
      <c r="RSW280" s="1144"/>
      <c r="RSX280" s="1144"/>
      <c r="RSY280" s="1144"/>
      <c r="RSZ280" s="1144"/>
      <c r="RTA280" s="1144"/>
      <c r="RTB280" s="1144"/>
      <c r="RTC280" s="1144"/>
      <c r="RTD280" s="1144"/>
      <c r="RTE280" s="1144"/>
      <c r="RTF280" s="1144"/>
      <c r="RTG280" s="1144"/>
      <c r="RTH280" s="1144"/>
      <c r="RTI280" s="1144"/>
      <c r="RTJ280" s="1144"/>
      <c r="RTK280" s="1144"/>
      <c r="RTL280" s="1144"/>
      <c r="RTM280" s="1144"/>
      <c r="RTN280" s="1144"/>
      <c r="RTO280" s="1144"/>
      <c r="RTP280" s="1144"/>
      <c r="RTQ280" s="1144"/>
      <c r="RTR280" s="1144"/>
      <c r="RTS280" s="1144"/>
      <c r="RTT280" s="1144"/>
      <c r="RTU280" s="1144"/>
      <c r="RTV280" s="1144"/>
      <c r="RTW280" s="1144"/>
      <c r="RTX280" s="1144"/>
      <c r="RTY280" s="1144"/>
      <c r="RTZ280" s="1144"/>
      <c r="RUA280" s="1144"/>
      <c r="RUB280" s="1144"/>
      <c r="RUC280" s="1144"/>
      <c r="RUD280" s="1144"/>
      <c r="RUE280" s="1144"/>
      <c r="RUF280" s="1144"/>
      <c r="RUG280" s="1144"/>
      <c r="RUH280" s="1144"/>
      <c r="RUI280" s="1144"/>
      <c r="RUJ280" s="1144"/>
      <c r="RUK280" s="1144"/>
      <c r="RUL280" s="1144"/>
      <c r="RUM280" s="1144"/>
      <c r="RUN280" s="1144"/>
      <c r="RUO280" s="1144"/>
      <c r="RUP280" s="1144"/>
      <c r="RUQ280" s="1144"/>
      <c r="RUR280" s="1144"/>
      <c r="RUS280" s="1144"/>
      <c r="RUT280" s="1144"/>
      <c r="RUU280" s="1144"/>
      <c r="RUV280" s="1144"/>
      <c r="RUW280" s="1144"/>
      <c r="RUX280" s="1144"/>
      <c r="RUY280" s="1144"/>
      <c r="RUZ280" s="1144"/>
      <c r="RVA280" s="1144"/>
      <c r="RVB280" s="1144"/>
      <c r="RVC280" s="1144"/>
      <c r="RVD280" s="1144"/>
      <c r="RVE280" s="1144"/>
      <c r="RVF280" s="1144"/>
      <c r="RVG280" s="1144"/>
      <c r="RVH280" s="1144"/>
      <c r="RVI280" s="1144"/>
      <c r="RVJ280" s="1144"/>
      <c r="RVK280" s="1144"/>
      <c r="RVL280" s="1144"/>
      <c r="RVM280" s="1144"/>
      <c r="RVN280" s="1144"/>
      <c r="RVO280" s="1144"/>
      <c r="RVP280" s="1144"/>
      <c r="RVQ280" s="1144"/>
      <c r="RVR280" s="1144"/>
      <c r="RVS280" s="1144"/>
      <c r="RVT280" s="1144"/>
      <c r="RVU280" s="1144"/>
      <c r="RVV280" s="1144"/>
      <c r="RVW280" s="1144"/>
      <c r="RVX280" s="1144"/>
      <c r="RVY280" s="1144"/>
      <c r="RVZ280" s="1144"/>
      <c r="RWA280" s="1144"/>
      <c r="RWB280" s="1144"/>
      <c r="RWC280" s="1144"/>
      <c r="RWD280" s="1144"/>
      <c r="RWE280" s="1144"/>
      <c r="RWF280" s="1144"/>
      <c r="RWG280" s="1144"/>
      <c r="RWH280" s="1144"/>
      <c r="RWI280" s="1144"/>
      <c r="RWJ280" s="1144"/>
      <c r="RWK280" s="1144"/>
      <c r="RWL280" s="1144"/>
      <c r="RWM280" s="1144"/>
      <c r="RWN280" s="1144"/>
      <c r="RWO280" s="1144"/>
      <c r="RWP280" s="1144"/>
      <c r="RWQ280" s="1144"/>
      <c r="RWR280" s="1144"/>
      <c r="RWS280" s="1144"/>
      <c r="RWT280" s="1144"/>
      <c r="RWU280" s="1144"/>
      <c r="RWV280" s="1144"/>
      <c r="RWW280" s="1144"/>
      <c r="RWX280" s="1144"/>
      <c r="RWY280" s="1144"/>
      <c r="RWZ280" s="1144"/>
      <c r="RXA280" s="1144"/>
      <c r="RXB280" s="1144"/>
      <c r="RXC280" s="1144"/>
      <c r="RXD280" s="1144"/>
      <c r="RXE280" s="1144"/>
      <c r="RXF280" s="1144"/>
      <c r="RXG280" s="1144"/>
      <c r="RXH280" s="1144"/>
      <c r="RXI280" s="1144"/>
      <c r="RXJ280" s="1144"/>
      <c r="RXK280" s="1144"/>
      <c r="RXL280" s="1144"/>
      <c r="RXM280" s="1144"/>
      <c r="RXN280" s="1144"/>
      <c r="RXO280" s="1144"/>
      <c r="RXP280" s="1144"/>
      <c r="RXQ280" s="1144"/>
      <c r="RXR280" s="1144"/>
      <c r="RXS280" s="1144"/>
      <c r="RXT280" s="1144"/>
      <c r="RXU280" s="1144"/>
      <c r="RXV280" s="1144"/>
      <c r="RXW280" s="1144"/>
      <c r="RXX280" s="1144"/>
      <c r="RXY280" s="1144"/>
      <c r="RXZ280" s="1144"/>
      <c r="RYA280" s="1144"/>
      <c r="RYB280" s="1144"/>
      <c r="RYC280" s="1144"/>
      <c r="RYD280" s="1144"/>
      <c r="RYE280" s="1144"/>
      <c r="RYF280" s="1144"/>
      <c r="RYG280" s="1144"/>
      <c r="RYH280" s="1144"/>
      <c r="RYI280" s="1144"/>
      <c r="RYJ280" s="1144"/>
      <c r="RYK280" s="1144"/>
      <c r="RYL280" s="1144"/>
      <c r="RYM280" s="1144"/>
      <c r="RYN280" s="1144"/>
      <c r="RYO280" s="1144"/>
      <c r="RYP280" s="1144"/>
      <c r="RYQ280" s="1144"/>
      <c r="RYR280" s="1144"/>
      <c r="RYS280" s="1144"/>
      <c r="RYT280" s="1144"/>
      <c r="RYU280" s="1144"/>
      <c r="RYV280" s="1144"/>
      <c r="RYW280" s="1144"/>
      <c r="RYX280" s="1144"/>
      <c r="RYY280" s="1144"/>
      <c r="RYZ280" s="1144"/>
      <c r="RZA280" s="1144"/>
      <c r="RZB280" s="1144"/>
      <c r="RZC280" s="1144"/>
      <c r="RZD280" s="1144"/>
      <c r="RZE280" s="1144"/>
      <c r="RZF280" s="1144"/>
      <c r="RZG280" s="1144"/>
      <c r="RZH280" s="1144"/>
      <c r="RZI280" s="1144"/>
      <c r="RZJ280" s="1144"/>
      <c r="RZK280" s="1144"/>
      <c r="RZL280" s="1144"/>
      <c r="RZM280" s="1144"/>
      <c r="RZN280" s="1144"/>
      <c r="RZO280" s="1144"/>
      <c r="RZP280" s="1144"/>
      <c r="RZQ280" s="1144"/>
      <c r="RZR280" s="1144"/>
      <c r="RZS280" s="1144"/>
      <c r="RZT280" s="1144"/>
      <c r="RZU280" s="1144"/>
      <c r="RZV280" s="1144"/>
      <c r="RZW280" s="1144"/>
      <c r="RZX280" s="1144"/>
      <c r="RZY280" s="1144"/>
      <c r="RZZ280" s="1144"/>
      <c r="SAA280" s="1144"/>
      <c r="SAB280" s="1144"/>
      <c r="SAC280" s="1144"/>
      <c r="SAD280" s="1144"/>
      <c r="SAE280" s="1144"/>
      <c r="SAF280" s="1144"/>
      <c r="SAG280" s="1144"/>
      <c r="SAH280" s="1144"/>
      <c r="SAI280" s="1144"/>
      <c r="SAJ280" s="1144"/>
      <c r="SAK280" s="1144"/>
      <c r="SAL280" s="1144"/>
      <c r="SAM280" s="1144"/>
      <c r="SAN280" s="1144"/>
      <c r="SAO280" s="1144"/>
      <c r="SAP280" s="1144"/>
      <c r="SAQ280" s="1144"/>
      <c r="SAR280" s="1144"/>
      <c r="SAS280" s="1144"/>
      <c r="SAT280" s="1144"/>
      <c r="SAU280" s="1144"/>
      <c r="SAV280" s="1144"/>
      <c r="SAW280" s="1144"/>
      <c r="SAX280" s="1144"/>
      <c r="SAY280" s="1144"/>
      <c r="SAZ280" s="1144"/>
      <c r="SBA280" s="1144"/>
      <c r="SBB280" s="1144"/>
      <c r="SBC280" s="1144"/>
      <c r="SBD280" s="1144"/>
      <c r="SBE280" s="1144"/>
      <c r="SBF280" s="1144"/>
      <c r="SBG280" s="1144"/>
      <c r="SBH280" s="1144"/>
      <c r="SBI280" s="1144"/>
      <c r="SBJ280" s="1144"/>
      <c r="SBK280" s="1144"/>
      <c r="SBL280" s="1144"/>
      <c r="SBM280" s="1144"/>
      <c r="SBN280" s="1144"/>
      <c r="SBO280" s="1144"/>
      <c r="SBP280" s="1144"/>
      <c r="SBQ280" s="1144"/>
      <c r="SBR280" s="1144"/>
      <c r="SBS280" s="1144"/>
      <c r="SBT280" s="1144"/>
      <c r="SBU280" s="1144"/>
      <c r="SBV280" s="1144"/>
      <c r="SBW280" s="1144"/>
      <c r="SBX280" s="1144"/>
      <c r="SBY280" s="1144"/>
      <c r="SBZ280" s="1144"/>
      <c r="SCA280" s="1144"/>
      <c r="SCB280" s="1144"/>
      <c r="SCC280" s="1144"/>
      <c r="SCD280" s="1144"/>
      <c r="SCE280" s="1144"/>
      <c r="SCF280" s="1144"/>
      <c r="SCG280" s="1144"/>
      <c r="SCH280" s="1144"/>
      <c r="SCI280" s="1144"/>
      <c r="SCJ280" s="1144"/>
      <c r="SCK280" s="1144"/>
      <c r="SCL280" s="1144"/>
      <c r="SCM280" s="1144"/>
      <c r="SCN280" s="1144"/>
      <c r="SCO280" s="1144"/>
      <c r="SCP280" s="1144"/>
      <c r="SCQ280" s="1144"/>
      <c r="SCR280" s="1144"/>
      <c r="SCS280" s="1144"/>
      <c r="SCT280" s="1144"/>
      <c r="SCU280" s="1144"/>
      <c r="SCV280" s="1144"/>
      <c r="SCW280" s="1144"/>
      <c r="SCX280" s="1144"/>
      <c r="SCY280" s="1144"/>
      <c r="SCZ280" s="1144"/>
      <c r="SDA280" s="1144"/>
      <c r="SDB280" s="1144"/>
      <c r="SDC280" s="1144"/>
      <c r="SDD280" s="1144"/>
      <c r="SDE280" s="1144"/>
      <c r="SDF280" s="1144"/>
      <c r="SDG280" s="1144"/>
      <c r="SDH280" s="1144"/>
      <c r="SDI280" s="1144"/>
      <c r="SDJ280" s="1144"/>
      <c r="SDK280" s="1144"/>
      <c r="SDL280" s="1144"/>
      <c r="SDM280" s="1144"/>
      <c r="SDN280" s="1144"/>
      <c r="SDO280" s="1144"/>
      <c r="SDP280" s="1144"/>
      <c r="SDQ280" s="1144"/>
      <c r="SDR280" s="1144"/>
      <c r="SDS280" s="1144"/>
      <c r="SDT280" s="1144"/>
      <c r="SDU280" s="1144"/>
      <c r="SDV280" s="1144"/>
      <c r="SDW280" s="1144"/>
      <c r="SDX280" s="1144"/>
      <c r="SDY280" s="1144"/>
      <c r="SDZ280" s="1144"/>
      <c r="SEA280" s="1144"/>
      <c r="SEB280" s="1144"/>
      <c r="SEC280" s="1144"/>
      <c r="SED280" s="1144"/>
      <c r="SEE280" s="1144"/>
      <c r="SEF280" s="1144"/>
      <c r="SEG280" s="1144"/>
      <c r="SEH280" s="1144"/>
      <c r="SEI280" s="1144"/>
      <c r="SEJ280" s="1144"/>
      <c r="SEK280" s="1144"/>
      <c r="SEL280" s="1144"/>
      <c r="SEM280" s="1144"/>
      <c r="SEN280" s="1144"/>
      <c r="SEO280" s="1144"/>
      <c r="SEP280" s="1144"/>
      <c r="SEQ280" s="1144"/>
      <c r="SER280" s="1144"/>
      <c r="SES280" s="1144"/>
      <c r="SET280" s="1144"/>
      <c r="SEU280" s="1144"/>
      <c r="SEV280" s="1144"/>
      <c r="SEW280" s="1144"/>
      <c r="SEX280" s="1144"/>
      <c r="SEY280" s="1144"/>
      <c r="SEZ280" s="1144"/>
      <c r="SFA280" s="1144"/>
      <c r="SFB280" s="1144"/>
      <c r="SFC280" s="1144"/>
      <c r="SFD280" s="1144"/>
      <c r="SFE280" s="1144"/>
      <c r="SFF280" s="1144"/>
      <c r="SFG280" s="1144"/>
      <c r="SFH280" s="1144"/>
      <c r="SFI280" s="1144"/>
      <c r="SFJ280" s="1144"/>
      <c r="SFK280" s="1144"/>
      <c r="SFL280" s="1144"/>
      <c r="SFM280" s="1144"/>
      <c r="SFN280" s="1144"/>
      <c r="SFO280" s="1144"/>
      <c r="SFP280" s="1144"/>
      <c r="SFQ280" s="1144"/>
      <c r="SFR280" s="1144"/>
      <c r="SFS280" s="1144"/>
      <c r="SFT280" s="1144"/>
      <c r="SFU280" s="1144"/>
      <c r="SFV280" s="1144"/>
      <c r="SFW280" s="1144"/>
      <c r="SFX280" s="1144"/>
      <c r="SFY280" s="1144"/>
      <c r="SFZ280" s="1144"/>
      <c r="SGA280" s="1144"/>
      <c r="SGB280" s="1144"/>
      <c r="SGC280" s="1144"/>
      <c r="SGD280" s="1144"/>
      <c r="SGE280" s="1144"/>
      <c r="SGF280" s="1144"/>
      <c r="SGG280" s="1144"/>
      <c r="SGH280" s="1144"/>
      <c r="SGI280" s="1144"/>
      <c r="SGJ280" s="1144"/>
      <c r="SGK280" s="1144"/>
      <c r="SGL280" s="1144"/>
      <c r="SGM280" s="1144"/>
      <c r="SGN280" s="1144"/>
      <c r="SGO280" s="1144"/>
      <c r="SGP280" s="1144"/>
      <c r="SGQ280" s="1144"/>
      <c r="SGR280" s="1144"/>
      <c r="SGS280" s="1144"/>
      <c r="SGT280" s="1144"/>
      <c r="SGU280" s="1144"/>
      <c r="SGV280" s="1144"/>
      <c r="SGW280" s="1144"/>
      <c r="SGX280" s="1144"/>
      <c r="SGY280" s="1144"/>
      <c r="SGZ280" s="1144"/>
      <c r="SHA280" s="1144"/>
      <c r="SHB280" s="1144"/>
      <c r="SHC280" s="1144"/>
      <c r="SHD280" s="1144"/>
      <c r="SHE280" s="1144"/>
      <c r="SHF280" s="1144"/>
      <c r="SHG280" s="1144"/>
      <c r="SHH280" s="1144"/>
      <c r="SHI280" s="1144"/>
      <c r="SHJ280" s="1144"/>
      <c r="SHK280" s="1144"/>
      <c r="SHL280" s="1144"/>
      <c r="SHM280" s="1144"/>
      <c r="SHN280" s="1144"/>
      <c r="SHO280" s="1144"/>
      <c r="SHP280" s="1144"/>
      <c r="SHQ280" s="1144"/>
      <c r="SHR280" s="1144"/>
      <c r="SHS280" s="1144"/>
      <c r="SHT280" s="1144"/>
      <c r="SHU280" s="1144"/>
      <c r="SHV280" s="1144"/>
      <c r="SHW280" s="1144"/>
      <c r="SHX280" s="1144"/>
      <c r="SHY280" s="1144"/>
      <c r="SHZ280" s="1144"/>
      <c r="SIA280" s="1144"/>
      <c r="SIB280" s="1144"/>
      <c r="SIC280" s="1144"/>
      <c r="SID280" s="1144"/>
      <c r="SIE280" s="1144"/>
      <c r="SIF280" s="1144"/>
      <c r="SIG280" s="1144"/>
      <c r="SIH280" s="1144"/>
      <c r="SII280" s="1144"/>
      <c r="SIJ280" s="1144"/>
      <c r="SIK280" s="1144"/>
      <c r="SIL280" s="1144"/>
      <c r="SIM280" s="1144"/>
      <c r="SIN280" s="1144"/>
      <c r="SIO280" s="1144"/>
      <c r="SIP280" s="1144"/>
      <c r="SIQ280" s="1144"/>
      <c r="SIR280" s="1144"/>
      <c r="SIS280" s="1144"/>
      <c r="SIT280" s="1144"/>
      <c r="SIU280" s="1144"/>
      <c r="SIV280" s="1144"/>
      <c r="SIW280" s="1144"/>
      <c r="SIX280" s="1144"/>
      <c r="SIY280" s="1144"/>
      <c r="SIZ280" s="1144"/>
      <c r="SJA280" s="1144"/>
      <c r="SJB280" s="1144"/>
      <c r="SJC280" s="1144"/>
      <c r="SJD280" s="1144"/>
      <c r="SJE280" s="1144"/>
      <c r="SJF280" s="1144"/>
      <c r="SJG280" s="1144"/>
      <c r="SJH280" s="1144"/>
      <c r="SJI280" s="1144"/>
      <c r="SJJ280" s="1144"/>
      <c r="SJK280" s="1144"/>
      <c r="SJL280" s="1144"/>
      <c r="SJM280" s="1144"/>
      <c r="SJN280" s="1144"/>
      <c r="SJO280" s="1144"/>
      <c r="SJP280" s="1144"/>
      <c r="SJQ280" s="1144"/>
      <c r="SJR280" s="1144"/>
      <c r="SJS280" s="1144"/>
      <c r="SJT280" s="1144"/>
      <c r="SJU280" s="1144"/>
      <c r="SJV280" s="1144"/>
      <c r="SJW280" s="1144"/>
      <c r="SJX280" s="1144"/>
      <c r="SJY280" s="1144"/>
      <c r="SJZ280" s="1144"/>
      <c r="SKA280" s="1144"/>
      <c r="SKB280" s="1144"/>
      <c r="SKC280" s="1144"/>
      <c r="SKD280" s="1144"/>
      <c r="SKE280" s="1144"/>
      <c r="SKF280" s="1144"/>
      <c r="SKG280" s="1144"/>
      <c r="SKH280" s="1144"/>
      <c r="SKI280" s="1144"/>
      <c r="SKJ280" s="1144"/>
      <c r="SKK280" s="1144"/>
      <c r="SKL280" s="1144"/>
      <c r="SKM280" s="1144"/>
      <c r="SKN280" s="1144"/>
      <c r="SKO280" s="1144"/>
      <c r="SKP280" s="1144"/>
      <c r="SKQ280" s="1144"/>
      <c r="SKR280" s="1144"/>
      <c r="SKS280" s="1144"/>
      <c r="SKT280" s="1144"/>
      <c r="SKU280" s="1144"/>
      <c r="SKV280" s="1144"/>
      <c r="SKW280" s="1144"/>
      <c r="SKX280" s="1144"/>
      <c r="SKY280" s="1144"/>
      <c r="SKZ280" s="1144"/>
      <c r="SLA280" s="1144"/>
      <c r="SLB280" s="1144"/>
      <c r="SLC280" s="1144"/>
      <c r="SLD280" s="1144"/>
      <c r="SLE280" s="1144"/>
      <c r="SLF280" s="1144"/>
      <c r="SLG280" s="1144"/>
      <c r="SLH280" s="1144"/>
      <c r="SLI280" s="1144"/>
      <c r="SLJ280" s="1144"/>
      <c r="SLK280" s="1144"/>
      <c r="SLL280" s="1144"/>
      <c r="SLM280" s="1144"/>
      <c r="SLN280" s="1144"/>
      <c r="SLO280" s="1144"/>
      <c r="SLP280" s="1144"/>
      <c r="SLQ280" s="1144"/>
      <c r="SLR280" s="1144"/>
      <c r="SLS280" s="1144"/>
      <c r="SLT280" s="1144"/>
      <c r="SLU280" s="1144"/>
      <c r="SLV280" s="1144"/>
      <c r="SLW280" s="1144"/>
      <c r="SLX280" s="1144"/>
      <c r="SLY280" s="1144"/>
      <c r="SLZ280" s="1144"/>
      <c r="SMA280" s="1144"/>
      <c r="SMB280" s="1144"/>
      <c r="SMC280" s="1144"/>
      <c r="SMD280" s="1144"/>
      <c r="SME280" s="1144"/>
      <c r="SMF280" s="1144"/>
      <c r="SMG280" s="1144"/>
      <c r="SMH280" s="1144"/>
      <c r="SMI280" s="1144"/>
      <c r="SMJ280" s="1144"/>
      <c r="SMK280" s="1144"/>
      <c r="SML280" s="1144"/>
      <c r="SMM280" s="1144"/>
      <c r="SMN280" s="1144"/>
      <c r="SMO280" s="1144"/>
      <c r="SMP280" s="1144"/>
      <c r="SMQ280" s="1144"/>
      <c r="SMR280" s="1144"/>
      <c r="SMS280" s="1144"/>
      <c r="SMT280" s="1144"/>
      <c r="SMU280" s="1144"/>
      <c r="SMV280" s="1144"/>
      <c r="SMW280" s="1144"/>
      <c r="SMX280" s="1144"/>
      <c r="SMY280" s="1144"/>
      <c r="SMZ280" s="1144"/>
      <c r="SNA280" s="1144"/>
      <c r="SNB280" s="1144"/>
      <c r="SNC280" s="1144"/>
      <c r="SND280" s="1144"/>
      <c r="SNE280" s="1144"/>
      <c r="SNF280" s="1144"/>
      <c r="SNG280" s="1144"/>
      <c r="SNH280" s="1144"/>
      <c r="SNI280" s="1144"/>
      <c r="SNJ280" s="1144"/>
      <c r="SNK280" s="1144"/>
      <c r="SNL280" s="1144"/>
      <c r="SNM280" s="1144"/>
      <c r="SNN280" s="1144"/>
      <c r="SNO280" s="1144"/>
      <c r="SNP280" s="1144"/>
      <c r="SNQ280" s="1144"/>
      <c r="SNR280" s="1144"/>
      <c r="SNS280" s="1144"/>
      <c r="SNT280" s="1144"/>
      <c r="SNU280" s="1144"/>
      <c r="SNV280" s="1144"/>
      <c r="SNW280" s="1144"/>
      <c r="SNX280" s="1144"/>
      <c r="SNY280" s="1144"/>
      <c r="SNZ280" s="1144"/>
      <c r="SOA280" s="1144"/>
      <c r="SOB280" s="1144"/>
      <c r="SOC280" s="1144"/>
      <c r="SOD280" s="1144"/>
      <c r="SOE280" s="1144"/>
      <c r="SOF280" s="1144"/>
      <c r="SOG280" s="1144"/>
      <c r="SOH280" s="1144"/>
      <c r="SOI280" s="1144"/>
      <c r="SOJ280" s="1144"/>
      <c r="SOK280" s="1144"/>
      <c r="SOL280" s="1144"/>
      <c r="SOM280" s="1144"/>
      <c r="SON280" s="1144"/>
      <c r="SOO280" s="1144"/>
      <c r="SOP280" s="1144"/>
      <c r="SOQ280" s="1144"/>
      <c r="SOR280" s="1144"/>
      <c r="SOS280" s="1144"/>
      <c r="SOT280" s="1144"/>
      <c r="SOU280" s="1144"/>
      <c r="SOV280" s="1144"/>
      <c r="SOW280" s="1144"/>
      <c r="SOX280" s="1144"/>
      <c r="SOY280" s="1144"/>
      <c r="SOZ280" s="1144"/>
      <c r="SPA280" s="1144"/>
      <c r="SPB280" s="1144"/>
      <c r="SPC280" s="1144"/>
      <c r="SPD280" s="1144"/>
      <c r="SPE280" s="1144"/>
      <c r="SPF280" s="1144"/>
      <c r="SPG280" s="1144"/>
      <c r="SPH280" s="1144"/>
      <c r="SPI280" s="1144"/>
      <c r="SPJ280" s="1144"/>
      <c r="SPK280" s="1144"/>
      <c r="SPL280" s="1144"/>
      <c r="SPM280" s="1144"/>
      <c r="SPN280" s="1144"/>
      <c r="SPO280" s="1144"/>
      <c r="SPP280" s="1144"/>
      <c r="SPQ280" s="1144"/>
      <c r="SPR280" s="1144"/>
      <c r="SPS280" s="1144"/>
      <c r="SPT280" s="1144"/>
      <c r="SPU280" s="1144"/>
      <c r="SPV280" s="1144"/>
      <c r="SPW280" s="1144"/>
      <c r="SPX280" s="1144"/>
      <c r="SPY280" s="1144"/>
      <c r="SPZ280" s="1144"/>
      <c r="SQA280" s="1144"/>
      <c r="SQB280" s="1144"/>
      <c r="SQC280" s="1144"/>
      <c r="SQD280" s="1144"/>
      <c r="SQE280" s="1144"/>
      <c r="SQF280" s="1144"/>
      <c r="SQG280" s="1144"/>
      <c r="SQH280" s="1144"/>
      <c r="SQI280" s="1144"/>
      <c r="SQJ280" s="1144"/>
      <c r="SQK280" s="1144"/>
      <c r="SQL280" s="1144"/>
      <c r="SQM280" s="1144"/>
      <c r="SQN280" s="1144"/>
      <c r="SQO280" s="1144"/>
      <c r="SQP280" s="1144"/>
      <c r="SQQ280" s="1144"/>
      <c r="SQR280" s="1144"/>
      <c r="SQS280" s="1144"/>
      <c r="SQT280" s="1144"/>
      <c r="SQU280" s="1144"/>
      <c r="SQV280" s="1144"/>
      <c r="SQW280" s="1144"/>
      <c r="SQX280" s="1144"/>
      <c r="SQY280" s="1144"/>
      <c r="SQZ280" s="1144"/>
      <c r="SRA280" s="1144"/>
      <c r="SRB280" s="1144"/>
      <c r="SRC280" s="1144"/>
      <c r="SRD280" s="1144"/>
      <c r="SRE280" s="1144"/>
      <c r="SRF280" s="1144"/>
      <c r="SRG280" s="1144"/>
      <c r="SRH280" s="1144"/>
      <c r="SRI280" s="1144"/>
      <c r="SRJ280" s="1144"/>
      <c r="SRK280" s="1144"/>
      <c r="SRL280" s="1144"/>
      <c r="SRM280" s="1144"/>
      <c r="SRN280" s="1144"/>
      <c r="SRO280" s="1144"/>
      <c r="SRP280" s="1144"/>
      <c r="SRQ280" s="1144"/>
      <c r="SRR280" s="1144"/>
      <c r="SRS280" s="1144"/>
      <c r="SRT280" s="1144"/>
      <c r="SRU280" s="1144"/>
      <c r="SRV280" s="1144"/>
      <c r="SRW280" s="1144"/>
      <c r="SRX280" s="1144"/>
      <c r="SRY280" s="1144"/>
      <c r="SRZ280" s="1144"/>
      <c r="SSA280" s="1144"/>
      <c r="SSB280" s="1144"/>
      <c r="SSC280" s="1144"/>
      <c r="SSD280" s="1144"/>
      <c r="SSE280" s="1144"/>
      <c r="SSF280" s="1144"/>
      <c r="SSG280" s="1144"/>
      <c r="SSH280" s="1144"/>
      <c r="SSI280" s="1144"/>
      <c r="SSJ280" s="1144"/>
      <c r="SSK280" s="1144"/>
      <c r="SSL280" s="1144"/>
      <c r="SSM280" s="1144"/>
      <c r="SSN280" s="1144"/>
      <c r="SSO280" s="1144"/>
      <c r="SSP280" s="1144"/>
      <c r="SSQ280" s="1144"/>
      <c r="SSR280" s="1144"/>
      <c r="SSS280" s="1144"/>
      <c r="SST280" s="1144"/>
      <c r="SSU280" s="1144"/>
      <c r="SSV280" s="1144"/>
      <c r="SSW280" s="1144"/>
      <c r="SSX280" s="1144"/>
      <c r="SSY280" s="1144"/>
      <c r="SSZ280" s="1144"/>
      <c r="STA280" s="1144"/>
      <c r="STB280" s="1144"/>
      <c r="STC280" s="1144"/>
      <c r="STD280" s="1144"/>
      <c r="STE280" s="1144"/>
      <c r="STF280" s="1144"/>
      <c r="STG280" s="1144"/>
      <c r="STH280" s="1144"/>
      <c r="STI280" s="1144"/>
      <c r="STJ280" s="1144"/>
      <c r="STK280" s="1144"/>
      <c r="STL280" s="1144"/>
      <c r="STM280" s="1144"/>
      <c r="STN280" s="1144"/>
      <c r="STO280" s="1144"/>
      <c r="STP280" s="1144"/>
      <c r="STQ280" s="1144"/>
      <c r="STR280" s="1144"/>
      <c r="STS280" s="1144"/>
      <c r="STT280" s="1144"/>
      <c r="STU280" s="1144"/>
      <c r="STV280" s="1144"/>
      <c r="STW280" s="1144"/>
      <c r="STX280" s="1144"/>
      <c r="STY280" s="1144"/>
      <c r="STZ280" s="1144"/>
      <c r="SUA280" s="1144"/>
      <c r="SUB280" s="1144"/>
      <c r="SUC280" s="1144"/>
      <c r="SUD280" s="1144"/>
      <c r="SUE280" s="1144"/>
      <c r="SUF280" s="1144"/>
      <c r="SUG280" s="1144"/>
      <c r="SUH280" s="1144"/>
      <c r="SUI280" s="1144"/>
      <c r="SUJ280" s="1144"/>
      <c r="SUK280" s="1144"/>
      <c r="SUL280" s="1144"/>
      <c r="SUM280" s="1144"/>
      <c r="SUN280" s="1144"/>
      <c r="SUO280" s="1144"/>
      <c r="SUP280" s="1144"/>
      <c r="SUQ280" s="1144"/>
      <c r="SUR280" s="1144"/>
      <c r="SUS280" s="1144"/>
      <c r="SUT280" s="1144"/>
      <c r="SUU280" s="1144"/>
      <c r="SUV280" s="1144"/>
      <c r="SUW280" s="1144"/>
      <c r="SUX280" s="1144"/>
      <c r="SUY280" s="1144"/>
      <c r="SUZ280" s="1144"/>
      <c r="SVA280" s="1144"/>
      <c r="SVB280" s="1144"/>
      <c r="SVC280" s="1144"/>
      <c r="SVD280" s="1144"/>
      <c r="SVE280" s="1144"/>
      <c r="SVF280" s="1144"/>
      <c r="SVG280" s="1144"/>
      <c r="SVH280" s="1144"/>
      <c r="SVI280" s="1144"/>
      <c r="SVJ280" s="1144"/>
      <c r="SVK280" s="1144"/>
      <c r="SVL280" s="1144"/>
      <c r="SVM280" s="1144"/>
      <c r="SVN280" s="1144"/>
      <c r="SVO280" s="1144"/>
      <c r="SVP280" s="1144"/>
      <c r="SVQ280" s="1144"/>
      <c r="SVR280" s="1144"/>
      <c r="SVS280" s="1144"/>
      <c r="SVT280" s="1144"/>
      <c r="SVU280" s="1144"/>
      <c r="SVV280" s="1144"/>
      <c r="SVW280" s="1144"/>
      <c r="SVX280" s="1144"/>
      <c r="SVY280" s="1144"/>
      <c r="SVZ280" s="1144"/>
      <c r="SWA280" s="1144"/>
      <c r="SWB280" s="1144"/>
      <c r="SWC280" s="1144"/>
      <c r="SWD280" s="1144"/>
      <c r="SWE280" s="1144"/>
      <c r="SWF280" s="1144"/>
      <c r="SWG280" s="1144"/>
      <c r="SWH280" s="1144"/>
      <c r="SWI280" s="1144"/>
      <c r="SWJ280" s="1144"/>
      <c r="SWK280" s="1144"/>
      <c r="SWL280" s="1144"/>
      <c r="SWM280" s="1144"/>
      <c r="SWN280" s="1144"/>
      <c r="SWO280" s="1144"/>
      <c r="SWP280" s="1144"/>
      <c r="SWQ280" s="1144"/>
      <c r="SWR280" s="1144"/>
      <c r="SWS280" s="1144"/>
      <c r="SWT280" s="1144"/>
      <c r="SWU280" s="1144"/>
      <c r="SWV280" s="1144"/>
      <c r="SWW280" s="1144"/>
      <c r="SWX280" s="1144"/>
      <c r="SWY280" s="1144"/>
      <c r="SWZ280" s="1144"/>
      <c r="SXA280" s="1144"/>
      <c r="SXB280" s="1144"/>
      <c r="SXC280" s="1144"/>
      <c r="SXD280" s="1144"/>
      <c r="SXE280" s="1144"/>
      <c r="SXF280" s="1144"/>
      <c r="SXG280" s="1144"/>
      <c r="SXH280" s="1144"/>
      <c r="SXI280" s="1144"/>
      <c r="SXJ280" s="1144"/>
      <c r="SXK280" s="1144"/>
      <c r="SXL280" s="1144"/>
      <c r="SXM280" s="1144"/>
      <c r="SXN280" s="1144"/>
      <c r="SXO280" s="1144"/>
      <c r="SXP280" s="1144"/>
      <c r="SXQ280" s="1144"/>
      <c r="SXR280" s="1144"/>
      <c r="SXS280" s="1144"/>
      <c r="SXT280" s="1144"/>
      <c r="SXU280" s="1144"/>
      <c r="SXV280" s="1144"/>
      <c r="SXW280" s="1144"/>
      <c r="SXX280" s="1144"/>
      <c r="SXY280" s="1144"/>
      <c r="SXZ280" s="1144"/>
      <c r="SYA280" s="1144"/>
      <c r="SYB280" s="1144"/>
      <c r="SYC280" s="1144"/>
      <c r="SYD280" s="1144"/>
      <c r="SYE280" s="1144"/>
      <c r="SYF280" s="1144"/>
      <c r="SYG280" s="1144"/>
      <c r="SYH280" s="1144"/>
      <c r="SYI280" s="1144"/>
      <c r="SYJ280" s="1144"/>
      <c r="SYK280" s="1144"/>
      <c r="SYL280" s="1144"/>
      <c r="SYM280" s="1144"/>
      <c r="SYN280" s="1144"/>
      <c r="SYO280" s="1144"/>
      <c r="SYP280" s="1144"/>
      <c r="SYQ280" s="1144"/>
      <c r="SYR280" s="1144"/>
      <c r="SYS280" s="1144"/>
      <c r="SYT280" s="1144"/>
      <c r="SYU280" s="1144"/>
      <c r="SYV280" s="1144"/>
      <c r="SYW280" s="1144"/>
      <c r="SYX280" s="1144"/>
      <c r="SYY280" s="1144"/>
      <c r="SYZ280" s="1144"/>
      <c r="SZA280" s="1144"/>
      <c r="SZB280" s="1144"/>
      <c r="SZC280" s="1144"/>
      <c r="SZD280" s="1144"/>
      <c r="SZE280" s="1144"/>
      <c r="SZF280" s="1144"/>
      <c r="SZG280" s="1144"/>
      <c r="SZH280" s="1144"/>
      <c r="SZI280" s="1144"/>
      <c r="SZJ280" s="1144"/>
      <c r="SZK280" s="1144"/>
      <c r="SZL280" s="1144"/>
      <c r="SZM280" s="1144"/>
      <c r="SZN280" s="1144"/>
      <c r="SZO280" s="1144"/>
      <c r="SZP280" s="1144"/>
      <c r="SZQ280" s="1144"/>
      <c r="SZR280" s="1144"/>
      <c r="SZS280" s="1144"/>
      <c r="SZT280" s="1144"/>
      <c r="SZU280" s="1144"/>
      <c r="SZV280" s="1144"/>
      <c r="SZW280" s="1144"/>
      <c r="SZX280" s="1144"/>
      <c r="SZY280" s="1144"/>
      <c r="SZZ280" s="1144"/>
      <c r="TAA280" s="1144"/>
      <c r="TAB280" s="1144"/>
      <c r="TAC280" s="1144"/>
      <c r="TAD280" s="1144"/>
      <c r="TAE280" s="1144"/>
      <c r="TAF280" s="1144"/>
      <c r="TAG280" s="1144"/>
      <c r="TAH280" s="1144"/>
      <c r="TAI280" s="1144"/>
      <c r="TAJ280" s="1144"/>
      <c r="TAK280" s="1144"/>
      <c r="TAL280" s="1144"/>
      <c r="TAM280" s="1144"/>
      <c r="TAN280" s="1144"/>
      <c r="TAO280" s="1144"/>
      <c r="TAP280" s="1144"/>
      <c r="TAQ280" s="1144"/>
      <c r="TAR280" s="1144"/>
      <c r="TAS280" s="1144"/>
      <c r="TAT280" s="1144"/>
      <c r="TAU280" s="1144"/>
      <c r="TAV280" s="1144"/>
      <c r="TAW280" s="1144"/>
      <c r="TAX280" s="1144"/>
      <c r="TAY280" s="1144"/>
      <c r="TAZ280" s="1144"/>
      <c r="TBA280" s="1144"/>
      <c r="TBB280" s="1144"/>
      <c r="TBC280" s="1144"/>
      <c r="TBD280" s="1144"/>
      <c r="TBE280" s="1144"/>
      <c r="TBF280" s="1144"/>
      <c r="TBG280" s="1144"/>
      <c r="TBH280" s="1144"/>
      <c r="TBI280" s="1144"/>
      <c r="TBJ280" s="1144"/>
      <c r="TBK280" s="1144"/>
      <c r="TBL280" s="1144"/>
      <c r="TBM280" s="1144"/>
      <c r="TBN280" s="1144"/>
      <c r="TBO280" s="1144"/>
      <c r="TBP280" s="1144"/>
      <c r="TBQ280" s="1144"/>
      <c r="TBR280" s="1144"/>
      <c r="TBS280" s="1144"/>
      <c r="TBT280" s="1144"/>
      <c r="TBU280" s="1144"/>
      <c r="TBV280" s="1144"/>
      <c r="TBW280" s="1144"/>
      <c r="TBX280" s="1144"/>
      <c r="TBY280" s="1144"/>
      <c r="TBZ280" s="1144"/>
      <c r="TCA280" s="1144"/>
      <c r="TCB280" s="1144"/>
      <c r="TCC280" s="1144"/>
      <c r="TCD280" s="1144"/>
      <c r="TCE280" s="1144"/>
      <c r="TCF280" s="1144"/>
      <c r="TCG280" s="1144"/>
      <c r="TCH280" s="1144"/>
      <c r="TCI280" s="1144"/>
      <c r="TCJ280" s="1144"/>
      <c r="TCK280" s="1144"/>
      <c r="TCL280" s="1144"/>
      <c r="TCM280" s="1144"/>
      <c r="TCN280" s="1144"/>
      <c r="TCO280" s="1144"/>
      <c r="TCP280" s="1144"/>
      <c r="TCQ280" s="1144"/>
      <c r="TCR280" s="1144"/>
      <c r="TCS280" s="1144"/>
      <c r="TCT280" s="1144"/>
      <c r="TCU280" s="1144"/>
      <c r="TCV280" s="1144"/>
      <c r="TCW280" s="1144"/>
      <c r="TCX280" s="1144"/>
      <c r="TCY280" s="1144"/>
      <c r="TCZ280" s="1144"/>
      <c r="TDA280" s="1144"/>
      <c r="TDB280" s="1144"/>
      <c r="TDC280" s="1144"/>
      <c r="TDD280" s="1144"/>
      <c r="TDE280" s="1144"/>
      <c r="TDF280" s="1144"/>
      <c r="TDG280" s="1144"/>
      <c r="TDH280" s="1144"/>
      <c r="TDI280" s="1144"/>
      <c r="TDJ280" s="1144"/>
      <c r="TDK280" s="1144"/>
      <c r="TDL280" s="1144"/>
      <c r="TDM280" s="1144"/>
      <c r="TDN280" s="1144"/>
      <c r="TDO280" s="1144"/>
      <c r="TDP280" s="1144"/>
      <c r="TDQ280" s="1144"/>
      <c r="TDR280" s="1144"/>
      <c r="TDS280" s="1144"/>
      <c r="TDT280" s="1144"/>
      <c r="TDU280" s="1144"/>
      <c r="TDV280" s="1144"/>
      <c r="TDW280" s="1144"/>
      <c r="TDX280" s="1144"/>
      <c r="TDY280" s="1144"/>
      <c r="TDZ280" s="1144"/>
      <c r="TEA280" s="1144"/>
      <c r="TEB280" s="1144"/>
      <c r="TEC280" s="1144"/>
      <c r="TED280" s="1144"/>
      <c r="TEE280" s="1144"/>
      <c r="TEF280" s="1144"/>
      <c r="TEG280" s="1144"/>
      <c r="TEH280" s="1144"/>
      <c r="TEI280" s="1144"/>
      <c r="TEJ280" s="1144"/>
      <c r="TEK280" s="1144"/>
      <c r="TEL280" s="1144"/>
      <c r="TEM280" s="1144"/>
      <c r="TEN280" s="1144"/>
      <c r="TEO280" s="1144"/>
      <c r="TEP280" s="1144"/>
      <c r="TEQ280" s="1144"/>
      <c r="TER280" s="1144"/>
      <c r="TES280" s="1144"/>
      <c r="TET280" s="1144"/>
      <c r="TEU280" s="1144"/>
      <c r="TEV280" s="1144"/>
      <c r="TEW280" s="1144"/>
      <c r="TEX280" s="1144"/>
      <c r="TEY280" s="1144"/>
      <c r="TEZ280" s="1144"/>
      <c r="TFA280" s="1144"/>
      <c r="TFB280" s="1144"/>
      <c r="TFC280" s="1144"/>
      <c r="TFD280" s="1144"/>
      <c r="TFE280" s="1144"/>
      <c r="TFF280" s="1144"/>
      <c r="TFG280" s="1144"/>
      <c r="TFH280" s="1144"/>
      <c r="TFI280" s="1144"/>
      <c r="TFJ280" s="1144"/>
      <c r="TFK280" s="1144"/>
      <c r="TFL280" s="1144"/>
      <c r="TFM280" s="1144"/>
      <c r="TFN280" s="1144"/>
      <c r="TFO280" s="1144"/>
      <c r="TFP280" s="1144"/>
      <c r="TFQ280" s="1144"/>
      <c r="TFR280" s="1144"/>
      <c r="TFS280" s="1144"/>
      <c r="TFT280" s="1144"/>
      <c r="TFU280" s="1144"/>
      <c r="TFV280" s="1144"/>
      <c r="TFW280" s="1144"/>
      <c r="TFX280" s="1144"/>
      <c r="TFY280" s="1144"/>
      <c r="TFZ280" s="1144"/>
      <c r="TGA280" s="1144"/>
      <c r="TGB280" s="1144"/>
      <c r="TGC280" s="1144"/>
      <c r="TGD280" s="1144"/>
      <c r="TGE280" s="1144"/>
      <c r="TGF280" s="1144"/>
      <c r="TGG280" s="1144"/>
      <c r="TGH280" s="1144"/>
      <c r="TGI280" s="1144"/>
      <c r="TGJ280" s="1144"/>
      <c r="TGK280" s="1144"/>
      <c r="TGL280" s="1144"/>
      <c r="TGM280" s="1144"/>
      <c r="TGN280" s="1144"/>
      <c r="TGO280" s="1144"/>
      <c r="TGP280" s="1144"/>
      <c r="TGQ280" s="1144"/>
      <c r="TGR280" s="1144"/>
      <c r="TGS280" s="1144"/>
      <c r="TGT280" s="1144"/>
      <c r="TGU280" s="1144"/>
      <c r="TGV280" s="1144"/>
      <c r="TGW280" s="1144"/>
      <c r="TGX280" s="1144"/>
      <c r="TGY280" s="1144"/>
      <c r="TGZ280" s="1144"/>
      <c r="THA280" s="1144"/>
      <c r="THB280" s="1144"/>
      <c r="THC280" s="1144"/>
      <c r="THD280" s="1144"/>
      <c r="THE280" s="1144"/>
      <c r="THF280" s="1144"/>
      <c r="THG280" s="1144"/>
      <c r="THH280" s="1144"/>
      <c r="THI280" s="1144"/>
      <c r="THJ280" s="1144"/>
      <c r="THK280" s="1144"/>
      <c r="THL280" s="1144"/>
      <c r="THM280" s="1144"/>
      <c r="THN280" s="1144"/>
      <c r="THO280" s="1144"/>
      <c r="THP280" s="1144"/>
      <c r="THQ280" s="1144"/>
      <c r="THR280" s="1144"/>
      <c r="THS280" s="1144"/>
      <c r="THT280" s="1144"/>
      <c r="THU280" s="1144"/>
      <c r="THV280" s="1144"/>
      <c r="THW280" s="1144"/>
      <c r="THX280" s="1144"/>
      <c r="THY280" s="1144"/>
      <c r="THZ280" s="1144"/>
      <c r="TIA280" s="1144"/>
      <c r="TIB280" s="1144"/>
      <c r="TIC280" s="1144"/>
      <c r="TID280" s="1144"/>
      <c r="TIE280" s="1144"/>
      <c r="TIF280" s="1144"/>
      <c r="TIG280" s="1144"/>
      <c r="TIH280" s="1144"/>
      <c r="TII280" s="1144"/>
      <c r="TIJ280" s="1144"/>
      <c r="TIK280" s="1144"/>
      <c r="TIL280" s="1144"/>
      <c r="TIM280" s="1144"/>
      <c r="TIN280" s="1144"/>
      <c r="TIO280" s="1144"/>
      <c r="TIP280" s="1144"/>
      <c r="TIQ280" s="1144"/>
      <c r="TIR280" s="1144"/>
      <c r="TIS280" s="1144"/>
      <c r="TIT280" s="1144"/>
      <c r="TIU280" s="1144"/>
      <c r="TIV280" s="1144"/>
      <c r="TIW280" s="1144"/>
      <c r="TIX280" s="1144"/>
      <c r="TIY280" s="1144"/>
      <c r="TIZ280" s="1144"/>
      <c r="TJA280" s="1144"/>
      <c r="TJB280" s="1144"/>
      <c r="TJC280" s="1144"/>
      <c r="TJD280" s="1144"/>
      <c r="TJE280" s="1144"/>
      <c r="TJF280" s="1144"/>
      <c r="TJG280" s="1144"/>
      <c r="TJH280" s="1144"/>
      <c r="TJI280" s="1144"/>
      <c r="TJJ280" s="1144"/>
      <c r="TJK280" s="1144"/>
      <c r="TJL280" s="1144"/>
      <c r="TJM280" s="1144"/>
      <c r="TJN280" s="1144"/>
      <c r="TJO280" s="1144"/>
      <c r="TJP280" s="1144"/>
      <c r="TJQ280" s="1144"/>
      <c r="TJR280" s="1144"/>
      <c r="TJS280" s="1144"/>
      <c r="TJT280" s="1144"/>
      <c r="TJU280" s="1144"/>
      <c r="TJV280" s="1144"/>
      <c r="TJW280" s="1144"/>
      <c r="TJX280" s="1144"/>
      <c r="TJY280" s="1144"/>
      <c r="TJZ280" s="1144"/>
      <c r="TKA280" s="1144"/>
      <c r="TKB280" s="1144"/>
      <c r="TKC280" s="1144"/>
      <c r="TKD280" s="1144"/>
      <c r="TKE280" s="1144"/>
      <c r="TKF280" s="1144"/>
      <c r="TKG280" s="1144"/>
      <c r="TKH280" s="1144"/>
      <c r="TKI280" s="1144"/>
      <c r="TKJ280" s="1144"/>
      <c r="TKK280" s="1144"/>
      <c r="TKL280" s="1144"/>
      <c r="TKM280" s="1144"/>
      <c r="TKN280" s="1144"/>
      <c r="TKO280" s="1144"/>
      <c r="TKP280" s="1144"/>
      <c r="TKQ280" s="1144"/>
      <c r="TKR280" s="1144"/>
      <c r="TKS280" s="1144"/>
      <c r="TKT280" s="1144"/>
      <c r="TKU280" s="1144"/>
      <c r="TKV280" s="1144"/>
      <c r="TKW280" s="1144"/>
      <c r="TKX280" s="1144"/>
      <c r="TKY280" s="1144"/>
      <c r="TKZ280" s="1144"/>
      <c r="TLA280" s="1144"/>
      <c r="TLB280" s="1144"/>
      <c r="TLC280" s="1144"/>
      <c r="TLD280" s="1144"/>
      <c r="TLE280" s="1144"/>
      <c r="TLF280" s="1144"/>
      <c r="TLG280" s="1144"/>
      <c r="TLH280" s="1144"/>
      <c r="TLI280" s="1144"/>
      <c r="TLJ280" s="1144"/>
      <c r="TLK280" s="1144"/>
      <c r="TLL280" s="1144"/>
      <c r="TLM280" s="1144"/>
      <c r="TLN280" s="1144"/>
      <c r="TLO280" s="1144"/>
      <c r="TLP280" s="1144"/>
      <c r="TLQ280" s="1144"/>
      <c r="TLR280" s="1144"/>
      <c r="TLS280" s="1144"/>
      <c r="TLT280" s="1144"/>
      <c r="TLU280" s="1144"/>
      <c r="TLV280" s="1144"/>
      <c r="TLW280" s="1144"/>
      <c r="TLX280" s="1144"/>
      <c r="TLY280" s="1144"/>
      <c r="TLZ280" s="1144"/>
      <c r="TMA280" s="1144"/>
      <c r="TMB280" s="1144"/>
      <c r="TMC280" s="1144"/>
      <c r="TMD280" s="1144"/>
      <c r="TME280" s="1144"/>
      <c r="TMF280" s="1144"/>
      <c r="TMG280" s="1144"/>
      <c r="TMH280" s="1144"/>
      <c r="TMI280" s="1144"/>
      <c r="TMJ280" s="1144"/>
      <c r="TMK280" s="1144"/>
      <c r="TML280" s="1144"/>
      <c r="TMM280" s="1144"/>
      <c r="TMN280" s="1144"/>
      <c r="TMO280" s="1144"/>
      <c r="TMP280" s="1144"/>
      <c r="TMQ280" s="1144"/>
      <c r="TMR280" s="1144"/>
      <c r="TMS280" s="1144"/>
      <c r="TMT280" s="1144"/>
      <c r="TMU280" s="1144"/>
      <c r="TMV280" s="1144"/>
      <c r="TMW280" s="1144"/>
      <c r="TMX280" s="1144"/>
      <c r="TMY280" s="1144"/>
      <c r="TMZ280" s="1144"/>
      <c r="TNA280" s="1144"/>
      <c r="TNB280" s="1144"/>
      <c r="TNC280" s="1144"/>
      <c r="TND280" s="1144"/>
      <c r="TNE280" s="1144"/>
      <c r="TNF280" s="1144"/>
      <c r="TNG280" s="1144"/>
      <c r="TNH280" s="1144"/>
      <c r="TNI280" s="1144"/>
      <c r="TNJ280" s="1144"/>
      <c r="TNK280" s="1144"/>
      <c r="TNL280" s="1144"/>
      <c r="TNM280" s="1144"/>
      <c r="TNN280" s="1144"/>
      <c r="TNO280" s="1144"/>
      <c r="TNP280" s="1144"/>
      <c r="TNQ280" s="1144"/>
      <c r="TNR280" s="1144"/>
      <c r="TNS280" s="1144"/>
      <c r="TNT280" s="1144"/>
      <c r="TNU280" s="1144"/>
      <c r="TNV280" s="1144"/>
      <c r="TNW280" s="1144"/>
      <c r="TNX280" s="1144"/>
      <c r="TNY280" s="1144"/>
      <c r="TNZ280" s="1144"/>
      <c r="TOA280" s="1144"/>
      <c r="TOB280" s="1144"/>
      <c r="TOC280" s="1144"/>
      <c r="TOD280" s="1144"/>
      <c r="TOE280" s="1144"/>
      <c r="TOF280" s="1144"/>
      <c r="TOG280" s="1144"/>
      <c r="TOH280" s="1144"/>
      <c r="TOI280" s="1144"/>
      <c r="TOJ280" s="1144"/>
      <c r="TOK280" s="1144"/>
      <c r="TOL280" s="1144"/>
      <c r="TOM280" s="1144"/>
      <c r="TON280" s="1144"/>
      <c r="TOO280" s="1144"/>
      <c r="TOP280" s="1144"/>
      <c r="TOQ280" s="1144"/>
      <c r="TOR280" s="1144"/>
      <c r="TOS280" s="1144"/>
      <c r="TOT280" s="1144"/>
      <c r="TOU280" s="1144"/>
      <c r="TOV280" s="1144"/>
      <c r="TOW280" s="1144"/>
      <c r="TOX280" s="1144"/>
      <c r="TOY280" s="1144"/>
      <c r="TOZ280" s="1144"/>
      <c r="TPA280" s="1144"/>
      <c r="TPB280" s="1144"/>
      <c r="TPC280" s="1144"/>
      <c r="TPD280" s="1144"/>
      <c r="TPE280" s="1144"/>
      <c r="TPF280" s="1144"/>
      <c r="TPG280" s="1144"/>
      <c r="TPH280" s="1144"/>
      <c r="TPI280" s="1144"/>
      <c r="TPJ280" s="1144"/>
      <c r="TPK280" s="1144"/>
      <c r="TPL280" s="1144"/>
      <c r="TPM280" s="1144"/>
      <c r="TPN280" s="1144"/>
      <c r="TPO280" s="1144"/>
      <c r="TPP280" s="1144"/>
      <c r="TPQ280" s="1144"/>
      <c r="TPR280" s="1144"/>
      <c r="TPS280" s="1144"/>
      <c r="TPT280" s="1144"/>
      <c r="TPU280" s="1144"/>
      <c r="TPV280" s="1144"/>
      <c r="TPW280" s="1144"/>
      <c r="TPX280" s="1144"/>
      <c r="TPY280" s="1144"/>
      <c r="TPZ280" s="1144"/>
      <c r="TQA280" s="1144"/>
      <c r="TQB280" s="1144"/>
      <c r="TQC280" s="1144"/>
      <c r="TQD280" s="1144"/>
      <c r="TQE280" s="1144"/>
      <c r="TQF280" s="1144"/>
      <c r="TQG280" s="1144"/>
      <c r="TQH280" s="1144"/>
      <c r="TQI280" s="1144"/>
      <c r="TQJ280" s="1144"/>
      <c r="TQK280" s="1144"/>
      <c r="TQL280" s="1144"/>
      <c r="TQM280" s="1144"/>
      <c r="TQN280" s="1144"/>
      <c r="TQO280" s="1144"/>
      <c r="TQP280" s="1144"/>
      <c r="TQQ280" s="1144"/>
      <c r="TQR280" s="1144"/>
      <c r="TQS280" s="1144"/>
      <c r="TQT280" s="1144"/>
      <c r="TQU280" s="1144"/>
      <c r="TQV280" s="1144"/>
      <c r="TQW280" s="1144"/>
      <c r="TQX280" s="1144"/>
      <c r="TQY280" s="1144"/>
      <c r="TQZ280" s="1144"/>
      <c r="TRA280" s="1144"/>
      <c r="TRB280" s="1144"/>
      <c r="TRC280" s="1144"/>
      <c r="TRD280" s="1144"/>
      <c r="TRE280" s="1144"/>
      <c r="TRF280" s="1144"/>
      <c r="TRG280" s="1144"/>
      <c r="TRH280" s="1144"/>
      <c r="TRI280" s="1144"/>
      <c r="TRJ280" s="1144"/>
      <c r="TRK280" s="1144"/>
      <c r="TRL280" s="1144"/>
      <c r="TRM280" s="1144"/>
      <c r="TRN280" s="1144"/>
      <c r="TRO280" s="1144"/>
      <c r="TRP280" s="1144"/>
      <c r="TRQ280" s="1144"/>
      <c r="TRR280" s="1144"/>
      <c r="TRS280" s="1144"/>
      <c r="TRT280" s="1144"/>
      <c r="TRU280" s="1144"/>
      <c r="TRV280" s="1144"/>
      <c r="TRW280" s="1144"/>
      <c r="TRX280" s="1144"/>
      <c r="TRY280" s="1144"/>
      <c r="TRZ280" s="1144"/>
      <c r="TSA280" s="1144"/>
      <c r="TSB280" s="1144"/>
      <c r="TSC280" s="1144"/>
      <c r="TSD280" s="1144"/>
      <c r="TSE280" s="1144"/>
      <c r="TSF280" s="1144"/>
      <c r="TSG280" s="1144"/>
      <c r="TSH280" s="1144"/>
      <c r="TSI280" s="1144"/>
      <c r="TSJ280" s="1144"/>
      <c r="TSK280" s="1144"/>
      <c r="TSL280" s="1144"/>
      <c r="TSM280" s="1144"/>
      <c r="TSN280" s="1144"/>
      <c r="TSO280" s="1144"/>
      <c r="TSP280" s="1144"/>
      <c r="TSQ280" s="1144"/>
      <c r="TSR280" s="1144"/>
      <c r="TSS280" s="1144"/>
      <c r="TST280" s="1144"/>
      <c r="TSU280" s="1144"/>
      <c r="TSV280" s="1144"/>
      <c r="TSW280" s="1144"/>
      <c r="TSX280" s="1144"/>
      <c r="TSY280" s="1144"/>
      <c r="TSZ280" s="1144"/>
      <c r="TTA280" s="1144"/>
      <c r="TTB280" s="1144"/>
      <c r="TTC280" s="1144"/>
      <c r="TTD280" s="1144"/>
      <c r="TTE280" s="1144"/>
      <c r="TTF280" s="1144"/>
      <c r="TTG280" s="1144"/>
      <c r="TTH280" s="1144"/>
      <c r="TTI280" s="1144"/>
      <c r="TTJ280" s="1144"/>
      <c r="TTK280" s="1144"/>
      <c r="TTL280" s="1144"/>
      <c r="TTM280" s="1144"/>
      <c r="TTN280" s="1144"/>
      <c r="TTO280" s="1144"/>
      <c r="TTP280" s="1144"/>
      <c r="TTQ280" s="1144"/>
      <c r="TTR280" s="1144"/>
      <c r="TTS280" s="1144"/>
      <c r="TTT280" s="1144"/>
      <c r="TTU280" s="1144"/>
      <c r="TTV280" s="1144"/>
      <c r="TTW280" s="1144"/>
      <c r="TTX280" s="1144"/>
      <c r="TTY280" s="1144"/>
      <c r="TTZ280" s="1144"/>
      <c r="TUA280" s="1144"/>
      <c r="TUB280" s="1144"/>
      <c r="TUC280" s="1144"/>
      <c r="TUD280" s="1144"/>
      <c r="TUE280" s="1144"/>
      <c r="TUF280" s="1144"/>
      <c r="TUG280" s="1144"/>
      <c r="TUH280" s="1144"/>
      <c r="TUI280" s="1144"/>
      <c r="TUJ280" s="1144"/>
      <c r="TUK280" s="1144"/>
      <c r="TUL280" s="1144"/>
      <c r="TUM280" s="1144"/>
      <c r="TUN280" s="1144"/>
      <c r="TUO280" s="1144"/>
      <c r="TUP280" s="1144"/>
      <c r="TUQ280" s="1144"/>
      <c r="TUR280" s="1144"/>
      <c r="TUS280" s="1144"/>
      <c r="TUT280" s="1144"/>
      <c r="TUU280" s="1144"/>
      <c r="TUV280" s="1144"/>
      <c r="TUW280" s="1144"/>
      <c r="TUX280" s="1144"/>
      <c r="TUY280" s="1144"/>
      <c r="TUZ280" s="1144"/>
      <c r="TVA280" s="1144"/>
      <c r="TVB280" s="1144"/>
      <c r="TVC280" s="1144"/>
      <c r="TVD280" s="1144"/>
      <c r="TVE280" s="1144"/>
      <c r="TVF280" s="1144"/>
      <c r="TVG280" s="1144"/>
      <c r="TVH280" s="1144"/>
      <c r="TVI280" s="1144"/>
      <c r="TVJ280" s="1144"/>
      <c r="TVK280" s="1144"/>
      <c r="TVL280" s="1144"/>
      <c r="TVM280" s="1144"/>
      <c r="TVN280" s="1144"/>
      <c r="TVO280" s="1144"/>
      <c r="TVP280" s="1144"/>
      <c r="TVQ280" s="1144"/>
      <c r="TVR280" s="1144"/>
      <c r="TVS280" s="1144"/>
      <c r="TVT280" s="1144"/>
      <c r="TVU280" s="1144"/>
      <c r="TVV280" s="1144"/>
      <c r="TVW280" s="1144"/>
      <c r="TVX280" s="1144"/>
      <c r="TVY280" s="1144"/>
      <c r="TVZ280" s="1144"/>
      <c r="TWA280" s="1144"/>
      <c r="TWB280" s="1144"/>
      <c r="TWC280" s="1144"/>
      <c r="TWD280" s="1144"/>
      <c r="TWE280" s="1144"/>
      <c r="TWF280" s="1144"/>
      <c r="TWG280" s="1144"/>
      <c r="TWH280" s="1144"/>
      <c r="TWI280" s="1144"/>
      <c r="TWJ280" s="1144"/>
      <c r="TWK280" s="1144"/>
      <c r="TWL280" s="1144"/>
      <c r="TWM280" s="1144"/>
      <c r="TWN280" s="1144"/>
      <c r="TWO280" s="1144"/>
      <c r="TWP280" s="1144"/>
      <c r="TWQ280" s="1144"/>
      <c r="TWR280" s="1144"/>
      <c r="TWS280" s="1144"/>
      <c r="TWT280" s="1144"/>
      <c r="TWU280" s="1144"/>
      <c r="TWV280" s="1144"/>
      <c r="TWW280" s="1144"/>
      <c r="TWX280" s="1144"/>
      <c r="TWY280" s="1144"/>
      <c r="TWZ280" s="1144"/>
      <c r="TXA280" s="1144"/>
      <c r="TXB280" s="1144"/>
      <c r="TXC280" s="1144"/>
      <c r="TXD280" s="1144"/>
      <c r="TXE280" s="1144"/>
      <c r="TXF280" s="1144"/>
      <c r="TXG280" s="1144"/>
      <c r="TXH280" s="1144"/>
      <c r="TXI280" s="1144"/>
      <c r="TXJ280" s="1144"/>
      <c r="TXK280" s="1144"/>
      <c r="TXL280" s="1144"/>
      <c r="TXM280" s="1144"/>
      <c r="TXN280" s="1144"/>
      <c r="TXO280" s="1144"/>
      <c r="TXP280" s="1144"/>
      <c r="TXQ280" s="1144"/>
      <c r="TXR280" s="1144"/>
      <c r="TXS280" s="1144"/>
      <c r="TXT280" s="1144"/>
      <c r="TXU280" s="1144"/>
      <c r="TXV280" s="1144"/>
      <c r="TXW280" s="1144"/>
      <c r="TXX280" s="1144"/>
      <c r="TXY280" s="1144"/>
      <c r="TXZ280" s="1144"/>
      <c r="TYA280" s="1144"/>
      <c r="TYB280" s="1144"/>
      <c r="TYC280" s="1144"/>
      <c r="TYD280" s="1144"/>
      <c r="TYE280" s="1144"/>
      <c r="TYF280" s="1144"/>
      <c r="TYG280" s="1144"/>
      <c r="TYH280" s="1144"/>
      <c r="TYI280" s="1144"/>
      <c r="TYJ280" s="1144"/>
      <c r="TYK280" s="1144"/>
      <c r="TYL280" s="1144"/>
      <c r="TYM280" s="1144"/>
      <c r="TYN280" s="1144"/>
      <c r="TYO280" s="1144"/>
      <c r="TYP280" s="1144"/>
      <c r="TYQ280" s="1144"/>
      <c r="TYR280" s="1144"/>
      <c r="TYS280" s="1144"/>
      <c r="TYT280" s="1144"/>
      <c r="TYU280" s="1144"/>
      <c r="TYV280" s="1144"/>
      <c r="TYW280" s="1144"/>
      <c r="TYX280" s="1144"/>
      <c r="TYY280" s="1144"/>
      <c r="TYZ280" s="1144"/>
      <c r="TZA280" s="1144"/>
      <c r="TZB280" s="1144"/>
      <c r="TZC280" s="1144"/>
      <c r="TZD280" s="1144"/>
      <c r="TZE280" s="1144"/>
      <c r="TZF280" s="1144"/>
      <c r="TZG280" s="1144"/>
      <c r="TZH280" s="1144"/>
      <c r="TZI280" s="1144"/>
      <c r="TZJ280" s="1144"/>
      <c r="TZK280" s="1144"/>
      <c r="TZL280" s="1144"/>
      <c r="TZM280" s="1144"/>
      <c r="TZN280" s="1144"/>
      <c r="TZO280" s="1144"/>
      <c r="TZP280" s="1144"/>
      <c r="TZQ280" s="1144"/>
      <c r="TZR280" s="1144"/>
      <c r="TZS280" s="1144"/>
      <c r="TZT280" s="1144"/>
      <c r="TZU280" s="1144"/>
      <c r="TZV280" s="1144"/>
      <c r="TZW280" s="1144"/>
      <c r="TZX280" s="1144"/>
      <c r="TZY280" s="1144"/>
      <c r="TZZ280" s="1144"/>
      <c r="UAA280" s="1144"/>
      <c r="UAB280" s="1144"/>
      <c r="UAC280" s="1144"/>
      <c r="UAD280" s="1144"/>
      <c r="UAE280" s="1144"/>
      <c r="UAF280" s="1144"/>
      <c r="UAG280" s="1144"/>
      <c r="UAH280" s="1144"/>
      <c r="UAI280" s="1144"/>
      <c r="UAJ280" s="1144"/>
      <c r="UAK280" s="1144"/>
      <c r="UAL280" s="1144"/>
      <c r="UAM280" s="1144"/>
      <c r="UAN280" s="1144"/>
      <c r="UAO280" s="1144"/>
      <c r="UAP280" s="1144"/>
      <c r="UAQ280" s="1144"/>
      <c r="UAR280" s="1144"/>
      <c r="UAS280" s="1144"/>
      <c r="UAT280" s="1144"/>
      <c r="UAU280" s="1144"/>
      <c r="UAV280" s="1144"/>
      <c r="UAW280" s="1144"/>
      <c r="UAX280" s="1144"/>
      <c r="UAY280" s="1144"/>
      <c r="UAZ280" s="1144"/>
      <c r="UBA280" s="1144"/>
      <c r="UBB280" s="1144"/>
      <c r="UBC280" s="1144"/>
      <c r="UBD280" s="1144"/>
      <c r="UBE280" s="1144"/>
      <c r="UBF280" s="1144"/>
      <c r="UBG280" s="1144"/>
      <c r="UBH280" s="1144"/>
      <c r="UBI280" s="1144"/>
      <c r="UBJ280" s="1144"/>
      <c r="UBK280" s="1144"/>
      <c r="UBL280" s="1144"/>
      <c r="UBM280" s="1144"/>
      <c r="UBN280" s="1144"/>
      <c r="UBO280" s="1144"/>
      <c r="UBP280" s="1144"/>
      <c r="UBQ280" s="1144"/>
      <c r="UBR280" s="1144"/>
      <c r="UBS280" s="1144"/>
      <c r="UBT280" s="1144"/>
      <c r="UBU280" s="1144"/>
      <c r="UBV280" s="1144"/>
      <c r="UBW280" s="1144"/>
      <c r="UBX280" s="1144"/>
      <c r="UBY280" s="1144"/>
      <c r="UBZ280" s="1144"/>
      <c r="UCA280" s="1144"/>
      <c r="UCB280" s="1144"/>
      <c r="UCC280" s="1144"/>
      <c r="UCD280" s="1144"/>
      <c r="UCE280" s="1144"/>
      <c r="UCF280" s="1144"/>
      <c r="UCG280" s="1144"/>
      <c r="UCH280" s="1144"/>
      <c r="UCI280" s="1144"/>
      <c r="UCJ280" s="1144"/>
      <c r="UCK280" s="1144"/>
      <c r="UCL280" s="1144"/>
      <c r="UCM280" s="1144"/>
      <c r="UCN280" s="1144"/>
      <c r="UCO280" s="1144"/>
      <c r="UCP280" s="1144"/>
      <c r="UCQ280" s="1144"/>
      <c r="UCR280" s="1144"/>
      <c r="UCS280" s="1144"/>
      <c r="UCT280" s="1144"/>
      <c r="UCU280" s="1144"/>
      <c r="UCV280" s="1144"/>
      <c r="UCW280" s="1144"/>
      <c r="UCX280" s="1144"/>
      <c r="UCY280" s="1144"/>
      <c r="UCZ280" s="1144"/>
      <c r="UDA280" s="1144"/>
      <c r="UDB280" s="1144"/>
      <c r="UDC280" s="1144"/>
      <c r="UDD280" s="1144"/>
      <c r="UDE280" s="1144"/>
      <c r="UDF280" s="1144"/>
      <c r="UDG280" s="1144"/>
      <c r="UDH280" s="1144"/>
      <c r="UDI280" s="1144"/>
      <c r="UDJ280" s="1144"/>
      <c r="UDK280" s="1144"/>
      <c r="UDL280" s="1144"/>
      <c r="UDM280" s="1144"/>
      <c r="UDN280" s="1144"/>
      <c r="UDO280" s="1144"/>
      <c r="UDP280" s="1144"/>
      <c r="UDQ280" s="1144"/>
      <c r="UDR280" s="1144"/>
      <c r="UDS280" s="1144"/>
      <c r="UDT280" s="1144"/>
      <c r="UDU280" s="1144"/>
      <c r="UDV280" s="1144"/>
      <c r="UDW280" s="1144"/>
      <c r="UDX280" s="1144"/>
      <c r="UDY280" s="1144"/>
      <c r="UDZ280" s="1144"/>
      <c r="UEA280" s="1144"/>
      <c r="UEB280" s="1144"/>
      <c r="UEC280" s="1144"/>
      <c r="UED280" s="1144"/>
      <c r="UEE280" s="1144"/>
      <c r="UEF280" s="1144"/>
      <c r="UEG280" s="1144"/>
      <c r="UEH280" s="1144"/>
      <c r="UEI280" s="1144"/>
      <c r="UEJ280" s="1144"/>
      <c r="UEK280" s="1144"/>
      <c r="UEL280" s="1144"/>
      <c r="UEM280" s="1144"/>
      <c r="UEN280" s="1144"/>
      <c r="UEO280" s="1144"/>
      <c r="UEP280" s="1144"/>
      <c r="UEQ280" s="1144"/>
      <c r="UER280" s="1144"/>
      <c r="UES280" s="1144"/>
      <c r="UET280" s="1144"/>
      <c r="UEU280" s="1144"/>
      <c r="UEV280" s="1144"/>
      <c r="UEW280" s="1144"/>
      <c r="UEX280" s="1144"/>
      <c r="UEY280" s="1144"/>
      <c r="UEZ280" s="1144"/>
      <c r="UFA280" s="1144"/>
      <c r="UFB280" s="1144"/>
      <c r="UFC280" s="1144"/>
      <c r="UFD280" s="1144"/>
      <c r="UFE280" s="1144"/>
      <c r="UFF280" s="1144"/>
      <c r="UFG280" s="1144"/>
      <c r="UFH280" s="1144"/>
      <c r="UFI280" s="1144"/>
      <c r="UFJ280" s="1144"/>
      <c r="UFK280" s="1144"/>
      <c r="UFL280" s="1144"/>
      <c r="UFM280" s="1144"/>
      <c r="UFN280" s="1144"/>
      <c r="UFO280" s="1144"/>
      <c r="UFP280" s="1144"/>
      <c r="UFQ280" s="1144"/>
      <c r="UFR280" s="1144"/>
      <c r="UFS280" s="1144"/>
      <c r="UFT280" s="1144"/>
      <c r="UFU280" s="1144"/>
      <c r="UFV280" s="1144"/>
      <c r="UFW280" s="1144"/>
      <c r="UFX280" s="1144"/>
      <c r="UFY280" s="1144"/>
      <c r="UFZ280" s="1144"/>
      <c r="UGA280" s="1144"/>
      <c r="UGB280" s="1144"/>
      <c r="UGC280" s="1144"/>
      <c r="UGD280" s="1144"/>
      <c r="UGE280" s="1144"/>
      <c r="UGF280" s="1144"/>
      <c r="UGG280" s="1144"/>
      <c r="UGH280" s="1144"/>
      <c r="UGI280" s="1144"/>
      <c r="UGJ280" s="1144"/>
      <c r="UGK280" s="1144"/>
      <c r="UGL280" s="1144"/>
      <c r="UGM280" s="1144"/>
      <c r="UGN280" s="1144"/>
      <c r="UGO280" s="1144"/>
      <c r="UGP280" s="1144"/>
      <c r="UGQ280" s="1144"/>
      <c r="UGR280" s="1144"/>
      <c r="UGS280" s="1144"/>
      <c r="UGT280" s="1144"/>
      <c r="UGU280" s="1144"/>
      <c r="UGV280" s="1144"/>
      <c r="UGW280" s="1144"/>
      <c r="UGX280" s="1144"/>
      <c r="UGY280" s="1144"/>
      <c r="UGZ280" s="1144"/>
      <c r="UHA280" s="1144"/>
      <c r="UHB280" s="1144"/>
      <c r="UHC280" s="1144"/>
      <c r="UHD280" s="1144"/>
      <c r="UHE280" s="1144"/>
      <c r="UHF280" s="1144"/>
      <c r="UHG280" s="1144"/>
      <c r="UHH280" s="1144"/>
      <c r="UHI280" s="1144"/>
      <c r="UHJ280" s="1144"/>
      <c r="UHK280" s="1144"/>
      <c r="UHL280" s="1144"/>
      <c r="UHM280" s="1144"/>
      <c r="UHN280" s="1144"/>
      <c r="UHO280" s="1144"/>
      <c r="UHP280" s="1144"/>
      <c r="UHQ280" s="1144"/>
      <c r="UHR280" s="1144"/>
      <c r="UHS280" s="1144"/>
      <c r="UHT280" s="1144"/>
      <c r="UHU280" s="1144"/>
      <c r="UHV280" s="1144"/>
      <c r="UHW280" s="1144"/>
      <c r="UHX280" s="1144"/>
      <c r="UHY280" s="1144"/>
      <c r="UHZ280" s="1144"/>
      <c r="UIA280" s="1144"/>
      <c r="UIB280" s="1144"/>
      <c r="UIC280" s="1144"/>
      <c r="UID280" s="1144"/>
      <c r="UIE280" s="1144"/>
      <c r="UIF280" s="1144"/>
      <c r="UIG280" s="1144"/>
      <c r="UIH280" s="1144"/>
      <c r="UII280" s="1144"/>
      <c r="UIJ280" s="1144"/>
      <c r="UIK280" s="1144"/>
      <c r="UIL280" s="1144"/>
      <c r="UIM280" s="1144"/>
      <c r="UIN280" s="1144"/>
      <c r="UIO280" s="1144"/>
      <c r="UIP280" s="1144"/>
      <c r="UIQ280" s="1144"/>
      <c r="UIR280" s="1144"/>
      <c r="UIS280" s="1144"/>
      <c r="UIT280" s="1144"/>
      <c r="UIU280" s="1144"/>
      <c r="UIV280" s="1144"/>
      <c r="UIW280" s="1144"/>
      <c r="UIX280" s="1144"/>
      <c r="UIY280" s="1144"/>
      <c r="UIZ280" s="1144"/>
      <c r="UJA280" s="1144"/>
      <c r="UJB280" s="1144"/>
      <c r="UJC280" s="1144"/>
      <c r="UJD280" s="1144"/>
      <c r="UJE280" s="1144"/>
      <c r="UJF280" s="1144"/>
      <c r="UJG280" s="1144"/>
      <c r="UJH280" s="1144"/>
      <c r="UJI280" s="1144"/>
      <c r="UJJ280" s="1144"/>
      <c r="UJK280" s="1144"/>
      <c r="UJL280" s="1144"/>
      <c r="UJM280" s="1144"/>
      <c r="UJN280" s="1144"/>
      <c r="UJO280" s="1144"/>
      <c r="UJP280" s="1144"/>
      <c r="UJQ280" s="1144"/>
      <c r="UJR280" s="1144"/>
      <c r="UJS280" s="1144"/>
      <c r="UJT280" s="1144"/>
      <c r="UJU280" s="1144"/>
      <c r="UJV280" s="1144"/>
      <c r="UJW280" s="1144"/>
      <c r="UJX280" s="1144"/>
      <c r="UJY280" s="1144"/>
      <c r="UJZ280" s="1144"/>
      <c r="UKA280" s="1144"/>
      <c r="UKB280" s="1144"/>
      <c r="UKC280" s="1144"/>
      <c r="UKD280" s="1144"/>
      <c r="UKE280" s="1144"/>
      <c r="UKF280" s="1144"/>
      <c r="UKG280" s="1144"/>
      <c r="UKH280" s="1144"/>
      <c r="UKI280" s="1144"/>
      <c r="UKJ280" s="1144"/>
      <c r="UKK280" s="1144"/>
      <c r="UKL280" s="1144"/>
      <c r="UKM280" s="1144"/>
      <c r="UKN280" s="1144"/>
      <c r="UKO280" s="1144"/>
      <c r="UKP280" s="1144"/>
      <c r="UKQ280" s="1144"/>
      <c r="UKR280" s="1144"/>
      <c r="UKS280" s="1144"/>
      <c r="UKT280" s="1144"/>
      <c r="UKU280" s="1144"/>
      <c r="UKV280" s="1144"/>
      <c r="UKW280" s="1144"/>
      <c r="UKX280" s="1144"/>
      <c r="UKY280" s="1144"/>
      <c r="UKZ280" s="1144"/>
      <c r="ULA280" s="1144"/>
      <c r="ULB280" s="1144"/>
      <c r="ULC280" s="1144"/>
      <c r="ULD280" s="1144"/>
      <c r="ULE280" s="1144"/>
      <c r="ULF280" s="1144"/>
      <c r="ULG280" s="1144"/>
      <c r="ULH280" s="1144"/>
      <c r="ULI280" s="1144"/>
      <c r="ULJ280" s="1144"/>
      <c r="ULK280" s="1144"/>
      <c r="ULL280" s="1144"/>
      <c r="ULM280" s="1144"/>
      <c r="ULN280" s="1144"/>
      <c r="ULO280" s="1144"/>
      <c r="ULP280" s="1144"/>
      <c r="ULQ280" s="1144"/>
      <c r="ULR280" s="1144"/>
      <c r="ULS280" s="1144"/>
      <c r="ULT280" s="1144"/>
      <c r="ULU280" s="1144"/>
      <c r="ULV280" s="1144"/>
      <c r="ULW280" s="1144"/>
      <c r="ULX280" s="1144"/>
      <c r="ULY280" s="1144"/>
      <c r="ULZ280" s="1144"/>
      <c r="UMA280" s="1144"/>
      <c r="UMB280" s="1144"/>
      <c r="UMC280" s="1144"/>
      <c r="UMD280" s="1144"/>
      <c r="UME280" s="1144"/>
      <c r="UMF280" s="1144"/>
      <c r="UMG280" s="1144"/>
      <c r="UMH280" s="1144"/>
      <c r="UMI280" s="1144"/>
      <c r="UMJ280" s="1144"/>
      <c r="UMK280" s="1144"/>
      <c r="UML280" s="1144"/>
      <c r="UMM280" s="1144"/>
      <c r="UMN280" s="1144"/>
      <c r="UMO280" s="1144"/>
      <c r="UMP280" s="1144"/>
      <c r="UMQ280" s="1144"/>
      <c r="UMR280" s="1144"/>
      <c r="UMS280" s="1144"/>
      <c r="UMT280" s="1144"/>
      <c r="UMU280" s="1144"/>
      <c r="UMV280" s="1144"/>
      <c r="UMW280" s="1144"/>
      <c r="UMX280" s="1144"/>
      <c r="UMY280" s="1144"/>
      <c r="UMZ280" s="1144"/>
      <c r="UNA280" s="1144"/>
      <c r="UNB280" s="1144"/>
      <c r="UNC280" s="1144"/>
      <c r="UND280" s="1144"/>
      <c r="UNE280" s="1144"/>
      <c r="UNF280" s="1144"/>
      <c r="UNG280" s="1144"/>
      <c r="UNH280" s="1144"/>
      <c r="UNI280" s="1144"/>
      <c r="UNJ280" s="1144"/>
      <c r="UNK280" s="1144"/>
      <c r="UNL280" s="1144"/>
      <c r="UNM280" s="1144"/>
      <c r="UNN280" s="1144"/>
      <c r="UNO280" s="1144"/>
      <c r="UNP280" s="1144"/>
      <c r="UNQ280" s="1144"/>
      <c r="UNR280" s="1144"/>
      <c r="UNS280" s="1144"/>
      <c r="UNT280" s="1144"/>
      <c r="UNU280" s="1144"/>
      <c r="UNV280" s="1144"/>
      <c r="UNW280" s="1144"/>
      <c r="UNX280" s="1144"/>
      <c r="UNY280" s="1144"/>
      <c r="UNZ280" s="1144"/>
      <c r="UOA280" s="1144"/>
      <c r="UOB280" s="1144"/>
      <c r="UOC280" s="1144"/>
      <c r="UOD280" s="1144"/>
      <c r="UOE280" s="1144"/>
      <c r="UOF280" s="1144"/>
      <c r="UOG280" s="1144"/>
      <c r="UOH280" s="1144"/>
      <c r="UOI280" s="1144"/>
      <c r="UOJ280" s="1144"/>
      <c r="UOK280" s="1144"/>
      <c r="UOL280" s="1144"/>
      <c r="UOM280" s="1144"/>
      <c r="UON280" s="1144"/>
      <c r="UOO280" s="1144"/>
      <c r="UOP280" s="1144"/>
      <c r="UOQ280" s="1144"/>
      <c r="UOR280" s="1144"/>
      <c r="UOS280" s="1144"/>
      <c r="UOT280" s="1144"/>
      <c r="UOU280" s="1144"/>
      <c r="UOV280" s="1144"/>
      <c r="UOW280" s="1144"/>
      <c r="UOX280" s="1144"/>
      <c r="UOY280" s="1144"/>
      <c r="UOZ280" s="1144"/>
      <c r="UPA280" s="1144"/>
      <c r="UPB280" s="1144"/>
      <c r="UPC280" s="1144"/>
      <c r="UPD280" s="1144"/>
      <c r="UPE280" s="1144"/>
      <c r="UPF280" s="1144"/>
      <c r="UPG280" s="1144"/>
      <c r="UPH280" s="1144"/>
      <c r="UPI280" s="1144"/>
      <c r="UPJ280" s="1144"/>
      <c r="UPK280" s="1144"/>
      <c r="UPL280" s="1144"/>
      <c r="UPM280" s="1144"/>
      <c r="UPN280" s="1144"/>
      <c r="UPO280" s="1144"/>
      <c r="UPP280" s="1144"/>
      <c r="UPQ280" s="1144"/>
      <c r="UPR280" s="1144"/>
      <c r="UPS280" s="1144"/>
      <c r="UPT280" s="1144"/>
      <c r="UPU280" s="1144"/>
      <c r="UPV280" s="1144"/>
      <c r="UPW280" s="1144"/>
      <c r="UPX280" s="1144"/>
      <c r="UPY280" s="1144"/>
      <c r="UPZ280" s="1144"/>
      <c r="UQA280" s="1144"/>
      <c r="UQB280" s="1144"/>
      <c r="UQC280" s="1144"/>
      <c r="UQD280" s="1144"/>
      <c r="UQE280" s="1144"/>
      <c r="UQF280" s="1144"/>
      <c r="UQG280" s="1144"/>
      <c r="UQH280" s="1144"/>
      <c r="UQI280" s="1144"/>
      <c r="UQJ280" s="1144"/>
      <c r="UQK280" s="1144"/>
      <c r="UQL280" s="1144"/>
      <c r="UQM280" s="1144"/>
      <c r="UQN280" s="1144"/>
      <c r="UQO280" s="1144"/>
      <c r="UQP280" s="1144"/>
      <c r="UQQ280" s="1144"/>
      <c r="UQR280" s="1144"/>
      <c r="UQS280" s="1144"/>
      <c r="UQT280" s="1144"/>
      <c r="UQU280" s="1144"/>
      <c r="UQV280" s="1144"/>
      <c r="UQW280" s="1144"/>
      <c r="UQX280" s="1144"/>
      <c r="UQY280" s="1144"/>
      <c r="UQZ280" s="1144"/>
      <c r="URA280" s="1144"/>
      <c r="URB280" s="1144"/>
      <c r="URC280" s="1144"/>
      <c r="URD280" s="1144"/>
      <c r="URE280" s="1144"/>
      <c r="URF280" s="1144"/>
      <c r="URG280" s="1144"/>
      <c r="URH280" s="1144"/>
      <c r="URI280" s="1144"/>
      <c r="URJ280" s="1144"/>
      <c r="URK280" s="1144"/>
      <c r="URL280" s="1144"/>
      <c r="URM280" s="1144"/>
      <c r="URN280" s="1144"/>
      <c r="URO280" s="1144"/>
      <c r="URP280" s="1144"/>
      <c r="URQ280" s="1144"/>
      <c r="URR280" s="1144"/>
      <c r="URS280" s="1144"/>
      <c r="URT280" s="1144"/>
      <c r="URU280" s="1144"/>
      <c r="URV280" s="1144"/>
      <c r="URW280" s="1144"/>
      <c r="URX280" s="1144"/>
      <c r="URY280" s="1144"/>
      <c r="URZ280" s="1144"/>
      <c r="USA280" s="1144"/>
      <c r="USB280" s="1144"/>
      <c r="USC280" s="1144"/>
      <c r="USD280" s="1144"/>
      <c r="USE280" s="1144"/>
      <c r="USF280" s="1144"/>
      <c r="USG280" s="1144"/>
      <c r="USH280" s="1144"/>
      <c r="USI280" s="1144"/>
      <c r="USJ280" s="1144"/>
      <c r="USK280" s="1144"/>
      <c r="USL280" s="1144"/>
      <c r="USM280" s="1144"/>
      <c r="USN280" s="1144"/>
      <c r="USO280" s="1144"/>
      <c r="USP280" s="1144"/>
      <c r="USQ280" s="1144"/>
      <c r="USR280" s="1144"/>
      <c r="USS280" s="1144"/>
      <c r="UST280" s="1144"/>
      <c r="USU280" s="1144"/>
      <c r="USV280" s="1144"/>
      <c r="USW280" s="1144"/>
      <c r="USX280" s="1144"/>
      <c r="USY280" s="1144"/>
      <c r="USZ280" s="1144"/>
      <c r="UTA280" s="1144"/>
      <c r="UTB280" s="1144"/>
      <c r="UTC280" s="1144"/>
      <c r="UTD280" s="1144"/>
      <c r="UTE280" s="1144"/>
      <c r="UTF280" s="1144"/>
      <c r="UTG280" s="1144"/>
      <c r="UTH280" s="1144"/>
      <c r="UTI280" s="1144"/>
      <c r="UTJ280" s="1144"/>
      <c r="UTK280" s="1144"/>
      <c r="UTL280" s="1144"/>
      <c r="UTM280" s="1144"/>
      <c r="UTN280" s="1144"/>
      <c r="UTO280" s="1144"/>
      <c r="UTP280" s="1144"/>
      <c r="UTQ280" s="1144"/>
      <c r="UTR280" s="1144"/>
      <c r="UTS280" s="1144"/>
      <c r="UTT280" s="1144"/>
      <c r="UTU280" s="1144"/>
      <c r="UTV280" s="1144"/>
      <c r="UTW280" s="1144"/>
      <c r="UTX280" s="1144"/>
      <c r="UTY280" s="1144"/>
      <c r="UTZ280" s="1144"/>
      <c r="UUA280" s="1144"/>
      <c r="UUB280" s="1144"/>
      <c r="UUC280" s="1144"/>
      <c r="UUD280" s="1144"/>
      <c r="UUE280" s="1144"/>
      <c r="UUF280" s="1144"/>
      <c r="UUG280" s="1144"/>
      <c r="UUH280" s="1144"/>
      <c r="UUI280" s="1144"/>
      <c r="UUJ280" s="1144"/>
      <c r="UUK280" s="1144"/>
      <c r="UUL280" s="1144"/>
      <c r="UUM280" s="1144"/>
      <c r="UUN280" s="1144"/>
      <c r="UUO280" s="1144"/>
      <c r="UUP280" s="1144"/>
      <c r="UUQ280" s="1144"/>
      <c r="UUR280" s="1144"/>
      <c r="UUS280" s="1144"/>
      <c r="UUT280" s="1144"/>
      <c r="UUU280" s="1144"/>
      <c r="UUV280" s="1144"/>
      <c r="UUW280" s="1144"/>
      <c r="UUX280" s="1144"/>
      <c r="UUY280" s="1144"/>
      <c r="UUZ280" s="1144"/>
      <c r="UVA280" s="1144"/>
      <c r="UVB280" s="1144"/>
      <c r="UVC280" s="1144"/>
      <c r="UVD280" s="1144"/>
      <c r="UVE280" s="1144"/>
      <c r="UVF280" s="1144"/>
      <c r="UVG280" s="1144"/>
      <c r="UVH280" s="1144"/>
      <c r="UVI280" s="1144"/>
      <c r="UVJ280" s="1144"/>
      <c r="UVK280" s="1144"/>
      <c r="UVL280" s="1144"/>
      <c r="UVM280" s="1144"/>
      <c r="UVN280" s="1144"/>
      <c r="UVO280" s="1144"/>
      <c r="UVP280" s="1144"/>
      <c r="UVQ280" s="1144"/>
      <c r="UVR280" s="1144"/>
      <c r="UVS280" s="1144"/>
      <c r="UVT280" s="1144"/>
      <c r="UVU280" s="1144"/>
      <c r="UVV280" s="1144"/>
      <c r="UVW280" s="1144"/>
      <c r="UVX280" s="1144"/>
      <c r="UVY280" s="1144"/>
      <c r="UVZ280" s="1144"/>
      <c r="UWA280" s="1144"/>
      <c r="UWB280" s="1144"/>
      <c r="UWC280" s="1144"/>
      <c r="UWD280" s="1144"/>
      <c r="UWE280" s="1144"/>
      <c r="UWF280" s="1144"/>
      <c r="UWG280" s="1144"/>
      <c r="UWH280" s="1144"/>
      <c r="UWI280" s="1144"/>
      <c r="UWJ280" s="1144"/>
      <c r="UWK280" s="1144"/>
      <c r="UWL280" s="1144"/>
      <c r="UWM280" s="1144"/>
      <c r="UWN280" s="1144"/>
      <c r="UWO280" s="1144"/>
      <c r="UWP280" s="1144"/>
      <c r="UWQ280" s="1144"/>
      <c r="UWR280" s="1144"/>
      <c r="UWS280" s="1144"/>
      <c r="UWT280" s="1144"/>
      <c r="UWU280" s="1144"/>
      <c r="UWV280" s="1144"/>
      <c r="UWW280" s="1144"/>
      <c r="UWX280" s="1144"/>
      <c r="UWY280" s="1144"/>
      <c r="UWZ280" s="1144"/>
      <c r="UXA280" s="1144"/>
      <c r="UXB280" s="1144"/>
      <c r="UXC280" s="1144"/>
      <c r="UXD280" s="1144"/>
      <c r="UXE280" s="1144"/>
      <c r="UXF280" s="1144"/>
      <c r="UXG280" s="1144"/>
      <c r="UXH280" s="1144"/>
      <c r="UXI280" s="1144"/>
      <c r="UXJ280" s="1144"/>
      <c r="UXK280" s="1144"/>
      <c r="UXL280" s="1144"/>
      <c r="UXM280" s="1144"/>
      <c r="UXN280" s="1144"/>
      <c r="UXO280" s="1144"/>
      <c r="UXP280" s="1144"/>
      <c r="UXQ280" s="1144"/>
      <c r="UXR280" s="1144"/>
      <c r="UXS280" s="1144"/>
      <c r="UXT280" s="1144"/>
      <c r="UXU280" s="1144"/>
      <c r="UXV280" s="1144"/>
      <c r="UXW280" s="1144"/>
      <c r="UXX280" s="1144"/>
      <c r="UXY280" s="1144"/>
      <c r="UXZ280" s="1144"/>
      <c r="UYA280" s="1144"/>
      <c r="UYB280" s="1144"/>
      <c r="UYC280" s="1144"/>
      <c r="UYD280" s="1144"/>
      <c r="UYE280" s="1144"/>
      <c r="UYF280" s="1144"/>
      <c r="UYG280" s="1144"/>
      <c r="UYH280" s="1144"/>
      <c r="UYI280" s="1144"/>
      <c r="UYJ280" s="1144"/>
      <c r="UYK280" s="1144"/>
      <c r="UYL280" s="1144"/>
      <c r="UYM280" s="1144"/>
      <c r="UYN280" s="1144"/>
      <c r="UYO280" s="1144"/>
      <c r="UYP280" s="1144"/>
      <c r="UYQ280" s="1144"/>
      <c r="UYR280" s="1144"/>
      <c r="UYS280" s="1144"/>
      <c r="UYT280" s="1144"/>
      <c r="UYU280" s="1144"/>
      <c r="UYV280" s="1144"/>
      <c r="UYW280" s="1144"/>
      <c r="UYX280" s="1144"/>
      <c r="UYY280" s="1144"/>
      <c r="UYZ280" s="1144"/>
      <c r="UZA280" s="1144"/>
      <c r="UZB280" s="1144"/>
      <c r="UZC280" s="1144"/>
      <c r="UZD280" s="1144"/>
      <c r="UZE280" s="1144"/>
      <c r="UZF280" s="1144"/>
      <c r="UZG280" s="1144"/>
      <c r="UZH280" s="1144"/>
      <c r="UZI280" s="1144"/>
      <c r="UZJ280" s="1144"/>
      <c r="UZK280" s="1144"/>
      <c r="UZL280" s="1144"/>
      <c r="UZM280" s="1144"/>
      <c r="UZN280" s="1144"/>
      <c r="UZO280" s="1144"/>
      <c r="UZP280" s="1144"/>
      <c r="UZQ280" s="1144"/>
      <c r="UZR280" s="1144"/>
      <c r="UZS280" s="1144"/>
      <c r="UZT280" s="1144"/>
      <c r="UZU280" s="1144"/>
      <c r="UZV280" s="1144"/>
      <c r="UZW280" s="1144"/>
      <c r="UZX280" s="1144"/>
      <c r="UZY280" s="1144"/>
      <c r="UZZ280" s="1144"/>
      <c r="VAA280" s="1144"/>
      <c r="VAB280" s="1144"/>
      <c r="VAC280" s="1144"/>
      <c r="VAD280" s="1144"/>
      <c r="VAE280" s="1144"/>
      <c r="VAF280" s="1144"/>
      <c r="VAG280" s="1144"/>
      <c r="VAH280" s="1144"/>
      <c r="VAI280" s="1144"/>
      <c r="VAJ280" s="1144"/>
      <c r="VAK280" s="1144"/>
      <c r="VAL280" s="1144"/>
      <c r="VAM280" s="1144"/>
      <c r="VAN280" s="1144"/>
      <c r="VAO280" s="1144"/>
      <c r="VAP280" s="1144"/>
      <c r="VAQ280" s="1144"/>
      <c r="VAR280" s="1144"/>
      <c r="VAS280" s="1144"/>
      <c r="VAT280" s="1144"/>
      <c r="VAU280" s="1144"/>
      <c r="VAV280" s="1144"/>
      <c r="VAW280" s="1144"/>
      <c r="VAX280" s="1144"/>
      <c r="VAY280" s="1144"/>
      <c r="VAZ280" s="1144"/>
      <c r="VBA280" s="1144"/>
      <c r="VBB280" s="1144"/>
      <c r="VBC280" s="1144"/>
      <c r="VBD280" s="1144"/>
      <c r="VBE280" s="1144"/>
      <c r="VBF280" s="1144"/>
      <c r="VBG280" s="1144"/>
      <c r="VBH280" s="1144"/>
      <c r="VBI280" s="1144"/>
      <c r="VBJ280" s="1144"/>
      <c r="VBK280" s="1144"/>
      <c r="VBL280" s="1144"/>
      <c r="VBM280" s="1144"/>
      <c r="VBN280" s="1144"/>
      <c r="VBO280" s="1144"/>
      <c r="VBP280" s="1144"/>
      <c r="VBQ280" s="1144"/>
      <c r="VBR280" s="1144"/>
      <c r="VBS280" s="1144"/>
      <c r="VBT280" s="1144"/>
      <c r="VBU280" s="1144"/>
      <c r="VBV280" s="1144"/>
      <c r="VBW280" s="1144"/>
      <c r="VBX280" s="1144"/>
      <c r="VBY280" s="1144"/>
      <c r="VBZ280" s="1144"/>
      <c r="VCA280" s="1144"/>
      <c r="VCB280" s="1144"/>
      <c r="VCC280" s="1144"/>
      <c r="VCD280" s="1144"/>
      <c r="VCE280" s="1144"/>
      <c r="VCF280" s="1144"/>
      <c r="VCG280" s="1144"/>
      <c r="VCH280" s="1144"/>
      <c r="VCI280" s="1144"/>
      <c r="VCJ280" s="1144"/>
      <c r="VCK280" s="1144"/>
      <c r="VCL280" s="1144"/>
      <c r="VCM280" s="1144"/>
      <c r="VCN280" s="1144"/>
      <c r="VCO280" s="1144"/>
      <c r="VCP280" s="1144"/>
      <c r="VCQ280" s="1144"/>
      <c r="VCR280" s="1144"/>
      <c r="VCS280" s="1144"/>
      <c r="VCT280" s="1144"/>
      <c r="VCU280" s="1144"/>
      <c r="VCV280" s="1144"/>
      <c r="VCW280" s="1144"/>
      <c r="VCX280" s="1144"/>
      <c r="VCY280" s="1144"/>
      <c r="VCZ280" s="1144"/>
      <c r="VDA280" s="1144"/>
      <c r="VDB280" s="1144"/>
      <c r="VDC280" s="1144"/>
      <c r="VDD280" s="1144"/>
      <c r="VDE280" s="1144"/>
      <c r="VDF280" s="1144"/>
      <c r="VDG280" s="1144"/>
      <c r="VDH280" s="1144"/>
      <c r="VDI280" s="1144"/>
      <c r="VDJ280" s="1144"/>
      <c r="VDK280" s="1144"/>
      <c r="VDL280" s="1144"/>
      <c r="VDM280" s="1144"/>
      <c r="VDN280" s="1144"/>
      <c r="VDO280" s="1144"/>
      <c r="VDP280" s="1144"/>
      <c r="VDQ280" s="1144"/>
      <c r="VDR280" s="1144"/>
      <c r="VDS280" s="1144"/>
      <c r="VDT280" s="1144"/>
      <c r="VDU280" s="1144"/>
      <c r="VDV280" s="1144"/>
      <c r="VDW280" s="1144"/>
      <c r="VDX280" s="1144"/>
      <c r="VDY280" s="1144"/>
      <c r="VDZ280" s="1144"/>
      <c r="VEA280" s="1144"/>
      <c r="VEB280" s="1144"/>
      <c r="VEC280" s="1144"/>
      <c r="VED280" s="1144"/>
      <c r="VEE280" s="1144"/>
      <c r="VEF280" s="1144"/>
      <c r="VEG280" s="1144"/>
      <c r="VEH280" s="1144"/>
      <c r="VEI280" s="1144"/>
      <c r="VEJ280" s="1144"/>
      <c r="VEK280" s="1144"/>
      <c r="VEL280" s="1144"/>
      <c r="VEM280" s="1144"/>
      <c r="VEN280" s="1144"/>
      <c r="VEO280" s="1144"/>
      <c r="VEP280" s="1144"/>
      <c r="VEQ280" s="1144"/>
      <c r="VER280" s="1144"/>
      <c r="VES280" s="1144"/>
      <c r="VET280" s="1144"/>
      <c r="VEU280" s="1144"/>
      <c r="VEV280" s="1144"/>
      <c r="VEW280" s="1144"/>
      <c r="VEX280" s="1144"/>
      <c r="VEY280" s="1144"/>
      <c r="VEZ280" s="1144"/>
      <c r="VFA280" s="1144"/>
      <c r="VFB280" s="1144"/>
      <c r="VFC280" s="1144"/>
      <c r="VFD280" s="1144"/>
      <c r="VFE280" s="1144"/>
      <c r="VFF280" s="1144"/>
      <c r="VFG280" s="1144"/>
      <c r="VFH280" s="1144"/>
      <c r="VFI280" s="1144"/>
      <c r="VFJ280" s="1144"/>
      <c r="VFK280" s="1144"/>
      <c r="VFL280" s="1144"/>
      <c r="VFM280" s="1144"/>
      <c r="VFN280" s="1144"/>
      <c r="VFO280" s="1144"/>
      <c r="VFP280" s="1144"/>
      <c r="VFQ280" s="1144"/>
      <c r="VFR280" s="1144"/>
      <c r="VFS280" s="1144"/>
      <c r="VFT280" s="1144"/>
      <c r="VFU280" s="1144"/>
      <c r="VFV280" s="1144"/>
      <c r="VFW280" s="1144"/>
      <c r="VFX280" s="1144"/>
      <c r="VFY280" s="1144"/>
      <c r="VFZ280" s="1144"/>
      <c r="VGA280" s="1144"/>
      <c r="VGB280" s="1144"/>
      <c r="VGC280" s="1144"/>
      <c r="VGD280" s="1144"/>
      <c r="VGE280" s="1144"/>
      <c r="VGF280" s="1144"/>
      <c r="VGG280" s="1144"/>
      <c r="VGH280" s="1144"/>
      <c r="VGI280" s="1144"/>
      <c r="VGJ280" s="1144"/>
      <c r="VGK280" s="1144"/>
      <c r="VGL280" s="1144"/>
      <c r="VGM280" s="1144"/>
      <c r="VGN280" s="1144"/>
      <c r="VGO280" s="1144"/>
      <c r="VGP280" s="1144"/>
      <c r="VGQ280" s="1144"/>
      <c r="VGR280" s="1144"/>
      <c r="VGS280" s="1144"/>
      <c r="VGT280" s="1144"/>
      <c r="VGU280" s="1144"/>
      <c r="VGV280" s="1144"/>
      <c r="VGW280" s="1144"/>
      <c r="VGX280" s="1144"/>
      <c r="VGY280" s="1144"/>
      <c r="VGZ280" s="1144"/>
      <c r="VHA280" s="1144"/>
      <c r="VHB280" s="1144"/>
      <c r="VHC280" s="1144"/>
      <c r="VHD280" s="1144"/>
      <c r="VHE280" s="1144"/>
      <c r="VHF280" s="1144"/>
      <c r="VHG280" s="1144"/>
      <c r="VHH280" s="1144"/>
      <c r="VHI280" s="1144"/>
      <c r="VHJ280" s="1144"/>
      <c r="VHK280" s="1144"/>
      <c r="VHL280" s="1144"/>
      <c r="VHM280" s="1144"/>
      <c r="VHN280" s="1144"/>
      <c r="VHO280" s="1144"/>
      <c r="VHP280" s="1144"/>
      <c r="VHQ280" s="1144"/>
      <c r="VHR280" s="1144"/>
      <c r="VHS280" s="1144"/>
      <c r="VHT280" s="1144"/>
      <c r="VHU280" s="1144"/>
      <c r="VHV280" s="1144"/>
      <c r="VHW280" s="1144"/>
      <c r="VHX280" s="1144"/>
      <c r="VHY280" s="1144"/>
      <c r="VHZ280" s="1144"/>
      <c r="VIA280" s="1144"/>
      <c r="VIB280" s="1144"/>
      <c r="VIC280" s="1144"/>
      <c r="VID280" s="1144"/>
      <c r="VIE280" s="1144"/>
      <c r="VIF280" s="1144"/>
      <c r="VIG280" s="1144"/>
      <c r="VIH280" s="1144"/>
      <c r="VII280" s="1144"/>
      <c r="VIJ280" s="1144"/>
      <c r="VIK280" s="1144"/>
      <c r="VIL280" s="1144"/>
      <c r="VIM280" s="1144"/>
      <c r="VIN280" s="1144"/>
      <c r="VIO280" s="1144"/>
      <c r="VIP280" s="1144"/>
      <c r="VIQ280" s="1144"/>
      <c r="VIR280" s="1144"/>
      <c r="VIS280" s="1144"/>
      <c r="VIT280" s="1144"/>
      <c r="VIU280" s="1144"/>
      <c r="VIV280" s="1144"/>
      <c r="VIW280" s="1144"/>
      <c r="VIX280" s="1144"/>
      <c r="VIY280" s="1144"/>
      <c r="VIZ280" s="1144"/>
      <c r="VJA280" s="1144"/>
      <c r="VJB280" s="1144"/>
      <c r="VJC280" s="1144"/>
      <c r="VJD280" s="1144"/>
      <c r="VJE280" s="1144"/>
      <c r="VJF280" s="1144"/>
      <c r="VJG280" s="1144"/>
      <c r="VJH280" s="1144"/>
      <c r="VJI280" s="1144"/>
      <c r="VJJ280" s="1144"/>
      <c r="VJK280" s="1144"/>
      <c r="VJL280" s="1144"/>
      <c r="VJM280" s="1144"/>
      <c r="VJN280" s="1144"/>
      <c r="VJO280" s="1144"/>
      <c r="VJP280" s="1144"/>
      <c r="VJQ280" s="1144"/>
      <c r="VJR280" s="1144"/>
      <c r="VJS280" s="1144"/>
      <c r="VJT280" s="1144"/>
      <c r="VJU280" s="1144"/>
      <c r="VJV280" s="1144"/>
      <c r="VJW280" s="1144"/>
      <c r="VJX280" s="1144"/>
      <c r="VJY280" s="1144"/>
      <c r="VJZ280" s="1144"/>
      <c r="VKA280" s="1144"/>
      <c r="VKB280" s="1144"/>
      <c r="VKC280" s="1144"/>
      <c r="VKD280" s="1144"/>
      <c r="VKE280" s="1144"/>
      <c r="VKF280" s="1144"/>
      <c r="VKG280" s="1144"/>
      <c r="VKH280" s="1144"/>
      <c r="VKI280" s="1144"/>
      <c r="VKJ280" s="1144"/>
      <c r="VKK280" s="1144"/>
      <c r="VKL280" s="1144"/>
      <c r="VKM280" s="1144"/>
      <c r="VKN280" s="1144"/>
      <c r="VKO280" s="1144"/>
      <c r="VKP280" s="1144"/>
      <c r="VKQ280" s="1144"/>
      <c r="VKR280" s="1144"/>
      <c r="VKS280" s="1144"/>
      <c r="VKT280" s="1144"/>
      <c r="VKU280" s="1144"/>
      <c r="VKV280" s="1144"/>
      <c r="VKW280" s="1144"/>
      <c r="VKX280" s="1144"/>
      <c r="VKY280" s="1144"/>
      <c r="VKZ280" s="1144"/>
      <c r="VLA280" s="1144"/>
      <c r="VLB280" s="1144"/>
      <c r="VLC280" s="1144"/>
      <c r="VLD280" s="1144"/>
      <c r="VLE280" s="1144"/>
      <c r="VLF280" s="1144"/>
      <c r="VLG280" s="1144"/>
      <c r="VLH280" s="1144"/>
      <c r="VLI280" s="1144"/>
      <c r="VLJ280" s="1144"/>
      <c r="VLK280" s="1144"/>
      <c r="VLL280" s="1144"/>
      <c r="VLM280" s="1144"/>
      <c r="VLN280" s="1144"/>
      <c r="VLO280" s="1144"/>
      <c r="VLP280" s="1144"/>
      <c r="VLQ280" s="1144"/>
      <c r="VLR280" s="1144"/>
      <c r="VLS280" s="1144"/>
      <c r="VLT280" s="1144"/>
      <c r="VLU280" s="1144"/>
      <c r="VLV280" s="1144"/>
      <c r="VLW280" s="1144"/>
      <c r="VLX280" s="1144"/>
      <c r="VLY280" s="1144"/>
      <c r="VLZ280" s="1144"/>
      <c r="VMA280" s="1144"/>
      <c r="VMB280" s="1144"/>
      <c r="VMC280" s="1144"/>
      <c r="VMD280" s="1144"/>
      <c r="VME280" s="1144"/>
      <c r="VMF280" s="1144"/>
      <c r="VMG280" s="1144"/>
      <c r="VMH280" s="1144"/>
      <c r="VMI280" s="1144"/>
      <c r="VMJ280" s="1144"/>
      <c r="VMK280" s="1144"/>
      <c r="VML280" s="1144"/>
      <c r="VMM280" s="1144"/>
      <c r="VMN280" s="1144"/>
      <c r="VMO280" s="1144"/>
      <c r="VMP280" s="1144"/>
      <c r="VMQ280" s="1144"/>
      <c r="VMR280" s="1144"/>
      <c r="VMS280" s="1144"/>
      <c r="VMT280" s="1144"/>
      <c r="VMU280" s="1144"/>
      <c r="VMV280" s="1144"/>
      <c r="VMW280" s="1144"/>
      <c r="VMX280" s="1144"/>
      <c r="VMY280" s="1144"/>
      <c r="VMZ280" s="1144"/>
      <c r="VNA280" s="1144"/>
      <c r="VNB280" s="1144"/>
      <c r="VNC280" s="1144"/>
      <c r="VND280" s="1144"/>
      <c r="VNE280" s="1144"/>
      <c r="VNF280" s="1144"/>
      <c r="VNG280" s="1144"/>
      <c r="VNH280" s="1144"/>
      <c r="VNI280" s="1144"/>
      <c r="VNJ280" s="1144"/>
      <c r="VNK280" s="1144"/>
      <c r="VNL280" s="1144"/>
      <c r="VNM280" s="1144"/>
      <c r="VNN280" s="1144"/>
      <c r="VNO280" s="1144"/>
      <c r="VNP280" s="1144"/>
      <c r="VNQ280" s="1144"/>
      <c r="VNR280" s="1144"/>
      <c r="VNS280" s="1144"/>
      <c r="VNT280" s="1144"/>
      <c r="VNU280" s="1144"/>
      <c r="VNV280" s="1144"/>
      <c r="VNW280" s="1144"/>
      <c r="VNX280" s="1144"/>
      <c r="VNY280" s="1144"/>
      <c r="VNZ280" s="1144"/>
      <c r="VOA280" s="1144"/>
      <c r="VOB280" s="1144"/>
      <c r="VOC280" s="1144"/>
      <c r="VOD280" s="1144"/>
      <c r="VOE280" s="1144"/>
      <c r="VOF280" s="1144"/>
      <c r="VOG280" s="1144"/>
      <c r="VOH280" s="1144"/>
      <c r="VOI280" s="1144"/>
      <c r="VOJ280" s="1144"/>
      <c r="VOK280" s="1144"/>
      <c r="VOL280" s="1144"/>
      <c r="VOM280" s="1144"/>
      <c r="VON280" s="1144"/>
      <c r="VOO280" s="1144"/>
      <c r="VOP280" s="1144"/>
      <c r="VOQ280" s="1144"/>
      <c r="VOR280" s="1144"/>
      <c r="VOS280" s="1144"/>
      <c r="VOT280" s="1144"/>
      <c r="VOU280" s="1144"/>
      <c r="VOV280" s="1144"/>
      <c r="VOW280" s="1144"/>
      <c r="VOX280" s="1144"/>
      <c r="VOY280" s="1144"/>
      <c r="VOZ280" s="1144"/>
      <c r="VPA280" s="1144"/>
      <c r="VPB280" s="1144"/>
      <c r="VPC280" s="1144"/>
      <c r="VPD280" s="1144"/>
      <c r="VPE280" s="1144"/>
      <c r="VPF280" s="1144"/>
      <c r="VPG280" s="1144"/>
      <c r="VPH280" s="1144"/>
      <c r="VPI280" s="1144"/>
      <c r="VPJ280" s="1144"/>
      <c r="VPK280" s="1144"/>
      <c r="VPL280" s="1144"/>
      <c r="VPM280" s="1144"/>
      <c r="VPN280" s="1144"/>
      <c r="VPO280" s="1144"/>
      <c r="VPP280" s="1144"/>
      <c r="VPQ280" s="1144"/>
      <c r="VPR280" s="1144"/>
      <c r="VPS280" s="1144"/>
      <c r="VPT280" s="1144"/>
      <c r="VPU280" s="1144"/>
      <c r="VPV280" s="1144"/>
      <c r="VPW280" s="1144"/>
      <c r="VPX280" s="1144"/>
      <c r="VPY280" s="1144"/>
      <c r="VPZ280" s="1144"/>
      <c r="VQA280" s="1144"/>
      <c r="VQB280" s="1144"/>
      <c r="VQC280" s="1144"/>
      <c r="VQD280" s="1144"/>
      <c r="VQE280" s="1144"/>
      <c r="VQF280" s="1144"/>
      <c r="VQG280" s="1144"/>
      <c r="VQH280" s="1144"/>
      <c r="VQI280" s="1144"/>
      <c r="VQJ280" s="1144"/>
      <c r="VQK280" s="1144"/>
      <c r="VQL280" s="1144"/>
      <c r="VQM280" s="1144"/>
      <c r="VQN280" s="1144"/>
      <c r="VQO280" s="1144"/>
      <c r="VQP280" s="1144"/>
      <c r="VQQ280" s="1144"/>
      <c r="VQR280" s="1144"/>
      <c r="VQS280" s="1144"/>
      <c r="VQT280" s="1144"/>
      <c r="VQU280" s="1144"/>
      <c r="VQV280" s="1144"/>
      <c r="VQW280" s="1144"/>
      <c r="VQX280" s="1144"/>
      <c r="VQY280" s="1144"/>
      <c r="VQZ280" s="1144"/>
      <c r="VRA280" s="1144"/>
      <c r="VRB280" s="1144"/>
      <c r="VRC280" s="1144"/>
      <c r="VRD280" s="1144"/>
      <c r="VRE280" s="1144"/>
      <c r="VRF280" s="1144"/>
      <c r="VRG280" s="1144"/>
      <c r="VRH280" s="1144"/>
      <c r="VRI280" s="1144"/>
      <c r="VRJ280" s="1144"/>
      <c r="VRK280" s="1144"/>
      <c r="VRL280" s="1144"/>
      <c r="VRM280" s="1144"/>
      <c r="VRN280" s="1144"/>
      <c r="VRO280" s="1144"/>
      <c r="VRP280" s="1144"/>
      <c r="VRQ280" s="1144"/>
      <c r="VRR280" s="1144"/>
      <c r="VRS280" s="1144"/>
      <c r="VRT280" s="1144"/>
      <c r="VRU280" s="1144"/>
      <c r="VRV280" s="1144"/>
      <c r="VRW280" s="1144"/>
      <c r="VRX280" s="1144"/>
      <c r="VRY280" s="1144"/>
      <c r="VRZ280" s="1144"/>
      <c r="VSA280" s="1144"/>
      <c r="VSB280" s="1144"/>
      <c r="VSC280" s="1144"/>
      <c r="VSD280" s="1144"/>
      <c r="VSE280" s="1144"/>
      <c r="VSF280" s="1144"/>
      <c r="VSG280" s="1144"/>
      <c r="VSH280" s="1144"/>
      <c r="VSI280" s="1144"/>
      <c r="VSJ280" s="1144"/>
      <c r="VSK280" s="1144"/>
      <c r="VSL280" s="1144"/>
      <c r="VSM280" s="1144"/>
      <c r="VSN280" s="1144"/>
      <c r="VSO280" s="1144"/>
      <c r="VSP280" s="1144"/>
      <c r="VSQ280" s="1144"/>
      <c r="VSR280" s="1144"/>
      <c r="VSS280" s="1144"/>
      <c r="VST280" s="1144"/>
      <c r="VSU280" s="1144"/>
      <c r="VSV280" s="1144"/>
      <c r="VSW280" s="1144"/>
      <c r="VSX280" s="1144"/>
      <c r="VSY280" s="1144"/>
      <c r="VSZ280" s="1144"/>
      <c r="VTA280" s="1144"/>
      <c r="VTB280" s="1144"/>
      <c r="VTC280" s="1144"/>
      <c r="VTD280" s="1144"/>
      <c r="VTE280" s="1144"/>
      <c r="VTF280" s="1144"/>
      <c r="VTG280" s="1144"/>
      <c r="VTH280" s="1144"/>
      <c r="VTI280" s="1144"/>
      <c r="VTJ280" s="1144"/>
      <c r="VTK280" s="1144"/>
      <c r="VTL280" s="1144"/>
      <c r="VTM280" s="1144"/>
      <c r="VTN280" s="1144"/>
      <c r="VTO280" s="1144"/>
      <c r="VTP280" s="1144"/>
      <c r="VTQ280" s="1144"/>
      <c r="VTR280" s="1144"/>
      <c r="VTS280" s="1144"/>
      <c r="VTT280" s="1144"/>
      <c r="VTU280" s="1144"/>
      <c r="VTV280" s="1144"/>
      <c r="VTW280" s="1144"/>
      <c r="VTX280" s="1144"/>
      <c r="VTY280" s="1144"/>
      <c r="VTZ280" s="1144"/>
      <c r="VUA280" s="1144"/>
      <c r="VUB280" s="1144"/>
      <c r="VUC280" s="1144"/>
      <c r="VUD280" s="1144"/>
      <c r="VUE280" s="1144"/>
      <c r="VUF280" s="1144"/>
      <c r="VUG280" s="1144"/>
      <c r="VUH280" s="1144"/>
      <c r="VUI280" s="1144"/>
      <c r="VUJ280" s="1144"/>
      <c r="VUK280" s="1144"/>
      <c r="VUL280" s="1144"/>
      <c r="VUM280" s="1144"/>
      <c r="VUN280" s="1144"/>
      <c r="VUO280" s="1144"/>
      <c r="VUP280" s="1144"/>
      <c r="VUQ280" s="1144"/>
      <c r="VUR280" s="1144"/>
      <c r="VUS280" s="1144"/>
      <c r="VUT280" s="1144"/>
      <c r="VUU280" s="1144"/>
      <c r="VUV280" s="1144"/>
      <c r="VUW280" s="1144"/>
      <c r="VUX280" s="1144"/>
      <c r="VUY280" s="1144"/>
      <c r="VUZ280" s="1144"/>
      <c r="VVA280" s="1144"/>
      <c r="VVB280" s="1144"/>
      <c r="VVC280" s="1144"/>
      <c r="VVD280" s="1144"/>
      <c r="VVE280" s="1144"/>
      <c r="VVF280" s="1144"/>
      <c r="VVG280" s="1144"/>
      <c r="VVH280" s="1144"/>
      <c r="VVI280" s="1144"/>
      <c r="VVJ280" s="1144"/>
      <c r="VVK280" s="1144"/>
      <c r="VVL280" s="1144"/>
      <c r="VVM280" s="1144"/>
      <c r="VVN280" s="1144"/>
      <c r="VVO280" s="1144"/>
      <c r="VVP280" s="1144"/>
      <c r="VVQ280" s="1144"/>
      <c r="VVR280" s="1144"/>
      <c r="VVS280" s="1144"/>
      <c r="VVT280" s="1144"/>
      <c r="VVU280" s="1144"/>
      <c r="VVV280" s="1144"/>
      <c r="VVW280" s="1144"/>
      <c r="VVX280" s="1144"/>
      <c r="VVY280" s="1144"/>
      <c r="VVZ280" s="1144"/>
      <c r="VWA280" s="1144"/>
      <c r="VWB280" s="1144"/>
      <c r="VWC280" s="1144"/>
      <c r="VWD280" s="1144"/>
      <c r="VWE280" s="1144"/>
      <c r="VWF280" s="1144"/>
      <c r="VWG280" s="1144"/>
      <c r="VWH280" s="1144"/>
      <c r="VWI280" s="1144"/>
      <c r="VWJ280" s="1144"/>
      <c r="VWK280" s="1144"/>
      <c r="VWL280" s="1144"/>
      <c r="VWM280" s="1144"/>
      <c r="VWN280" s="1144"/>
      <c r="VWO280" s="1144"/>
      <c r="VWP280" s="1144"/>
      <c r="VWQ280" s="1144"/>
      <c r="VWR280" s="1144"/>
      <c r="VWS280" s="1144"/>
      <c r="VWT280" s="1144"/>
      <c r="VWU280" s="1144"/>
      <c r="VWV280" s="1144"/>
      <c r="VWW280" s="1144"/>
      <c r="VWX280" s="1144"/>
      <c r="VWY280" s="1144"/>
      <c r="VWZ280" s="1144"/>
      <c r="VXA280" s="1144"/>
      <c r="VXB280" s="1144"/>
      <c r="VXC280" s="1144"/>
      <c r="VXD280" s="1144"/>
      <c r="VXE280" s="1144"/>
      <c r="VXF280" s="1144"/>
      <c r="VXG280" s="1144"/>
      <c r="VXH280" s="1144"/>
      <c r="VXI280" s="1144"/>
      <c r="VXJ280" s="1144"/>
      <c r="VXK280" s="1144"/>
      <c r="VXL280" s="1144"/>
      <c r="VXM280" s="1144"/>
      <c r="VXN280" s="1144"/>
      <c r="VXO280" s="1144"/>
      <c r="VXP280" s="1144"/>
      <c r="VXQ280" s="1144"/>
      <c r="VXR280" s="1144"/>
      <c r="VXS280" s="1144"/>
      <c r="VXT280" s="1144"/>
      <c r="VXU280" s="1144"/>
      <c r="VXV280" s="1144"/>
      <c r="VXW280" s="1144"/>
      <c r="VXX280" s="1144"/>
      <c r="VXY280" s="1144"/>
      <c r="VXZ280" s="1144"/>
      <c r="VYA280" s="1144"/>
      <c r="VYB280" s="1144"/>
      <c r="VYC280" s="1144"/>
      <c r="VYD280" s="1144"/>
      <c r="VYE280" s="1144"/>
      <c r="VYF280" s="1144"/>
      <c r="VYG280" s="1144"/>
      <c r="VYH280" s="1144"/>
      <c r="VYI280" s="1144"/>
      <c r="VYJ280" s="1144"/>
      <c r="VYK280" s="1144"/>
      <c r="VYL280" s="1144"/>
      <c r="VYM280" s="1144"/>
      <c r="VYN280" s="1144"/>
      <c r="VYO280" s="1144"/>
      <c r="VYP280" s="1144"/>
      <c r="VYQ280" s="1144"/>
      <c r="VYR280" s="1144"/>
      <c r="VYS280" s="1144"/>
      <c r="VYT280" s="1144"/>
      <c r="VYU280" s="1144"/>
      <c r="VYV280" s="1144"/>
      <c r="VYW280" s="1144"/>
      <c r="VYX280" s="1144"/>
      <c r="VYY280" s="1144"/>
      <c r="VYZ280" s="1144"/>
      <c r="VZA280" s="1144"/>
      <c r="VZB280" s="1144"/>
      <c r="VZC280" s="1144"/>
      <c r="VZD280" s="1144"/>
      <c r="VZE280" s="1144"/>
      <c r="VZF280" s="1144"/>
      <c r="VZG280" s="1144"/>
      <c r="VZH280" s="1144"/>
      <c r="VZI280" s="1144"/>
      <c r="VZJ280" s="1144"/>
      <c r="VZK280" s="1144"/>
      <c r="VZL280" s="1144"/>
      <c r="VZM280" s="1144"/>
      <c r="VZN280" s="1144"/>
      <c r="VZO280" s="1144"/>
      <c r="VZP280" s="1144"/>
      <c r="VZQ280" s="1144"/>
      <c r="VZR280" s="1144"/>
      <c r="VZS280" s="1144"/>
      <c r="VZT280" s="1144"/>
      <c r="VZU280" s="1144"/>
      <c r="VZV280" s="1144"/>
      <c r="VZW280" s="1144"/>
      <c r="VZX280" s="1144"/>
      <c r="VZY280" s="1144"/>
      <c r="VZZ280" s="1144"/>
      <c r="WAA280" s="1144"/>
      <c r="WAB280" s="1144"/>
      <c r="WAC280" s="1144"/>
      <c r="WAD280" s="1144"/>
      <c r="WAE280" s="1144"/>
      <c r="WAF280" s="1144"/>
      <c r="WAG280" s="1144"/>
      <c r="WAH280" s="1144"/>
      <c r="WAI280" s="1144"/>
      <c r="WAJ280" s="1144"/>
      <c r="WAK280" s="1144"/>
      <c r="WAL280" s="1144"/>
      <c r="WAM280" s="1144"/>
      <c r="WAN280" s="1144"/>
      <c r="WAO280" s="1144"/>
      <c r="WAP280" s="1144"/>
      <c r="WAQ280" s="1144"/>
      <c r="WAR280" s="1144"/>
      <c r="WAS280" s="1144"/>
      <c r="WAT280" s="1144"/>
      <c r="WAU280" s="1144"/>
      <c r="WAV280" s="1144"/>
      <c r="WAW280" s="1144"/>
      <c r="WAX280" s="1144"/>
      <c r="WAY280" s="1144"/>
      <c r="WAZ280" s="1144"/>
      <c r="WBA280" s="1144"/>
      <c r="WBB280" s="1144"/>
      <c r="WBC280" s="1144"/>
      <c r="WBD280" s="1144"/>
      <c r="WBE280" s="1144"/>
      <c r="WBF280" s="1144"/>
      <c r="WBG280" s="1144"/>
      <c r="WBH280" s="1144"/>
      <c r="WBI280" s="1144"/>
      <c r="WBJ280" s="1144"/>
      <c r="WBK280" s="1144"/>
      <c r="WBL280" s="1144"/>
      <c r="WBM280" s="1144"/>
      <c r="WBN280" s="1144"/>
      <c r="WBO280" s="1144"/>
      <c r="WBP280" s="1144"/>
      <c r="WBQ280" s="1144"/>
      <c r="WBR280" s="1144"/>
      <c r="WBS280" s="1144"/>
      <c r="WBT280" s="1144"/>
      <c r="WBU280" s="1144"/>
      <c r="WBV280" s="1144"/>
      <c r="WBW280" s="1144"/>
      <c r="WBX280" s="1144"/>
      <c r="WBY280" s="1144"/>
      <c r="WBZ280" s="1144"/>
      <c r="WCA280" s="1144"/>
      <c r="WCB280" s="1144"/>
      <c r="WCC280" s="1144"/>
      <c r="WCD280" s="1144"/>
      <c r="WCE280" s="1144"/>
      <c r="WCF280" s="1144"/>
      <c r="WCG280" s="1144"/>
      <c r="WCH280" s="1144"/>
      <c r="WCI280" s="1144"/>
      <c r="WCJ280" s="1144"/>
      <c r="WCK280" s="1144"/>
      <c r="WCL280" s="1144"/>
      <c r="WCM280" s="1144"/>
      <c r="WCN280" s="1144"/>
      <c r="WCO280" s="1144"/>
      <c r="WCP280" s="1144"/>
      <c r="WCQ280" s="1144"/>
      <c r="WCR280" s="1144"/>
      <c r="WCS280" s="1144"/>
      <c r="WCT280" s="1144"/>
      <c r="WCU280" s="1144"/>
      <c r="WCV280" s="1144"/>
      <c r="WCW280" s="1144"/>
      <c r="WCX280" s="1144"/>
      <c r="WCY280" s="1144"/>
      <c r="WCZ280" s="1144"/>
      <c r="WDA280" s="1144"/>
      <c r="WDB280" s="1144"/>
      <c r="WDC280" s="1144"/>
      <c r="WDD280" s="1144"/>
      <c r="WDE280" s="1144"/>
      <c r="WDF280" s="1144"/>
      <c r="WDG280" s="1144"/>
      <c r="WDH280" s="1144"/>
      <c r="WDI280" s="1144"/>
      <c r="WDJ280" s="1144"/>
      <c r="WDK280" s="1144"/>
      <c r="WDL280" s="1144"/>
      <c r="WDM280" s="1144"/>
      <c r="WDN280" s="1144"/>
      <c r="WDO280" s="1144"/>
      <c r="WDP280" s="1144"/>
      <c r="WDQ280" s="1144"/>
      <c r="WDR280" s="1144"/>
      <c r="WDS280" s="1144"/>
      <c r="WDT280" s="1144"/>
      <c r="WDU280" s="1144"/>
      <c r="WDV280" s="1144"/>
      <c r="WDW280" s="1144"/>
      <c r="WDX280" s="1144"/>
      <c r="WDY280" s="1144"/>
      <c r="WDZ280" s="1144"/>
      <c r="WEA280" s="1144"/>
      <c r="WEB280" s="1144"/>
      <c r="WEC280" s="1144"/>
      <c r="WED280" s="1144"/>
      <c r="WEE280" s="1144"/>
      <c r="WEF280" s="1144"/>
      <c r="WEG280" s="1144"/>
      <c r="WEH280" s="1144"/>
      <c r="WEI280" s="1144"/>
      <c r="WEJ280" s="1144"/>
      <c r="WEK280" s="1144"/>
      <c r="WEL280" s="1144"/>
      <c r="WEM280" s="1144"/>
      <c r="WEN280" s="1144"/>
      <c r="WEO280" s="1144"/>
      <c r="WEP280" s="1144"/>
      <c r="WEQ280" s="1144"/>
      <c r="WER280" s="1144"/>
      <c r="WES280" s="1144"/>
      <c r="WET280" s="1144"/>
      <c r="WEU280" s="1144"/>
      <c r="WEV280" s="1144"/>
      <c r="WEW280" s="1144"/>
      <c r="WEX280" s="1144"/>
      <c r="WEY280" s="1144"/>
      <c r="WEZ280" s="1144"/>
      <c r="WFA280" s="1144"/>
      <c r="WFB280" s="1144"/>
      <c r="WFC280" s="1144"/>
      <c r="WFD280" s="1144"/>
      <c r="WFE280" s="1144"/>
      <c r="WFF280" s="1144"/>
      <c r="WFG280" s="1144"/>
      <c r="WFH280" s="1144"/>
      <c r="WFI280" s="1144"/>
      <c r="WFJ280" s="1144"/>
      <c r="WFK280" s="1144"/>
      <c r="WFL280" s="1144"/>
      <c r="WFM280" s="1144"/>
      <c r="WFN280" s="1144"/>
      <c r="WFO280" s="1144"/>
      <c r="WFP280" s="1144"/>
      <c r="WFQ280" s="1144"/>
      <c r="WFR280" s="1144"/>
      <c r="WFS280" s="1144"/>
      <c r="WFT280" s="1144"/>
      <c r="WFU280" s="1144"/>
      <c r="WFV280" s="1144"/>
      <c r="WFW280" s="1144"/>
      <c r="WFX280" s="1144"/>
      <c r="WFY280" s="1144"/>
      <c r="WFZ280" s="1144"/>
      <c r="WGA280" s="1144"/>
      <c r="WGB280" s="1144"/>
      <c r="WGC280" s="1144"/>
      <c r="WGD280" s="1144"/>
      <c r="WGE280" s="1144"/>
      <c r="WGF280" s="1144"/>
      <c r="WGG280" s="1144"/>
      <c r="WGH280" s="1144"/>
      <c r="WGI280" s="1144"/>
      <c r="WGJ280" s="1144"/>
      <c r="WGK280" s="1144"/>
      <c r="WGL280" s="1144"/>
      <c r="WGM280" s="1144"/>
      <c r="WGN280" s="1144"/>
      <c r="WGO280" s="1144"/>
      <c r="WGP280" s="1144"/>
      <c r="WGQ280" s="1144"/>
      <c r="WGR280" s="1144"/>
      <c r="WGS280" s="1144"/>
      <c r="WGT280" s="1144"/>
      <c r="WGU280" s="1144"/>
      <c r="WGV280" s="1144"/>
      <c r="WGW280" s="1144"/>
      <c r="WGX280" s="1144"/>
      <c r="WGY280" s="1144"/>
      <c r="WGZ280" s="1144"/>
      <c r="WHA280" s="1144"/>
      <c r="WHB280" s="1144"/>
      <c r="WHC280" s="1144"/>
      <c r="WHD280" s="1144"/>
      <c r="WHE280" s="1144"/>
      <c r="WHF280" s="1144"/>
      <c r="WHG280" s="1144"/>
      <c r="WHH280" s="1144"/>
      <c r="WHI280" s="1144"/>
      <c r="WHJ280" s="1144"/>
      <c r="WHK280" s="1144"/>
      <c r="WHL280" s="1144"/>
      <c r="WHM280" s="1144"/>
      <c r="WHN280" s="1144"/>
      <c r="WHO280" s="1144"/>
      <c r="WHP280" s="1144"/>
      <c r="WHQ280" s="1144"/>
      <c r="WHR280" s="1144"/>
      <c r="WHS280" s="1144"/>
      <c r="WHT280" s="1144"/>
      <c r="WHU280" s="1144"/>
      <c r="WHV280" s="1144"/>
      <c r="WHW280" s="1144"/>
      <c r="WHX280" s="1144"/>
      <c r="WHY280" s="1144"/>
      <c r="WHZ280" s="1144"/>
      <c r="WIA280" s="1144"/>
      <c r="WIB280" s="1144"/>
      <c r="WIC280" s="1144"/>
      <c r="WID280" s="1144"/>
      <c r="WIE280" s="1144"/>
      <c r="WIF280" s="1144"/>
      <c r="WIG280" s="1144"/>
      <c r="WIH280" s="1144"/>
      <c r="WII280" s="1144"/>
      <c r="WIJ280" s="1144"/>
      <c r="WIK280" s="1144"/>
      <c r="WIL280" s="1144"/>
      <c r="WIM280" s="1144"/>
      <c r="WIN280" s="1144"/>
      <c r="WIO280" s="1144"/>
      <c r="WIP280" s="1144"/>
      <c r="WIQ280" s="1144"/>
      <c r="WIR280" s="1144"/>
      <c r="WIS280" s="1144"/>
      <c r="WIT280" s="1144"/>
      <c r="WIU280" s="1144"/>
      <c r="WIV280" s="1144"/>
      <c r="WIW280" s="1144"/>
      <c r="WIX280" s="1144"/>
      <c r="WIY280" s="1144"/>
      <c r="WIZ280" s="1144"/>
      <c r="WJA280" s="1144"/>
      <c r="WJB280" s="1144"/>
      <c r="WJC280" s="1144"/>
      <c r="WJD280" s="1144"/>
      <c r="WJE280" s="1144"/>
      <c r="WJF280" s="1144"/>
      <c r="WJG280" s="1144"/>
      <c r="WJH280" s="1144"/>
      <c r="WJI280" s="1144"/>
      <c r="WJJ280" s="1144"/>
      <c r="WJK280" s="1144"/>
      <c r="WJL280" s="1144"/>
      <c r="WJM280" s="1144"/>
      <c r="WJN280" s="1144"/>
      <c r="WJO280" s="1144"/>
      <c r="WJP280" s="1144"/>
      <c r="WJQ280" s="1144"/>
      <c r="WJR280" s="1144"/>
      <c r="WJS280" s="1144"/>
      <c r="WJT280" s="1144"/>
      <c r="WJU280" s="1144"/>
      <c r="WJV280" s="1144"/>
      <c r="WJW280" s="1144"/>
      <c r="WJX280" s="1144"/>
      <c r="WJY280" s="1144"/>
      <c r="WJZ280" s="1144"/>
      <c r="WKA280" s="1144"/>
      <c r="WKB280" s="1144"/>
      <c r="WKC280" s="1144"/>
      <c r="WKD280" s="1144"/>
      <c r="WKE280" s="1144"/>
      <c r="WKF280" s="1144"/>
      <c r="WKG280" s="1144"/>
      <c r="WKH280" s="1144"/>
      <c r="WKI280" s="1144"/>
      <c r="WKJ280" s="1144"/>
      <c r="WKK280" s="1144"/>
      <c r="WKL280" s="1144"/>
      <c r="WKM280" s="1144"/>
      <c r="WKN280" s="1144"/>
      <c r="WKO280" s="1144"/>
      <c r="WKP280" s="1144"/>
      <c r="WKQ280" s="1144"/>
      <c r="WKR280" s="1144"/>
      <c r="WKS280" s="1144"/>
      <c r="WKT280" s="1144"/>
      <c r="WKU280" s="1144"/>
      <c r="WKV280" s="1144"/>
      <c r="WKW280" s="1144"/>
      <c r="WKX280" s="1144"/>
      <c r="WKY280" s="1144"/>
      <c r="WKZ280" s="1144"/>
      <c r="WLA280" s="1144"/>
      <c r="WLB280" s="1144"/>
      <c r="WLC280" s="1144"/>
      <c r="WLD280" s="1144"/>
      <c r="WLE280" s="1144"/>
      <c r="WLF280" s="1144"/>
      <c r="WLG280" s="1144"/>
      <c r="WLH280" s="1144"/>
      <c r="WLI280" s="1144"/>
      <c r="WLJ280" s="1144"/>
      <c r="WLK280" s="1144"/>
      <c r="WLL280" s="1144"/>
      <c r="WLM280" s="1144"/>
      <c r="WLN280" s="1144"/>
      <c r="WLO280" s="1144"/>
      <c r="WLP280" s="1144"/>
      <c r="WLQ280" s="1144"/>
      <c r="WLR280" s="1144"/>
      <c r="WLS280" s="1144"/>
      <c r="WLT280" s="1144"/>
      <c r="WLU280" s="1144"/>
      <c r="WLV280" s="1144"/>
      <c r="WLW280" s="1144"/>
      <c r="WLX280" s="1144"/>
      <c r="WLY280" s="1144"/>
      <c r="WLZ280" s="1144"/>
      <c r="WMA280" s="1144"/>
      <c r="WMB280" s="1144"/>
      <c r="WMC280" s="1144"/>
      <c r="WMD280" s="1144"/>
      <c r="WME280" s="1144"/>
      <c r="WMF280" s="1144"/>
      <c r="WMG280" s="1144"/>
      <c r="WMH280" s="1144"/>
      <c r="WMI280" s="1144"/>
      <c r="WMJ280" s="1144"/>
      <c r="WMK280" s="1144"/>
      <c r="WML280" s="1144"/>
      <c r="WMM280" s="1144"/>
      <c r="WMN280" s="1144"/>
      <c r="WMO280" s="1144"/>
      <c r="WMP280" s="1144"/>
      <c r="WMQ280" s="1144"/>
      <c r="WMR280" s="1144"/>
      <c r="WMS280" s="1144"/>
      <c r="WMT280" s="1144"/>
      <c r="WMU280" s="1144"/>
      <c r="WMV280" s="1144"/>
      <c r="WMW280" s="1144"/>
      <c r="WMX280" s="1144"/>
      <c r="WMY280" s="1144"/>
      <c r="WMZ280" s="1144"/>
      <c r="WNA280" s="1144"/>
      <c r="WNB280" s="1144"/>
      <c r="WNC280" s="1144"/>
      <c r="WND280" s="1144"/>
      <c r="WNE280" s="1144"/>
      <c r="WNF280" s="1144"/>
      <c r="WNG280" s="1144"/>
      <c r="WNH280" s="1144"/>
      <c r="WNI280" s="1144"/>
      <c r="WNJ280" s="1144"/>
      <c r="WNK280" s="1144"/>
      <c r="WNL280" s="1144"/>
      <c r="WNM280" s="1144"/>
      <c r="WNN280" s="1144"/>
      <c r="WNO280" s="1144"/>
      <c r="WNP280" s="1144"/>
      <c r="WNQ280" s="1144"/>
      <c r="WNR280" s="1144"/>
      <c r="WNS280" s="1144"/>
      <c r="WNT280" s="1144"/>
      <c r="WNU280" s="1144"/>
      <c r="WNV280" s="1144"/>
      <c r="WNW280" s="1144"/>
      <c r="WNX280" s="1144"/>
      <c r="WNY280" s="1144"/>
      <c r="WNZ280" s="1144"/>
      <c r="WOA280" s="1144"/>
      <c r="WOB280" s="1144"/>
      <c r="WOC280" s="1144"/>
      <c r="WOD280" s="1144"/>
      <c r="WOE280" s="1144"/>
      <c r="WOF280" s="1144"/>
      <c r="WOG280" s="1144"/>
      <c r="WOH280" s="1144"/>
      <c r="WOI280" s="1144"/>
      <c r="WOJ280" s="1144"/>
      <c r="WOK280" s="1144"/>
      <c r="WOL280" s="1144"/>
      <c r="WOM280" s="1144"/>
      <c r="WON280" s="1144"/>
      <c r="WOO280" s="1144"/>
      <c r="WOP280" s="1144"/>
      <c r="WOQ280" s="1144"/>
      <c r="WOR280" s="1144"/>
      <c r="WOS280" s="1144"/>
      <c r="WOT280" s="1144"/>
      <c r="WOU280" s="1144"/>
      <c r="WOV280" s="1144"/>
      <c r="WOW280" s="1144"/>
      <c r="WOX280" s="1144"/>
      <c r="WOY280" s="1144"/>
      <c r="WOZ280" s="1144"/>
      <c r="WPA280" s="1144"/>
      <c r="WPB280" s="1144"/>
      <c r="WPC280" s="1144"/>
      <c r="WPD280" s="1144"/>
      <c r="WPE280" s="1144"/>
      <c r="WPF280" s="1144"/>
      <c r="WPG280" s="1144"/>
      <c r="WPH280" s="1144"/>
      <c r="WPI280" s="1144"/>
      <c r="WPJ280" s="1144"/>
      <c r="WPK280" s="1144"/>
      <c r="WPL280" s="1144"/>
      <c r="WPM280" s="1144"/>
      <c r="WPN280" s="1144"/>
      <c r="WPO280" s="1144"/>
      <c r="WPP280" s="1144"/>
      <c r="WPQ280" s="1144"/>
      <c r="WPR280" s="1144"/>
      <c r="WPS280" s="1144"/>
      <c r="WPT280" s="1144"/>
      <c r="WPU280" s="1144"/>
      <c r="WPV280" s="1144"/>
      <c r="WPW280" s="1144"/>
      <c r="WPX280" s="1144"/>
      <c r="WPY280" s="1144"/>
      <c r="WPZ280" s="1144"/>
      <c r="WQA280" s="1144"/>
      <c r="WQB280" s="1144"/>
      <c r="WQC280" s="1144"/>
      <c r="WQD280" s="1144"/>
      <c r="WQE280" s="1144"/>
      <c r="WQF280" s="1144"/>
      <c r="WQG280" s="1144"/>
      <c r="WQH280" s="1144"/>
      <c r="WQI280" s="1144"/>
      <c r="WQJ280" s="1144"/>
      <c r="WQK280" s="1144"/>
      <c r="WQL280" s="1144"/>
      <c r="WQM280" s="1144"/>
      <c r="WQN280" s="1144"/>
      <c r="WQO280" s="1144"/>
      <c r="WQP280" s="1144"/>
      <c r="WQQ280" s="1144"/>
      <c r="WQR280" s="1144"/>
      <c r="WQS280" s="1144"/>
      <c r="WQT280" s="1144"/>
      <c r="WQU280" s="1144"/>
      <c r="WQV280" s="1144"/>
      <c r="WQW280" s="1144"/>
      <c r="WQX280" s="1144"/>
      <c r="WQY280" s="1144"/>
      <c r="WQZ280" s="1144"/>
      <c r="WRA280" s="1144"/>
      <c r="WRB280" s="1144"/>
      <c r="WRC280" s="1144"/>
      <c r="WRD280" s="1144"/>
      <c r="WRE280" s="1144"/>
      <c r="WRF280" s="1144"/>
      <c r="WRG280" s="1144"/>
      <c r="WRH280" s="1144"/>
      <c r="WRI280" s="1144"/>
      <c r="WRJ280" s="1144"/>
      <c r="WRK280" s="1144"/>
      <c r="WRL280" s="1144"/>
      <c r="WRM280" s="1144"/>
      <c r="WRN280" s="1144"/>
      <c r="WRO280" s="1144"/>
      <c r="WRP280" s="1144"/>
      <c r="WRQ280" s="1144"/>
      <c r="WRR280" s="1144"/>
      <c r="WRS280" s="1144"/>
      <c r="WRT280" s="1144"/>
      <c r="WRU280" s="1144"/>
      <c r="WRV280" s="1144"/>
      <c r="WRW280" s="1144"/>
      <c r="WRX280" s="1144"/>
      <c r="WRY280" s="1144"/>
      <c r="WRZ280" s="1144"/>
      <c r="WSA280" s="1144"/>
      <c r="WSB280" s="1144"/>
      <c r="WSC280" s="1144"/>
      <c r="WSD280" s="1144"/>
      <c r="WSE280" s="1144"/>
      <c r="WSF280" s="1144"/>
      <c r="WSG280" s="1144"/>
      <c r="WSH280" s="1144"/>
      <c r="WSI280" s="1144"/>
      <c r="WSJ280" s="1144"/>
      <c r="WSK280" s="1144"/>
      <c r="WSL280" s="1144"/>
      <c r="WSM280" s="1144"/>
      <c r="WSN280" s="1144"/>
      <c r="WSO280" s="1144"/>
      <c r="WSP280" s="1144"/>
      <c r="WSQ280" s="1144"/>
      <c r="WSR280" s="1144"/>
      <c r="WSS280" s="1144"/>
      <c r="WST280" s="1144"/>
      <c r="WSU280" s="1144"/>
      <c r="WSV280" s="1144"/>
      <c r="WSW280" s="1144"/>
      <c r="WSX280" s="1144"/>
      <c r="WSY280" s="1144"/>
      <c r="WSZ280" s="1144"/>
      <c r="WTA280" s="1144"/>
      <c r="WTB280" s="1144"/>
      <c r="WTC280" s="1144"/>
      <c r="WTD280" s="1144"/>
      <c r="WTE280" s="1144"/>
      <c r="WTF280" s="1144"/>
      <c r="WTG280" s="1144"/>
      <c r="WTH280" s="1144"/>
      <c r="WTI280" s="1144"/>
      <c r="WTJ280" s="1144"/>
      <c r="WTK280" s="1144"/>
      <c r="WTL280" s="1144"/>
      <c r="WTM280" s="1144"/>
      <c r="WTN280" s="1144"/>
      <c r="WTO280" s="1144"/>
      <c r="WTP280" s="1144"/>
      <c r="WTQ280" s="1144"/>
      <c r="WTR280" s="1144"/>
      <c r="WTS280" s="1144"/>
      <c r="WTT280" s="1144"/>
      <c r="WTU280" s="1144"/>
      <c r="WTV280" s="1144"/>
      <c r="WTW280" s="1144"/>
      <c r="WTX280" s="1144"/>
      <c r="WTY280" s="1144"/>
      <c r="WTZ280" s="1144"/>
      <c r="WUA280" s="1144"/>
      <c r="WUB280" s="1144"/>
      <c r="WUC280" s="1144"/>
      <c r="WUD280" s="1144"/>
      <c r="WUE280" s="1144"/>
      <c r="WUF280" s="1144"/>
      <c r="WUG280" s="1144"/>
      <c r="WUH280" s="1144"/>
      <c r="WUI280" s="1144"/>
      <c r="WUJ280" s="1144"/>
      <c r="WUK280" s="1144"/>
      <c r="WUL280" s="1144"/>
      <c r="WUM280" s="1144"/>
      <c r="WUN280" s="1144"/>
      <c r="WUO280" s="1144"/>
      <c r="WUP280" s="1144"/>
      <c r="WUQ280" s="1144"/>
      <c r="WUR280" s="1144"/>
      <c r="WUS280" s="1144"/>
      <c r="WUT280" s="1144"/>
      <c r="WUU280" s="1144"/>
      <c r="WUV280" s="1144"/>
      <c r="WUW280" s="1144"/>
      <c r="WUX280" s="1144"/>
      <c r="WUY280" s="1144"/>
      <c r="WUZ280" s="1144"/>
      <c r="WVA280" s="1144"/>
      <c r="WVB280" s="1144"/>
      <c r="WVC280" s="1144"/>
      <c r="WVD280" s="1144"/>
      <c r="WVE280" s="1144"/>
      <c r="WVF280" s="1144"/>
      <c r="WVG280" s="1144"/>
      <c r="WVH280" s="1144"/>
      <c r="WVI280" s="1144"/>
      <c r="WVJ280" s="1144"/>
      <c r="WVK280" s="1144"/>
      <c r="WVL280" s="1144"/>
      <c r="WVM280" s="1144"/>
      <c r="WVN280" s="1144"/>
      <c r="WVO280" s="1144"/>
      <c r="WVP280" s="1144"/>
      <c r="WVQ280" s="1144"/>
      <c r="WVR280" s="1144"/>
      <c r="WVS280" s="1144"/>
      <c r="WVT280" s="1144"/>
      <c r="WVU280" s="1144"/>
      <c r="WVV280" s="1144"/>
      <c r="WVW280" s="1144"/>
      <c r="WVX280" s="1144"/>
      <c r="WVY280" s="1144"/>
      <c r="WVZ280" s="1144"/>
      <c r="WWA280" s="1144"/>
      <c r="WWB280" s="1144"/>
      <c r="WWC280" s="1144"/>
      <c r="WWD280" s="1144"/>
      <c r="WWE280" s="1144"/>
      <c r="WWF280" s="1144"/>
      <c r="WWG280" s="1144"/>
      <c r="WWH280" s="1144"/>
      <c r="WWI280" s="1144"/>
      <c r="WWJ280" s="1144"/>
      <c r="WWK280" s="1144"/>
      <c r="WWL280" s="1144"/>
      <c r="WWM280" s="1144"/>
      <c r="WWN280" s="1144"/>
      <c r="WWO280" s="1144"/>
      <c r="WWP280" s="1144"/>
      <c r="WWQ280" s="1144"/>
      <c r="WWR280" s="1144"/>
      <c r="WWS280" s="1144"/>
      <c r="WWT280" s="1144"/>
      <c r="WWU280" s="1144"/>
      <c r="WWV280" s="1144"/>
      <c r="WWW280" s="1144"/>
      <c r="WWX280" s="1144"/>
      <c r="WWY280" s="1144"/>
      <c r="WWZ280" s="1144"/>
      <c r="WXA280" s="1144"/>
      <c r="WXB280" s="1144"/>
      <c r="WXC280" s="1144"/>
      <c r="WXD280" s="1144"/>
      <c r="WXE280" s="1144"/>
      <c r="WXF280" s="1144"/>
      <c r="WXG280" s="1144"/>
      <c r="WXH280" s="1144"/>
      <c r="WXI280" s="1144"/>
      <c r="WXJ280" s="1144"/>
      <c r="WXK280" s="1144"/>
      <c r="WXL280" s="1144"/>
      <c r="WXM280" s="1144"/>
      <c r="WXN280" s="1144"/>
      <c r="WXO280" s="1144"/>
      <c r="WXP280" s="1144"/>
      <c r="WXQ280" s="1144"/>
      <c r="WXR280" s="1144"/>
      <c r="WXS280" s="1144"/>
      <c r="WXT280" s="1144"/>
      <c r="WXU280" s="1144"/>
      <c r="WXV280" s="1144"/>
      <c r="WXW280" s="1144"/>
      <c r="WXX280" s="1144"/>
      <c r="WXY280" s="1144"/>
      <c r="WXZ280" s="1144"/>
      <c r="WYA280" s="1144"/>
      <c r="WYB280" s="1144"/>
      <c r="WYC280" s="1144"/>
      <c r="WYD280" s="1144"/>
      <c r="WYE280" s="1144"/>
      <c r="WYF280" s="1144"/>
      <c r="WYG280" s="1144"/>
      <c r="WYH280" s="1144"/>
      <c r="WYI280" s="1144"/>
      <c r="WYJ280" s="1144"/>
      <c r="WYK280" s="1144"/>
      <c r="WYL280" s="1144"/>
      <c r="WYM280" s="1144"/>
      <c r="WYN280" s="1144"/>
      <c r="WYO280" s="1144"/>
      <c r="WYP280" s="1144"/>
      <c r="WYQ280" s="1144"/>
      <c r="WYR280" s="1144"/>
      <c r="WYS280" s="1144"/>
      <c r="WYT280" s="1144"/>
      <c r="WYU280" s="1144"/>
      <c r="WYV280" s="1144"/>
      <c r="WYW280" s="1144"/>
      <c r="WYX280" s="1144"/>
      <c r="WYY280" s="1144"/>
      <c r="WYZ280" s="1144"/>
      <c r="WZA280" s="1144"/>
      <c r="WZB280" s="1144"/>
      <c r="WZC280" s="1144"/>
      <c r="WZD280" s="1144"/>
      <c r="WZE280" s="1144"/>
      <c r="WZF280" s="1144"/>
      <c r="WZG280" s="1144"/>
      <c r="WZH280" s="1144"/>
      <c r="WZI280" s="1144"/>
      <c r="WZJ280" s="1144"/>
      <c r="WZK280" s="1144"/>
      <c r="WZL280" s="1144"/>
      <c r="WZM280" s="1144"/>
      <c r="WZN280" s="1144"/>
      <c r="WZO280" s="1144"/>
      <c r="WZP280" s="1144"/>
      <c r="WZQ280" s="1144"/>
      <c r="WZR280" s="1144"/>
      <c r="WZS280" s="1144"/>
      <c r="WZT280" s="1144"/>
      <c r="WZU280" s="1144"/>
      <c r="WZV280" s="1144"/>
      <c r="WZW280" s="1144"/>
      <c r="WZX280" s="1144"/>
      <c r="WZY280" s="1144"/>
      <c r="WZZ280" s="1144"/>
      <c r="XAA280" s="1144"/>
      <c r="XAB280" s="1144"/>
      <c r="XAC280" s="1144"/>
      <c r="XAD280" s="1144"/>
      <c r="XAE280" s="1144"/>
      <c r="XAF280" s="1144"/>
      <c r="XAG280" s="1144"/>
      <c r="XAH280" s="1144"/>
      <c r="XAI280" s="1144"/>
      <c r="XAJ280" s="1144"/>
      <c r="XAK280" s="1144"/>
      <c r="XAL280" s="1144"/>
      <c r="XAM280" s="1144"/>
      <c r="XAN280" s="1144"/>
      <c r="XAO280" s="1144"/>
      <c r="XAP280" s="1144"/>
      <c r="XAQ280" s="1144"/>
      <c r="XAR280" s="1144"/>
      <c r="XAS280" s="1144"/>
      <c r="XAT280" s="1144"/>
      <c r="XAU280" s="1144"/>
      <c r="XAV280" s="1144"/>
      <c r="XAW280" s="1144"/>
      <c r="XAX280" s="1144"/>
      <c r="XAY280" s="1144"/>
      <c r="XAZ280" s="1144"/>
      <c r="XBA280" s="1144"/>
      <c r="XBB280" s="1144"/>
      <c r="XBC280" s="1144"/>
      <c r="XBD280" s="1144"/>
      <c r="XBE280" s="1144"/>
      <c r="XBF280" s="1144"/>
      <c r="XBG280" s="1144"/>
      <c r="XBH280" s="1144"/>
      <c r="XBI280" s="1144"/>
      <c r="XBJ280" s="1144"/>
      <c r="XBK280" s="1144"/>
      <c r="XBL280" s="1144"/>
      <c r="XBM280" s="1144"/>
      <c r="XBN280" s="1144"/>
      <c r="XBO280" s="1144"/>
      <c r="XBP280" s="1144"/>
      <c r="XBQ280" s="1144"/>
      <c r="XBR280" s="1144"/>
      <c r="XBS280" s="1144"/>
      <c r="XBT280" s="1144"/>
      <c r="XBU280" s="1144"/>
      <c r="XBV280" s="1144"/>
      <c r="XBW280" s="1144"/>
      <c r="XBX280" s="1144"/>
      <c r="XBY280" s="1144"/>
      <c r="XBZ280" s="1144"/>
      <c r="XCA280" s="1144"/>
      <c r="XCB280" s="1144"/>
      <c r="XCC280" s="1144"/>
      <c r="XCD280" s="1144"/>
      <c r="XCE280" s="1144"/>
      <c r="XCF280" s="1144"/>
      <c r="XCG280" s="1144"/>
      <c r="XCH280" s="1144"/>
      <c r="XCI280" s="1144"/>
      <c r="XCJ280" s="1144"/>
      <c r="XCK280" s="1144"/>
      <c r="XCL280" s="1144"/>
      <c r="XCM280" s="1144"/>
      <c r="XCN280" s="1144"/>
      <c r="XCO280" s="1144"/>
      <c r="XCP280" s="1144"/>
      <c r="XCQ280" s="1144"/>
      <c r="XCR280" s="1144"/>
      <c r="XCS280" s="1144"/>
      <c r="XCT280" s="1144"/>
      <c r="XCU280" s="1144"/>
      <c r="XCV280" s="1144"/>
      <c r="XCW280" s="1144"/>
      <c r="XCX280" s="1144"/>
      <c r="XCY280" s="1144"/>
      <c r="XCZ280" s="1144"/>
      <c r="XDA280" s="1144"/>
      <c r="XDB280" s="1144"/>
      <c r="XDC280" s="1144"/>
      <c r="XDD280" s="1144"/>
      <c r="XDE280" s="1144"/>
      <c r="XDF280" s="1144"/>
      <c r="XDG280" s="1144"/>
      <c r="XDH280" s="1144"/>
      <c r="XDI280" s="1144"/>
      <c r="XDJ280" s="1144"/>
      <c r="XDK280" s="1144"/>
      <c r="XDL280" s="1144"/>
      <c r="XDM280" s="1144"/>
      <c r="XDN280" s="1144"/>
      <c r="XDO280" s="1144"/>
      <c r="XDP280" s="1144"/>
      <c r="XDQ280" s="1144"/>
      <c r="XDR280" s="1144"/>
      <c r="XDS280" s="1144"/>
      <c r="XDT280" s="1144"/>
      <c r="XDU280" s="1144"/>
      <c r="XDV280" s="1144"/>
      <c r="XDW280" s="1144"/>
      <c r="XDX280" s="1144"/>
      <c r="XDY280" s="1144"/>
      <c r="XDZ280" s="1144"/>
      <c r="XEA280" s="1144"/>
      <c r="XEB280" s="1144"/>
      <c r="XEC280" s="1144"/>
    </row>
    <row r="281" spans="1:16357" ht="12.75" hidden="1" customHeight="1" outlineLevel="1" x14ac:dyDescent="0.35">
      <c r="A281" s="17" t="s">
        <v>599</v>
      </c>
      <c r="B281" s="85"/>
      <c r="C281" s="89"/>
      <c r="D281" s="90"/>
      <c r="E281" s="90"/>
      <c r="F281" s="92"/>
      <c r="G281" s="85"/>
      <c r="H281" s="89"/>
      <c r="I281" s="90"/>
      <c r="J281" s="90"/>
      <c r="K281" s="90"/>
      <c r="L281" s="85"/>
      <c r="M281" s="90"/>
      <c r="N281" s="90"/>
      <c r="O281" s="90"/>
      <c r="P281" s="90"/>
      <c r="Q281" s="85"/>
      <c r="R281" s="38"/>
      <c r="S281" s="38"/>
      <c r="T281" s="38"/>
      <c r="U281" s="39"/>
      <c r="V281" s="85"/>
      <c r="W281" s="38"/>
      <c r="X281" s="38"/>
      <c r="Y281" s="38"/>
      <c r="Z281" s="39"/>
      <c r="AA281" s="54"/>
      <c r="AB281" s="87"/>
      <c r="AC281" s="38"/>
      <c r="AD281" s="38"/>
      <c r="AE281" s="38"/>
      <c r="AF281" s="85"/>
      <c r="AG281" s="38"/>
      <c r="AH281" s="38"/>
      <c r="AI281" s="38"/>
      <c r="AJ281" s="38"/>
      <c r="AK281" s="85"/>
      <c r="AL281" s="38"/>
      <c r="AM281" s="38"/>
      <c r="AN281" s="38"/>
      <c r="AO281" s="38"/>
      <c r="AP281" s="85"/>
      <c r="AQ281" s="38"/>
      <c r="AR281" s="38"/>
      <c r="AS281" s="38"/>
      <c r="AT281" s="38"/>
      <c r="AU281" s="86"/>
      <c r="AV281" s="45"/>
      <c r="AW281" s="38"/>
      <c r="AX281" s="38"/>
      <c r="AY281" s="38"/>
      <c r="AZ281" s="38"/>
      <c r="BA281" s="85"/>
      <c r="BB281" s="38"/>
      <c r="BC281" s="38"/>
      <c r="BD281" s="38"/>
      <c r="BE281" s="38"/>
      <c r="BF281" s="85"/>
      <c r="BG281" s="38"/>
      <c r="BH281" s="38"/>
      <c r="BI281" s="38"/>
      <c r="BJ281" s="38"/>
      <c r="BK281" s="85"/>
      <c r="BL281" s="38">
        <v>431.15100000000001</v>
      </c>
      <c r="BM281" s="38">
        <v>468.59699999999998</v>
      </c>
      <c r="BN281" s="38">
        <v>473.64100000000002</v>
      </c>
      <c r="BO281" s="38">
        <v>498.90699999999998</v>
      </c>
      <c r="BP281" s="85">
        <v>1872.296</v>
      </c>
      <c r="BQ281" s="38">
        <v>452.35300000000001</v>
      </c>
      <c r="BR281" s="38">
        <v>511.762</v>
      </c>
      <c r="BS281" s="38">
        <v>534.45600000000002</v>
      </c>
      <c r="BT281" s="38">
        <v>533.36019205282605</v>
      </c>
      <c r="BU281" s="85">
        <v>2031.931192052826</v>
      </c>
      <c r="BV281" s="1070">
        <v>477.2014924316407</v>
      </c>
      <c r="BW281" s="1070">
        <v>537.02709859897357</v>
      </c>
      <c r="BX281" s="1070">
        <v>560.97649387474189</v>
      </c>
      <c r="BY281" s="1070">
        <v>602.54828113658925</v>
      </c>
      <c r="BZ281" s="85">
        <v>2177.7533660419454</v>
      </c>
      <c r="CA281" s="38">
        <v>477.2014924316407</v>
      </c>
      <c r="CB281" s="38">
        <v>537.02709859897357</v>
      </c>
      <c r="CC281" s="38">
        <v>560.97649387474189</v>
      </c>
      <c r="CD281" s="38">
        <v>602.54828113658925</v>
      </c>
      <c r="CE281" s="85">
        <v>2177.7533660419454</v>
      </c>
      <c r="CF281" s="38">
        <v>500.73489220605478</v>
      </c>
      <c r="CG281" s="38">
        <v>563.39806880787921</v>
      </c>
      <c r="CH281" s="38">
        <v>588.34917471493463</v>
      </c>
      <c r="CI281" s="38">
        <v>586.95916460110902</v>
      </c>
      <c r="CJ281" s="85">
        <v>2239.4413003299778</v>
      </c>
      <c r="CK281" s="38">
        <v>519.66779442188454</v>
      </c>
      <c r="CL281" s="38">
        <v>561.10349727751486</v>
      </c>
      <c r="CM281" s="38">
        <v>573.04268291701521</v>
      </c>
      <c r="CN281" s="38">
        <v>600.5340365697441</v>
      </c>
      <c r="CO281" s="85">
        <v>2254.3480111861591</v>
      </c>
      <c r="CP281" s="38">
        <v>543.73211083176932</v>
      </c>
      <c r="CQ281" s="38">
        <v>586.56583677917877</v>
      </c>
      <c r="CR281" s="38">
        <v>598.89666091011941</v>
      </c>
      <c r="CS281" s="38">
        <v>627.50840228753543</v>
      </c>
      <c r="CT281" s="85">
        <v>2356.7030108086028</v>
      </c>
      <c r="CU281" s="38">
        <v>573.54520511754959</v>
      </c>
      <c r="CV281" s="38">
        <v>618.56859743081509</v>
      </c>
      <c r="CW281" s="38">
        <v>631.05911930420268</v>
      </c>
      <c r="CX281" s="38">
        <v>660.72513489246239</v>
      </c>
      <c r="CY281" s="85">
        <v>2483.8980567450299</v>
      </c>
      <c r="CZ281" s="38">
        <v>603.70322591954925</v>
      </c>
      <c r="DA281" s="38">
        <v>650.56745160571529</v>
      </c>
      <c r="DB281" s="38">
        <v>662.83112587602</v>
      </c>
      <c r="DC281" s="38">
        <v>693.15348988594053</v>
      </c>
      <c r="DD281" s="85">
        <v>2610.255293287225</v>
      </c>
      <c r="DE281" s="38">
        <v>632.79549058709017</v>
      </c>
      <c r="DF281" s="38">
        <v>681.39851841562052</v>
      </c>
      <c r="DG281" s="38">
        <v>693.3884029733066</v>
      </c>
      <c r="DH281" s="38">
        <v>723.5202225717311</v>
      </c>
      <c r="DI281" s="85">
        <v>2731.1026345477485</v>
      </c>
      <c r="DJ281" s="38">
        <v>659.28968608333787</v>
      </c>
      <c r="DK281" s="38">
        <v>709.79926655719589</v>
      </c>
      <c r="DL281" s="38">
        <v>722.22638839523484</v>
      </c>
      <c r="DM281" s="38">
        <v>753.66271763800421</v>
      </c>
      <c r="DN281" s="85">
        <v>2844.9780586737729</v>
      </c>
      <c r="DO281" s="38"/>
      <c r="DP281" s="38"/>
      <c r="DQ281" s="38"/>
      <c r="DR281" s="38"/>
      <c r="DS281" s="85"/>
      <c r="DT281" s="38"/>
      <c r="DU281" s="38"/>
      <c r="DV281" s="38"/>
      <c r="DW281" s="38"/>
      <c r="DX281" s="85"/>
      <c r="DY281" s="38"/>
      <c r="DZ281" s="38"/>
      <c r="EA281" s="38"/>
      <c r="EB281" s="38"/>
      <c r="EC281" s="85"/>
      <c r="ED281" s="46"/>
      <c r="EE281" s="37"/>
      <c r="EF281" s="286"/>
      <c r="EG281" s="25"/>
      <c r="EH281" s="25"/>
      <c r="EI281" s="25"/>
      <c r="EJ281" s="25"/>
      <c r="EK281" s="25"/>
      <c r="EL281" s="25"/>
      <c r="EM281" s="25"/>
      <c r="EN281" s="25"/>
      <c r="EO281" s="25"/>
      <c r="EP281" s="25"/>
      <c r="EQ281" s="25"/>
      <c r="ER281" s="25"/>
      <c r="ES281" s="25"/>
      <c r="ET281" s="25"/>
      <c r="EU281" s="25"/>
      <c r="EX281" s="25"/>
      <c r="EY281" s="294"/>
      <c r="EZ281" s="985"/>
      <c r="FA281" s="985"/>
      <c r="FB281" s="294"/>
      <c r="FC281" s="985"/>
      <c r="FD281" s="25"/>
      <c r="FK281" s="1069"/>
      <c r="FL281" s="1069"/>
      <c r="FM281" s="1069"/>
      <c r="FN281" s="1069"/>
      <c r="FO281" s="1069"/>
      <c r="FP281" s="1069"/>
      <c r="FQ281" s="1069"/>
      <c r="FR281" s="1069"/>
      <c r="FS281" s="1069"/>
      <c r="FT281" s="1069"/>
      <c r="FU281" s="1069"/>
      <c r="FV281" s="1069"/>
      <c r="FW281" s="1069"/>
      <c r="FX281" s="1069"/>
      <c r="FY281" s="1069"/>
      <c r="FZ281" s="1069"/>
      <c r="GA281" s="1069"/>
      <c r="GB281" s="1069"/>
      <c r="GC281" s="1069"/>
      <c r="GD281" s="1069"/>
      <c r="GE281" s="1069"/>
      <c r="GF281" s="1069"/>
      <c r="GG281" s="1069"/>
      <c r="GH281" s="1069"/>
      <c r="GI281" s="1069"/>
      <c r="GJ281" s="1069"/>
      <c r="GK281" s="1069"/>
      <c r="GL281" s="1069"/>
      <c r="GM281" s="1069"/>
      <c r="GN281" s="1069"/>
      <c r="GO281" s="1069"/>
      <c r="GP281" s="1069"/>
      <c r="GQ281" s="1069"/>
      <c r="GR281" s="1069"/>
      <c r="GS281" s="1069"/>
      <c r="GT281" s="1069"/>
      <c r="GU281" s="1069"/>
      <c r="GV281" s="1069"/>
      <c r="GW281" s="1069"/>
      <c r="GX281" s="1069"/>
      <c r="GY281" s="1069"/>
      <c r="GZ281" s="1069"/>
      <c r="HA281" s="1069"/>
      <c r="HB281" s="1069"/>
      <c r="HC281" s="1069"/>
      <c r="HD281" s="1069"/>
      <c r="HE281" s="1069"/>
      <c r="HF281" s="1069"/>
      <c r="HG281" s="1069"/>
      <c r="HH281" s="1069"/>
      <c r="HI281" s="1069"/>
      <c r="HJ281" s="1069"/>
      <c r="HK281" s="1069"/>
      <c r="HL281" s="1069"/>
      <c r="HM281" s="1069"/>
      <c r="HN281" s="1069"/>
      <c r="HO281" s="1069"/>
      <c r="HP281" s="1069"/>
      <c r="HQ281" s="1069"/>
      <c r="HR281" s="1069"/>
      <c r="HS281" s="1069"/>
      <c r="HT281" s="1069"/>
      <c r="HU281" s="1069"/>
      <c r="HV281" s="1069"/>
      <c r="HW281" s="1069"/>
      <c r="HX281" s="1069"/>
      <c r="HY281" s="1069"/>
      <c r="HZ281" s="1069"/>
      <c r="IA281" s="1069"/>
      <c r="IB281" s="1069"/>
      <c r="IC281" s="1069"/>
      <c r="ID281" s="1069"/>
      <c r="IE281" s="1069"/>
      <c r="IF281" s="1069"/>
      <c r="IG281" s="1069"/>
      <c r="IH281" s="1069"/>
      <c r="II281" s="1069"/>
      <c r="IJ281" s="1069"/>
      <c r="IK281" s="1069"/>
      <c r="IL281" s="1069"/>
      <c r="IM281" s="1069"/>
      <c r="IN281" s="1069"/>
      <c r="IO281" s="1069"/>
      <c r="IP281" s="1069"/>
      <c r="IQ281" s="1069"/>
      <c r="IR281" s="1069"/>
      <c r="IS281" s="1069"/>
      <c r="IT281" s="1069"/>
      <c r="IU281" s="1069"/>
      <c r="IV281" s="1069"/>
      <c r="IW281" s="1069"/>
      <c r="IX281" s="1069"/>
      <c r="IY281" s="1069"/>
      <c r="IZ281" s="1069"/>
      <c r="JA281" s="1069"/>
      <c r="JB281" s="1069"/>
      <c r="JC281" s="1069"/>
      <c r="JD281" s="1069"/>
      <c r="JE281" s="1069"/>
      <c r="JF281" s="1069"/>
      <c r="JG281" s="1069"/>
      <c r="JH281" s="1069"/>
      <c r="JI281" s="1069"/>
      <c r="JJ281" s="1069"/>
      <c r="JK281" s="1069"/>
      <c r="JL281" s="1069"/>
      <c r="JM281" s="1069"/>
      <c r="JN281" s="1069"/>
      <c r="JO281" s="1069"/>
      <c r="JP281" s="1069"/>
      <c r="JQ281" s="1069"/>
      <c r="JR281" s="1069"/>
      <c r="JS281" s="1069"/>
      <c r="JT281" s="1069"/>
      <c r="JU281" s="1069"/>
      <c r="JV281" s="1069"/>
      <c r="JW281" s="1069"/>
      <c r="JX281" s="1069"/>
      <c r="JY281" s="1069"/>
      <c r="JZ281" s="1069"/>
      <c r="KA281" s="1069"/>
      <c r="KB281" s="1069"/>
      <c r="KC281" s="1069"/>
      <c r="KD281" s="1069"/>
      <c r="KE281" s="1069"/>
      <c r="KF281" s="1069"/>
      <c r="KG281" s="1069"/>
      <c r="KH281" s="1069"/>
      <c r="KI281" s="1069"/>
      <c r="KJ281" s="1069"/>
      <c r="KK281" s="1069"/>
      <c r="KL281" s="1069"/>
      <c r="KM281" s="1069"/>
      <c r="KN281" s="1069"/>
      <c r="KO281" s="1069"/>
      <c r="KP281" s="1069"/>
      <c r="KQ281" s="1069"/>
      <c r="KR281" s="1069"/>
      <c r="KS281" s="1069"/>
      <c r="KT281" s="1069"/>
      <c r="KU281" s="1069"/>
      <c r="KV281" s="1069"/>
      <c r="KW281" s="1069"/>
      <c r="KX281" s="1069"/>
      <c r="KY281" s="1069"/>
      <c r="KZ281" s="1069"/>
      <c r="LA281" s="1069"/>
      <c r="LB281" s="1069"/>
      <c r="LC281" s="1069"/>
      <c r="LD281" s="1069"/>
      <c r="LE281" s="1069"/>
      <c r="LF281" s="1069"/>
      <c r="LG281" s="1069"/>
      <c r="LH281" s="1069"/>
      <c r="LI281" s="1069"/>
      <c r="LJ281" s="1069"/>
      <c r="LK281" s="1069"/>
      <c r="LL281" s="1069"/>
      <c r="LM281" s="1069"/>
      <c r="LN281" s="1069"/>
      <c r="LO281" s="1069"/>
      <c r="LP281" s="1069"/>
      <c r="LQ281" s="1069"/>
      <c r="LR281" s="1069"/>
      <c r="LS281" s="1069"/>
      <c r="LT281" s="1069"/>
      <c r="LU281" s="1069"/>
      <c r="LV281" s="1069"/>
      <c r="LW281" s="1069"/>
      <c r="LX281" s="1069"/>
      <c r="LY281" s="1069"/>
      <c r="LZ281" s="1069"/>
      <c r="MA281" s="1069"/>
      <c r="MB281" s="1069"/>
      <c r="MC281" s="1069"/>
      <c r="MD281" s="1069"/>
      <c r="ME281" s="1069"/>
      <c r="MF281" s="1069"/>
      <c r="MG281" s="1069"/>
      <c r="MH281" s="1069"/>
      <c r="MI281" s="1069"/>
      <c r="MJ281" s="1069"/>
      <c r="MK281" s="1069"/>
      <c r="ML281" s="1069"/>
      <c r="MM281" s="1069"/>
      <c r="MN281" s="1069"/>
      <c r="MO281" s="1069"/>
      <c r="MP281" s="1069"/>
      <c r="MQ281" s="1069"/>
      <c r="MR281" s="1069"/>
      <c r="MS281" s="1069"/>
      <c r="MT281" s="1069"/>
      <c r="MU281" s="1069"/>
      <c r="MV281" s="1069"/>
      <c r="MW281" s="1069"/>
      <c r="MX281" s="1069"/>
      <c r="MY281" s="1069"/>
      <c r="MZ281" s="1069"/>
      <c r="NA281" s="1069"/>
      <c r="NB281" s="1069"/>
      <c r="NC281" s="1069"/>
      <c r="ND281" s="1069"/>
      <c r="NE281" s="1069"/>
      <c r="NF281" s="1069"/>
      <c r="NG281" s="1069"/>
      <c r="NH281" s="1069"/>
      <c r="NI281" s="1069"/>
      <c r="NJ281" s="1069"/>
      <c r="NK281" s="1069"/>
      <c r="NL281" s="1069"/>
      <c r="NM281" s="1069"/>
      <c r="NN281" s="1069"/>
      <c r="NO281" s="1069"/>
      <c r="NP281" s="1069"/>
      <c r="NQ281" s="1069"/>
      <c r="NR281" s="1069"/>
      <c r="NS281" s="1069"/>
      <c r="NT281" s="1069"/>
      <c r="NU281" s="1069"/>
      <c r="NV281" s="1069"/>
      <c r="NW281" s="1069"/>
      <c r="NX281" s="1069"/>
      <c r="NY281" s="1069"/>
      <c r="NZ281" s="1069"/>
      <c r="OA281" s="1069"/>
      <c r="OB281" s="1069"/>
      <c r="OC281" s="1069"/>
      <c r="OD281" s="1069"/>
      <c r="OE281" s="1069"/>
      <c r="OF281" s="1069"/>
      <c r="OG281" s="1069"/>
      <c r="OH281" s="1069"/>
      <c r="OI281" s="1069"/>
      <c r="OJ281" s="1069"/>
      <c r="OK281" s="1069"/>
      <c r="OL281" s="1069"/>
      <c r="OM281" s="1069"/>
      <c r="ON281" s="1069"/>
      <c r="OO281" s="1069"/>
      <c r="OP281" s="1069"/>
      <c r="OQ281" s="1069"/>
      <c r="OR281" s="1069"/>
      <c r="OS281" s="1069"/>
      <c r="OT281" s="1069"/>
      <c r="OU281" s="1069"/>
      <c r="OV281" s="1069"/>
      <c r="OW281" s="1069"/>
      <c r="OX281" s="1069"/>
      <c r="OY281" s="1069"/>
      <c r="OZ281" s="1069"/>
      <c r="PA281" s="1069"/>
      <c r="PB281" s="1069"/>
      <c r="PC281" s="1069"/>
      <c r="PD281" s="1069"/>
      <c r="PE281" s="1069"/>
      <c r="PF281" s="1069"/>
      <c r="PG281" s="1069"/>
      <c r="PH281" s="1069"/>
      <c r="PI281" s="1069"/>
      <c r="PJ281" s="1069"/>
      <c r="PK281" s="1069"/>
      <c r="PL281" s="1069"/>
      <c r="PM281" s="1069"/>
      <c r="PN281" s="1069"/>
      <c r="PO281" s="1069"/>
      <c r="PP281" s="1069"/>
      <c r="PQ281" s="1069"/>
      <c r="PR281" s="1069"/>
      <c r="PS281" s="1069"/>
      <c r="PT281" s="1069"/>
      <c r="PU281" s="1069"/>
      <c r="PV281" s="1069"/>
      <c r="PW281" s="1069"/>
      <c r="PX281" s="1069"/>
      <c r="PY281" s="1069"/>
      <c r="PZ281" s="1069"/>
      <c r="QA281" s="1069"/>
      <c r="QB281" s="1069"/>
      <c r="QC281" s="1069"/>
      <c r="QD281" s="1069"/>
      <c r="QE281" s="1069"/>
      <c r="QF281" s="1069"/>
      <c r="QG281" s="1069"/>
      <c r="QH281" s="1069"/>
      <c r="QI281" s="1069"/>
      <c r="QJ281" s="1069"/>
      <c r="QK281" s="1069"/>
      <c r="QL281" s="1069"/>
      <c r="QM281" s="1069"/>
      <c r="QN281" s="1069"/>
      <c r="QO281" s="1069"/>
      <c r="QP281" s="1069"/>
      <c r="QQ281" s="1069"/>
      <c r="QR281" s="1069"/>
      <c r="QS281" s="1069"/>
      <c r="QT281" s="1069"/>
      <c r="QU281" s="1069"/>
      <c r="QV281" s="1069"/>
      <c r="QW281" s="1069"/>
      <c r="QX281" s="1069"/>
      <c r="QY281" s="1069"/>
      <c r="QZ281" s="1069"/>
      <c r="RA281" s="1069"/>
      <c r="RB281" s="1069"/>
      <c r="RC281" s="1069"/>
      <c r="RD281" s="1069"/>
      <c r="RE281" s="1069"/>
      <c r="RF281" s="1069"/>
      <c r="RG281" s="1069"/>
      <c r="RH281" s="1069"/>
      <c r="RI281" s="1069"/>
      <c r="RJ281" s="1069"/>
      <c r="RK281" s="1069"/>
      <c r="RL281" s="1069"/>
      <c r="RM281" s="1069"/>
      <c r="RN281" s="1069"/>
      <c r="RO281" s="1069"/>
      <c r="RP281" s="1069"/>
      <c r="RQ281" s="1069"/>
      <c r="RR281" s="1069"/>
      <c r="RS281" s="1069"/>
      <c r="RT281" s="1069"/>
      <c r="RU281" s="1069"/>
      <c r="RV281" s="1069"/>
      <c r="RW281" s="1069"/>
      <c r="RX281" s="1069"/>
      <c r="RY281" s="1069"/>
      <c r="RZ281" s="1069"/>
      <c r="SA281" s="1069"/>
      <c r="SB281" s="1069"/>
      <c r="SC281" s="1069"/>
      <c r="SD281" s="1069"/>
      <c r="SE281" s="1069"/>
      <c r="SF281" s="1069"/>
      <c r="SG281" s="1069"/>
      <c r="SH281" s="1069"/>
      <c r="SI281" s="1069"/>
      <c r="SJ281" s="1069"/>
      <c r="SK281" s="1069"/>
      <c r="SL281" s="1069"/>
      <c r="SM281" s="1069"/>
      <c r="SN281" s="1069"/>
      <c r="SO281" s="1069"/>
      <c r="SP281" s="1069"/>
      <c r="SQ281" s="1069"/>
      <c r="SR281" s="1069"/>
      <c r="SS281" s="1069"/>
      <c r="ST281" s="1069"/>
      <c r="SU281" s="1069"/>
      <c r="SV281" s="1069"/>
      <c r="SW281" s="1069"/>
      <c r="SX281" s="1069"/>
      <c r="SY281" s="1069"/>
      <c r="SZ281" s="1069"/>
      <c r="TA281" s="1069"/>
      <c r="TB281" s="1069"/>
      <c r="TC281" s="1069"/>
      <c r="TD281" s="1069"/>
      <c r="TE281" s="1069"/>
      <c r="TF281" s="1069"/>
      <c r="TG281" s="1069"/>
      <c r="TH281" s="1069"/>
      <c r="TI281" s="1069"/>
      <c r="TJ281" s="1069"/>
      <c r="TK281" s="1069"/>
      <c r="TL281" s="1069"/>
      <c r="TM281" s="1069"/>
      <c r="TN281" s="1069"/>
      <c r="TO281" s="1069"/>
      <c r="TP281" s="1069"/>
      <c r="TQ281" s="1069"/>
      <c r="TR281" s="1069"/>
      <c r="TS281" s="1069"/>
      <c r="TT281" s="1069"/>
      <c r="TU281" s="1069"/>
      <c r="TV281" s="1069"/>
      <c r="TW281" s="1069"/>
      <c r="TX281" s="1069"/>
      <c r="TY281" s="1069"/>
      <c r="TZ281" s="1069"/>
      <c r="UA281" s="1069"/>
      <c r="UB281" s="1069"/>
      <c r="UC281" s="1069"/>
      <c r="UD281" s="1069"/>
      <c r="UE281" s="1069"/>
      <c r="UF281" s="1069"/>
      <c r="UG281" s="1069"/>
      <c r="UH281" s="1069"/>
      <c r="UI281" s="1069"/>
      <c r="UJ281" s="1069"/>
      <c r="UK281" s="1069"/>
      <c r="UL281" s="1069"/>
      <c r="UM281" s="1069"/>
      <c r="UN281" s="1069"/>
      <c r="UO281" s="1069"/>
      <c r="UP281" s="1069"/>
      <c r="UQ281" s="1069"/>
      <c r="UR281" s="1069"/>
      <c r="US281" s="1069"/>
      <c r="UT281" s="1069"/>
      <c r="UU281" s="1069"/>
      <c r="UV281" s="1069"/>
      <c r="UW281" s="1069"/>
      <c r="UX281" s="1069"/>
      <c r="UY281" s="1069"/>
      <c r="UZ281" s="1069"/>
      <c r="VA281" s="1069"/>
      <c r="VB281" s="1069"/>
      <c r="VC281" s="1069"/>
      <c r="VD281" s="1069"/>
      <c r="VE281" s="1069"/>
      <c r="VF281" s="1069"/>
      <c r="VG281" s="1069"/>
      <c r="VH281" s="1069"/>
      <c r="VI281" s="1069"/>
      <c r="VJ281" s="1069"/>
      <c r="VK281" s="1069"/>
      <c r="VL281" s="1069"/>
      <c r="VM281" s="1069"/>
      <c r="VN281" s="1069"/>
      <c r="VO281" s="1069"/>
      <c r="VP281" s="1069"/>
      <c r="VQ281" s="1069"/>
      <c r="VR281" s="1069"/>
      <c r="VS281" s="1069"/>
      <c r="VT281" s="1069"/>
      <c r="VU281" s="1069"/>
      <c r="VV281" s="1069"/>
      <c r="VW281" s="1069"/>
      <c r="VX281" s="1069"/>
      <c r="VY281" s="1069"/>
      <c r="VZ281" s="1069"/>
      <c r="WA281" s="1069"/>
      <c r="WB281" s="1069"/>
      <c r="WC281" s="1069"/>
      <c r="WD281" s="1069"/>
      <c r="WE281" s="1069"/>
      <c r="WF281" s="1069"/>
      <c r="WG281" s="1069"/>
      <c r="WH281" s="1069"/>
      <c r="WI281" s="1069"/>
      <c r="WJ281" s="1069"/>
      <c r="WK281" s="1069"/>
      <c r="WL281" s="1069"/>
      <c r="WM281" s="1069"/>
      <c r="WN281" s="1069"/>
      <c r="WO281" s="1069"/>
      <c r="WP281" s="1069"/>
      <c r="WQ281" s="1069"/>
      <c r="WR281" s="1069"/>
      <c r="WS281" s="1069"/>
      <c r="WT281" s="1069"/>
      <c r="WU281" s="1069"/>
      <c r="WV281" s="1069"/>
      <c r="WW281" s="1069"/>
      <c r="WX281" s="1069"/>
      <c r="WY281" s="1069"/>
      <c r="WZ281" s="1069"/>
      <c r="XA281" s="1069"/>
      <c r="XB281" s="1069"/>
      <c r="XC281" s="1069"/>
      <c r="XD281" s="1069"/>
      <c r="XE281" s="1069"/>
      <c r="XF281" s="1069"/>
      <c r="XG281" s="1069"/>
      <c r="XH281" s="1069"/>
      <c r="XI281" s="1069"/>
      <c r="XJ281" s="1069"/>
      <c r="XK281" s="1069"/>
      <c r="XL281" s="1069"/>
      <c r="XM281" s="1069"/>
      <c r="XN281" s="1069"/>
      <c r="XO281" s="1069"/>
      <c r="XP281" s="1069"/>
      <c r="XQ281" s="1069"/>
      <c r="XR281" s="1069"/>
      <c r="XS281" s="1069"/>
      <c r="XT281" s="1069"/>
      <c r="XU281" s="1069"/>
      <c r="XV281" s="1069"/>
      <c r="XW281" s="1069"/>
      <c r="XX281" s="1069"/>
      <c r="XY281" s="1069"/>
      <c r="XZ281" s="1069"/>
      <c r="YA281" s="1069"/>
      <c r="YB281" s="1069"/>
      <c r="YC281" s="1069"/>
      <c r="YD281" s="1069"/>
      <c r="YE281" s="1069"/>
      <c r="YF281" s="1069"/>
      <c r="YG281" s="1069"/>
      <c r="YH281" s="1069"/>
      <c r="YI281" s="1069"/>
      <c r="YJ281" s="1069"/>
      <c r="YK281" s="1069"/>
      <c r="YL281" s="1069"/>
      <c r="YM281" s="1069"/>
      <c r="YN281" s="1069"/>
      <c r="YO281" s="1069"/>
      <c r="YP281" s="1069"/>
      <c r="YQ281" s="1069"/>
      <c r="YR281" s="1069"/>
      <c r="YS281" s="1069"/>
      <c r="YT281" s="1069"/>
      <c r="YU281" s="1069"/>
      <c r="YV281" s="1069"/>
      <c r="YW281" s="1069"/>
      <c r="YX281" s="1069"/>
      <c r="YY281" s="1069"/>
      <c r="YZ281" s="1069"/>
      <c r="ZA281" s="1069"/>
      <c r="ZB281" s="1069"/>
      <c r="ZC281" s="1069"/>
      <c r="ZD281" s="1069"/>
      <c r="ZE281" s="1069"/>
      <c r="ZF281" s="1069"/>
      <c r="ZG281" s="1069"/>
      <c r="ZH281" s="1069"/>
      <c r="ZI281" s="1069"/>
      <c r="ZJ281" s="1069"/>
      <c r="ZK281" s="1069"/>
      <c r="ZL281" s="1069"/>
      <c r="ZM281" s="1069"/>
      <c r="ZN281" s="1069"/>
      <c r="ZO281" s="1069"/>
      <c r="ZP281" s="1069"/>
      <c r="ZQ281" s="1069"/>
      <c r="ZR281" s="1069"/>
      <c r="ZS281" s="1069"/>
      <c r="ZT281" s="1069"/>
      <c r="ZU281" s="1069"/>
      <c r="ZV281" s="1069"/>
      <c r="ZW281" s="1069"/>
      <c r="ZX281" s="1069"/>
      <c r="ZY281" s="1069"/>
      <c r="ZZ281" s="1069"/>
      <c r="AAA281" s="1069"/>
      <c r="AAB281" s="1069"/>
      <c r="AAC281" s="1069"/>
      <c r="AAD281" s="1069"/>
      <c r="AAE281" s="1069"/>
      <c r="AAF281" s="1069"/>
      <c r="AAG281" s="1069"/>
      <c r="AAH281" s="1069"/>
      <c r="AAI281" s="1069"/>
      <c r="AAJ281" s="1069"/>
      <c r="AAK281" s="1069"/>
      <c r="AAL281" s="1069"/>
      <c r="AAM281" s="1069"/>
      <c r="AAN281" s="1069"/>
      <c r="AAO281" s="1069"/>
      <c r="AAP281" s="1069"/>
      <c r="AAQ281" s="1069"/>
      <c r="AAR281" s="1069"/>
      <c r="AAS281" s="1069"/>
      <c r="AAT281" s="1069"/>
      <c r="AAU281" s="1069"/>
      <c r="AAV281" s="1069"/>
      <c r="AAW281" s="1069"/>
      <c r="AAX281" s="1069"/>
      <c r="AAY281" s="1069"/>
      <c r="AAZ281" s="1069"/>
      <c r="ABA281" s="1069"/>
      <c r="ABB281" s="1069"/>
      <c r="ABC281" s="1069"/>
      <c r="ABD281" s="1069"/>
      <c r="ABE281" s="1069"/>
      <c r="ABF281" s="1069"/>
      <c r="ABG281" s="1069"/>
      <c r="ABH281" s="1069"/>
      <c r="ABI281" s="1069"/>
      <c r="ABJ281" s="1069"/>
      <c r="ABK281" s="1069"/>
      <c r="ABL281" s="1069"/>
      <c r="ABM281" s="1069"/>
      <c r="ABN281" s="1069"/>
      <c r="ABO281" s="1069"/>
      <c r="ABP281" s="1069"/>
      <c r="ABQ281" s="1069"/>
      <c r="ABR281" s="1069"/>
      <c r="ABS281" s="1069"/>
      <c r="ABT281" s="1069"/>
      <c r="ABU281" s="1069"/>
      <c r="ABV281" s="1069"/>
      <c r="ABW281" s="1069"/>
      <c r="ABX281" s="1069"/>
      <c r="ABY281" s="1069"/>
      <c r="ABZ281" s="1069"/>
      <c r="ACA281" s="1069"/>
      <c r="ACB281" s="1069"/>
      <c r="ACC281" s="1069"/>
      <c r="ACD281" s="1069"/>
      <c r="ACE281" s="1069"/>
      <c r="ACF281" s="1069"/>
      <c r="ACG281" s="1069"/>
      <c r="ACH281" s="1069"/>
      <c r="ACI281" s="1069"/>
      <c r="ACJ281" s="1069"/>
      <c r="ACK281" s="1069"/>
      <c r="ACL281" s="1069"/>
      <c r="ACM281" s="1069"/>
      <c r="ACN281" s="1069"/>
      <c r="ACO281" s="1069"/>
      <c r="ACP281" s="1069"/>
      <c r="ACQ281" s="1069"/>
      <c r="ACR281" s="1069"/>
      <c r="ACS281" s="1069"/>
      <c r="ACT281" s="1069"/>
      <c r="ACU281" s="1069"/>
      <c r="ACV281" s="1069"/>
      <c r="ACW281" s="1069"/>
      <c r="ACX281" s="1069"/>
      <c r="ACY281" s="1069"/>
      <c r="ACZ281" s="1069"/>
      <c r="ADA281" s="1069"/>
      <c r="ADB281" s="1069"/>
      <c r="ADC281" s="1069"/>
      <c r="ADD281" s="1069"/>
      <c r="ADE281" s="1069"/>
      <c r="ADF281" s="1069"/>
      <c r="ADG281" s="1069"/>
      <c r="ADH281" s="1069"/>
      <c r="ADI281" s="1069"/>
      <c r="ADJ281" s="1069"/>
      <c r="ADK281" s="1069"/>
      <c r="ADL281" s="1069"/>
      <c r="ADM281" s="1069"/>
      <c r="ADN281" s="1069"/>
      <c r="ADO281" s="1069"/>
      <c r="ADP281" s="1069"/>
      <c r="ADQ281" s="1069"/>
      <c r="ADR281" s="1069"/>
      <c r="ADS281" s="1069"/>
      <c r="ADT281" s="1069"/>
      <c r="ADU281" s="1069"/>
      <c r="ADV281" s="1069"/>
      <c r="ADW281" s="1069"/>
      <c r="ADX281" s="1069"/>
      <c r="ADY281" s="1069"/>
      <c r="ADZ281" s="1069"/>
      <c r="AEA281" s="1069"/>
      <c r="AEB281" s="1069"/>
      <c r="AEC281" s="1069"/>
      <c r="AED281" s="1069"/>
      <c r="AEE281" s="1069"/>
      <c r="AEF281" s="1069"/>
      <c r="AEG281" s="1069"/>
      <c r="AEH281" s="1069"/>
      <c r="AEI281" s="1069"/>
      <c r="AEJ281" s="1069"/>
      <c r="AEK281" s="1069"/>
      <c r="AEL281" s="1069"/>
      <c r="AEM281" s="1069"/>
      <c r="AEN281" s="1069"/>
      <c r="AEO281" s="1069"/>
      <c r="AEP281" s="1069"/>
      <c r="AEQ281" s="1069"/>
      <c r="AER281" s="1069"/>
      <c r="AES281" s="1069"/>
      <c r="AET281" s="1069"/>
      <c r="AEU281" s="1069"/>
      <c r="AEV281" s="1069"/>
      <c r="AEW281" s="1069"/>
      <c r="AEX281" s="1069"/>
      <c r="AEY281" s="1069"/>
      <c r="AEZ281" s="1069"/>
      <c r="AFA281" s="1069"/>
      <c r="AFB281" s="1069"/>
      <c r="AFC281" s="1069"/>
      <c r="AFD281" s="1069"/>
      <c r="AFE281" s="1069"/>
      <c r="AFF281" s="1069"/>
      <c r="AFG281" s="1069"/>
      <c r="AFH281" s="1069"/>
      <c r="AFI281" s="1069"/>
      <c r="AFJ281" s="1069"/>
      <c r="AFK281" s="1069"/>
      <c r="AFL281" s="1069"/>
      <c r="AFM281" s="1069"/>
      <c r="AFN281" s="1069"/>
      <c r="AFO281" s="1069"/>
      <c r="AFP281" s="1069"/>
      <c r="AFQ281" s="1069"/>
      <c r="AFR281" s="1069"/>
      <c r="AFS281" s="1069"/>
      <c r="AFT281" s="1069"/>
      <c r="AFU281" s="1069"/>
      <c r="AFV281" s="1069"/>
      <c r="AFW281" s="1069"/>
      <c r="AFX281" s="1069"/>
      <c r="AFY281" s="1069"/>
      <c r="AFZ281" s="1069"/>
      <c r="AGA281" s="1069"/>
      <c r="AGB281" s="1069"/>
      <c r="AGC281" s="1069"/>
      <c r="AGD281" s="1069"/>
      <c r="AGE281" s="1069"/>
      <c r="AGF281" s="1069"/>
      <c r="AGG281" s="1069"/>
      <c r="AGH281" s="1069"/>
      <c r="AGI281" s="1069"/>
      <c r="AGJ281" s="1069"/>
      <c r="AGK281" s="1069"/>
      <c r="AGL281" s="1069"/>
      <c r="AGM281" s="1069"/>
      <c r="AGN281" s="1069"/>
      <c r="AGO281" s="1069"/>
      <c r="AGP281" s="1069"/>
      <c r="AGQ281" s="1069"/>
      <c r="AGR281" s="1069"/>
      <c r="AGS281" s="1069"/>
      <c r="AGT281" s="1069"/>
      <c r="AGU281" s="1069"/>
      <c r="AGV281" s="1069"/>
      <c r="AGW281" s="1069"/>
      <c r="AGX281" s="1069"/>
      <c r="AGY281" s="1069"/>
      <c r="AGZ281" s="1069"/>
      <c r="AHA281" s="1069"/>
      <c r="AHB281" s="1069"/>
      <c r="AHC281" s="1069"/>
      <c r="AHD281" s="1069"/>
      <c r="AHE281" s="1069"/>
      <c r="AHF281" s="1069"/>
      <c r="AHG281" s="1069"/>
      <c r="AHH281" s="1069"/>
      <c r="AHI281" s="1069"/>
      <c r="AHJ281" s="1069"/>
      <c r="AHK281" s="1069"/>
      <c r="AHL281" s="1069"/>
      <c r="AHM281" s="1069"/>
      <c r="AHN281" s="1069"/>
      <c r="AHO281" s="1069"/>
      <c r="AHP281" s="1069"/>
      <c r="AHQ281" s="1069"/>
      <c r="AHR281" s="1069"/>
      <c r="AHS281" s="1069"/>
      <c r="AHT281" s="1069"/>
      <c r="AHU281" s="1069"/>
      <c r="AHV281" s="1069"/>
      <c r="AHW281" s="1069"/>
      <c r="AHX281" s="1069"/>
      <c r="AHY281" s="1069"/>
      <c r="AHZ281" s="1069"/>
      <c r="AIA281" s="1069"/>
      <c r="AIB281" s="1069"/>
      <c r="AIC281" s="1069"/>
      <c r="AID281" s="1069"/>
      <c r="AIE281" s="1069"/>
      <c r="AIF281" s="1069"/>
      <c r="AIG281" s="1069"/>
      <c r="AIH281" s="1069"/>
      <c r="AII281" s="1069"/>
      <c r="AIJ281" s="1069"/>
      <c r="AIK281" s="1069"/>
      <c r="AIL281" s="1069"/>
      <c r="AIM281" s="1069"/>
      <c r="AIN281" s="1069"/>
      <c r="AIO281" s="1069"/>
      <c r="AIP281" s="1069"/>
      <c r="AIQ281" s="1069"/>
      <c r="AIR281" s="1069"/>
      <c r="AIS281" s="1069"/>
      <c r="AIT281" s="1069"/>
      <c r="AIU281" s="1069"/>
      <c r="AIV281" s="1069"/>
      <c r="AIW281" s="1069"/>
      <c r="AIX281" s="1069"/>
      <c r="AIY281" s="1069"/>
      <c r="AIZ281" s="1069"/>
      <c r="AJA281" s="1069"/>
      <c r="AJB281" s="1069"/>
      <c r="AJC281" s="1069"/>
      <c r="AJD281" s="1069"/>
      <c r="AJE281" s="1069"/>
      <c r="AJF281" s="1069"/>
      <c r="AJG281" s="1069"/>
      <c r="AJH281" s="1069"/>
      <c r="AJI281" s="1069"/>
      <c r="AJJ281" s="1069"/>
      <c r="AJK281" s="1069"/>
      <c r="AJL281" s="1069"/>
      <c r="AJM281" s="1069"/>
      <c r="AJN281" s="1069"/>
      <c r="AJO281" s="1069"/>
      <c r="AJP281" s="1069"/>
      <c r="AJQ281" s="1069"/>
      <c r="AJR281" s="1069"/>
      <c r="AJS281" s="1069"/>
      <c r="AJT281" s="1069"/>
      <c r="AJU281" s="1069"/>
      <c r="AJV281" s="1069"/>
      <c r="AJW281" s="1069"/>
      <c r="AJX281" s="1069"/>
      <c r="AJY281" s="1069"/>
      <c r="AJZ281" s="1069"/>
      <c r="AKA281" s="1069"/>
      <c r="AKB281" s="1069"/>
      <c r="AKC281" s="1069"/>
      <c r="AKD281" s="1069"/>
      <c r="AKE281" s="1069"/>
      <c r="AKF281" s="1069"/>
      <c r="AKG281" s="1069"/>
      <c r="AKH281" s="1069"/>
      <c r="AKI281" s="1069"/>
      <c r="AKJ281" s="1069"/>
      <c r="AKK281" s="1069"/>
      <c r="AKL281" s="1069"/>
      <c r="AKM281" s="1069"/>
      <c r="AKN281" s="1069"/>
      <c r="AKO281" s="1069"/>
      <c r="AKP281" s="1069"/>
      <c r="AKQ281" s="1069"/>
      <c r="AKR281" s="1069"/>
      <c r="AKS281" s="1069"/>
      <c r="AKT281" s="1069"/>
      <c r="AKU281" s="1069"/>
      <c r="AKV281" s="1069"/>
      <c r="AKW281" s="1069"/>
      <c r="AKX281" s="1069"/>
      <c r="AKY281" s="1069"/>
      <c r="AKZ281" s="1069"/>
      <c r="ALA281" s="1069"/>
      <c r="ALB281" s="1069"/>
      <c r="ALC281" s="1069"/>
      <c r="ALD281" s="1069"/>
      <c r="ALE281" s="1069"/>
      <c r="ALF281" s="1069"/>
      <c r="ALG281" s="1069"/>
      <c r="ALH281" s="1069"/>
      <c r="ALI281" s="1069"/>
      <c r="ALJ281" s="1069"/>
      <c r="ALK281" s="1069"/>
      <c r="ALL281" s="1069"/>
      <c r="ALM281" s="1069"/>
      <c r="ALN281" s="1069"/>
      <c r="ALO281" s="1069"/>
      <c r="ALP281" s="1069"/>
      <c r="ALQ281" s="1069"/>
      <c r="ALR281" s="1069"/>
      <c r="ALS281" s="1069"/>
      <c r="ALT281" s="1069"/>
      <c r="ALU281" s="1069"/>
      <c r="ALV281" s="1069"/>
      <c r="ALW281" s="1069"/>
      <c r="ALX281" s="1069"/>
      <c r="ALY281" s="1069"/>
      <c r="ALZ281" s="1069"/>
      <c r="AMA281" s="1069"/>
      <c r="AMB281" s="1069"/>
      <c r="AMC281" s="1069"/>
      <c r="AMD281" s="1069"/>
      <c r="AME281" s="1069"/>
      <c r="AMF281" s="1069"/>
      <c r="AMG281" s="1069"/>
      <c r="AMH281" s="1069"/>
      <c r="AMI281" s="1069"/>
      <c r="AMJ281" s="1069"/>
      <c r="AMK281" s="1069"/>
      <c r="AML281" s="1069"/>
      <c r="AMM281" s="1069"/>
      <c r="AMN281" s="1069"/>
      <c r="AMO281" s="1069"/>
      <c r="AMP281" s="1069"/>
      <c r="AMQ281" s="1069"/>
      <c r="AMR281" s="1069"/>
      <c r="AMS281" s="1069"/>
      <c r="AMT281" s="1069"/>
      <c r="AMU281" s="1069"/>
      <c r="AMV281" s="1069"/>
      <c r="AMW281" s="1069"/>
      <c r="AMX281" s="1069"/>
      <c r="AMY281" s="1069"/>
      <c r="AMZ281" s="1069"/>
      <c r="ANA281" s="1069"/>
      <c r="ANB281" s="1069"/>
      <c r="ANC281" s="1069"/>
      <c r="AND281" s="1069"/>
      <c r="ANE281" s="1069"/>
      <c r="ANF281" s="1069"/>
      <c r="ANG281" s="1069"/>
      <c r="ANH281" s="1069"/>
      <c r="ANI281" s="1069"/>
      <c r="ANJ281" s="1069"/>
      <c r="ANK281" s="1069"/>
      <c r="ANL281" s="1069"/>
      <c r="ANM281" s="1069"/>
      <c r="ANN281" s="1069"/>
      <c r="ANO281" s="1069"/>
      <c r="ANP281" s="1069"/>
      <c r="ANQ281" s="1069"/>
      <c r="ANR281" s="1069"/>
      <c r="ANS281" s="1069"/>
      <c r="ANT281" s="1069"/>
      <c r="ANU281" s="1069"/>
      <c r="ANV281" s="1069"/>
      <c r="ANW281" s="1069"/>
      <c r="ANX281" s="1069"/>
      <c r="ANY281" s="1069"/>
      <c r="ANZ281" s="1069"/>
      <c r="AOA281" s="1069"/>
      <c r="AOB281" s="1069"/>
      <c r="AOC281" s="1069"/>
      <c r="AOD281" s="1069"/>
      <c r="AOE281" s="1069"/>
      <c r="AOF281" s="1069"/>
      <c r="AOG281" s="1069"/>
      <c r="AOH281" s="1069"/>
      <c r="AOI281" s="1069"/>
      <c r="AOJ281" s="1069"/>
      <c r="AOK281" s="1069"/>
      <c r="AOL281" s="1069"/>
      <c r="AOM281" s="1069"/>
      <c r="AON281" s="1069"/>
      <c r="AOO281" s="1069"/>
      <c r="AOP281" s="1069"/>
      <c r="AOQ281" s="1069"/>
      <c r="AOR281" s="1069"/>
      <c r="AOS281" s="1069"/>
      <c r="AOT281" s="1069"/>
      <c r="AOU281" s="1069"/>
      <c r="AOV281" s="1069"/>
      <c r="AOW281" s="1069"/>
      <c r="AOX281" s="1069"/>
      <c r="AOY281" s="1069"/>
      <c r="AOZ281" s="1069"/>
      <c r="APA281" s="1069"/>
      <c r="APB281" s="1069"/>
      <c r="APC281" s="1069"/>
      <c r="APD281" s="1069"/>
      <c r="APE281" s="1069"/>
      <c r="APF281" s="1069"/>
      <c r="APG281" s="1069"/>
      <c r="APH281" s="1069"/>
      <c r="API281" s="1069"/>
      <c r="APJ281" s="1069"/>
      <c r="APK281" s="1069"/>
      <c r="APL281" s="1069"/>
      <c r="APM281" s="1069"/>
      <c r="APN281" s="1069"/>
      <c r="APO281" s="1069"/>
      <c r="APP281" s="1069"/>
      <c r="APQ281" s="1069"/>
      <c r="APR281" s="1069"/>
      <c r="APS281" s="1069"/>
      <c r="APT281" s="1069"/>
      <c r="APU281" s="1069"/>
      <c r="APV281" s="1069"/>
      <c r="APW281" s="1069"/>
      <c r="APX281" s="1069"/>
      <c r="APY281" s="1069"/>
      <c r="APZ281" s="1069"/>
      <c r="AQA281" s="1069"/>
      <c r="AQB281" s="1069"/>
      <c r="AQC281" s="1069"/>
      <c r="AQD281" s="1069"/>
      <c r="AQE281" s="1069"/>
      <c r="AQF281" s="1069"/>
      <c r="AQG281" s="1069"/>
      <c r="AQH281" s="1069"/>
      <c r="AQI281" s="1069"/>
      <c r="AQJ281" s="1069"/>
      <c r="AQK281" s="1069"/>
      <c r="AQL281" s="1069"/>
      <c r="AQM281" s="1069"/>
      <c r="AQN281" s="1069"/>
      <c r="AQO281" s="1069"/>
      <c r="AQP281" s="1069"/>
      <c r="AQQ281" s="1069"/>
      <c r="AQR281" s="1069"/>
      <c r="AQS281" s="1069"/>
      <c r="AQT281" s="1069"/>
      <c r="AQU281" s="1069"/>
      <c r="AQV281" s="1069"/>
      <c r="AQW281" s="1069"/>
      <c r="AQX281" s="1069"/>
      <c r="AQY281" s="1069"/>
      <c r="AQZ281" s="1069"/>
      <c r="ARA281" s="1069"/>
      <c r="ARB281" s="1069"/>
      <c r="ARC281" s="1069"/>
      <c r="ARD281" s="1069"/>
      <c r="ARE281" s="1069"/>
      <c r="ARF281" s="1069"/>
      <c r="ARG281" s="1069"/>
      <c r="ARH281" s="1069"/>
      <c r="ARI281" s="1069"/>
      <c r="ARJ281" s="1069"/>
      <c r="ARK281" s="1069"/>
      <c r="ARL281" s="1069"/>
      <c r="ARM281" s="1069"/>
      <c r="ARN281" s="1069"/>
      <c r="ARO281" s="1069"/>
      <c r="ARP281" s="1069"/>
      <c r="ARQ281" s="1069"/>
      <c r="ARR281" s="1069"/>
      <c r="ARS281" s="1069"/>
      <c r="ART281" s="1069"/>
      <c r="ARU281" s="1069"/>
      <c r="ARV281" s="1069"/>
      <c r="ARW281" s="1069"/>
      <c r="ARX281" s="1069"/>
      <c r="ARY281" s="1069"/>
      <c r="ARZ281" s="1069"/>
      <c r="ASA281" s="1069"/>
      <c r="ASB281" s="1069"/>
      <c r="ASC281" s="1069"/>
      <c r="ASD281" s="1069"/>
      <c r="ASE281" s="1069"/>
      <c r="ASF281" s="1069"/>
      <c r="ASG281" s="1069"/>
      <c r="ASH281" s="1069"/>
      <c r="ASI281" s="1069"/>
      <c r="ASJ281" s="1069"/>
      <c r="ASK281" s="1069"/>
      <c r="ASL281" s="1069"/>
      <c r="ASM281" s="1069"/>
      <c r="ASN281" s="1069"/>
      <c r="ASO281" s="1069"/>
      <c r="ASP281" s="1069"/>
      <c r="ASQ281" s="1069"/>
      <c r="ASR281" s="1069"/>
      <c r="ASS281" s="1069"/>
      <c r="AST281" s="1069"/>
      <c r="ASU281" s="1069"/>
      <c r="ASV281" s="1069"/>
      <c r="ASW281" s="1069"/>
      <c r="ASX281" s="1069"/>
      <c r="ASY281" s="1069"/>
      <c r="ASZ281" s="1069"/>
      <c r="ATA281" s="1069"/>
      <c r="ATB281" s="1069"/>
      <c r="ATC281" s="1069"/>
      <c r="ATD281" s="1069"/>
      <c r="ATE281" s="1069"/>
      <c r="ATF281" s="1069"/>
      <c r="ATG281" s="1069"/>
      <c r="ATH281" s="1069"/>
      <c r="ATI281" s="1069"/>
      <c r="ATJ281" s="1069"/>
      <c r="ATK281" s="1069"/>
      <c r="ATL281" s="1069"/>
      <c r="ATM281" s="1069"/>
      <c r="ATN281" s="1069"/>
      <c r="ATO281" s="1069"/>
      <c r="ATP281" s="1069"/>
      <c r="ATQ281" s="1069"/>
      <c r="ATR281" s="1069"/>
      <c r="ATS281" s="1069"/>
      <c r="ATT281" s="1069"/>
      <c r="ATU281" s="1069"/>
      <c r="ATV281" s="1069"/>
      <c r="ATW281" s="1069"/>
      <c r="ATX281" s="1069"/>
      <c r="ATY281" s="1069"/>
      <c r="ATZ281" s="1069"/>
      <c r="AUA281" s="1069"/>
      <c r="AUB281" s="1069"/>
      <c r="AUC281" s="1069"/>
      <c r="AUD281" s="1069"/>
      <c r="AUE281" s="1069"/>
      <c r="AUF281" s="1069"/>
      <c r="AUG281" s="1069"/>
      <c r="AUH281" s="1069"/>
      <c r="AUI281" s="1069"/>
      <c r="AUJ281" s="1069"/>
      <c r="AUK281" s="1069"/>
      <c r="AUL281" s="1069"/>
      <c r="AUM281" s="1069"/>
      <c r="AUN281" s="1069"/>
      <c r="AUO281" s="1069"/>
      <c r="AUP281" s="1069"/>
      <c r="AUQ281" s="1069"/>
      <c r="AUR281" s="1069"/>
      <c r="AUS281" s="1069"/>
      <c r="AUT281" s="1069"/>
      <c r="AUU281" s="1069"/>
      <c r="AUV281" s="1069"/>
      <c r="AUW281" s="1069"/>
      <c r="AUX281" s="1069"/>
      <c r="AUY281" s="1069"/>
      <c r="AUZ281" s="1069"/>
      <c r="AVA281" s="1069"/>
      <c r="AVB281" s="1069"/>
      <c r="AVC281" s="1069"/>
      <c r="AVD281" s="1069"/>
      <c r="AVE281" s="1069"/>
      <c r="AVF281" s="1069"/>
      <c r="AVG281" s="1069"/>
      <c r="AVH281" s="1069"/>
      <c r="AVI281" s="1069"/>
      <c r="AVJ281" s="1069"/>
      <c r="AVK281" s="1069"/>
      <c r="AVL281" s="1069"/>
      <c r="AVM281" s="1069"/>
      <c r="AVN281" s="1069"/>
      <c r="AVO281" s="1069"/>
      <c r="AVP281" s="1069"/>
      <c r="AVQ281" s="1069"/>
      <c r="AVR281" s="1069"/>
      <c r="AVS281" s="1069"/>
      <c r="AVT281" s="1069"/>
      <c r="AVU281" s="1069"/>
      <c r="AVV281" s="1069"/>
      <c r="AVW281" s="1069"/>
      <c r="AVX281" s="1069"/>
      <c r="AVY281" s="1069"/>
      <c r="AVZ281" s="1069"/>
      <c r="AWA281" s="1069"/>
      <c r="AWB281" s="1069"/>
      <c r="AWC281" s="1069"/>
      <c r="AWD281" s="1069"/>
      <c r="AWE281" s="1069"/>
      <c r="AWF281" s="1069"/>
      <c r="AWG281" s="1069"/>
      <c r="AWH281" s="1069"/>
      <c r="AWI281" s="1069"/>
      <c r="AWJ281" s="1069"/>
      <c r="AWK281" s="1069"/>
      <c r="AWL281" s="1069"/>
      <c r="AWM281" s="1069"/>
      <c r="AWN281" s="1069"/>
      <c r="AWO281" s="1069"/>
      <c r="AWP281" s="1069"/>
      <c r="AWQ281" s="1069"/>
      <c r="AWR281" s="1069"/>
      <c r="AWS281" s="1069"/>
      <c r="AWT281" s="1069"/>
      <c r="AWU281" s="1069"/>
      <c r="AWV281" s="1069"/>
      <c r="AWW281" s="1069"/>
      <c r="AWX281" s="1069"/>
      <c r="AWY281" s="1069"/>
      <c r="AWZ281" s="1069"/>
      <c r="AXA281" s="1069"/>
      <c r="AXB281" s="1069"/>
      <c r="AXC281" s="1069"/>
      <c r="AXD281" s="1069"/>
      <c r="AXE281" s="1069"/>
      <c r="AXF281" s="1069"/>
      <c r="AXG281" s="1069"/>
      <c r="AXH281" s="1069"/>
      <c r="AXI281" s="1069"/>
      <c r="AXJ281" s="1069"/>
      <c r="AXK281" s="1069"/>
      <c r="AXL281" s="1069"/>
      <c r="AXM281" s="1069"/>
      <c r="AXN281" s="1069"/>
      <c r="AXO281" s="1069"/>
      <c r="AXP281" s="1069"/>
      <c r="AXQ281" s="1069"/>
      <c r="AXR281" s="1069"/>
      <c r="AXS281" s="1069"/>
      <c r="AXT281" s="1069"/>
      <c r="AXU281" s="1069"/>
      <c r="AXV281" s="1069"/>
      <c r="AXW281" s="1069"/>
      <c r="AXX281" s="1069"/>
      <c r="AXY281" s="1069"/>
      <c r="AXZ281" s="1069"/>
      <c r="AYA281" s="1069"/>
      <c r="AYB281" s="1069"/>
      <c r="AYC281" s="1069"/>
      <c r="AYD281" s="1069"/>
      <c r="AYE281" s="1069"/>
      <c r="AYF281" s="1069"/>
      <c r="AYG281" s="1069"/>
      <c r="AYH281" s="1069"/>
      <c r="AYI281" s="1069"/>
      <c r="AYJ281" s="1069"/>
      <c r="AYK281" s="1069"/>
      <c r="AYL281" s="1069"/>
      <c r="AYM281" s="1069"/>
      <c r="AYN281" s="1069"/>
      <c r="AYO281" s="1069"/>
      <c r="AYP281" s="1069"/>
      <c r="AYQ281" s="1069"/>
      <c r="AYR281" s="1069"/>
      <c r="AYS281" s="1069"/>
      <c r="AYT281" s="1069"/>
      <c r="AYU281" s="1069"/>
      <c r="AYV281" s="1069"/>
      <c r="AYW281" s="1069"/>
      <c r="AYX281" s="1069"/>
      <c r="AYY281" s="1069"/>
      <c r="AYZ281" s="1069"/>
      <c r="AZA281" s="1069"/>
      <c r="AZB281" s="1069"/>
      <c r="AZC281" s="1069"/>
      <c r="AZD281" s="1069"/>
      <c r="AZE281" s="1069"/>
      <c r="AZF281" s="1069"/>
      <c r="AZG281" s="1069"/>
      <c r="AZH281" s="1069"/>
      <c r="AZI281" s="1069"/>
      <c r="AZJ281" s="1069"/>
      <c r="AZK281" s="1069"/>
      <c r="AZL281" s="1069"/>
      <c r="AZM281" s="1069"/>
      <c r="AZN281" s="1069"/>
      <c r="AZO281" s="1069"/>
      <c r="AZP281" s="1069"/>
      <c r="AZQ281" s="1069"/>
      <c r="AZR281" s="1069"/>
      <c r="AZS281" s="1069"/>
      <c r="AZT281" s="1069"/>
      <c r="AZU281" s="1069"/>
      <c r="AZV281" s="1069"/>
      <c r="AZW281" s="1069"/>
      <c r="AZX281" s="1069"/>
      <c r="AZY281" s="1069"/>
      <c r="AZZ281" s="1069"/>
      <c r="BAA281" s="1069"/>
      <c r="BAB281" s="1069"/>
      <c r="BAC281" s="1069"/>
      <c r="BAD281" s="1069"/>
      <c r="BAE281" s="1069"/>
      <c r="BAF281" s="1069"/>
      <c r="BAG281" s="1069"/>
      <c r="BAH281" s="1069"/>
      <c r="BAI281" s="1069"/>
      <c r="BAJ281" s="1069"/>
      <c r="BAK281" s="1069"/>
      <c r="BAL281" s="1069"/>
      <c r="BAM281" s="1069"/>
      <c r="BAN281" s="1069"/>
      <c r="BAO281" s="1069"/>
      <c r="BAP281" s="1069"/>
      <c r="BAQ281" s="1069"/>
      <c r="BAR281" s="1069"/>
      <c r="BAS281" s="1069"/>
      <c r="BAT281" s="1069"/>
      <c r="BAU281" s="1069"/>
      <c r="BAV281" s="1069"/>
      <c r="BAW281" s="1069"/>
      <c r="BAX281" s="1069"/>
      <c r="BAY281" s="1069"/>
      <c r="BAZ281" s="1069"/>
      <c r="BBA281" s="1069"/>
      <c r="BBB281" s="1069"/>
      <c r="BBC281" s="1069"/>
      <c r="BBD281" s="1069"/>
      <c r="BBE281" s="1069"/>
      <c r="BBF281" s="1069"/>
      <c r="BBG281" s="1069"/>
      <c r="BBH281" s="1069"/>
      <c r="BBI281" s="1069"/>
      <c r="BBJ281" s="1069"/>
      <c r="BBK281" s="1069"/>
      <c r="BBL281" s="1069"/>
      <c r="BBM281" s="1069"/>
      <c r="BBN281" s="1069"/>
      <c r="BBO281" s="1069"/>
      <c r="BBP281" s="1069"/>
      <c r="BBQ281" s="1069"/>
      <c r="BBR281" s="1069"/>
      <c r="BBS281" s="1069"/>
      <c r="BBT281" s="1069"/>
      <c r="BBU281" s="1069"/>
      <c r="BBV281" s="1069"/>
      <c r="BBW281" s="1069"/>
      <c r="BBX281" s="1069"/>
      <c r="BBY281" s="1069"/>
      <c r="BBZ281" s="1069"/>
      <c r="BCA281" s="1069"/>
      <c r="BCB281" s="1069"/>
      <c r="BCC281" s="1069"/>
      <c r="BCD281" s="1069"/>
      <c r="BCE281" s="1069"/>
      <c r="BCF281" s="1069"/>
      <c r="BCG281" s="1069"/>
      <c r="BCH281" s="1069"/>
      <c r="BCI281" s="1069"/>
      <c r="BCJ281" s="1069"/>
      <c r="BCK281" s="1069"/>
      <c r="BCL281" s="1069"/>
      <c r="BCM281" s="1069"/>
      <c r="BCN281" s="1069"/>
      <c r="BCO281" s="1069"/>
      <c r="BCP281" s="1069"/>
      <c r="BCQ281" s="1069"/>
      <c r="BCR281" s="1069"/>
      <c r="BCS281" s="1069"/>
      <c r="BCT281" s="1069"/>
      <c r="BCU281" s="1069"/>
      <c r="BCV281" s="1069"/>
      <c r="BCW281" s="1069"/>
      <c r="BCX281" s="1069"/>
      <c r="BCY281" s="1069"/>
      <c r="BCZ281" s="1069"/>
      <c r="BDA281" s="1069"/>
      <c r="BDB281" s="1069"/>
      <c r="BDC281" s="1069"/>
      <c r="BDD281" s="1069"/>
      <c r="BDE281" s="1069"/>
      <c r="BDF281" s="1069"/>
      <c r="BDG281" s="1069"/>
      <c r="BDH281" s="1069"/>
      <c r="BDI281" s="1069"/>
      <c r="BDJ281" s="1069"/>
      <c r="BDK281" s="1069"/>
      <c r="BDL281" s="1069"/>
      <c r="BDM281" s="1069"/>
      <c r="BDN281" s="1069"/>
      <c r="BDO281" s="1069"/>
      <c r="BDP281" s="1069"/>
      <c r="BDQ281" s="1069"/>
      <c r="BDR281" s="1069"/>
      <c r="BDS281" s="1069"/>
      <c r="BDT281" s="1069"/>
      <c r="BDU281" s="1069"/>
      <c r="BDV281" s="1069"/>
      <c r="BDW281" s="1069"/>
      <c r="BDX281" s="1069"/>
      <c r="BDY281" s="1069"/>
      <c r="BDZ281" s="1069"/>
      <c r="BEA281" s="1069"/>
      <c r="BEB281" s="1069"/>
      <c r="BEC281" s="1069"/>
      <c r="BED281" s="1069"/>
      <c r="BEE281" s="1069"/>
      <c r="BEF281" s="1069"/>
      <c r="BEG281" s="1069"/>
      <c r="BEH281" s="1069"/>
      <c r="BEI281" s="1069"/>
      <c r="BEJ281" s="1069"/>
      <c r="BEK281" s="1069"/>
      <c r="BEL281" s="1069"/>
      <c r="BEM281" s="1069"/>
      <c r="BEN281" s="1069"/>
      <c r="BEO281" s="1069"/>
      <c r="BEP281" s="1069"/>
      <c r="BEQ281" s="1069"/>
      <c r="BER281" s="1069"/>
      <c r="BES281" s="1069"/>
      <c r="BET281" s="1069"/>
      <c r="BEU281" s="1069"/>
      <c r="BEV281" s="1069"/>
      <c r="BEW281" s="1069"/>
      <c r="BEX281" s="1069"/>
      <c r="BEY281" s="1069"/>
      <c r="BEZ281" s="1069"/>
      <c r="BFA281" s="1069"/>
      <c r="BFB281" s="1069"/>
      <c r="BFC281" s="1069"/>
      <c r="BFD281" s="1069"/>
      <c r="BFE281" s="1069"/>
      <c r="BFF281" s="1069"/>
      <c r="BFG281" s="1069"/>
      <c r="BFH281" s="1069"/>
      <c r="BFI281" s="1069"/>
      <c r="BFJ281" s="1069"/>
      <c r="BFK281" s="1069"/>
      <c r="BFL281" s="1069"/>
      <c r="BFM281" s="1069"/>
      <c r="BFN281" s="1069"/>
      <c r="BFO281" s="1069"/>
      <c r="BFP281" s="1069"/>
      <c r="BFQ281" s="1069"/>
      <c r="BFR281" s="1069"/>
      <c r="BFS281" s="1069"/>
      <c r="BFT281" s="1069"/>
      <c r="BFU281" s="1069"/>
      <c r="BFV281" s="1069"/>
      <c r="BFW281" s="1069"/>
      <c r="BFX281" s="1069"/>
      <c r="BFY281" s="1069"/>
      <c r="BFZ281" s="1069"/>
      <c r="BGA281" s="1069"/>
      <c r="BGB281" s="1069"/>
      <c r="BGC281" s="1069"/>
      <c r="BGD281" s="1069"/>
      <c r="BGE281" s="1069"/>
      <c r="BGF281" s="1069"/>
      <c r="BGG281" s="1069"/>
      <c r="BGH281" s="1069"/>
      <c r="BGI281" s="1069"/>
      <c r="BGJ281" s="1069"/>
      <c r="BGK281" s="1069"/>
      <c r="BGL281" s="1069"/>
      <c r="BGM281" s="1069"/>
      <c r="BGN281" s="1069"/>
      <c r="BGO281" s="1069"/>
      <c r="BGP281" s="1069"/>
      <c r="BGQ281" s="1069"/>
      <c r="BGR281" s="1069"/>
      <c r="BGS281" s="1069"/>
      <c r="BGT281" s="1069"/>
      <c r="BGU281" s="1069"/>
      <c r="BGV281" s="1069"/>
      <c r="BGW281" s="1069"/>
      <c r="BGX281" s="1069"/>
      <c r="BGY281" s="1069"/>
      <c r="BGZ281" s="1069"/>
      <c r="BHA281" s="1069"/>
      <c r="BHB281" s="1069"/>
      <c r="BHC281" s="1069"/>
      <c r="BHD281" s="1069"/>
      <c r="BHE281" s="1069"/>
      <c r="BHF281" s="1069"/>
      <c r="BHG281" s="1069"/>
      <c r="BHH281" s="1069"/>
      <c r="BHI281" s="1069"/>
      <c r="BHJ281" s="1069"/>
      <c r="BHK281" s="1069"/>
      <c r="BHL281" s="1069"/>
      <c r="BHM281" s="1069"/>
      <c r="BHN281" s="1069"/>
      <c r="BHO281" s="1069"/>
      <c r="BHP281" s="1069"/>
      <c r="BHQ281" s="1069"/>
      <c r="BHR281" s="1069"/>
      <c r="BHS281" s="1069"/>
      <c r="BHT281" s="1069"/>
      <c r="BHU281" s="1069"/>
      <c r="BHV281" s="1069"/>
      <c r="BHW281" s="1069"/>
      <c r="BHX281" s="1069"/>
      <c r="BHY281" s="1069"/>
      <c r="BHZ281" s="1069"/>
      <c r="BIA281" s="1069"/>
      <c r="BIB281" s="1069"/>
      <c r="BIC281" s="1069"/>
      <c r="BID281" s="1069"/>
      <c r="BIE281" s="1069"/>
      <c r="BIF281" s="1069"/>
      <c r="BIG281" s="1069"/>
      <c r="BIH281" s="1069"/>
      <c r="BII281" s="1069"/>
      <c r="BIJ281" s="1069"/>
      <c r="BIK281" s="1069"/>
      <c r="BIL281" s="1069"/>
      <c r="BIM281" s="1069"/>
      <c r="BIN281" s="1069"/>
      <c r="BIO281" s="1069"/>
      <c r="BIP281" s="1069"/>
      <c r="BIQ281" s="1069"/>
      <c r="BIR281" s="1069"/>
      <c r="BIS281" s="1069"/>
      <c r="BIT281" s="1069"/>
      <c r="BIU281" s="1069"/>
      <c r="BIV281" s="1069"/>
      <c r="BIW281" s="1069"/>
      <c r="BIX281" s="1069"/>
      <c r="BIY281" s="1069"/>
      <c r="BIZ281" s="1069"/>
      <c r="BJA281" s="1069"/>
      <c r="BJB281" s="1069"/>
      <c r="BJC281" s="1069"/>
      <c r="BJD281" s="1069"/>
      <c r="BJE281" s="1069"/>
      <c r="BJF281" s="1069"/>
      <c r="BJG281" s="1069"/>
      <c r="BJH281" s="1069"/>
      <c r="BJI281" s="1069"/>
      <c r="BJJ281" s="1069"/>
      <c r="BJK281" s="1069"/>
      <c r="BJL281" s="1069"/>
      <c r="BJM281" s="1069"/>
      <c r="BJN281" s="1069"/>
      <c r="BJO281" s="1069"/>
      <c r="BJP281" s="1069"/>
      <c r="BJQ281" s="1069"/>
      <c r="BJR281" s="1069"/>
      <c r="BJS281" s="1069"/>
      <c r="BJT281" s="1069"/>
      <c r="BJU281" s="1069"/>
      <c r="BJV281" s="1069"/>
      <c r="BJW281" s="1069"/>
      <c r="BJX281" s="1069"/>
      <c r="BJY281" s="1069"/>
      <c r="BJZ281" s="1069"/>
      <c r="BKA281" s="1069"/>
      <c r="BKB281" s="1069"/>
      <c r="BKC281" s="1069"/>
      <c r="BKD281" s="1069"/>
      <c r="BKE281" s="1069"/>
      <c r="BKF281" s="1069"/>
      <c r="BKG281" s="1069"/>
      <c r="BKH281" s="1069"/>
      <c r="BKI281" s="1069"/>
      <c r="BKJ281" s="1069"/>
      <c r="BKK281" s="1069"/>
      <c r="BKL281" s="1069"/>
      <c r="BKM281" s="1069"/>
      <c r="BKN281" s="1069"/>
      <c r="BKO281" s="1069"/>
      <c r="BKP281" s="1069"/>
      <c r="BKQ281" s="1069"/>
      <c r="BKR281" s="1069"/>
      <c r="BKS281" s="1069"/>
      <c r="BKT281" s="1069"/>
      <c r="BKU281" s="1069"/>
      <c r="BKV281" s="1069"/>
      <c r="BKW281" s="1069"/>
      <c r="BKX281" s="1069"/>
      <c r="BKY281" s="1069"/>
      <c r="BKZ281" s="1069"/>
      <c r="BLA281" s="1069"/>
      <c r="BLB281" s="1069"/>
      <c r="BLC281" s="1069"/>
      <c r="BLD281" s="1069"/>
      <c r="BLE281" s="1069"/>
      <c r="BLF281" s="1069"/>
      <c r="BLG281" s="1069"/>
      <c r="BLH281" s="1069"/>
      <c r="BLI281" s="1069"/>
      <c r="BLJ281" s="1069"/>
      <c r="BLK281" s="1069"/>
      <c r="BLL281" s="1069"/>
      <c r="BLM281" s="1069"/>
      <c r="BLN281" s="1069"/>
      <c r="BLO281" s="1069"/>
      <c r="BLP281" s="1069"/>
      <c r="BLQ281" s="1069"/>
      <c r="BLR281" s="1069"/>
      <c r="BLS281" s="1069"/>
      <c r="BLT281" s="1069"/>
      <c r="BLU281" s="1069"/>
      <c r="BLV281" s="1069"/>
      <c r="BLW281" s="1069"/>
      <c r="BLX281" s="1069"/>
      <c r="BLY281" s="1069"/>
      <c r="BLZ281" s="1069"/>
      <c r="BMA281" s="1069"/>
      <c r="BMB281" s="1069"/>
      <c r="BMC281" s="1069"/>
      <c r="BMD281" s="1069"/>
      <c r="BME281" s="1069"/>
      <c r="BMF281" s="1069"/>
      <c r="BMG281" s="1069"/>
      <c r="BMH281" s="1069"/>
      <c r="BMI281" s="1069"/>
      <c r="BMJ281" s="1069"/>
      <c r="BMK281" s="1069"/>
      <c r="BML281" s="1069"/>
      <c r="BMM281" s="1069"/>
      <c r="BMN281" s="1069"/>
      <c r="BMO281" s="1069"/>
      <c r="BMP281" s="1069"/>
      <c r="BMQ281" s="1069"/>
      <c r="BMR281" s="1069"/>
      <c r="BMS281" s="1069"/>
      <c r="BMT281" s="1069"/>
      <c r="BMU281" s="1069"/>
      <c r="BMV281" s="1069"/>
      <c r="BMW281" s="1069"/>
      <c r="BMX281" s="1069"/>
      <c r="BMY281" s="1069"/>
      <c r="BMZ281" s="1069"/>
      <c r="BNA281" s="1069"/>
      <c r="BNB281" s="1069"/>
      <c r="BNC281" s="1069"/>
      <c r="BND281" s="1069"/>
      <c r="BNE281" s="1069"/>
      <c r="BNF281" s="1069"/>
      <c r="BNG281" s="1069"/>
      <c r="BNH281" s="1069"/>
      <c r="BNI281" s="1069"/>
      <c r="BNJ281" s="1069"/>
      <c r="BNK281" s="1069"/>
      <c r="BNL281" s="1069"/>
      <c r="BNM281" s="1069"/>
      <c r="BNN281" s="1069"/>
      <c r="BNO281" s="1069"/>
      <c r="BNP281" s="1069"/>
      <c r="BNQ281" s="1069"/>
      <c r="BNR281" s="1069"/>
      <c r="BNS281" s="1069"/>
      <c r="BNT281" s="1069"/>
      <c r="BNU281" s="1069"/>
      <c r="BNV281" s="1069"/>
      <c r="BNW281" s="1069"/>
      <c r="BNX281" s="1069"/>
      <c r="BNY281" s="1069"/>
      <c r="BNZ281" s="1069"/>
      <c r="BOA281" s="1069"/>
      <c r="BOB281" s="1069"/>
      <c r="BOC281" s="1069"/>
      <c r="BOD281" s="1069"/>
      <c r="BOE281" s="1069"/>
      <c r="BOF281" s="1069"/>
      <c r="BOG281" s="1069"/>
      <c r="BOH281" s="1069"/>
      <c r="BOI281" s="1069"/>
      <c r="BOJ281" s="1069"/>
      <c r="BOK281" s="1069"/>
      <c r="BOL281" s="1069"/>
      <c r="BOM281" s="1069"/>
      <c r="BON281" s="1069"/>
      <c r="BOO281" s="1069"/>
      <c r="BOP281" s="1069"/>
      <c r="BOQ281" s="1069"/>
      <c r="BOR281" s="1069"/>
      <c r="BOS281" s="1069"/>
      <c r="BOT281" s="1069"/>
      <c r="BOU281" s="1069"/>
      <c r="BOV281" s="1069"/>
      <c r="BOW281" s="1069"/>
      <c r="BOX281" s="1069"/>
      <c r="BOY281" s="1069"/>
      <c r="BOZ281" s="1069"/>
      <c r="BPA281" s="1069"/>
      <c r="BPB281" s="1069"/>
      <c r="BPC281" s="1069"/>
      <c r="BPD281" s="1069"/>
      <c r="BPE281" s="1069"/>
      <c r="BPF281" s="1069"/>
      <c r="BPG281" s="1069"/>
      <c r="BPH281" s="1069"/>
      <c r="BPI281" s="1069"/>
      <c r="BPJ281" s="1069"/>
      <c r="BPK281" s="1069"/>
      <c r="BPL281" s="1069"/>
      <c r="BPM281" s="1069"/>
      <c r="BPN281" s="1069"/>
      <c r="BPO281" s="1069"/>
      <c r="BPP281" s="1069"/>
      <c r="BPQ281" s="1069"/>
      <c r="BPR281" s="1069"/>
      <c r="BPS281" s="1069"/>
      <c r="BPT281" s="1069"/>
      <c r="BPU281" s="1069"/>
      <c r="BPV281" s="1069"/>
      <c r="BPW281" s="1069"/>
      <c r="BPX281" s="1069"/>
      <c r="BPY281" s="1069"/>
      <c r="BPZ281" s="1069"/>
      <c r="BQA281" s="1069"/>
      <c r="BQB281" s="1069"/>
      <c r="BQC281" s="1069"/>
      <c r="BQD281" s="1069"/>
      <c r="BQE281" s="1069"/>
      <c r="BQF281" s="1069"/>
      <c r="BQG281" s="1069"/>
      <c r="BQH281" s="1069"/>
      <c r="BQI281" s="1069"/>
      <c r="BQJ281" s="1069"/>
      <c r="BQK281" s="1069"/>
      <c r="BQL281" s="1069"/>
      <c r="BQM281" s="1069"/>
      <c r="BQN281" s="1069"/>
      <c r="BQO281" s="1069"/>
      <c r="BQP281" s="1069"/>
      <c r="BQQ281" s="1069"/>
      <c r="BQR281" s="1069"/>
      <c r="BQS281" s="1069"/>
      <c r="BQT281" s="1069"/>
      <c r="BQU281" s="1069"/>
      <c r="BQV281" s="1069"/>
      <c r="BQW281" s="1069"/>
      <c r="BQX281" s="1069"/>
      <c r="BQY281" s="1069"/>
      <c r="BQZ281" s="1069"/>
      <c r="BRA281" s="1069"/>
      <c r="BRB281" s="1069"/>
      <c r="BRC281" s="1069"/>
      <c r="BRD281" s="1069"/>
      <c r="BRE281" s="1069"/>
      <c r="BRF281" s="1069"/>
      <c r="BRG281" s="1069"/>
      <c r="BRH281" s="1069"/>
      <c r="BRI281" s="1069"/>
      <c r="BRJ281" s="1069"/>
      <c r="BRK281" s="1069"/>
      <c r="BRL281" s="1069"/>
      <c r="BRM281" s="1069"/>
      <c r="BRN281" s="1069"/>
      <c r="BRO281" s="1069"/>
      <c r="BRP281" s="1069"/>
      <c r="BRQ281" s="1069"/>
      <c r="BRR281" s="1069"/>
      <c r="BRS281" s="1069"/>
      <c r="BRT281" s="1069"/>
      <c r="BRU281" s="1069"/>
      <c r="BRV281" s="1069"/>
      <c r="BRW281" s="1069"/>
      <c r="BRX281" s="1069"/>
      <c r="BRY281" s="1069"/>
      <c r="BRZ281" s="1069"/>
      <c r="BSA281" s="1069"/>
      <c r="BSB281" s="1069"/>
      <c r="BSC281" s="1069"/>
      <c r="BSD281" s="1069"/>
      <c r="BSE281" s="1069"/>
      <c r="BSF281" s="1069"/>
      <c r="BSG281" s="1069"/>
      <c r="BSH281" s="1069"/>
      <c r="BSI281" s="1069"/>
      <c r="BSJ281" s="1069"/>
      <c r="BSK281" s="1069"/>
      <c r="BSL281" s="1069"/>
      <c r="BSM281" s="1069"/>
      <c r="BSN281" s="1069"/>
      <c r="BSO281" s="1069"/>
      <c r="BSP281" s="1069"/>
      <c r="BSQ281" s="1069"/>
      <c r="BSR281" s="1069"/>
      <c r="BSS281" s="1069"/>
      <c r="BST281" s="1069"/>
      <c r="BSU281" s="1069"/>
      <c r="BSV281" s="1069"/>
      <c r="BSW281" s="1069"/>
      <c r="BSX281" s="1069"/>
      <c r="BSY281" s="1069"/>
      <c r="BSZ281" s="1069"/>
      <c r="BTA281" s="1069"/>
      <c r="BTB281" s="1069"/>
      <c r="BTC281" s="1069"/>
      <c r="BTD281" s="1069"/>
      <c r="BTE281" s="1069"/>
      <c r="BTF281" s="1069"/>
      <c r="BTG281" s="1069"/>
      <c r="BTH281" s="1069"/>
      <c r="BTI281" s="1069"/>
      <c r="BTJ281" s="1069"/>
      <c r="BTK281" s="1069"/>
      <c r="BTL281" s="1069"/>
      <c r="BTM281" s="1069"/>
      <c r="BTN281" s="1069"/>
      <c r="BTO281" s="1069"/>
      <c r="BTP281" s="1069"/>
      <c r="BTQ281" s="1069"/>
      <c r="BTR281" s="1069"/>
      <c r="BTS281" s="1069"/>
      <c r="BTT281" s="1069"/>
      <c r="BTU281" s="1069"/>
      <c r="BTV281" s="1069"/>
      <c r="BTW281" s="1069"/>
      <c r="BTX281" s="1069"/>
      <c r="BTY281" s="1069"/>
      <c r="BTZ281" s="1069"/>
      <c r="BUA281" s="1069"/>
      <c r="BUB281" s="1069"/>
      <c r="BUC281" s="1069"/>
      <c r="BUD281" s="1069"/>
      <c r="BUE281" s="1069"/>
      <c r="BUF281" s="1069"/>
      <c r="BUG281" s="1069"/>
      <c r="BUH281" s="1069"/>
      <c r="BUI281" s="1069"/>
      <c r="BUJ281" s="1069"/>
      <c r="BUK281" s="1069"/>
      <c r="BUL281" s="1069"/>
      <c r="BUM281" s="1069"/>
      <c r="BUN281" s="1069"/>
      <c r="BUO281" s="1069"/>
      <c r="BUP281" s="1069"/>
      <c r="BUQ281" s="1069"/>
      <c r="BUR281" s="1069"/>
      <c r="BUS281" s="1069"/>
      <c r="BUT281" s="1069"/>
      <c r="BUU281" s="1069"/>
      <c r="BUV281" s="1069"/>
      <c r="BUW281" s="1069"/>
      <c r="BUX281" s="1069"/>
      <c r="BUY281" s="1069"/>
      <c r="BUZ281" s="1069"/>
      <c r="BVA281" s="1069"/>
      <c r="BVB281" s="1069"/>
      <c r="BVC281" s="1069"/>
      <c r="BVD281" s="1069"/>
      <c r="BVE281" s="1069"/>
      <c r="BVF281" s="1069"/>
      <c r="BVG281" s="1069"/>
      <c r="BVH281" s="1069"/>
      <c r="BVI281" s="1069"/>
      <c r="BVJ281" s="1069"/>
      <c r="BVK281" s="1069"/>
      <c r="BVL281" s="1069"/>
      <c r="BVM281" s="1069"/>
      <c r="BVN281" s="1069"/>
      <c r="BVO281" s="1069"/>
      <c r="BVP281" s="1069"/>
      <c r="BVQ281" s="1069"/>
      <c r="BVR281" s="1069"/>
      <c r="BVS281" s="1069"/>
      <c r="BVT281" s="1069"/>
      <c r="BVU281" s="1069"/>
      <c r="BVV281" s="1069"/>
      <c r="BVW281" s="1069"/>
      <c r="BVX281" s="1069"/>
      <c r="BVY281" s="1069"/>
      <c r="BVZ281" s="1069"/>
      <c r="BWA281" s="1069"/>
      <c r="BWB281" s="1069"/>
      <c r="BWC281" s="1069"/>
      <c r="BWD281" s="1069"/>
      <c r="BWE281" s="1069"/>
      <c r="BWF281" s="1069"/>
      <c r="BWG281" s="1069"/>
      <c r="BWH281" s="1069"/>
      <c r="BWI281" s="1069"/>
      <c r="BWJ281" s="1069"/>
      <c r="BWK281" s="1069"/>
      <c r="BWL281" s="1069"/>
      <c r="BWM281" s="1069"/>
      <c r="BWN281" s="1069"/>
      <c r="BWO281" s="1069"/>
      <c r="BWP281" s="1069"/>
      <c r="BWQ281" s="1069"/>
      <c r="BWR281" s="1069"/>
      <c r="BWS281" s="1069"/>
      <c r="BWT281" s="1069"/>
      <c r="BWU281" s="1069"/>
      <c r="BWV281" s="1069"/>
      <c r="BWW281" s="1069"/>
      <c r="BWX281" s="1069"/>
      <c r="BWY281" s="1069"/>
      <c r="BWZ281" s="1069"/>
      <c r="BXA281" s="1069"/>
      <c r="BXB281" s="1069"/>
      <c r="BXC281" s="1069"/>
      <c r="BXD281" s="1069"/>
      <c r="BXE281" s="1069"/>
      <c r="BXF281" s="1069"/>
      <c r="BXG281" s="1069"/>
      <c r="BXH281" s="1069"/>
      <c r="BXI281" s="1069"/>
      <c r="BXJ281" s="1069"/>
      <c r="BXK281" s="1069"/>
      <c r="BXL281" s="1069"/>
      <c r="BXM281" s="1069"/>
      <c r="BXN281" s="1069"/>
      <c r="BXO281" s="1069"/>
      <c r="BXP281" s="1069"/>
      <c r="BXQ281" s="1069"/>
      <c r="BXR281" s="1069"/>
      <c r="BXS281" s="1069"/>
      <c r="BXT281" s="1069"/>
      <c r="BXU281" s="1069"/>
      <c r="BXV281" s="1069"/>
      <c r="BXW281" s="1069"/>
      <c r="BXX281" s="1069"/>
      <c r="BXY281" s="1069"/>
      <c r="BXZ281" s="1069"/>
      <c r="BYA281" s="1069"/>
      <c r="BYB281" s="1069"/>
      <c r="BYC281" s="1069"/>
      <c r="BYD281" s="1069"/>
      <c r="BYE281" s="1069"/>
      <c r="BYF281" s="1069"/>
      <c r="BYG281" s="1069"/>
      <c r="BYH281" s="1069"/>
      <c r="BYI281" s="1069"/>
      <c r="BYJ281" s="1069"/>
      <c r="BYK281" s="1069"/>
      <c r="BYL281" s="1069"/>
      <c r="BYM281" s="1069"/>
      <c r="BYN281" s="1069"/>
      <c r="BYO281" s="1069"/>
      <c r="BYP281" s="1069"/>
      <c r="BYQ281" s="1069"/>
      <c r="BYR281" s="1069"/>
      <c r="BYS281" s="1069"/>
      <c r="BYT281" s="1069"/>
      <c r="BYU281" s="1069"/>
      <c r="BYV281" s="1069"/>
      <c r="BYW281" s="1069"/>
      <c r="BYX281" s="1069"/>
      <c r="BYY281" s="1069"/>
      <c r="BYZ281" s="1069"/>
      <c r="BZA281" s="1069"/>
      <c r="BZB281" s="1069"/>
      <c r="BZC281" s="1069"/>
      <c r="BZD281" s="1069"/>
      <c r="BZE281" s="1069"/>
      <c r="BZF281" s="1069"/>
      <c r="BZG281" s="1069"/>
      <c r="BZH281" s="1069"/>
      <c r="BZI281" s="1069"/>
      <c r="BZJ281" s="1069"/>
      <c r="BZK281" s="1069"/>
      <c r="BZL281" s="1069"/>
      <c r="BZM281" s="1069"/>
      <c r="BZN281" s="1069"/>
      <c r="BZO281" s="1069"/>
      <c r="BZP281" s="1069"/>
      <c r="BZQ281" s="1069"/>
      <c r="BZR281" s="1069"/>
      <c r="BZS281" s="1069"/>
      <c r="BZT281" s="1069"/>
      <c r="BZU281" s="1069"/>
      <c r="BZV281" s="1069"/>
      <c r="BZW281" s="1069"/>
      <c r="BZX281" s="1069"/>
      <c r="BZY281" s="1069"/>
      <c r="BZZ281" s="1069"/>
      <c r="CAA281" s="1069"/>
      <c r="CAB281" s="1069"/>
      <c r="CAC281" s="1069"/>
      <c r="CAD281" s="1069"/>
      <c r="CAE281" s="1069"/>
      <c r="CAF281" s="1069"/>
      <c r="CAG281" s="1069"/>
      <c r="CAH281" s="1069"/>
      <c r="CAI281" s="1069"/>
      <c r="CAJ281" s="1069"/>
      <c r="CAK281" s="1069"/>
      <c r="CAL281" s="1069"/>
      <c r="CAM281" s="1069"/>
      <c r="CAN281" s="1069"/>
      <c r="CAO281" s="1069"/>
      <c r="CAP281" s="1069"/>
      <c r="CAQ281" s="1069"/>
      <c r="CAR281" s="1069"/>
      <c r="CAS281" s="1069"/>
      <c r="CAT281" s="1069"/>
      <c r="CAU281" s="1069"/>
      <c r="CAV281" s="1069"/>
      <c r="CAW281" s="1069"/>
      <c r="CAX281" s="1069"/>
      <c r="CAY281" s="1069"/>
      <c r="CAZ281" s="1069"/>
      <c r="CBA281" s="1069"/>
      <c r="CBB281" s="1069"/>
      <c r="CBC281" s="1069"/>
      <c r="CBD281" s="1069"/>
      <c r="CBE281" s="1069"/>
      <c r="CBF281" s="1069"/>
      <c r="CBG281" s="1069"/>
      <c r="CBH281" s="1069"/>
      <c r="CBI281" s="1069"/>
      <c r="CBJ281" s="1069"/>
      <c r="CBK281" s="1069"/>
      <c r="CBL281" s="1069"/>
      <c r="CBM281" s="1069"/>
      <c r="CBN281" s="1069"/>
      <c r="CBO281" s="1069"/>
      <c r="CBP281" s="1069"/>
      <c r="CBQ281" s="1069"/>
      <c r="CBR281" s="1069"/>
      <c r="CBS281" s="1069"/>
      <c r="CBT281" s="1069"/>
      <c r="CBU281" s="1069"/>
      <c r="CBV281" s="1069"/>
      <c r="CBW281" s="1069"/>
      <c r="CBX281" s="1069"/>
      <c r="CBY281" s="1069"/>
      <c r="CBZ281" s="1069"/>
      <c r="CCA281" s="1069"/>
      <c r="CCB281" s="1069"/>
      <c r="CCC281" s="1069"/>
      <c r="CCD281" s="1069"/>
      <c r="CCE281" s="1069"/>
      <c r="CCF281" s="1069"/>
      <c r="CCG281" s="1069"/>
      <c r="CCH281" s="1069"/>
      <c r="CCI281" s="1069"/>
      <c r="CCJ281" s="1069"/>
      <c r="CCK281" s="1069"/>
      <c r="CCL281" s="1069"/>
      <c r="CCM281" s="1069"/>
      <c r="CCN281" s="1069"/>
      <c r="CCO281" s="1069"/>
      <c r="CCP281" s="1069"/>
      <c r="CCQ281" s="1069"/>
      <c r="CCR281" s="1069"/>
      <c r="CCS281" s="1069"/>
      <c r="CCT281" s="1069"/>
      <c r="CCU281" s="1069"/>
      <c r="CCV281" s="1069"/>
      <c r="CCW281" s="1069"/>
      <c r="CCX281" s="1069"/>
      <c r="CCY281" s="1069"/>
      <c r="CCZ281" s="1069"/>
      <c r="CDA281" s="1069"/>
      <c r="CDB281" s="1069"/>
      <c r="CDC281" s="1069"/>
      <c r="CDD281" s="1069"/>
      <c r="CDE281" s="1069"/>
      <c r="CDF281" s="1069"/>
      <c r="CDG281" s="1069"/>
      <c r="CDH281" s="1069"/>
      <c r="CDI281" s="1069"/>
      <c r="CDJ281" s="1069"/>
      <c r="CDK281" s="1069"/>
      <c r="CDL281" s="1069"/>
      <c r="CDM281" s="1069"/>
      <c r="CDN281" s="1069"/>
      <c r="CDO281" s="1069"/>
      <c r="CDP281" s="1069"/>
      <c r="CDQ281" s="1069"/>
      <c r="CDR281" s="1069"/>
      <c r="CDS281" s="1069"/>
      <c r="CDT281" s="1069"/>
      <c r="CDU281" s="1069"/>
      <c r="CDV281" s="1069"/>
      <c r="CDW281" s="1069"/>
      <c r="CDX281" s="1069"/>
      <c r="CDY281" s="1069"/>
      <c r="CDZ281" s="1069"/>
      <c r="CEA281" s="1069"/>
      <c r="CEB281" s="1069"/>
      <c r="CEC281" s="1069"/>
      <c r="CED281" s="1069"/>
      <c r="CEE281" s="1069"/>
      <c r="CEF281" s="1069"/>
      <c r="CEG281" s="1069"/>
      <c r="CEH281" s="1069"/>
      <c r="CEI281" s="1069"/>
      <c r="CEJ281" s="1069"/>
      <c r="CEK281" s="1069"/>
      <c r="CEL281" s="1069"/>
      <c r="CEM281" s="1069"/>
      <c r="CEN281" s="1069"/>
      <c r="CEO281" s="1069"/>
      <c r="CEP281" s="1069"/>
      <c r="CEQ281" s="1069"/>
      <c r="CER281" s="1069"/>
      <c r="CES281" s="1069"/>
      <c r="CET281" s="1069"/>
      <c r="CEU281" s="1069"/>
      <c r="CEV281" s="1069"/>
      <c r="CEW281" s="1069"/>
      <c r="CEX281" s="1069"/>
      <c r="CEY281" s="1069"/>
      <c r="CEZ281" s="1069"/>
      <c r="CFA281" s="1069"/>
      <c r="CFB281" s="1069"/>
      <c r="CFC281" s="1069"/>
      <c r="CFD281" s="1069"/>
      <c r="CFE281" s="1069"/>
      <c r="CFF281" s="1069"/>
      <c r="CFG281" s="1069"/>
      <c r="CFH281" s="1069"/>
      <c r="CFI281" s="1069"/>
      <c r="CFJ281" s="1069"/>
      <c r="CFK281" s="1069"/>
      <c r="CFL281" s="1069"/>
      <c r="CFM281" s="1069"/>
      <c r="CFN281" s="1069"/>
      <c r="CFO281" s="1069"/>
      <c r="CFP281" s="1069"/>
      <c r="CFQ281" s="1069"/>
      <c r="CFR281" s="1069"/>
      <c r="CFS281" s="1069"/>
      <c r="CFT281" s="1069"/>
      <c r="CFU281" s="1069"/>
      <c r="CFV281" s="1069"/>
      <c r="CFW281" s="1069"/>
      <c r="CFX281" s="1069"/>
      <c r="CFY281" s="1069"/>
      <c r="CFZ281" s="1069"/>
      <c r="CGA281" s="1069"/>
      <c r="CGB281" s="1069"/>
      <c r="CGC281" s="1069"/>
      <c r="CGD281" s="1069"/>
      <c r="CGE281" s="1069"/>
      <c r="CGF281" s="1069"/>
      <c r="CGG281" s="1069"/>
      <c r="CGH281" s="1069"/>
      <c r="CGI281" s="1069"/>
      <c r="CGJ281" s="1069"/>
      <c r="CGK281" s="1069"/>
      <c r="CGL281" s="1069"/>
      <c r="CGM281" s="1069"/>
      <c r="CGN281" s="1069"/>
      <c r="CGO281" s="1069"/>
      <c r="CGP281" s="1069"/>
      <c r="CGQ281" s="1069"/>
      <c r="CGR281" s="1069"/>
      <c r="CGS281" s="1069"/>
      <c r="CGT281" s="1069"/>
      <c r="CGU281" s="1069"/>
      <c r="CGV281" s="1069"/>
      <c r="CGW281" s="1069"/>
      <c r="CGX281" s="1069"/>
      <c r="CGY281" s="1069"/>
      <c r="CGZ281" s="1069"/>
      <c r="CHA281" s="1069"/>
      <c r="CHB281" s="1069"/>
      <c r="CHC281" s="1069"/>
      <c r="CHD281" s="1069"/>
      <c r="CHE281" s="1069"/>
      <c r="CHF281" s="1069"/>
      <c r="CHG281" s="1069"/>
      <c r="CHH281" s="1069"/>
      <c r="CHI281" s="1069"/>
      <c r="CHJ281" s="1069"/>
      <c r="CHK281" s="1069"/>
      <c r="CHL281" s="1069"/>
      <c r="CHM281" s="1069"/>
      <c r="CHN281" s="1069"/>
      <c r="CHO281" s="1069"/>
      <c r="CHP281" s="1069"/>
      <c r="CHQ281" s="1069"/>
      <c r="CHR281" s="1069"/>
      <c r="CHS281" s="1069"/>
      <c r="CHT281" s="1069"/>
      <c r="CHU281" s="1069"/>
      <c r="CHV281" s="1069"/>
      <c r="CHW281" s="1069"/>
      <c r="CHX281" s="1069"/>
      <c r="CHY281" s="1069"/>
      <c r="CHZ281" s="1069"/>
      <c r="CIA281" s="1069"/>
      <c r="CIB281" s="1069"/>
      <c r="CIC281" s="1069"/>
      <c r="CID281" s="1069"/>
      <c r="CIE281" s="1069"/>
      <c r="CIF281" s="1069"/>
      <c r="CIG281" s="1069"/>
      <c r="CIH281" s="1069"/>
      <c r="CII281" s="1069"/>
      <c r="CIJ281" s="1069"/>
      <c r="CIK281" s="1069"/>
      <c r="CIL281" s="1069"/>
      <c r="CIM281" s="1069"/>
      <c r="CIN281" s="1069"/>
      <c r="CIO281" s="1069"/>
      <c r="CIP281" s="1069"/>
      <c r="CIQ281" s="1069"/>
      <c r="CIR281" s="1069"/>
      <c r="CIS281" s="1069"/>
      <c r="CIT281" s="1069"/>
      <c r="CIU281" s="1069"/>
      <c r="CIV281" s="1069"/>
      <c r="CIW281" s="1069"/>
      <c r="CIX281" s="1069"/>
      <c r="CIY281" s="1069"/>
      <c r="CIZ281" s="1069"/>
      <c r="CJA281" s="1069"/>
      <c r="CJB281" s="1069"/>
      <c r="CJC281" s="1069"/>
      <c r="CJD281" s="1069"/>
      <c r="CJE281" s="1069"/>
      <c r="CJF281" s="1069"/>
      <c r="CJG281" s="1069"/>
      <c r="CJH281" s="1069"/>
      <c r="CJI281" s="1069"/>
      <c r="CJJ281" s="1069"/>
      <c r="CJK281" s="1069"/>
      <c r="CJL281" s="1069"/>
      <c r="CJM281" s="1069"/>
      <c r="CJN281" s="1069"/>
      <c r="CJO281" s="1069"/>
      <c r="CJP281" s="1069"/>
      <c r="CJQ281" s="1069"/>
      <c r="CJR281" s="1069"/>
      <c r="CJS281" s="1069"/>
      <c r="CJT281" s="1069"/>
      <c r="CJU281" s="1069"/>
      <c r="CJV281" s="1069"/>
      <c r="CJW281" s="1069"/>
      <c r="CJX281" s="1069"/>
      <c r="CJY281" s="1069"/>
      <c r="CJZ281" s="1069"/>
      <c r="CKA281" s="1069"/>
      <c r="CKB281" s="1069"/>
      <c r="CKC281" s="1069"/>
      <c r="CKD281" s="1069"/>
      <c r="CKE281" s="1069"/>
      <c r="CKF281" s="1069"/>
      <c r="CKG281" s="1069"/>
      <c r="CKH281" s="1069"/>
      <c r="CKI281" s="1069"/>
      <c r="CKJ281" s="1069"/>
      <c r="CKK281" s="1069"/>
      <c r="CKL281" s="1069"/>
      <c r="CKM281" s="1069"/>
      <c r="CKN281" s="1069"/>
      <c r="CKO281" s="1069"/>
      <c r="CKP281" s="1069"/>
      <c r="CKQ281" s="1069"/>
      <c r="CKR281" s="1069"/>
      <c r="CKS281" s="1069"/>
      <c r="CKT281" s="1069"/>
      <c r="CKU281" s="1069"/>
      <c r="CKV281" s="1069"/>
      <c r="CKW281" s="1069"/>
      <c r="CKX281" s="1069"/>
      <c r="CKY281" s="1069"/>
      <c r="CKZ281" s="1069"/>
      <c r="CLA281" s="1069"/>
      <c r="CLB281" s="1069"/>
      <c r="CLC281" s="1069"/>
      <c r="CLD281" s="1069"/>
      <c r="CLE281" s="1069"/>
      <c r="CLF281" s="1069"/>
      <c r="CLG281" s="1069"/>
      <c r="CLH281" s="1069"/>
      <c r="CLI281" s="1069"/>
      <c r="CLJ281" s="1069"/>
      <c r="CLK281" s="1069"/>
      <c r="CLL281" s="1069"/>
      <c r="CLM281" s="1069"/>
      <c r="CLN281" s="1069"/>
      <c r="CLO281" s="1069"/>
      <c r="CLP281" s="1069"/>
      <c r="CLQ281" s="1069"/>
      <c r="CLR281" s="1069"/>
      <c r="CLS281" s="1069"/>
      <c r="CLT281" s="1069"/>
      <c r="CLU281" s="1069"/>
      <c r="CLV281" s="1069"/>
      <c r="CLW281" s="1069"/>
      <c r="CLX281" s="1069"/>
      <c r="CLY281" s="1069"/>
      <c r="CLZ281" s="1069"/>
      <c r="CMA281" s="1069"/>
      <c r="CMB281" s="1069"/>
      <c r="CMC281" s="1069"/>
      <c r="CMD281" s="1069"/>
      <c r="CME281" s="1069"/>
      <c r="CMF281" s="1069"/>
      <c r="CMG281" s="1069"/>
      <c r="CMH281" s="1069"/>
      <c r="CMI281" s="1069"/>
      <c r="CMJ281" s="1069"/>
      <c r="CMK281" s="1069"/>
      <c r="CML281" s="1069"/>
      <c r="CMM281" s="1069"/>
      <c r="CMN281" s="1069"/>
      <c r="CMO281" s="1069"/>
      <c r="CMP281" s="1069"/>
      <c r="CMQ281" s="1069"/>
      <c r="CMR281" s="1069"/>
      <c r="CMS281" s="1069"/>
      <c r="CMT281" s="1069"/>
      <c r="CMU281" s="1069"/>
      <c r="CMV281" s="1069"/>
      <c r="CMW281" s="1069"/>
      <c r="CMX281" s="1069"/>
      <c r="CMY281" s="1069"/>
      <c r="CMZ281" s="1069"/>
      <c r="CNA281" s="1069"/>
      <c r="CNB281" s="1069"/>
      <c r="CNC281" s="1069"/>
      <c r="CND281" s="1069"/>
      <c r="CNE281" s="1069"/>
      <c r="CNF281" s="1069"/>
      <c r="CNG281" s="1069"/>
      <c r="CNH281" s="1069"/>
      <c r="CNI281" s="1069"/>
      <c r="CNJ281" s="1069"/>
      <c r="CNK281" s="1069"/>
      <c r="CNL281" s="1069"/>
      <c r="CNM281" s="1069"/>
      <c r="CNN281" s="1069"/>
      <c r="CNO281" s="1069"/>
      <c r="CNP281" s="1069"/>
      <c r="CNQ281" s="1069"/>
      <c r="CNR281" s="1069"/>
      <c r="CNS281" s="1069"/>
      <c r="CNT281" s="1069"/>
      <c r="CNU281" s="1069"/>
      <c r="CNV281" s="1069"/>
      <c r="CNW281" s="1069"/>
      <c r="CNX281" s="1069"/>
      <c r="CNY281" s="1069"/>
      <c r="CNZ281" s="1069"/>
      <c r="COA281" s="1069"/>
      <c r="COB281" s="1069"/>
      <c r="COC281" s="1069"/>
      <c r="COD281" s="1069"/>
      <c r="COE281" s="1069"/>
      <c r="COF281" s="1069"/>
      <c r="COG281" s="1069"/>
      <c r="COH281" s="1069"/>
      <c r="COI281" s="1069"/>
      <c r="COJ281" s="1069"/>
      <c r="COK281" s="1069"/>
      <c r="COL281" s="1069"/>
      <c r="COM281" s="1069"/>
      <c r="CON281" s="1069"/>
      <c r="COO281" s="1069"/>
      <c r="COP281" s="1069"/>
      <c r="COQ281" s="1069"/>
      <c r="COR281" s="1069"/>
      <c r="COS281" s="1069"/>
      <c r="COT281" s="1069"/>
      <c r="COU281" s="1069"/>
      <c r="COV281" s="1069"/>
      <c r="COW281" s="1069"/>
      <c r="COX281" s="1069"/>
      <c r="COY281" s="1069"/>
      <c r="COZ281" s="1069"/>
      <c r="CPA281" s="1069"/>
      <c r="CPB281" s="1069"/>
      <c r="CPC281" s="1069"/>
      <c r="CPD281" s="1069"/>
      <c r="CPE281" s="1069"/>
      <c r="CPF281" s="1069"/>
      <c r="CPG281" s="1069"/>
      <c r="CPH281" s="1069"/>
      <c r="CPI281" s="1069"/>
      <c r="CPJ281" s="1069"/>
      <c r="CPK281" s="1069"/>
      <c r="CPL281" s="1069"/>
      <c r="CPM281" s="1069"/>
      <c r="CPN281" s="1069"/>
      <c r="CPO281" s="1069"/>
      <c r="CPP281" s="1069"/>
      <c r="CPQ281" s="1069"/>
      <c r="CPR281" s="1069"/>
      <c r="CPS281" s="1069"/>
      <c r="CPT281" s="1069"/>
      <c r="CPU281" s="1069"/>
      <c r="CPV281" s="1069"/>
      <c r="CPW281" s="1069"/>
      <c r="CPX281" s="1069"/>
      <c r="CPY281" s="1069"/>
      <c r="CPZ281" s="1069"/>
      <c r="CQA281" s="1069"/>
      <c r="CQB281" s="1069"/>
      <c r="CQC281" s="1069"/>
      <c r="CQD281" s="1069"/>
      <c r="CQE281" s="1069"/>
      <c r="CQF281" s="1069"/>
      <c r="CQG281" s="1069"/>
      <c r="CQH281" s="1069"/>
      <c r="CQI281" s="1069"/>
      <c r="CQJ281" s="1069"/>
      <c r="CQK281" s="1069"/>
      <c r="CQL281" s="1069"/>
      <c r="CQM281" s="1069"/>
      <c r="CQN281" s="1069"/>
      <c r="CQO281" s="1069"/>
      <c r="CQP281" s="1069"/>
      <c r="CQQ281" s="1069"/>
      <c r="CQR281" s="1069"/>
      <c r="CQS281" s="1069"/>
      <c r="CQT281" s="1069"/>
      <c r="CQU281" s="1069"/>
      <c r="CQV281" s="1069"/>
      <c r="CQW281" s="1069"/>
      <c r="CQX281" s="1069"/>
      <c r="CQY281" s="1069"/>
      <c r="CQZ281" s="1069"/>
      <c r="CRA281" s="1069"/>
      <c r="CRB281" s="1069"/>
      <c r="CRC281" s="1069"/>
      <c r="CRD281" s="1069"/>
      <c r="CRE281" s="1069"/>
      <c r="CRF281" s="1069"/>
      <c r="CRG281" s="1069"/>
      <c r="CRH281" s="1069"/>
      <c r="CRI281" s="1069"/>
      <c r="CRJ281" s="1069"/>
      <c r="CRK281" s="1069"/>
      <c r="CRL281" s="1069"/>
      <c r="CRM281" s="1069"/>
      <c r="CRN281" s="1069"/>
      <c r="CRO281" s="1069"/>
      <c r="CRP281" s="1069"/>
      <c r="CRQ281" s="1069"/>
      <c r="CRR281" s="1069"/>
      <c r="CRS281" s="1069"/>
      <c r="CRT281" s="1069"/>
      <c r="CRU281" s="1069"/>
      <c r="CRV281" s="1069"/>
      <c r="CRW281" s="1069"/>
      <c r="CRX281" s="1069"/>
      <c r="CRY281" s="1069"/>
      <c r="CRZ281" s="1069"/>
      <c r="CSA281" s="1069"/>
      <c r="CSB281" s="1069"/>
      <c r="CSC281" s="1069"/>
      <c r="CSD281" s="1069"/>
      <c r="CSE281" s="1069"/>
      <c r="CSF281" s="1069"/>
      <c r="CSG281" s="1069"/>
      <c r="CSH281" s="1069"/>
      <c r="CSI281" s="1069"/>
      <c r="CSJ281" s="1069"/>
      <c r="CSK281" s="1069"/>
      <c r="CSL281" s="1069"/>
      <c r="CSM281" s="1069"/>
      <c r="CSN281" s="1069"/>
      <c r="CSO281" s="1069"/>
      <c r="CSP281" s="1069"/>
      <c r="CSQ281" s="1069"/>
      <c r="CSR281" s="1069"/>
      <c r="CSS281" s="1069"/>
      <c r="CST281" s="1069"/>
      <c r="CSU281" s="1069"/>
      <c r="CSV281" s="1069"/>
      <c r="CSW281" s="1069"/>
      <c r="CSX281" s="1069"/>
      <c r="CSY281" s="1069"/>
      <c r="CSZ281" s="1069"/>
      <c r="CTA281" s="1069"/>
      <c r="CTB281" s="1069"/>
      <c r="CTC281" s="1069"/>
      <c r="CTD281" s="1069"/>
      <c r="CTE281" s="1069"/>
      <c r="CTF281" s="1069"/>
      <c r="CTG281" s="1069"/>
      <c r="CTH281" s="1069"/>
      <c r="CTI281" s="1069"/>
      <c r="CTJ281" s="1069"/>
      <c r="CTK281" s="1069"/>
      <c r="CTL281" s="1069"/>
      <c r="CTM281" s="1069"/>
      <c r="CTN281" s="1069"/>
      <c r="CTO281" s="1069"/>
      <c r="CTP281" s="1069"/>
      <c r="CTQ281" s="1069"/>
      <c r="CTR281" s="1069"/>
      <c r="CTS281" s="1069"/>
      <c r="CTT281" s="1069"/>
      <c r="CTU281" s="1069"/>
      <c r="CTV281" s="1069"/>
      <c r="CTW281" s="1069"/>
      <c r="CTX281" s="1069"/>
      <c r="CTY281" s="1069"/>
      <c r="CTZ281" s="1069"/>
      <c r="CUA281" s="1069"/>
      <c r="CUB281" s="1069"/>
      <c r="CUC281" s="1069"/>
      <c r="CUD281" s="1069"/>
      <c r="CUE281" s="1069"/>
      <c r="CUF281" s="1069"/>
      <c r="CUG281" s="1069"/>
      <c r="CUH281" s="1069"/>
      <c r="CUI281" s="1069"/>
      <c r="CUJ281" s="1069"/>
      <c r="CUK281" s="1069"/>
      <c r="CUL281" s="1069"/>
      <c r="CUM281" s="1069"/>
      <c r="CUN281" s="1069"/>
      <c r="CUO281" s="1069"/>
      <c r="CUP281" s="1069"/>
      <c r="CUQ281" s="1069"/>
      <c r="CUR281" s="1069"/>
      <c r="CUS281" s="1069"/>
      <c r="CUT281" s="1069"/>
      <c r="CUU281" s="1069"/>
      <c r="CUV281" s="1069"/>
      <c r="CUW281" s="1069"/>
      <c r="CUX281" s="1069"/>
      <c r="CUY281" s="1069"/>
      <c r="CUZ281" s="1069"/>
      <c r="CVA281" s="1069"/>
      <c r="CVB281" s="1069"/>
      <c r="CVC281" s="1069"/>
      <c r="CVD281" s="1069"/>
      <c r="CVE281" s="1069"/>
      <c r="CVF281" s="1069"/>
      <c r="CVG281" s="1069"/>
      <c r="CVH281" s="1069"/>
      <c r="CVI281" s="1069"/>
      <c r="CVJ281" s="1069"/>
      <c r="CVK281" s="1069"/>
      <c r="CVL281" s="1069"/>
      <c r="CVM281" s="1069"/>
      <c r="CVN281" s="1069"/>
      <c r="CVO281" s="1069"/>
      <c r="CVP281" s="1069"/>
      <c r="CVQ281" s="1069"/>
      <c r="CVR281" s="1069"/>
      <c r="CVS281" s="1069"/>
      <c r="CVT281" s="1069"/>
      <c r="CVU281" s="1069"/>
      <c r="CVV281" s="1069"/>
      <c r="CVW281" s="1069"/>
      <c r="CVX281" s="1069"/>
      <c r="CVY281" s="1069"/>
      <c r="CVZ281" s="1069"/>
      <c r="CWA281" s="1069"/>
      <c r="CWB281" s="1069"/>
      <c r="CWC281" s="1069"/>
      <c r="CWD281" s="1069"/>
      <c r="CWE281" s="1069"/>
      <c r="CWF281" s="1069"/>
      <c r="CWG281" s="1069"/>
      <c r="CWH281" s="1069"/>
      <c r="CWI281" s="1069"/>
      <c r="CWJ281" s="1069"/>
      <c r="CWK281" s="1069"/>
      <c r="CWL281" s="1069"/>
      <c r="CWM281" s="1069"/>
      <c r="CWN281" s="1069"/>
      <c r="CWO281" s="1069"/>
      <c r="CWP281" s="1069"/>
      <c r="CWQ281" s="1069"/>
      <c r="CWR281" s="1069"/>
      <c r="CWS281" s="1069"/>
      <c r="CWT281" s="1069"/>
      <c r="CWU281" s="1069"/>
      <c r="CWV281" s="1069"/>
      <c r="CWW281" s="1069"/>
      <c r="CWX281" s="1069"/>
      <c r="CWY281" s="1069"/>
      <c r="CWZ281" s="1069"/>
      <c r="CXA281" s="1069"/>
      <c r="CXB281" s="1069"/>
      <c r="CXC281" s="1069"/>
      <c r="CXD281" s="1069"/>
      <c r="CXE281" s="1069"/>
      <c r="CXF281" s="1069"/>
      <c r="CXG281" s="1069"/>
      <c r="CXH281" s="1069"/>
      <c r="CXI281" s="1069"/>
      <c r="CXJ281" s="1069"/>
      <c r="CXK281" s="1069"/>
      <c r="CXL281" s="1069"/>
      <c r="CXM281" s="1069"/>
      <c r="CXN281" s="1069"/>
      <c r="CXO281" s="1069"/>
      <c r="CXP281" s="1069"/>
      <c r="CXQ281" s="1069"/>
      <c r="CXR281" s="1069"/>
      <c r="CXS281" s="1069"/>
      <c r="CXT281" s="1069"/>
      <c r="CXU281" s="1069"/>
      <c r="CXV281" s="1069"/>
      <c r="CXW281" s="1069"/>
      <c r="CXX281" s="1069"/>
      <c r="CXY281" s="1069"/>
      <c r="CXZ281" s="1069"/>
      <c r="CYA281" s="1069"/>
      <c r="CYB281" s="1069"/>
      <c r="CYC281" s="1069"/>
      <c r="CYD281" s="1069"/>
      <c r="CYE281" s="1069"/>
      <c r="CYF281" s="1069"/>
      <c r="CYG281" s="1069"/>
      <c r="CYH281" s="1069"/>
      <c r="CYI281" s="1069"/>
      <c r="CYJ281" s="1069"/>
      <c r="CYK281" s="1069"/>
      <c r="CYL281" s="1069"/>
      <c r="CYM281" s="1069"/>
      <c r="CYN281" s="1069"/>
      <c r="CYO281" s="1069"/>
      <c r="CYP281" s="1069"/>
      <c r="CYQ281" s="1069"/>
      <c r="CYR281" s="1069"/>
      <c r="CYS281" s="1069"/>
      <c r="CYT281" s="1069"/>
      <c r="CYU281" s="1069"/>
      <c r="CYV281" s="1069"/>
      <c r="CYW281" s="1069"/>
      <c r="CYX281" s="1069"/>
      <c r="CYY281" s="1069"/>
      <c r="CYZ281" s="1069"/>
      <c r="CZA281" s="1069"/>
      <c r="CZB281" s="1069"/>
      <c r="CZC281" s="1069"/>
      <c r="CZD281" s="1069"/>
      <c r="CZE281" s="1069"/>
      <c r="CZF281" s="1069"/>
      <c r="CZG281" s="1069"/>
      <c r="CZH281" s="1069"/>
      <c r="CZI281" s="1069"/>
      <c r="CZJ281" s="1069"/>
      <c r="CZK281" s="1069"/>
      <c r="CZL281" s="1069"/>
      <c r="CZM281" s="1069"/>
      <c r="CZN281" s="1069"/>
      <c r="CZO281" s="1069"/>
      <c r="CZP281" s="1069"/>
      <c r="CZQ281" s="1069"/>
      <c r="CZR281" s="1069"/>
      <c r="CZS281" s="1069"/>
      <c r="CZT281" s="1069"/>
      <c r="CZU281" s="1069"/>
      <c r="CZV281" s="1069"/>
      <c r="CZW281" s="1069"/>
      <c r="CZX281" s="1069"/>
      <c r="CZY281" s="1069"/>
      <c r="CZZ281" s="1069"/>
      <c r="DAA281" s="1069"/>
      <c r="DAB281" s="1069"/>
      <c r="DAC281" s="1069"/>
      <c r="DAD281" s="1069"/>
      <c r="DAE281" s="1069"/>
      <c r="DAF281" s="1069"/>
      <c r="DAG281" s="1069"/>
      <c r="DAH281" s="1069"/>
      <c r="DAI281" s="1069"/>
      <c r="DAJ281" s="1069"/>
      <c r="DAK281" s="1069"/>
      <c r="DAL281" s="1069"/>
      <c r="DAM281" s="1069"/>
      <c r="DAN281" s="1069"/>
      <c r="DAO281" s="1069"/>
      <c r="DAP281" s="1069"/>
      <c r="DAQ281" s="1069"/>
      <c r="DAR281" s="1069"/>
      <c r="DAS281" s="1069"/>
      <c r="DAT281" s="1069"/>
      <c r="DAU281" s="1069"/>
      <c r="DAV281" s="1069"/>
      <c r="DAW281" s="1069"/>
      <c r="DAX281" s="1069"/>
      <c r="DAY281" s="1069"/>
      <c r="DAZ281" s="1069"/>
      <c r="DBA281" s="1069"/>
      <c r="DBB281" s="1069"/>
      <c r="DBC281" s="1069"/>
      <c r="DBD281" s="1069"/>
      <c r="DBE281" s="1069"/>
      <c r="DBF281" s="1069"/>
      <c r="DBG281" s="1069"/>
      <c r="DBH281" s="1069"/>
      <c r="DBI281" s="1069"/>
      <c r="DBJ281" s="1069"/>
      <c r="DBK281" s="1069"/>
      <c r="DBL281" s="1069"/>
      <c r="DBM281" s="1069"/>
      <c r="DBN281" s="1069"/>
      <c r="DBO281" s="1069"/>
      <c r="DBP281" s="1069"/>
      <c r="DBQ281" s="1069"/>
      <c r="DBR281" s="1069"/>
      <c r="DBS281" s="1069"/>
      <c r="DBT281" s="1069"/>
      <c r="DBU281" s="1069"/>
      <c r="DBV281" s="1069"/>
      <c r="DBW281" s="1069"/>
      <c r="DBX281" s="1069"/>
      <c r="DBY281" s="1069"/>
      <c r="DBZ281" s="1069"/>
      <c r="DCA281" s="1069"/>
      <c r="DCB281" s="1069"/>
      <c r="DCC281" s="1069"/>
      <c r="DCD281" s="1069"/>
      <c r="DCE281" s="1069"/>
      <c r="DCF281" s="1069"/>
      <c r="DCG281" s="1069"/>
      <c r="DCH281" s="1069"/>
      <c r="DCI281" s="1069"/>
      <c r="DCJ281" s="1069"/>
      <c r="DCK281" s="1069"/>
      <c r="DCL281" s="1069"/>
      <c r="DCM281" s="1069"/>
      <c r="DCN281" s="1069"/>
      <c r="DCO281" s="1069"/>
      <c r="DCP281" s="1069"/>
      <c r="DCQ281" s="1069"/>
      <c r="DCR281" s="1069"/>
      <c r="DCS281" s="1069"/>
      <c r="DCT281" s="1069"/>
      <c r="DCU281" s="1069"/>
      <c r="DCV281" s="1069"/>
      <c r="DCW281" s="1069"/>
      <c r="DCX281" s="1069"/>
      <c r="DCY281" s="1069"/>
      <c r="DCZ281" s="1069"/>
      <c r="DDA281" s="1069"/>
      <c r="DDB281" s="1069"/>
      <c r="DDC281" s="1069"/>
      <c r="DDD281" s="1069"/>
      <c r="DDE281" s="1069"/>
      <c r="DDF281" s="1069"/>
      <c r="DDG281" s="1069"/>
      <c r="DDH281" s="1069"/>
      <c r="DDI281" s="1069"/>
      <c r="DDJ281" s="1069"/>
      <c r="DDK281" s="1069"/>
      <c r="DDL281" s="1069"/>
      <c r="DDM281" s="1069"/>
      <c r="DDN281" s="1069"/>
      <c r="DDO281" s="1069"/>
      <c r="DDP281" s="1069"/>
      <c r="DDQ281" s="1069"/>
      <c r="DDR281" s="1069"/>
      <c r="DDS281" s="1069"/>
      <c r="DDT281" s="1069"/>
      <c r="DDU281" s="1069"/>
      <c r="DDV281" s="1069"/>
      <c r="DDW281" s="1069"/>
      <c r="DDX281" s="1069"/>
      <c r="DDY281" s="1069"/>
      <c r="DDZ281" s="1069"/>
      <c r="DEA281" s="1069"/>
      <c r="DEB281" s="1069"/>
      <c r="DEC281" s="1069"/>
      <c r="DED281" s="1069"/>
      <c r="DEE281" s="1069"/>
      <c r="DEF281" s="1069"/>
      <c r="DEG281" s="1069"/>
      <c r="DEH281" s="1069"/>
      <c r="DEI281" s="1069"/>
      <c r="DEJ281" s="1069"/>
      <c r="DEK281" s="1069"/>
      <c r="DEL281" s="1069"/>
      <c r="DEM281" s="1069"/>
      <c r="DEN281" s="1069"/>
      <c r="DEO281" s="1069"/>
      <c r="DEP281" s="1069"/>
      <c r="DEQ281" s="1069"/>
      <c r="DER281" s="1069"/>
      <c r="DES281" s="1069"/>
      <c r="DET281" s="1069"/>
      <c r="DEU281" s="1069"/>
      <c r="DEV281" s="1069"/>
      <c r="DEW281" s="1069"/>
      <c r="DEX281" s="1069"/>
      <c r="DEY281" s="1069"/>
      <c r="DEZ281" s="1069"/>
      <c r="DFA281" s="1069"/>
      <c r="DFB281" s="1069"/>
      <c r="DFC281" s="1069"/>
      <c r="DFD281" s="1069"/>
      <c r="DFE281" s="1069"/>
      <c r="DFF281" s="1069"/>
      <c r="DFG281" s="1069"/>
      <c r="DFH281" s="1069"/>
      <c r="DFI281" s="1069"/>
      <c r="DFJ281" s="1069"/>
      <c r="DFK281" s="1069"/>
      <c r="DFL281" s="1069"/>
      <c r="DFM281" s="1069"/>
      <c r="DFN281" s="1069"/>
      <c r="DFO281" s="1069"/>
      <c r="DFP281" s="1069"/>
      <c r="DFQ281" s="1069"/>
      <c r="DFR281" s="1069"/>
      <c r="DFS281" s="1069"/>
      <c r="DFT281" s="1069"/>
      <c r="DFU281" s="1069"/>
      <c r="DFV281" s="1069"/>
      <c r="DFW281" s="1069"/>
      <c r="DFX281" s="1069"/>
      <c r="DFY281" s="1069"/>
      <c r="DFZ281" s="1069"/>
      <c r="DGA281" s="1069"/>
      <c r="DGB281" s="1069"/>
      <c r="DGC281" s="1069"/>
      <c r="DGD281" s="1069"/>
      <c r="DGE281" s="1069"/>
      <c r="DGF281" s="1069"/>
      <c r="DGG281" s="1069"/>
      <c r="DGH281" s="1069"/>
      <c r="DGI281" s="1069"/>
      <c r="DGJ281" s="1069"/>
      <c r="DGK281" s="1069"/>
      <c r="DGL281" s="1069"/>
      <c r="DGM281" s="1069"/>
      <c r="DGN281" s="1069"/>
      <c r="DGO281" s="1069"/>
      <c r="DGP281" s="1069"/>
      <c r="DGQ281" s="1069"/>
      <c r="DGR281" s="1069"/>
      <c r="DGS281" s="1069"/>
      <c r="DGT281" s="1069"/>
      <c r="DGU281" s="1069"/>
      <c r="DGV281" s="1069"/>
      <c r="DGW281" s="1069"/>
      <c r="DGX281" s="1069"/>
      <c r="DGY281" s="1069"/>
      <c r="DGZ281" s="1069"/>
      <c r="DHA281" s="1069"/>
      <c r="DHB281" s="1069"/>
      <c r="DHC281" s="1069"/>
      <c r="DHD281" s="1069"/>
      <c r="DHE281" s="1069"/>
      <c r="DHF281" s="1069"/>
      <c r="DHG281" s="1069"/>
      <c r="DHH281" s="1069"/>
      <c r="DHI281" s="1069"/>
      <c r="DHJ281" s="1069"/>
      <c r="DHK281" s="1069"/>
      <c r="DHL281" s="1069"/>
      <c r="DHM281" s="1069"/>
      <c r="DHN281" s="1069"/>
      <c r="DHO281" s="1069"/>
      <c r="DHP281" s="1069"/>
      <c r="DHQ281" s="1069"/>
      <c r="DHR281" s="1069"/>
      <c r="DHS281" s="1069"/>
      <c r="DHT281" s="1069"/>
      <c r="DHU281" s="1069"/>
      <c r="DHV281" s="1069"/>
      <c r="DHW281" s="1069"/>
      <c r="DHX281" s="1069"/>
      <c r="DHY281" s="1069"/>
      <c r="DHZ281" s="1069"/>
      <c r="DIA281" s="1069"/>
      <c r="DIB281" s="1069"/>
      <c r="DIC281" s="1069"/>
      <c r="DID281" s="1069"/>
      <c r="DIE281" s="1069"/>
      <c r="DIF281" s="1069"/>
      <c r="DIG281" s="1069"/>
      <c r="DIH281" s="1069"/>
      <c r="DII281" s="1069"/>
      <c r="DIJ281" s="1069"/>
      <c r="DIK281" s="1069"/>
      <c r="DIL281" s="1069"/>
      <c r="DIM281" s="1069"/>
      <c r="DIN281" s="1069"/>
      <c r="DIO281" s="1069"/>
      <c r="DIP281" s="1069"/>
      <c r="DIQ281" s="1069"/>
      <c r="DIR281" s="1069"/>
      <c r="DIS281" s="1069"/>
      <c r="DIT281" s="1069"/>
      <c r="DIU281" s="1069"/>
      <c r="DIV281" s="1069"/>
      <c r="DIW281" s="1069"/>
      <c r="DIX281" s="1069"/>
      <c r="DIY281" s="1069"/>
      <c r="DIZ281" s="1069"/>
      <c r="DJA281" s="1069"/>
      <c r="DJB281" s="1069"/>
      <c r="DJC281" s="1069"/>
      <c r="DJD281" s="1069"/>
      <c r="DJE281" s="1069"/>
      <c r="DJF281" s="1069"/>
      <c r="DJG281" s="1069"/>
      <c r="DJH281" s="1069"/>
      <c r="DJI281" s="1069"/>
      <c r="DJJ281" s="1069"/>
      <c r="DJK281" s="1069"/>
      <c r="DJL281" s="1069"/>
      <c r="DJM281" s="1069"/>
      <c r="DJN281" s="1069"/>
      <c r="DJO281" s="1069"/>
      <c r="DJP281" s="1069"/>
      <c r="DJQ281" s="1069"/>
      <c r="DJR281" s="1069"/>
      <c r="DJS281" s="1069"/>
      <c r="DJT281" s="1069"/>
      <c r="DJU281" s="1069"/>
      <c r="DJV281" s="1069"/>
      <c r="DJW281" s="1069"/>
      <c r="DJX281" s="1069"/>
      <c r="DJY281" s="1069"/>
      <c r="DJZ281" s="1069"/>
      <c r="DKA281" s="1069"/>
      <c r="DKB281" s="1069"/>
      <c r="DKC281" s="1069"/>
      <c r="DKD281" s="1069"/>
      <c r="DKE281" s="1069"/>
      <c r="DKF281" s="1069"/>
      <c r="DKG281" s="1069"/>
      <c r="DKH281" s="1069"/>
      <c r="DKI281" s="1069"/>
      <c r="DKJ281" s="1069"/>
      <c r="DKK281" s="1069"/>
      <c r="DKL281" s="1069"/>
      <c r="DKM281" s="1069"/>
      <c r="DKN281" s="1069"/>
      <c r="DKO281" s="1069"/>
      <c r="DKP281" s="1069"/>
      <c r="DKQ281" s="1069"/>
      <c r="DKR281" s="1069"/>
      <c r="DKS281" s="1069"/>
      <c r="DKT281" s="1069"/>
      <c r="DKU281" s="1069"/>
      <c r="DKV281" s="1069"/>
      <c r="DKW281" s="1069"/>
      <c r="DKX281" s="1069"/>
      <c r="DKY281" s="1069"/>
      <c r="DKZ281" s="1069"/>
      <c r="DLA281" s="1069"/>
      <c r="DLB281" s="1069"/>
      <c r="DLC281" s="1069"/>
      <c r="DLD281" s="1069"/>
      <c r="DLE281" s="1069"/>
      <c r="DLF281" s="1069"/>
      <c r="DLG281" s="1069"/>
      <c r="DLH281" s="1069"/>
      <c r="DLI281" s="1069"/>
      <c r="DLJ281" s="1069"/>
      <c r="DLK281" s="1069"/>
      <c r="DLL281" s="1069"/>
      <c r="DLM281" s="1069"/>
      <c r="DLN281" s="1069"/>
      <c r="DLO281" s="1069"/>
      <c r="DLP281" s="1069"/>
      <c r="DLQ281" s="1069"/>
      <c r="DLR281" s="1069"/>
      <c r="DLS281" s="1069"/>
      <c r="DLT281" s="1069"/>
      <c r="DLU281" s="1069"/>
      <c r="DLV281" s="1069"/>
      <c r="DLW281" s="1069"/>
      <c r="DLX281" s="1069"/>
      <c r="DLY281" s="1069"/>
      <c r="DLZ281" s="1069"/>
      <c r="DMA281" s="1069"/>
      <c r="DMB281" s="1069"/>
      <c r="DMC281" s="1069"/>
      <c r="DMD281" s="1069"/>
      <c r="DME281" s="1069"/>
      <c r="DMF281" s="1069"/>
      <c r="DMG281" s="1069"/>
      <c r="DMH281" s="1069"/>
      <c r="DMI281" s="1069"/>
      <c r="DMJ281" s="1069"/>
      <c r="DMK281" s="1069"/>
      <c r="DML281" s="1069"/>
      <c r="DMM281" s="1069"/>
      <c r="DMN281" s="1069"/>
      <c r="DMO281" s="1069"/>
      <c r="DMP281" s="1069"/>
      <c r="DMQ281" s="1069"/>
      <c r="DMR281" s="1069"/>
      <c r="DMS281" s="1069"/>
      <c r="DMT281" s="1069"/>
      <c r="DMU281" s="1069"/>
      <c r="DMV281" s="1069"/>
      <c r="DMW281" s="1069"/>
      <c r="DMX281" s="1069"/>
      <c r="DMY281" s="1069"/>
      <c r="DMZ281" s="1069"/>
      <c r="DNA281" s="1069"/>
      <c r="DNB281" s="1069"/>
      <c r="DNC281" s="1069"/>
      <c r="DND281" s="1069"/>
      <c r="DNE281" s="1069"/>
      <c r="DNF281" s="1069"/>
      <c r="DNG281" s="1069"/>
      <c r="DNH281" s="1069"/>
      <c r="DNI281" s="1069"/>
      <c r="DNJ281" s="1069"/>
      <c r="DNK281" s="1069"/>
      <c r="DNL281" s="1069"/>
      <c r="DNM281" s="1069"/>
      <c r="DNN281" s="1069"/>
      <c r="DNO281" s="1069"/>
      <c r="DNP281" s="1069"/>
      <c r="DNQ281" s="1069"/>
      <c r="DNR281" s="1069"/>
      <c r="DNS281" s="1069"/>
      <c r="DNT281" s="1069"/>
      <c r="DNU281" s="1069"/>
      <c r="DNV281" s="1069"/>
      <c r="DNW281" s="1069"/>
      <c r="DNX281" s="1069"/>
      <c r="DNY281" s="1069"/>
      <c r="DNZ281" s="1069"/>
      <c r="DOA281" s="1069"/>
      <c r="DOB281" s="1069"/>
      <c r="DOC281" s="1069"/>
      <c r="DOD281" s="1069"/>
      <c r="DOE281" s="1069"/>
      <c r="DOF281" s="1069"/>
      <c r="DOG281" s="1069"/>
      <c r="DOH281" s="1069"/>
      <c r="DOI281" s="1069"/>
      <c r="DOJ281" s="1069"/>
      <c r="DOK281" s="1069"/>
      <c r="DOL281" s="1069"/>
      <c r="DOM281" s="1069"/>
      <c r="DON281" s="1069"/>
      <c r="DOO281" s="1069"/>
      <c r="DOP281" s="1069"/>
      <c r="DOQ281" s="1069"/>
      <c r="DOR281" s="1069"/>
      <c r="DOS281" s="1069"/>
      <c r="DOT281" s="1069"/>
      <c r="DOU281" s="1069"/>
      <c r="DOV281" s="1069"/>
      <c r="DOW281" s="1069"/>
      <c r="DOX281" s="1069"/>
      <c r="DOY281" s="1069"/>
      <c r="DOZ281" s="1069"/>
      <c r="DPA281" s="1069"/>
      <c r="DPB281" s="1069"/>
      <c r="DPC281" s="1069"/>
      <c r="DPD281" s="1069"/>
      <c r="DPE281" s="1069"/>
      <c r="DPF281" s="1069"/>
      <c r="DPG281" s="1069"/>
      <c r="DPH281" s="1069"/>
      <c r="DPI281" s="1069"/>
      <c r="DPJ281" s="1069"/>
      <c r="DPK281" s="1069"/>
      <c r="DPL281" s="1069"/>
      <c r="DPM281" s="1069"/>
      <c r="DPN281" s="1069"/>
      <c r="DPO281" s="1069"/>
      <c r="DPP281" s="1069"/>
      <c r="DPQ281" s="1069"/>
      <c r="DPR281" s="1069"/>
      <c r="DPS281" s="1069"/>
      <c r="DPT281" s="1069"/>
      <c r="DPU281" s="1069"/>
      <c r="DPV281" s="1069"/>
      <c r="DPW281" s="1069"/>
      <c r="DPX281" s="1069"/>
      <c r="DPY281" s="1069"/>
      <c r="DPZ281" s="1069"/>
      <c r="DQA281" s="1069"/>
      <c r="DQB281" s="1069"/>
      <c r="DQC281" s="1069"/>
      <c r="DQD281" s="1069"/>
      <c r="DQE281" s="1069"/>
      <c r="DQF281" s="1069"/>
      <c r="DQG281" s="1069"/>
      <c r="DQH281" s="1069"/>
      <c r="DQI281" s="1069"/>
      <c r="DQJ281" s="1069"/>
      <c r="DQK281" s="1069"/>
      <c r="DQL281" s="1069"/>
      <c r="DQM281" s="1069"/>
      <c r="DQN281" s="1069"/>
      <c r="DQO281" s="1069"/>
      <c r="DQP281" s="1069"/>
      <c r="DQQ281" s="1069"/>
      <c r="DQR281" s="1069"/>
      <c r="DQS281" s="1069"/>
      <c r="DQT281" s="1069"/>
      <c r="DQU281" s="1069"/>
      <c r="DQV281" s="1069"/>
      <c r="DQW281" s="1069"/>
      <c r="DQX281" s="1069"/>
      <c r="DQY281" s="1069"/>
      <c r="DQZ281" s="1069"/>
      <c r="DRA281" s="1069"/>
      <c r="DRB281" s="1069"/>
      <c r="DRC281" s="1069"/>
      <c r="DRD281" s="1069"/>
      <c r="DRE281" s="1069"/>
      <c r="DRF281" s="1069"/>
      <c r="DRG281" s="1069"/>
      <c r="DRH281" s="1069"/>
      <c r="DRI281" s="1069"/>
      <c r="DRJ281" s="1069"/>
      <c r="DRK281" s="1069"/>
      <c r="DRL281" s="1069"/>
      <c r="DRM281" s="1069"/>
      <c r="DRN281" s="1069"/>
      <c r="DRO281" s="1069"/>
      <c r="DRP281" s="1069"/>
      <c r="DRQ281" s="1069"/>
      <c r="DRR281" s="1069"/>
      <c r="DRS281" s="1069"/>
      <c r="DRT281" s="1069"/>
      <c r="DRU281" s="1069"/>
      <c r="DRV281" s="1069"/>
      <c r="DRW281" s="1069"/>
      <c r="DRX281" s="1069"/>
      <c r="DRY281" s="1069"/>
      <c r="DRZ281" s="1069"/>
      <c r="DSA281" s="1069"/>
      <c r="DSB281" s="1069"/>
      <c r="DSC281" s="1069"/>
      <c r="DSD281" s="1069"/>
      <c r="DSE281" s="1069"/>
      <c r="DSF281" s="1069"/>
      <c r="DSG281" s="1069"/>
      <c r="DSH281" s="1069"/>
      <c r="DSI281" s="1069"/>
      <c r="DSJ281" s="1069"/>
      <c r="DSK281" s="1069"/>
      <c r="DSL281" s="1069"/>
      <c r="DSM281" s="1069"/>
      <c r="DSN281" s="1069"/>
      <c r="DSO281" s="1069"/>
      <c r="DSP281" s="1069"/>
      <c r="DSQ281" s="1069"/>
      <c r="DSR281" s="1069"/>
      <c r="DSS281" s="1069"/>
      <c r="DST281" s="1069"/>
      <c r="DSU281" s="1069"/>
      <c r="DSV281" s="1069"/>
      <c r="DSW281" s="1069"/>
      <c r="DSX281" s="1069"/>
      <c r="DSY281" s="1069"/>
      <c r="DSZ281" s="1069"/>
      <c r="DTA281" s="1069"/>
      <c r="DTB281" s="1069"/>
      <c r="DTC281" s="1069"/>
      <c r="DTD281" s="1069"/>
      <c r="DTE281" s="1069"/>
      <c r="DTF281" s="1069"/>
      <c r="DTG281" s="1069"/>
      <c r="DTH281" s="1069"/>
      <c r="DTI281" s="1069"/>
      <c r="DTJ281" s="1069"/>
      <c r="DTK281" s="1069"/>
      <c r="DTL281" s="1069"/>
      <c r="DTM281" s="1069"/>
      <c r="DTN281" s="1069"/>
      <c r="DTO281" s="1069"/>
      <c r="DTP281" s="1069"/>
      <c r="DTQ281" s="1069"/>
      <c r="DTR281" s="1069"/>
      <c r="DTS281" s="1069"/>
      <c r="DTT281" s="1069"/>
      <c r="DTU281" s="1069"/>
      <c r="DTV281" s="1069"/>
      <c r="DTW281" s="1069"/>
      <c r="DTX281" s="1069"/>
      <c r="DTY281" s="1069"/>
      <c r="DTZ281" s="1069"/>
      <c r="DUA281" s="1069"/>
      <c r="DUB281" s="1069"/>
      <c r="DUC281" s="1069"/>
      <c r="DUD281" s="1069"/>
      <c r="DUE281" s="1069"/>
      <c r="DUF281" s="1069"/>
      <c r="DUG281" s="1069"/>
      <c r="DUH281" s="1069"/>
      <c r="DUI281" s="1069"/>
      <c r="DUJ281" s="1069"/>
      <c r="DUK281" s="1069"/>
      <c r="DUL281" s="1069"/>
      <c r="DUM281" s="1069"/>
      <c r="DUN281" s="1069"/>
      <c r="DUO281" s="1069"/>
      <c r="DUP281" s="1069"/>
      <c r="DUQ281" s="1069"/>
      <c r="DUR281" s="1069"/>
      <c r="DUS281" s="1069"/>
      <c r="DUT281" s="1069"/>
      <c r="DUU281" s="1069"/>
      <c r="DUV281" s="1069"/>
      <c r="DUW281" s="1069"/>
      <c r="DUX281" s="1069"/>
      <c r="DUY281" s="1069"/>
      <c r="DUZ281" s="1069"/>
      <c r="DVA281" s="1069"/>
      <c r="DVB281" s="1069"/>
      <c r="DVC281" s="1069"/>
      <c r="DVD281" s="1069"/>
      <c r="DVE281" s="1069"/>
      <c r="DVF281" s="1069"/>
      <c r="DVG281" s="1069"/>
      <c r="DVH281" s="1069"/>
      <c r="DVI281" s="1069"/>
      <c r="DVJ281" s="1069"/>
      <c r="DVK281" s="1069"/>
      <c r="DVL281" s="1069"/>
      <c r="DVM281" s="1069"/>
      <c r="DVN281" s="1069"/>
      <c r="DVO281" s="1069"/>
      <c r="DVP281" s="1069"/>
      <c r="DVQ281" s="1069"/>
      <c r="DVR281" s="1069"/>
      <c r="DVS281" s="1069"/>
      <c r="DVT281" s="1069"/>
      <c r="DVU281" s="1069"/>
      <c r="DVV281" s="1069"/>
      <c r="DVW281" s="1069"/>
      <c r="DVX281" s="1069"/>
      <c r="DVY281" s="1069"/>
      <c r="DVZ281" s="1069"/>
      <c r="DWA281" s="1069"/>
      <c r="DWB281" s="1069"/>
      <c r="DWC281" s="1069"/>
      <c r="DWD281" s="1069"/>
      <c r="DWE281" s="1069"/>
      <c r="DWF281" s="1069"/>
      <c r="DWG281" s="1069"/>
      <c r="DWH281" s="1069"/>
      <c r="DWI281" s="1069"/>
      <c r="DWJ281" s="1069"/>
      <c r="DWK281" s="1069"/>
      <c r="DWL281" s="1069"/>
      <c r="DWM281" s="1069"/>
      <c r="DWN281" s="1069"/>
      <c r="DWO281" s="1069"/>
      <c r="DWP281" s="1069"/>
      <c r="DWQ281" s="1069"/>
      <c r="DWR281" s="1069"/>
      <c r="DWS281" s="1069"/>
      <c r="DWT281" s="1069"/>
      <c r="DWU281" s="1069"/>
      <c r="DWV281" s="1069"/>
      <c r="DWW281" s="1069"/>
      <c r="DWX281" s="1069"/>
      <c r="DWY281" s="1069"/>
      <c r="DWZ281" s="1069"/>
      <c r="DXA281" s="1069"/>
      <c r="DXB281" s="1069"/>
      <c r="DXC281" s="1069"/>
      <c r="DXD281" s="1069"/>
      <c r="DXE281" s="1069"/>
      <c r="DXF281" s="1069"/>
      <c r="DXG281" s="1069"/>
      <c r="DXH281" s="1069"/>
      <c r="DXI281" s="1069"/>
      <c r="DXJ281" s="1069"/>
      <c r="DXK281" s="1069"/>
      <c r="DXL281" s="1069"/>
      <c r="DXM281" s="1069"/>
      <c r="DXN281" s="1069"/>
      <c r="DXO281" s="1069"/>
      <c r="DXP281" s="1069"/>
      <c r="DXQ281" s="1069"/>
      <c r="DXR281" s="1069"/>
      <c r="DXS281" s="1069"/>
      <c r="DXT281" s="1069"/>
      <c r="DXU281" s="1069"/>
      <c r="DXV281" s="1069"/>
      <c r="DXW281" s="1069"/>
      <c r="DXX281" s="1069"/>
      <c r="DXY281" s="1069"/>
      <c r="DXZ281" s="1069"/>
      <c r="DYA281" s="1069"/>
      <c r="DYB281" s="1069"/>
      <c r="DYC281" s="1069"/>
      <c r="DYD281" s="1069"/>
      <c r="DYE281" s="1069"/>
      <c r="DYF281" s="1069"/>
      <c r="DYG281" s="1069"/>
      <c r="DYH281" s="1069"/>
      <c r="DYI281" s="1069"/>
      <c r="DYJ281" s="1069"/>
      <c r="DYK281" s="1069"/>
      <c r="DYL281" s="1069"/>
      <c r="DYM281" s="1069"/>
      <c r="DYN281" s="1069"/>
      <c r="DYO281" s="1069"/>
      <c r="DYP281" s="1069"/>
      <c r="DYQ281" s="1069"/>
      <c r="DYR281" s="1069"/>
      <c r="DYS281" s="1069"/>
      <c r="DYT281" s="1069"/>
      <c r="DYU281" s="1069"/>
      <c r="DYV281" s="1069"/>
      <c r="DYW281" s="1069"/>
      <c r="DYX281" s="1069"/>
      <c r="DYY281" s="1069"/>
      <c r="DYZ281" s="1069"/>
      <c r="DZA281" s="1069"/>
      <c r="DZB281" s="1069"/>
      <c r="DZC281" s="1069"/>
      <c r="DZD281" s="1069"/>
      <c r="DZE281" s="1069"/>
      <c r="DZF281" s="1069"/>
      <c r="DZG281" s="1069"/>
      <c r="DZH281" s="1069"/>
      <c r="DZI281" s="1069"/>
      <c r="DZJ281" s="1069"/>
      <c r="DZK281" s="1069"/>
      <c r="DZL281" s="1069"/>
      <c r="DZM281" s="1069"/>
      <c r="DZN281" s="1069"/>
      <c r="DZO281" s="1069"/>
      <c r="DZP281" s="1069"/>
      <c r="DZQ281" s="1069"/>
      <c r="DZR281" s="1069"/>
      <c r="DZS281" s="1069"/>
      <c r="DZT281" s="1069"/>
      <c r="DZU281" s="1069"/>
      <c r="DZV281" s="1069"/>
      <c r="DZW281" s="1069"/>
      <c r="DZX281" s="1069"/>
      <c r="DZY281" s="1069"/>
      <c r="DZZ281" s="1069"/>
      <c r="EAA281" s="1069"/>
      <c r="EAB281" s="1069"/>
      <c r="EAC281" s="1069"/>
      <c r="EAD281" s="1069"/>
      <c r="EAE281" s="1069"/>
      <c r="EAF281" s="1069"/>
      <c r="EAG281" s="1069"/>
      <c r="EAH281" s="1069"/>
      <c r="EAI281" s="1069"/>
      <c r="EAJ281" s="1069"/>
      <c r="EAK281" s="1069"/>
      <c r="EAL281" s="1069"/>
      <c r="EAM281" s="1069"/>
      <c r="EAN281" s="1069"/>
      <c r="EAO281" s="1069"/>
      <c r="EAP281" s="1069"/>
      <c r="EAQ281" s="1069"/>
      <c r="EAR281" s="1069"/>
      <c r="EAS281" s="1069"/>
      <c r="EAT281" s="1069"/>
      <c r="EAU281" s="1069"/>
      <c r="EAV281" s="1069"/>
      <c r="EAW281" s="1069"/>
      <c r="EAX281" s="1069"/>
      <c r="EAY281" s="1069"/>
      <c r="EAZ281" s="1069"/>
      <c r="EBA281" s="1069"/>
      <c r="EBB281" s="1069"/>
      <c r="EBC281" s="1069"/>
      <c r="EBD281" s="1069"/>
      <c r="EBE281" s="1069"/>
      <c r="EBF281" s="1069"/>
      <c r="EBG281" s="1069"/>
      <c r="EBH281" s="1069"/>
      <c r="EBI281" s="1069"/>
      <c r="EBJ281" s="1069"/>
      <c r="EBK281" s="1069"/>
      <c r="EBL281" s="1069"/>
      <c r="EBM281" s="1069"/>
      <c r="EBN281" s="1069"/>
      <c r="EBO281" s="1069"/>
      <c r="EBP281" s="1069"/>
      <c r="EBQ281" s="1069"/>
      <c r="EBR281" s="1069"/>
      <c r="EBS281" s="1069"/>
      <c r="EBT281" s="1069"/>
      <c r="EBU281" s="1069"/>
      <c r="EBV281" s="1069"/>
      <c r="EBW281" s="1069"/>
      <c r="EBX281" s="1069"/>
      <c r="EBY281" s="1069"/>
      <c r="EBZ281" s="1069"/>
      <c r="ECA281" s="1069"/>
      <c r="ECB281" s="1069"/>
      <c r="ECC281" s="1069"/>
      <c r="ECD281" s="1069"/>
      <c r="ECE281" s="1069"/>
      <c r="ECF281" s="1069"/>
      <c r="ECG281" s="1069"/>
      <c r="ECH281" s="1069"/>
      <c r="ECI281" s="1069"/>
      <c r="ECJ281" s="1069"/>
      <c r="ECK281" s="1069"/>
      <c r="ECL281" s="1069"/>
      <c r="ECM281" s="1069"/>
      <c r="ECN281" s="1069"/>
      <c r="ECO281" s="1069"/>
      <c r="ECP281" s="1069"/>
      <c r="ECQ281" s="1069"/>
      <c r="ECR281" s="1069"/>
      <c r="ECS281" s="1069"/>
      <c r="ECT281" s="1069"/>
      <c r="ECU281" s="1069"/>
      <c r="ECV281" s="1069"/>
      <c r="ECW281" s="1069"/>
      <c r="ECX281" s="1069"/>
      <c r="ECY281" s="1069"/>
      <c r="ECZ281" s="1069"/>
      <c r="EDA281" s="1069"/>
      <c r="EDB281" s="1069"/>
      <c r="EDC281" s="1069"/>
      <c r="EDD281" s="1069"/>
      <c r="EDE281" s="1069"/>
      <c r="EDF281" s="1069"/>
      <c r="EDG281" s="1069"/>
      <c r="EDH281" s="1069"/>
      <c r="EDI281" s="1069"/>
      <c r="EDJ281" s="1069"/>
      <c r="EDK281" s="1069"/>
      <c r="EDL281" s="1069"/>
      <c r="EDM281" s="1069"/>
      <c r="EDN281" s="1069"/>
      <c r="EDO281" s="1069"/>
      <c r="EDP281" s="1069"/>
      <c r="EDQ281" s="1069"/>
      <c r="EDR281" s="1069"/>
      <c r="EDS281" s="1069"/>
      <c r="EDT281" s="1069"/>
      <c r="EDU281" s="1069"/>
      <c r="EDV281" s="1069"/>
      <c r="EDW281" s="1069"/>
      <c r="EDX281" s="1069"/>
      <c r="EDY281" s="1069"/>
      <c r="EDZ281" s="1069"/>
      <c r="EEA281" s="1069"/>
      <c r="EEB281" s="1069"/>
      <c r="EEC281" s="1069"/>
      <c r="EED281" s="1069"/>
      <c r="EEE281" s="1069"/>
      <c r="EEF281" s="1069"/>
      <c r="EEG281" s="1069"/>
      <c r="EEH281" s="1069"/>
      <c r="EEI281" s="1069"/>
      <c r="EEJ281" s="1069"/>
      <c r="EEK281" s="1069"/>
      <c r="EEL281" s="1069"/>
      <c r="EEM281" s="1069"/>
      <c r="EEN281" s="1069"/>
      <c r="EEO281" s="1069"/>
      <c r="EEP281" s="1069"/>
      <c r="EEQ281" s="1069"/>
      <c r="EER281" s="1069"/>
      <c r="EES281" s="1069"/>
      <c r="EET281" s="1069"/>
      <c r="EEU281" s="1069"/>
      <c r="EEV281" s="1069"/>
      <c r="EEW281" s="1069"/>
      <c r="EEX281" s="1069"/>
      <c r="EEY281" s="1069"/>
      <c r="EEZ281" s="1069"/>
      <c r="EFA281" s="1069"/>
      <c r="EFB281" s="1069"/>
      <c r="EFC281" s="1069"/>
      <c r="EFD281" s="1069"/>
      <c r="EFE281" s="1069"/>
      <c r="EFF281" s="1069"/>
      <c r="EFG281" s="1069"/>
      <c r="EFH281" s="1069"/>
      <c r="EFI281" s="1069"/>
      <c r="EFJ281" s="1069"/>
      <c r="EFK281" s="1069"/>
      <c r="EFL281" s="1069"/>
      <c r="EFM281" s="1069"/>
      <c r="EFN281" s="1069"/>
      <c r="EFO281" s="1069"/>
      <c r="EFP281" s="1069"/>
      <c r="EFQ281" s="1069"/>
      <c r="EFR281" s="1069"/>
      <c r="EFS281" s="1069"/>
      <c r="EFT281" s="1069"/>
      <c r="EFU281" s="1069"/>
      <c r="EFV281" s="1069"/>
      <c r="EFW281" s="1069"/>
      <c r="EFX281" s="1069"/>
      <c r="EFY281" s="1069"/>
      <c r="EFZ281" s="1069"/>
      <c r="EGA281" s="1069"/>
      <c r="EGB281" s="1069"/>
      <c r="EGC281" s="1069"/>
      <c r="EGD281" s="1069"/>
      <c r="EGE281" s="1069"/>
      <c r="EGF281" s="1069"/>
      <c r="EGG281" s="1069"/>
      <c r="EGH281" s="1069"/>
      <c r="EGI281" s="1069"/>
      <c r="EGJ281" s="1069"/>
      <c r="EGK281" s="1069"/>
      <c r="EGL281" s="1069"/>
      <c r="EGM281" s="1069"/>
      <c r="EGN281" s="1069"/>
      <c r="EGO281" s="1069"/>
      <c r="EGP281" s="1069"/>
      <c r="EGQ281" s="1069"/>
      <c r="EGR281" s="1069"/>
      <c r="EGS281" s="1069"/>
      <c r="EGT281" s="1069"/>
      <c r="EGU281" s="1069"/>
      <c r="EGV281" s="1069"/>
      <c r="EGW281" s="1069"/>
      <c r="EGX281" s="1069"/>
      <c r="EGY281" s="1069"/>
      <c r="EGZ281" s="1069"/>
      <c r="EHA281" s="1069"/>
      <c r="EHB281" s="1069"/>
      <c r="EHC281" s="1069"/>
      <c r="EHD281" s="1069"/>
      <c r="EHE281" s="1069"/>
      <c r="EHF281" s="1069"/>
      <c r="EHG281" s="1069"/>
      <c r="EHH281" s="1069"/>
      <c r="EHI281" s="1069"/>
      <c r="EHJ281" s="1069"/>
      <c r="EHK281" s="1069"/>
      <c r="EHL281" s="1069"/>
      <c r="EHM281" s="1069"/>
      <c r="EHN281" s="1069"/>
      <c r="EHO281" s="1069"/>
      <c r="EHP281" s="1069"/>
      <c r="EHQ281" s="1069"/>
      <c r="EHR281" s="1069"/>
      <c r="EHS281" s="1069"/>
      <c r="EHT281" s="1069"/>
      <c r="EHU281" s="1069"/>
      <c r="EHV281" s="1069"/>
      <c r="EHW281" s="1069"/>
      <c r="EHX281" s="1069"/>
      <c r="EHY281" s="1069"/>
      <c r="EHZ281" s="1069"/>
      <c r="EIA281" s="1069"/>
      <c r="EIB281" s="1069"/>
      <c r="EIC281" s="1069"/>
      <c r="EID281" s="1069"/>
      <c r="EIE281" s="1069"/>
      <c r="EIF281" s="1069"/>
      <c r="EIG281" s="1069"/>
      <c r="EIH281" s="1069"/>
      <c r="EII281" s="1069"/>
      <c r="EIJ281" s="1069"/>
      <c r="EIK281" s="1069"/>
      <c r="EIL281" s="1069"/>
      <c r="EIM281" s="1069"/>
      <c r="EIN281" s="1069"/>
      <c r="EIO281" s="1069"/>
      <c r="EIP281" s="1069"/>
      <c r="EIQ281" s="1069"/>
      <c r="EIR281" s="1069"/>
      <c r="EIS281" s="1069"/>
      <c r="EIT281" s="1069"/>
      <c r="EIU281" s="1069"/>
      <c r="EIV281" s="1069"/>
      <c r="EIW281" s="1069"/>
      <c r="EIX281" s="1069"/>
      <c r="EIY281" s="1069"/>
      <c r="EIZ281" s="1069"/>
      <c r="EJA281" s="1069"/>
      <c r="EJB281" s="1069"/>
      <c r="EJC281" s="1069"/>
      <c r="EJD281" s="1069"/>
      <c r="EJE281" s="1069"/>
      <c r="EJF281" s="1069"/>
      <c r="EJG281" s="1069"/>
      <c r="EJH281" s="1069"/>
      <c r="EJI281" s="1069"/>
      <c r="EJJ281" s="1069"/>
      <c r="EJK281" s="1069"/>
      <c r="EJL281" s="1069"/>
      <c r="EJM281" s="1069"/>
      <c r="EJN281" s="1069"/>
      <c r="EJO281" s="1069"/>
      <c r="EJP281" s="1069"/>
      <c r="EJQ281" s="1069"/>
      <c r="EJR281" s="1069"/>
      <c r="EJS281" s="1069"/>
      <c r="EJT281" s="1069"/>
      <c r="EJU281" s="1069"/>
      <c r="EJV281" s="1069"/>
      <c r="EJW281" s="1069"/>
      <c r="EJX281" s="1069"/>
      <c r="EJY281" s="1069"/>
      <c r="EJZ281" s="1069"/>
      <c r="EKA281" s="1069"/>
      <c r="EKB281" s="1069"/>
      <c r="EKC281" s="1069"/>
      <c r="EKD281" s="1069"/>
      <c r="EKE281" s="1069"/>
      <c r="EKF281" s="1069"/>
      <c r="EKG281" s="1069"/>
      <c r="EKH281" s="1069"/>
      <c r="EKI281" s="1069"/>
      <c r="EKJ281" s="1069"/>
      <c r="EKK281" s="1069"/>
      <c r="EKL281" s="1069"/>
      <c r="EKM281" s="1069"/>
      <c r="EKN281" s="1069"/>
      <c r="EKO281" s="1069"/>
      <c r="EKP281" s="1069"/>
      <c r="EKQ281" s="1069"/>
      <c r="EKR281" s="1069"/>
      <c r="EKS281" s="1069"/>
      <c r="EKT281" s="1069"/>
      <c r="EKU281" s="1069"/>
      <c r="EKV281" s="1069"/>
      <c r="EKW281" s="1069"/>
      <c r="EKX281" s="1069"/>
      <c r="EKY281" s="1069"/>
      <c r="EKZ281" s="1069"/>
      <c r="ELA281" s="1069"/>
      <c r="ELB281" s="1069"/>
      <c r="ELC281" s="1069"/>
      <c r="ELD281" s="1069"/>
      <c r="ELE281" s="1069"/>
      <c r="ELF281" s="1069"/>
      <c r="ELG281" s="1069"/>
      <c r="ELH281" s="1069"/>
      <c r="ELI281" s="1069"/>
      <c r="ELJ281" s="1069"/>
      <c r="ELK281" s="1069"/>
      <c r="ELL281" s="1069"/>
      <c r="ELM281" s="1069"/>
      <c r="ELN281" s="1069"/>
      <c r="ELO281" s="1069"/>
      <c r="ELP281" s="1069"/>
      <c r="ELQ281" s="1069"/>
      <c r="ELR281" s="1069"/>
      <c r="ELS281" s="1069"/>
      <c r="ELT281" s="1069"/>
      <c r="ELU281" s="1069"/>
      <c r="ELV281" s="1069"/>
      <c r="ELW281" s="1069"/>
      <c r="ELX281" s="1069"/>
      <c r="ELY281" s="1069"/>
      <c r="ELZ281" s="1069"/>
      <c r="EMA281" s="1069"/>
      <c r="EMB281" s="1069"/>
      <c r="EMC281" s="1069"/>
      <c r="EMD281" s="1069"/>
      <c r="EME281" s="1069"/>
      <c r="EMF281" s="1069"/>
      <c r="EMG281" s="1069"/>
      <c r="EMH281" s="1069"/>
      <c r="EMI281" s="1069"/>
      <c r="EMJ281" s="1069"/>
      <c r="EMK281" s="1069"/>
      <c r="EML281" s="1069"/>
      <c r="EMM281" s="1069"/>
      <c r="EMN281" s="1069"/>
      <c r="EMO281" s="1069"/>
      <c r="EMP281" s="1069"/>
      <c r="EMQ281" s="1069"/>
      <c r="EMR281" s="1069"/>
      <c r="EMS281" s="1069"/>
      <c r="EMT281" s="1069"/>
      <c r="EMU281" s="1069"/>
      <c r="EMV281" s="1069"/>
      <c r="EMW281" s="1069"/>
      <c r="EMX281" s="1069"/>
      <c r="EMY281" s="1069"/>
      <c r="EMZ281" s="1069"/>
      <c r="ENA281" s="1069"/>
      <c r="ENB281" s="1069"/>
      <c r="ENC281" s="1069"/>
      <c r="END281" s="1069"/>
      <c r="ENE281" s="1069"/>
      <c r="ENF281" s="1069"/>
      <c r="ENG281" s="1069"/>
      <c r="ENH281" s="1069"/>
      <c r="ENI281" s="1069"/>
      <c r="ENJ281" s="1069"/>
      <c r="ENK281" s="1069"/>
      <c r="ENL281" s="1069"/>
      <c r="ENM281" s="1069"/>
      <c r="ENN281" s="1069"/>
      <c r="ENO281" s="1069"/>
      <c r="ENP281" s="1069"/>
      <c r="ENQ281" s="1069"/>
      <c r="ENR281" s="1069"/>
      <c r="ENS281" s="1069"/>
      <c r="ENT281" s="1069"/>
      <c r="ENU281" s="1069"/>
      <c r="ENV281" s="1069"/>
      <c r="ENW281" s="1069"/>
      <c r="ENX281" s="1069"/>
      <c r="ENY281" s="1069"/>
      <c r="ENZ281" s="1069"/>
      <c r="EOA281" s="1069"/>
      <c r="EOB281" s="1069"/>
      <c r="EOC281" s="1069"/>
      <c r="EOD281" s="1069"/>
      <c r="EOE281" s="1069"/>
      <c r="EOF281" s="1069"/>
      <c r="EOG281" s="1069"/>
      <c r="EOH281" s="1069"/>
      <c r="EOI281" s="1069"/>
      <c r="EOJ281" s="1069"/>
      <c r="EOK281" s="1069"/>
      <c r="EOL281" s="1069"/>
      <c r="EOM281" s="1069"/>
      <c r="EON281" s="1069"/>
      <c r="EOO281" s="1069"/>
      <c r="EOP281" s="1069"/>
      <c r="EOQ281" s="1069"/>
      <c r="EOR281" s="1069"/>
      <c r="EOS281" s="1069"/>
      <c r="EOT281" s="1069"/>
      <c r="EOU281" s="1069"/>
      <c r="EOV281" s="1069"/>
      <c r="EOW281" s="1069"/>
      <c r="EOX281" s="1069"/>
      <c r="EOY281" s="1069"/>
      <c r="EOZ281" s="1069"/>
      <c r="EPA281" s="1069"/>
      <c r="EPB281" s="1069"/>
      <c r="EPC281" s="1069"/>
      <c r="EPD281" s="1069"/>
      <c r="EPE281" s="1069"/>
      <c r="EPF281" s="1069"/>
      <c r="EPG281" s="1069"/>
      <c r="EPH281" s="1069"/>
      <c r="EPI281" s="1069"/>
      <c r="EPJ281" s="1069"/>
      <c r="EPK281" s="1069"/>
      <c r="EPL281" s="1069"/>
      <c r="EPM281" s="1069"/>
      <c r="EPN281" s="1069"/>
      <c r="EPO281" s="1069"/>
      <c r="EPP281" s="1069"/>
      <c r="EPQ281" s="1069"/>
      <c r="EPR281" s="1069"/>
      <c r="EPS281" s="1069"/>
      <c r="EPT281" s="1069"/>
      <c r="EPU281" s="1069"/>
      <c r="EPV281" s="1069"/>
      <c r="EPW281" s="1069"/>
      <c r="EPX281" s="1069"/>
      <c r="EPY281" s="1069"/>
      <c r="EPZ281" s="1069"/>
      <c r="EQA281" s="1069"/>
      <c r="EQB281" s="1069"/>
      <c r="EQC281" s="1069"/>
      <c r="EQD281" s="1069"/>
      <c r="EQE281" s="1069"/>
      <c r="EQF281" s="1069"/>
      <c r="EQG281" s="1069"/>
      <c r="EQH281" s="1069"/>
      <c r="EQI281" s="1069"/>
      <c r="EQJ281" s="1069"/>
      <c r="EQK281" s="1069"/>
      <c r="EQL281" s="1069"/>
      <c r="EQM281" s="1069"/>
      <c r="EQN281" s="1069"/>
      <c r="EQO281" s="1069"/>
      <c r="EQP281" s="1069"/>
      <c r="EQQ281" s="1069"/>
      <c r="EQR281" s="1069"/>
      <c r="EQS281" s="1069"/>
      <c r="EQT281" s="1069"/>
      <c r="EQU281" s="1069"/>
      <c r="EQV281" s="1069"/>
      <c r="EQW281" s="1069"/>
      <c r="EQX281" s="1069"/>
      <c r="EQY281" s="1069"/>
      <c r="EQZ281" s="1069"/>
      <c r="ERA281" s="1069"/>
      <c r="ERB281" s="1069"/>
      <c r="ERC281" s="1069"/>
      <c r="ERD281" s="1069"/>
      <c r="ERE281" s="1069"/>
      <c r="ERF281" s="1069"/>
      <c r="ERG281" s="1069"/>
      <c r="ERH281" s="1069"/>
      <c r="ERI281" s="1069"/>
      <c r="ERJ281" s="1069"/>
      <c r="ERK281" s="1069"/>
      <c r="ERL281" s="1069"/>
      <c r="ERM281" s="1069"/>
      <c r="ERN281" s="1069"/>
      <c r="ERO281" s="1069"/>
      <c r="ERP281" s="1069"/>
      <c r="ERQ281" s="1069"/>
      <c r="ERR281" s="1069"/>
      <c r="ERS281" s="1069"/>
      <c r="ERT281" s="1069"/>
      <c r="ERU281" s="1069"/>
      <c r="ERV281" s="1069"/>
      <c r="ERW281" s="1069"/>
      <c r="ERX281" s="1069"/>
      <c r="ERY281" s="1069"/>
      <c r="ERZ281" s="1069"/>
      <c r="ESA281" s="1069"/>
      <c r="ESB281" s="1069"/>
      <c r="ESC281" s="1069"/>
      <c r="ESD281" s="1069"/>
      <c r="ESE281" s="1069"/>
      <c r="ESF281" s="1069"/>
      <c r="ESG281" s="1069"/>
      <c r="ESH281" s="1069"/>
      <c r="ESI281" s="1069"/>
      <c r="ESJ281" s="1069"/>
      <c r="ESK281" s="1069"/>
      <c r="ESL281" s="1069"/>
      <c r="ESM281" s="1069"/>
      <c r="ESN281" s="1069"/>
      <c r="ESO281" s="1069"/>
      <c r="ESP281" s="1069"/>
      <c r="ESQ281" s="1069"/>
      <c r="ESR281" s="1069"/>
      <c r="ESS281" s="1069"/>
      <c r="EST281" s="1069"/>
      <c r="ESU281" s="1069"/>
      <c r="ESV281" s="1069"/>
      <c r="ESW281" s="1069"/>
      <c r="ESX281" s="1069"/>
      <c r="ESY281" s="1069"/>
      <c r="ESZ281" s="1069"/>
      <c r="ETA281" s="1069"/>
      <c r="ETB281" s="1069"/>
      <c r="ETC281" s="1069"/>
      <c r="ETD281" s="1069"/>
      <c r="ETE281" s="1069"/>
      <c r="ETF281" s="1069"/>
      <c r="ETG281" s="1069"/>
      <c r="ETH281" s="1069"/>
      <c r="ETI281" s="1069"/>
      <c r="ETJ281" s="1069"/>
      <c r="ETK281" s="1069"/>
      <c r="ETL281" s="1069"/>
      <c r="ETM281" s="1069"/>
      <c r="ETN281" s="1069"/>
      <c r="ETO281" s="1069"/>
      <c r="ETP281" s="1069"/>
      <c r="ETQ281" s="1069"/>
      <c r="ETR281" s="1069"/>
      <c r="ETS281" s="1069"/>
      <c r="ETT281" s="1069"/>
      <c r="ETU281" s="1069"/>
      <c r="ETV281" s="1069"/>
      <c r="ETW281" s="1069"/>
      <c r="ETX281" s="1069"/>
      <c r="ETY281" s="1069"/>
      <c r="ETZ281" s="1069"/>
      <c r="EUA281" s="1069"/>
      <c r="EUB281" s="1069"/>
      <c r="EUC281" s="1069"/>
      <c r="EUD281" s="1069"/>
      <c r="EUE281" s="1069"/>
      <c r="EUF281" s="1069"/>
      <c r="EUG281" s="1069"/>
      <c r="EUH281" s="1069"/>
      <c r="EUI281" s="1069"/>
      <c r="EUJ281" s="1069"/>
      <c r="EUK281" s="1069"/>
      <c r="EUL281" s="1069"/>
      <c r="EUM281" s="1069"/>
      <c r="EUN281" s="1069"/>
      <c r="EUO281" s="1069"/>
      <c r="EUP281" s="1069"/>
      <c r="EUQ281" s="1069"/>
      <c r="EUR281" s="1069"/>
      <c r="EUS281" s="1069"/>
      <c r="EUT281" s="1069"/>
      <c r="EUU281" s="1069"/>
      <c r="EUV281" s="1069"/>
      <c r="EUW281" s="1069"/>
      <c r="EUX281" s="1069"/>
      <c r="EUY281" s="1069"/>
      <c r="EUZ281" s="1069"/>
      <c r="EVA281" s="1069"/>
      <c r="EVB281" s="1069"/>
      <c r="EVC281" s="1069"/>
      <c r="EVD281" s="1069"/>
      <c r="EVE281" s="1069"/>
      <c r="EVF281" s="1069"/>
      <c r="EVG281" s="1069"/>
      <c r="EVH281" s="1069"/>
      <c r="EVI281" s="1069"/>
      <c r="EVJ281" s="1069"/>
      <c r="EVK281" s="1069"/>
      <c r="EVL281" s="1069"/>
      <c r="EVM281" s="1069"/>
      <c r="EVN281" s="1069"/>
      <c r="EVO281" s="1069"/>
      <c r="EVP281" s="1069"/>
      <c r="EVQ281" s="1069"/>
      <c r="EVR281" s="1069"/>
      <c r="EVS281" s="1069"/>
      <c r="EVT281" s="1069"/>
      <c r="EVU281" s="1069"/>
      <c r="EVV281" s="1069"/>
      <c r="EVW281" s="1069"/>
      <c r="EVX281" s="1069"/>
      <c r="EVY281" s="1069"/>
      <c r="EVZ281" s="1069"/>
      <c r="EWA281" s="1069"/>
      <c r="EWB281" s="1069"/>
      <c r="EWC281" s="1069"/>
      <c r="EWD281" s="1069"/>
      <c r="EWE281" s="1069"/>
      <c r="EWF281" s="1069"/>
      <c r="EWG281" s="1069"/>
      <c r="EWH281" s="1069"/>
      <c r="EWI281" s="1069"/>
      <c r="EWJ281" s="1069"/>
      <c r="EWK281" s="1069"/>
      <c r="EWL281" s="1069"/>
      <c r="EWM281" s="1069"/>
      <c r="EWN281" s="1069"/>
      <c r="EWO281" s="1069"/>
      <c r="EWP281" s="1069"/>
      <c r="EWQ281" s="1069"/>
      <c r="EWR281" s="1069"/>
      <c r="EWS281" s="1069"/>
      <c r="EWT281" s="1069"/>
      <c r="EWU281" s="1069"/>
      <c r="EWV281" s="1069"/>
      <c r="EWW281" s="1069"/>
      <c r="EWX281" s="1069"/>
      <c r="EWY281" s="1069"/>
      <c r="EWZ281" s="1069"/>
      <c r="EXA281" s="1069"/>
      <c r="EXB281" s="1069"/>
      <c r="EXC281" s="1069"/>
      <c r="EXD281" s="1069"/>
      <c r="EXE281" s="1069"/>
      <c r="EXF281" s="1069"/>
      <c r="EXG281" s="1069"/>
      <c r="EXH281" s="1069"/>
      <c r="EXI281" s="1069"/>
      <c r="EXJ281" s="1069"/>
      <c r="EXK281" s="1069"/>
      <c r="EXL281" s="1069"/>
      <c r="EXM281" s="1069"/>
      <c r="EXN281" s="1069"/>
      <c r="EXO281" s="1069"/>
      <c r="EXP281" s="1069"/>
      <c r="EXQ281" s="1069"/>
      <c r="EXR281" s="1069"/>
      <c r="EXS281" s="1069"/>
      <c r="EXT281" s="1069"/>
      <c r="EXU281" s="1069"/>
      <c r="EXV281" s="1069"/>
      <c r="EXW281" s="1069"/>
      <c r="EXX281" s="1069"/>
      <c r="EXY281" s="1069"/>
      <c r="EXZ281" s="1069"/>
      <c r="EYA281" s="1069"/>
      <c r="EYB281" s="1069"/>
      <c r="EYC281" s="1069"/>
      <c r="EYD281" s="1069"/>
      <c r="EYE281" s="1069"/>
      <c r="EYF281" s="1069"/>
      <c r="EYG281" s="1069"/>
      <c r="EYH281" s="1069"/>
      <c r="EYI281" s="1069"/>
      <c r="EYJ281" s="1069"/>
      <c r="EYK281" s="1069"/>
      <c r="EYL281" s="1069"/>
      <c r="EYM281" s="1069"/>
      <c r="EYN281" s="1069"/>
      <c r="EYO281" s="1069"/>
      <c r="EYP281" s="1069"/>
      <c r="EYQ281" s="1069"/>
      <c r="EYR281" s="1069"/>
      <c r="EYS281" s="1069"/>
      <c r="EYT281" s="1069"/>
      <c r="EYU281" s="1069"/>
      <c r="EYV281" s="1069"/>
      <c r="EYW281" s="1069"/>
      <c r="EYX281" s="1069"/>
      <c r="EYY281" s="1069"/>
      <c r="EYZ281" s="1069"/>
      <c r="EZA281" s="1069"/>
      <c r="EZB281" s="1069"/>
      <c r="EZC281" s="1069"/>
      <c r="EZD281" s="1069"/>
      <c r="EZE281" s="1069"/>
      <c r="EZF281" s="1069"/>
      <c r="EZG281" s="1069"/>
      <c r="EZH281" s="1069"/>
      <c r="EZI281" s="1069"/>
      <c r="EZJ281" s="1069"/>
      <c r="EZK281" s="1069"/>
      <c r="EZL281" s="1069"/>
      <c r="EZM281" s="1069"/>
      <c r="EZN281" s="1069"/>
      <c r="EZO281" s="1069"/>
      <c r="EZP281" s="1069"/>
      <c r="EZQ281" s="1069"/>
      <c r="EZR281" s="1069"/>
      <c r="EZS281" s="1069"/>
      <c r="EZT281" s="1069"/>
      <c r="EZU281" s="1069"/>
      <c r="EZV281" s="1069"/>
      <c r="EZW281" s="1069"/>
      <c r="EZX281" s="1069"/>
      <c r="EZY281" s="1069"/>
      <c r="EZZ281" s="1069"/>
      <c r="FAA281" s="1069"/>
      <c r="FAB281" s="1069"/>
      <c r="FAC281" s="1069"/>
      <c r="FAD281" s="1069"/>
      <c r="FAE281" s="1069"/>
      <c r="FAF281" s="1069"/>
      <c r="FAG281" s="1069"/>
      <c r="FAH281" s="1069"/>
      <c r="FAI281" s="1069"/>
      <c r="FAJ281" s="1069"/>
      <c r="FAK281" s="1069"/>
      <c r="FAL281" s="1069"/>
      <c r="FAM281" s="1069"/>
      <c r="FAN281" s="1069"/>
      <c r="FAO281" s="1069"/>
      <c r="FAP281" s="1069"/>
      <c r="FAQ281" s="1069"/>
      <c r="FAR281" s="1069"/>
      <c r="FAS281" s="1069"/>
      <c r="FAT281" s="1069"/>
      <c r="FAU281" s="1069"/>
      <c r="FAV281" s="1069"/>
      <c r="FAW281" s="1069"/>
      <c r="FAX281" s="1069"/>
      <c r="FAY281" s="1069"/>
      <c r="FAZ281" s="1069"/>
      <c r="FBA281" s="1069"/>
      <c r="FBB281" s="1069"/>
      <c r="FBC281" s="1069"/>
      <c r="FBD281" s="1069"/>
      <c r="FBE281" s="1069"/>
      <c r="FBF281" s="1069"/>
      <c r="FBG281" s="1069"/>
      <c r="FBH281" s="1069"/>
      <c r="FBI281" s="1069"/>
      <c r="FBJ281" s="1069"/>
      <c r="FBK281" s="1069"/>
      <c r="FBL281" s="1069"/>
      <c r="FBM281" s="1069"/>
      <c r="FBN281" s="1069"/>
      <c r="FBO281" s="1069"/>
      <c r="FBP281" s="1069"/>
      <c r="FBQ281" s="1069"/>
      <c r="FBR281" s="1069"/>
      <c r="FBS281" s="1069"/>
      <c r="FBT281" s="1069"/>
      <c r="FBU281" s="1069"/>
      <c r="FBV281" s="1069"/>
      <c r="FBW281" s="1069"/>
      <c r="FBX281" s="1069"/>
      <c r="FBY281" s="1069"/>
      <c r="FBZ281" s="1069"/>
      <c r="FCA281" s="1069"/>
      <c r="FCB281" s="1069"/>
      <c r="FCC281" s="1069"/>
      <c r="FCD281" s="1069"/>
      <c r="FCE281" s="1069"/>
      <c r="FCF281" s="1069"/>
      <c r="FCG281" s="1069"/>
      <c r="FCH281" s="1069"/>
      <c r="FCI281" s="1069"/>
      <c r="FCJ281" s="1069"/>
      <c r="FCK281" s="1069"/>
      <c r="FCL281" s="1069"/>
      <c r="FCM281" s="1069"/>
      <c r="FCN281" s="1069"/>
      <c r="FCO281" s="1069"/>
      <c r="FCP281" s="1069"/>
      <c r="FCQ281" s="1069"/>
      <c r="FCR281" s="1069"/>
      <c r="FCS281" s="1069"/>
      <c r="FCT281" s="1069"/>
      <c r="FCU281" s="1069"/>
      <c r="FCV281" s="1069"/>
      <c r="FCW281" s="1069"/>
      <c r="FCX281" s="1069"/>
      <c r="FCY281" s="1069"/>
      <c r="FCZ281" s="1069"/>
      <c r="FDA281" s="1069"/>
      <c r="FDB281" s="1069"/>
      <c r="FDC281" s="1069"/>
      <c r="FDD281" s="1069"/>
      <c r="FDE281" s="1069"/>
      <c r="FDF281" s="1069"/>
      <c r="FDG281" s="1069"/>
      <c r="FDH281" s="1069"/>
      <c r="FDI281" s="1069"/>
      <c r="FDJ281" s="1069"/>
      <c r="FDK281" s="1069"/>
      <c r="FDL281" s="1069"/>
      <c r="FDM281" s="1069"/>
      <c r="FDN281" s="1069"/>
      <c r="FDO281" s="1069"/>
      <c r="FDP281" s="1069"/>
      <c r="FDQ281" s="1069"/>
      <c r="FDR281" s="1069"/>
      <c r="FDS281" s="1069"/>
      <c r="FDT281" s="1069"/>
      <c r="FDU281" s="1069"/>
      <c r="FDV281" s="1069"/>
      <c r="FDW281" s="1069"/>
      <c r="FDX281" s="1069"/>
      <c r="FDY281" s="1069"/>
      <c r="FDZ281" s="1069"/>
      <c r="FEA281" s="1069"/>
      <c r="FEB281" s="1069"/>
      <c r="FEC281" s="1069"/>
      <c r="FED281" s="1069"/>
      <c r="FEE281" s="1069"/>
      <c r="FEF281" s="1069"/>
      <c r="FEG281" s="1069"/>
      <c r="FEH281" s="1069"/>
      <c r="FEI281" s="1069"/>
      <c r="FEJ281" s="1069"/>
      <c r="FEK281" s="1069"/>
      <c r="FEL281" s="1069"/>
      <c r="FEM281" s="1069"/>
      <c r="FEN281" s="1069"/>
      <c r="FEO281" s="1069"/>
      <c r="FEP281" s="1069"/>
      <c r="FEQ281" s="1069"/>
      <c r="FER281" s="1069"/>
      <c r="FES281" s="1069"/>
      <c r="FET281" s="1069"/>
      <c r="FEU281" s="1069"/>
      <c r="FEV281" s="1069"/>
      <c r="FEW281" s="1069"/>
      <c r="FEX281" s="1069"/>
      <c r="FEY281" s="1069"/>
      <c r="FEZ281" s="1069"/>
      <c r="FFA281" s="1069"/>
      <c r="FFB281" s="1069"/>
      <c r="FFC281" s="1069"/>
      <c r="FFD281" s="1069"/>
      <c r="FFE281" s="1069"/>
      <c r="FFF281" s="1069"/>
      <c r="FFG281" s="1069"/>
      <c r="FFH281" s="1069"/>
      <c r="FFI281" s="1069"/>
      <c r="FFJ281" s="1069"/>
      <c r="FFK281" s="1069"/>
      <c r="FFL281" s="1069"/>
      <c r="FFM281" s="1069"/>
      <c r="FFN281" s="1069"/>
      <c r="FFO281" s="1069"/>
      <c r="FFP281" s="1069"/>
      <c r="FFQ281" s="1069"/>
      <c r="FFR281" s="1069"/>
      <c r="FFS281" s="1069"/>
      <c r="FFT281" s="1069"/>
      <c r="FFU281" s="1069"/>
      <c r="FFV281" s="1069"/>
      <c r="FFW281" s="1069"/>
      <c r="FFX281" s="1069"/>
      <c r="FFY281" s="1069"/>
      <c r="FFZ281" s="1069"/>
      <c r="FGA281" s="1069"/>
      <c r="FGB281" s="1069"/>
      <c r="FGC281" s="1069"/>
      <c r="FGD281" s="1069"/>
      <c r="FGE281" s="1069"/>
      <c r="FGF281" s="1069"/>
      <c r="FGG281" s="1069"/>
      <c r="FGH281" s="1069"/>
      <c r="FGI281" s="1069"/>
      <c r="FGJ281" s="1069"/>
      <c r="FGK281" s="1069"/>
      <c r="FGL281" s="1069"/>
      <c r="FGM281" s="1069"/>
      <c r="FGN281" s="1069"/>
      <c r="FGO281" s="1069"/>
      <c r="FGP281" s="1069"/>
      <c r="FGQ281" s="1069"/>
      <c r="FGR281" s="1069"/>
      <c r="FGS281" s="1069"/>
      <c r="FGT281" s="1069"/>
      <c r="FGU281" s="1069"/>
      <c r="FGV281" s="1069"/>
      <c r="FGW281" s="1069"/>
      <c r="FGX281" s="1069"/>
      <c r="FGY281" s="1069"/>
      <c r="FGZ281" s="1069"/>
      <c r="FHA281" s="1069"/>
      <c r="FHB281" s="1069"/>
      <c r="FHC281" s="1069"/>
      <c r="FHD281" s="1069"/>
      <c r="FHE281" s="1069"/>
      <c r="FHF281" s="1069"/>
      <c r="FHG281" s="1069"/>
      <c r="FHH281" s="1069"/>
      <c r="FHI281" s="1069"/>
      <c r="FHJ281" s="1069"/>
      <c r="FHK281" s="1069"/>
      <c r="FHL281" s="1069"/>
      <c r="FHM281" s="1069"/>
      <c r="FHN281" s="1069"/>
      <c r="FHO281" s="1069"/>
      <c r="FHP281" s="1069"/>
      <c r="FHQ281" s="1069"/>
      <c r="FHR281" s="1069"/>
      <c r="FHS281" s="1069"/>
      <c r="FHT281" s="1069"/>
      <c r="FHU281" s="1069"/>
      <c r="FHV281" s="1069"/>
      <c r="FHW281" s="1069"/>
      <c r="FHX281" s="1069"/>
      <c r="FHY281" s="1069"/>
      <c r="FHZ281" s="1069"/>
      <c r="FIA281" s="1069"/>
      <c r="FIB281" s="1069"/>
      <c r="FIC281" s="1069"/>
      <c r="FID281" s="1069"/>
      <c r="FIE281" s="1069"/>
      <c r="FIF281" s="1069"/>
      <c r="FIG281" s="1069"/>
      <c r="FIH281" s="1069"/>
      <c r="FII281" s="1069"/>
      <c r="FIJ281" s="1069"/>
      <c r="FIK281" s="1069"/>
      <c r="FIL281" s="1069"/>
      <c r="FIM281" s="1069"/>
      <c r="FIN281" s="1069"/>
      <c r="FIO281" s="1069"/>
      <c r="FIP281" s="1069"/>
      <c r="FIQ281" s="1069"/>
      <c r="FIR281" s="1069"/>
      <c r="FIS281" s="1069"/>
      <c r="FIT281" s="1069"/>
      <c r="FIU281" s="1069"/>
      <c r="FIV281" s="1069"/>
      <c r="FIW281" s="1069"/>
      <c r="FIX281" s="1069"/>
      <c r="FIY281" s="1069"/>
      <c r="FIZ281" s="1069"/>
      <c r="FJA281" s="1069"/>
      <c r="FJB281" s="1069"/>
      <c r="FJC281" s="1069"/>
      <c r="FJD281" s="1069"/>
      <c r="FJE281" s="1069"/>
      <c r="FJF281" s="1069"/>
      <c r="FJG281" s="1069"/>
      <c r="FJH281" s="1069"/>
      <c r="FJI281" s="1069"/>
      <c r="FJJ281" s="1069"/>
      <c r="FJK281" s="1069"/>
      <c r="FJL281" s="1069"/>
      <c r="FJM281" s="1069"/>
      <c r="FJN281" s="1069"/>
      <c r="FJO281" s="1069"/>
      <c r="FJP281" s="1069"/>
      <c r="FJQ281" s="1069"/>
      <c r="FJR281" s="1069"/>
      <c r="FJS281" s="1069"/>
      <c r="FJT281" s="1069"/>
      <c r="FJU281" s="1069"/>
      <c r="FJV281" s="1069"/>
      <c r="FJW281" s="1069"/>
      <c r="FJX281" s="1069"/>
      <c r="FJY281" s="1069"/>
      <c r="FJZ281" s="1069"/>
      <c r="FKA281" s="1069"/>
      <c r="FKB281" s="1069"/>
      <c r="FKC281" s="1069"/>
      <c r="FKD281" s="1069"/>
      <c r="FKE281" s="1069"/>
      <c r="FKF281" s="1069"/>
      <c r="FKG281" s="1069"/>
      <c r="FKH281" s="1069"/>
      <c r="FKI281" s="1069"/>
      <c r="FKJ281" s="1069"/>
      <c r="FKK281" s="1069"/>
      <c r="FKL281" s="1069"/>
      <c r="FKM281" s="1069"/>
      <c r="FKN281" s="1069"/>
      <c r="FKO281" s="1069"/>
      <c r="FKP281" s="1069"/>
      <c r="FKQ281" s="1069"/>
      <c r="FKR281" s="1069"/>
      <c r="FKS281" s="1069"/>
      <c r="FKT281" s="1069"/>
      <c r="FKU281" s="1069"/>
      <c r="FKV281" s="1069"/>
      <c r="FKW281" s="1069"/>
      <c r="FKX281" s="1069"/>
      <c r="FKY281" s="1069"/>
      <c r="FKZ281" s="1069"/>
      <c r="FLA281" s="1069"/>
      <c r="FLB281" s="1069"/>
      <c r="FLC281" s="1069"/>
      <c r="FLD281" s="1069"/>
      <c r="FLE281" s="1069"/>
      <c r="FLF281" s="1069"/>
      <c r="FLG281" s="1069"/>
      <c r="FLH281" s="1069"/>
      <c r="FLI281" s="1069"/>
      <c r="FLJ281" s="1069"/>
      <c r="FLK281" s="1069"/>
      <c r="FLL281" s="1069"/>
      <c r="FLM281" s="1069"/>
      <c r="FLN281" s="1069"/>
      <c r="FLO281" s="1069"/>
      <c r="FLP281" s="1069"/>
      <c r="FLQ281" s="1069"/>
      <c r="FLR281" s="1069"/>
      <c r="FLS281" s="1069"/>
      <c r="FLT281" s="1069"/>
      <c r="FLU281" s="1069"/>
      <c r="FLV281" s="1069"/>
      <c r="FLW281" s="1069"/>
      <c r="FLX281" s="1069"/>
      <c r="FLY281" s="1069"/>
      <c r="FLZ281" s="1069"/>
      <c r="FMA281" s="1069"/>
      <c r="FMB281" s="1069"/>
      <c r="FMC281" s="1069"/>
      <c r="FMD281" s="1069"/>
      <c r="FME281" s="1069"/>
      <c r="FMF281" s="1069"/>
      <c r="FMG281" s="1069"/>
      <c r="FMH281" s="1069"/>
      <c r="FMI281" s="1069"/>
      <c r="FMJ281" s="1069"/>
      <c r="FMK281" s="1069"/>
      <c r="FML281" s="1069"/>
      <c r="FMM281" s="1069"/>
      <c r="FMN281" s="1069"/>
      <c r="FMO281" s="1069"/>
      <c r="FMP281" s="1069"/>
      <c r="FMQ281" s="1069"/>
      <c r="FMR281" s="1069"/>
      <c r="FMS281" s="1069"/>
      <c r="FMT281" s="1069"/>
      <c r="FMU281" s="1069"/>
      <c r="FMV281" s="1069"/>
      <c r="FMW281" s="1069"/>
      <c r="FMX281" s="1069"/>
      <c r="FMY281" s="1069"/>
      <c r="FMZ281" s="1069"/>
      <c r="FNA281" s="1069"/>
      <c r="FNB281" s="1069"/>
      <c r="FNC281" s="1069"/>
      <c r="FND281" s="1069"/>
      <c r="FNE281" s="1069"/>
      <c r="FNF281" s="1069"/>
      <c r="FNG281" s="1069"/>
      <c r="FNH281" s="1069"/>
      <c r="FNI281" s="1069"/>
      <c r="FNJ281" s="1069"/>
      <c r="FNK281" s="1069"/>
      <c r="FNL281" s="1069"/>
      <c r="FNM281" s="1069"/>
      <c r="FNN281" s="1069"/>
      <c r="FNO281" s="1069"/>
      <c r="FNP281" s="1069"/>
      <c r="FNQ281" s="1069"/>
      <c r="FNR281" s="1069"/>
      <c r="FNS281" s="1069"/>
      <c r="FNT281" s="1069"/>
      <c r="FNU281" s="1069"/>
      <c r="FNV281" s="1069"/>
      <c r="FNW281" s="1069"/>
      <c r="FNX281" s="1069"/>
      <c r="FNY281" s="1069"/>
      <c r="FNZ281" s="1069"/>
      <c r="FOA281" s="1069"/>
      <c r="FOB281" s="1069"/>
      <c r="FOC281" s="1069"/>
      <c r="FOD281" s="1069"/>
      <c r="FOE281" s="1069"/>
      <c r="FOF281" s="1069"/>
      <c r="FOG281" s="1069"/>
      <c r="FOH281" s="1069"/>
      <c r="FOI281" s="1069"/>
      <c r="FOJ281" s="1069"/>
      <c r="FOK281" s="1069"/>
      <c r="FOL281" s="1069"/>
      <c r="FOM281" s="1069"/>
      <c r="FON281" s="1069"/>
      <c r="FOO281" s="1069"/>
      <c r="FOP281" s="1069"/>
      <c r="FOQ281" s="1069"/>
      <c r="FOR281" s="1069"/>
      <c r="FOS281" s="1069"/>
      <c r="FOT281" s="1069"/>
      <c r="FOU281" s="1069"/>
      <c r="FOV281" s="1069"/>
      <c r="FOW281" s="1069"/>
      <c r="FOX281" s="1069"/>
      <c r="FOY281" s="1069"/>
      <c r="FOZ281" s="1069"/>
      <c r="FPA281" s="1069"/>
      <c r="FPB281" s="1069"/>
      <c r="FPC281" s="1069"/>
      <c r="FPD281" s="1069"/>
      <c r="FPE281" s="1069"/>
      <c r="FPF281" s="1069"/>
      <c r="FPG281" s="1069"/>
      <c r="FPH281" s="1069"/>
      <c r="FPI281" s="1069"/>
      <c r="FPJ281" s="1069"/>
      <c r="FPK281" s="1069"/>
      <c r="FPL281" s="1069"/>
      <c r="FPM281" s="1069"/>
      <c r="FPN281" s="1069"/>
      <c r="FPO281" s="1069"/>
      <c r="FPP281" s="1069"/>
      <c r="FPQ281" s="1069"/>
      <c r="FPR281" s="1069"/>
      <c r="FPS281" s="1069"/>
      <c r="FPT281" s="1069"/>
      <c r="FPU281" s="1069"/>
      <c r="FPV281" s="1069"/>
      <c r="FPW281" s="1069"/>
      <c r="FPX281" s="1069"/>
      <c r="FPY281" s="1069"/>
      <c r="FPZ281" s="1069"/>
      <c r="FQA281" s="1069"/>
      <c r="FQB281" s="1069"/>
      <c r="FQC281" s="1069"/>
      <c r="FQD281" s="1069"/>
      <c r="FQE281" s="1069"/>
      <c r="FQF281" s="1069"/>
      <c r="FQG281" s="1069"/>
      <c r="FQH281" s="1069"/>
      <c r="FQI281" s="1069"/>
      <c r="FQJ281" s="1069"/>
      <c r="FQK281" s="1069"/>
      <c r="FQL281" s="1069"/>
      <c r="FQM281" s="1069"/>
      <c r="FQN281" s="1069"/>
      <c r="FQO281" s="1069"/>
      <c r="FQP281" s="1069"/>
      <c r="FQQ281" s="1069"/>
      <c r="FQR281" s="1069"/>
      <c r="FQS281" s="1069"/>
      <c r="FQT281" s="1069"/>
      <c r="FQU281" s="1069"/>
      <c r="FQV281" s="1069"/>
      <c r="FQW281" s="1069"/>
      <c r="FQX281" s="1069"/>
      <c r="FQY281" s="1069"/>
      <c r="FQZ281" s="1069"/>
      <c r="FRA281" s="1069"/>
      <c r="FRB281" s="1069"/>
      <c r="FRC281" s="1069"/>
      <c r="FRD281" s="1069"/>
      <c r="FRE281" s="1069"/>
      <c r="FRF281" s="1069"/>
      <c r="FRG281" s="1069"/>
      <c r="FRH281" s="1069"/>
      <c r="FRI281" s="1069"/>
      <c r="FRJ281" s="1069"/>
      <c r="FRK281" s="1069"/>
      <c r="FRL281" s="1069"/>
      <c r="FRM281" s="1069"/>
      <c r="FRN281" s="1069"/>
      <c r="FRO281" s="1069"/>
      <c r="FRP281" s="1069"/>
      <c r="FRQ281" s="1069"/>
      <c r="FRR281" s="1069"/>
      <c r="FRS281" s="1069"/>
      <c r="FRT281" s="1069"/>
      <c r="FRU281" s="1069"/>
      <c r="FRV281" s="1069"/>
      <c r="FRW281" s="1069"/>
      <c r="FRX281" s="1069"/>
      <c r="FRY281" s="1069"/>
      <c r="FRZ281" s="1069"/>
      <c r="FSA281" s="1069"/>
      <c r="FSB281" s="1069"/>
      <c r="FSC281" s="1069"/>
      <c r="FSD281" s="1069"/>
      <c r="FSE281" s="1069"/>
      <c r="FSF281" s="1069"/>
      <c r="FSG281" s="1069"/>
      <c r="FSH281" s="1069"/>
      <c r="FSI281" s="1069"/>
      <c r="FSJ281" s="1069"/>
      <c r="FSK281" s="1069"/>
      <c r="FSL281" s="1069"/>
      <c r="FSM281" s="1069"/>
      <c r="FSN281" s="1069"/>
      <c r="FSO281" s="1069"/>
      <c r="FSP281" s="1069"/>
      <c r="FSQ281" s="1069"/>
      <c r="FSR281" s="1069"/>
      <c r="FSS281" s="1069"/>
      <c r="FST281" s="1069"/>
      <c r="FSU281" s="1069"/>
      <c r="FSV281" s="1069"/>
      <c r="FSW281" s="1069"/>
      <c r="FSX281" s="1069"/>
      <c r="FSY281" s="1069"/>
      <c r="FSZ281" s="1069"/>
      <c r="FTA281" s="1069"/>
      <c r="FTB281" s="1069"/>
      <c r="FTC281" s="1069"/>
      <c r="FTD281" s="1069"/>
      <c r="FTE281" s="1069"/>
      <c r="FTF281" s="1069"/>
      <c r="FTG281" s="1069"/>
      <c r="FTH281" s="1069"/>
      <c r="FTI281" s="1069"/>
      <c r="FTJ281" s="1069"/>
      <c r="FTK281" s="1069"/>
      <c r="FTL281" s="1069"/>
      <c r="FTM281" s="1069"/>
      <c r="FTN281" s="1069"/>
      <c r="FTO281" s="1069"/>
      <c r="FTP281" s="1069"/>
      <c r="FTQ281" s="1069"/>
      <c r="FTR281" s="1069"/>
      <c r="FTS281" s="1069"/>
      <c r="FTT281" s="1069"/>
      <c r="FTU281" s="1069"/>
      <c r="FTV281" s="1069"/>
      <c r="FTW281" s="1069"/>
      <c r="FTX281" s="1069"/>
      <c r="FTY281" s="1069"/>
      <c r="FTZ281" s="1069"/>
      <c r="FUA281" s="1069"/>
      <c r="FUB281" s="1069"/>
      <c r="FUC281" s="1069"/>
      <c r="FUD281" s="1069"/>
      <c r="FUE281" s="1069"/>
      <c r="FUF281" s="1069"/>
      <c r="FUG281" s="1069"/>
      <c r="FUH281" s="1069"/>
      <c r="FUI281" s="1069"/>
      <c r="FUJ281" s="1069"/>
      <c r="FUK281" s="1069"/>
      <c r="FUL281" s="1069"/>
      <c r="FUM281" s="1069"/>
      <c r="FUN281" s="1069"/>
      <c r="FUO281" s="1069"/>
      <c r="FUP281" s="1069"/>
      <c r="FUQ281" s="1069"/>
      <c r="FUR281" s="1069"/>
      <c r="FUS281" s="1069"/>
      <c r="FUT281" s="1069"/>
      <c r="FUU281" s="1069"/>
      <c r="FUV281" s="1069"/>
      <c r="FUW281" s="1069"/>
      <c r="FUX281" s="1069"/>
      <c r="FUY281" s="1069"/>
      <c r="FUZ281" s="1069"/>
      <c r="FVA281" s="1069"/>
      <c r="FVB281" s="1069"/>
      <c r="FVC281" s="1069"/>
      <c r="FVD281" s="1069"/>
      <c r="FVE281" s="1069"/>
      <c r="FVF281" s="1069"/>
      <c r="FVG281" s="1069"/>
      <c r="FVH281" s="1069"/>
      <c r="FVI281" s="1069"/>
      <c r="FVJ281" s="1069"/>
      <c r="FVK281" s="1069"/>
      <c r="FVL281" s="1069"/>
      <c r="FVM281" s="1069"/>
      <c r="FVN281" s="1069"/>
      <c r="FVO281" s="1069"/>
      <c r="FVP281" s="1069"/>
      <c r="FVQ281" s="1069"/>
      <c r="FVR281" s="1069"/>
      <c r="FVS281" s="1069"/>
      <c r="FVT281" s="1069"/>
      <c r="FVU281" s="1069"/>
      <c r="FVV281" s="1069"/>
      <c r="FVW281" s="1069"/>
      <c r="FVX281" s="1069"/>
      <c r="FVY281" s="1069"/>
      <c r="FVZ281" s="1069"/>
      <c r="FWA281" s="1069"/>
      <c r="FWB281" s="1069"/>
      <c r="FWC281" s="1069"/>
      <c r="FWD281" s="1069"/>
      <c r="FWE281" s="1069"/>
      <c r="FWF281" s="1069"/>
      <c r="FWG281" s="1069"/>
      <c r="FWH281" s="1069"/>
      <c r="FWI281" s="1069"/>
      <c r="FWJ281" s="1069"/>
      <c r="FWK281" s="1069"/>
      <c r="FWL281" s="1069"/>
      <c r="FWM281" s="1069"/>
      <c r="FWN281" s="1069"/>
      <c r="FWO281" s="1069"/>
      <c r="FWP281" s="1069"/>
      <c r="FWQ281" s="1069"/>
      <c r="FWR281" s="1069"/>
      <c r="FWS281" s="1069"/>
      <c r="FWT281" s="1069"/>
      <c r="FWU281" s="1069"/>
      <c r="FWV281" s="1069"/>
      <c r="FWW281" s="1069"/>
      <c r="FWX281" s="1069"/>
      <c r="FWY281" s="1069"/>
      <c r="FWZ281" s="1069"/>
      <c r="FXA281" s="1069"/>
      <c r="FXB281" s="1069"/>
      <c r="FXC281" s="1069"/>
      <c r="FXD281" s="1069"/>
      <c r="FXE281" s="1069"/>
      <c r="FXF281" s="1069"/>
      <c r="FXG281" s="1069"/>
      <c r="FXH281" s="1069"/>
      <c r="FXI281" s="1069"/>
      <c r="FXJ281" s="1069"/>
      <c r="FXK281" s="1069"/>
      <c r="FXL281" s="1069"/>
      <c r="FXM281" s="1069"/>
      <c r="FXN281" s="1069"/>
      <c r="FXO281" s="1069"/>
      <c r="FXP281" s="1069"/>
      <c r="FXQ281" s="1069"/>
      <c r="FXR281" s="1069"/>
      <c r="FXS281" s="1069"/>
      <c r="FXT281" s="1069"/>
      <c r="FXU281" s="1069"/>
      <c r="FXV281" s="1069"/>
      <c r="FXW281" s="1069"/>
      <c r="FXX281" s="1069"/>
      <c r="FXY281" s="1069"/>
      <c r="FXZ281" s="1069"/>
      <c r="FYA281" s="1069"/>
      <c r="FYB281" s="1069"/>
      <c r="FYC281" s="1069"/>
      <c r="FYD281" s="1069"/>
      <c r="FYE281" s="1069"/>
      <c r="FYF281" s="1069"/>
      <c r="FYG281" s="1069"/>
      <c r="FYH281" s="1069"/>
      <c r="FYI281" s="1069"/>
      <c r="FYJ281" s="1069"/>
      <c r="FYK281" s="1069"/>
      <c r="FYL281" s="1069"/>
      <c r="FYM281" s="1069"/>
      <c r="FYN281" s="1069"/>
      <c r="FYO281" s="1069"/>
      <c r="FYP281" s="1069"/>
      <c r="FYQ281" s="1069"/>
      <c r="FYR281" s="1069"/>
      <c r="FYS281" s="1069"/>
      <c r="FYT281" s="1069"/>
      <c r="FYU281" s="1069"/>
      <c r="FYV281" s="1069"/>
      <c r="FYW281" s="1069"/>
      <c r="FYX281" s="1069"/>
      <c r="FYY281" s="1069"/>
      <c r="FYZ281" s="1069"/>
      <c r="FZA281" s="1069"/>
      <c r="FZB281" s="1069"/>
      <c r="FZC281" s="1069"/>
      <c r="FZD281" s="1069"/>
      <c r="FZE281" s="1069"/>
      <c r="FZF281" s="1069"/>
      <c r="FZG281" s="1069"/>
      <c r="FZH281" s="1069"/>
      <c r="FZI281" s="1069"/>
      <c r="FZJ281" s="1069"/>
      <c r="FZK281" s="1069"/>
      <c r="FZL281" s="1069"/>
      <c r="FZM281" s="1069"/>
      <c r="FZN281" s="1069"/>
      <c r="FZO281" s="1069"/>
      <c r="FZP281" s="1069"/>
      <c r="FZQ281" s="1069"/>
      <c r="FZR281" s="1069"/>
      <c r="FZS281" s="1069"/>
      <c r="FZT281" s="1069"/>
      <c r="FZU281" s="1069"/>
      <c r="FZV281" s="1069"/>
      <c r="FZW281" s="1069"/>
      <c r="FZX281" s="1069"/>
      <c r="FZY281" s="1069"/>
      <c r="FZZ281" s="1069"/>
      <c r="GAA281" s="1069"/>
      <c r="GAB281" s="1069"/>
      <c r="GAC281" s="1069"/>
      <c r="GAD281" s="1069"/>
      <c r="GAE281" s="1069"/>
      <c r="GAF281" s="1069"/>
      <c r="GAG281" s="1069"/>
      <c r="GAH281" s="1069"/>
      <c r="GAI281" s="1069"/>
      <c r="GAJ281" s="1069"/>
      <c r="GAK281" s="1069"/>
      <c r="GAL281" s="1069"/>
      <c r="GAM281" s="1069"/>
      <c r="GAN281" s="1069"/>
      <c r="GAO281" s="1069"/>
      <c r="GAP281" s="1069"/>
      <c r="GAQ281" s="1069"/>
      <c r="GAR281" s="1069"/>
      <c r="GAS281" s="1069"/>
      <c r="GAT281" s="1069"/>
      <c r="GAU281" s="1069"/>
      <c r="GAV281" s="1069"/>
      <c r="GAW281" s="1069"/>
      <c r="GAX281" s="1069"/>
      <c r="GAY281" s="1069"/>
      <c r="GAZ281" s="1069"/>
      <c r="GBA281" s="1069"/>
      <c r="GBB281" s="1069"/>
      <c r="GBC281" s="1069"/>
      <c r="GBD281" s="1069"/>
      <c r="GBE281" s="1069"/>
      <c r="GBF281" s="1069"/>
      <c r="GBG281" s="1069"/>
      <c r="GBH281" s="1069"/>
      <c r="GBI281" s="1069"/>
      <c r="GBJ281" s="1069"/>
      <c r="GBK281" s="1069"/>
      <c r="GBL281" s="1069"/>
      <c r="GBM281" s="1069"/>
      <c r="GBN281" s="1069"/>
      <c r="GBO281" s="1069"/>
      <c r="GBP281" s="1069"/>
      <c r="GBQ281" s="1069"/>
      <c r="GBR281" s="1069"/>
      <c r="GBS281" s="1069"/>
      <c r="GBT281" s="1069"/>
      <c r="GBU281" s="1069"/>
      <c r="GBV281" s="1069"/>
      <c r="GBW281" s="1069"/>
      <c r="GBX281" s="1069"/>
      <c r="GBY281" s="1069"/>
      <c r="GBZ281" s="1069"/>
      <c r="GCA281" s="1069"/>
      <c r="GCB281" s="1069"/>
      <c r="GCC281" s="1069"/>
      <c r="GCD281" s="1069"/>
      <c r="GCE281" s="1069"/>
      <c r="GCF281" s="1069"/>
      <c r="GCG281" s="1069"/>
      <c r="GCH281" s="1069"/>
      <c r="GCI281" s="1069"/>
      <c r="GCJ281" s="1069"/>
      <c r="GCK281" s="1069"/>
      <c r="GCL281" s="1069"/>
      <c r="GCM281" s="1069"/>
      <c r="GCN281" s="1069"/>
      <c r="GCO281" s="1069"/>
      <c r="GCP281" s="1069"/>
      <c r="GCQ281" s="1069"/>
      <c r="GCR281" s="1069"/>
      <c r="GCS281" s="1069"/>
      <c r="GCT281" s="1069"/>
      <c r="GCU281" s="1069"/>
      <c r="GCV281" s="1069"/>
      <c r="GCW281" s="1069"/>
      <c r="GCX281" s="1069"/>
      <c r="GCY281" s="1069"/>
      <c r="GCZ281" s="1069"/>
      <c r="GDA281" s="1069"/>
      <c r="GDB281" s="1069"/>
      <c r="GDC281" s="1069"/>
      <c r="GDD281" s="1069"/>
      <c r="GDE281" s="1069"/>
      <c r="GDF281" s="1069"/>
      <c r="GDG281" s="1069"/>
      <c r="GDH281" s="1069"/>
      <c r="GDI281" s="1069"/>
      <c r="GDJ281" s="1069"/>
      <c r="GDK281" s="1069"/>
      <c r="GDL281" s="1069"/>
      <c r="GDM281" s="1069"/>
      <c r="GDN281" s="1069"/>
      <c r="GDO281" s="1069"/>
      <c r="GDP281" s="1069"/>
      <c r="GDQ281" s="1069"/>
      <c r="GDR281" s="1069"/>
      <c r="GDS281" s="1069"/>
      <c r="GDT281" s="1069"/>
      <c r="GDU281" s="1069"/>
      <c r="GDV281" s="1069"/>
      <c r="GDW281" s="1069"/>
      <c r="GDX281" s="1069"/>
      <c r="GDY281" s="1069"/>
      <c r="GDZ281" s="1069"/>
      <c r="GEA281" s="1069"/>
      <c r="GEB281" s="1069"/>
      <c r="GEC281" s="1069"/>
      <c r="GED281" s="1069"/>
      <c r="GEE281" s="1069"/>
      <c r="GEF281" s="1069"/>
      <c r="GEG281" s="1069"/>
      <c r="GEH281" s="1069"/>
      <c r="GEI281" s="1069"/>
      <c r="GEJ281" s="1069"/>
      <c r="GEK281" s="1069"/>
      <c r="GEL281" s="1069"/>
      <c r="GEM281" s="1069"/>
      <c r="GEN281" s="1069"/>
      <c r="GEO281" s="1069"/>
      <c r="GEP281" s="1069"/>
      <c r="GEQ281" s="1069"/>
      <c r="GER281" s="1069"/>
      <c r="GES281" s="1069"/>
      <c r="GET281" s="1069"/>
      <c r="GEU281" s="1069"/>
      <c r="GEV281" s="1069"/>
      <c r="GEW281" s="1069"/>
      <c r="GEX281" s="1069"/>
      <c r="GEY281" s="1069"/>
      <c r="GEZ281" s="1069"/>
      <c r="GFA281" s="1069"/>
      <c r="GFB281" s="1069"/>
      <c r="GFC281" s="1069"/>
      <c r="GFD281" s="1069"/>
      <c r="GFE281" s="1069"/>
      <c r="GFF281" s="1069"/>
      <c r="GFG281" s="1069"/>
      <c r="GFH281" s="1069"/>
      <c r="GFI281" s="1069"/>
      <c r="GFJ281" s="1069"/>
      <c r="GFK281" s="1069"/>
      <c r="GFL281" s="1069"/>
      <c r="GFM281" s="1069"/>
      <c r="GFN281" s="1069"/>
      <c r="GFO281" s="1069"/>
      <c r="GFP281" s="1069"/>
      <c r="GFQ281" s="1069"/>
      <c r="GFR281" s="1069"/>
      <c r="GFS281" s="1069"/>
      <c r="GFT281" s="1069"/>
      <c r="GFU281" s="1069"/>
      <c r="GFV281" s="1069"/>
      <c r="GFW281" s="1069"/>
      <c r="GFX281" s="1069"/>
      <c r="GFY281" s="1069"/>
      <c r="GFZ281" s="1069"/>
      <c r="GGA281" s="1069"/>
      <c r="GGB281" s="1069"/>
      <c r="GGC281" s="1069"/>
      <c r="GGD281" s="1069"/>
      <c r="GGE281" s="1069"/>
      <c r="GGF281" s="1069"/>
      <c r="GGG281" s="1069"/>
      <c r="GGH281" s="1069"/>
      <c r="GGI281" s="1069"/>
      <c r="GGJ281" s="1069"/>
      <c r="GGK281" s="1069"/>
      <c r="GGL281" s="1069"/>
      <c r="GGM281" s="1069"/>
      <c r="GGN281" s="1069"/>
      <c r="GGO281" s="1069"/>
      <c r="GGP281" s="1069"/>
      <c r="GGQ281" s="1069"/>
      <c r="GGR281" s="1069"/>
      <c r="GGS281" s="1069"/>
      <c r="GGT281" s="1069"/>
      <c r="GGU281" s="1069"/>
      <c r="GGV281" s="1069"/>
      <c r="GGW281" s="1069"/>
      <c r="GGX281" s="1069"/>
      <c r="GGY281" s="1069"/>
      <c r="GGZ281" s="1069"/>
      <c r="GHA281" s="1069"/>
      <c r="GHB281" s="1069"/>
      <c r="GHC281" s="1069"/>
      <c r="GHD281" s="1069"/>
      <c r="GHE281" s="1069"/>
      <c r="GHF281" s="1069"/>
      <c r="GHG281" s="1069"/>
      <c r="GHH281" s="1069"/>
      <c r="GHI281" s="1069"/>
      <c r="GHJ281" s="1069"/>
      <c r="GHK281" s="1069"/>
      <c r="GHL281" s="1069"/>
      <c r="GHM281" s="1069"/>
      <c r="GHN281" s="1069"/>
      <c r="GHO281" s="1069"/>
      <c r="GHP281" s="1069"/>
      <c r="GHQ281" s="1069"/>
      <c r="GHR281" s="1069"/>
      <c r="GHS281" s="1069"/>
      <c r="GHT281" s="1069"/>
      <c r="GHU281" s="1069"/>
      <c r="GHV281" s="1069"/>
      <c r="GHW281" s="1069"/>
      <c r="GHX281" s="1069"/>
      <c r="GHY281" s="1069"/>
      <c r="GHZ281" s="1069"/>
      <c r="GIA281" s="1069"/>
      <c r="GIB281" s="1069"/>
      <c r="GIC281" s="1069"/>
      <c r="GID281" s="1069"/>
      <c r="GIE281" s="1069"/>
      <c r="GIF281" s="1069"/>
      <c r="GIG281" s="1069"/>
      <c r="GIH281" s="1069"/>
      <c r="GII281" s="1069"/>
      <c r="GIJ281" s="1069"/>
      <c r="GIK281" s="1069"/>
      <c r="GIL281" s="1069"/>
      <c r="GIM281" s="1069"/>
      <c r="GIN281" s="1069"/>
      <c r="GIO281" s="1069"/>
      <c r="GIP281" s="1069"/>
      <c r="GIQ281" s="1069"/>
      <c r="GIR281" s="1069"/>
      <c r="GIS281" s="1069"/>
      <c r="GIT281" s="1069"/>
      <c r="GIU281" s="1069"/>
      <c r="GIV281" s="1069"/>
      <c r="GIW281" s="1069"/>
      <c r="GIX281" s="1069"/>
      <c r="GIY281" s="1069"/>
      <c r="GIZ281" s="1069"/>
      <c r="GJA281" s="1069"/>
      <c r="GJB281" s="1069"/>
      <c r="GJC281" s="1069"/>
      <c r="GJD281" s="1069"/>
      <c r="GJE281" s="1069"/>
      <c r="GJF281" s="1069"/>
      <c r="GJG281" s="1069"/>
      <c r="GJH281" s="1069"/>
      <c r="GJI281" s="1069"/>
      <c r="GJJ281" s="1069"/>
      <c r="GJK281" s="1069"/>
      <c r="GJL281" s="1069"/>
      <c r="GJM281" s="1069"/>
      <c r="GJN281" s="1069"/>
      <c r="GJO281" s="1069"/>
      <c r="GJP281" s="1069"/>
      <c r="GJQ281" s="1069"/>
      <c r="GJR281" s="1069"/>
      <c r="GJS281" s="1069"/>
      <c r="GJT281" s="1069"/>
      <c r="GJU281" s="1069"/>
      <c r="GJV281" s="1069"/>
      <c r="GJW281" s="1069"/>
      <c r="GJX281" s="1069"/>
      <c r="GJY281" s="1069"/>
      <c r="GJZ281" s="1069"/>
      <c r="GKA281" s="1069"/>
      <c r="GKB281" s="1069"/>
      <c r="GKC281" s="1069"/>
      <c r="GKD281" s="1069"/>
      <c r="GKE281" s="1069"/>
      <c r="GKF281" s="1069"/>
      <c r="GKG281" s="1069"/>
      <c r="GKH281" s="1069"/>
      <c r="GKI281" s="1069"/>
      <c r="GKJ281" s="1069"/>
      <c r="GKK281" s="1069"/>
      <c r="GKL281" s="1069"/>
      <c r="GKM281" s="1069"/>
      <c r="GKN281" s="1069"/>
      <c r="GKO281" s="1069"/>
      <c r="GKP281" s="1069"/>
      <c r="GKQ281" s="1069"/>
      <c r="GKR281" s="1069"/>
      <c r="GKS281" s="1069"/>
      <c r="GKT281" s="1069"/>
      <c r="GKU281" s="1069"/>
      <c r="GKV281" s="1069"/>
      <c r="GKW281" s="1069"/>
      <c r="GKX281" s="1069"/>
      <c r="GKY281" s="1069"/>
      <c r="GKZ281" s="1069"/>
      <c r="GLA281" s="1069"/>
      <c r="GLB281" s="1069"/>
      <c r="GLC281" s="1069"/>
      <c r="GLD281" s="1069"/>
      <c r="GLE281" s="1069"/>
      <c r="GLF281" s="1069"/>
      <c r="GLG281" s="1069"/>
      <c r="GLH281" s="1069"/>
      <c r="GLI281" s="1069"/>
      <c r="GLJ281" s="1069"/>
      <c r="GLK281" s="1069"/>
      <c r="GLL281" s="1069"/>
      <c r="GLM281" s="1069"/>
      <c r="GLN281" s="1069"/>
      <c r="GLO281" s="1069"/>
      <c r="GLP281" s="1069"/>
      <c r="GLQ281" s="1069"/>
      <c r="GLR281" s="1069"/>
      <c r="GLS281" s="1069"/>
      <c r="GLT281" s="1069"/>
      <c r="GLU281" s="1069"/>
      <c r="GLV281" s="1069"/>
      <c r="GLW281" s="1069"/>
      <c r="GLX281" s="1069"/>
      <c r="GLY281" s="1069"/>
      <c r="GLZ281" s="1069"/>
      <c r="GMA281" s="1069"/>
      <c r="GMB281" s="1069"/>
      <c r="GMC281" s="1069"/>
      <c r="GMD281" s="1069"/>
      <c r="GME281" s="1069"/>
      <c r="GMF281" s="1069"/>
      <c r="GMG281" s="1069"/>
      <c r="GMH281" s="1069"/>
      <c r="GMI281" s="1069"/>
      <c r="GMJ281" s="1069"/>
      <c r="GMK281" s="1069"/>
      <c r="GML281" s="1069"/>
      <c r="GMM281" s="1069"/>
      <c r="GMN281" s="1069"/>
      <c r="GMO281" s="1069"/>
      <c r="GMP281" s="1069"/>
      <c r="GMQ281" s="1069"/>
      <c r="GMR281" s="1069"/>
      <c r="GMS281" s="1069"/>
      <c r="GMT281" s="1069"/>
      <c r="GMU281" s="1069"/>
      <c r="GMV281" s="1069"/>
      <c r="GMW281" s="1069"/>
      <c r="GMX281" s="1069"/>
      <c r="GMY281" s="1069"/>
      <c r="GMZ281" s="1069"/>
      <c r="GNA281" s="1069"/>
      <c r="GNB281" s="1069"/>
      <c r="GNC281" s="1069"/>
      <c r="GND281" s="1069"/>
      <c r="GNE281" s="1069"/>
      <c r="GNF281" s="1069"/>
      <c r="GNG281" s="1069"/>
      <c r="GNH281" s="1069"/>
      <c r="GNI281" s="1069"/>
      <c r="GNJ281" s="1069"/>
      <c r="GNK281" s="1069"/>
      <c r="GNL281" s="1069"/>
      <c r="GNM281" s="1069"/>
      <c r="GNN281" s="1069"/>
      <c r="GNO281" s="1069"/>
      <c r="GNP281" s="1069"/>
      <c r="GNQ281" s="1069"/>
      <c r="GNR281" s="1069"/>
      <c r="GNS281" s="1069"/>
      <c r="GNT281" s="1069"/>
      <c r="GNU281" s="1069"/>
      <c r="GNV281" s="1069"/>
      <c r="GNW281" s="1069"/>
      <c r="GNX281" s="1069"/>
      <c r="GNY281" s="1069"/>
      <c r="GNZ281" s="1069"/>
      <c r="GOA281" s="1069"/>
      <c r="GOB281" s="1069"/>
      <c r="GOC281" s="1069"/>
      <c r="GOD281" s="1069"/>
      <c r="GOE281" s="1069"/>
      <c r="GOF281" s="1069"/>
      <c r="GOG281" s="1069"/>
      <c r="GOH281" s="1069"/>
      <c r="GOI281" s="1069"/>
      <c r="GOJ281" s="1069"/>
      <c r="GOK281" s="1069"/>
      <c r="GOL281" s="1069"/>
      <c r="GOM281" s="1069"/>
      <c r="GON281" s="1069"/>
      <c r="GOO281" s="1069"/>
      <c r="GOP281" s="1069"/>
      <c r="GOQ281" s="1069"/>
      <c r="GOR281" s="1069"/>
      <c r="GOS281" s="1069"/>
      <c r="GOT281" s="1069"/>
      <c r="GOU281" s="1069"/>
      <c r="GOV281" s="1069"/>
      <c r="GOW281" s="1069"/>
      <c r="GOX281" s="1069"/>
      <c r="GOY281" s="1069"/>
      <c r="GOZ281" s="1069"/>
      <c r="GPA281" s="1069"/>
      <c r="GPB281" s="1069"/>
      <c r="GPC281" s="1069"/>
      <c r="GPD281" s="1069"/>
      <c r="GPE281" s="1069"/>
      <c r="GPF281" s="1069"/>
      <c r="GPG281" s="1069"/>
      <c r="GPH281" s="1069"/>
      <c r="GPI281" s="1069"/>
      <c r="GPJ281" s="1069"/>
      <c r="GPK281" s="1069"/>
      <c r="GPL281" s="1069"/>
      <c r="GPM281" s="1069"/>
      <c r="GPN281" s="1069"/>
      <c r="GPO281" s="1069"/>
      <c r="GPP281" s="1069"/>
      <c r="GPQ281" s="1069"/>
      <c r="GPR281" s="1069"/>
      <c r="GPS281" s="1069"/>
      <c r="GPT281" s="1069"/>
      <c r="GPU281" s="1069"/>
      <c r="GPV281" s="1069"/>
      <c r="GPW281" s="1069"/>
      <c r="GPX281" s="1069"/>
      <c r="GPY281" s="1069"/>
      <c r="GPZ281" s="1069"/>
      <c r="GQA281" s="1069"/>
      <c r="GQB281" s="1069"/>
      <c r="GQC281" s="1069"/>
      <c r="GQD281" s="1069"/>
      <c r="GQE281" s="1069"/>
      <c r="GQF281" s="1069"/>
      <c r="GQG281" s="1069"/>
      <c r="GQH281" s="1069"/>
      <c r="GQI281" s="1069"/>
      <c r="GQJ281" s="1069"/>
      <c r="GQK281" s="1069"/>
      <c r="GQL281" s="1069"/>
      <c r="GQM281" s="1069"/>
      <c r="GQN281" s="1069"/>
      <c r="GQO281" s="1069"/>
      <c r="GQP281" s="1069"/>
      <c r="GQQ281" s="1069"/>
      <c r="GQR281" s="1069"/>
      <c r="GQS281" s="1069"/>
      <c r="GQT281" s="1069"/>
      <c r="GQU281" s="1069"/>
      <c r="GQV281" s="1069"/>
      <c r="GQW281" s="1069"/>
      <c r="GQX281" s="1069"/>
      <c r="GQY281" s="1069"/>
      <c r="GQZ281" s="1069"/>
      <c r="GRA281" s="1069"/>
      <c r="GRB281" s="1069"/>
      <c r="GRC281" s="1069"/>
      <c r="GRD281" s="1069"/>
      <c r="GRE281" s="1069"/>
      <c r="GRF281" s="1069"/>
      <c r="GRG281" s="1069"/>
      <c r="GRH281" s="1069"/>
      <c r="GRI281" s="1069"/>
      <c r="GRJ281" s="1069"/>
      <c r="GRK281" s="1069"/>
      <c r="GRL281" s="1069"/>
      <c r="GRM281" s="1069"/>
      <c r="GRN281" s="1069"/>
      <c r="GRO281" s="1069"/>
      <c r="GRP281" s="1069"/>
      <c r="GRQ281" s="1069"/>
      <c r="GRR281" s="1069"/>
      <c r="GRS281" s="1069"/>
      <c r="GRT281" s="1069"/>
      <c r="GRU281" s="1069"/>
      <c r="GRV281" s="1069"/>
      <c r="GRW281" s="1069"/>
      <c r="GRX281" s="1069"/>
      <c r="GRY281" s="1069"/>
      <c r="GRZ281" s="1069"/>
      <c r="GSA281" s="1069"/>
      <c r="GSB281" s="1069"/>
      <c r="GSC281" s="1069"/>
      <c r="GSD281" s="1069"/>
      <c r="GSE281" s="1069"/>
      <c r="GSF281" s="1069"/>
      <c r="GSG281" s="1069"/>
      <c r="GSH281" s="1069"/>
      <c r="GSI281" s="1069"/>
      <c r="GSJ281" s="1069"/>
      <c r="GSK281" s="1069"/>
      <c r="GSL281" s="1069"/>
      <c r="GSM281" s="1069"/>
      <c r="GSN281" s="1069"/>
      <c r="GSO281" s="1069"/>
      <c r="GSP281" s="1069"/>
      <c r="GSQ281" s="1069"/>
      <c r="GSR281" s="1069"/>
      <c r="GSS281" s="1069"/>
      <c r="GST281" s="1069"/>
      <c r="GSU281" s="1069"/>
      <c r="GSV281" s="1069"/>
      <c r="GSW281" s="1069"/>
      <c r="GSX281" s="1069"/>
      <c r="GSY281" s="1069"/>
      <c r="GSZ281" s="1069"/>
      <c r="GTA281" s="1069"/>
      <c r="GTB281" s="1069"/>
      <c r="GTC281" s="1069"/>
      <c r="GTD281" s="1069"/>
      <c r="GTE281" s="1069"/>
      <c r="GTF281" s="1069"/>
      <c r="GTG281" s="1069"/>
      <c r="GTH281" s="1069"/>
      <c r="GTI281" s="1069"/>
      <c r="GTJ281" s="1069"/>
      <c r="GTK281" s="1069"/>
      <c r="GTL281" s="1069"/>
      <c r="GTM281" s="1069"/>
      <c r="GTN281" s="1069"/>
      <c r="GTO281" s="1069"/>
      <c r="GTP281" s="1069"/>
      <c r="GTQ281" s="1069"/>
      <c r="GTR281" s="1069"/>
      <c r="GTS281" s="1069"/>
      <c r="GTT281" s="1069"/>
      <c r="GTU281" s="1069"/>
      <c r="GTV281" s="1069"/>
      <c r="GTW281" s="1069"/>
      <c r="GTX281" s="1069"/>
      <c r="GTY281" s="1069"/>
      <c r="GTZ281" s="1069"/>
      <c r="GUA281" s="1069"/>
      <c r="GUB281" s="1069"/>
      <c r="GUC281" s="1069"/>
      <c r="GUD281" s="1069"/>
      <c r="GUE281" s="1069"/>
      <c r="GUF281" s="1069"/>
      <c r="GUG281" s="1069"/>
      <c r="GUH281" s="1069"/>
      <c r="GUI281" s="1069"/>
      <c r="GUJ281" s="1069"/>
      <c r="GUK281" s="1069"/>
      <c r="GUL281" s="1069"/>
      <c r="GUM281" s="1069"/>
      <c r="GUN281" s="1069"/>
      <c r="GUO281" s="1069"/>
      <c r="GUP281" s="1069"/>
      <c r="GUQ281" s="1069"/>
      <c r="GUR281" s="1069"/>
      <c r="GUS281" s="1069"/>
      <c r="GUT281" s="1069"/>
      <c r="GUU281" s="1069"/>
      <c r="GUV281" s="1069"/>
      <c r="GUW281" s="1069"/>
      <c r="GUX281" s="1069"/>
      <c r="GUY281" s="1069"/>
      <c r="GUZ281" s="1069"/>
      <c r="GVA281" s="1069"/>
      <c r="GVB281" s="1069"/>
      <c r="GVC281" s="1069"/>
      <c r="GVD281" s="1069"/>
      <c r="GVE281" s="1069"/>
      <c r="GVF281" s="1069"/>
      <c r="GVG281" s="1069"/>
      <c r="GVH281" s="1069"/>
      <c r="GVI281" s="1069"/>
      <c r="GVJ281" s="1069"/>
      <c r="GVK281" s="1069"/>
      <c r="GVL281" s="1069"/>
      <c r="GVM281" s="1069"/>
      <c r="GVN281" s="1069"/>
      <c r="GVO281" s="1069"/>
      <c r="GVP281" s="1069"/>
      <c r="GVQ281" s="1069"/>
      <c r="GVR281" s="1069"/>
      <c r="GVS281" s="1069"/>
      <c r="GVT281" s="1069"/>
      <c r="GVU281" s="1069"/>
      <c r="GVV281" s="1069"/>
      <c r="GVW281" s="1069"/>
      <c r="GVX281" s="1069"/>
      <c r="GVY281" s="1069"/>
      <c r="GVZ281" s="1069"/>
      <c r="GWA281" s="1069"/>
      <c r="GWB281" s="1069"/>
      <c r="GWC281" s="1069"/>
      <c r="GWD281" s="1069"/>
      <c r="GWE281" s="1069"/>
      <c r="GWF281" s="1069"/>
      <c r="GWG281" s="1069"/>
      <c r="GWH281" s="1069"/>
      <c r="GWI281" s="1069"/>
      <c r="GWJ281" s="1069"/>
      <c r="GWK281" s="1069"/>
      <c r="GWL281" s="1069"/>
      <c r="GWM281" s="1069"/>
      <c r="GWN281" s="1069"/>
      <c r="GWO281" s="1069"/>
      <c r="GWP281" s="1069"/>
      <c r="GWQ281" s="1069"/>
      <c r="GWR281" s="1069"/>
      <c r="GWS281" s="1069"/>
      <c r="GWT281" s="1069"/>
      <c r="GWU281" s="1069"/>
      <c r="GWV281" s="1069"/>
      <c r="GWW281" s="1069"/>
      <c r="GWX281" s="1069"/>
      <c r="GWY281" s="1069"/>
      <c r="GWZ281" s="1069"/>
      <c r="GXA281" s="1069"/>
      <c r="GXB281" s="1069"/>
      <c r="GXC281" s="1069"/>
      <c r="GXD281" s="1069"/>
      <c r="GXE281" s="1069"/>
      <c r="GXF281" s="1069"/>
      <c r="GXG281" s="1069"/>
      <c r="GXH281" s="1069"/>
      <c r="GXI281" s="1069"/>
      <c r="GXJ281" s="1069"/>
      <c r="GXK281" s="1069"/>
      <c r="GXL281" s="1069"/>
      <c r="GXM281" s="1069"/>
      <c r="GXN281" s="1069"/>
      <c r="GXO281" s="1069"/>
      <c r="GXP281" s="1069"/>
      <c r="GXQ281" s="1069"/>
      <c r="GXR281" s="1069"/>
      <c r="GXS281" s="1069"/>
      <c r="GXT281" s="1069"/>
      <c r="GXU281" s="1069"/>
      <c r="GXV281" s="1069"/>
      <c r="GXW281" s="1069"/>
      <c r="GXX281" s="1069"/>
      <c r="GXY281" s="1069"/>
      <c r="GXZ281" s="1069"/>
      <c r="GYA281" s="1069"/>
      <c r="GYB281" s="1069"/>
      <c r="GYC281" s="1069"/>
      <c r="GYD281" s="1069"/>
      <c r="GYE281" s="1069"/>
      <c r="GYF281" s="1069"/>
      <c r="GYG281" s="1069"/>
      <c r="GYH281" s="1069"/>
      <c r="GYI281" s="1069"/>
      <c r="GYJ281" s="1069"/>
      <c r="GYK281" s="1069"/>
      <c r="GYL281" s="1069"/>
      <c r="GYM281" s="1069"/>
      <c r="GYN281" s="1069"/>
      <c r="GYO281" s="1069"/>
      <c r="GYP281" s="1069"/>
      <c r="GYQ281" s="1069"/>
      <c r="GYR281" s="1069"/>
      <c r="GYS281" s="1069"/>
      <c r="GYT281" s="1069"/>
      <c r="GYU281" s="1069"/>
      <c r="GYV281" s="1069"/>
      <c r="GYW281" s="1069"/>
      <c r="GYX281" s="1069"/>
      <c r="GYY281" s="1069"/>
      <c r="GYZ281" s="1069"/>
      <c r="GZA281" s="1069"/>
      <c r="GZB281" s="1069"/>
      <c r="GZC281" s="1069"/>
      <c r="GZD281" s="1069"/>
      <c r="GZE281" s="1069"/>
      <c r="GZF281" s="1069"/>
      <c r="GZG281" s="1069"/>
      <c r="GZH281" s="1069"/>
      <c r="GZI281" s="1069"/>
      <c r="GZJ281" s="1069"/>
      <c r="GZK281" s="1069"/>
      <c r="GZL281" s="1069"/>
      <c r="GZM281" s="1069"/>
      <c r="GZN281" s="1069"/>
      <c r="GZO281" s="1069"/>
      <c r="GZP281" s="1069"/>
      <c r="GZQ281" s="1069"/>
      <c r="GZR281" s="1069"/>
      <c r="GZS281" s="1069"/>
      <c r="GZT281" s="1069"/>
      <c r="GZU281" s="1069"/>
      <c r="GZV281" s="1069"/>
      <c r="GZW281" s="1069"/>
      <c r="GZX281" s="1069"/>
      <c r="GZY281" s="1069"/>
      <c r="GZZ281" s="1069"/>
      <c r="HAA281" s="1069"/>
      <c r="HAB281" s="1069"/>
      <c r="HAC281" s="1069"/>
      <c r="HAD281" s="1069"/>
      <c r="HAE281" s="1069"/>
      <c r="HAF281" s="1069"/>
      <c r="HAG281" s="1069"/>
      <c r="HAH281" s="1069"/>
      <c r="HAI281" s="1069"/>
      <c r="HAJ281" s="1069"/>
      <c r="HAK281" s="1069"/>
      <c r="HAL281" s="1069"/>
      <c r="HAM281" s="1069"/>
      <c r="HAN281" s="1069"/>
      <c r="HAO281" s="1069"/>
      <c r="HAP281" s="1069"/>
      <c r="HAQ281" s="1069"/>
      <c r="HAR281" s="1069"/>
      <c r="HAS281" s="1069"/>
      <c r="HAT281" s="1069"/>
      <c r="HAU281" s="1069"/>
      <c r="HAV281" s="1069"/>
      <c r="HAW281" s="1069"/>
      <c r="HAX281" s="1069"/>
      <c r="HAY281" s="1069"/>
      <c r="HAZ281" s="1069"/>
      <c r="HBA281" s="1069"/>
      <c r="HBB281" s="1069"/>
      <c r="HBC281" s="1069"/>
      <c r="HBD281" s="1069"/>
      <c r="HBE281" s="1069"/>
      <c r="HBF281" s="1069"/>
      <c r="HBG281" s="1069"/>
      <c r="HBH281" s="1069"/>
      <c r="HBI281" s="1069"/>
      <c r="HBJ281" s="1069"/>
      <c r="HBK281" s="1069"/>
      <c r="HBL281" s="1069"/>
      <c r="HBM281" s="1069"/>
      <c r="HBN281" s="1069"/>
      <c r="HBO281" s="1069"/>
      <c r="HBP281" s="1069"/>
      <c r="HBQ281" s="1069"/>
      <c r="HBR281" s="1069"/>
      <c r="HBS281" s="1069"/>
      <c r="HBT281" s="1069"/>
      <c r="HBU281" s="1069"/>
      <c r="HBV281" s="1069"/>
      <c r="HBW281" s="1069"/>
      <c r="HBX281" s="1069"/>
      <c r="HBY281" s="1069"/>
      <c r="HBZ281" s="1069"/>
      <c r="HCA281" s="1069"/>
      <c r="HCB281" s="1069"/>
      <c r="HCC281" s="1069"/>
      <c r="HCD281" s="1069"/>
      <c r="HCE281" s="1069"/>
      <c r="HCF281" s="1069"/>
      <c r="HCG281" s="1069"/>
      <c r="HCH281" s="1069"/>
      <c r="HCI281" s="1069"/>
      <c r="HCJ281" s="1069"/>
      <c r="HCK281" s="1069"/>
      <c r="HCL281" s="1069"/>
      <c r="HCM281" s="1069"/>
      <c r="HCN281" s="1069"/>
      <c r="HCO281" s="1069"/>
      <c r="HCP281" s="1069"/>
      <c r="HCQ281" s="1069"/>
      <c r="HCR281" s="1069"/>
      <c r="HCS281" s="1069"/>
      <c r="HCT281" s="1069"/>
      <c r="HCU281" s="1069"/>
      <c r="HCV281" s="1069"/>
      <c r="HCW281" s="1069"/>
      <c r="HCX281" s="1069"/>
      <c r="HCY281" s="1069"/>
      <c r="HCZ281" s="1069"/>
      <c r="HDA281" s="1069"/>
      <c r="HDB281" s="1069"/>
      <c r="HDC281" s="1069"/>
      <c r="HDD281" s="1069"/>
      <c r="HDE281" s="1069"/>
      <c r="HDF281" s="1069"/>
      <c r="HDG281" s="1069"/>
      <c r="HDH281" s="1069"/>
      <c r="HDI281" s="1069"/>
      <c r="HDJ281" s="1069"/>
      <c r="HDK281" s="1069"/>
      <c r="HDL281" s="1069"/>
      <c r="HDM281" s="1069"/>
      <c r="HDN281" s="1069"/>
      <c r="HDO281" s="1069"/>
      <c r="HDP281" s="1069"/>
      <c r="HDQ281" s="1069"/>
      <c r="HDR281" s="1069"/>
      <c r="HDS281" s="1069"/>
      <c r="HDT281" s="1069"/>
      <c r="HDU281" s="1069"/>
      <c r="HDV281" s="1069"/>
      <c r="HDW281" s="1069"/>
      <c r="HDX281" s="1069"/>
      <c r="HDY281" s="1069"/>
      <c r="HDZ281" s="1069"/>
      <c r="HEA281" s="1069"/>
      <c r="HEB281" s="1069"/>
      <c r="HEC281" s="1069"/>
      <c r="HED281" s="1069"/>
      <c r="HEE281" s="1069"/>
      <c r="HEF281" s="1069"/>
      <c r="HEG281" s="1069"/>
      <c r="HEH281" s="1069"/>
      <c r="HEI281" s="1069"/>
      <c r="HEJ281" s="1069"/>
      <c r="HEK281" s="1069"/>
      <c r="HEL281" s="1069"/>
      <c r="HEM281" s="1069"/>
      <c r="HEN281" s="1069"/>
      <c r="HEO281" s="1069"/>
      <c r="HEP281" s="1069"/>
      <c r="HEQ281" s="1069"/>
      <c r="HER281" s="1069"/>
      <c r="HES281" s="1069"/>
      <c r="HET281" s="1069"/>
      <c r="HEU281" s="1069"/>
      <c r="HEV281" s="1069"/>
      <c r="HEW281" s="1069"/>
      <c r="HEX281" s="1069"/>
      <c r="HEY281" s="1069"/>
      <c r="HEZ281" s="1069"/>
      <c r="HFA281" s="1069"/>
      <c r="HFB281" s="1069"/>
      <c r="HFC281" s="1069"/>
      <c r="HFD281" s="1069"/>
      <c r="HFE281" s="1069"/>
      <c r="HFF281" s="1069"/>
      <c r="HFG281" s="1069"/>
      <c r="HFH281" s="1069"/>
      <c r="HFI281" s="1069"/>
      <c r="HFJ281" s="1069"/>
      <c r="HFK281" s="1069"/>
      <c r="HFL281" s="1069"/>
      <c r="HFM281" s="1069"/>
      <c r="HFN281" s="1069"/>
      <c r="HFO281" s="1069"/>
      <c r="HFP281" s="1069"/>
      <c r="HFQ281" s="1069"/>
      <c r="HFR281" s="1069"/>
      <c r="HFS281" s="1069"/>
      <c r="HFT281" s="1069"/>
      <c r="HFU281" s="1069"/>
      <c r="HFV281" s="1069"/>
      <c r="HFW281" s="1069"/>
      <c r="HFX281" s="1069"/>
      <c r="HFY281" s="1069"/>
      <c r="HFZ281" s="1069"/>
      <c r="HGA281" s="1069"/>
      <c r="HGB281" s="1069"/>
      <c r="HGC281" s="1069"/>
      <c r="HGD281" s="1069"/>
      <c r="HGE281" s="1069"/>
      <c r="HGF281" s="1069"/>
      <c r="HGG281" s="1069"/>
      <c r="HGH281" s="1069"/>
      <c r="HGI281" s="1069"/>
      <c r="HGJ281" s="1069"/>
      <c r="HGK281" s="1069"/>
      <c r="HGL281" s="1069"/>
      <c r="HGM281" s="1069"/>
      <c r="HGN281" s="1069"/>
      <c r="HGO281" s="1069"/>
      <c r="HGP281" s="1069"/>
      <c r="HGQ281" s="1069"/>
      <c r="HGR281" s="1069"/>
      <c r="HGS281" s="1069"/>
      <c r="HGT281" s="1069"/>
      <c r="HGU281" s="1069"/>
      <c r="HGV281" s="1069"/>
      <c r="HGW281" s="1069"/>
      <c r="HGX281" s="1069"/>
      <c r="HGY281" s="1069"/>
      <c r="HGZ281" s="1069"/>
      <c r="HHA281" s="1069"/>
      <c r="HHB281" s="1069"/>
      <c r="HHC281" s="1069"/>
      <c r="HHD281" s="1069"/>
      <c r="HHE281" s="1069"/>
      <c r="HHF281" s="1069"/>
      <c r="HHG281" s="1069"/>
      <c r="HHH281" s="1069"/>
      <c r="HHI281" s="1069"/>
      <c r="HHJ281" s="1069"/>
      <c r="HHK281" s="1069"/>
      <c r="HHL281" s="1069"/>
      <c r="HHM281" s="1069"/>
      <c r="HHN281" s="1069"/>
      <c r="HHO281" s="1069"/>
      <c r="HHP281" s="1069"/>
      <c r="HHQ281" s="1069"/>
      <c r="HHR281" s="1069"/>
      <c r="HHS281" s="1069"/>
      <c r="HHT281" s="1069"/>
      <c r="HHU281" s="1069"/>
      <c r="HHV281" s="1069"/>
      <c r="HHW281" s="1069"/>
      <c r="HHX281" s="1069"/>
      <c r="HHY281" s="1069"/>
      <c r="HHZ281" s="1069"/>
      <c r="HIA281" s="1069"/>
      <c r="HIB281" s="1069"/>
      <c r="HIC281" s="1069"/>
      <c r="HID281" s="1069"/>
      <c r="HIE281" s="1069"/>
      <c r="HIF281" s="1069"/>
      <c r="HIG281" s="1069"/>
      <c r="HIH281" s="1069"/>
      <c r="HII281" s="1069"/>
      <c r="HIJ281" s="1069"/>
      <c r="HIK281" s="1069"/>
      <c r="HIL281" s="1069"/>
      <c r="HIM281" s="1069"/>
      <c r="HIN281" s="1069"/>
      <c r="HIO281" s="1069"/>
      <c r="HIP281" s="1069"/>
      <c r="HIQ281" s="1069"/>
      <c r="HIR281" s="1069"/>
      <c r="HIS281" s="1069"/>
      <c r="HIT281" s="1069"/>
      <c r="HIU281" s="1069"/>
      <c r="HIV281" s="1069"/>
      <c r="HIW281" s="1069"/>
      <c r="HIX281" s="1069"/>
      <c r="HIY281" s="1069"/>
      <c r="HIZ281" s="1069"/>
      <c r="HJA281" s="1069"/>
      <c r="HJB281" s="1069"/>
      <c r="HJC281" s="1069"/>
      <c r="HJD281" s="1069"/>
      <c r="HJE281" s="1069"/>
      <c r="HJF281" s="1069"/>
      <c r="HJG281" s="1069"/>
      <c r="HJH281" s="1069"/>
      <c r="HJI281" s="1069"/>
      <c r="HJJ281" s="1069"/>
      <c r="HJK281" s="1069"/>
      <c r="HJL281" s="1069"/>
      <c r="HJM281" s="1069"/>
      <c r="HJN281" s="1069"/>
      <c r="HJO281" s="1069"/>
      <c r="HJP281" s="1069"/>
      <c r="HJQ281" s="1069"/>
      <c r="HJR281" s="1069"/>
      <c r="HJS281" s="1069"/>
      <c r="HJT281" s="1069"/>
      <c r="HJU281" s="1069"/>
      <c r="HJV281" s="1069"/>
      <c r="HJW281" s="1069"/>
      <c r="HJX281" s="1069"/>
      <c r="HJY281" s="1069"/>
      <c r="HJZ281" s="1069"/>
      <c r="HKA281" s="1069"/>
      <c r="HKB281" s="1069"/>
      <c r="HKC281" s="1069"/>
      <c r="HKD281" s="1069"/>
      <c r="HKE281" s="1069"/>
      <c r="HKF281" s="1069"/>
      <c r="HKG281" s="1069"/>
      <c r="HKH281" s="1069"/>
      <c r="HKI281" s="1069"/>
      <c r="HKJ281" s="1069"/>
      <c r="HKK281" s="1069"/>
      <c r="HKL281" s="1069"/>
      <c r="HKM281" s="1069"/>
      <c r="HKN281" s="1069"/>
      <c r="HKO281" s="1069"/>
      <c r="HKP281" s="1069"/>
      <c r="HKQ281" s="1069"/>
      <c r="HKR281" s="1069"/>
      <c r="HKS281" s="1069"/>
      <c r="HKT281" s="1069"/>
      <c r="HKU281" s="1069"/>
      <c r="HKV281" s="1069"/>
      <c r="HKW281" s="1069"/>
      <c r="HKX281" s="1069"/>
      <c r="HKY281" s="1069"/>
      <c r="HKZ281" s="1069"/>
      <c r="HLA281" s="1069"/>
      <c r="HLB281" s="1069"/>
      <c r="HLC281" s="1069"/>
      <c r="HLD281" s="1069"/>
      <c r="HLE281" s="1069"/>
      <c r="HLF281" s="1069"/>
      <c r="HLG281" s="1069"/>
      <c r="HLH281" s="1069"/>
      <c r="HLI281" s="1069"/>
      <c r="HLJ281" s="1069"/>
      <c r="HLK281" s="1069"/>
      <c r="HLL281" s="1069"/>
      <c r="HLM281" s="1069"/>
      <c r="HLN281" s="1069"/>
      <c r="HLO281" s="1069"/>
      <c r="HLP281" s="1069"/>
      <c r="HLQ281" s="1069"/>
      <c r="HLR281" s="1069"/>
      <c r="HLS281" s="1069"/>
      <c r="HLT281" s="1069"/>
      <c r="HLU281" s="1069"/>
      <c r="HLV281" s="1069"/>
      <c r="HLW281" s="1069"/>
      <c r="HLX281" s="1069"/>
      <c r="HLY281" s="1069"/>
      <c r="HLZ281" s="1069"/>
      <c r="HMA281" s="1069"/>
      <c r="HMB281" s="1069"/>
      <c r="HMC281" s="1069"/>
      <c r="HMD281" s="1069"/>
      <c r="HME281" s="1069"/>
      <c r="HMF281" s="1069"/>
      <c r="HMG281" s="1069"/>
      <c r="HMH281" s="1069"/>
      <c r="HMI281" s="1069"/>
      <c r="HMJ281" s="1069"/>
      <c r="HMK281" s="1069"/>
      <c r="HML281" s="1069"/>
      <c r="HMM281" s="1069"/>
      <c r="HMN281" s="1069"/>
      <c r="HMO281" s="1069"/>
      <c r="HMP281" s="1069"/>
      <c r="HMQ281" s="1069"/>
      <c r="HMR281" s="1069"/>
      <c r="HMS281" s="1069"/>
      <c r="HMT281" s="1069"/>
      <c r="HMU281" s="1069"/>
      <c r="HMV281" s="1069"/>
      <c r="HMW281" s="1069"/>
      <c r="HMX281" s="1069"/>
      <c r="HMY281" s="1069"/>
      <c r="HMZ281" s="1069"/>
      <c r="HNA281" s="1069"/>
      <c r="HNB281" s="1069"/>
      <c r="HNC281" s="1069"/>
      <c r="HND281" s="1069"/>
      <c r="HNE281" s="1069"/>
      <c r="HNF281" s="1069"/>
      <c r="HNG281" s="1069"/>
      <c r="HNH281" s="1069"/>
      <c r="HNI281" s="1069"/>
      <c r="HNJ281" s="1069"/>
      <c r="HNK281" s="1069"/>
      <c r="HNL281" s="1069"/>
      <c r="HNM281" s="1069"/>
      <c r="HNN281" s="1069"/>
      <c r="HNO281" s="1069"/>
      <c r="HNP281" s="1069"/>
      <c r="HNQ281" s="1069"/>
      <c r="HNR281" s="1069"/>
      <c r="HNS281" s="1069"/>
      <c r="HNT281" s="1069"/>
      <c r="HNU281" s="1069"/>
      <c r="HNV281" s="1069"/>
      <c r="HNW281" s="1069"/>
      <c r="HNX281" s="1069"/>
      <c r="HNY281" s="1069"/>
      <c r="HNZ281" s="1069"/>
      <c r="HOA281" s="1069"/>
      <c r="HOB281" s="1069"/>
      <c r="HOC281" s="1069"/>
      <c r="HOD281" s="1069"/>
      <c r="HOE281" s="1069"/>
      <c r="HOF281" s="1069"/>
      <c r="HOG281" s="1069"/>
      <c r="HOH281" s="1069"/>
      <c r="HOI281" s="1069"/>
      <c r="HOJ281" s="1069"/>
      <c r="HOK281" s="1069"/>
      <c r="HOL281" s="1069"/>
      <c r="HOM281" s="1069"/>
      <c r="HON281" s="1069"/>
      <c r="HOO281" s="1069"/>
      <c r="HOP281" s="1069"/>
      <c r="HOQ281" s="1069"/>
      <c r="HOR281" s="1069"/>
      <c r="HOS281" s="1069"/>
      <c r="HOT281" s="1069"/>
      <c r="HOU281" s="1069"/>
      <c r="HOV281" s="1069"/>
      <c r="HOW281" s="1069"/>
      <c r="HOX281" s="1069"/>
      <c r="HOY281" s="1069"/>
      <c r="HOZ281" s="1069"/>
      <c r="HPA281" s="1069"/>
      <c r="HPB281" s="1069"/>
      <c r="HPC281" s="1069"/>
      <c r="HPD281" s="1069"/>
      <c r="HPE281" s="1069"/>
      <c r="HPF281" s="1069"/>
      <c r="HPG281" s="1069"/>
      <c r="HPH281" s="1069"/>
      <c r="HPI281" s="1069"/>
      <c r="HPJ281" s="1069"/>
      <c r="HPK281" s="1069"/>
      <c r="HPL281" s="1069"/>
      <c r="HPM281" s="1069"/>
      <c r="HPN281" s="1069"/>
      <c r="HPO281" s="1069"/>
      <c r="HPP281" s="1069"/>
      <c r="HPQ281" s="1069"/>
      <c r="HPR281" s="1069"/>
      <c r="HPS281" s="1069"/>
      <c r="HPT281" s="1069"/>
      <c r="HPU281" s="1069"/>
      <c r="HPV281" s="1069"/>
      <c r="HPW281" s="1069"/>
      <c r="HPX281" s="1069"/>
      <c r="HPY281" s="1069"/>
      <c r="HPZ281" s="1069"/>
      <c r="HQA281" s="1069"/>
      <c r="HQB281" s="1069"/>
      <c r="HQC281" s="1069"/>
      <c r="HQD281" s="1069"/>
      <c r="HQE281" s="1069"/>
      <c r="HQF281" s="1069"/>
      <c r="HQG281" s="1069"/>
      <c r="HQH281" s="1069"/>
      <c r="HQI281" s="1069"/>
      <c r="HQJ281" s="1069"/>
      <c r="HQK281" s="1069"/>
      <c r="HQL281" s="1069"/>
      <c r="HQM281" s="1069"/>
      <c r="HQN281" s="1069"/>
      <c r="HQO281" s="1069"/>
      <c r="HQP281" s="1069"/>
      <c r="HQQ281" s="1069"/>
      <c r="HQR281" s="1069"/>
      <c r="HQS281" s="1069"/>
      <c r="HQT281" s="1069"/>
      <c r="HQU281" s="1069"/>
      <c r="HQV281" s="1069"/>
      <c r="HQW281" s="1069"/>
      <c r="HQX281" s="1069"/>
      <c r="HQY281" s="1069"/>
      <c r="HQZ281" s="1069"/>
      <c r="HRA281" s="1069"/>
      <c r="HRB281" s="1069"/>
      <c r="HRC281" s="1069"/>
      <c r="HRD281" s="1069"/>
      <c r="HRE281" s="1069"/>
      <c r="HRF281" s="1069"/>
      <c r="HRG281" s="1069"/>
      <c r="HRH281" s="1069"/>
      <c r="HRI281" s="1069"/>
      <c r="HRJ281" s="1069"/>
      <c r="HRK281" s="1069"/>
      <c r="HRL281" s="1069"/>
      <c r="HRM281" s="1069"/>
      <c r="HRN281" s="1069"/>
      <c r="HRO281" s="1069"/>
      <c r="HRP281" s="1069"/>
      <c r="HRQ281" s="1069"/>
      <c r="HRR281" s="1069"/>
      <c r="HRS281" s="1069"/>
      <c r="HRT281" s="1069"/>
      <c r="HRU281" s="1069"/>
      <c r="HRV281" s="1069"/>
      <c r="HRW281" s="1069"/>
      <c r="HRX281" s="1069"/>
      <c r="HRY281" s="1069"/>
      <c r="HRZ281" s="1069"/>
      <c r="HSA281" s="1069"/>
      <c r="HSB281" s="1069"/>
      <c r="HSC281" s="1069"/>
      <c r="HSD281" s="1069"/>
      <c r="HSE281" s="1069"/>
      <c r="HSF281" s="1069"/>
      <c r="HSG281" s="1069"/>
      <c r="HSH281" s="1069"/>
      <c r="HSI281" s="1069"/>
      <c r="HSJ281" s="1069"/>
      <c r="HSK281" s="1069"/>
      <c r="HSL281" s="1069"/>
      <c r="HSM281" s="1069"/>
      <c r="HSN281" s="1069"/>
      <c r="HSO281" s="1069"/>
      <c r="HSP281" s="1069"/>
      <c r="HSQ281" s="1069"/>
      <c r="HSR281" s="1069"/>
      <c r="HSS281" s="1069"/>
      <c r="HST281" s="1069"/>
      <c r="HSU281" s="1069"/>
      <c r="HSV281" s="1069"/>
      <c r="HSW281" s="1069"/>
      <c r="HSX281" s="1069"/>
      <c r="HSY281" s="1069"/>
      <c r="HSZ281" s="1069"/>
      <c r="HTA281" s="1069"/>
      <c r="HTB281" s="1069"/>
      <c r="HTC281" s="1069"/>
      <c r="HTD281" s="1069"/>
      <c r="HTE281" s="1069"/>
      <c r="HTF281" s="1069"/>
      <c r="HTG281" s="1069"/>
      <c r="HTH281" s="1069"/>
      <c r="HTI281" s="1069"/>
      <c r="HTJ281" s="1069"/>
      <c r="HTK281" s="1069"/>
      <c r="HTL281" s="1069"/>
      <c r="HTM281" s="1069"/>
      <c r="HTN281" s="1069"/>
      <c r="HTO281" s="1069"/>
      <c r="HTP281" s="1069"/>
      <c r="HTQ281" s="1069"/>
      <c r="HTR281" s="1069"/>
      <c r="HTS281" s="1069"/>
      <c r="HTT281" s="1069"/>
      <c r="HTU281" s="1069"/>
      <c r="HTV281" s="1069"/>
      <c r="HTW281" s="1069"/>
      <c r="HTX281" s="1069"/>
      <c r="HTY281" s="1069"/>
      <c r="HTZ281" s="1069"/>
      <c r="HUA281" s="1069"/>
      <c r="HUB281" s="1069"/>
      <c r="HUC281" s="1069"/>
      <c r="HUD281" s="1069"/>
      <c r="HUE281" s="1069"/>
      <c r="HUF281" s="1069"/>
      <c r="HUG281" s="1069"/>
      <c r="HUH281" s="1069"/>
      <c r="HUI281" s="1069"/>
      <c r="HUJ281" s="1069"/>
      <c r="HUK281" s="1069"/>
      <c r="HUL281" s="1069"/>
      <c r="HUM281" s="1069"/>
      <c r="HUN281" s="1069"/>
      <c r="HUO281" s="1069"/>
      <c r="HUP281" s="1069"/>
      <c r="HUQ281" s="1069"/>
      <c r="HUR281" s="1069"/>
      <c r="HUS281" s="1069"/>
      <c r="HUT281" s="1069"/>
      <c r="HUU281" s="1069"/>
      <c r="HUV281" s="1069"/>
      <c r="HUW281" s="1069"/>
      <c r="HUX281" s="1069"/>
      <c r="HUY281" s="1069"/>
      <c r="HUZ281" s="1069"/>
      <c r="HVA281" s="1069"/>
      <c r="HVB281" s="1069"/>
      <c r="HVC281" s="1069"/>
      <c r="HVD281" s="1069"/>
      <c r="HVE281" s="1069"/>
      <c r="HVF281" s="1069"/>
      <c r="HVG281" s="1069"/>
      <c r="HVH281" s="1069"/>
      <c r="HVI281" s="1069"/>
      <c r="HVJ281" s="1069"/>
      <c r="HVK281" s="1069"/>
      <c r="HVL281" s="1069"/>
      <c r="HVM281" s="1069"/>
      <c r="HVN281" s="1069"/>
      <c r="HVO281" s="1069"/>
      <c r="HVP281" s="1069"/>
      <c r="HVQ281" s="1069"/>
      <c r="HVR281" s="1069"/>
      <c r="HVS281" s="1069"/>
      <c r="HVT281" s="1069"/>
      <c r="HVU281" s="1069"/>
      <c r="HVV281" s="1069"/>
      <c r="HVW281" s="1069"/>
      <c r="HVX281" s="1069"/>
      <c r="HVY281" s="1069"/>
      <c r="HVZ281" s="1069"/>
      <c r="HWA281" s="1069"/>
      <c r="HWB281" s="1069"/>
      <c r="HWC281" s="1069"/>
      <c r="HWD281" s="1069"/>
      <c r="HWE281" s="1069"/>
      <c r="HWF281" s="1069"/>
      <c r="HWG281" s="1069"/>
      <c r="HWH281" s="1069"/>
      <c r="HWI281" s="1069"/>
      <c r="HWJ281" s="1069"/>
      <c r="HWK281" s="1069"/>
      <c r="HWL281" s="1069"/>
      <c r="HWM281" s="1069"/>
      <c r="HWN281" s="1069"/>
      <c r="HWO281" s="1069"/>
      <c r="HWP281" s="1069"/>
      <c r="HWQ281" s="1069"/>
      <c r="HWR281" s="1069"/>
      <c r="HWS281" s="1069"/>
      <c r="HWT281" s="1069"/>
      <c r="HWU281" s="1069"/>
      <c r="HWV281" s="1069"/>
      <c r="HWW281" s="1069"/>
      <c r="HWX281" s="1069"/>
      <c r="HWY281" s="1069"/>
      <c r="HWZ281" s="1069"/>
      <c r="HXA281" s="1069"/>
      <c r="HXB281" s="1069"/>
      <c r="HXC281" s="1069"/>
      <c r="HXD281" s="1069"/>
      <c r="HXE281" s="1069"/>
      <c r="HXF281" s="1069"/>
      <c r="HXG281" s="1069"/>
      <c r="HXH281" s="1069"/>
      <c r="HXI281" s="1069"/>
      <c r="HXJ281" s="1069"/>
      <c r="HXK281" s="1069"/>
      <c r="HXL281" s="1069"/>
      <c r="HXM281" s="1069"/>
      <c r="HXN281" s="1069"/>
      <c r="HXO281" s="1069"/>
      <c r="HXP281" s="1069"/>
      <c r="HXQ281" s="1069"/>
      <c r="HXR281" s="1069"/>
      <c r="HXS281" s="1069"/>
      <c r="HXT281" s="1069"/>
      <c r="HXU281" s="1069"/>
      <c r="HXV281" s="1069"/>
      <c r="HXW281" s="1069"/>
      <c r="HXX281" s="1069"/>
      <c r="HXY281" s="1069"/>
      <c r="HXZ281" s="1069"/>
      <c r="HYA281" s="1069"/>
      <c r="HYB281" s="1069"/>
      <c r="HYC281" s="1069"/>
      <c r="HYD281" s="1069"/>
      <c r="HYE281" s="1069"/>
      <c r="HYF281" s="1069"/>
      <c r="HYG281" s="1069"/>
      <c r="HYH281" s="1069"/>
      <c r="HYI281" s="1069"/>
      <c r="HYJ281" s="1069"/>
      <c r="HYK281" s="1069"/>
      <c r="HYL281" s="1069"/>
      <c r="HYM281" s="1069"/>
      <c r="HYN281" s="1069"/>
      <c r="HYO281" s="1069"/>
      <c r="HYP281" s="1069"/>
      <c r="HYQ281" s="1069"/>
      <c r="HYR281" s="1069"/>
      <c r="HYS281" s="1069"/>
      <c r="HYT281" s="1069"/>
      <c r="HYU281" s="1069"/>
      <c r="HYV281" s="1069"/>
      <c r="HYW281" s="1069"/>
      <c r="HYX281" s="1069"/>
      <c r="HYY281" s="1069"/>
      <c r="HYZ281" s="1069"/>
      <c r="HZA281" s="1069"/>
      <c r="HZB281" s="1069"/>
      <c r="HZC281" s="1069"/>
      <c r="HZD281" s="1069"/>
      <c r="HZE281" s="1069"/>
      <c r="HZF281" s="1069"/>
      <c r="HZG281" s="1069"/>
      <c r="HZH281" s="1069"/>
      <c r="HZI281" s="1069"/>
      <c r="HZJ281" s="1069"/>
      <c r="HZK281" s="1069"/>
      <c r="HZL281" s="1069"/>
      <c r="HZM281" s="1069"/>
      <c r="HZN281" s="1069"/>
      <c r="HZO281" s="1069"/>
      <c r="HZP281" s="1069"/>
      <c r="HZQ281" s="1069"/>
      <c r="HZR281" s="1069"/>
      <c r="HZS281" s="1069"/>
      <c r="HZT281" s="1069"/>
      <c r="HZU281" s="1069"/>
      <c r="HZV281" s="1069"/>
      <c r="HZW281" s="1069"/>
      <c r="HZX281" s="1069"/>
      <c r="HZY281" s="1069"/>
      <c r="HZZ281" s="1069"/>
      <c r="IAA281" s="1069"/>
      <c r="IAB281" s="1069"/>
      <c r="IAC281" s="1069"/>
      <c r="IAD281" s="1069"/>
      <c r="IAE281" s="1069"/>
      <c r="IAF281" s="1069"/>
      <c r="IAG281" s="1069"/>
      <c r="IAH281" s="1069"/>
      <c r="IAI281" s="1069"/>
      <c r="IAJ281" s="1069"/>
      <c r="IAK281" s="1069"/>
      <c r="IAL281" s="1069"/>
      <c r="IAM281" s="1069"/>
      <c r="IAN281" s="1069"/>
      <c r="IAO281" s="1069"/>
      <c r="IAP281" s="1069"/>
      <c r="IAQ281" s="1069"/>
      <c r="IAR281" s="1069"/>
      <c r="IAS281" s="1069"/>
      <c r="IAT281" s="1069"/>
      <c r="IAU281" s="1069"/>
      <c r="IAV281" s="1069"/>
      <c r="IAW281" s="1069"/>
      <c r="IAX281" s="1069"/>
      <c r="IAY281" s="1069"/>
      <c r="IAZ281" s="1069"/>
      <c r="IBA281" s="1069"/>
      <c r="IBB281" s="1069"/>
      <c r="IBC281" s="1069"/>
      <c r="IBD281" s="1069"/>
      <c r="IBE281" s="1069"/>
      <c r="IBF281" s="1069"/>
      <c r="IBG281" s="1069"/>
      <c r="IBH281" s="1069"/>
      <c r="IBI281" s="1069"/>
      <c r="IBJ281" s="1069"/>
      <c r="IBK281" s="1069"/>
      <c r="IBL281" s="1069"/>
      <c r="IBM281" s="1069"/>
      <c r="IBN281" s="1069"/>
      <c r="IBO281" s="1069"/>
      <c r="IBP281" s="1069"/>
      <c r="IBQ281" s="1069"/>
      <c r="IBR281" s="1069"/>
      <c r="IBS281" s="1069"/>
      <c r="IBT281" s="1069"/>
      <c r="IBU281" s="1069"/>
      <c r="IBV281" s="1069"/>
      <c r="IBW281" s="1069"/>
      <c r="IBX281" s="1069"/>
      <c r="IBY281" s="1069"/>
      <c r="IBZ281" s="1069"/>
      <c r="ICA281" s="1069"/>
      <c r="ICB281" s="1069"/>
      <c r="ICC281" s="1069"/>
      <c r="ICD281" s="1069"/>
      <c r="ICE281" s="1069"/>
      <c r="ICF281" s="1069"/>
      <c r="ICG281" s="1069"/>
      <c r="ICH281" s="1069"/>
      <c r="ICI281" s="1069"/>
      <c r="ICJ281" s="1069"/>
      <c r="ICK281" s="1069"/>
      <c r="ICL281" s="1069"/>
      <c r="ICM281" s="1069"/>
      <c r="ICN281" s="1069"/>
      <c r="ICO281" s="1069"/>
      <c r="ICP281" s="1069"/>
      <c r="ICQ281" s="1069"/>
      <c r="ICR281" s="1069"/>
      <c r="ICS281" s="1069"/>
      <c r="ICT281" s="1069"/>
      <c r="ICU281" s="1069"/>
      <c r="ICV281" s="1069"/>
      <c r="ICW281" s="1069"/>
      <c r="ICX281" s="1069"/>
      <c r="ICY281" s="1069"/>
      <c r="ICZ281" s="1069"/>
      <c r="IDA281" s="1069"/>
      <c r="IDB281" s="1069"/>
      <c r="IDC281" s="1069"/>
      <c r="IDD281" s="1069"/>
      <c r="IDE281" s="1069"/>
      <c r="IDF281" s="1069"/>
      <c r="IDG281" s="1069"/>
      <c r="IDH281" s="1069"/>
      <c r="IDI281" s="1069"/>
      <c r="IDJ281" s="1069"/>
      <c r="IDK281" s="1069"/>
      <c r="IDL281" s="1069"/>
      <c r="IDM281" s="1069"/>
      <c r="IDN281" s="1069"/>
      <c r="IDO281" s="1069"/>
      <c r="IDP281" s="1069"/>
      <c r="IDQ281" s="1069"/>
      <c r="IDR281" s="1069"/>
      <c r="IDS281" s="1069"/>
      <c r="IDT281" s="1069"/>
      <c r="IDU281" s="1069"/>
      <c r="IDV281" s="1069"/>
      <c r="IDW281" s="1069"/>
      <c r="IDX281" s="1069"/>
      <c r="IDY281" s="1069"/>
      <c r="IDZ281" s="1069"/>
      <c r="IEA281" s="1069"/>
      <c r="IEB281" s="1069"/>
      <c r="IEC281" s="1069"/>
      <c r="IED281" s="1069"/>
      <c r="IEE281" s="1069"/>
      <c r="IEF281" s="1069"/>
      <c r="IEG281" s="1069"/>
      <c r="IEH281" s="1069"/>
      <c r="IEI281" s="1069"/>
      <c r="IEJ281" s="1069"/>
      <c r="IEK281" s="1069"/>
      <c r="IEL281" s="1069"/>
      <c r="IEM281" s="1069"/>
      <c r="IEN281" s="1069"/>
      <c r="IEO281" s="1069"/>
      <c r="IEP281" s="1069"/>
      <c r="IEQ281" s="1069"/>
      <c r="IER281" s="1069"/>
      <c r="IES281" s="1069"/>
      <c r="IET281" s="1069"/>
      <c r="IEU281" s="1069"/>
      <c r="IEV281" s="1069"/>
      <c r="IEW281" s="1069"/>
      <c r="IEX281" s="1069"/>
      <c r="IEY281" s="1069"/>
      <c r="IEZ281" s="1069"/>
      <c r="IFA281" s="1069"/>
      <c r="IFB281" s="1069"/>
      <c r="IFC281" s="1069"/>
      <c r="IFD281" s="1069"/>
      <c r="IFE281" s="1069"/>
      <c r="IFF281" s="1069"/>
      <c r="IFG281" s="1069"/>
      <c r="IFH281" s="1069"/>
      <c r="IFI281" s="1069"/>
      <c r="IFJ281" s="1069"/>
      <c r="IFK281" s="1069"/>
      <c r="IFL281" s="1069"/>
      <c r="IFM281" s="1069"/>
      <c r="IFN281" s="1069"/>
      <c r="IFO281" s="1069"/>
      <c r="IFP281" s="1069"/>
      <c r="IFQ281" s="1069"/>
      <c r="IFR281" s="1069"/>
      <c r="IFS281" s="1069"/>
      <c r="IFT281" s="1069"/>
      <c r="IFU281" s="1069"/>
      <c r="IFV281" s="1069"/>
      <c r="IFW281" s="1069"/>
      <c r="IFX281" s="1069"/>
      <c r="IFY281" s="1069"/>
      <c r="IFZ281" s="1069"/>
      <c r="IGA281" s="1069"/>
      <c r="IGB281" s="1069"/>
      <c r="IGC281" s="1069"/>
      <c r="IGD281" s="1069"/>
      <c r="IGE281" s="1069"/>
      <c r="IGF281" s="1069"/>
      <c r="IGG281" s="1069"/>
      <c r="IGH281" s="1069"/>
      <c r="IGI281" s="1069"/>
      <c r="IGJ281" s="1069"/>
      <c r="IGK281" s="1069"/>
      <c r="IGL281" s="1069"/>
      <c r="IGM281" s="1069"/>
      <c r="IGN281" s="1069"/>
      <c r="IGO281" s="1069"/>
      <c r="IGP281" s="1069"/>
      <c r="IGQ281" s="1069"/>
      <c r="IGR281" s="1069"/>
      <c r="IGS281" s="1069"/>
      <c r="IGT281" s="1069"/>
      <c r="IGU281" s="1069"/>
      <c r="IGV281" s="1069"/>
      <c r="IGW281" s="1069"/>
      <c r="IGX281" s="1069"/>
      <c r="IGY281" s="1069"/>
      <c r="IGZ281" s="1069"/>
      <c r="IHA281" s="1069"/>
      <c r="IHB281" s="1069"/>
      <c r="IHC281" s="1069"/>
      <c r="IHD281" s="1069"/>
      <c r="IHE281" s="1069"/>
      <c r="IHF281" s="1069"/>
      <c r="IHG281" s="1069"/>
      <c r="IHH281" s="1069"/>
      <c r="IHI281" s="1069"/>
      <c r="IHJ281" s="1069"/>
      <c r="IHK281" s="1069"/>
      <c r="IHL281" s="1069"/>
      <c r="IHM281" s="1069"/>
      <c r="IHN281" s="1069"/>
      <c r="IHO281" s="1069"/>
      <c r="IHP281" s="1069"/>
      <c r="IHQ281" s="1069"/>
      <c r="IHR281" s="1069"/>
      <c r="IHS281" s="1069"/>
      <c r="IHT281" s="1069"/>
      <c r="IHU281" s="1069"/>
      <c r="IHV281" s="1069"/>
      <c r="IHW281" s="1069"/>
      <c r="IHX281" s="1069"/>
      <c r="IHY281" s="1069"/>
      <c r="IHZ281" s="1069"/>
      <c r="IIA281" s="1069"/>
      <c r="IIB281" s="1069"/>
      <c r="IIC281" s="1069"/>
      <c r="IID281" s="1069"/>
      <c r="IIE281" s="1069"/>
      <c r="IIF281" s="1069"/>
      <c r="IIG281" s="1069"/>
      <c r="IIH281" s="1069"/>
      <c r="III281" s="1069"/>
      <c r="IIJ281" s="1069"/>
      <c r="IIK281" s="1069"/>
      <c r="IIL281" s="1069"/>
      <c r="IIM281" s="1069"/>
      <c r="IIN281" s="1069"/>
      <c r="IIO281" s="1069"/>
      <c r="IIP281" s="1069"/>
      <c r="IIQ281" s="1069"/>
      <c r="IIR281" s="1069"/>
      <c r="IIS281" s="1069"/>
      <c r="IIT281" s="1069"/>
      <c r="IIU281" s="1069"/>
      <c r="IIV281" s="1069"/>
      <c r="IIW281" s="1069"/>
      <c r="IIX281" s="1069"/>
      <c r="IIY281" s="1069"/>
      <c r="IIZ281" s="1069"/>
      <c r="IJA281" s="1069"/>
      <c r="IJB281" s="1069"/>
      <c r="IJC281" s="1069"/>
      <c r="IJD281" s="1069"/>
      <c r="IJE281" s="1069"/>
      <c r="IJF281" s="1069"/>
      <c r="IJG281" s="1069"/>
      <c r="IJH281" s="1069"/>
      <c r="IJI281" s="1069"/>
      <c r="IJJ281" s="1069"/>
      <c r="IJK281" s="1069"/>
      <c r="IJL281" s="1069"/>
      <c r="IJM281" s="1069"/>
      <c r="IJN281" s="1069"/>
      <c r="IJO281" s="1069"/>
      <c r="IJP281" s="1069"/>
      <c r="IJQ281" s="1069"/>
      <c r="IJR281" s="1069"/>
      <c r="IJS281" s="1069"/>
      <c r="IJT281" s="1069"/>
      <c r="IJU281" s="1069"/>
      <c r="IJV281" s="1069"/>
      <c r="IJW281" s="1069"/>
      <c r="IJX281" s="1069"/>
      <c r="IJY281" s="1069"/>
      <c r="IJZ281" s="1069"/>
      <c r="IKA281" s="1069"/>
      <c r="IKB281" s="1069"/>
      <c r="IKC281" s="1069"/>
      <c r="IKD281" s="1069"/>
      <c r="IKE281" s="1069"/>
      <c r="IKF281" s="1069"/>
      <c r="IKG281" s="1069"/>
      <c r="IKH281" s="1069"/>
      <c r="IKI281" s="1069"/>
      <c r="IKJ281" s="1069"/>
      <c r="IKK281" s="1069"/>
      <c r="IKL281" s="1069"/>
      <c r="IKM281" s="1069"/>
      <c r="IKN281" s="1069"/>
      <c r="IKO281" s="1069"/>
      <c r="IKP281" s="1069"/>
      <c r="IKQ281" s="1069"/>
      <c r="IKR281" s="1069"/>
      <c r="IKS281" s="1069"/>
      <c r="IKT281" s="1069"/>
      <c r="IKU281" s="1069"/>
      <c r="IKV281" s="1069"/>
      <c r="IKW281" s="1069"/>
      <c r="IKX281" s="1069"/>
      <c r="IKY281" s="1069"/>
      <c r="IKZ281" s="1069"/>
      <c r="ILA281" s="1069"/>
      <c r="ILB281" s="1069"/>
      <c r="ILC281" s="1069"/>
      <c r="ILD281" s="1069"/>
      <c r="ILE281" s="1069"/>
      <c r="ILF281" s="1069"/>
      <c r="ILG281" s="1069"/>
      <c r="ILH281" s="1069"/>
      <c r="ILI281" s="1069"/>
      <c r="ILJ281" s="1069"/>
      <c r="ILK281" s="1069"/>
      <c r="ILL281" s="1069"/>
      <c r="ILM281" s="1069"/>
      <c r="ILN281" s="1069"/>
      <c r="ILO281" s="1069"/>
      <c r="ILP281" s="1069"/>
      <c r="ILQ281" s="1069"/>
      <c r="ILR281" s="1069"/>
      <c r="ILS281" s="1069"/>
      <c r="ILT281" s="1069"/>
      <c r="ILU281" s="1069"/>
      <c r="ILV281" s="1069"/>
      <c r="ILW281" s="1069"/>
      <c r="ILX281" s="1069"/>
      <c r="ILY281" s="1069"/>
      <c r="ILZ281" s="1069"/>
      <c r="IMA281" s="1069"/>
      <c r="IMB281" s="1069"/>
      <c r="IMC281" s="1069"/>
      <c r="IMD281" s="1069"/>
      <c r="IME281" s="1069"/>
      <c r="IMF281" s="1069"/>
      <c r="IMG281" s="1069"/>
      <c r="IMH281" s="1069"/>
      <c r="IMI281" s="1069"/>
      <c r="IMJ281" s="1069"/>
      <c r="IMK281" s="1069"/>
      <c r="IML281" s="1069"/>
      <c r="IMM281" s="1069"/>
      <c r="IMN281" s="1069"/>
      <c r="IMO281" s="1069"/>
      <c r="IMP281" s="1069"/>
      <c r="IMQ281" s="1069"/>
      <c r="IMR281" s="1069"/>
      <c r="IMS281" s="1069"/>
      <c r="IMT281" s="1069"/>
      <c r="IMU281" s="1069"/>
      <c r="IMV281" s="1069"/>
      <c r="IMW281" s="1069"/>
      <c r="IMX281" s="1069"/>
      <c r="IMY281" s="1069"/>
      <c r="IMZ281" s="1069"/>
      <c r="INA281" s="1069"/>
      <c r="INB281" s="1069"/>
      <c r="INC281" s="1069"/>
      <c r="IND281" s="1069"/>
      <c r="INE281" s="1069"/>
      <c r="INF281" s="1069"/>
      <c r="ING281" s="1069"/>
      <c r="INH281" s="1069"/>
      <c r="INI281" s="1069"/>
      <c r="INJ281" s="1069"/>
      <c r="INK281" s="1069"/>
      <c r="INL281" s="1069"/>
      <c r="INM281" s="1069"/>
      <c r="INN281" s="1069"/>
      <c r="INO281" s="1069"/>
      <c r="INP281" s="1069"/>
      <c r="INQ281" s="1069"/>
      <c r="INR281" s="1069"/>
      <c r="INS281" s="1069"/>
      <c r="INT281" s="1069"/>
      <c r="INU281" s="1069"/>
      <c r="INV281" s="1069"/>
      <c r="INW281" s="1069"/>
      <c r="INX281" s="1069"/>
      <c r="INY281" s="1069"/>
      <c r="INZ281" s="1069"/>
      <c r="IOA281" s="1069"/>
      <c r="IOB281" s="1069"/>
      <c r="IOC281" s="1069"/>
      <c r="IOD281" s="1069"/>
      <c r="IOE281" s="1069"/>
      <c r="IOF281" s="1069"/>
      <c r="IOG281" s="1069"/>
      <c r="IOH281" s="1069"/>
      <c r="IOI281" s="1069"/>
      <c r="IOJ281" s="1069"/>
      <c r="IOK281" s="1069"/>
      <c r="IOL281" s="1069"/>
      <c r="IOM281" s="1069"/>
      <c r="ION281" s="1069"/>
      <c r="IOO281" s="1069"/>
      <c r="IOP281" s="1069"/>
      <c r="IOQ281" s="1069"/>
      <c r="IOR281" s="1069"/>
      <c r="IOS281" s="1069"/>
      <c r="IOT281" s="1069"/>
      <c r="IOU281" s="1069"/>
      <c r="IOV281" s="1069"/>
      <c r="IOW281" s="1069"/>
      <c r="IOX281" s="1069"/>
      <c r="IOY281" s="1069"/>
      <c r="IOZ281" s="1069"/>
      <c r="IPA281" s="1069"/>
      <c r="IPB281" s="1069"/>
      <c r="IPC281" s="1069"/>
      <c r="IPD281" s="1069"/>
      <c r="IPE281" s="1069"/>
      <c r="IPF281" s="1069"/>
      <c r="IPG281" s="1069"/>
      <c r="IPH281" s="1069"/>
      <c r="IPI281" s="1069"/>
      <c r="IPJ281" s="1069"/>
      <c r="IPK281" s="1069"/>
      <c r="IPL281" s="1069"/>
      <c r="IPM281" s="1069"/>
      <c r="IPN281" s="1069"/>
      <c r="IPO281" s="1069"/>
      <c r="IPP281" s="1069"/>
      <c r="IPQ281" s="1069"/>
      <c r="IPR281" s="1069"/>
      <c r="IPS281" s="1069"/>
      <c r="IPT281" s="1069"/>
      <c r="IPU281" s="1069"/>
      <c r="IPV281" s="1069"/>
      <c r="IPW281" s="1069"/>
      <c r="IPX281" s="1069"/>
      <c r="IPY281" s="1069"/>
      <c r="IPZ281" s="1069"/>
      <c r="IQA281" s="1069"/>
      <c r="IQB281" s="1069"/>
      <c r="IQC281" s="1069"/>
      <c r="IQD281" s="1069"/>
      <c r="IQE281" s="1069"/>
      <c r="IQF281" s="1069"/>
      <c r="IQG281" s="1069"/>
      <c r="IQH281" s="1069"/>
      <c r="IQI281" s="1069"/>
      <c r="IQJ281" s="1069"/>
      <c r="IQK281" s="1069"/>
      <c r="IQL281" s="1069"/>
      <c r="IQM281" s="1069"/>
      <c r="IQN281" s="1069"/>
      <c r="IQO281" s="1069"/>
      <c r="IQP281" s="1069"/>
      <c r="IQQ281" s="1069"/>
      <c r="IQR281" s="1069"/>
      <c r="IQS281" s="1069"/>
      <c r="IQT281" s="1069"/>
      <c r="IQU281" s="1069"/>
      <c r="IQV281" s="1069"/>
      <c r="IQW281" s="1069"/>
      <c r="IQX281" s="1069"/>
      <c r="IQY281" s="1069"/>
      <c r="IQZ281" s="1069"/>
      <c r="IRA281" s="1069"/>
      <c r="IRB281" s="1069"/>
      <c r="IRC281" s="1069"/>
      <c r="IRD281" s="1069"/>
      <c r="IRE281" s="1069"/>
      <c r="IRF281" s="1069"/>
      <c r="IRG281" s="1069"/>
      <c r="IRH281" s="1069"/>
      <c r="IRI281" s="1069"/>
      <c r="IRJ281" s="1069"/>
      <c r="IRK281" s="1069"/>
      <c r="IRL281" s="1069"/>
      <c r="IRM281" s="1069"/>
      <c r="IRN281" s="1069"/>
      <c r="IRO281" s="1069"/>
      <c r="IRP281" s="1069"/>
      <c r="IRQ281" s="1069"/>
      <c r="IRR281" s="1069"/>
      <c r="IRS281" s="1069"/>
      <c r="IRT281" s="1069"/>
      <c r="IRU281" s="1069"/>
      <c r="IRV281" s="1069"/>
      <c r="IRW281" s="1069"/>
      <c r="IRX281" s="1069"/>
      <c r="IRY281" s="1069"/>
      <c r="IRZ281" s="1069"/>
      <c r="ISA281" s="1069"/>
      <c r="ISB281" s="1069"/>
      <c r="ISC281" s="1069"/>
      <c r="ISD281" s="1069"/>
      <c r="ISE281" s="1069"/>
      <c r="ISF281" s="1069"/>
      <c r="ISG281" s="1069"/>
      <c r="ISH281" s="1069"/>
      <c r="ISI281" s="1069"/>
      <c r="ISJ281" s="1069"/>
      <c r="ISK281" s="1069"/>
      <c r="ISL281" s="1069"/>
      <c r="ISM281" s="1069"/>
      <c r="ISN281" s="1069"/>
      <c r="ISO281" s="1069"/>
      <c r="ISP281" s="1069"/>
      <c r="ISQ281" s="1069"/>
      <c r="ISR281" s="1069"/>
      <c r="ISS281" s="1069"/>
      <c r="IST281" s="1069"/>
      <c r="ISU281" s="1069"/>
      <c r="ISV281" s="1069"/>
      <c r="ISW281" s="1069"/>
      <c r="ISX281" s="1069"/>
      <c r="ISY281" s="1069"/>
      <c r="ISZ281" s="1069"/>
      <c r="ITA281" s="1069"/>
      <c r="ITB281" s="1069"/>
      <c r="ITC281" s="1069"/>
      <c r="ITD281" s="1069"/>
      <c r="ITE281" s="1069"/>
      <c r="ITF281" s="1069"/>
      <c r="ITG281" s="1069"/>
      <c r="ITH281" s="1069"/>
      <c r="ITI281" s="1069"/>
      <c r="ITJ281" s="1069"/>
      <c r="ITK281" s="1069"/>
      <c r="ITL281" s="1069"/>
      <c r="ITM281" s="1069"/>
      <c r="ITN281" s="1069"/>
      <c r="ITO281" s="1069"/>
      <c r="ITP281" s="1069"/>
      <c r="ITQ281" s="1069"/>
      <c r="ITR281" s="1069"/>
      <c r="ITS281" s="1069"/>
      <c r="ITT281" s="1069"/>
      <c r="ITU281" s="1069"/>
      <c r="ITV281" s="1069"/>
      <c r="ITW281" s="1069"/>
      <c r="ITX281" s="1069"/>
      <c r="ITY281" s="1069"/>
      <c r="ITZ281" s="1069"/>
      <c r="IUA281" s="1069"/>
      <c r="IUB281" s="1069"/>
      <c r="IUC281" s="1069"/>
      <c r="IUD281" s="1069"/>
      <c r="IUE281" s="1069"/>
      <c r="IUF281" s="1069"/>
      <c r="IUG281" s="1069"/>
      <c r="IUH281" s="1069"/>
      <c r="IUI281" s="1069"/>
      <c r="IUJ281" s="1069"/>
      <c r="IUK281" s="1069"/>
      <c r="IUL281" s="1069"/>
      <c r="IUM281" s="1069"/>
      <c r="IUN281" s="1069"/>
      <c r="IUO281" s="1069"/>
      <c r="IUP281" s="1069"/>
      <c r="IUQ281" s="1069"/>
      <c r="IUR281" s="1069"/>
      <c r="IUS281" s="1069"/>
      <c r="IUT281" s="1069"/>
      <c r="IUU281" s="1069"/>
      <c r="IUV281" s="1069"/>
      <c r="IUW281" s="1069"/>
      <c r="IUX281" s="1069"/>
      <c r="IUY281" s="1069"/>
      <c r="IUZ281" s="1069"/>
      <c r="IVA281" s="1069"/>
      <c r="IVB281" s="1069"/>
      <c r="IVC281" s="1069"/>
      <c r="IVD281" s="1069"/>
      <c r="IVE281" s="1069"/>
      <c r="IVF281" s="1069"/>
      <c r="IVG281" s="1069"/>
      <c r="IVH281" s="1069"/>
      <c r="IVI281" s="1069"/>
      <c r="IVJ281" s="1069"/>
      <c r="IVK281" s="1069"/>
      <c r="IVL281" s="1069"/>
      <c r="IVM281" s="1069"/>
      <c r="IVN281" s="1069"/>
      <c r="IVO281" s="1069"/>
      <c r="IVP281" s="1069"/>
      <c r="IVQ281" s="1069"/>
      <c r="IVR281" s="1069"/>
      <c r="IVS281" s="1069"/>
      <c r="IVT281" s="1069"/>
      <c r="IVU281" s="1069"/>
      <c r="IVV281" s="1069"/>
      <c r="IVW281" s="1069"/>
      <c r="IVX281" s="1069"/>
      <c r="IVY281" s="1069"/>
      <c r="IVZ281" s="1069"/>
      <c r="IWA281" s="1069"/>
      <c r="IWB281" s="1069"/>
      <c r="IWC281" s="1069"/>
      <c r="IWD281" s="1069"/>
      <c r="IWE281" s="1069"/>
      <c r="IWF281" s="1069"/>
      <c r="IWG281" s="1069"/>
      <c r="IWH281" s="1069"/>
      <c r="IWI281" s="1069"/>
      <c r="IWJ281" s="1069"/>
      <c r="IWK281" s="1069"/>
      <c r="IWL281" s="1069"/>
      <c r="IWM281" s="1069"/>
      <c r="IWN281" s="1069"/>
      <c r="IWO281" s="1069"/>
      <c r="IWP281" s="1069"/>
      <c r="IWQ281" s="1069"/>
      <c r="IWR281" s="1069"/>
      <c r="IWS281" s="1069"/>
      <c r="IWT281" s="1069"/>
      <c r="IWU281" s="1069"/>
      <c r="IWV281" s="1069"/>
      <c r="IWW281" s="1069"/>
      <c r="IWX281" s="1069"/>
      <c r="IWY281" s="1069"/>
      <c r="IWZ281" s="1069"/>
      <c r="IXA281" s="1069"/>
      <c r="IXB281" s="1069"/>
      <c r="IXC281" s="1069"/>
      <c r="IXD281" s="1069"/>
      <c r="IXE281" s="1069"/>
      <c r="IXF281" s="1069"/>
      <c r="IXG281" s="1069"/>
      <c r="IXH281" s="1069"/>
      <c r="IXI281" s="1069"/>
      <c r="IXJ281" s="1069"/>
      <c r="IXK281" s="1069"/>
      <c r="IXL281" s="1069"/>
      <c r="IXM281" s="1069"/>
      <c r="IXN281" s="1069"/>
      <c r="IXO281" s="1069"/>
      <c r="IXP281" s="1069"/>
      <c r="IXQ281" s="1069"/>
      <c r="IXR281" s="1069"/>
      <c r="IXS281" s="1069"/>
      <c r="IXT281" s="1069"/>
      <c r="IXU281" s="1069"/>
      <c r="IXV281" s="1069"/>
      <c r="IXW281" s="1069"/>
      <c r="IXX281" s="1069"/>
      <c r="IXY281" s="1069"/>
      <c r="IXZ281" s="1069"/>
      <c r="IYA281" s="1069"/>
      <c r="IYB281" s="1069"/>
      <c r="IYC281" s="1069"/>
      <c r="IYD281" s="1069"/>
      <c r="IYE281" s="1069"/>
      <c r="IYF281" s="1069"/>
      <c r="IYG281" s="1069"/>
      <c r="IYH281" s="1069"/>
      <c r="IYI281" s="1069"/>
      <c r="IYJ281" s="1069"/>
      <c r="IYK281" s="1069"/>
      <c r="IYL281" s="1069"/>
      <c r="IYM281" s="1069"/>
      <c r="IYN281" s="1069"/>
      <c r="IYO281" s="1069"/>
      <c r="IYP281" s="1069"/>
      <c r="IYQ281" s="1069"/>
      <c r="IYR281" s="1069"/>
      <c r="IYS281" s="1069"/>
      <c r="IYT281" s="1069"/>
      <c r="IYU281" s="1069"/>
      <c r="IYV281" s="1069"/>
      <c r="IYW281" s="1069"/>
      <c r="IYX281" s="1069"/>
      <c r="IYY281" s="1069"/>
      <c r="IYZ281" s="1069"/>
      <c r="IZA281" s="1069"/>
      <c r="IZB281" s="1069"/>
      <c r="IZC281" s="1069"/>
      <c r="IZD281" s="1069"/>
      <c r="IZE281" s="1069"/>
      <c r="IZF281" s="1069"/>
      <c r="IZG281" s="1069"/>
      <c r="IZH281" s="1069"/>
      <c r="IZI281" s="1069"/>
      <c r="IZJ281" s="1069"/>
      <c r="IZK281" s="1069"/>
      <c r="IZL281" s="1069"/>
      <c r="IZM281" s="1069"/>
      <c r="IZN281" s="1069"/>
      <c r="IZO281" s="1069"/>
      <c r="IZP281" s="1069"/>
      <c r="IZQ281" s="1069"/>
      <c r="IZR281" s="1069"/>
      <c r="IZS281" s="1069"/>
      <c r="IZT281" s="1069"/>
      <c r="IZU281" s="1069"/>
      <c r="IZV281" s="1069"/>
      <c r="IZW281" s="1069"/>
      <c r="IZX281" s="1069"/>
      <c r="IZY281" s="1069"/>
      <c r="IZZ281" s="1069"/>
      <c r="JAA281" s="1069"/>
      <c r="JAB281" s="1069"/>
      <c r="JAC281" s="1069"/>
      <c r="JAD281" s="1069"/>
      <c r="JAE281" s="1069"/>
      <c r="JAF281" s="1069"/>
      <c r="JAG281" s="1069"/>
      <c r="JAH281" s="1069"/>
      <c r="JAI281" s="1069"/>
      <c r="JAJ281" s="1069"/>
      <c r="JAK281" s="1069"/>
      <c r="JAL281" s="1069"/>
      <c r="JAM281" s="1069"/>
      <c r="JAN281" s="1069"/>
      <c r="JAO281" s="1069"/>
      <c r="JAP281" s="1069"/>
      <c r="JAQ281" s="1069"/>
      <c r="JAR281" s="1069"/>
      <c r="JAS281" s="1069"/>
      <c r="JAT281" s="1069"/>
      <c r="JAU281" s="1069"/>
      <c r="JAV281" s="1069"/>
      <c r="JAW281" s="1069"/>
      <c r="JAX281" s="1069"/>
      <c r="JAY281" s="1069"/>
      <c r="JAZ281" s="1069"/>
      <c r="JBA281" s="1069"/>
      <c r="JBB281" s="1069"/>
      <c r="JBC281" s="1069"/>
      <c r="JBD281" s="1069"/>
      <c r="JBE281" s="1069"/>
      <c r="JBF281" s="1069"/>
      <c r="JBG281" s="1069"/>
      <c r="JBH281" s="1069"/>
      <c r="JBI281" s="1069"/>
      <c r="JBJ281" s="1069"/>
      <c r="JBK281" s="1069"/>
      <c r="JBL281" s="1069"/>
      <c r="JBM281" s="1069"/>
      <c r="JBN281" s="1069"/>
      <c r="JBO281" s="1069"/>
      <c r="JBP281" s="1069"/>
      <c r="JBQ281" s="1069"/>
      <c r="JBR281" s="1069"/>
      <c r="JBS281" s="1069"/>
      <c r="JBT281" s="1069"/>
      <c r="JBU281" s="1069"/>
      <c r="JBV281" s="1069"/>
      <c r="JBW281" s="1069"/>
      <c r="JBX281" s="1069"/>
      <c r="JBY281" s="1069"/>
      <c r="JBZ281" s="1069"/>
      <c r="JCA281" s="1069"/>
      <c r="JCB281" s="1069"/>
      <c r="JCC281" s="1069"/>
      <c r="JCD281" s="1069"/>
      <c r="JCE281" s="1069"/>
      <c r="JCF281" s="1069"/>
      <c r="JCG281" s="1069"/>
      <c r="JCH281" s="1069"/>
      <c r="JCI281" s="1069"/>
      <c r="JCJ281" s="1069"/>
      <c r="JCK281" s="1069"/>
      <c r="JCL281" s="1069"/>
      <c r="JCM281" s="1069"/>
      <c r="JCN281" s="1069"/>
      <c r="JCO281" s="1069"/>
      <c r="JCP281" s="1069"/>
      <c r="JCQ281" s="1069"/>
      <c r="JCR281" s="1069"/>
      <c r="JCS281" s="1069"/>
      <c r="JCT281" s="1069"/>
      <c r="JCU281" s="1069"/>
      <c r="JCV281" s="1069"/>
      <c r="JCW281" s="1069"/>
      <c r="JCX281" s="1069"/>
      <c r="JCY281" s="1069"/>
      <c r="JCZ281" s="1069"/>
      <c r="JDA281" s="1069"/>
      <c r="JDB281" s="1069"/>
      <c r="JDC281" s="1069"/>
      <c r="JDD281" s="1069"/>
      <c r="JDE281" s="1069"/>
      <c r="JDF281" s="1069"/>
      <c r="JDG281" s="1069"/>
      <c r="JDH281" s="1069"/>
      <c r="JDI281" s="1069"/>
      <c r="JDJ281" s="1069"/>
      <c r="JDK281" s="1069"/>
      <c r="JDL281" s="1069"/>
      <c r="JDM281" s="1069"/>
      <c r="JDN281" s="1069"/>
      <c r="JDO281" s="1069"/>
      <c r="JDP281" s="1069"/>
      <c r="JDQ281" s="1069"/>
      <c r="JDR281" s="1069"/>
      <c r="JDS281" s="1069"/>
      <c r="JDT281" s="1069"/>
      <c r="JDU281" s="1069"/>
      <c r="JDV281" s="1069"/>
      <c r="JDW281" s="1069"/>
      <c r="JDX281" s="1069"/>
      <c r="JDY281" s="1069"/>
      <c r="JDZ281" s="1069"/>
      <c r="JEA281" s="1069"/>
      <c r="JEB281" s="1069"/>
      <c r="JEC281" s="1069"/>
      <c r="JED281" s="1069"/>
      <c r="JEE281" s="1069"/>
      <c r="JEF281" s="1069"/>
      <c r="JEG281" s="1069"/>
      <c r="JEH281" s="1069"/>
      <c r="JEI281" s="1069"/>
      <c r="JEJ281" s="1069"/>
      <c r="JEK281" s="1069"/>
      <c r="JEL281" s="1069"/>
      <c r="JEM281" s="1069"/>
      <c r="JEN281" s="1069"/>
      <c r="JEO281" s="1069"/>
      <c r="JEP281" s="1069"/>
      <c r="JEQ281" s="1069"/>
      <c r="JER281" s="1069"/>
      <c r="JES281" s="1069"/>
      <c r="JET281" s="1069"/>
      <c r="JEU281" s="1069"/>
      <c r="JEV281" s="1069"/>
      <c r="JEW281" s="1069"/>
      <c r="JEX281" s="1069"/>
      <c r="JEY281" s="1069"/>
      <c r="JEZ281" s="1069"/>
      <c r="JFA281" s="1069"/>
      <c r="JFB281" s="1069"/>
      <c r="JFC281" s="1069"/>
      <c r="JFD281" s="1069"/>
      <c r="JFE281" s="1069"/>
      <c r="JFF281" s="1069"/>
      <c r="JFG281" s="1069"/>
      <c r="JFH281" s="1069"/>
      <c r="JFI281" s="1069"/>
      <c r="JFJ281" s="1069"/>
      <c r="JFK281" s="1069"/>
      <c r="JFL281" s="1069"/>
      <c r="JFM281" s="1069"/>
      <c r="JFN281" s="1069"/>
      <c r="JFO281" s="1069"/>
      <c r="JFP281" s="1069"/>
      <c r="JFQ281" s="1069"/>
      <c r="JFR281" s="1069"/>
      <c r="JFS281" s="1069"/>
      <c r="JFT281" s="1069"/>
      <c r="JFU281" s="1069"/>
      <c r="JFV281" s="1069"/>
      <c r="JFW281" s="1069"/>
      <c r="JFX281" s="1069"/>
      <c r="JFY281" s="1069"/>
      <c r="JFZ281" s="1069"/>
      <c r="JGA281" s="1069"/>
      <c r="JGB281" s="1069"/>
      <c r="JGC281" s="1069"/>
      <c r="JGD281" s="1069"/>
      <c r="JGE281" s="1069"/>
      <c r="JGF281" s="1069"/>
      <c r="JGG281" s="1069"/>
      <c r="JGH281" s="1069"/>
      <c r="JGI281" s="1069"/>
      <c r="JGJ281" s="1069"/>
      <c r="JGK281" s="1069"/>
      <c r="JGL281" s="1069"/>
      <c r="JGM281" s="1069"/>
      <c r="JGN281" s="1069"/>
      <c r="JGO281" s="1069"/>
      <c r="JGP281" s="1069"/>
      <c r="JGQ281" s="1069"/>
      <c r="JGR281" s="1069"/>
      <c r="JGS281" s="1069"/>
      <c r="JGT281" s="1069"/>
      <c r="JGU281" s="1069"/>
      <c r="JGV281" s="1069"/>
      <c r="JGW281" s="1069"/>
      <c r="JGX281" s="1069"/>
      <c r="JGY281" s="1069"/>
      <c r="JGZ281" s="1069"/>
      <c r="JHA281" s="1069"/>
      <c r="JHB281" s="1069"/>
      <c r="JHC281" s="1069"/>
      <c r="JHD281" s="1069"/>
      <c r="JHE281" s="1069"/>
      <c r="JHF281" s="1069"/>
      <c r="JHG281" s="1069"/>
      <c r="JHH281" s="1069"/>
      <c r="JHI281" s="1069"/>
      <c r="JHJ281" s="1069"/>
      <c r="JHK281" s="1069"/>
      <c r="JHL281" s="1069"/>
      <c r="JHM281" s="1069"/>
      <c r="JHN281" s="1069"/>
      <c r="JHO281" s="1069"/>
      <c r="JHP281" s="1069"/>
      <c r="JHQ281" s="1069"/>
      <c r="JHR281" s="1069"/>
      <c r="JHS281" s="1069"/>
      <c r="JHT281" s="1069"/>
      <c r="JHU281" s="1069"/>
      <c r="JHV281" s="1069"/>
      <c r="JHW281" s="1069"/>
      <c r="JHX281" s="1069"/>
      <c r="JHY281" s="1069"/>
      <c r="JHZ281" s="1069"/>
      <c r="JIA281" s="1069"/>
      <c r="JIB281" s="1069"/>
      <c r="JIC281" s="1069"/>
      <c r="JID281" s="1069"/>
      <c r="JIE281" s="1069"/>
      <c r="JIF281" s="1069"/>
      <c r="JIG281" s="1069"/>
      <c r="JIH281" s="1069"/>
      <c r="JII281" s="1069"/>
      <c r="JIJ281" s="1069"/>
      <c r="JIK281" s="1069"/>
      <c r="JIL281" s="1069"/>
      <c r="JIM281" s="1069"/>
      <c r="JIN281" s="1069"/>
      <c r="JIO281" s="1069"/>
      <c r="JIP281" s="1069"/>
      <c r="JIQ281" s="1069"/>
      <c r="JIR281" s="1069"/>
      <c r="JIS281" s="1069"/>
      <c r="JIT281" s="1069"/>
      <c r="JIU281" s="1069"/>
      <c r="JIV281" s="1069"/>
      <c r="JIW281" s="1069"/>
      <c r="JIX281" s="1069"/>
      <c r="JIY281" s="1069"/>
      <c r="JIZ281" s="1069"/>
      <c r="JJA281" s="1069"/>
      <c r="JJB281" s="1069"/>
      <c r="JJC281" s="1069"/>
      <c r="JJD281" s="1069"/>
      <c r="JJE281" s="1069"/>
      <c r="JJF281" s="1069"/>
      <c r="JJG281" s="1069"/>
      <c r="JJH281" s="1069"/>
      <c r="JJI281" s="1069"/>
      <c r="JJJ281" s="1069"/>
      <c r="JJK281" s="1069"/>
      <c r="JJL281" s="1069"/>
      <c r="JJM281" s="1069"/>
      <c r="JJN281" s="1069"/>
      <c r="JJO281" s="1069"/>
      <c r="JJP281" s="1069"/>
      <c r="JJQ281" s="1069"/>
      <c r="JJR281" s="1069"/>
      <c r="JJS281" s="1069"/>
      <c r="JJT281" s="1069"/>
      <c r="JJU281" s="1069"/>
      <c r="JJV281" s="1069"/>
      <c r="JJW281" s="1069"/>
      <c r="JJX281" s="1069"/>
      <c r="JJY281" s="1069"/>
      <c r="JJZ281" s="1069"/>
      <c r="JKA281" s="1069"/>
      <c r="JKB281" s="1069"/>
      <c r="JKC281" s="1069"/>
      <c r="JKD281" s="1069"/>
      <c r="JKE281" s="1069"/>
      <c r="JKF281" s="1069"/>
      <c r="JKG281" s="1069"/>
      <c r="JKH281" s="1069"/>
      <c r="JKI281" s="1069"/>
      <c r="JKJ281" s="1069"/>
      <c r="JKK281" s="1069"/>
      <c r="JKL281" s="1069"/>
      <c r="JKM281" s="1069"/>
      <c r="JKN281" s="1069"/>
      <c r="JKO281" s="1069"/>
      <c r="JKP281" s="1069"/>
      <c r="JKQ281" s="1069"/>
      <c r="JKR281" s="1069"/>
      <c r="JKS281" s="1069"/>
      <c r="JKT281" s="1069"/>
      <c r="JKU281" s="1069"/>
      <c r="JKV281" s="1069"/>
      <c r="JKW281" s="1069"/>
      <c r="JKX281" s="1069"/>
      <c r="JKY281" s="1069"/>
      <c r="JKZ281" s="1069"/>
      <c r="JLA281" s="1069"/>
      <c r="JLB281" s="1069"/>
      <c r="JLC281" s="1069"/>
      <c r="JLD281" s="1069"/>
      <c r="JLE281" s="1069"/>
      <c r="JLF281" s="1069"/>
      <c r="JLG281" s="1069"/>
      <c r="JLH281" s="1069"/>
      <c r="JLI281" s="1069"/>
      <c r="JLJ281" s="1069"/>
      <c r="JLK281" s="1069"/>
      <c r="JLL281" s="1069"/>
      <c r="JLM281" s="1069"/>
      <c r="JLN281" s="1069"/>
      <c r="JLO281" s="1069"/>
      <c r="JLP281" s="1069"/>
      <c r="JLQ281" s="1069"/>
      <c r="JLR281" s="1069"/>
      <c r="JLS281" s="1069"/>
      <c r="JLT281" s="1069"/>
      <c r="JLU281" s="1069"/>
      <c r="JLV281" s="1069"/>
      <c r="JLW281" s="1069"/>
      <c r="JLX281" s="1069"/>
      <c r="JLY281" s="1069"/>
      <c r="JLZ281" s="1069"/>
      <c r="JMA281" s="1069"/>
      <c r="JMB281" s="1069"/>
      <c r="JMC281" s="1069"/>
      <c r="JMD281" s="1069"/>
      <c r="JME281" s="1069"/>
      <c r="JMF281" s="1069"/>
      <c r="JMG281" s="1069"/>
      <c r="JMH281" s="1069"/>
      <c r="JMI281" s="1069"/>
      <c r="JMJ281" s="1069"/>
      <c r="JMK281" s="1069"/>
      <c r="JML281" s="1069"/>
      <c r="JMM281" s="1069"/>
      <c r="JMN281" s="1069"/>
      <c r="JMO281" s="1069"/>
      <c r="JMP281" s="1069"/>
      <c r="JMQ281" s="1069"/>
      <c r="JMR281" s="1069"/>
      <c r="JMS281" s="1069"/>
      <c r="JMT281" s="1069"/>
      <c r="JMU281" s="1069"/>
      <c r="JMV281" s="1069"/>
      <c r="JMW281" s="1069"/>
      <c r="JMX281" s="1069"/>
      <c r="JMY281" s="1069"/>
      <c r="JMZ281" s="1069"/>
      <c r="JNA281" s="1069"/>
      <c r="JNB281" s="1069"/>
      <c r="JNC281" s="1069"/>
      <c r="JND281" s="1069"/>
      <c r="JNE281" s="1069"/>
      <c r="JNF281" s="1069"/>
      <c r="JNG281" s="1069"/>
      <c r="JNH281" s="1069"/>
      <c r="JNI281" s="1069"/>
      <c r="JNJ281" s="1069"/>
      <c r="JNK281" s="1069"/>
      <c r="JNL281" s="1069"/>
      <c r="JNM281" s="1069"/>
      <c r="JNN281" s="1069"/>
      <c r="JNO281" s="1069"/>
      <c r="JNP281" s="1069"/>
      <c r="JNQ281" s="1069"/>
      <c r="JNR281" s="1069"/>
      <c r="JNS281" s="1069"/>
      <c r="JNT281" s="1069"/>
      <c r="JNU281" s="1069"/>
      <c r="JNV281" s="1069"/>
      <c r="JNW281" s="1069"/>
      <c r="JNX281" s="1069"/>
      <c r="JNY281" s="1069"/>
      <c r="JNZ281" s="1069"/>
      <c r="JOA281" s="1069"/>
      <c r="JOB281" s="1069"/>
      <c r="JOC281" s="1069"/>
      <c r="JOD281" s="1069"/>
      <c r="JOE281" s="1069"/>
      <c r="JOF281" s="1069"/>
      <c r="JOG281" s="1069"/>
      <c r="JOH281" s="1069"/>
      <c r="JOI281" s="1069"/>
      <c r="JOJ281" s="1069"/>
      <c r="JOK281" s="1069"/>
      <c r="JOL281" s="1069"/>
      <c r="JOM281" s="1069"/>
      <c r="JON281" s="1069"/>
      <c r="JOO281" s="1069"/>
      <c r="JOP281" s="1069"/>
      <c r="JOQ281" s="1069"/>
      <c r="JOR281" s="1069"/>
      <c r="JOS281" s="1069"/>
      <c r="JOT281" s="1069"/>
      <c r="JOU281" s="1069"/>
      <c r="JOV281" s="1069"/>
      <c r="JOW281" s="1069"/>
      <c r="JOX281" s="1069"/>
      <c r="JOY281" s="1069"/>
      <c r="JOZ281" s="1069"/>
      <c r="JPA281" s="1069"/>
      <c r="JPB281" s="1069"/>
      <c r="JPC281" s="1069"/>
      <c r="JPD281" s="1069"/>
      <c r="JPE281" s="1069"/>
      <c r="JPF281" s="1069"/>
      <c r="JPG281" s="1069"/>
      <c r="JPH281" s="1069"/>
      <c r="JPI281" s="1069"/>
      <c r="JPJ281" s="1069"/>
      <c r="JPK281" s="1069"/>
      <c r="JPL281" s="1069"/>
      <c r="JPM281" s="1069"/>
      <c r="JPN281" s="1069"/>
      <c r="JPO281" s="1069"/>
      <c r="JPP281" s="1069"/>
      <c r="JPQ281" s="1069"/>
      <c r="JPR281" s="1069"/>
      <c r="JPS281" s="1069"/>
      <c r="JPT281" s="1069"/>
      <c r="JPU281" s="1069"/>
      <c r="JPV281" s="1069"/>
      <c r="JPW281" s="1069"/>
      <c r="JPX281" s="1069"/>
      <c r="JPY281" s="1069"/>
      <c r="JPZ281" s="1069"/>
      <c r="JQA281" s="1069"/>
      <c r="JQB281" s="1069"/>
      <c r="JQC281" s="1069"/>
      <c r="JQD281" s="1069"/>
      <c r="JQE281" s="1069"/>
      <c r="JQF281" s="1069"/>
      <c r="JQG281" s="1069"/>
      <c r="JQH281" s="1069"/>
      <c r="JQI281" s="1069"/>
      <c r="JQJ281" s="1069"/>
      <c r="JQK281" s="1069"/>
      <c r="JQL281" s="1069"/>
      <c r="JQM281" s="1069"/>
      <c r="JQN281" s="1069"/>
      <c r="JQO281" s="1069"/>
      <c r="JQP281" s="1069"/>
      <c r="JQQ281" s="1069"/>
      <c r="JQR281" s="1069"/>
      <c r="JQS281" s="1069"/>
      <c r="JQT281" s="1069"/>
      <c r="JQU281" s="1069"/>
      <c r="JQV281" s="1069"/>
      <c r="JQW281" s="1069"/>
      <c r="JQX281" s="1069"/>
      <c r="JQY281" s="1069"/>
      <c r="JQZ281" s="1069"/>
      <c r="JRA281" s="1069"/>
      <c r="JRB281" s="1069"/>
      <c r="JRC281" s="1069"/>
      <c r="JRD281" s="1069"/>
      <c r="JRE281" s="1069"/>
      <c r="JRF281" s="1069"/>
      <c r="JRG281" s="1069"/>
      <c r="JRH281" s="1069"/>
      <c r="JRI281" s="1069"/>
      <c r="JRJ281" s="1069"/>
      <c r="JRK281" s="1069"/>
      <c r="JRL281" s="1069"/>
      <c r="JRM281" s="1069"/>
      <c r="JRN281" s="1069"/>
      <c r="JRO281" s="1069"/>
      <c r="JRP281" s="1069"/>
      <c r="JRQ281" s="1069"/>
      <c r="JRR281" s="1069"/>
      <c r="JRS281" s="1069"/>
      <c r="JRT281" s="1069"/>
      <c r="JRU281" s="1069"/>
      <c r="JRV281" s="1069"/>
      <c r="JRW281" s="1069"/>
      <c r="JRX281" s="1069"/>
      <c r="JRY281" s="1069"/>
      <c r="JRZ281" s="1069"/>
      <c r="JSA281" s="1069"/>
      <c r="JSB281" s="1069"/>
      <c r="JSC281" s="1069"/>
      <c r="JSD281" s="1069"/>
      <c r="JSE281" s="1069"/>
      <c r="JSF281" s="1069"/>
      <c r="JSG281" s="1069"/>
      <c r="JSH281" s="1069"/>
      <c r="JSI281" s="1069"/>
      <c r="JSJ281" s="1069"/>
      <c r="JSK281" s="1069"/>
      <c r="JSL281" s="1069"/>
      <c r="JSM281" s="1069"/>
      <c r="JSN281" s="1069"/>
      <c r="JSO281" s="1069"/>
      <c r="JSP281" s="1069"/>
      <c r="JSQ281" s="1069"/>
      <c r="JSR281" s="1069"/>
      <c r="JSS281" s="1069"/>
      <c r="JST281" s="1069"/>
      <c r="JSU281" s="1069"/>
      <c r="JSV281" s="1069"/>
      <c r="JSW281" s="1069"/>
      <c r="JSX281" s="1069"/>
      <c r="JSY281" s="1069"/>
      <c r="JSZ281" s="1069"/>
      <c r="JTA281" s="1069"/>
      <c r="JTB281" s="1069"/>
      <c r="JTC281" s="1069"/>
      <c r="JTD281" s="1069"/>
      <c r="JTE281" s="1069"/>
      <c r="JTF281" s="1069"/>
      <c r="JTG281" s="1069"/>
      <c r="JTH281" s="1069"/>
      <c r="JTI281" s="1069"/>
      <c r="JTJ281" s="1069"/>
      <c r="JTK281" s="1069"/>
      <c r="JTL281" s="1069"/>
      <c r="JTM281" s="1069"/>
      <c r="JTN281" s="1069"/>
      <c r="JTO281" s="1069"/>
      <c r="JTP281" s="1069"/>
      <c r="JTQ281" s="1069"/>
      <c r="JTR281" s="1069"/>
      <c r="JTS281" s="1069"/>
      <c r="JTT281" s="1069"/>
      <c r="JTU281" s="1069"/>
      <c r="JTV281" s="1069"/>
      <c r="JTW281" s="1069"/>
      <c r="JTX281" s="1069"/>
      <c r="JTY281" s="1069"/>
      <c r="JTZ281" s="1069"/>
      <c r="JUA281" s="1069"/>
      <c r="JUB281" s="1069"/>
      <c r="JUC281" s="1069"/>
      <c r="JUD281" s="1069"/>
      <c r="JUE281" s="1069"/>
      <c r="JUF281" s="1069"/>
      <c r="JUG281" s="1069"/>
      <c r="JUH281" s="1069"/>
      <c r="JUI281" s="1069"/>
      <c r="JUJ281" s="1069"/>
      <c r="JUK281" s="1069"/>
      <c r="JUL281" s="1069"/>
      <c r="JUM281" s="1069"/>
      <c r="JUN281" s="1069"/>
      <c r="JUO281" s="1069"/>
      <c r="JUP281" s="1069"/>
      <c r="JUQ281" s="1069"/>
      <c r="JUR281" s="1069"/>
      <c r="JUS281" s="1069"/>
      <c r="JUT281" s="1069"/>
      <c r="JUU281" s="1069"/>
      <c r="JUV281" s="1069"/>
      <c r="JUW281" s="1069"/>
      <c r="JUX281" s="1069"/>
      <c r="JUY281" s="1069"/>
      <c r="JUZ281" s="1069"/>
      <c r="JVA281" s="1069"/>
      <c r="JVB281" s="1069"/>
      <c r="JVC281" s="1069"/>
      <c r="JVD281" s="1069"/>
      <c r="JVE281" s="1069"/>
      <c r="JVF281" s="1069"/>
      <c r="JVG281" s="1069"/>
      <c r="JVH281" s="1069"/>
      <c r="JVI281" s="1069"/>
      <c r="JVJ281" s="1069"/>
      <c r="JVK281" s="1069"/>
      <c r="JVL281" s="1069"/>
      <c r="JVM281" s="1069"/>
      <c r="JVN281" s="1069"/>
      <c r="JVO281" s="1069"/>
      <c r="JVP281" s="1069"/>
      <c r="JVQ281" s="1069"/>
      <c r="JVR281" s="1069"/>
      <c r="JVS281" s="1069"/>
      <c r="JVT281" s="1069"/>
      <c r="JVU281" s="1069"/>
      <c r="JVV281" s="1069"/>
      <c r="JVW281" s="1069"/>
      <c r="JVX281" s="1069"/>
      <c r="JVY281" s="1069"/>
      <c r="JVZ281" s="1069"/>
      <c r="JWA281" s="1069"/>
      <c r="JWB281" s="1069"/>
      <c r="JWC281" s="1069"/>
      <c r="JWD281" s="1069"/>
      <c r="JWE281" s="1069"/>
      <c r="JWF281" s="1069"/>
      <c r="JWG281" s="1069"/>
      <c r="JWH281" s="1069"/>
      <c r="JWI281" s="1069"/>
      <c r="JWJ281" s="1069"/>
      <c r="JWK281" s="1069"/>
      <c r="JWL281" s="1069"/>
      <c r="JWM281" s="1069"/>
      <c r="JWN281" s="1069"/>
      <c r="JWO281" s="1069"/>
      <c r="JWP281" s="1069"/>
      <c r="JWQ281" s="1069"/>
      <c r="JWR281" s="1069"/>
      <c r="JWS281" s="1069"/>
      <c r="JWT281" s="1069"/>
      <c r="JWU281" s="1069"/>
      <c r="JWV281" s="1069"/>
      <c r="JWW281" s="1069"/>
      <c r="JWX281" s="1069"/>
      <c r="JWY281" s="1069"/>
      <c r="JWZ281" s="1069"/>
      <c r="JXA281" s="1069"/>
      <c r="JXB281" s="1069"/>
      <c r="JXC281" s="1069"/>
      <c r="JXD281" s="1069"/>
      <c r="JXE281" s="1069"/>
      <c r="JXF281" s="1069"/>
      <c r="JXG281" s="1069"/>
      <c r="JXH281" s="1069"/>
      <c r="JXI281" s="1069"/>
      <c r="JXJ281" s="1069"/>
      <c r="JXK281" s="1069"/>
      <c r="JXL281" s="1069"/>
      <c r="JXM281" s="1069"/>
      <c r="JXN281" s="1069"/>
      <c r="JXO281" s="1069"/>
      <c r="JXP281" s="1069"/>
      <c r="JXQ281" s="1069"/>
      <c r="JXR281" s="1069"/>
      <c r="JXS281" s="1069"/>
      <c r="JXT281" s="1069"/>
      <c r="JXU281" s="1069"/>
      <c r="JXV281" s="1069"/>
      <c r="JXW281" s="1069"/>
      <c r="JXX281" s="1069"/>
      <c r="JXY281" s="1069"/>
      <c r="JXZ281" s="1069"/>
      <c r="JYA281" s="1069"/>
      <c r="JYB281" s="1069"/>
      <c r="JYC281" s="1069"/>
      <c r="JYD281" s="1069"/>
      <c r="JYE281" s="1069"/>
      <c r="JYF281" s="1069"/>
      <c r="JYG281" s="1069"/>
      <c r="JYH281" s="1069"/>
      <c r="JYI281" s="1069"/>
      <c r="JYJ281" s="1069"/>
      <c r="JYK281" s="1069"/>
      <c r="JYL281" s="1069"/>
      <c r="JYM281" s="1069"/>
      <c r="JYN281" s="1069"/>
      <c r="JYO281" s="1069"/>
      <c r="JYP281" s="1069"/>
      <c r="JYQ281" s="1069"/>
      <c r="JYR281" s="1069"/>
      <c r="JYS281" s="1069"/>
      <c r="JYT281" s="1069"/>
      <c r="JYU281" s="1069"/>
      <c r="JYV281" s="1069"/>
      <c r="JYW281" s="1069"/>
      <c r="JYX281" s="1069"/>
      <c r="JYY281" s="1069"/>
      <c r="JYZ281" s="1069"/>
      <c r="JZA281" s="1069"/>
      <c r="JZB281" s="1069"/>
      <c r="JZC281" s="1069"/>
      <c r="JZD281" s="1069"/>
      <c r="JZE281" s="1069"/>
      <c r="JZF281" s="1069"/>
      <c r="JZG281" s="1069"/>
      <c r="JZH281" s="1069"/>
      <c r="JZI281" s="1069"/>
      <c r="JZJ281" s="1069"/>
      <c r="JZK281" s="1069"/>
      <c r="JZL281" s="1069"/>
      <c r="JZM281" s="1069"/>
      <c r="JZN281" s="1069"/>
      <c r="JZO281" s="1069"/>
      <c r="JZP281" s="1069"/>
      <c r="JZQ281" s="1069"/>
      <c r="JZR281" s="1069"/>
      <c r="JZS281" s="1069"/>
      <c r="JZT281" s="1069"/>
      <c r="JZU281" s="1069"/>
      <c r="JZV281" s="1069"/>
      <c r="JZW281" s="1069"/>
      <c r="JZX281" s="1069"/>
      <c r="JZY281" s="1069"/>
      <c r="JZZ281" s="1069"/>
      <c r="KAA281" s="1069"/>
      <c r="KAB281" s="1069"/>
      <c r="KAC281" s="1069"/>
      <c r="KAD281" s="1069"/>
      <c r="KAE281" s="1069"/>
      <c r="KAF281" s="1069"/>
      <c r="KAG281" s="1069"/>
      <c r="KAH281" s="1069"/>
      <c r="KAI281" s="1069"/>
      <c r="KAJ281" s="1069"/>
      <c r="KAK281" s="1069"/>
      <c r="KAL281" s="1069"/>
      <c r="KAM281" s="1069"/>
      <c r="KAN281" s="1069"/>
      <c r="KAO281" s="1069"/>
      <c r="KAP281" s="1069"/>
      <c r="KAQ281" s="1069"/>
      <c r="KAR281" s="1069"/>
      <c r="KAS281" s="1069"/>
      <c r="KAT281" s="1069"/>
      <c r="KAU281" s="1069"/>
      <c r="KAV281" s="1069"/>
      <c r="KAW281" s="1069"/>
      <c r="KAX281" s="1069"/>
      <c r="KAY281" s="1069"/>
      <c r="KAZ281" s="1069"/>
      <c r="KBA281" s="1069"/>
      <c r="KBB281" s="1069"/>
      <c r="KBC281" s="1069"/>
      <c r="KBD281" s="1069"/>
      <c r="KBE281" s="1069"/>
      <c r="KBF281" s="1069"/>
      <c r="KBG281" s="1069"/>
      <c r="KBH281" s="1069"/>
      <c r="KBI281" s="1069"/>
      <c r="KBJ281" s="1069"/>
      <c r="KBK281" s="1069"/>
      <c r="KBL281" s="1069"/>
      <c r="KBM281" s="1069"/>
      <c r="KBN281" s="1069"/>
      <c r="KBO281" s="1069"/>
      <c r="KBP281" s="1069"/>
      <c r="KBQ281" s="1069"/>
      <c r="KBR281" s="1069"/>
      <c r="KBS281" s="1069"/>
      <c r="KBT281" s="1069"/>
      <c r="KBU281" s="1069"/>
      <c r="KBV281" s="1069"/>
      <c r="KBW281" s="1069"/>
      <c r="KBX281" s="1069"/>
      <c r="KBY281" s="1069"/>
      <c r="KBZ281" s="1069"/>
      <c r="KCA281" s="1069"/>
      <c r="KCB281" s="1069"/>
      <c r="KCC281" s="1069"/>
      <c r="KCD281" s="1069"/>
      <c r="KCE281" s="1069"/>
      <c r="KCF281" s="1069"/>
      <c r="KCG281" s="1069"/>
      <c r="KCH281" s="1069"/>
      <c r="KCI281" s="1069"/>
      <c r="KCJ281" s="1069"/>
      <c r="KCK281" s="1069"/>
      <c r="KCL281" s="1069"/>
      <c r="KCM281" s="1069"/>
      <c r="KCN281" s="1069"/>
      <c r="KCO281" s="1069"/>
      <c r="KCP281" s="1069"/>
      <c r="KCQ281" s="1069"/>
      <c r="KCR281" s="1069"/>
      <c r="KCS281" s="1069"/>
      <c r="KCT281" s="1069"/>
      <c r="KCU281" s="1069"/>
      <c r="KCV281" s="1069"/>
      <c r="KCW281" s="1069"/>
      <c r="KCX281" s="1069"/>
      <c r="KCY281" s="1069"/>
      <c r="KCZ281" s="1069"/>
      <c r="KDA281" s="1069"/>
      <c r="KDB281" s="1069"/>
      <c r="KDC281" s="1069"/>
      <c r="KDD281" s="1069"/>
      <c r="KDE281" s="1069"/>
      <c r="KDF281" s="1069"/>
      <c r="KDG281" s="1069"/>
      <c r="KDH281" s="1069"/>
      <c r="KDI281" s="1069"/>
      <c r="KDJ281" s="1069"/>
      <c r="KDK281" s="1069"/>
      <c r="KDL281" s="1069"/>
      <c r="KDM281" s="1069"/>
      <c r="KDN281" s="1069"/>
      <c r="KDO281" s="1069"/>
      <c r="KDP281" s="1069"/>
      <c r="KDQ281" s="1069"/>
      <c r="KDR281" s="1069"/>
      <c r="KDS281" s="1069"/>
      <c r="KDT281" s="1069"/>
      <c r="KDU281" s="1069"/>
      <c r="KDV281" s="1069"/>
      <c r="KDW281" s="1069"/>
      <c r="KDX281" s="1069"/>
      <c r="KDY281" s="1069"/>
      <c r="KDZ281" s="1069"/>
      <c r="KEA281" s="1069"/>
      <c r="KEB281" s="1069"/>
      <c r="KEC281" s="1069"/>
      <c r="KED281" s="1069"/>
      <c r="KEE281" s="1069"/>
      <c r="KEF281" s="1069"/>
      <c r="KEG281" s="1069"/>
      <c r="KEH281" s="1069"/>
      <c r="KEI281" s="1069"/>
      <c r="KEJ281" s="1069"/>
      <c r="KEK281" s="1069"/>
      <c r="KEL281" s="1069"/>
      <c r="KEM281" s="1069"/>
      <c r="KEN281" s="1069"/>
      <c r="KEO281" s="1069"/>
      <c r="KEP281" s="1069"/>
      <c r="KEQ281" s="1069"/>
      <c r="KER281" s="1069"/>
      <c r="KES281" s="1069"/>
      <c r="KET281" s="1069"/>
      <c r="KEU281" s="1069"/>
      <c r="KEV281" s="1069"/>
      <c r="KEW281" s="1069"/>
      <c r="KEX281" s="1069"/>
      <c r="KEY281" s="1069"/>
      <c r="KEZ281" s="1069"/>
      <c r="KFA281" s="1069"/>
      <c r="KFB281" s="1069"/>
      <c r="KFC281" s="1069"/>
      <c r="KFD281" s="1069"/>
      <c r="KFE281" s="1069"/>
      <c r="KFF281" s="1069"/>
      <c r="KFG281" s="1069"/>
      <c r="KFH281" s="1069"/>
      <c r="KFI281" s="1069"/>
      <c r="KFJ281" s="1069"/>
      <c r="KFK281" s="1069"/>
      <c r="KFL281" s="1069"/>
      <c r="KFM281" s="1069"/>
      <c r="KFN281" s="1069"/>
      <c r="KFO281" s="1069"/>
      <c r="KFP281" s="1069"/>
      <c r="KFQ281" s="1069"/>
      <c r="KFR281" s="1069"/>
      <c r="KFS281" s="1069"/>
      <c r="KFT281" s="1069"/>
      <c r="KFU281" s="1069"/>
      <c r="KFV281" s="1069"/>
      <c r="KFW281" s="1069"/>
      <c r="KFX281" s="1069"/>
      <c r="KFY281" s="1069"/>
      <c r="KFZ281" s="1069"/>
      <c r="KGA281" s="1069"/>
      <c r="KGB281" s="1069"/>
      <c r="KGC281" s="1069"/>
      <c r="KGD281" s="1069"/>
      <c r="KGE281" s="1069"/>
      <c r="KGF281" s="1069"/>
      <c r="KGG281" s="1069"/>
      <c r="KGH281" s="1069"/>
      <c r="KGI281" s="1069"/>
      <c r="KGJ281" s="1069"/>
      <c r="KGK281" s="1069"/>
      <c r="KGL281" s="1069"/>
      <c r="KGM281" s="1069"/>
      <c r="KGN281" s="1069"/>
      <c r="KGO281" s="1069"/>
      <c r="KGP281" s="1069"/>
      <c r="KGQ281" s="1069"/>
      <c r="KGR281" s="1069"/>
      <c r="KGS281" s="1069"/>
      <c r="KGT281" s="1069"/>
      <c r="KGU281" s="1069"/>
      <c r="KGV281" s="1069"/>
      <c r="KGW281" s="1069"/>
      <c r="KGX281" s="1069"/>
      <c r="KGY281" s="1069"/>
      <c r="KGZ281" s="1069"/>
      <c r="KHA281" s="1069"/>
      <c r="KHB281" s="1069"/>
      <c r="KHC281" s="1069"/>
      <c r="KHD281" s="1069"/>
      <c r="KHE281" s="1069"/>
      <c r="KHF281" s="1069"/>
      <c r="KHG281" s="1069"/>
      <c r="KHH281" s="1069"/>
      <c r="KHI281" s="1069"/>
      <c r="KHJ281" s="1069"/>
      <c r="KHK281" s="1069"/>
      <c r="KHL281" s="1069"/>
      <c r="KHM281" s="1069"/>
      <c r="KHN281" s="1069"/>
      <c r="KHO281" s="1069"/>
      <c r="KHP281" s="1069"/>
      <c r="KHQ281" s="1069"/>
      <c r="KHR281" s="1069"/>
      <c r="KHS281" s="1069"/>
      <c r="KHT281" s="1069"/>
      <c r="KHU281" s="1069"/>
      <c r="KHV281" s="1069"/>
      <c r="KHW281" s="1069"/>
      <c r="KHX281" s="1069"/>
      <c r="KHY281" s="1069"/>
      <c r="KHZ281" s="1069"/>
      <c r="KIA281" s="1069"/>
      <c r="KIB281" s="1069"/>
      <c r="KIC281" s="1069"/>
      <c r="KID281" s="1069"/>
      <c r="KIE281" s="1069"/>
      <c r="KIF281" s="1069"/>
      <c r="KIG281" s="1069"/>
      <c r="KIH281" s="1069"/>
      <c r="KII281" s="1069"/>
      <c r="KIJ281" s="1069"/>
      <c r="KIK281" s="1069"/>
      <c r="KIL281" s="1069"/>
      <c r="KIM281" s="1069"/>
      <c r="KIN281" s="1069"/>
      <c r="KIO281" s="1069"/>
      <c r="KIP281" s="1069"/>
      <c r="KIQ281" s="1069"/>
      <c r="KIR281" s="1069"/>
      <c r="KIS281" s="1069"/>
      <c r="KIT281" s="1069"/>
      <c r="KIU281" s="1069"/>
      <c r="KIV281" s="1069"/>
      <c r="KIW281" s="1069"/>
      <c r="KIX281" s="1069"/>
      <c r="KIY281" s="1069"/>
      <c r="KIZ281" s="1069"/>
      <c r="KJA281" s="1069"/>
      <c r="KJB281" s="1069"/>
      <c r="KJC281" s="1069"/>
      <c r="KJD281" s="1069"/>
      <c r="KJE281" s="1069"/>
      <c r="KJF281" s="1069"/>
      <c r="KJG281" s="1069"/>
      <c r="KJH281" s="1069"/>
      <c r="KJI281" s="1069"/>
      <c r="KJJ281" s="1069"/>
      <c r="KJK281" s="1069"/>
      <c r="KJL281" s="1069"/>
      <c r="KJM281" s="1069"/>
      <c r="KJN281" s="1069"/>
      <c r="KJO281" s="1069"/>
      <c r="KJP281" s="1069"/>
      <c r="KJQ281" s="1069"/>
      <c r="KJR281" s="1069"/>
      <c r="KJS281" s="1069"/>
      <c r="KJT281" s="1069"/>
      <c r="KJU281" s="1069"/>
      <c r="KJV281" s="1069"/>
      <c r="KJW281" s="1069"/>
      <c r="KJX281" s="1069"/>
      <c r="KJY281" s="1069"/>
      <c r="KJZ281" s="1069"/>
      <c r="KKA281" s="1069"/>
      <c r="KKB281" s="1069"/>
      <c r="KKC281" s="1069"/>
      <c r="KKD281" s="1069"/>
      <c r="KKE281" s="1069"/>
      <c r="KKF281" s="1069"/>
      <c r="KKG281" s="1069"/>
      <c r="KKH281" s="1069"/>
      <c r="KKI281" s="1069"/>
      <c r="KKJ281" s="1069"/>
      <c r="KKK281" s="1069"/>
      <c r="KKL281" s="1069"/>
      <c r="KKM281" s="1069"/>
      <c r="KKN281" s="1069"/>
      <c r="KKO281" s="1069"/>
      <c r="KKP281" s="1069"/>
      <c r="KKQ281" s="1069"/>
      <c r="KKR281" s="1069"/>
      <c r="KKS281" s="1069"/>
      <c r="KKT281" s="1069"/>
      <c r="KKU281" s="1069"/>
      <c r="KKV281" s="1069"/>
      <c r="KKW281" s="1069"/>
      <c r="KKX281" s="1069"/>
      <c r="KKY281" s="1069"/>
      <c r="KKZ281" s="1069"/>
      <c r="KLA281" s="1069"/>
      <c r="KLB281" s="1069"/>
      <c r="KLC281" s="1069"/>
      <c r="KLD281" s="1069"/>
      <c r="KLE281" s="1069"/>
      <c r="KLF281" s="1069"/>
      <c r="KLG281" s="1069"/>
      <c r="KLH281" s="1069"/>
      <c r="KLI281" s="1069"/>
      <c r="KLJ281" s="1069"/>
      <c r="KLK281" s="1069"/>
      <c r="KLL281" s="1069"/>
      <c r="KLM281" s="1069"/>
      <c r="KLN281" s="1069"/>
      <c r="KLO281" s="1069"/>
      <c r="KLP281" s="1069"/>
      <c r="KLQ281" s="1069"/>
      <c r="KLR281" s="1069"/>
      <c r="KLS281" s="1069"/>
      <c r="KLT281" s="1069"/>
      <c r="KLU281" s="1069"/>
      <c r="KLV281" s="1069"/>
      <c r="KLW281" s="1069"/>
      <c r="KLX281" s="1069"/>
      <c r="KLY281" s="1069"/>
      <c r="KLZ281" s="1069"/>
      <c r="KMA281" s="1069"/>
      <c r="KMB281" s="1069"/>
      <c r="KMC281" s="1069"/>
      <c r="KMD281" s="1069"/>
      <c r="KME281" s="1069"/>
      <c r="KMF281" s="1069"/>
      <c r="KMG281" s="1069"/>
      <c r="KMH281" s="1069"/>
      <c r="KMI281" s="1069"/>
      <c r="KMJ281" s="1069"/>
      <c r="KMK281" s="1069"/>
      <c r="KML281" s="1069"/>
      <c r="KMM281" s="1069"/>
      <c r="KMN281" s="1069"/>
      <c r="KMO281" s="1069"/>
      <c r="KMP281" s="1069"/>
      <c r="KMQ281" s="1069"/>
      <c r="KMR281" s="1069"/>
      <c r="KMS281" s="1069"/>
      <c r="KMT281" s="1069"/>
      <c r="KMU281" s="1069"/>
      <c r="KMV281" s="1069"/>
      <c r="KMW281" s="1069"/>
      <c r="KMX281" s="1069"/>
      <c r="KMY281" s="1069"/>
      <c r="KMZ281" s="1069"/>
      <c r="KNA281" s="1069"/>
      <c r="KNB281" s="1069"/>
      <c r="KNC281" s="1069"/>
      <c r="KND281" s="1069"/>
      <c r="KNE281" s="1069"/>
      <c r="KNF281" s="1069"/>
      <c r="KNG281" s="1069"/>
      <c r="KNH281" s="1069"/>
      <c r="KNI281" s="1069"/>
      <c r="KNJ281" s="1069"/>
      <c r="KNK281" s="1069"/>
      <c r="KNL281" s="1069"/>
      <c r="KNM281" s="1069"/>
      <c r="KNN281" s="1069"/>
      <c r="KNO281" s="1069"/>
      <c r="KNP281" s="1069"/>
      <c r="KNQ281" s="1069"/>
      <c r="KNR281" s="1069"/>
      <c r="KNS281" s="1069"/>
      <c r="KNT281" s="1069"/>
      <c r="KNU281" s="1069"/>
      <c r="KNV281" s="1069"/>
      <c r="KNW281" s="1069"/>
      <c r="KNX281" s="1069"/>
      <c r="KNY281" s="1069"/>
      <c r="KNZ281" s="1069"/>
      <c r="KOA281" s="1069"/>
      <c r="KOB281" s="1069"/>
      <c r="KOC281" s="1069"/>
      <c r="KOD281" s="1069"/>
      <c r="KOE281" s="1069"/>
      <c r="KOF281" s="1069"/>
      <c r="KOG281" s="1069"/>
      <c r="KOH281" s="1069"/>
      <c r="KOI281" s="1069"/>
      <c r="KOJ281" s="1069"/>
      <c r="KOK281" s="1069"/>
      <c r="KOL281" s="1069"/>
      <c r="KOM281" s="1069"/>
      <c r="KON281" s="1069"/>
      <c r="KOO281" s="1069"/>
      <c r="KOP281" s="1069"/>
      <c r="KOQ281" s="1069"/>
      <c r="KOR281" s="1069"/>
      <c r="KOS281" s="1069"/>
      <c r="KOT281" s="1069"/>
      <c r="KOU281" s="1069"/>
      <c r="KOV281" s="1069"/>
      <c r="KOW281" s="1069"/>
      <c r="KOX281" s="1069"/>
      <c r="KOY281" s="1069"/>
      <c r="KOZ281" s="1069"/>
      <c r="KPA281" s="1069"/>
      <c r="KPB281" s="1069"/>
      <c r="KPC281" s="1069"/>
      <c r="KPD281" s="1069"/>
      <c r="KPE281" s="1069"/>
      <c r="KPF281" s="1069"/>
      <c r="KPG281" s="1069"/>
      <c r="KPH281" s="1069"/>
      <c r="KPI281" s="1069"/>
      <c r="KPJ281" s="1069"/>
      <c r="KPK281" s="1069"/>
      <c r="KPL281" s="1069"/>
      <c r="KPM281" s="1069"/>
      <c r="KPN281" s="1069"/>
      <c r="KPO281" s="1069"/>
      <c r="KPP281" s="1069"/>
      <c r="KPQ281" s="1069"/>
      <c r="KPR281" s="1069"/>
      <c r="KPS281" s="1069"/>
      <c r="KPT281" s="1069"/>
      <c r="KPU281" s="1069"/>
      <c r="KPV281" s="1069"/>
      <c r="KPW281" s="1069"/>
      <c r="KPX281" s="1069"/>
      <c r="KPY281" s="1069"/>
      <c r="KPZ281" s="1069"/>
      <c r="KQA281" s="1069"/>
      <c r="KQB281" s="1069"/>
      <c r="KQC281" s="1069"/>
      <c r="KQD281" s="1069"/>
      <c r="KQE281" s="1069"/>
      <c r="KQF281" s="1069"/>
      <c r="KQG281" s="1069"/>
      <c r="KQH281" s="1069"/>
      <c r="KQI281" s="1069"/>
      <c r="KQJ281" s="1069"/>
      <c r="KQK281" s="1069"/>
      <c r="KQL281" s="1069"/>
      <c r="KQM281" s="1069"/>
      <c r="KQN281" s="1069"/>
      <c r="KQO281" s="1069"/>
      <c r="KQP281" s="1069"/>
      <c r="KQQ281" s="1069"/>
      <c r="KQR281" s="1069"/>
      <c r="KQS281" s="1069"/>
      <c r="KQT281" s="1069"/>
      <c r="KQU281" s="1069"/>
      <c r="KQV281" s="1069"/>
      <c r="KQW281" s="1069"/>
      <c r="KQX281" s="1069"/>
      <c r="KQY281" s="1069"/>
      <c r="KQZ281" s="1069"/>
      <c r="KRA281" s="1069"/>
      <c r="KRB281" s="1069"/>
      <c r="KRC281" s="1069"/>
      <c r="KRD281" s="1069"/>
      <c r="KRE281" s="1069"/>
      <c r="KRF281" s="1069"/>
      <c r="KRG281" s="1069"/>
      <c r="KRH281" s="1069"/>
      <c r="KRI281" s="1069"/>
      <c r="KRJ281" s="1069"/>
      <c r="KRK281" s="1069"/>
      <c r="KRL281" s="1069"/>
      <c r="KRM281" s="1069"/>
      <c r="KRN281" s="1069"/>
      <c r="KRO281" s="1069"/>
      <c r="KRP281" s="1069"/>
      <c r="KRQ281" s="1069"/>
      <c r="KRR281" s="1069"/>
      <c r="KRS281" s="1069"/>
      <c r="KRT281" s="1069"/>
      <c r="KRU281" s="1069"/>
      <c r="KRV281" s="1069"/>
      <c r="KRW281" s="1069"/>
      <c r="KRX281" s="1069"/>
      <c r="KRY281" s="1069"/>
      <c r="KRZ281" s="1069"/>
      <c r="KSA281" s="1069"/>
      <c r="KSB281" s="1069"/>
      <c r="KSC281" s="1069"/>
      <c r="KSD281" s="1069"/>
      <c r="KSE281" s="1069"/>
      <c r="KSF281" s="1069"/>
      <c r="KSG281" s="1069"/>
      <c r="KSH281" s="1069"/>
      <c r="KSI281" s="1069"/>
      <c r="KSJ281" s="1069"/>
      <c r="KSK281" s="1069"/>
      <c r="KSL281" s="1069"/>
      <c r="KSM281" s="1069"/>
      <c r="KSN281" s="1069"/>
      <c r="KSO281" s="1069"/>
      <c r="KSP281" s="1069"/>
      <c r="KSQ281" s="1069"/>
      <c r="KSR281" s="1069"/>
      <c r="KSS281" s="1069"/>
      <c r="KST281" s="1069"/>
      <c r="KSU281" s="1069"/>
      <c r="KSV281" s="1069"/>
      <c r="KSW281" s="1069"/>
      <c r="KSX281" s="1069"/>
      <c r="KSY281" s="1069"/>
      <c r="KSZ281" s="1069"/>
      <c r="KTA281" s="1069"/>
      <c r="KTB281" s="1069"/>
      <c r="KTC281" s="1069"/>
      <c r="KTD281" s="1069"/>
      <c r="KTE281" s="1069"/>
      <c r="KTF281" s="1069"/>
      <c r="KTG281" s="1069"/>
      <c r="KTH281" s="1069"/>
      <c r="KTI281" s="1069"/>
      <c r="KTJ281" s="1069"/>
      <c r="KTK281" s="1069"/>
      <c r="KTL281" s="1069"/>
      <c r="KTM281" s="1069"/>
      <c r="KTN281" s="1069"/>
      <c r="KTO281" s="1069"/>
      <c r="KTP281" s="1069"/>
      <c r="KTQ281" s="1069"/>
      <c r="KTR281" s="1069"/>
      <c r="KTS281" s="1069"/>
      <c r="KTT281" s="1069"/>
      <c r="KTU281" s="1069"/>
      <c r="KTV281" s="1069"/>
      <c r="KTW281" s="1069"/>
      <c r="KTX281" s="1069"/>
      <c r="KTY281" s="1069"/>
      <c r="KTZ281" s="1069"/>
      <c r="KUA281" s="1069"/>
      <c r="KUB281" s="1069"/>
      <c r="KUC281" s="1069"/>
      <c r="KUD281" s="1069"/>
      <c r="KUE281" s="1069"/>
      <c r="KUF281" s="1069"/>
      <c r="KUG281" s="1069"/>
      <c r="KUH281" s="1069"/>
      <c r="KUI281" s="1069"/>
      <c r="KUJ281" s="1069"/>
      <c r="KUK281" s="1069"/>
      <c r="KUL281" s="1069"/>
      <c r="KUM281" s="1069"/>
      <c r="KUN281" s="1069"/>
      <c r="KUO281" s="1069"/>
      <c r="KUP281" s="1069"/>
      <c r="KUQ281" s="1069"/>
      <c r="KUR281" s="1069"/>
      <c r="KUS281" s="1069"/>
      <c r="KUT281" s="1069"/>
      <c r="KUU281" s="1069"/>
      <c r="KUV281" s="1069"/>
      <c r="KUW281" s="1069"/>
      <c r="KUX281" s="1069"/>
      <c r="KUY281" s="1069"/>
      <c r="KUZ281" s="1069"/>
      <c r="KVA281" s="1069"/>
      <c r="KVB281" s="1069"/>
      <c r="KVC281" s="1069"/>
      <c r="KVD281" s="1069"/>
      <c r="KVE281" s="1069"/>
      <c r="KVF281" s="1069"/>
      <c r="KVG281" s="1069"/>
      <c r="KVH281" s="1069"/>
      <c r="KVI281" s="1069"/>
      <c r="KVJ281" s="1069"/>
      <c r="KVK281" s="1069"/>
      <c r="KVL281" s="1069"/>
      <c r="KVM281" s="1069"/>
      <c r="KVN281" s="1069"/>
      <c r="KVO281" s="1069"/>
      <c r="KVP281" s="1069"/>
      <c r="KVQ281" s="1069"/>
      <c r="KVR281" s="1069"/>
      <c r="KVS281" s="1069"/>
      <c r="KVT281" s="1069"/>
      <c r="KVU281" s="1069"/>
      <c r="KVV281" s="1069"/>
      <c r="KVW281" s="1069"/>
      <c r="KVX281" s="1069"/>
      <c r="KVY281" s="1069"/>
      <c r="KVZ281" s="1069"/>
      <c r="KWA281" s="1069"/>
      <c r="KWB281" s="1069"/>
      <c r="KWC281" s="1069"/>
      <c r="KWD281" s="1069"/>
      <c r="KWE281" s="1069"/>
      <c r="KWF281" s="1069"/>
      <c r="KWG281" s="1069"/>
      <c r="KWH281" s="1069"/>
      <c r="KWI281" s="1069"/>
      <c r="KWJ281" s="1069"/>
      <c r="KWK281" s="1069"/>
      <c r="KWL281" s="1069"/>
      <c r="KWM281" s="1069"/>
      <c r="KWN281" s="1069"/>
      <c r="KWO281" s="1069"/>
      <c r="KWP281" s="1069"/>
      <c r="KWQ281" s="1069"/>
      <c r="KWR281" s="1069"/>
      <c r="KWS281" s="1069"/>
      <c r="KWT281" s="1069"/>
      <c r="KWU281" s="1069"/>
      <c r="KWV281" s="1069"/>
      <c r="KWW281" s="1069"/>
      <c r="KWX281" s="1069"/>
      <c r="KWY281" s="1069"/>
      <c r="KWZ281" s="1069"/>
      <c r="KXA281" s="1069"/>
      <c r="KXB281" s="1069"/>
      <c r="KXC281" s="1069"/>
      <c r="KXD281" s="1069"/>
      <c r="KXE281" s="1069"/>
      <c r="KXF281" s="1069"/>
      <c r="KXG281" s="1069"/>
      <c r="KXH281" s="1069"/>
      <c r="KXI281" s="1069"/>
      <c r="KXJ281" s="1069"/>
      <c r="KXK281" s="1069"/>
      <c r="KXL281" s="1069"/>
      <c r="KXM281" s="1069"/>
      <c r="KXN281" s="1069"/>
      <c r="KXO281" s="1069"/>
      <c r="KXP281" s="1069"/>
      <c r="KXQ281" s="1069"/>
      <c r="KXR281" s="1069"/>
      <c r="KXS281" s="1069"/>
      <c r="KXT281" s="1069"/>
      <c r="KXU281" s="1069"/>
      <c r="KXV281" s="1069"/>
      <c r="KXW281" s="1069"/>
      <c r="KXX281" s="1069"/>
      <c r="KXY281" s="1069"/>
      <c r="KXZ281" s="1069"/>
      <c r="KYA281" s="1069"/>
      <c r="KYB281" s="1069"/>
      <c r="KYC281" s="1069"/>
      <c r="KYD281" s="1069"/>
      <c r="KYE281" s="1069"/>
      <c r="KYF281" s="1069"/>
      <c r="KYG281" s="1069"/>
      <c r="KYH281" s="1069"/>
      <c r="KYI281" s="1069"/>
      <c r="KYJ281" s="1069"/>
      <c r="KYK281" s="1069"/>
      <c r="KYL281" s="1069"/>
      <c r="KYM281" s="1069"/>
      <c r="KYN281" s="1069"/>
      <c r="KYO281" s="1069"/>
      <c r="KYP281" s="1069"/>
      <c r="KYQ281" s="1069"/>
      <c r="KYR281" s="1069"/>
      <c r="KYS281" s="1069"/>
      <c r="KYT281" s="1069"/>
      <c r="KYU281" s="1069"/>
      <c r="KYV281" s="1069"/>
      <c r="KYW281" s="1069"/>
      <c r="KYX281" s="1069"/>
      <c r="KYY281" s="1069"/>
      <c r="KYZ281" s="1069"/>
      <c r="KZA281" s="1069"/>
      <c r="KZB281" s="1069"/>
      <c r="KZC281" s="1069"/>
      <c r="KZD281" s="1069"/>
      <c r="KZE281" s="1069"/>
      <c r="KZF281" s="1069"/>
      <c r="KZG281" s="1069"/>
      <c r="KZH281" s="1069"/>
      <c r="KZI281" s="1069"/>
      <c r="KZJ281" s="1069"/>
      <c r="KZK281" s="1069"/>
      <c r="KZL281" s="1069"/>
      <c r="KZM281" s="1069"/>
      <c r="KZN281" s="1069"/>
      <c r="KZO281" s="1069"/>
      <c r="KZP281" s="1069"/>
      <c r="KZQ281" s="1069"/>
      <c r="KZR281" s="1069"/>
      <c r="KZS281" s="1069"/>
      <c r="KZT281" s="1069"/>
      <c r="KZU281" s="1069"/>
      <c r="KZV281" s="1069"/>
      <c r="KZW281" s="1069"/>
      <c r="KZX281" s="1069"/>
      <c r="KZY281" s="1069"/>
      <c r="KZZ281" s="1069"/>
      <c r="LAA281" s="1069"/>
      <c r="LAB281" s="1069"/>
      <c r="LAC281" s="1069"/>
      <c r="LAD281" s="1069"/>
      <c r="LAE281" s="1069"/>
      <c r="LAF281" s="1069"/>
      <c r="LAG281" s="1069"/>
      <c r="LAH281" s="1069"/>
      <c r="LAI281" s="1069"/>
      <c r="LAJ281" s="1069"/>
      <c r="LAK281" s="1069"/>
      <c r="LAL281" s="1069"/>
      <c r="LAM281" s="1069"/>
      <c r="LAN281" s="1069"/>
      <c r="LAO281" s="1069"/>
      <c r="LAP281" s="1069"/>
      <c r="LAQ281" s="1069"/>
      <c r="LAR281" s="1069"/>
      <c r="LAS281" s="1069"/>
      <c r="LAT281" s="1069"/>
      <c r="LAU281" s="1069"/>
      <c r="LAV281" s="1069"/>
      <c r="LAW281" s="1069"/>
      <c r="LAX281" s="1069"/>
      <c r="LAY281" s="1069"/>
      <c r="LAZ281" s="1069"/>
      <c r="LBA281" s="1069"/>
      <c r="LBB281" s="1069"/>
      <c r="LBC281" s="1069"/>
      <c r="LBD281" s="1069"/>
      <c r="LBE281" s="1069"/>
      <c r="LBF281" s="1069"/>
      <c r="LBG281" s="1069"/>
      <c r="LBH281" s="1069"/>
      <c r="LBI281" s="1069"/>
      <c r="LBJ281" s="1069"/>
      <c r="LBK281" s="1069"/>
      <c r="LBL281" s="1069"/>
      <c r="LBM281" s="1069"/>
      <c r="LBN281" s="1069"/>
      <c r="LBO281" s="1069"/>
      <c r="LBP281" s="1069"/>
      <c r="LBQ281" s="1069"/>
      <c r="LBR281" s="1069"/>
      <c r="LBS281" s="1069"/>
      <c r="LBT281" s="1069"/>
      <c r="LBU281" s="1069"/>
      <c r="LBV281" s="1069"/>
      <c r="LBW281" s="1069"/>
      <c r="LBX281" s="1069"/>
      <c r="LBY281" s="1069"/>
      <c r="LBZ281" s="1069"/>
      <c r="LCA281" s="1069"/>
      <c r="LCB281" s="1069"/>
      <c r="LCC281" s="1069"/>
      <c r="LCD281" s="1069"/>
      <c r="LCE281" s="1069"/>
      <c r="LCF281" s="1069"/>
      <c r="LCG281" s="1069"/>
      <c r="LCH281" s="1069"/>
      <c r="LCI281" s="1069"/>
      <c r="LCJ281" s="1069"/>
      <c r="LCK281" s="1069"/>
      <c r="LCL281" s="1069"/>
      <c r="LCM281" s="1069"/>
      <c r="LCN281" s="1069"/>
      <c r="LCO281" s="1069"/>
      <c r="LCP281" s="1069"/>
      <c r="LCQ281" s="1069"/>
      <c r="LCR281" s="1069"/>
      <c r="LCS281" s="1069"/>
      <c r="LCT281" s="1069"/>
      <c r="LCU281" s="1069"/>
      <c r="LCV281" s="1069"/>
      <c r="LCW281" s="1069"/>
      <c r="LCX281" s="1069"/>
      <c r="LCY281" s="1069"/>
      <c r="LCZ281" s="1069"/>
      <c r="LDA281" s="1069"/>
      <c r="LDB281" s="1069"/>
      <c r="LDC281" s="1069"/>
      <c r="LDD281" s="1069"/>
      <c r="LDE281" s="1069"/>
      <c r="LDF281" s="1069"/>
      <c r="LDG281" s="1069"/>
      <c r="LDH281" s="1069"/>
      <c r="LDI281" s="1069"/>
      <c r="LDJ281" s="1069"/>
      <c r="LDK281" s="1069"/>
      <c r="LDL281" s="1069"/>
      <c r="LDM281" s="1069"/>
      <c r="LDN281" s="1069"/>
      <c r="LDO281" s="1069"/>
      <c r="LDP281" s="1069"/>
      <c r="LDQ281" s="1069"/>
      <c r="LDR281" s="1069"/>
      <c r="LDS281" s="1069"/>
      <c r="LDT281" s="1069"/>
      <c r="LDU281" s="1069"/>
      <c r="LDV281" s="1069"/>
      <c r="LDW281" s="1069"/>
      <c r="LDX281" s="1069"/>
      <c r="LDY281" s="1069"/>
      <c r="LDZ281" s="1069"/>
      <c r="LEA281" s="1069"/>
      <c r="LEB281" s="1069"/>
      <c r="LEC281" s="1069"/>
      <c r="LED281" s="1069"/>
      <c r="LEE281" s="1069"/>
      <c r="LEF281" s="1069"/>
      <c r="LEG281" s="1069"/>
      <c r="LEH281" s="1069"/>
      <c r="LEI281" s="1069"/>
      <c r="LEJ281" s="1069"/>
      <c r="LEK281" s="1069"/>
      <c r="LEL281" s="1069"/>
      <c r="LEM281" s="1069"/>
      <c r="LEN281" s="1069"/>
      <c r="LEO281" s="1069"/>
      <c r="LEP281" s="1069"/>
      <c r="LEQ281" s="1069"/>
      <c r="LER281" s="1069"/>
      <c r="LES281" s="1069"/>
      <c r="LET281" s="1069"/>
      <c r="LEU281" s="1069"/>
      <c r="LEV281" s="1069"/>
      <c r="LEW281" s="1069"/>
      <c r="LEX281" s="1069"/>
      <c r="LEY281" s="1069"/>
      <c r="LEZ281" s="1069"/>
      <c r="LFA281" s="1069"/>
      <c r="LFB281" s="1069"/>
      <c r="LFC281" s="1069"/>
      <c r="LFD281" s="1069"/>
      <c r="LFE281" s="1069"/>
      <c r="LFF281" s="1069"/>
      <c r="LFG281" s="1069"/>
      <c r="LFH281" s="1069"/>
      <c r="LFI281" s="1069"/>
      <c r="LFJ281" s="1069"/>
      <c r="LFK281" s="1069"/>
      <c r="LFL281" s="1069"/>
      <c r="LFM281" s="1069"/>
      <c r="LFN281" s="1069"/>
      <c r="LFO281" s="1069"/>
      <c r="LFP281" s="1069"/>
      <c r="LFQ281" s="1069"/>
      <c r="LFR281" s="1069"/>
      <c r="LFS281" s="1069"/>
      <c r="LFT281" s="1069"/>
      <c r="LFU281" s="1069"/>
      <c r="LFV281" s="1069"/>
      <c r="LFW281" s="1069"/>
      <c r="LFX281" s="1069"/>
      <c r="LFY281" s="1069"/>
      <c r="LFZ281" s="1069"/>
      <c r="LGA281" s="1069"/>
      <c r="LGB281" s="1069"/>
      <c r="LGC281" s="1069"/>
      <c r="LGD281" s="1069"/>
      <c r="LGE281" s="1069"/>
      <c r="LGF281" s="1069"/>
      <c r="LGG281" s="1069"/>
      <c r="LGH281" s="1069"/>
      <c r="LGI281" s="1069"/>
      <c r="LGJ281" s="1069"/>
      <c r="LGK281" s="1069"/>
      <c r="LGL281" s="1069"/>
      <c r="LGM281" s="1069"/>
      <c r="LGN281" s="1069"/>
      <c r="LGO281" s="1069"/>
      <c r="LGP281" s="1069"/>
      <c r="LGQ281" s="1069"/>
      <c r="LGR281" s="1069"/>
      <c r="LGS281" s="1069"/>
      <c r="LGT281" s="1069"/>
      <c r="LGU281" s="1069"/>
      <c r="LGV281" s="1069"/>
      <c r="LGW281" s="1069"/>
      <c r="LGX281" s="1069"/>
      <c r="LGY281" s="1069"/>
      <c r="LGZ281" s="1069"/>
      <c r="LHA281" s="1069"/>
      <c r="LHB281" s="1069"/>
      <c r="LHC281" s="1069"/>
      <c r="LHD281" s="1069"/>
      <c r="LHE281" s="1069"/>
      <c r="LHF281" s="1069"/>
      <c r="LHG281" s="1069"/>
      <c r="LHH281" s="1069"/>
      <c r="LHI281" s="1069"/>
      <c r="LHJ281" s="1069"/>
      <c r="LHK281" s="1069"/>
      <c r="LHL281" s="1069"/>
      <c r="LHM281" s="1069"/>
      <c r="LHN281" s="1069"/>
      <c r="LHO281" s="1069"/>
      <c r="LHP281" s="1069"/>
      <c r="LHQ281" s="1069"/>
      <c r="LHR281" s="1069"/>
      <c r="LHS281" s="1069"/>
      <c r="LHT281" s="1069"/>
      <c r="LHU281" s="1069"/>
      <c r="LHV281" s="1069"/>
      <c r="LHW281" s="1069"/>
      <c r="LHX281" s="1069"/>
      <c r="LHY281" s="1069"/>
      <c r="LHZ281" s="1069"/>
      <c r="LIA281" s="1069"/>
      <c r="LIB281" s="1069"/>
      <c r="LIC281" s="1069"/>
      <c r="LID281" s="1069"/>
      <c r="LIE281" s="1069"/>
      <c r="LIF281" s="1069"/>
      <c r="LIG281" s="1069"/>
      <c r="LIH281" s="1069"/>
      <c r="LII281" s="1069"/>
      <c r="LIJ281" s="1069"/>
      <c r="LIK281" s="1069"/>
      <c r="LIL281" s="1069"/>
      <c r="LIM281" s="1069"/>
      <c r="LIN281" s="1069"/>
      <c r="LIO281" s="1069"/>
      <c r="LIP281" s="1069"/>
      <c r="LIQ281" s="1069"/>
      <c r="LIR281" s="1069"/>
      <c r="LIS281" s="1069"/>
      <c r="LIT281" s="1069"/>
      <c r="LIU281" s="1069"/>
      <c r="LIV281" s="1069"/>
      <c r="LIW281" s="1069"/>
      <c r="LIX281" s="1069"/>
      <c r="LIY281" s="1069"/>
      <c r="LIZ281" s="1069"/>
      <c r="LJA281" s="1069"/>
      <c r="LJB281" s="1069"/>
      <c r="LJC281" s="1069"/>
      <c r="LJD281" s="1069"/>
      <c r="LJE281" s="1069"/>
      <c r="LJF281" s="1069"/>
      <c r="LJG281" s="1069"/>
      <c r="LJH281" s="1069"/>
      <c r="LJI281" s="1069"/>
      <c r="LJJ281" s="1069"/>
      <c r="LJK281" s="1069"/>
      <c r="LJL281" s="1069"/>
      <c r="LJM281" s="1069"/>
      <c r="LJN281" s="1069"/>
      <c r="LJO281" s="1069"/>
      <c r="LJP281" s="1069"/>
      <c r="LJQ281" s="1069"/>
      <c r="LJR281" s="1069"/>
      <c r="LJS281" s="1069"/>
      <c r="LJT281" s="1069"/>
      <c r="LJU281" s="1069"/>
      <c r="LJV281" s="1069"/>
      <c r="LJW281" s="1069"/>
      <c r="LJX281" s="1069"/>
      <c r="LJY281" s="1069"/>
      <c r="LJZ281" s="1069"/>
      <c r="LKA281" s="1069"/>
      <c r="LKB281" s="1069"/>
      <c r="LKC281" s="1069"/>
      <c r="LKD281" s="1069"/>
      <c r="LKE281" s="1069"/>
      <c r="LKF281" s="1069"/>
      <c r="LKG281" s="1069"/>
      <c r="LKH281" s="1069"/>
      <c r="LKI281" s="1069"/>
      <c r="LKJ281" s="1069"/>
      <c r="LKK281" s="1069"/>
      <c r="LKL281" s="1069"/>
      <c r="LKM281" s="1069"/>
      <c r="LKN281" s="1069"/>
      <c r="LKO281" s="1069"/>
      <c r="LKP281" s="1069"/>
      <c r="LKQ281" s="1069"/>
      <c r="LKR281" s="1069"/>
      <c r="LKS281" s="1069"/>
      <c r="LKT281" s="1069"/>
      <c r="LKU281" s="1069"/>
      <c r="LKV281" s="1069"/>
      <c r="LKW281" s="1069"/>
      <c r="LKX281" s="1069"/>
      <c r="LKY281" s="1069"/>
      <c r="LKZ281" s="1069"/>
      <c r="LLA281" s="1069"/>
      <c r="LLB281" s="1069"/>
      <c r="LLC281" s="1069"/>
      <c r="LLD281" s="1069"/>
      <c r="LLE281" s="1069"/>
      <c r="LLF281" s="1069"/>
      <c r="LLG281" s="1069"/>
      <c r="LLH281" s="1069"/>
      <c r="LLI281" s="1069"/>
      <c r="LLJ281" s="1069"/>
      <c r="LLK281" s="1069"/>
      <c r="LLL281" s="1069"/>
      <c r="LLM281" s="1069"/>
      <c r="LLN281" s="1069"/>
      <c r="LLO281" s="1069"/>
      <c r="LLP281" s="1069"/>
      <c r="LLQ281" s="1069"/>
      <c r="LLR281" s="1069"/>
      <c r="LLS281" s="1069"/>
      <c r="LLT281" s="1069"/>
      <c r="LLU281" s="1069"/>
      <c r="LLV281" s="1069"/>
      <c r="LLW281" s="1069"/>
      <c r="LLX281" s="1069"/>
      <c r="LLY281" s="1069"/>
      <c r="LLZ281" s="1069"/>
      <c r="LMA281" s="1069"/>
      <c r="LMB281" s="1069"/>
      <c r="LMC281" s="1069"/>
      <c r="LMD281" s="1069"/>
      <c r="LME281" s="1069"/>
      <c r="LMF281" s="1069"/>
      <c r="LMG281" s="1069"/>
      <c r="LMH281" s="1069"/>
      <c r="LMI281" s="1069"/>
      <c r="LMJ281" s="1069"/>
      <c r="LMK281" s="1069"/>
      <c r="LML281" s="1069"/>
      <c r="LMM281" s="1069"/>
      <c r="LMN281" s="1069"/>
      <c r="LMO281" s="1069"/>
      <c r="LMP281" s="1069"/>
      <c r="LMQ281" s="1069"/>
      <c r="LMR281" s="1069"/>
      <c r="LMS281" s="1069"/>
      <c r="LMT281" s="1069"/>
      <c r="LMU281" s="1069"/>
      <c r="LMV281" s="1069"/>
      <c r="LMW281" s="1069"/>
      <c r="LMX281" s="1069"/>
      <c r="LMY281" s="1069"/>
      <c r="LMZ281" s="1069"/>
      <c r="LNA281" s="1069"/>
      <c r="LNB281" s="1069"/>
      <c r="LNC281" s="1069"/>
      <c r="LND281" s="1069"/>
      <c r="LNE281" s="1069"/>
      <c r="LNF281" s="1069"/>
      <c r="LNG281" s="1069"/>
      <c r="LNH281" s="1069"/>
      <c r="LNI281" s="1069"/>
      <c r="LNJ281" s="1069"/>
      <c r="LNK281" s="1069"/>
      <c r="LNL281" s="1069"/>
      <c r="LNM281" s="1069"/>
      <c r="LNN281" s="1069"/>
      <c r="LNO281" s="1069"/>
      <c r="LNP281" s="1069"/>
      <c r="LNQ281" s="1069"/>
      <c r="LNR281" s="1069"/>
      <c r="LNS281" s="1069"/>
      <c r="LNT281" s="1069"/>
      <c r="LNU281" s="1069"/>
      <c r="LNV281" s="1069"/>
      <c r="LNW281" s="1069"/>
      <c r="LNX281" s="1069"/>
      <c r="LNY281" s="1069"/>
      <c r="LNZ281" s="1069"/>
      <c r="LOA281" s="1069"/>
      <c r="LOB281" s="1069"/>
      <c r="LOC281" s="1069"/>
      <c r="LOD281" s="1069"/>
      <c r="LOE281" s="1069"/>
      <c r="LOF281" s="1069"/>
      <c r="LOG281" s="1069"/>
      <c r="LOH281" s="1069"/>
      <c r="LOI281" s="1069"/>
      <c r="LOJ281" s="1069"/>
      <c r="LOK281" s="1069"/>
      <c r="LOL281" s="1069"/>
      <c r="LOM281" s="1069"/>
      <c r="LON281" s="1069"/>
      <c r="LOO281" s="1069"/>
      <c r="LOP281" s="1069"/>
      <c r="LOQ281" s="1069"/>
      <c r="LOR281" s="1069"/>
      <c r="LOS281" s="1069"/>
      <c r="LOT281" s="1069"/>
      <c r="LOU281" s="1069"/>
      <c r="LOV281" s="1069"/>
      <c r="LOW281" s="1069"/>
      <c r="LOX281" s="1069"/>
      <c r="LOY281" s="1069"/>
      <c r="LOZ281" s="1069"/>
      <c r="LPA281" s="1069"/>
      <c r="LPB281" s="1069"/>
      <c r="LPC281" s="1069"/>
      <c r="LPD281" s="1069"/>
      <c r="LPE281" s="1069"/>
      <c r="LPF281" s="1069"/>
      <c r="LPG281" s="1069"/>
      <c r="LPH281" s="1069"/>
      <c r="LPI281" s="1069"/>
      <c r="LPJ281" s="1069"/>
      <c r="LPK281" s="1069"/>
      <c r="LPL281" s="1069"/>
      <c r="LPM281" s="1069"/>
      <c r="LPN281" s="1069"/>
      <c r="LPO281" s="1069"/>
      <c r="LPP281" s="1069"/>
      <c r="LPQ281" s="1069"/>
      <c r="LPR281" s="1069"/>
      <c r="LPS281" s="1069"/>
      <c r="LPT281" s="1069"/>
      <c r="LPU281" s="1069"/>
      <c r="LPV281" s="1069"/>
      <c r="LPW281" s="1069"/>
      <c r="LPX281" s="1069"/>
      <c r="LPY281" s="1069"/>
      <c r="LPZ281" s="1069"/>
      <c r="LQA281" s="1069"/>
      <c r="LQB281" s="1069"/>
      <c r="LQC281" s="1069"/>
      <c r="LQD281" s="1069"/>
      <c r="LQE281" s="1069"/>
      <c r="LQF281" s="1069"/>
      <c r="LQG281" s="1069"/>
      <c r="LQH281" s="1069"/>
      <c r="LQI281" s="1069"/>
      <c r="LQJ281" s="1069"/>
      <c r="LQK281" s="1069"/>
      <c r="LQL281" s="1069"/>
      <c r="LQM281" s="1069"/>
      <c r="LQN281" s="1069"/>
      <c r="LQO281" s="1069"/>
      <c r="LQP281" s="1069"/>
      <c r="LQQ281" s="1069"/>
      <c r="LQR281" s="1069"/>
      <c r="LQS281" s="1069"/>
      <c r="LQT281" s="1069"/>
      <c r="LQU281" s="1069"/>
      <c r="LQV281" s="1069"/>
      <c r="LQW281" s="1069"/>
      <c r="LQX281" s="1069"/>
      <c r="LQY281" s="1069"/>
      <c r="LQZ281" s="1069"/>
      <c r="LRA281" s="1069"/>
      <c r="LRB281" s="1069"/>
      <c r="LRC281" s="1069"/>
      <c r="LRD281" s="1069"/>
      <c r="LRE281" s="1069"/>
      <c r="LRF281" s="1069"/>
      <c r="LRG281" s="1069"/>
      <c r="LRH281" s="1069"/>
      <c r="LRI281" s="1069"/>
      <c r="LRJ281" s="1069"/>
      <c r="LRK281" s="1069"/>
      <c r="LRL281" s="1069"/>
      <c r="LRM281" s="1069"/>
      <c r="LRN281" s="1069"/>
      <c r="LRO281" s="1069"/>
      <c r="LRP281" s="1069"/>
      <c r="LRQ281" s="1069"/>
      <c r="LRR281" s="1069"/>
      <c r="LRS281" s="1069"/>
      <c r="LRT281" s="1069"/>
      <c r="LRU281" s="1069"/>
      <c r="LRV281" s="1069"/>
      <c r="LRW281" s="1069"/>
      <c r="LRX281" s="1069"/>
      <c r="LRY281" s="1069"/>
      <c r="LRZ281" s="1069"/>
      <c r="LSA281" s="1069"/>
      <c r="LSB281" s="1069"/>
      <c r="LSC281" s="1069"/>
      <c r="LSD281" s="1069"/>
      <c r="LSE281" s="1069"/>
      <c r="LSF281" s="1069"/>
      <c r="LSG281" s="1069"/>
      <c r="LSH281" s="1069"/>
      <c r="LSI281" s="1069"/>
      <c r="LSJ281" s="1069"/>
      <c r="LSK281" s="1069"/>
      <c r="LSL281" s="1069"/>
      <c r="LSM281" s="1069"/>
      <c r="LSN281" s="1069"/>
      <c r="LSO281" s="1069"/>
      <c r="LSP281" s="1069"/>
      <c r="LSQ281" s="1069"/>
      <c r="LSR281" s="1069"/>
      <c r="LSS281" s="1069"/>
      <c r="LST281" s="1069"/>
      <c r="LSU281" s="1069"/>
      <c r="LSV281" s="1069"/>
      <c r="LSW281" s="1069"/>
      <c r="LSX281" s="1069"/>
      <c r="LSY281" s="1069"/>
      <c r="LSZ281" s="1069"/>
      <c r="LTA281" s="1069"/>
      <c r="LTB281" s="1069"/>
      <c r="LTC281" s="1069"/>
      <c r="LTD281" s="1069"/>
      <c r="LTE281" s="1069"/>
      <c r="LTF281" s="1069"/>
      <c r="LTG281" s="1069"/>
      <c r="LTH281" s="1069"/>
      <c r="LTI281" s="1069"/>
      <c r="LTJ281" s="1069"/>
      <c r="LTK281" s="1069"/>
      <c r="LTL281" s="1069"/>
      <c r="LTM281" s="1069"/>
      <c r="LTN281" s="1069"/>
      <c r="LTO281" s="1069"/>
      <c r="LTP281" s="1069"/>
      <c r="LTQ281" s="1069"/>
      <c r="LTR281" s="1069"/>
      <c r="LTS281" s="1069"/>
      <c r="LTT281" s="1069"/>
      <c r="LTU281" s="1069"/>
      <c r="LTV281" s="1069"/>
      <c r="LTW281" s="1069"/>
      <c r="LTX281" s="1069"/>
      <c r="LTY281" s="1069"/>
      <c r="LTZ281" s="1069"/>
      <c r="LUA281" s="1069"/>
      <c r="LUB281" s="1069"/>
      <c r="LUC281" s="1069"/>
      <c r="LUD281" s="1069"/>
      <c r="LUE281" s="1069"/>
      <c r="LUF281" s="1069"/>
      <c r="LUG281" s="1069"/>
      <c r="LUH281" s="1069"/>
      <c r="LUI281" s="1069"/>
      <c r="LUJ281" s="1069"/>
      <c r="LUK281" s="1069"/>
      <c r="LUL281" s="1069"/>
      <c r="LUM281" s="1069"/>
      <c r="LUN281" s="1069"/>
      <c r="LUO281" s="1069"/>
      <c r="LUP281" s="1069"/>
      <c r="LUQ281" s="1069"/>
      <c r="LUR281" s="1069"/>
      <c r="LUS281" s="1069"/>
      <c r="LUT281" s="1069"/>
      <c r="LUU281" s="1069"/>
      <c r="LUV281" s="1069"/>
      <c r="LUW281" s="1069"/>
      <c r="LUX281" s="1069"/>
      <c r="LUY281" s="1069"/>
      <c r="LUZ281" s="1069"/>
      <c r="LVA281" s="1069"/>
      <c r="LVB281" s="1069"/>
      <c r="LVC281" s="1069"/>
      <c r="LVD281" s="1069"/>
      <c r="LVE281" s="1069"/>
      <c r="LVF281" s="1069"/>
      <c r="LVG281" s="1069"/>
      <c r="LVH281" s="1069"/>
      <c r="LVI281" s="1069"/>
      <c r="LVJ281" s="1069"/>
      <c r="LVK281" s="1069"/>
      <c r="LVL281" s="1069"/>
      <c r="LVM281" s="1069"/>
      <c r="LVN281" s="1069"/>
      <c r="LVO281" s="1069"/>
      <c r="LVP281" s="1069"/>
      <c r="LVQ281" s="1069"/>
      <c r="LVR281" s="1069"/>
      <c r="LVS281" s="1069"/>
      <c r="LVT281" s="1069"/>
      <c r="LVU281" s="1069"/>
      <c r="LVV281" s="1069"/>
      <c r="LVW281" s="1069"/>
      <c r="LVX281" s="1069"/>
      <c r="LVY281" s="1069"/>
      <c r="LVZ281" s="1069"/>
      <c r="LWA281" s="1069"/>
      <c r="LWB281" s="1069"/>
      <c r="LWC281" s="1069"/>
      <c r="LWD281" s="1069"/>
      <c r="LWE281" s="1069"/>
      <c r="LWF281" s="1069"/>
      <c r="LWG281" s="1069"/>
      <c r="LWH281" s="1069"/>
      <c r="LWI281" s="1069"/>
      <c r="LWJ281" s="1069"/>
      <c r="LWK281" s="1069"/>
      <c r="LWL281" s="1069"/>
      <c r="LWM281" s="1069"/>
      <c r="LWN281" s="1069"/>
      <c r="LWO281" s="1069"/>
      <c r="LWP281" s="1069"/>
      <c r="LWQ281" s="1069"/>
      <c r="LWR281" s="1069"/>
      <c r="LWS281" s="1069"/>
      <c r="LWT281" s="1069"/>
      <c r="LWU281" s="1069"/>
      <c r="LWV281" s="1069"/>
      <c r="LWW281" s="1069"/>
      <c r="LWX281" s="1069"/>
      <c r="LWY281" s="1069"/>
      <c r="LWZ281" s="1069"/>
      <c r="LXA281" s="1069"/>
      <c r="LXB281" s="1069"/>
      <c r="LXC281" s="1069"/>
      <c r="LXD281" s="1069"/>
      <c r="LXE281" s="1069"/>
      <c r="LXF281" s="1069"/>
      <c r="LXG281" s="1069"/>
      <c r="LXH281" s="1069"/>
      <c r="LXI281" s="1069"/>
      <c r="LXJ281" s="1069"/>
      <c r="LXK281" s="1069"/>
      <c r="LXL281" s="1069"/>
      <c r="LXM281" s="1069"/>
      <c r="LXN281" s="1069"/>
      <c r="LXO281" s="1069"/>
      <c r="LXP281" s="1069"/>
      <c r="LXQ281" s="1069"/>
      <c r="LXR281" s="1069"/>
      <c r="LXS281" s="1069"/>
      <c r="LXT281" s="1069"/>
      <c r="LXU281" s="1069"/>
      <c r="LXV281" s="1069"/>
      <c r="LXW281" s="1069"/>
      <c r="LXX281" s="1069"/>
      <c r="LXY281" s="1069"/>
      <c r="LXZ281" s="1069"/>
      <c r="LYA281" s="1069"/>
      <c r="LYB281" s="1069"/>
      <c r="LYC281" s="1069"/>
      <c r="LYD281" s="1069"/>
      <c r="LYE281" s="1069"/>
      <c r="LYF281" s="1069"/>
      <c r="LYG281" s="1069"/>
      <c r="LYH281" s="1069"/>
      <c r="LYI281" s="1069"/>
      <c r="LYJ281" s="1069"/>
      <c r="LYK281" s="1069"/>
      <c r="LYL281" s="1069"/>
      <c r="LYM281" s="1069"/>
      <c r="LYN281" s="1069"/>
      <c r="LYO281" s="1069"/>
      <c r="LYP281" s="1069"/>
      <c r="LYQ281" s="1069"/>
      <c r="LYR281" s="1069"/>
      <c r="LYS281" s="1069"/>
      <c r="LYT281" s="1069"/>
      <c r="LYU281" s="1069"/>
      <c r="LYV281" s="1069"/>
      <c r="LYW281" s="1069"/>
      <c r="LYX281" s="1069"/>
      <c r="LYY281" s="1069"/>
      <c r="LYZ281" s="1069"/>
      <c r="LZA281" s="1069"/>
      <c r="LZB281" s="1069"/>
      <c r="LZC281" s="1069"/>
      <c r="LZD281" s="1069"/>
      <c r="LZE281" s="1069"/>
      <c r="LZF281" s="1069"/>
      <c r="LZG281" s="1069"/>
      <c r="LZH281" s="1069"/>
      <c r="LZI281" s="1069"/>
      <c r="LZJ281" s="1069"/>
      <c r="LZK281" s="1069"/>
      <c r="LZL281" s="1069"/>
      <c r="LZM281" s="1069"/>
      <c r="LZN281" s="1069"/>
      <c r="LZO281" s="1069"/>
      <c r="LZP281" s="1069"/>
      <c r="LZQ281" s="1069"/>
      <c r="LZR281" s="1069"/>
      <c r="LZS281" s="1069"/>
      <c r="LZT281" s="1069"/>
      <c r="LZU281" s="1069"/>
      <c r="LZV281" s="1069"/>
      <c r="LZW281" s="1069"/>
      <c r="LZX281" s="1069"/>
      <c r="LZY281" s="1069"/>
      <c r="LZZ281" s="1069"/>
      <c r="MAA281" s="1069"/>
      <c r="MAB281" s="1069"/>
      <c r="MAC281" s="1069"/>
      <c r="MAD281" s="1069"/>
      <c r="MAE281" s="1069"/>
      <c r="MAF281" s="1069"/>
      <c r="MAG281" s="1069"/>
      <c r="MAH281" s="1069"/>
      <c r="MAI281" s="1069"/>
      <c r="MAJ281" s="1069"/>
      <c r="MAK281" s="1069"/>
      <c r="MAL281" s="1069"/>
      <c r="MAM281" s="1069"/>
      <c r="MAN281" s="1069"/>
      <c r="MAO281" s="1069"/>
      <c r="MAP281" s="1069"/>
      <c r="MAQ281" s="1069"/>
      <c r="MAR281" s="1069"/>
      <c r="MAS281" s="1069"/>
      <c r="MAT281" s="1069"/>
      <c r="MAU281" s="1069"/>
      <c r="MAV281" s="1069"/>
      <c r="MAW281" s="1069"/>
      <c r="MAX281" s="1069"/>
      <c r="MAY281" s="1069"/>
      <c r="MAZ281" s="1069"/>
      <c r="MBA281" s="1069"/>
      <c r="MBB281" s="1069"/>
      <c r="MBC281" s="1069"/>
      <c r="MBD281" s="1069"/>
      <c r="MBE281" s="1069"/>
      <c r="MBF281" s="1069"/>
      <c r="MBG281" s="1069"/>
      <c r="MBH281" s="1069"/>
      <c r="MBI281" s="1069"/>
      <c r="MBJ281" s="1069"/>
      <c r="MBK281" s="1069"/>
      <c r="MBL281" s="1069"/>
      <c r="MBM281" s="1069"/>
      <c r="MBN281" s="1069"/>
      <c r="MBO281" s="1069"/>
      <c r="MBP281" s="1069"/>
      <c r="MBQ281" s="1069"/>
      <c r="MBR281" s="1069"/>
      <c r="MBS281" s="1069"/>
      <c r="MBT281" s="1069"/>
      <c r="MBU281" s="1069"/>
      <c r="MBV281" s="1069"/>
      <c r="MBW281" s="1069"/>
      <c r="MBX281" s="1069"/>
      <c r="MBY281" s="1069"/>
      <c r="MBZ281" s="1069"/>
      <c r="MCA281" s="1069"/>
      <c r="MCB281" s="1069"/>
      <c r="MCC281" s="1069"/>
      <c r="MCD281" s="1069"/>
      <c r="MCE281" s="1069"/>
      <c r="MCF281" s="1069"/>
      <c r="MCG281" s="1069"/>
      <c r="MCH281" s="1069"/>
      <c r="MCI281" s="1069"/>
      <c r="MCJ281" s="1069"/>
      <c r="MCK281" s="1069"/>
      <c r="MCL281" s="1069"/>
      <c r="MCM281" s="1069"/>
      <c r="MCN281" s="1069"/>
      <c r="MCO281" s="1069"/>
      <c r="MCP281" s="1069"/>
      <c r="MCQ281" s="1069"/>
      <c r="MCR281" s="1069"/>
      <c r="MCS281" s="1069"/>
      <c r="MCT281" s="1069"/>
      <c r="MCU281" s="1069"/>
      <c r="MCV281" s="1069"/>
      <c r="MCW281" s="1069"/>
      <c r="MCX281" s="1069"/>
      <c r="MCY281" s="1069"/>
      <c r="MCZ281" s="1069"/>
      <c r="MDA281" s="1069"/>
      <c r="MDB281" s="1069"/>
      <c r="MDC281" s="1069"/>
      <c r="MDD281" s="1069"/>
      <c r="MDE281" s="1069"/>
      <c r="MDF281" s="1069"/>
      <c r="MDG281" s="1069"/>
      <c r="MDH281" s="1069"/>
      <c r="MDI281" s="1069"/>
      <c r="MDJ281" s="1069"/>
      <c r="MDK281" s="1069"/>
      <c r="MDL281" s="1069"/>
      <c r="MDM281" s="1069"/>
      <c r="MDN281" s="1069"/>
      <c r="MDO281" s="1069"/>
      <c r="MDP281" s="1069"/>
      <c r="MDQ281" s="1069"/>
      <c r="MDR281" s="1069"/>
      <c r="MDS281" s="1069"/>
      <c r="MDT281" s="1069"/>
      <c r="MDU281" s="1069"/>
      <c r="MDV281" s="1069"/>
      <c r="MDW281" s="1069"/>
      <c r="MDX281" s="1069"/>
      <c r="MDY281" s="1069"/>
      <c r="MDZ281" s="1069"/>
      <c r="MEA281" s="1069"/>
      <c r="MEB281" s="1069"/>
      <c r="MEC281" s="1069"/>
      <c r="MED281" s="1069"/>
      <c r="MEE281" s="1069"/>
      <c r="MEF281" s="1069"/>
      <c r="MEG281" s="1069"/>
      <c r="MEH281" s="1069"/>
      <c r="MEI281" s="1069"/>
      <c r="MEJ281" s="1069"/>
      <c r="MEK281" s="1069"/>
      <c r="MEL281" s="1069"/>
      <c r="MEM281" s="1069"/>
      <c r="MEN281" s="1069"/>
      <c r="MEO281" s="1069"/>
      <c r="MEP281" s="1069"/>
      <c r="MEQ281" s="1069"/>
      <c r="MER281" s="1069"/>
      <c r="MES281" s="1069"/>
      <c r="MET281" s="1069"/>
      <c r="MEU281" s="1069"/>
      <c r="MEV281" s="1069"/>
      <c r="MEW281" s="1069"/>
      <c r="MEX281" s="1069"/>
      <c r="MEY281" s="1069"/>
      <c r="MEZ281" s="1069"/>
      <c r="MFA281" s="1069"/>
      <c r="MFB281" s="1069"/>
      <c r="MFC281" s="1069"/>
      <c r="MFD281" s="1069"/>
      <c r="MFE281" s="1069"/>
      <c r="MFF281" s="1069"/>
      <c r="MFG281" s="1069"/>
      <c r="MFH281" s="1069"/>
      <c r="MFI281" s="1069"/>
      <c r="MFJ281" s="1069"/>
      <c r="MFK281" s="1069"/>
      <c r="MFL281" s="1069"/>
      <c r="MFM281" s="1069"/>
      <c r="MFN281" s="1069"/>
      <c r="MFO281" s="1069"/>
      <c r="MFP281" s="1069"/>
      <c r="MFQ281" s="1069"/>
      <c r="MFR281" s="1069"/>
      <c r="MFS281" s="1069"/>
      <c r="MFT281" s="1069"/>
      <c r="MFU281" s="1069"/>
      <c r="MFV281" s="1069"/>
      <c r="MFW281" s="1069"/>
      <c r="MFX281" s="1069"/>
      <c r="MFY281" s="1069"/>
      <c r="MFZ281" s="1069"/>
      <c r="MGA281" s="1069"/>
      <c r="MGB281" s="1069"/>
      <c r="MGC281" s="1069"/>
      <c r="MGD281" s="1069"/>
      <c r="MGE281" s="1069"/>
      <c r="MGF281" s="1069"/>
      <c r="MGG281" s="1069"/>
      <c r="MGH281" s="1069"/>
      <c r="MGI281" s="1069"/>
      <c r="MGJ281" s="1069"/>
      <c r="MGK281" s="1069"/>
      <c r="MGL281" s="1069"/>
      <c r="MGM281" s="1069"/>
      <c r="MGN281" s="1069"/>
      <c r="MGO281" s="1069"/>
      <c r="MGP281" s="1069"/>
      <c r="MGQ281" s="1069"/>
      <c r="MGR281" s="1069"/>
      <c r="MGS281" s="1069"/>
      <c r="MGT281" s="1069"/>
      <c r="MGU281" s="1069"/>
      <c r="MGV281" s="1069"/>
      <c r="MGW281" s="1069"/>
      <c r="MGX281" s="1069"/>
      <c r="MGY281" s="1069"/>
      <c r="MGZ281" s="1069"/>
      <c r="MHA281" s="1069"/>
      <c r="MHB281" s="1069"/>
      <c r="MHC281" s="1069"/>
      <c r="MHD281" s="1069"/>
      <c r="MHE281" s="1069"/>
      <c r="MHF281" s="1069"/>
      <c r="MHG281" s="1069"/>
      <c r="MHH281" s="1069"/>
      <c r="MHI281" s="1069"/>
      <c r="MHJ281" s="1069"/>
      <c r="MHK281" s="1069"/>
      <c r="MHL281" s="1069"/>
      <c r="MHM281" s="1069"/>
      <c r="MHN281" s="1069"/>
      <c r="MHO281" s="1069"/>
      <c r="MHP281" s="1069"/>
      <c r="MHQ281" s="1069"/>
      <c r="MHR281" s="1069"/>
      <c r="MHS281" s="1069"/>
      <c r="MHT281" s="1069"/>
      <c r="MHU281" s="1069"/>
      <c r="MHV281" s="1069"/>
      <c r="MHW281" s="1069"/>
      <c r="MHX281" s="1069"/>
      <c r="MHY281" s="1069"/>
      <c r="MHZ281" s="1069"/>
      <c r="MIA281" s="1069"/>
      <c r="MIB281" s="1069"/>
      <c r="MIC281" s="1069"/>
      <c r="MID281" s="1069"/>
      <c r="MIE281" s="1069"/>
      <c r="MIF281" s="1069"/>
      <c r="MIG281" s="1069"/>
      <c r="MIH281" s="1069"/>
      <c r="MII281" s="1069"/>
      <c r="MIJ281" s="1069"/>
      <c r="MIK281" s="1069"/>
      <c r="MIL281" s="1069"/>
      <c r="MIM281" s="1069"/>
      <c r="MIN281" s="1069"/>
      <c r="MIO281" s="1069"/>
      <c r="MIP281" s="1069"/>
      <c r="MIQ281" s="1069"/>
      <c r="MIR281" s="1069"/>
      <c r="MIS281" s="1069"/>
      <c r="MIT281" s="1069"/>
      <c r="MIU281" s="1069"/>
      <c r="MIV281" s="1069"/>
      <c r="MIW281" s="1069"/>
      <c r="MIX281" s="1069"/>
      <c r="MIY281" s="1069"/>
      <c r="MIZ281" s="1069"/>
      <c r="MJA281" s="1069"/>
      <c r="MJB281" s="1069"/>
      <c r="MJC281" s="1069"/>
      <c r="MJD281" s="1069"/>
      <c r="MJE281" s="1069"/>
      <c r="MJF281" s="1069"/>
      <c r="MJG281" s="1069"/>
      <c r="MJH281" s="1069"/>
      <c r="MJI281" s="1069"/>
      <c r="MJJ281" s="1069"/>
      <c r="MJK281" s="1069"/>
      <c r="MJL281" s="1069"/>
      <c r="MJM281" s="1069"/>
      <c r="MJN281" s="1069"/>
      <c r="MJO281" s="1069"/>
      <c r="MJP281" s="1069"/>
      <c r="MJQ281" s="1069"/>
      <c r="MJR281" s="1069"/>
      <c r="MJS281" s="1069"/>
      <c r="MJT281" s="1069"/>
      <c r="MJU281" s="1069"/>
      <c r="MJV281" s="1069"/>
      <c r="MJW281" s="1069"/>
      <c r="MJX281" s="1069"/>
      <c r="MJY281" s="1069"/>
      <c r="MJZ281" s="1069"/>
      <c r="MKA281" s="1069"/>
      <c r="MKB281" s="1069"/>
      <c r="MKC281" s="1069"/>
      <c r="MKD281" s="1069"/>
      <c r="MKE281" s="1069"/>
      <c r="MKF281" s="1069"/>
      <c r="MKG281" s="1069"/>
      <c r="MKH281" s="1069"/>
      <c r="MKI281" s="1069"/>
      <c r="MKJ281" s="1069"/>
      <c r="MKK281" s="1069"/>
      <c r="MKL281" s="1069"/>
      <c r="MKM281" s="1069"/>
      <c r="MKN281" s="1069"/>
      <c r="MKO281" s="1069"/>
      <c r="MKP281" s="1069"/>
      <c r="MKQ281" s="1069"/>
      <c r="MKR281" s="1069"/>
      <c r="MKS281" s="1069"/>
      <c r="MKT281" s="1069"/>
      <c r="MKU281" s="1069"/>
      <c r="MKV281" s="1069"/>
      <c r="MKW281" s="1069"/>
      <c r="MKX281" s="1069"/>
      <c r="MKY281" s="1069"/>
      <c r="MKZ281" s="1069"/>
      <c r="MLA281" s="1069"/>
      <c r="MLB281" s="1069"/>
      <c r="MLC281" s="1069"/>
      <c r="MLD281" s="1069"/>
      <c r="MLE281" s="1069"/>
      <c r="MLF281" s="1069"/>
      <c r="MLG281" s="1069"/>
      <c r="MLH281" s="1069"/>
      <c r="MLI281" s="1069"/>
      <c r="MLJ281" s="1069"/>
      <c r="MLK281" s="1069"/>
      <c r="MLL281" s="1069"/>
      <c r="MLM281" s="1069"/>
      <c r="MLN281" s="1069"/>
      <c r="MLO281" s="1069"/>
      <c r="MLP281" s="1069"/>
      <c r="MLQ281" s="1069"/>
      <c r="MLR281" s="1069"/>
      <c r="MLS281" s="1069"/>
      <c r="MLT281" s="1069"/>
      <c r="MLU281" s="1069"/>
      <c r="MLV281" s="1069"/>
      <c r="MLW281" s="1069"/>
      <c r="MLX281" s="1069"/>
      <c r="MLY281" s="1069"/>
      <c r="MLZ281" s="1069"/>
      <c r="MMA281" s="1069"/>
      <c r="MMB281" s="1069"/>
      <c r="MMC281" s="1069"/>
      <c r="MMD281" s="1069"/>
      <c r="MME281" s="1069"/>
      <c r="MMF281" s="1069"/>
      <c r="MMG281" s="1069"/>
      <c r="MMH281" s="1069"/>
      <c r="MMI281" s="1069"/>
      <c r="MMJ281" s="1069"/>
      <c r="MMK281" s="1069"/>
      <c r="MML281" s="1069"/>
      <c r="MMM281" s="1069"/>
      <c r="MMN281" s="1069"/>
      <c r="MMO281" s="1069"/>
      <c r="MMP281" s="1069"/>
      <c r="MMQ281" s="1069"/>
      <c r="MMR281" s="1069"/>
      <c r="MMS281" s="1069"/>
      <c r="MMT281" s="1069"/>
      <c r="MMU281" s="1069"/>
      <c r="MMV281" s="1069"/>
      <c r="MMW281" s="1069"/>
      <c r="MMX281" s="1069"/>
      <c r="MMY281" s="1069"/>
      <c r="MMZ281" s="1069"/>
      <c r="MNA281" s="1069"/>
      <c r="MNB281" s="1069"/>
      <c r="MNC281" s="1069"/>
      <c r="MND281" s="1069"/>
      <c r="MNE281" s="1069"/>
      <c r="MNF281" s="1069"/>
      <c r="MNG281" s="1069"/>
      <c r="MNH281" s="1069"/>
      <c r="MNI281" s="1069"/>
      <c r="MNJ281" s="1069"/>
      <c r="MNK281" s="1069"/>
      <c r="MNL281" s="1069"/>
      <c r="MNM281" s="1069"/>
      <c r="MNN281" s="1069"/>
      <c r="MNO281" s="1069"/>
      <c r="MNP281" s="1069"/>
      <c r="MNQ281" s="1069"/>
      <c r="MNR281" s="1069"/>
      <c r="MNS281" s="1069"/>
      <c r="MNT281" s="1069"/>
      <c r="MNU281" s="1069"/>
      <c r="MNV281" s="1069"/>
      <c r="MNW281" s="1069"/>
      <c r="MNX281" s="1069"/>
      <c r="MNY281" s="1069"/>
      <c r="MNZ281" s="1069"/>
      <c r="MOA281" s="1069"/>
      <c r="MOB281" s="1069"/>
      <c r="MOC281" s="1069"/>
      <c r="MOD281" s="1069"/>
      <c r="MOE281" s="1069"/>
      <c r="MOF281" s="1069"/>
      <c r="MOG281" s="1069"/>
      <c r="MOH281" s="1069"/>
      <c r="MOI281" s="1069"/>
      <c r="MOJ281" s="1069"/>
      <c r="MOK281" s="1069"/>
      <c r="MOL281" s="1069"/>
      <c r="MOM281" s="1069"/>
      <c r="MON281" s="1069"/>
      <c r="MOO281" s="1069"/>
      <c r="MOP281" s="1069"/>
      <c r="MOQ281" s="1069"/>
      <c r="MOR281" s="1069"/>
      <c r="MOS281" s="1069"/>
      <c r="MOT281" s="1069"/>
      <c r="MOU281" s="1069"/>
      <c r="MOV281" s="1069"/>
      <c r="MOW281" s="1069"/>
      <c r="MOX281" s="1069"/>
      <c r="MOY281" s="1069"/>
      <c r="MOZ281" s="1069"/>
      <c r="MPA281" s="1069"/>
      <c r="MPB281" s="1069"/>
      <c r="MPC281" s="1069"/>
      <c r="MPD281" s="1069"/>
      <c r="MPE281" s="1069"/>
      <c r="MPF281" s="1069"/>
      <c r="MPG281" s="1069"/>
      <c r="MPH281" s="1069"/>
      <c r="MPI281" s="1069"/>
      <c r="MPJ281" s="1069"/>
      <c r="MPK281" s="1069"/>
      <c r="MPL281" s="1069"/>
      <c r="MPM281" s="1069"/>
      <c r="MPN281" s="1069"/>
      <c r="MPO281" s="1069"/>
      <c r="MPP281" s="1069"/>
      <c r="MPQ281" s="1069"/>
      <c r="MPR281" s="1069"/>
      <c r="MPS281" s="1069"/>
      <c r="MPT281" s="1069"/>
      <c r="MPU281" s="1069"/>
      <c r="MPV281" s="1069"/>
      <c r="MPW281" s="1069"/>
      <c r="MPX281" s="1069"/>
      <c r="MPY281" s="1069"/>
      <c r="MPZ281" s="1069"/>
      <c r="MQA281" s="1069"/>
      <c r="MQB281" s="1069"/>
      <c r="MQC281" s="1069"/>
      <c r="MQD281" s="1069"/>
      <c r="MQE281" s="1069"/>
      <c r="MQF281" s="1069"/>
      <c r="MQG281" s="1069"/>
      <c r="MQH281" s="1069"/>
      <c r="MQI281" s="1069"/>
      <c r="MQJ281" s="1069"/>
      <c r="MQK281" s="1069"/>
      <c r="MQL281" s="1069"/>
      <c r="MQM281" s="1069"/>
      <c r="MQN281" s="1069"/>
      <c r="MQO281" s="1069"/>
      <c r="MQP281" s="1069"/>
      <c r="MQQ281" s="1069"/>
      <c r="MQR281" s="1069"/>
      <c r="MQS281" s="1069"/>
      <c r="MQT281" s="1069"/>
      <c r="MQU281" s="1069"/>
      <c r="MQV281" s="1069"/>
      <c r="MQW281" s="1069"/>
      <c r="MQX281" s="1069"/>
      <c r="MQY281" s="1069"/>
      <c r="MQZ281" s="1069"/>
      <c r="MRA281" s="1069"/>
      <c r="MRB281" s="1069"/>
      <c r="MRC281" s="1069"/>
      <c r="MRD281" s="1069"/>
      <c r="MRE281" s="1069"/>
      <c r="MRF281" s="1069"/>
      <c r="MRG281" s="1069"/>
      <c r="MRH281" s="1069"/>
      <c r="MRI281" s="1069"/>
      <c r="MRJ281" s="1069"/>
      <c r="MRK281" s="1069"/>
      <c r="MRL281" s="1069"/>
      <c r="MRM281" s="1069"/>
      <c r="MRN281" s="1069"/>
      <c r="MRO281" s="1069"/>
      <c r="MRP281" s="1069"/>
      <c r="MRQ281" s="1069"/>
      <c r="MRR281" s="1069"/>
      <c r="MRS281" s="1069"/>
      <c r="MRT281" s="1069"/>
      <c r="MRU281" s="1069"/>
      <c r="MRV281" s="1069"/>
      <c r="MRW281" s="1069"/>
      <c r="MRX281" s="1069"/>
      <c r="MRY281" s="1069"/>
      <c r="MRZ281" s="1069"/>
      <c r="MSA281" s="1069"/>
      <c r="MSB281" s="1069"/>
      <c r="MSC281" s="1069"/>
      <c r="MSD281" s="1069"/>
      <c r="MSE281" s="1069"/>
      <c r="MSF281" s="1069"/>
      <c r="MSG281" s="1069"/>
      <c r="MSH281" s="1069"/>
      <c r="MSI281" s="1069"/>
      <c r="MSJ281" s="1069"/>
      <c r="MSK281" s="1069"/>
      <c r="MSL281" s="1069"/>
      <c r="MSM281" s="1069"/>
      <c r="MSN281" s="1069"/>
      <c r="MSO281" s="1069"/>
      <c r="MSP281" s="1069"/>
      <c r="MSQ281" s="1069"/>
      <c r="MSR281" s="1069"/>
      <c r="MSS281" s="1069"/>
      <c r="MST281" s="1069"/>
      <c r="MSU281" s="1069"/>
      <c r="MSV281" s="1069"/>
      <c r="MSW281" s="1069"/>
      <c r="MSX281" s="1069"/>
      <c r="MSY281" s="1069"/>
      <c r="MSZ281" s="1069"/>
      <c r="MTA281" s="1069"/>
      <c r="MTB281" s="1069"/>
      <c r="MTC281" s="1069"/>
      <c r="MTD281" s="1069"/>
      <c r="MTE281" s="1069"/>
      <c r="MTF281" s="1069"/>
      <c r="MTG281" s="1069"/>
      <c r="MTH281" s="1069"/>
      <c r="MTI281" s="1069"/>
      <c r="MTJ281" s="1069"/>
      <c r="MTK281" s="1069"/>
      <c r="MTL281" s="1069"/>
      <c r="MTM281" s="1069"/>
      <c r="MTN281" s="1069"/>
      <c r="MTO281" s="1069"/>
      <c r="MTP281" s="1069"/>
      <c r="MTQ281" s="1069"/>
      <c r="MTR281" s="1069"/>
      <c r="MTS281" s="1069"/>
      <c r="MTT281" s="1069"/>
      <c r="MTU281" s="1069"/>
      <c r="MTV281" s="1069"/>
      <c r="MTW281" s="1069"/>
      <c r="MTX281" s="1069"/>
      <c r="MTY281" s="1069"/>
      <c r="MTZ281" s="1069"/>
      <c r="MUA281" s="1069"/>
      <c r="MUB281" s="1069"/>
      <c r="MUC281" s="1069"/>
      <c r="MUD281" s="1069"/>
      <c r="MUE281" s="1069"/>
      <c r="MUF281" s="1069"/>
      <c r="MUG281" s="1069"/>
      <c r="MUH281" s="1069"/>
      <c r="MUI281" s="1069"/>
      <c r="MUJ281" s="1069"/>
      <c r="MUK281" s="1069"/>
      <c r="MUL281" s="1069"/>
      <c r="MUM281" s="1069"/>
      <c r="MUN281" s="1069"/>
      <c r="MUO281" s="1069"/>
      <c r="MUP281" s="1069"/>
      <c r="MUQ281" s="1069"/>
      <c r="MUR281" s="1069"/>
      <c r="MUS281" s="1069"/>
      <c r="MUT281" s="1069"/>
      <c r="MUU281" s="1069"/>
      <c r="MUV281" s="1069"/>
      <c r="MUW281" s="1069"/>
      <c r="MUX281" s="1069"/>
      <c r="MUY281" s="1069"/>
      <c r="MUZ281" s="1069"/>
      <c r="MVA281" s="1069"/>
      <c r="MVB281" s="1069"/>
      <c r="MVC281" s="1069"/>
      <c r="MVD281" s="1069"/>
      <c r="MVE281" s="1069"/>
      <c r="MVF281" s="1069"/>
      <c r="MVG281" s="1069"/>
      <c r="MVH281" s="1069"/>
      <c r="MVI281" s="1069"/>
      <c r="MVJ281" s="1069"/>
      <c r="MVK281" s="1069"/>
      <c r="MVL281" s="1069"/>
      <c r="MVM281" s="1069"/>
      <c r="MVN281" s="1069"/>
      <c r="MVO281" s="1069"/>
      <c r="MVP281" s="1069"/>
      <c r="MVQ281" s="1069"/>
      <c r="MVR281" s="1069"/>
      <c r="MVS281" s="1069"/>
      <c r="MVT281" s="1069"/>
      <c r="MVU281" s="1069"/>
      <c r="MVV281" s="1069"/>
      <c r="MVW281" s="1069"/>
      <c r="MVX281" s="1069"/>
      <c r="MVY281" s="1069"/>
      <c r="MVZ281" s="1069"/>
      <c r="MWA281" s="1069"/>
      <c r="MWB281" s="1069"/>
      <c r="MWC281" s="1069"/>
      <c r="MWD281" s="1069"/>
      <c r="MWE281" s="1069"/>
      <c r="MWF281" s="1069"/>
      <c r="MWG281" s="1069"/>
      <c r="MWH281" s="1069"/>
      <c r="MWI281" s="1069"/>
      <c r="MWJ281" s="1069"/>
      <c r="MWK281" s="1069"/>
      <c r="MWL281" s="1069"/>
      <c r="MWM281" s="1069"/>
      <c r="MWN281" s="1069"/>
      <c r="MWO281" s="1069"/>
      <c r="MWP281" s="1069"/>
      <c r="MWQ281" s="1069"/>
      <c r="MWR281" s="1069"/>
      <c r="MWS281" s="1069"/>
      <c r="MWT281" s="1069"/>
      <c r="MWU281" s="1069"/>
      <c r="MWV281" s="1069"/>
      <c r="MWW281" s="1069"/>
      <c r="MWX281" s="1069"/>
      <c r="MWY281" s="1069"/>
      <c r="MWZ281" s="1069"/>
      <c r="MXA281" s="1069"/>
      <c r="MXB281" s="1069"/>
      <c r="MXC281" s="1069"/>
      <c r="MXD281" s="1069"/>
      <c r="MXE281" s="1069"/>
      <c r="MXF281" s="1069"/>
      <c r="MXG281" s="1069"/>
      <c r="MXH281" s="1069"/>
      <c r="MXI281" s="1069"/>
      <c r="MXJ281" s="1069"/>
      <c r="MXK281" s="1069"/>
      <c r="MXL281" s="1069"/>
      <c r="MXM281" s="1069"/>
      <c r="MXN281" s="1069"/>
      <c r="MXO281" s="1069"/>
      <c r="MXP281" s="1069"/>
      <c r="MXQ281" s="1069"/>
      <c r="MXR281" s="1069"/>
      <c r="MXS281" s="1069"/>
      <c r="MXT281" s="1069"/>
      <c r="MXU281" s="1069"/>
      <c r="MXV281" s="1069"/>
      <c r="MXW281" s="1069"/>
      <c r="MXX281" s="1069"/>
      <c r="MXY281" s="1069"/>
      <c r="MXZ281" s="1069"/>
      <c r="MYA281" s="1069"/>
      <c r="MYB281" s="1069"/>
      <c r="MYC281" s="1069"/>
      <c r="MYD281" s="1069"/>
      <c r="MYE281" s="1069"/>
      <c r="MYF281" s="1069"/>
      <c r="MYG281" s="1069"/>
      <c r="MYH281" s="1069"/>
      <c r="MYI281" s="1069"/>
      <c r="MYJ281" s="1069"/>
      <c r="MYK281" s="1069"/>
      <c r="MYL281" s="1069"/>
      <c r="MYM281" s="1069"/>
      <c r="MYN281" s="1069"/>
      <c r="MYO281" s="1069"/>
      <c r="MYP281" s="1069"/>
      <c r="MYQ281" s="1069"/>
      <c r="MYR281" s="1069"/>
      <c r="MYS281" s="1069"/>
      <c r="MYT281" s="1069"/>
      <c r="MYU281" s="1069"/>
      <c r="MYV281" s="1069"/>
      <c r="MYW281" s="1069"/>
      <c r="MYX281" s="1069"/>
      <c r="MYY281" s="1069"/>
      <c r="MYZ281" s="1069"/>
      <c r="MZA281" s="1069"/>
      <c r="MZB281" s="1069"/>
      <c r="MZC281" s="1069"/>
      <c r="MZD281" s="1069"/>
      <c r="MZE281" s="1069"/>
      <c r="MZF281" s="1069"/>
      <c r="MZG281" s="1069"/>
      <c r="MZH281" s="1069"/>
      <c r="MZI281" s="1069"/>
      <c r="MZJ281" s="1069"/>
      <c r="MZK281" s="1069"/>
      <c r="MZL281" s="1069"/>
      <c r="MZM281" s="1069"/>
      <c r="MZN281" s="1069"/>
      <c r="MZO281" s="1069"/>
      <c r="MZP281" s="1069"/>
      <c r="MZQ281" s="1069"/>
      <c r="MZR281" s="1069"/>
      <c r="MZS281" s="1069"/>
      <c r="MZT281" s="1069"/>
      <c r="MZU281" s="1069"/>
      <c r="MZV281" s="1069"/>
      <c r="MZW281" s="1069"/>
      <c r="MZX281" s="1069"/>
      <c r="MZY281" s="1069"/>
      <c r="MZZ281" s="1069"/>
      <c r="NAA281" s="1069"/>
      <c r="NAB281" s="1069"/>
      <c r="NAC281" s="1069"/>
      <c r="NAD281" s="1069"/>
      <c r="NAE281" s="1069"/>
      <c r="NAF281" s="1069"/>
      <c r="NAG281" s="1069"/>
      <c r="NAH281" s="1069"/>
      <c r="NAI281" s="1069"/>
      <c r="NAJ281" s="1069"/>
      <c r="NAK281" s="1069"/>
      <c r="NAL281" s="1069"/>
      <c r="NAM281" s="1069"/>
      <c r="NAN281" s="1069"/>
      <c r="NAO281" s="1069"/>
      <c r="NAP281" s="1069"/>
      <c r="NAQ281" s="1069"/>
      <c r="NAR281" s="1069"/>
      <c r="NAS281" s="1069"/>
      <c r="NAT281" s="1069"/>
      <c r="NAU281" s="1069"/>
      <c r="NAV281" s="1069"/>
      <c r="NAW281" s="1069"/>
      <c r="NAX281" s="1069"/>
      <c r="NAY281" s="1069"/>
      <c r="NAZ281" s="1069"/>
      <c r="NBA281" s="1069"/>
      <c r="NBB281" s="1069"/>
      <c r="NBC281" s="1069"/>
      <c r="NBD281" s="1069"/>
      <c r="NBE281" s="1069"/>
      <c r="NBF281" s="1069"/>
      <c r="NBG281" s="1069"/>
      <c r="NBH281" s="1069"/>
      <c r="NBI281" s="1069"/>
      <c r="NBJ281" s="1069"/>
      <c r="NBK281" s="1069"/>
      <c r="NBL281" s="1069"/>
      <c r="NBM281" s="1069"/>
      <c r="NBN281" s="1069"/>
      <c r="NBO281" s="1069"/>
      <c r="NBP281" s="1069"/>
      <c r="NBQ281" s="1069"/>
      <c r="NBR281" s="1069"/>
      <c r="NBS281" s="1069"/>
      <c r="NBT281" s="1069"/>
      <c r="NBU281" s="1069"/>
      <c r="NBV281" s="1069"/>
      <c r="NBW281" s="1069"/>
      <c r="NBX281" s="1069"/>
      <c r="NBY281" s="1069"/>
      <c r="NBZ281" s="1069"/>
      <c r="NCA281" s="1069"/>
      <c r="NCB281" s="1069"/>
      <c r="NCC281" s="1069"/>
      <c r="NCD281" s="1069"/>
      <c r="NCE281" s="1069"/>
      <c r="NCF281" s="1069"/>
      <c r="NCG281" s="1069"/>
      <c r="NCH281" s="1069"/>
      <c r="NCI281" s="1069"/>
      <c r="NCJ281" s="1069"/>
      <c r="NCK281" s="1069"/>
      <c r="NCL281" s="1069"/>
      <c r="NCM281" s="1069"/>
      <c r="NCN281" s="1069"/>
      <c r="NCO281" s="1069"/>
      <c r="NCP281" s="1069"/>
      <c r="NCQ281" s="1069"/>
      <c r="NCR281" s="1069"/>
      <c r="NCS281" s="1069"/>
      <c r="NCT281" s="1069"/>
      <c r="NCU281" s="1069"/>
      <c r="NCV281" s="1069"/>
      <c r="NCW281" s="1069"/>
      <c r="NCX281" s="1069"/>
      <c r="NCY281" s="1069"/>
      <c r="NCZ281" s="1069"/>
      <c r="NDA281" s="1069"/>
      <c r="NDB281" s="1069"/>
      <c r="NDC281" s="1069"/>
      <c r="NDD281" s="1069"/>
      <c r="NDE281" s="1069"/>
      <c r="NDF281" s="1069"/>
      <c r="NDG281" s="1069"/>
      <c r="NDH281" s="1069"/>
      <c r="NDI281" s="1069"/>
      <c r="NDJ281" s="1069"/>
      <c r="NDK281" s="1069"/>
      <c r="NDL281" s="1069"/>
      <c r="NDM281" s="1069"/>
      <c r="NDN281" s="1069"/>
      <c r="NDO281" s="1069"/>
      <c r="NDP281" s="1069"/>
      <c r="NDQ281" s="1069"/>
      <c r="NDR281" s="1069"/>
      <c r="NDS281" s="1069"/>
      <c r="NDT281" s="1069"/>
      <c r="NDU281" s="1069"/>
      <c r="NDV281" s="1069"/>
      <c r="NDW281" s="1069"/>
      <c r="NDX281" s="1069"/>
      <c r="NDY281" s="1069"/>
      <c r="NDZ281" s="1069"/>
      <c r="NEA281" s="1069"/>
      <c r="NEB281" s="1069"/>
      <c r="NEC281" s="1069"/>
      <c r="NED281" s="1069"/>
      <c r="NEE281" s="1069"/>
      <c r="NEF281" s="1069"/>
      <c r="NEG281" s="1069"/>
      <c r="NEH281" s="1069"/>
      <c r="NEI281" s="1069"/>
      <c r="NEJ281" s="1069"/>
      <c r="NEK281" s="1069"/>
      <c r="NEL281" s="1069"/>
      <c r="NEM281" s="1069"/>
      <c r="NEN281" s="1069"/>
      <c r="NEO281" s="1069"/>
      <c r="NEP281" s="1069"/>
      <c r="NEQ281" s="1069"/>
      <c r="NER281" s="1069"/>
      <c r="NES281" s="1069"/>
      <c r="NET281" s="1069"/>
      <c r="NEU281" s="1069"/>
      <c r="NEV281" s="1069"/>
      <c r="NEW281" s="1069"/>
      <c r="NEX281" s="1069"/>
      <c r="NEY281" s="1069"/>
      <c r="NEZ281" s="1069"/>
      <c r="NFA281" s="1069"/>
      <c r="NFB281" s="1069"/>
      <c r="NFC281" s="1069"/>
      <c r="NFD281" s="1069"/>
      <c r="NFE281" s="1069"/>
      <c r="NFF281" s="1069"/>
      <c r="NFG281" s="1069"/>
      <c r="NFH281" s="1069"/>
      <c r="NFI281" s="1069"/>
      <c r="NFJ281" s="1069"/>
      <c r="NFK281" s="1069"/>
      <c r="NFL281" s="1069"/>
      <c r="NFM281" s="1069"/>
      <c r="NFN281" s="1069"/>
      <c r="NFO281" s="1069"/>
      <c r="NFP281" s="1069"/>
      <c r="NFQ281" s="1069"/>
      <c r="NFR281" s="1069"/>
      <c r="NFS281" s="1069"/>
      <c r="NFT281" s="1069"/>
      <c r="NFU281" s="1069"/>
      <c r="NFV281" s="1069"/>
      <c r="NFW281" s="1069"/>
      <c r="NFX281" s="1069"/>
      <c r="NFY281" s="1069"/>
      <c r="NFZ281" s="1069"/>
      <c r="NGA281" s="1069"/>
      <c r="NGB281" s="1069"/>
      <c r="NGC281" s="1069"/>
      <c r="NGD281" s="1069"/>
      <c r="NGE281" s="1069"/>
      <c r="NGF281" s="1069"/>
      <c r="NGG281" s="1069"/>
      <c r="NGH281" s="1069"/>
      <c r="NGI281" s="1069"/>
      <c r="NGJ281" s="1069"/>
      <c r="NGK281" s="1069"/>
      <c r="NGL281" s="1069"/>
      <c r="NGM281" s="1069"/>
      <c r="NGN281" s="1069"/>
      <c r="NGO281" s="1069"/>
      <c r="NGP281" s="1069"/>
      <c r="NGQ281" s="1069"/>
      <c r="NGR281" s="1069"/>
      <c r="NGS281" s="1069"/>
      <c r="NGT281" s="1069"/>
      <c r="NGU281" s="1069"/>
      <c r="NGV281" s="1069"/>
      <c r="NGW281" s="1069"/>
      <c r="NGX281" s="1069"/>
      <c r="NGY281" s="1069"/>
      <c r="NGZ281" s="1069"/>
      <c r="NHA281" s="1069"/>
      <c r="NHB281" s="1069"/>
      <c r="NHC281" s="1069"/>
      <c r="NHD281" s="1069"/>
      <c r="NHE281" s="1069"/>
      <c r="NHF281" s="1069"/>
      <c r="NHG281" s="1069"/>
      <c r="NHH281" s="1069"/>
      <c r="NHI281" s="1069"/>
      <c r="NHJ281" s="1069"/>
      <c r="NHK281" s="1069"/>
      <c r="NHL281" s="1069"/>
      <c r="NHM281" s="1069"/>
      <c r="NHN281" s="1069"/>
      <c r="NHO281" s="1069"/>
      <c r="NHP281" s="1069"/>
      <c r="NHQ281" s="1069"/>
      <c r="NHR281" s="1069"/>
      <c r="NHS281" s="1069"/>
      <c r="NHT281" s="1069"/>
      <c r="NHU281" s="1069"/>
      <c r="NHV281" s="1069"/>
      <c r="NHW281" s="1069"/>
      <c r="NHX281" s="1069"/>
      <c r="NHY281" s="1069"/>
      <c r="NHZ281" s="1069"/>
      <c r="NIA281" s="1069"/>
      <c r="NIB281" s="1069"/>
      <c r="NIC281" s="1069"/>
      <c r="NID281" s="1069"/>
      <c r="NIE281" s="1069"/>
      <c r="NIF281" s="1069"/>
      <c r="NIG281" s="1069"/>
      <c r="NIH281" s="1069"/>
      <c r="NII281" s="1069"/>
      <c r="NIJ281" s="1069"/>
      <c r="NIK281" s="1069"/>
      <c r="NIL281" s="1069"/>
      <c r="NIM281" s="1069"/>
      <c r="NIN281" s="1069"/>
      <c r="NIO281" s="1069"/>
      <c r="NIP281" s="1069"/>
      <c r="NIQ281" s="1069"/>
      <c r="NIR281" s="1069"/>
      <c r="NIS281" s="1069"/>
      <c r="NIT281" s="1069"/>
      <c r="NIU281" s="1069"/>
      <c r="NIV281" s="1069"/>
      <c r="NIW281" s="1069"/>
      <c r="NIX281" s="1069"/>
      <c r="NIY281" s="1069"/>
      <c r="NIZ281" s="1069"/>
      <c r="NJA281" s="1069"/>
      <c r="NJB281" s="1069"/>
      <c r="NJC281" s="1069"/>
      <c r="NJD281" s="1069"/>
      <c r="NJE281" s="1069"/>
      <c r="NJF281" s="1069"/>
      <c r="NJG281" s="1069"/>
      <c r="NJH281" s="1069"/>
      <c r="NJI281" s="1069"/>
      <c r="NJJ281" s="1069"/>
      <c r="NJK281" s="1069"/>
      <c r="NJL281" s="1069"/>
      <c r="NJM281" s="1069"/>
      <c r="NJN281" s="1069"/>
      <c r="NJO281" s="1069"/>
      <c r="NJP281" s="1069"/>
      <c r="NJQ281" s="1069"/>
      <c r="NJR281" s="1069"/>
      <c r="NJS281" s="1069"/>
      <c r="NJT281" s="1069"/>
      <c r="NJU281" s="1069"/>
      <c r="NJV281" s="1069"/>
      <c r="NJW281" s="1069"/>
      <c r="NJX281" s="1069"/>
      <c r="NJY281" s="1069"/>
      <c r="NJZ281" s="1069"/>
      <c r="NKA281" s="1069"/>
      <c r="NKB281" s="1069"/>
      <c r="NKC281" s="1069"/>
      <c r="NKD281" s="1069"/>
      <c r="NKE281" s="1069"/>
      <c r="NKF281" s="1069"/>
      <c r="NKG281" s="1069"/>
      <c r="NKH281" s="1069"/>
      <c r="NKI281" s="1069"/>
      <c r="NKJ281" s="1069"/>
      <c r="NKK281" s="1069"/>
      <c r="NKL281" s="1069"/>
      <c r="NKM281" s="1069"/>
      <c r="NKN281" s="1069"/>
      <c r="NKO281" s="1069"/>
      <c r="NKP281" s="1069"/>
      <c r="NKQ281" s="1069"/>
      <c r="NKR281" s="1069"/>
      <c r="NKS281" s="1069"/>
      <c r="NKT281" s="1069"/>
      <c r="NKU281" s="1069"/>
      <c r="NKV281" s="1069"/>
      <c r="NKW281" s="1069"/>
      <c r="NKX281" s="1069"/>
      <c r="NKY281" s="1069"/>
      <c r="NKZ281" s="1069"/>
      <c r="NLA281" s="1069"/>
      <c r="NLB281" s="1069"/>
      <c r="NLC281" s="1069"/>
      <c r="NLD281" s="1069"/>
      <c r="NLE281" s="1069"/>
      <c r="NLF281" s="1069"/>
      <c r="NLG281" s="1069"/>
      <c r="NLH281" s="1069"/>
      <c r="NLI281" s="1069"/>
      <c r="NLJ281" s="1069"/>
      <c r="NLK281" s="1069"/>
      <c r="NLL281" s="1069"/>
      <c r="NLM281" s="1069"/>
      <c r="NLN281" s="1069"/>
      <c r="NLO281" s="1069"/>
      <c r="NLP281" s="1069"/>
      <c r="NLQ281" s="1069"/>
      <c r="NLR281" s="1069"/>
      <c r="NLS281" s="1069"/>
      <c r="NLT281" s="1069"/>
      <c r="NLU281" s="1069"/>
      <c r="NLV281" s="1069"/>
      <c r="NLW281" s="1069"/>
      <c r="NLX281" s="1069"/>
      <c r="NLY281" s="1069"/>
      <c r="NLZ281" s="1069"/>
      <c r="NMA281" s="1069"/>
      <c r="NMB281" s="1069"/>
      <c r="NMC281" s="1069"/>
      <c r="NMD281" s="1069"/>
      <c r="NME281" s="1069"/>
      <c r="NMF281" s="1069"/>
      <c r="NMG281" s="1069"/>
      <c r="NMH281" s="1069"/>
      <c r="NMI281" s="1069"/>
      <c r="NMJ281" s="1069"/>
      <c r="NMK281" s="1069"/>
      <c r="NML281" s="1069"/>
      <c r="NMM281" s="1069"/>
      <c r="NMN281" s="1069"/>
      <c r="NMO281" s="1069"/>
      <c r="NMP281" s="1069"/>
      <c r="NMQ281" s="1069"/>
      <c r="NMR281" s="1069"/>
      <c r="NMS281" s="1069"/>
      <c r="NMT281" s="1069"/>
      <c r="NMU281" s="1069"/>
      <c r="NMV281" s="1069"/>
      <c r="NMW281" s="1069"/>
      <c r="NMX281" s="1069"/>
      <c r="NMY281" s="1069"/>
      <c r="NMZ281" s="1069"/>
      <c r="NNA281" s="1069"/>
      <c r="NNB281" s="1069"/>
      <c r="NNC281" s="1069"/>
      <c r="NND281" s="1069"/>
      <c r="NNE281" s="1069"/>
      <c r="NNF281" s="1069"/>
      <c r="NNG281" s="1069"/>
      <c r="NNH281" s="1069"/>
      <c r="NNI281" s="1069"/>
      <c r="NNJ281" s="1069"/>
      <c r="NNK281" s="1069"/>
      <c r="NNL281" s="1069"/>
      <c r="NNM281" s="1069"/>
      <c r="NNN281" s="1069"/>
      <c r="NNO281" s="1069"/>
      <c r="NNP281" s="1069"/>
      <c r="NNQ281" s="1069"/>
      <c r="NNR281" s="1069"/>
      <c r="NNS281" s="1069"/>
      <c r="NNT281" s="1069"/>
      <c r="NNU281" s="1069"/>
      <c r="NNV281" s="1069"/>
      <c r="NNW281" s="1069"/>
      <c r="NNX281" s="1069"/>
      <c r="NNY281" s="1069"/>
      <c r="NNZ281" s="1069"/>
      <c r="NOA281" s="1069"/>
      <c r="NOB281" s="1069"/>
      <c r="NOC281" s="1069"/>
      <c r="NOD281" s="1069"/>
      <c r="NOE281" s="1069"/>
      <c r="NOF281" s="1069"/>
      <c r="NOG281" s="1069"/>
      <c r="NOH281" s="1069"/>
      <c r="NOI281" s="1069"/>
      <c r="NOJ281" s="1069"/>
      <c r="NOK281" s="1069"/>
      <c r="NOL281" s="1069"/>
      <c r="NOM281" s="1069"/>
      <c r="NON281" s="1069"/>
      <c r="NOO281" s="1069"/>
      <c r="NOP281" s="1069"/>
      <c r="NOQ281" s="1069"/>
      <c r="NOR281" s="1069"/>
      <c r="NOS281" s="1069"/>
      <c r="NOT281" s="1069"/>
      <c r="NOU281" s="1069"/>
      <c r="NOV281" s="1069"/>
      <c r="NOW281" s="1069"/>
      <c r="NOX281" s="1069"/>
      <c r="NOY281" s="1069"/>
      <c r="NOZ281" s="1069"/>
      <c r="NPA281" s="1069"/>
      <c r="NPB281" s="1069"/>
      <c r="NPC281" s="1069"/>
      <c r="NPD281" s="1069"/>
      <c r="NPE281" s="1069"/>
      <c r="NPF281" s="1069"/>
      <c r="NPG281" s="1069"/>
      <c r="NPH281" s="1069"/>
      <c r="NPI281" s="1069"/>
      <c r="NPJ281" s="1069"/>
      <c r="NPK281" s="1069"/>
      <c r="NPL281" s="1069"/>
      <c r="NPM281" s="1069"/>
      <c r="NPN281" s="1069"/>
      <c r="NPO281" s="1069"/>
      <c r="NPP281" s="1069"/>
      <c r="NPQ281" s="1069"/>
      <c r="NPR281" s="1069"/>
      <c r="NPS281" s="1069"/>
      <c r="NPT281" s="1069"/>
      <c r="NPU281" s="1069"/>
      <c r="NPV281" s="1069"/>
      <c r="NPW281" s="1069"/>
      <c r="NPX281" s="1069"/>
      <c r="NPY281" s="1069"/>
      <c r="NPZ281" s="1069"/>
      <c r="NQA281" s="1069"/>
      <c r="NQB281" s="1069"/>
      <c r="NQC281" s="1069"/>
      <c r="NQD281" s="1069"/>
      <c r="NQE281" s="1069"/>
      <c r="NQF281" s="1069"/>
      <c r="NQG281" s="1069"/>
      <c r="NQH281" s="1069"/>
      <c r="NQI281" s="1069"/>
      <c r="NQJ281" s="1069"/>
      <c r="NQK281" s="1069"/>
      <c r="NQL281" s="1069"/>
      <c r="NQM281" s="1069"/>
      <c r="NQN281" s="1069"/>
      <c r="NQO281" s="1069"/>
      <c r="NQP281" s="1069"/>
      <c r="NQQ281" s="1069"/>
      <c r="NQR281" s="1069"/>
      <c r="NQS281" s="1069"/>
      <c r="NQT281" s="1069"/>
      <c r="NQU281" s="1069"/>
      <c r="NQV281" s="1069"/>
      <c r="NQW281" s="1069"/>
      <c r="NQX281" s="1069"/>
      <c r="NQY281" s="1069"/>
      <c r="NQZ281" s="1069"/>
      <c r="NRA281" s="1069"/>
      <c r="NRB281" s="1069"/>
      <c r="NRC281" s="1069"/>
      <c r="NRD281" s="1069"/>
      <c r="NRE281" s="1069"/>
      <c r="NRF281" s="1069"/>
      <c r="NRG281" s="1069"/>
      <c r="NRH281" s="1069"/>
      <c r="NRI281" s="1069"/>
      <c r="NRJ281" s="1069"/>
      <c r="NRK281" s="1069"/>
      <c r="NRL281" s="1069"/>
      <c r="NRM281" s="1069"/>
      <c r="NRN281" s="1069"/>
      <c r="NRO281" s="1069"/>
      <c r="NRP281" s="1069"/>
      <c r="NRQ281" s="1069"/>
      <c r="NRR281" s="1069"/>
      <c r="NRS281" s="1069"/>
      <c r="NRT281" s="1069"/>
      <c r="NRU281" s="1069"/>
      <c r="NRV281" s="1069"/>
      <c r="NRW281" s="1069"/>
      <c r="NRX281" s="1069"/>
      <c r="NRY281" s="1069"/>
      <c r="NRZ281" s="1069"/>
      <c r="NSA281" s="1069"/>
      <c r="NSB281" s="1069"/>
      <c r="NSC281" s="1069"/>
      <c r="NSD281" s="1069"/>
      <c r="NSE281" s="1069"/>
      <c r="NSF281" s="1069"/>
      <c r="NSG281" s="1069"/>
      <c r="NSH281" s="1069"/>
      <c r="NSI281" s="1069"/>
      <c r="NSJ281" s="1069"/>
      <c r="NSK281" s="1069"/>
      <c r="NSL281" s="1069"/>
      <c r="NSM281" s="1069"/>
      <c r="NSN281" s="1069"/>
      <c r="NSO281" s="1069"/>
      <c r="NSP281" s="1069"/>
      <c r="NSQ281" s="1069"/>
      <c r="NSR281" s="1069"/>
      <c r="NSS281" s="1069"/>
      <c r="NST281" s="1069"/>
      <c r="NSU281" s="1069"/>
      <c r="NSV281" s="1069"/>
      <c r="NSW281" s="1069"/>
      <c r="NSX281" s="1069"/>
      <c r="NSY281" s="1069"/>
      <c r="NSZ281" s="1069"/>
      <c r="NTA281" s="1069"/>
      <c r="NTB281" s="1069"/>
      <c r="NTC281" s="1069"/>
      <c r="NTD281" s="1069"/>
      <c r="NTE281" s="1069"/>
      <c r="NTF281" s="1069"/>
      <c r="NTG281" s="1069"/>
      <c r="NTH281" s="1069"/>
      <c r="NTI281" s="1069"/>
      <c r="NTJ281" s="1069"/>
      <c r="NTK281" s="1069"/>
      <c r="NTL281" s="1069"/>
      <c r="NTM281" s="1069"/>
      <c r="NTN281" s="1069"/>
      <c r="NTO281" s="1069"/>
      <c r="NTP281" s="1069"/>
      <c r="NTQ281" s="1069"/>
      <c r="NTR281" s="1069"/>
      <c r="NTS281" s="1069"/>
      <c r="NTT281" s="1069"/>
      <c r="NTU281" s="1069"/>
      <c r="NTV281" s="1069"/>
      <c r="NTW281" s="1069"/>
      <c r="NTX281" s="1069"/>
      <c r="NTY281" s="1069"/>
      <c r="NTZ281" s="1069"/>
      <c r="NUA281" s="1069"/>
      <c r="NUB281" s="1069"/>
      <c r="NUC281" s="1069"/>
      <c r="NUD281" s="1069"/>
      <c r="NUE281" s="1069"/>
      <c r="NUF281" s="1069"/>
      <c r="NUG281" s="1069"/>
      <c r="NUH281" s="1069"/>
      <c r="NUI281" s="1069"/>
      <c r="NUJ281" s="1069"/>
      <c r="NUK281" s="1069"/>
      <c r="NUL281" s="1069"/>
      <c r="NUM281" s="1069"/>
      <c r="NUN281" s="1069"/>
      <c r="NUO281" s="1069"/>
      <c r="NUP281" s="1069"/>
      <c r="NUQ281" s="1069"/>
      <c r="NUR281" s="1069"/>
      <c r="NUS281" s="1069"/>
      <c r="NUT281" s="1069"/>
      <c r="NUU281" s="1069"/>
      <c r="NUV281" s="1069"/>
      <c r="NUW281" s="1069"/>
      <c r="NUX281" s="1069"/>
      <c r="NUY281" s="1069"/>
      <c r="NUZ281" s="1069"/>
      <c r="NVA281" s="1069"/>
      <c r="NVB281" s="1069"/>
      <c r="NVC281" s="1069"/>
      <c r="NVD281" s="1069"/>
      <c r="NVE281" s="1069"/>
      <c r="NVF281" s="1069"/>
      <c r="NVG281" s="1069"/>
      <c r="NVH281" s="1069"/>
      <c r="NVI281" s="1069"/>
      <c r="NVJ281" s="1069"/>
      <c r="NVK281" s="1069"/>
      <c r="NVL281" s="1069"/>
      <c r="NVM281" s="1069"/>
      <c r="NVN281" s="1069"/>
      <c r="NVO281" s="1069"/>
      <c r="NVP281" s="1069"/>
      <c r="NVQ281" s="1069"/>
      <c r="NVR281" s="1069"/>
      <c r="NVS281" s="1069"/>
      <c r="NVT281" s="1069"/>
      <c r="NVU281" s="1069"/>
      <c r="NVV281" s="1069"/>
      <c r="NVW281" s="1069"/>
      <c r="NVX281" s="1069"/>
      <c r="NVY281" s="1069"/>
      <c r="NVZ281" s="1069"/>
      <c r="NWA281" s="1069"/>
      <c r="NWB281" s="1069"/>
      <c r="NWC281" s="1069"/>
      <c r="NWD281" s="1069"/>
      <c r="NWE281" s="1069"/>
      <c r="NWF281" s="1069"/>
      <c r="NWG281" s="1069"/>
      <c r="NWH281" s="1069"/>
      <c r="NWI281" s="1069"/>
      <c r="NWJ281" s="1069"/>
      <c r="NWK281" s="1069"/>
      <c r="NWL281" s="1069"/>
      <c r="NWM281" s="1069"/>
      <c r="NWN281" s="1069"/>
      <c r="NWO281" s="1069"/>
      <c r="NWP281" s="1069"/>
      <c r="NWQ281" s="1069"/>
      <c r="NWR281" s="1069"/>
      <c r="NWS281" s="1069"/>
      <c r="NWT281" s="1069"/>
      <c r="NWU281" s="1069"/>
      <c r="NWV281" s="1069"/>
      <c r="NWW281" s="1069"/>
      <c r="NWX281" s="1069"/>
      <c r="NWY281" s="1069"/>
      <c r="NWZ281" s="1069"/>
      <c r="NXA281" s="1069"/>
      <c r="NXB281" s="1069"/>
      <c r="NXC281" s="1069"/>
      <c r="NXD281" s="1069"/>
      <c r="NXE281" s="1069"/>
      <c r="NXF281" s="1069"/>
      <c r="NXG281" s="1069"/>
      <c r="NXH281" s="1069"/>
      <c r="NXI281" s="1069"/>
      <c r="NXJ281" s="1069"/>
      <c r="NXK281" s="1069"/>
      <c r="NXL281" s="1069"/>
      <c r="NXM281" s="1069"/>
      <c r="NXN281" s="1069"/>
      <c r="NXO281" s="1069"/>
      <c r="NXP281" s="1069"/>
      <c r="NXQ281" s="1069"/>
      <c r="NXR281" s="1069"/>
      <c r="NXS281" s="1069"/>
      <c r="NXT281" s="1069"/>
      <c r="NXU281" s="1069"/>
      <c r="NXV281" s="1069"/>
      <c r="NXW281" s="1069"/>
      <c r="NXX281" s="1069"/>
      <c r="NXY281" s="1069"/>
      <c r="NXZ281" s="1069"/>
      <c r="NYA281" s="1069"/>
      <c r="NYB281" s="1069"/>
      <c r="NYC281" s="1069"/>
      <c r="NYD281" s="1069"/>
      <c r="NYE281" s="1069"/>
      <c r="NYF281" s="1069"/>
      <c r="NYG281" s="1069"/>
      <c r="NYH281" s="1069"/>
      <c r="NYI281" s="1069"/>
      <c r="NYJ281" s="1069"/>
      <c r="NYK281" s="1069"/>
      <c r="NYL281" s="1069"/>
      <c r="NYM281" s="1069"/>
      <c r="NYN281" s="1069"/>
      <c r="NYO281" s="1069"/>
      <c r="NYP281" s="1069"/>
      <c r="NYQ281" s="1069"/>
      <c r="NYR281" s="1069"/>
      <c r="NYS281" s="1069"/>
      <c r="NYT281" s="1069"/>
      <c r="NYU281" s="1069"/>
      <c r="NYV281" s="1069"/>
      <c r="NYW281" s="1069"/>
      <c r="NYX281" s="1069"/>
      <c r="NYY281" s="1069"/>
      <c r="NYZ281" s="1069"/>
      <c r="NZA281" s="1069"/>
      <c r="NZB281" s="1069"/>
      <c r="NZC281" s="1069"/>
      <c r="NZD281" s="1069"/>
      <c r="NZE281" s="1069"/>
      <c r="NZF281" s="1069"/>
      <c r="NZG281" s="1069"/>
      <c r="NZH281" s="1069"/>
      <c r="NZI281" s="1069"/>
      <c r="NZJ281" s="1069"/>
      <c r="NZK281" s="1069"/>
      <c r="NZL281" s="1069"/>
      <c r="NZM281" s="1069"/>
      <c r="NZN281" s="1069"/>
      <c r="NZO281" s="1069"/>
      <c r="NZP281" s="1069"/>
      <c r="NZQ281" s="1069"/>
      <c r="NZR281" s="1069"/>
      <c r="NZS281" s="1069"/>
      <c r="NZT281" s="1069"/>
      <c r="NZU281" s="1069"/>
      <c r="NZV281" s="1069"/>
      <c r="NZW281" s="1069"/>
      <c r="NZX281" s="1069"/>
      <c r="NZY281" s="1069"/>
      <c r="NZZ281" s="1069"/>
      <c r="OAA281" s="1069"/>
      <c r="OAB281" s="1069"/>
      <c r="OAC281" s="1069"/>
      <c r="OAD281" s="1069"/>
      <c r="OAE281" s="1069"/>
      <c r="OAF281" s="1069"/>
      <c r="OAG281" s="1069"/>
      <c r="OAH281" s="1069"/>
      <c r="OAI281" s="1069"/>
      <c r="OAJ281" s="1069"/>
      <c r="OAK281" s="1069"/>
      <c r="OAL281" s="1069"/>
      <c r="OAM281" s="1069"/>
      <c r="OAN281" s="1069"/>
      <c r="OAO281" s="1069"/>
      <c r="OAP281" s="1069"/>
      <c r="OAQ281" s="1069"/>
      <c r="OAR281" s="1069"/>
      <c r="OAS281" s="1069"/>
      <c r="OAT281" s="1069"/>
      <c r="OAU281" s="1069"/>
      <c r="OAV281" s="1069"/>
      <c r="OAW281" s="1069"/>
      <c r="OAX281" s="1069"/>
      <c r="OAY281" s="1069"/>
      <c r="OAZ281" s="1069"/>
      <c r="OBA281" s="1069"/>
      <c r="OBB281" s="1069"/>
      <c r="OBC281" s="1069"/>
      <c r="OBD281" s="1069"/>
      <c r="OBE281" s="1069"/>
      <c r="OBF281" s="1069"/>
      <c r="OBG281" s="1069"/>
      <c r="OBH281" s="1069"/>
      <c r="OBI281" s="1069"/>
      <c r="OBJ281" s="1069"/>
      <c r="OBK281" s="1069"/>
      <c r="OBL281" s="1069"/>
      <c r="OBM281" s="1069"/>
      <c r="OBN281" s="1069"/>
      <c r="OBO281" s="1069"/>
      <c r="OBP281" s="1069"/>
      <c r="OBQ281" s="1069"/>
      <c r="OBR281" s="1069"/>
      <c r="OBS281" s="1069"/>
      <c r="OBT281" s="1069"/>
      <c r="OBU281" s="1069"/>
      <c r="OBV281" s="1069"/>
      <c r="OBW281" s="1069"/>
      <c r="OBX281" s="1069"/>
      <c r="OBY281" s="1069"/>
      <c r="OBZ281" s="1069"/>
      <c r="OCA281" s="1069"/>
      <c r="OCB281" s="1069"/>
      <c r="OCC281" s="1069"/>
      <c r="OCD281" s="1069"/>
      <c r="OCE281" s="1069"/>
      <c r="OCF281" s="1069"/>
      <c r="OCG281" s="1069"/>
      <c r="OCH281" s="1069"/>
      <c r="OCI281" s="1069"/>
      <c r="OCJ281" s="1069"/>
      <c r="OCK281" s="1069"/>
      <c r="OCL281" s="1069"/>
      <c r="OCM281" s="1069"/>
      <c r="OCN281" s="1069"/>
      <c r="OCO281" s="1069"/>
      <c r="OCP281" s="1069"/>
      <c r="OCQ281" s="1069"/>
      <c r="OCR281" s="1069"/>
      <c r="OCS281" s="1069"/>
      <c r="OCT281" s="1069"/>
      <c r="OCU281" s="1069"/>
      <c r="OCV281" s="1069"/>
      <c r="OCW281" s="1069"/>
      <c r="OCX281" s="1069"/>
      <c r="OCY281" s="1069"/>
      <c r="OCZ281" s="1069"/>
      <c r="ODA281" s="1069"/>
      <c r="ODB281" s="1069"/>
      <c r="ODC281" s="1069"/>
      <c r="ODD281" s="1069"/>
      <c r="ODE281" s="1069"/>
      <c r="ODF281" s="1069"/>
      <c r="ODG281" s="1069"/>
      <c r="ODH281" s="1069"/>
      <c r="ODI281" s="1069"/>
      <c r="ODJ281" s="1069"/>
      <c r="ODK281" s="1069"/>
      <c r="ODL281" s="1069"/>
      <c r="ODM281" s="1069"/>
      <c r="ODN281" s="1069"/>
      <c r="ODO281" s="1069"/>
      <c r="ODP281" s="1069"/>
      <c r="ODQ281" s="1069"/>
      <c r="ODR281" s="1069"/>
      <c r="ODS281" s="1069"/>
      <c r="ODT281" s="1069"/>
      <c r="ODU281" s="1069"/>
      <c r="ODV281" s="1069"/>
      <c r="ODW281" s="1069"/>
      <c r="ODX281" s="1069"/>
      <c r="ODY281" s="1069"/>
      <c r="ODZ281" s="1069"/>
      <c r="OEA281" s="1069"/>
      <c r="OEB281" s="1069"/>
      <c r="OEC281" s="1069"/>
      <c r="OED281" s="1069"/>
      <c r="OEE281" s="1069"/>
      <c r="OEF281" s="1069"/>
      <c r="OEG281" s="1069"/>
      <c r="OEH281" s="1069"/>
      <c r="OEI281" s="1069"/>
      <c r="OEJ281" s="1069"/>
      <c r="OEK281" s="1069"/>
      <c r="OEL281" s="1069"/>
      <c r="OEM281" s="1069"/>
      <c r="OEN281" s="1069"/>
      <c r="OEO281" s="1069"/>
      <c r="OEP281" s="1069"/>
      <c r="OEQ281" s="1069"/>
      <c r="OER281" s="1069"/>
      <c r="OES281" s="1069"/>
      <c r="OET281" s="1069"/>
      <c r="OEU281" s="1069"/>
      <c r="OEV281" s="1069"/>
      <c r="OEW281" s="1069"/>
      <c r="OEX281" s="1069"/>
      <c r="OEY281" s="1069"/>
      <c r="OEZ281" s="1069"/>
      <c r="OFA281" s="1069"/>
      <c r="OFB281" s="1069"/>
      <c r="OFC281" s="1069"/>
      <c r="OFD281" s="1069"/>
      <c r="OFE281" s="1069"/>
      <c r="OFF281" s="1069"/>
      <c r="OFG281" s="1069"/>
      <c r="OFH281" s="1069"/>
      <c r="OFI281" s="1069"/>
      <c r="OFJ281" s="1069"/>
      <c r="OFK281" s="1069"/>
      <c r="OFL281" s="1069"/>
      <c r="OFM281" s="1069"/>
      <c r="OFN281" s="1069"/>
      <c r="OFO281" s="1069"/>
      <c r="OFP281" s="1069"/>
      <c r="OFQ281" s="1069"/>
      <c r="OFR281" s="1069"/>
      <c r="OFS281" s="1069"/>
      <c r="OFT281" s="1069"/>
      <c r="OFU281" s="1069"/>
      <c r="OFV281" s="1069"/>
      <c r="OFW281" s="1069"/>
      <c r="OFX281" s="1069"/>
      <c r="OFY281" s="1069"/>
      <c r="OFZ281" s="1069"/>
      <c r="OGA281" s="1069"/>
      <c r="OGB281" s="1069"/>
      <c r="OGC281" s="1069"/>
      <c r="OGD281" s="1069"/>
      <c r="OGE281" s="1069"/>
      <c r="OGF281" s="1069"/>
      <c r="OGG281" s="1069"/>
      <c r="OGH281" s="1069"/>
      <c r="OGI281" s="1069"/>
      <c r="OGJ281" s="1069"/>
      <c r="OGK281" s="1069"/>
      <c r="OGL281" s="1069"/>
      <c r="OGM281" s="1069"/>
      <c r="OGN281" s="1069"/>
      <c r="OGO281" s="1069"/>
      <c r="OGP281" s="1069"/>
      <c r="OGQ281" s="1069"/>
      <c r="OGR281" s="1069"/>
      <c r="OGS281" s="1069"/>
      <c r="OGT281" s="1069"/>
      <c r="OGU281" s="1069"/>
      <c r="OGV281" s="1069"/>
      <c r="OGW281" s="1069"/>
      <c r="OGX281" s="1069"/>
      <c r="OGY281" s="1069"/>
      <c r="OGZ281" s="1069"/>
      <c r="OHA281" s="1069"/>
      <c r="OHB281" s="1069"/>
      <c r="OHC281" s="1069"/>
      <c r="OHD281" s="1069"/>
      <c r="OHE281" s="1069"/>
      <c r="OHF281" s="1069"/>
      <c r="OHG281" s="1069"/>
      <c r="OHH281" s="1069"/>
      <c r="OHI281" s="1069"/>
      <c r="OHJ281" s="1069"/>
      <c r="OHK281" s="1069"/>
      <c r="OHL281" s="1069"/>
      <c r="OHM281" s="1069"/>
      <c r="OHN281" s="1069"/>
      <c r="OHO281" s="1069"/>
      <c r="OHP281" s="1069"/>
      <c r="OHQ281" s="1069"/>
      <c r="OHR281" s="1069"/>
      <c r="OHS281" s="1069"/>
      <c r="OHT281" s="1069"/>
      <c r="OHU281" s="1069"/>
      <c r="OHV281" s="1069"/>
      <c r="OHW281" s="1069"/>
      <c r="OHX281" s="1069"/>
      <c r="OHY281" s="1069"/>
      <c r="OHZ281" s="1069"/>
      <c r="OIA281" s="1069"/>
      <c r="OIB281" s="1069"/>
      <c r="OIC281" s="1069"/>
      <c r="OID281" s="1069"/>
      <c r="OIE281" s="1069"/>
      <c r="OIF281" s="1069"/>
      <c r="OIG281" s="1069"/>
      <c r="OIH281" s="1069"/>
      <c r="OII281" s="1069"/>
      <c r="OIJ281" s="1069"/>
      <c r="OIK281" s="1069"/>
      <c r="OIL281" s="1069"/>
      <c r="OIM281" s="1069"/>
      <c r="OIN281" s="1069"/>
      <c r="OIO281" s="1069"/>
      <c r="OIP281" s="1069"/>
      <c r="OIQ281" s="1069"/>
      <c r="OIR281" s="1069"/>
      <c r="OIS281" s="1069"/>
      <c r="OIT281" s="1069"/>
      <c r="OIU281" s="1069"/>
      <c r="OIV281" s="1069"/>
      <c r="OIW281" s="1069"/>
      <c r="OIX281" s="1069"/>
      <c r="OIY281" s="1069"/>
      <c r="OIZ281" s="1069"/>
      <c r="OJA281" s="1069"/>
      <c r="OJB281" s="1069"/>
      <c r="OJC281" s="1069"/>
      <c r="OJD281" s="1069"/>
      <c r="OJE281" s="1069"/>
      <c r="OJF281" s="1069"/>
      <c r="OJG281" s="1069"/>
      <c r="OJH281" s="1069"/>
      <c r="OJI281" s="1069"/>
      <c r="OJJ281" s="1069"/>
      <c r="OJK281" s="1069"/>
      <c r="OJL281" s="1069"/>
      <c r="OJM281" s="1069"/>
      <c r="OJN281" s="1069"/>
      <c r="OJO281" s="1069"/>
      <c r="OJP281" s="1069"/>
      <c r="OJQ281" s="1069"/>
      <c r="OJR281" s="1069"/>
      <c r="OJS281" s="1069"/>
      <c r="OJT281" s="1069"/>
      <c r="OJU281" s="1069"/>
      <c r="OJV281" s="1069"/>
      <c r="OJW281" s="1069"/>
      <c r="OJX281" s="1069"/>
      <c r="OJY281" s="1069"/>
      <c r="OJZ281" s="1069"/>
      <c r="OKA281" s="1069"/>
      <c r="OKB281" s="1069"/>
      <c r="OKC281" s="1069"/>
      <c r="OKD281" s="1069"/>
      <c r="OKE281" s="1069"/>
      <c r="OKF281" s="1069"/>
      <c r="OKG281" s="1069"/>
      <c r="OKH281" s="1069"/>
      <c r="OKI281" s="1069"/>
      <c r="OKJ281" s="1069"/>
      <c r="OKK281" s="1069"/>
      <c r="OKL281" s="1069"/>
      <c r="OKM281" s="1069"/>
      <c r="OKN281" s="1069"/>
      <c r="OKO281" s="1069"/>
      <c r="OKP281" s="1069"/>
      <c r="OKQ281" s="1069"/>
      <c r="OKR281" s="1069"/>
      <c r="OKS281" s="1069"/>
      <c r="OKT281" s="1069"/>
      <c r="OKU281" s="1069"/>
      <c r="OKV281" s="1069"/>
      <c r="OKW281" s="1069"/>
      <c r="OKX281" s="1069"/>
      <c r="OKY281" s="1069"/>
      <c r="OKZ281" s="1069"/>
      <c r="OLA281" s="1069"/>
      <c r="OLB281" s="1069"/>
      <c r="OLC281" s="1069"/>
      <c r="OLD281" s="1069"/>
      <c r="OLE281" s="1069"/>
      <c r="OLF281" s="1069"/>
      <c r="OLG281" s="1069"/>
      <c r="OLH281" s="1069"/>
      <c r="OLI281" s="1069"/>
      <c r="OLJ281" s="1069"/>
      <c r="OLK281" s="1069"/>
      <c r="OLL281" s="1069"/>
      <c r="OLM281" s="1069"/>
      <c r="OLN281" s="1069"/>
      <c r="OLO281" s="1069"/>
      <c r="OLP281" s="1069"/>
      <c r="OLQ281" s="1069"/>
      <c r="OLR281" s="1069"/>
      <c r="OLS281" s="1069"/>
      <c r="OLT281" s="1069"/>
      <c r="OLU281" s="1069"/>
      <c r="OLV281" s="1069"/>
      <c r="OLW281" s="1069"/>
      <c r="OLX281" s="1069"/>
      <c r="OLY281" s="1069"/>
      <c r="OLZ281" s="1069"/>
      <c r="OMA281" s="1069"/>
      <c r="OMB281" s="1069"/>
      <c r="OMC281" s="1069"/>
      <c r="OMD281" s="1069"/>
      <c r="OME281" s="1069"/>
      <c r="OMF281" s="1069"/>
      <c r="OMG281" s="1069"/>
      <c r="OMH281" s="1069"/>
      <c r="OMI281" s="1069"/>
      <c r="OMJ281" s="1069"/>
      <c r="OMK281" s="1069"/>
      <c r="OML281" s="1069"/>
      <c r="OMM281" s="1069"/>
      <c r="OMN281" s="1069"/>
      <c r="OMO281" s="1069"/>
      <c r="OMP281" s="1069"/>
      <c r="OMQ281" s="1069"/>
      <c r="OMR281" s="1069"/>
      <c r="OMS281" s="1069"/>
      <c r="OMT281" s="1069"/>
      <c r="OMU281" s="1069"/>
      <c r="OMV281" s="1069"/>
      <c r="OMW281" s="1069"/>
      <c r="OMX281" s="1069"/>
      <c r="OMY281" s="1069"/>
      <c r="OMZ281" s="1069"/>
      <c r="ONA281" s="1069"/>
      <c r="ONB281" s="1069"/>
      <c r="ONC281" s="1069"/>
      <c r="OND281" s="1069"/>
      <c r="ONE281" s="1069"/>
      <c r="ONF281" s="1069"/>
      <c r="ONG281" s="1069"/>
      <c r="ONH281" s="1069"/>
      <c r="ONI281" s="1069"/>
      <c r="ONJ281" s="1069"/>
      <c r="ONK281" s="1069"/>
      <c r="ONL281" s="1069"/>
      <c r="ONM281" s="1069"/>
      <c r="ONN281" s="1069"/>
      <c r="ONO281" s="1069"/>
      <c r="ONP281" s="1069"/>
      <c r="ONQ281" s="1069"/>
      <c r="ONR281" s="1069"/>
      <c r="ONS281" s="1069"/>
      <c r="ONT281" s="1069"/>
      <c r="ONU281" s="1069"/>
      <c r="ONV281" s="1069"/>
      <c r="ONW281" s="1069"/>
      <c r="ONX281" s="1069"/>
      <c r="ONY281" s="1069"/>
      <c r="ONZ281" s="1069"/>
      <c r="OOA281" s="1069"/>
      <c r="OOB281" s="1069"/>
      <c r="OOC281" s="1069"/>
      <c r="OOD281" s="1069"/>
      <c r="OOE281" s="1069"/>
      <c r="OOF281" s="1069"/>
      <c r="OOG281" s="1069"/>
      <c r="OOH281" s="1069"/>
      <c r="OOI281" s="1069"/>
      <c r="OOJ281" s="1069"/>
      <c r="OOK281" s="1069"/>
      <c r="OOL281" s="1069"/>
      <c r="OOM281" s="1069"/>
      <c r="OON281" s="1069"/>
      <c r="OOO281" s="1069"/>
      <c r="OOP281" s="1069"/>
      <c r="OOQ281" s="1069"/>
      <c r="OOR281" s="1069"/>
      <c r="OOS281" s="1069"/>
      <c r="OOT281" s="1069"/>
      <c r="OOU281" s="1069"/>
      <c r="OOV281" s="1069"/>
      <c r="OOW281" s="1069"/>
      <c r="OOX281" s="1069"/>
      <c r="OOY281" s="1069"/>
      <c r="OOZ281" s="1069"/>
      <c r="OPA281" s="1069"/>
      <c r="OPB281" s="1069"/>
      <c r="OPC281" s="1069"/>
      <c r="OPD281" s="1069"/>
      <c r="OPE281" s="1069"/>
      <c r="OPF281" s="1069"/>
      <c r="OPG281" s="1069"/>
      <c r="OPH281" s="1069"/>
      <c r="OPI281" s="1069"/>
      <c r="OPJ281" s="1069"/>
      <c r="OPK281" s="1069"/>
      <c r="OPL281" s="1069"/>
      <c r="OPM281" s="1069"/>
      <c r="OPN281" s="1069"/>
      <c r="OPO281" s="1069"/>
      <c r="OPP281" s="1069"/>
      <c r="OPQ281" s="1069"/>
      <c r="OPR281" s="1069"/>
      <c r="OPS281" s="1069"/>
      <c r="OPT281" s="1069"/>
      <c r="OPU281" s="1069"/>
      <c r="OPV281" s="1069"/>
      <c r="OPW281" s="1069"/>
      <c r="OPX281" s="1069"/>
      <c r="OPY281" s="1069"/>
      <c r="OPZ281" s="1069"/>
      <c r="OQA281" s="1069"/>
      <c r="OQB281" s="1069"/>
      <c r="OQC281" s="1069"/>
      <c r="OQD281" s="1069"/>
      <c r="OQE281" s="1069"/>
      <c r="OQF281" s="1069"/>
      <c r="OQG281" s="1069"/>
      <c r="OQH281" s="1069"/>
      <c r="OQI281" s="1069"/>
      <c r="OQJ281" s="1069"/>
      <c r="OQK281" s="1069"/>
      <c r="OQL281" s="1069"/>
      <c r="OQM281" s="1069"/>
      <c r="OQN281" s="1069"/>
      <c r="OQO281" s="1069"/>
      <c r="OQP281" s="1069"/>
      <c r="OQQ281" s="1069"/>
      <c r="OQR281" s="1069"/>
      <c r="OQS281" s="1069"/>
      <c r="OQT281" s="1069"/>
      <c r="OQU281" s="1069"/>
      <c r="OQV281" s="1069"/>
      <c r="OQW281" s="1069"/>
      <c r="OQX281" s="1069"/>
      <c r="OQY281" s="1069"/>
      <c r="OQZ281" s="1069"/>
      <c r="ORA281" s="1069"/>
      <c r="ORB281" s="1069"/>
      <c r="ORC281" s="1069"/>
      <c r="ORD281" s="1069"/>
      <c r="ORE281" s="1069"/>
      <c r="ORF281" s="1069"/>
      <c r="ORG281" s="1069"/>
      <c r="ORH281" s="1069"/>
      <c r="ORI281" s="1069"/>
      <c r="ORJ281" s="1069"/>
      <c r="ORK281" s="1069"/>
      <c r="ORL281" s="1069"/>
      <c r="ORM281" s="1069"/>
      <c r="ORN281" s="1069"/>
      <c r="ORO281" s="1069"/>
      <c r="ORP281" s="1069"/>
      <c r="ORQ281" s="1069"/>
      <c r="ORR281" s="1069"/>
      <c r="ORS281" s="1069"/>
      <c r="ORT281" s="1069"/>
      <c r="ORU281" s="1069"/>
      <c r="ORV281" s="1069"/>
      <c r="ORW281" s="1069"/>
      <c r="ORX281" s="1069"/>
      <c r="ORY281" s="1069"/>
      <c r="ORZ281" s="1069"/>
      <c r="OSA281" s="1069"/>
      <c r="OSB281" s="1069"/>
      <c r="OSC281" s="1069"/>
      <c r="OSD281" s="1069"/>
      <c r="OSE281" s="1069"/>
      <c r="OSF281" s="1069"/>
      <c r="OSG281" s="1069"/>
      <c r="OSH281" s="1069"/>
      <c r="OSI281" s="1069"/>
      <c r="OSJ281" s="1069"/>
      <c r="OSK281" s="1069"/>
      <c r="OSL281" s="1069"/>
      <c r="OSM281" s="1069"/>
      <c r="OSN281" s="1069"/>
      <c r="OSO281" s="1069"/>
      <c r="OSP281" s="1069"/>
      <c r="OSQ281" s="1069"/>
      <c r="OSR281" s="1069"/>
      <c r="OSS281" s="1069"/>
      <c r="OST281" s="1069"/>
      <c r="OSU281" s="1069"/>
      <c r="OSV281" s="1069"/>
      <c r="OSW281" s="1069"/>
      <c r="OSX281" s="1069"/>
      <c r="OSY281" s="1069"/>
      <c r="OSZ281" s="1069"/>
      <c r="OTA281" s="1069"/>
      <c r="OTB281" s="1069"/>
      <c r="OTC281" s="1069"/>
      <c r="OTD281" s="1069"/>
      <c r="OTE281" s="1069"/>
      <c r="OTF281" s="1069"/>
      <c r="OTG281" s="1069"/>
      <c r="OTH281" s="1069"/>
      <c r="OTI281" s="1069"/>
      <c r="OTJ281" s="1069"/>
      <c r="OTK281" s="1069"/>
      <c r="OTL281" s="1069"/>
      <c r="OTM281" s="1069"/>
      <c r="OTN281" s="1069"/>
      <c r="OTO281" s="1069"/>
      <c r="OTP281" s="1069"/>
      <c r="OTQ281" s="1069"/>
      <c r="OTR281" s="1069"/>
      <c r="OTS281" s="1069"/>
      <c r="OTT281" s="1069"/>
      <c r="OTU281" s="1069"/>
      <c r="OTV281" s="1069"/>
      <c r="OTW281" s="1069"/>
      <c r="OTX281" s="1069"/>
      <c r="OTY281" s="1069"/>
      <c r="OTZ281" s="1069"/>
      <c r="OUA281" s="1069"/>
      <c r="OUB281" s="1069"/>
      <c r="OUC281" s="1069"/>
      <c r="OUD281" s="1069"/>
      <c r="OUE281" s="1069"/>
      <c r="OUF281" s="1069"/>
      <c r="OUG281" s="1069"/>
      <c r="OUH281" s="1069"/>
      <c r="OUI281" s="1069"/>
      <c r="OUJ281" s="1069"/>
      <c r="OUK281" s="1069"/>
      <c r="OUL281" s="1069"/>
      <c r="OUM281" s="1069"/>
      <c r="OUN281" s="1069"/>
      <c r="OUO281" s="1069"/>
      <c r="OUP281" s="1069"/>
      <c r="OUQ281" s="1069"/>
      <c r="OUR281" s="1069"/>
      <c r="OUS281" s="1069"/>
      <c r="OUT281" s="1069"/>
      <c r="OUU281" s="1069"/>
      <c r="OUV281" s="1069"/>
      <c r="OUW281" s="1069"/>
      <c r="OUX281" s="1069"/>
      <c r="OUY281" s="1069"/>
      <c r="OUZ281" s="1069"/>
      <c r="OVA281" s="1069"/>
      <c r="OVB281" s="1069"/>
      <c r="OVC281" s="1069"/>
      <c r="OVD281" s="1069"/>
      <c r="OVE281" s="1069"/>
      <c r="OVF281" s="1069"/>
      <c r="OVG281" s="1069"/>
      <c r="OVH281" s="1069"/>
      <c r="OVI281" s="1069"/>
      <c r="OVJ281" s="1069"/>
      <c r="OVK281" s="1069"/>
      <c r="OVL281" s="1069"/>
      <c r="OVM281" s="1069"/>
      <c r="OVN281" s="1069"/>
      <c r="OVO281" s="1069"/>
      <c r="OVP281" s="1069"/>
      <c r="OVQ281" s="1069"/>
      <c r="OVR281" s="1069"/>
      <c r="OVS281" s="1069"/>
      <c r="OVT281" s="1069"/>
      <c r="OVU281" s="1069"/>
      <c r="OVV281" s="1069"/>
      <c r="OVW281" s="1069"/>
      <c r="OVX281" s="1069"/>
      <c r="OVY281" s="1069"/>
      <c r="OVZ281" s="1069"/>
      <c r="OWA281" s="1069"/>
      <c r="OWB281" s="1069"/>
      <c r="OWC281" s="1069"/>
      <c r="OWD281" s="1069"/>
      <c r="OWE281" s="1069"/>
      <c r="OWF281" s="1069"/>
      <c r="OWG281" s="1069"/>
      <c r="OWH281" s="1069"/>
      <c r="OWI281" s="1069"/>
      <c r="OWJ281" s="1069"/>
      <c r="OWK281" s="1069"/>
      <c r="OWL281" s="1069"/>
      <c r="OWM281" s="1069"/>
      <c r="OWN281" s="1069"/>
      <c r="OWO281" s="1069"/>
      <c r="OWP281" s="1069"/>
      <c r="OWQ281" s="1069"/>
      <c r="OWR281" s="1069"/>
      <c r="OWS281" s="1069"/>
      <c r="OWT281" s="1069"/>
      <c r="OWU281" s="1069"/>
      <c r="OWV281" s="1069"/>
      <c r="OWW281" s="1069"/>
      <c r="OWX281" s="1069"/>
      <c r="OWY281" s="1069"/>
      <c r="OWZ281" s="1069"/>
      <c r="OXA281" s="1069"/>
      <c r="OXB281" s="1069"/>
      <c r="OXC281" s="1069"/>
      <c r="OXD281" s="1069"/>
      <c r="OXE281" s="1069"/>
      <c r="OXF281" s="1069"/>
      <c r="OXG281" s="1069"/>
      <c r="OXH281" s="1069"/>
      <c r="OXI281" s="1069"/>
      <c r="OXJ281" s="1069"/>
      <c r="OXK281" s="1069"/>
      <c r="OXL281" s="1069"/>
      <c r="OXM281" s="1069"/>
      <c r="OXN281" s="1069"/>
      <c r="OXO281" s="1069"/>
      <c r="OXP281" s="1069"/>
      <c r="OXQ281" s="1069"/>
      <c r="OXR281" s="1069"/>
      <c r="OXS281" s="1069"/>
      <c r="OXT281" s="1069"/>
      <c r="OXU281" s="1069"/>
      <c r="OXV281" s="1069"/>
      <c r="OXW281" s="1069"/>
      <c r="OXX281" s="1069"/>
      <c r="OXY281" s="1069"/>
      <c r="OXZ281" s="1069"/>
      <c r="OYA281" s="1069"/>
      <c r="OYB281" s="1069"/>
      <c r="OYC281" s="1069"/>
      <c r="OYD281" s="1069"/>
      <c r="OYE281" s="1069"/>
      <c r="OYF281" s="1069"/>
      <c r="OYG281" s="1069"/>
      <c r="OYH281" s="1069"/>
      <c r="OYI281" s="1069"/>
      <c r="OYJ281" s="1069"/>
      <c r="OYK281" s="1069"/>
      <c r="OYL281" s="1069"/>
      <c r="OYM281" s="1069"/>
      <c r="OYN281" s="1069"/>
      <c r="OYO281" s="1069"/>
      <c r="OYP281" s="1069"/>
      <c r="OYQ281" s="1069"/>
      <c r="OYR281" s="1069"/>
      <c r="OYS281" s="1069"/>
      <c r="OYT281" s="1069"/>
      <c r="OYU281" s="1069"/>
      <c r="OYV281" s="1069"/>
      <c r="OYW281" s="1069"/>
      <c r="OYX281" s="1069"/>
      <c r="OYY281" s="1069"/>
      <c r="OYZ281" s="1069"/>
      <c r="OZA281" s="1069"/>
      <c r="OZB281" s="1069"/>
      <c r="OZC281" s="1069"/>
      <c r="OZD281" s="1069"/>
      <c r="OZE281" s="1069"/>
      <c r="OZF281" s="1069"/>
      <c r="OZG281" s="1069"/>
      <c r="OZH281" s="1069"/>
      <c r="OZI281" s="1069"/>
      <c r="OZJ281" s="1069"/>
      <c r="OZK281" s="1069"/>
      <c r="OZL281" s="1069"/>
      <c r="OZM281" s="1069"/>
      <c r="OZN281" s="1069"/>
      <c r="OZO281" s="1069"/>
      <c r="OZP281" s="1069"/>
      <c r="OZQ281" s="1069"/>
      <c r="OZR281" s="1069"/>
      <c r="OZS281" s="1069"/>
      <c r="OZT281" s="1069"/>
      <c r="OZU281" s="1069"/>
      <c r="OZV281" s="1069"/>
      <c r="OZW281" s="1069"/>
      <c r="OZX281" s="1069"/>
      <c r="OZY281" s="1069"/>
      <c r="OZZ281" s="1069"/>
      <c r="PAA281" s="1069"/>
      <c r="PAB281" s="1069"/>
      <c r="PAC281" s="1069"/>
      <c r="PAD281" s="1069"/>
      <c r="PAE281" s="1069"/>
      <c r="PAF281" s="1069"/>
      <c r="PAG281" s="1069"/>
      <c r="PAH281" s="1069"/>
      <c r="PAI281" s="1069"/>
      <c r="PAJ281" s="1069"/>
      <c r="PAK281" s="1069"/>
      <c r="PAL281" s="1069"/>
      <c r="PAM281" s="1069"/>
      <c r="PAN281" s="1069"/>
      <c r="PAO281" s="1069"/>
      <c r="PAP281" s="1069"/>
      <c r="PAQ281" s="1069"/>
      <c r="PAR281" s="1069"/>
      <c r="PAS281" s="1069"/>
      <c r="PAT281" s="1069"/>
      <c r="PAU281" s="1069"/>
      <c r="PAV281" s="1069"/>
      <c r="PAW281" s="1069"/>
      <c r="PAX281" s="1069"/>
      <c r="PAY281" s="1069"/>
      <c r="PAZ281" s="1069"/>
      <c r="PBA281" s="1069"/>
      <c r="PBB281" s="1069"/>
      <c r="PBC281" s="1069"/>
      <c r="PBD281" s="1069"/>
      <c r="PBE281" s="1069"/>
      <c r="PBF281" s="1069"/>
      <c r="PBG281" s="1069"/>
      <c r="PBH281" s="1069"/>
      <c r="PBI281" s="1069"/>
      <c r="PBJ281" s="1069"/>
      <c r="PBK281" s="1069"/>
      <c r="PBL281" s="1069"/>
      <c r="PBM281" s="1069"/>
      <c r="PBN281" s="1069"/>
      <c r="PBO281" s="1069"/>
      <c r="PBP281" s="1069"/>
      <c r="PBQ281" s="1069"/>
      <c r="PBR281" s="1069"/>
      <c r="PBS281" s="1069"/>
      <c r="PBT281" s="1069"/>
      <c r="PBU281" s="1069"/>
      <c r="PBV281" s="1069"/>
      <c r="PBW281" s="1069"/>
      <c r="PBX281" s="1069"/>
      <c r="PBY281" s="1069"/>
      <c r="PBZ281" s="1069"/>
      <c r="PCA281" s="1069"/>
      <c r="PCB281" s="1069"/>
      <c r="PCC281" s="1069"/>
      <c r="PCD281" s="1069"/>
      <c r="PCE281" s="1069"/>
      <c r="PCF281" s="1069"/>
      <c r="PCG281" s="1069"/>
      <c r="PCH281" s="1069"/>
      <c r="PCI281" s="1069"/>
      <c r="PCJ281" s="1069"/>
      <c r="PCK281" s="1069"/>
      <c r="PCL281" s="1069"/>
      <c r="PCM281" s="1069"/>
      <c r="PCN281" s="1069"/>
      <c r="PCO281" s="1069"/>
      <c r="PCP281" s="1069"/>
      <c r="PCQ281" s="1069"/>
      <c r="PCR281" s="1069"/>
      <c r="PCS281" s="1069"/>
      <c r="PCT281" s="1069"/>
      <c r="PCU281" s="1069"/>
      <c r="PCV281" s="1069"/>
      <c r="PCW281" s="1069"/>
      <c r="PCX281" s="1069"/>
      <c r="PCY281" s="1069"/>
      <c r="PCZ281" s="1069"/>
      <c r="PDA281" s="1069"/>
      <c r="PDB281" s="1069"/>
      <c r="PDC281" s="1069"/>
      <c r="PDD281" s="1069"/>
      <c r="PDE281" s="1069"/>
      <c r="PDF281" s="1069"/>
      <c r="PDG281" s="1069"/>
      <c r="PDH281" s="1069"/>
      <c r="PDI281" s="1069"/>
      <c r="PDJ281" s="1069"/>
      <c r="PDK281" s="1069"/>
      <c r="PDL281" s="1069"/>
      <c r="PDM281" s="1069"/>
      <c r="PDN281" s="1069"/>
      <c r="PDO281" s="1069"/>
      <c r="PDP281" s="1069"/>
      <c r="PDQ281" s="1069"/>
      <c r="PDR281" s="1069"/>
      <c r="PDS281" s="1069"/>
      <c r="PDT281" s="1069"/>
      <c r="PDU281" s="1069"/>
      <c r="PDV281" s="1069"/>
      <c r="PDW281" s="1069"/>
      <c r="PDX281" s="1069"/>
      <c r="PDY281" s="1069"/>
      <c r="PDZ281" s="1069"/>
      <c r="PEA281" s="1069"/>
      <c r="PEB281" s="1069"/>
      <c r="PEC281" s="1069"/>
      <c r="PED281" s="1069"/>
      <c r="PEE281" s="1069"/>
      <c r="PEF281" s="1069"/>
      <c r="PEG281" s="1069"/>
      <c r="PEH281" s="1069"/>
      <c r="PEI281" s="1069"/>
      <c r="PEJ281" s="1069"/>
      <c r="PEK281" s="1069"/>
      <c r="PEL281" s="1069"/>
      <c r="PEM281" s="1069"/>
      <c r="PEN281" s="1069"/>
      <c r="PEO281" s="1069"/>
      <c r="PEP281" s="1069"/>
      <c r="PEQ281" s="1069"/>
      <c r="PER281" s="1069"/>
      <c r="PES281" s="1069"/>
      <c r="PET281" s="1069"/>
      <c r="PEU281" s="1069"/>
      <c r="PEV281" s="1069"/>
      <c r="PEW281" s="1069"/>
      <c r="PEX281" s="1069"/>
      <c r="PEY281" s="1069"/>
      <c r="PEZ281" s="1069"/>
      <c r="PFA281" s="1069"/>
      <c r="PFB281" s="1069"/>
      <c r="PFC281" s="1069"/>
      <c r="PFD281" s="1069"/>
      <c r="PFE281" s="1069"/>
      <c r="PFF281" s="1069"/>
      <c r="PFG281" s="1069"/>
      <c r="PFH281" s="1069"/>
      <c r="PFI281" s="1069"/>
      <c r="PFJ281" s="1069"/>
      <c r="PFK281" s="1069"/>
      <c r="PFL281" s="1069"/>
      <c r="PFM281" s="1069"/>
      <c r="PFN281" s="1069"/>
      <c r="PFO281" s="1069"/>
      <c r="PFP281" s="1069"/>
      <c r="PFQ281" s="1069"/>
      <c r="PFR281" s="1069"/>
      <c r="PFS281" s="1069"/>
      <c r="PFT281" s="1069"/>
      <c r="PFU281" s="1069"/>
      <c r="PFV281" s="1069"/>
      <c r="PFW281" s="1069"/>
      <c r="PFX281" s="1069"/>
      <c r="PFY281" s="1069"/>
      <c r="PFZ281" s="1069"/>
      <c r="PGA281" s="1069"/>
      <c r="PGB281" s="1069"/>
      <c r="PGC281" s="1069"/>
      <c r="PGD281" s="1069"/>
      <c r="PGE281" s="1069"/>
      <c r="PGF281" s="1069"/>
      <c r="PGG281" s="1069"/>
      <c r="PGH281" s="1069"/>
      <c r="PGI281" s="1069"/>
      <c r="PGJ281" s="1069"/>
      <c r="PGK281" s="1069"/>
      <c r="PGL281" s="1069"/>
      <c r="PGM281" s="1069"/>
      <c r="PGN281" s="1069"/>
      <c r="PGO281" s="1069"/>
      <c r="PGP281" s="1069"/>
      <c r="PGQ281" s="1069"/>
      <c r="PGR281" s="1069"/>
      <c r="PGS281" s="1069"/>
      <c r="PGT281" s="1069"/>
      <c r="PGU281" s="1069"/>
      <c r="PGV281" s="1069"/>
      <c r="PGW281" s="1069"/>
      <c r="PGX281" s="1069"/>
      <c r="PGY281" s="1069"/>
      <c r="PGZ281" s="1069"/>
      <c r="PHA281" s="1069"/>
      <c r="PHB281" s="1069"/>
      <c r="PHC281" s="1069"/>
      <c r="PHD281" s="1069"/>
      <c r="PHE281" s="1069"/>
      <c r="PHF281" s="1069"/>
      <c r="PHG281" s="1069"/>
      <c r="PHH281" s="1069"/>
      <c r="PHI281" s="1069"/>
      <c r="PHJ281" s="1069"/>
      <c r="PHK281" s="1069"/>
      <c r="PHL281" s="1069"/>
      <c r="PHM281" s="1069"/>
      <c r="PHN281" s="1069"/>
      <c r="PHO281" s="1069"/>
      <c r="PHP281" s="1069"/>
      <c r="PHQ281" s="1069"/>
      <c r="PHR281" s="1069"/>
      <c r="PHS281" s="1069"/>
      <c r="PHT281" s="1069"/>
      <c r="PHU281" s="1069"/>
      <c r="PHV281" s="1069"/>
      <c r="PHW281" s="1069"/>
      <c r="PHX281" s="1069"/>
      <c r="PHY281" s="1069"/>
      <c r="PHZ281" s="1069"/>
      <c r="PIA281" s="1069"/>
      <c r="PIB281" s="1069"/>
      <c r="PIC281" s="1069"/>
      <c r="PID281" s="1069"/>
      <c r="PIE281" s="1069"/>
      <c r="PIF281" s="1069"/>
      <c r="PIG281" s="1069"/>
      <c r="PIH281" s="1069"/>
      <c r="PII281" s="1069"/>
      <c r="PIJ281" s="1069"/>
      <c r="PIK281" s="1069"/>
      <c r="PIL281" s="1069"/>
      <c r="PIM281" s="1069"/>
      <c r="PIN281" s="1069"/>
      <c r="PIO281" s="1069"/>
      <c r="PIP281" s="1069"/>
      <c r="PIQ281" s="1069"/>
      <c r="PIR281" s="1069"/>
      <c r="PIS281" s="1069"/>
      <c r="PIT281" s="1069"/>
      <c r="PIU281" s="1069"/>
      <c r="PIV281" s="1069"/>
      <c r="PIW281" s="1069"/>
      <c r="PIX281" s="1069"/>
      <c r="PIY281" s="1069"/>
      <c r="PIZ281" s="1069"/>
      <c r="PJA281" s="1069"/>
      <c r="PJB281" s="1069"/>
      <c r="PJC281" s="1069"/>
      <c r="PJD281" s="1069"/>
      <c r="PJE281" s="1069"/>
      <c r="PJF281" s="1069"/>
      <c r="PJG281" s="1069"/>
      <c r="PJH281" s="1069"/>
      <c r="PJI281" s="1069"/>
      <c r="PJJ281" s="1069"/>
      <c r="PJK281" s="1069"/>
      <c r="PJL281" s="1069"/>
      <c r="PJM281" s="1069"/>
      <c r="PJN281" s="1069"/>
      <c r="PJO281" s="1069"/>
      <c r="PJP281" s="1069"/>
      <c r="PJQ281" s="1069"/>
      <c r="PJR281" s="1069"/>
      <c r="PJS281" s="1069"/>
      <c r="PJT281" s="1069"/>
      <c r="PJU281" s="1069"/>
      <c r="PJV281" s="1069"/>
      <c r="PJW281" s="1069"/>
      <c r="PJX281" s="1069"/>
      <c r="PJY281" s="1069"/>
      <c r="PJZ281" s="1069"/>
      <c r="PKA281" s="1069"/>
      <c r="PKB281" s="1069"/>
      <c r="PKC281" s="1069"/>
      <c r="PKD281" s="1069"/>
      <c r="PKE281" s="1069"/>
      <c r="PKF281" s="1069"/>
      <c r="PKG281" s="1069"/>
      <c r="PKH281" s="1069"/>
      <c r="PKI281" s="1069"/>
      <c r="PKJ281" s="1069"/>
      <c r="PKK281" s="1069"/>
      <c r="PKL281" s="1069"/>
      <c r="PKM281" s="1069"/>
      <c r="PKN281" s="1069"/>
      <c r="PKO281" s="1069"/>
      <c r="PKP281" s="1069"/>
      <c r="PKQ281" s="1069"/>
      <c r="PKR281" s="1069"/>
      <c r="PKS281" s="1069"/>
      <c r="PKT281" s="1069"/>
      <c r="PKU281" s="1069"/>
      <c r="PKV281" s="1069"/>
      <c r="PKW281" s="1069"/>
      <c r="PKX281" s="1069"/>
      <c r="PKY281" s="1069"/>
      <c r="PKZ281" s="1069"/>
      <c r="PLA281" s="1069"/>
      <c r="PLB281" s="1069"/>
      <c r="PLC281" s="1069"/>
      <c r="PLD281" s="1069"/>
      <c r="PLE281" s="1069"/>
      <c r="PLF281" s="1069"/>
      <c r="PLG281" s="1069"/>
      <c r="PLH281" s="1069"/>
      <c r="PLI281" s="1069"/>
      <c r="PLJ281" s="1069"/>
      <c r="PLK281" s="1069"/>
      <c r="PLL281" s="1069"/>
      <c r="PLM281" s="1069"/>
      <c r="PLN281" s="1069"/>
      <c r="PLO281" s="1069"/>
      <c r="PLP281" s="1069"/>
      <c r="PLQ281" s="1069"/>
      <c r="PLR281" s="1069"/>
      <c r="PLS281" s="1069"/>
      <c r="PLT281" s="1069"/>
      <c r="PLU281" s="1069"/>
      <c r="PLV281" s="1069"/>
      <c r="PLW281" s="1069"/>
      <c r="PLX281" s="1069"/>
      <c r="PLY281" s="1069"/>
      <c r="PLZ281" s="1069"/>
      <c r="PMA281" s="1069"/>
      <c r="PMB281" s="1069"/>
      <c r="PMC281" s="1069"/>
      <c r="PMD281" s="1069"/>
      <c r="PME281" s="1069"/>
      <c r="PMF281" s="1069"/>
      <c r="PMG281" s="1069"/>
      <c r="PMH281" s="1069"/>
      <c r="PMI281" s="1069"/>
      <c r="PMJ281" s="1069"/>
      <c r="PMK281" s="1069"/>
      <c r="PML281" s="1069"/>
      <c r="PMM281" s="1069"/>
      <c r="PMN281" s="1069"/>
      <c r="PMO281" s="1069"/>
      <c r="PMP281" s="1069"/>
      <c r="PMQ281" s="1069"/>
      <c r="PMR281" s="1069"/>
      <c r="PMS281" s="1069"/>
      <c r="PMT281" s="1069"/>
      <c r="PMU281" s="1069"/>
      <c r="PMV281" s="1069"/>
      <c r="PMW281" s="1069"/>
      <c r="PMX281" s="1069"/>
      <c r="PMY281" s="1069"/>
      <c r="PMZ281" s="1069"/>
      <c r="PNA281" s="1069"/>
      <c r="PNB281" s="1069"/>
      <c r="PNC281" s="1069"/>
      <c r="PND281" s="1069"/>
      <c r="PNE281" s="1069"/>
      <c r="PNF281" s="1069"/>
      <c r="PNG281" s="1069"/>
      <c r="PNH281" s="1069"/>
      <c r="PNI281" s="1069"/>
      <c r="PNJ281" s="1069"/>
      <c r="PNK281" s="1069"/>
      <c r="PNL281" s="1069"/>
      <c r="PNM281" s="1069"/>
      <c r="PNN281" s="1069"/>
      <c r="PNO281" s="1069"/>
      <c r="PNP281" s="1069"/>
      <c r="PNQ281" s="1069"/>
      <c r="PNR281" s="1069"/>
      <c r="PNS281" s="1069"/>
      <c r="PNT281" s="1069"/>
      <c r="PNU281" s="1069"/>
      <c r="PNV281" s="1069"/>
      <c r="PNW281" s="1069"/>
      <c r="PNX281" s="1069"/>
      <c r="PNY281" s="1069"/>
      <c r="PNZ281" s="1069"/>
      <c r="POA281" s="1069"/>
      <c r="POB281" s="1069"/>
      <c r="POC281" s="1069"/>
      <c r="POD281" s="1069"/>
      <c r="POE281" s="1069"/>
      <c r="POF281" s="1069"/>
      <c r="POG281" s="1069"/>
      <c r="POH281" s="1069"/>
      <c r="POI281" s="1069"/>
      <c r="POJ281" s="1069"/>
      <c r="POK281" s="1069"/>
      <c r="POL281" s="1069"/>
      <c r="POM281" s="1069"/>
      <c r="PON281" s="1069"/>
      <c r="POO281" s="1069"/>
      <c r="POP281" s="1069"/>
      <c r="POQ281" s="1069"/>
      <c r="POR281" s="1069"/>
      <c r="POS281" s="1069"/>
      <c r="POT281" s="1069"/>
      <c r="POU281" s="1069"/>
      <c r="POV281" s="1069"/>
      <c r="POW281" s="1069"/>
      <c r="POX281" s="1069"/>
      <c r="POY281" s="1069"/>
      <c r="POZ281" s="1069"/>
      <c r="PPA281" s="1069"/>
      <c r="PPB281" s="1069"/>
      <c r="PPC281" s="1069"/>
      <c r="PPD281" s="1069"/>
      <c r="PPE281" s="1069"/>
      <c r="PPF281" s="1069"/>
      <c r="PPG281" s="1069"/>
      <c r="PPH281" s="1069"/>
      <c r="PPI281" s="1069"/>
      <c r="PPJ281" s="1069"/>
      <c r="PPK281" s="1069"/>
      <c r="PPL281" s="1069"/>
      <c r="PPM281" s="1069"/>
      <c r="PPN281" s="1069"/>
      <c r="PPO281" s="1069"/>
      <c r="PPP281" s="1069"/>
      <c r="PPQ281" s="1069"/>
      <c r="PPR281" s="1069"/>
      <c r="PPS281" s="1069"/>
      <c r="PPT281" s="1069"/>
      <c r="PPU281" s="1069"/>
      <c r="PPV281" s="1069"/>
      <c r="PPW281" s="1069"/>
      <c r="PPX281" s="1069"/>
      <c r="PPY281" s="1069"/>
      <c r="PPZ281" s="1069"/>
      <c r="PQA281" s="1069"/>
      <c r="PQB281" s="1069"/>
      <c r="PQC281" s="1069"/>
      <c r="PQD281" s="1069"/>
      <c r="PQE281" s="1069"/>
      <c r="PQF281" s="1069"/>
      <c r="PQG281" s="1069"/>
      <c r="PQH281" s="1069"/>
      <c r="PQI281" s="1069"/>
      <c r="PQJ281" s="1069"/>
      <c r="PQK281" s="1069"/>
      <c r="PQL281" s="1069"/>
      <c r="PQM281" s="1069"/>
      <c r="PQN281" s="1069"/>
      <c r="PQO281" s="1069"/>
      <c r="PQP281" s="1069"/>
      <c r="PQQ281" s="1069"/>
      <c r="PQR281" s="1069"/>
      <c r="PQS281" s="1069"/>
      <c r="PQT281" s="1069"/>
      <c r="PQU281" s="1069"/>
      <c r="PQV281" s="1069"/>
      <c r="PQW281" s="1069"/>
      <c r="PQX281" s="1069"/>
      <c r="PQY281" s="1069"/>
      <c r="PQZ281" s="1069"/>
      <c r="PRA281" s="1069"/>
      <c r="PRB281" s="1069"/>
      <c r="PRC281" s="1069"/>
      <c r="PRD281" s="1069"/>
      <c r="PRE281" s="1069"/>
      <c r="PRF281" s="1069"/>
      <c r="PRG281" s="1069"/>
      <c r="PRH281" s="1069"/>
      <c r="PRI281" s="1069"/>
      <c r="PRJ281" s="1069"/>
      <c r="PRK281" s="1069"/>
      <c r="PRL281" s="1069"/>
      <c r="PRM281" s="1069"/>
      <c r="PRN281" s="1069"/>
      <c r="PRO281" s="1069"/>
      <c r="PRP281" s="1069"/>
      <c r="PRQ281" s="1069"/>
      <c r="PRR281" s="1069"/>
      <c r="PRS281" s="1069"/>
      <c r="PRT281" s="1069"/>
      <c r="PRU281" s="1069"/>
      <c r="PRV281" s="1069"/>
      <c r="PRW281" s="1069"/>
      <c r="PRX281" s="1069"/>
      <c r="PRY281" s="1069"/>
      <c r="PRZ281" s="1069"/>
      <c r="PSA281" s="1069"/>
      <c r="PSB281" s="1069"/>
      <c r="PSC281" s="1069"/>
      <c r="PSD281" s="1069"/>
      <c r="PSE281" s="1069"/>
      <c r="PSF281" s="1069"/>
      <c r="PSG281" s="1069"/>
      <c r="PSH281" s="1069"/>
      <c r="PSI281" s="1069"/>
      <c r="PSJ281" s="1069"/>
      <c r="PSK281" s="1069"/>
      <c r="PSL281" s="1069"/>
      <c r="PSM281" s="1069"/>
      <c r="PSN281" s="1069"/>
      <c r="PSO281" s="1069"/>
      <c r="PSP281" s="1069"/>
      <c r="PSQ281" s="1069"/>
      <c r="PSR281" s="1069"/>
      <c r="PSS281" s="1069"/>
      <c r="PST281" s="1069"/>
      <c r="PSU281" s="1069"/>
      <c r="PSV281" s="1069"/>
      <c r="PSW281" s="1069"/>
      <c r="PSX281" s="1069"/>
      <c r="PSY281" s="1069"/>
      <c r="PSZ281" s="1069"/>
      <c r="PTA281" s="1069"/>
      <c r="PTB281" s="1069"/>
      <c r="PTC281" s="1069"/>
      <c r="PTD281" s="1069"/>
      <c r="PTE281" s="1069"/>
      <c r="PTF281" s="1069"/>
      <c r="PTG281" s="1069"/>
      <c r="PTH281" s="1069"/>
      <c r="PTI281" s="1069"/>
      <c r="PTJ281" s="1069"/>
      <c r="PTK281" s="1069"/>
      <c r="PTL281" s="1069"/>
      <c r="PTM281" s="1069"/>
      <c r="PTN281" s="1069"/>
      <c r="PTO281" s="1069"/>
      <c r="PTP281" s="1069"/>
      <c r="PTQ281" s="1069"/>
      <c r="PTR281" s="1069"/>
      <c r="PTS281" s="1069"/>
      <c r="PTT281" s="1069"/>
      <c r="PTU281" s="1069"/>
      <c r="PTV281" s="1069"/>
      <c r="PTW281" s="1069"/>
      <c r="PTX281" s="1069"/>
      <c r="PTY281" s="1069"/>
      <c r="PTZ281" s="1069"/>
      <c r="PUA281" s="1069"/>
      <c r="PUB281" s="1069"/>
      <c r="PUC281" s="1069"/>
      <c r="PUD281" s="1069"/>
      <c r="PUE281" s="1069"/>
      <c r="PUF281" s="1069"/>
      <c r="PUG281" s="1069"/>
      <c r="PUH281" s="1069"/>
      <c r="PUI281" s="1069"/>
      <c r="PUJ281" s="1069"/>
      <c r="PUK281" s="1069"/>
      <c r="PUL281" s="1069"/>
      <c r="PUM281" s="1069"/>
      <c r="PUN281" s="1069"/>
      <c r="PUO281" s="1069"/>
      <c r="PUP281" s="1069"/>
      <c r="PUQ281" s="1069"/>
      <c r="PUR281" s="1069"/>
      <c r="PUS281" s="1069"/>
      <c r="PUT281" s="1069"/>
      <c r="PUU281" s="1069"/>
      <c r="PUV281" s="1069"/>
      <c r="PUW281" s="1069"/>
      <c r="PUX281" s="1069"/>
      <c r="PUY281" s="1069"/>
      <c r="PUZ281" s="1069"/>
      <c r="PVA281" s="1069"/>
      <c r="PVB281" s="1069"/>
      <c r="PVC281" s="1069"/>
      <c r="PVD281" s="1069"/>
      <c r="PVE281" s="1069"/>
      <c r="PVF281" s="1069"/>
      <c r="PVG281" s="1069"/>
      <c r="PVH281" s="1069"/>
      <c r="PVI281" s="1069"/>
      <c r="PVJ281" s="1069"/>
      <c r="PVK281" s="1069"/>
      <c r="PVL281" s="1069"/>
      <c r="PVM281" s="1069"/>
      <c r="PVN281" s="1069"/>
      <c r="PVO281" s="1069"/>
      <c r="PVP281" s="1069"/>
      <c r="PVQ281" s="1069"/>
      <c r="PVR281" s="1069"/>
      <c r="PVS281" s="1069"/>
      <c r="PVT281" s="1069"/>
      <c r="PVU281" s="1069"/>
      <c r="PVV281" s="1069"/>
      <c r="PVW281" s="1069"/>
      <c r="PVX281" s="1069"/>
      <c r="PVY281" s="1069"/>
      <c r="PVZ281" s="1069"/>
      <c r="PWA281" s="1069"/>
      <c r="PWB281" s="1069"/>
      <c r="PWC281" s="1069"/>
      <c r="PWD281" s="1069"/>
      <c r="PWE281" s="1069"/>
      <c r="PWF281" s="1069"/>
      <c r="PWG281" s="1069"/>
      <c r="PWH281" s="1069"/>
      <c r="PWI281" s="1069"/>
      <c r="PWJ281" s="1069"/>
      <c r="PWK281" s="1069"/>
      <c r="PWL281" s="1069"/>
      <c r="PWM281" s="1069"/>
      <c r="PWN281" s="1069"/>
      <c r="PWO281" s="1069"/>
      <c r="PWP281" s="1069"/>
      <c r="PWQ281" s="1069"/>
      <c r="PWR281" s="1069"/>
      <c r="PWS281" s="1069"/>
      <c r="PWT281" s="1069"/>
      <c r="PWU281" s="1069"/>
      <c r="PWV281" s="1069"/>
      <c r="PWW281" s="1069"/>
      <c r="PWX281" s="1069"/>
      <c r="PWY281" s="1069"/>
      <c r="PWZ281" s="1069"/>
      <c r="PXA281" s="1069"/>
      <c r="PXB281" s="1069"/>
      <c r="PXC281" s="1069"/>
      <c r="PXD281" s="1069"/>
      <c r="PXE281" s="1069"/>
      <c r="PXF281" s="1069"/>
      <c r="PXG281" s="1069"/>
      <c r="PXH281" s="1069"/>
      <c r="PXI281" s="1069"/>
      <c r="PXJ281" s="1069"/>
      <c r="PXK281" s="1069"/>
      <c r="PXL281" s="1069"/>
      <c r="PXM281" s="1069"/>
      <c r="PXN281" s="1069"/>
      <c r="PXO281" s="1069"/>
      <c r="PXP281" s="1069"/>
      <c r="PXQ281" s="1069"/>
      <c r="PXR281" s="1069"/>
      <c r="PXS281" s="1069"/>
      <c r="PXT281" s="1069"/>
      <c r="PXU281" s="1069"/>
      <c r="PXV281" s="1069"/>
      <c r="PXW281" s="1069"/>
      <c r="PXX281" s="1069"/>
      <c r="PXY281" s="1069"/>
      <c r="PXZ281" s="1069"/>
      <c r="PYA281" s="1069"/>
      <c r="PYB281" s="1069"/>
      <c r="PYC281" s="1069"/>
      <c r="PYD281" s="1069"/>
      <c r="PYE281" s="1069"/>
      <c r="PYF281" s="1069"/>
      <c r="PYG281" s="1069"/>
      <c r="PYH281" s="1069"/>
      <c r="PYI281" s="1069"/>
      <c r="PYJ281" s="1069"/>
      <c r="PYK281" s="1069"/>
      <c r="PYL281" s="1069"/>
      <c r="PYM281" s="1069"/>
      <c r="PYN281" s="1069"/>
      <c r="PYO281" s="1069"/>
      <c r="PYP281" s="1069"/>
      <c r="PYQ281" s="1069"/>
      <c r="PYR281" s="1069"/>
      <c r="PYS281" s="1069"/>
      <c r="PYT281" s="1069"/>
      <c r="PYU281" s="1069"/>
      <c r="PYV281" s="1069"/>
      <c r="PYW281" s="1069"/>
      <c r="PYX281" s="1069"/>
      <c r="PYY281" s="1069"/>
      <c r="PYZ281" s="1069"/>
      <c r="PZA281" s="1069"/>
      <c r="PZB281" s="1069"/>
      <c r="PZC281" s="1069"/>
      <c r="PZD281" s="1069"/>
      <c r="PZE281" s="1069"/>
      <c r="PZF281" s="1069"/>
      <c r="PZG281" s="1069"/>
      <c r="PZH281" s="1069"/>
      <c r="PZI281" s="1069"/>
      <c r="PZJ281" s="1069"/>
      <c r="PZK281" s="1069"/>
      <c r="PZL281" s="1069"/>
      <c r="PZM281" s="1069"/>
      <c r="PZN281" s="1069"/>
      <c r="PZO281" s="1069"/>
      <c r="PZP281" s="1069"/>
      <c r="PZQ281" s="1069"/>
      <c r="PZR281" s="1069"/>
      <c r="PZS281" s="1069"/>
      <c r="PZT281" s="1069"/>
      <c r="PZU281" s="1069"/>
      <c r="PZV281" s="1069"/>
      <c r="PZW281" s="1069"/>
      <c r="PZX281" s="1069"/>
      <c r="PZY281" s="1069"/>
      <c r="PZZ281" s="1069"/>
      <c r="QAA281" s="1069"/>
      <c r="QAB281" s="1069"/>
      <c r="QAC281" s="1069"/>
      <c r="QAD281" s="1069"/>
      <c r="QAE281" s="1069"/>
      <c r="QAF281" s="1069"/>
      <c r="QAG281" s="1069"/>
      <c r="QAH281" s="1069"/>
      <c r="QAI281" s="1069"/>
      <c r="QAJ281" s="1069"/>
      <c r="QAK281" s="1069"/>
      <c r="QAL281" s="1069"/>
      <c r="QAM281" s="1069"/>
      <c r="QAN281" s="1069"/>
      <c r="QAO281" s="1069"/>
      <c r="QAP281" s="1069"/>
      <c r="QAQ281" s="1069"/>
      <c r="QAR281" s="1069"/>
      <c r="QAS281" s="1069"/>
      <c r="QAT281" s="1069"/>
      <c r="QAU281" s="1069"/>
      <c r="QAV281" s="1069"/>
      <c r="QAW281" s="1069"/>
      <c r="QAX281" s="1069"/>
      <c r="QAY281" s="1069"/>
      <c r="QAZ281" s="1069"/>
      <c r="QBA281" s="1069"/>
      <c r="QBB281" s="1069"/>
      <c r="QBC281" s="1069"/>
      <c r="QBD281" s="1069"/>
      <c r="QBE281" s="1069"/>
      <c r="QBF281" s="1069"/>
      <c r="QBG281" s="1069"/>
      <c r="QBH281" s="1069"/>
      <c r="QBI281" s="1069"/>
      <c r="QBJ281" s="1069"/>
      <c r="QBK281" s="1069"/>
      <c r="QBL281" s="1069"/>
      <c r="QBM281" s="1069"/>
      <c r="QBN281" s="1069"/>
      <c r="QBO281" s="1069"/>
      <c r="QBP281" s="1069"/>
      <c r="QBQ281" s="1069"/>
      <c r="QBR281" s="1069"/>
      <c r="QBS281" s="1069"/>
      <c r="QBT281" s="1069"/>
      <c r="QBU281" s="1069"/>
      <c r="QBV281" s="1069"/>
      <c r="QBW281" s="1069"/>
      <c r="QBX281" s="1069"/>
      <c r="QBY281" s="1069"/>
      <c r="QBZ281" s="1069"/>
      <c r="QCA281" s="1069"/>
      <c r="QCB281" s="1069"/>
      <c r="QCC281" s="1069"/>
      <c r="QCD281" s="1069"/>
      <c r="QCE281" s="1069"/>
      <c r="QCF281" s="1069"/>
      <c r="QCG281" s="1069"/>
      <c r="QCH281" s="1069"/>
      <c r="QCI281" s="1069"/>
      <c r="QCJ281" s="1069"/>
      <c r="QCK281" s="1069"/>
      <c r="QCL281" s="1069"/>
      <c r="QCM281" s="1069"/>
      <c r="QCN281" s="1069"/>
      <c r="QCO281" s="1069"/>
      <c r="QCP281" s="1069"/>
      <c r="QCQ281" s="1069"/>
      <c r="QCR281" s="1069"/>
      <c r="QCS281" s="1069"/>
      <c r="QCT281" s="1069"/>
      <c r="QCU281" s="1069"/>
      <c r="QCV281" s="1069"/>
      <c r="QCW281" s="1069"/>
      <c r="QCX281" s="1069"/>
      <c r="QCY281" s="1069"/>
      <c r="QCZ281" s="1069"/>
      <c r="QDA281" s="1069"/>
      <c r="QDB281" s="1069"/>
      <c r="QDC281" s="1069"/>
      <c r="QDD281" s="1069"/>
      <c r="QDE281" s="1069"/>
      <c r="QDF281" s="1069"/>
      <c r="QDG281" s="1069"/>
      <c r="QDH281" s="1069"/>
      <c r="QDI281" s="1069"/>
      <c r="QDJ281" s="1069"/>
      <c r="QDK281" s="1069"/>
      <c r="QDL281" s="1069"/>
      <c r="QDM281" s="1069"/>
      <c r="QDN281" s="1069"/>
      <c r="QDO281" s="1069"/>
      <c r="QDP281" s="1069"/>
      <c r="QDQ281" s="1069"/>
      <c r="QDR281" s="1069"/>
      <c r="QDS281" s="1069"/>
      <c r="QDT281" s="1069"/>
      <c r="QDU281" s="1069"/>
      <c r="QDV281" s="1069"/>
      <c r="QDW281" s="1069"/>
      <c r="QDX281" s="1069"/>
      <c r="QDY281" s="1069"/>
      <c r="QDZ281" s="1069"/>
      <c r="QEA281" s="1069"/>
      <c r="QEB281" s="1069"/>
      <c r="QEC281" s="1069"/>
      <c r="QED281" s="1069"/>
      <c r="QEE281" s="1069"/>
      <c r="QEF281" s="1069"/>
      <c r="QEG281" s="1069"/>
      <c r="QEH281" s="1069"/>
      <c r="QEI281" s="1069"/>
      <c r="QEJ281" s="1069"/>
      <c r="QEK281" s="1069"/>
      <c r="QEL281" s="1069"/>
      <c r="QEM281" s="1069"/>
      <c r="QEN281" s="1069"/>
      <c r="QEO281" s="1069"/>
      <c r="QEP281" s="1069"/>
      <c r="QEQ281" s="1069"/>
      <c r="QER281" s="1069"/>
      <c r="QES281" s="1069"/>
      <c r="QET281" s="1069"/>
      <c r="QEU281" s="1069"/>
      <c r="QEV281" s="1069"/>
      <c r="QEW281" s="1069"/>
      <c r="QEX281" s="1069"/>
      <c r="QEY281" s="1069"/>
      <c r="QEZ281" s="1069"/>
      <c r="QFA281" s="1069"/>
      <c r="QFB281" s="1069"/>
      <c r="QFC281" s="1069"/>
      <c r="QFD281" s="1069"/>
      <c r="QFE281" s="1069"/>
      <c r="QFF281" s="1069"/>
      <c r="QFG281" s="1069"/>
      <c r="QFH281" s="1069"/>
      <c r="QFI281" s="1069"/>
      <c r="QFJ281" s="1069"/>
      <c r="QFK281" s="1069"/>
      <c r="QFL281" s="1069"/>
      <c r="QFM281" s="1069"/>
      <c r="QFN281" s="1069"/>
      <c r="QFO281" s="1069"/>
      <c r="QFP281" s="1069"/>
      <c r="QFQ281" s="1069"/>
      <c r="QFR281" s="1069"/>
      <c r="QFS281" s="1069"/>
      <c r="QFT281" s="1069"/>
      <c r="QFU281" s="1069"/>
      <c r="QFV281" s="1069"/>
      <c r="QFW281" s="1069"/>
      <c r="QFX281" s="1069"/>
      <c r="QFY281" s="1069"/>
      <c r="QFZ281" s="1069"/>
      <c r="QGA281" s="1069"/>
      <c r="QGB281" s="1069"/>
      <c r="QGC281" s="1069"/>
      <c r="QGD281" s="1069"/>
      <c r="QGE281" s="1069"/>
      <c r="QGF281" s="1069"/>
      <c r="QGG281" s="1069"/>
      <c r="QGH281" s="1069"/>
      <c r="QGI281" s="1069"/>
      <c r="QGJ281" s="1069"/>
      <c r="QGK281" s="1069"/>
      <c r="QGL281" s="1069"/>
      <c r="QGM281" s="1069"/>
      <c r="QGN281" s="1069"/>
      <c r="QGO281" s="1069"/>
      <c r="QGP281" s="1069"/>
      <c r="QGQ281" s="1069"/>
      <c r="QGR281" s="1069"/>
      <c r="QGS281" s="1069"/>
      <c r="QGT281" s="1069"/>
      <c r="QGU281" s="1069"/>
      <c r="QGV281" s="1069"/>
      <c r="QGW281" s="1069"/>
      <c r="QGX281" s="1069"/>
      <c r="QGY281" s="1069"/>
      <c r="QGZ281" s="1069"/>
      <c r="QHA281" s="1069"/>
      <c r="QHB281" s="1069"/>
      <c r="QHC281" s="1069"/>
      <c r="QHD281" s="1069"/>
      <c r="QHE281" s="1069"/>
      <c r="QHF281" s="1069"/>
      <c r="QHG281" s="1069"/>
      <c r="QHH281" s="1069"/>
      <c r="QHI281" s="1069"/>
      <c r="QHJ281" s="1069"/>
      <c r="QHK281" s="1069"/>
      <c r="QHL281" s="1069"/>
      <c r="QHM281" s="1069"/>
      <c r="QHN281" s="1069"/>
      <c r="QHO281" s="1069"/>
      <c r="QHP281" s="1069"/>
      <c r="QHQ281" s="1069"/>
      <c r="QHR281" s="1069"/>
      <c r="QHS281" s="1069"/>
      <c r="QHT281" s="1069"/>
      <c r="QHU281" s="1069"/>
      <c r="QHV281" s="1069"/>
      <c r="QHW281" s="1069"/>
      <c r="QHX281" s="1069"/>
      <c r="QHY281" s="1069"/>
      <c r="QHZ281" s="1069"/>
      <c r="QIA281" s="1069"/>
      <c r="QIB281" s="1069"/>
      <c r="QIC281" s="1069"/>
      <c r="QID281" s="1069"/>
      <c r="QIE281" s="1069"/>
      <c r="QIF281" s="1069"/>
      <c r="QIG281" s="1069"/>
      <c r="QIH281" s="1069"/>
      <c r="QII281" s="1069"/>
      <c r="QIJ281" s="1069"/>
      <c r="QIK281" s="1069"/>
      <c r="QIL281" s="1069"/>
      <c r="QIM281" s="1069"/>
      <c r="QIN281" s="1069"/>
      <c r="QIO281" s="1069"/>
      <c r="QIP281" s="1069"/>
      <c r="QIQ281" s="1069"/>
      <c r="QIR281" s="1069"/>
      <c r="QIS281" s="1069"/>
      <c r="QIT281" s="1069"/>
      <c r="QIU281" s="1069"/>
      <c r="QIV281" s="1069"/>
      <c r="QIW281" s="1069"/>
      <c r="QIX281" s="1069"/>
      <c r="QIY281" s="1069"/>
      <c r="QIZ281" s="1069"/>
      <c r="QJA281" s="1069"/>
      <c r="QJB281" s="1069"/>
      <c r="QJC281" s="1069"/>
      <c r="QJD281" s="1069"/>
      <c r="QJE281" s="1069"/>
      <c r="QJF281" s="1069"/>
      <c r="QJG281" s="1069"/>
      <c r="QJH281" s="1069"/>
      <c r="QJI281" s="1069"/>
      <c r="QJJ281" s="1069"/>
      <c r="QJK281" s="1069"/>
      <c r="QJL281" s="1069"/>
      <c r="QJM281" s="1069"/>
      <c r="QJN281" s="1069"/>
      <c r="QJO281" s="1069"/>
      <c r="QJP281" s="1069"/>
      <c r="QJQ281" s="1069"/>
      <c r="QJR281" s="1069"/>
      <c r="QJS281" s="1069"/>
      <c r="QJT281" s="1069"/>
      <c r="QJU281" s="1069"/>
      <c r="QJV281" s="1069"/>
      <c r="QJW281" s="1069"/>
      <c r="QJX281" s="1069"/>
      <c r="QJY281" s="1069"/>
      <c r="QJZ281" s="1069"/>
      <c r="QKA281" s="1069"/>
      <c r="QKB281" s="1069"/>
      <c r="QKC281" s="1069"/>
      <c r="QKD281" s="1069"/>
      <c r="QKE281" s="1069"/>
      <c r="QKF281" s="1069"/>
      <c r="QKG281" s="1069"/>
      <c r="QKH281" s="1069"/>
      <c r="QKI281" s="1069"/>
      <c r="QKJ281" s="1069"/>
      <c r="QKK281" s="1069"/>
      <c r="QKL281" s="1069"/>
      <c r="QKM281" s="1069"/>
      <c r="QKN281" s="1069"/>
      <c r="QKO281" s="1069"/>
      <c r="QKP281" s="1069"/>
      <c r="QKQ281" s="1069"/>
      <c r="QKR281" s="1069"/>
      <c r="QKS281" s="1069"/>
      <c r="QKT281" s="1069"/>
      <c r="QKU281" s="1069"/>
      <c r="QKV281" s="1069"/>
      <c r="QKW281" s="1069"/>
      <c r="QKX281" s="1069"/>
      <c r="QKY281" s="1069"/>
      <c r="QKZ281" s="1069"/>
      <c r="QLA281" s="1069"/>
      <c r="QLB281" s="1069"/>
      <c r="QLC281" s="1069"/>
      <c r="QLD281" s="1069"/>
      <c r="QLE281" s="1069"/>
      <c r="QLF281" s="1069"/>
      <c r="QLG281" s="1069"/>
      <c r="QLH281" s="1069"/>
      <c r="QLI281" s="1069"/>
      <c r="QLJ281" s="1069"/>
      <c r="QLK281" s="1069"/>
      <c r="QLL281" s="1069"/>
      <c r="QLM281" s="1069"/>
      <c r="QLN281" s="1069"/>
      <c r="QLO281" s="1069"/>
      <c r="QLP281" s="1069"/>
      <c r="QLQ281" s="1069"/>
      <c r="QLR281" s="1069"/>
      <c r="QLS281" s="1069"/>
      <c r="QLT281" s="1069"/>
      <c r="QLU281" s="1069"/>
      <c r="QLV281" s="1069"/>
      <c r="QLW281" s="1069"/>
      <c r="QLX281" s="1069"/>
      <c r="QLY281" s="1069"/>
      <c r="QLZ281" s="1069"/>
      <c r="QMA281" s="1069"/>
      <c r="QMB281" s="1069"/>
      <c r="QMC281" s="1069"/>
      <c r="QMD281" s="1069"/>
      <c r="QME281" s="1069"/>
      <c r="QMF281" s="1069"/>
      <c r="QMG281" s="1069"/>
      <c r="QMH281" s="1069"/>
      <c r="QMI281" s="1069"/>
      <c r="QMJ281" s="1069"/>
      <c r="QMK281" s="1069"/>
      <c r="QML281" s="1069"/>
      <c r="QMM281" s="1069"/>
      <c r="QMN281" s="1069"/>
      <c r="QMO281" s="1069"/>
      <c r="QMP281" s="1069"/>
      <c r="QMQ281" s="1069"/>
      <c r="QMR281" s="1069"/>
      <c r="QMS281" s="1069"/>
      <c r="QMT281" s="1069"/>
      <c r="QMU281" s="1069"/>
      <c r="QMV281" s="1069"/>
      <c r="QMW281" s="1069"/>
      <c r="QMX281" s="1069"/>
      <c r="QMY281" s="1069"/>
      <c r="QMZ281" s="1069"/>
      <c r="QNA281" s="1069"/>
      <c r="QNB281" s="1069"/>
      <c r="QNC281" s="1069"/>
      <c r="QND281" s="1069"/>
      <c r="QNE281" s="1069"/>
      <c r="QNF281" s="1069"/>
      <c r="QNG281" s="1069"/>
      <c r="QNH281" s="1069"/>
      <c r="QNI281" s="1069"/>
      <c r="QNJ281" s="1069"/>
      <c r="QNK281" s="1069"/>
      <c r="QNL281" s="1069"/>
      <c r="QNM281" s="1069"/>
      <c r="QNN281" s="1069"/>
      <c r="QNO281" s="1069"/>
      <c r="QNP281" s="1069"/>
      <c r="QNQ281" s="1069"/>
      <c r="QNR281" s="1069"/>
      <c r="QNS281" s="1069"/>
      <c r="QNT281" s="1069"/>
      <c r="QNU281" s="1069"/>
      <c r="QNV281" s="1069"/>
      <c r="QNW281" s="1069"/>
      <c r="QNX281" s="1069"/>
      <c r="QNY281" s="1069"/>
      <c r="QNZ281" s="1069"/>
      <c r="QOA281" s="1069"/>
      <c r="QOB281" s="1069"/>
      <c r="QOC281" s="1069"/>
      <c r="QOD281" s="1069"/>
      <c r="QOE281" s="1069"/>
      <c r="QOF281" s="1069"/>
      <c r="QOG281" s="1069"/>
      <c r="QOH281" s="1069"/>
      <c r="QOI281" s="1069"/>
      <c r="QOJ281" s="1069"/>
      <c r="QOK281" s="1069"/>
      <c r="QOL281" s="1069"/>
      <c r="QOM281" s="1069"/>
      <c r="QON281" s="1069"/>
      <c r="QOO281" s="1069"/>
      <c r="QOP281" s="1069"/>
      <c r="QOQ281" s="1069"/>
      <c r="QOR281" s="1069"/>
      <c r="QOS281" s="1069"/>
      <c r="QOT281" s="1069"/>
      <c r="QOU281" s="1069"/>
      <c r="QOV281" s="1069"/>
      <c r="QOW281" s="1069"/>
      <c r="QOX281" s="1069"/>
      <c r="QOY281" s="1069"/>
      <c r="QOZ281" s="1069"/>
      <c r="QPA281" s="1069"/>
      <c r="QPB281" s="1069"/>
      <c r="QPC281" s="1069"/>
      <c r="QPD281" s="1069"/>
      <c r="QPE281" s="1069"/>
      <c r="QPF281" s="1069"/>
      <c r="QPG281" s="1069"/>
      <c r="QPH281" s="1069"/>
      <c r="QPI281" s="1069"/>
      <c r="QPJ281" s="1069"/>
      <c r="QPK281" s="1069"/>
      <c r="QPL281" s="1069"/>
      <c r="QPM281" s="1069"/>
      <c r="QPN281" s="1069"/>
      <c r="QPO281" s="1069"/>
      <c r="QPP281" s="1069"/>
      <c r="QPQ281" s="1069"/>
      <c r="QPR281" s="1069"/>
      <c r="QPS281" s="1069"/>
      <c r="QPT281" s="1069"/>
      <c r="QPU281" s="1069"/>
      <c r="QPV281" s="1069"/>
      <c r="QPW281" s="1069"/>
      <c r="QPX281" s="1069"/>
      <c r="QPY281" s="1069"/>
      <c r="QPZ281" s="1069"/>
      <c r="QQA281" s="1069"/>
      <c r="QQB281" s="1069"/>
      <c r="QQC281" s="1069"/>
      <c r="QQD281" s="1069"/>
      <c r="QQE281" s="1069"/>
      <c r="QQF281" s="1069"/>
      <c r="QQG281" s="1069"/>
      <c r="QQH281" s="1069"/>
      <c r="QQI281" s="1069"/>
      <c r="QQJ281" s="1069"/>
      <c r="QQK281" s="1069"/>
      <c r="QQL281" s="1069"/>
      <c r="QQM281" s="1069"/>
      <c r="QQN281" s="1069"/>
      <c r="QQO281" s="1069"/>
      <c r="QQP281" s="1069"/>
      <c r="QQQ281" s="1069"/>
      <c r="QQR281" s="1069"/>
      <c r="QQS281" s="1069"/>
      <c r="QQT281" s="1069"/>
      <c r="QQU281" s="1069"/>
      <c r="QQV281" s="1069"/>
      <c r="QQW281" s="1069"/>
      <c r="QQX281" s="1069"/>
      <c r="QQY281" s="1069"/>
      <c r="QQZ281" s="1069"/>
      <c r="QRA281" s="1069"/>
      <c r="QRB281" s="1069"/>
      <c r="QRC281" s="1069"/>
      <c r="QRD281" s="1069"/>
      <c r="QRE281" s="1069"/>
      <c r="QRF281" s="1069"/>
      <c r="QRG281" s="1069"/>
      <c r="QRH281" s="1069"/>
      <c r="QRI281" s="1069"/>
      <c r="QRJ281" s="1069"/>
      <c r="QRK281" s="1069"/>
      <c r="QRL281" s="1069"/>
      <c r="QRM281" s="1069"/>
      <c r="QRN281" s="1069"/>
      <c r="QRO281" s="1069"/>
      <c r="QRP281" s="1069"/>
      <c r="QRQ281" s="1069"/>
      <c r="QRR281" s="1069"/>
      <c r="QRS281" s="1069"/>
      <c r="QRT281" s="1069"/>
      <c r="QRU281" s="1069"/>
      <c r="QRV281" s="1069"/>
      <c r="QRW281" s="1069"/>
      <c r="QRX281" s="1069"/>
      <c r="QRY281" s="1069"/>
      <c r="QRZ281" s="1069"/>
      <c r="QSA281" s="1069"/>
      <c r="QSB281" s="1069"/>
      <c r="QSC281" s="1069"/>
      <c r="QSD281" s="1069"/>
      <c r="QSE281" s="1069"/>
      <c r="QSF281" s="1069"/>
      <c r="QSG281" s="1069"/>
      <c r="QSH281" s="1069"/>
      <c r="QSI281" s="1069"/>
      <c r="QSJ281" s="1069"/>
      <c r="QSK281" s="1069"/>
      <c r="QSL281" s="1069"/>
      <c r="QSM281" s="1069"/>
      <c r="QSN281" s="1069"/>
      <c r="QSO281" s="1069"/>
      <c r="QSP281" s="1069"/>
      <c r="QSQ281" s="1069"/>
      <c r="QSR281" s="1069"/>
      <c r="QSS281" s="1069"/>
      <c r="QST281" s="1069"/>
      <c r="QSU281" s="1069"/>
      <c r="QSV281" s="1069"/>
      <c r="QSW281" s="1069"/>
      <c r="QSX281" s="1069"/>
      <c r="QSY281" s="1069"/>
      <c r="QSZ281" s="1069"/>
      <c r="QTA281" s="1069"/>
      <c r="QTB281" s="1069"/>
      <c r="QTC281" s="1069"/>
      <c r="QTD281" s="1069"/>
      <c r="QTE281" s="1069"/>
      <c r="QTF281" s="1069"/>
      <c r="QTG281" s="1069"/>
      <c r="QTH281" s="1069"/>
      <c r="QTI281" s="1069"/>
      <c r="QTJ281" s="1069"/>
      <c r="QTK281" s="1069"/>
      <c r="QTL281" s="1069"/>
      <c r="QTM281" s="1069"/>
      <c r="QTN281" s="1069"/>
      <c r="QTO281" s="1069"/>
      <c r="QTP281" s="1069"/>
      <c r="QTQ281" s="1069"/>
      <c r="QTR281" s="1069"/>
      <c r="QTS281" s="1069"/>
      <c r="QTT281" s="1069"/>
      <c r="QTU281" s="1069"/>
      <c r="QTV281" s="1069"/>
      <c r="QTW281" s="1069"/>
      <c r="QTX281" s="1069"/>
      <c r="QTY281" s="1069"/>
      <c r="QTZ281" s="1069"/>
      <c r="QUA281" s="1069"/>
      <c r="QUB281" s="1069"/>
      <c r="QUC281" s="1069"/>
      <c r="QUD281" s="1069"/>
      <c r="QUE281" s="1069"/>
      <c r="QUF281" s="1069"/>
      <c r="QUG281" s="1069"/>
      <c r="QUH281" s="1069"/>
      <c r="QUI281" s="1069"/>
      <c r="QUJ281" s="1069"/>
      <c r="QUK281" s="1069"/>
      <c r="QUL281" s="1069"/>
      <c r="QUM281" s="1069"/>
      <c r="QUN281" s="1069"/>
      <c r="QUO281" s="1069"/>
      <c r="QUP281" s="1069"/>
      <c r="QUQ281" s="1069"/>
      <c r="QUR281" s="1069"/>
      <c r="QUS281" s="1069"/>
      <c r="QUT281" s="1069"/>
      <c r="QUU281" s="1069"/>
      <c r="QUV281" s="1069"/>
      <c r="QUW281" s="1069"/>
      <c r="QUX281" s="1069"/>
      <c r="QUY281" s="1069"/>
      <c r="QUZ281" s="1069"/>
      <c r="QVA281" s="1069"/>
      <c r="QVB281" s="1069"/>
      <c r="QVC281" s="1069"/>
      <c r="QVD281" s="1069"/>
      <c r="QVE281" s="1069"/>
      <c r="QVF281" s="1069"/>
      <c r="QVG281" s="1069"/>
      <c r="QVH281" s="1069"/>
      <c r="QVI281" s="1069"/>
      <c r="QVJ281" s="1069"/>
      <c r="QVK281" s="1069"/>
      <c r="QVL281" s="1069"/>
      <c r="QVM281" s="1069"/>
      <c r="QVN281" s="1069"/>
      <c r="QVO281" s="1069"/>
      <c r="QVP281" s="1069"/>
      <c r="QVQ281" s="1069"/>
      <c r="QVR281" s="1069"/>
      <c r="QVS281" s="1069"/>
      <c r="QVT281" s="1069"/>
      <c r="QVU281" s="1069"/>
      <c r="QVV281" s="1069"/>
      <c r="QVW281" s="1069"/>
      <c r="QVX281" s="1069"/>
      <c r="QVY281" s="1069"/>
      <c r="QVZ281" s="1069"/>
      <c r="QWA281" s="1069"/>
      <c r="QWB281" s="1069"/>
      <c r="QWC281" s="1069"/>
      <c r="QWD281" s="1069"/>
      <c r="QWE281" s="1069"/>
      <c r="QWF281" s="1069"/>
      <c r="QWG281" s="1069"/>
      <c r="QWH281" s="1069"/>
      <c r="QWI281" s="1069"/>
      <c r="QWJ281" s="1069"/>
      <c r="QWK281" s="1069"/>
      <c r="QWL281" s="1069"/>
      <c r="QWM281" s="1069"/>
      <c r="QWN281" s="1069"/>
      <c r="QWO281" s="1069"/>
      <c r="QWP281" s="1069"/>
      <c r="QWQ281" s="1069"/>
      <c r="QWR281" s="1069"/>
      <c r="QWS281" s="1069"/>
      <c r="QWT281" s="1069"/>
      <c r="QWU281" s="1069"/>
      <c r="QWV281" s="1069"/>
      <c r="QWW281" s="1069"/>
      <c r="QWX281" s="1069"/>
      <c r="QWY281" s="1069"/>
      <c r="QWZ281" s="1069"/>
      <c r="QXA281" s="1069"/>
      <c r="QXB281" s="1069"/>
      <c r="QXC281" s="1069"/>
      <c r="QXD281" s="1069"/>
      <c r="QXE281" s="1069"/>
      <c r="QXF281" s="1069"/>
      <c r="QXG281" s="1069"/>
      <c r="QXH281" s="1069"/>
      <c r="QXI281" s="1069"/>
      <c r="QXJ281" s="1069"/>
      <c r="QXK281" s="1069"/>
      <c r="QXL281" s="1069"/>
      <c r="QXM281" s="1069"/>
      <c r="QXN281" s="1069"/>
      <c r="QXO281" s="1069"/>
      <c r="QXP281" s="1069"/>
      <c r="QXQ281" s="1069"/>
      <c r="QXR281" s="1069"/>
      <c r="QXS281" s="1069"/>
      <c r="QXT281" s="1069"/>
      <c r="QXU281" s="1069"/>
      <c r="QXV281" s="1069"/>
      <c r="QXW281" s="1069"/>
      <c r="QXX281" s="1069"/>
      <c r="QXY281" s="1069"/>
      <c r="QXZ281" s="1069"/>
      <c r="QYA281" s="1069"/>
      <c r="QYB281" s="1069"/>
      <c r="QYC281" s="1069"/>
      <c r="QYD281" s="1069"/>
      <c r="QYE281" s="1069"/>
      <c r="QYF281" s="1069"/>
      <c r="QYG281" s="1069"/>
      <c r="QYH281" s="1069"/>
      <c r="QYI281" s="1069"/>
      <c r="QYJ281" s="1069"/>
      <c r="QYK281" s="1069"/>
      <c r="QYL281" s="1069"/>
      <c r="QYM281" s="1069"/>
      <c r="QYN281" s="1069"/>
      <c r="QYO281" s="1069"/>
      <c r="QYP281" s="1069"/>
      <c r="QYQ281" s="1069"/>
      <c r="QYR281" s="1069"/>
      <c r="QYS281" s="1069"/>
      <c r="QYT281" s="1069"/>
      <c r="QYU281" s="1069"/>
      <c r="QYV281" s="1069"/>
      <c r="QYW281" s="1069"/>
      <c r="QYX281" s="1069"/>
      <c r="QYY281" s="1069"/>
      <c r="QYZ281" s="1069"/>
      <c r="QZA281" s="1069"/>
      <c r="QZB281" s="1069"/>
      <c r="QZC281" s="1069"/>
      <c r="QZD281" s="1069"/>
      <c r="QZE281" s="1069"/>
      <c r="QZF281" s="1069"/>
      <c r="QZG281" s="1069"/>
      <c r="QZH281" s="1069"/>
      <c r="QZI281" s="1069"/>
      <c r="QZJ281" s="1069"/>
      <c r="QZK281" s="1069"/>
      <c r="QZL281" s="1069"/>
      <c r="QZM281" s="1069"/>
      <c r="QZN281" s="1069"/>
      <c r="QZO281" s="1069"/>
      <c r="QZP281" s="1069"/>
      <c r="QZQ281" s="1069"/>
      <c r="QZR281" s="1069"/>
      <c r="QZS281" s="1069"/>
      <c r="QZT281" s="1069"/>
      <c r="QZU281" s="1069"/>
      <c r="QZV281" s="1069"/>
      <c r="QZW281" s="1069"/>
      <c r="QZX281" s="1069"/>
      <c r="QZY281" s="1069"/>
      <c r="QZZ281" s="1069"/>
      <c r="RAA281" s="1069"/>
      <c r="RAB281" s="1069"/>
      <c r="RAC281" s="1069"/>
      <c r="RAD281" s="1069"/>
      <c r="RAE281" s="1069"/>
      <c r="RAF281" s="1069"/>
      <c r="RAG281" s="1069"/>
      <c r="RAH281" s="1069"/>
      <c r="RAI281" s="1069"/>
      <c r="RAJ281" s="1069"/>
      <c r="RAK281" s="1069"/>
      <c r="RAL281" s="1069"/>
      <c r="RAM281" s="1069"/>
      <c r="RAN281" s="1069"/>
      <c r="RAO281" s="1069"/>
      <c r="RAP281" s="1069"/>
      <c r="RAQ281" s="1069"/>
      <c r="RAR281" s="1069"/>
      <c r="RAS281" s="1069"/>
      <c r="RAT281" s="1069"/>
      <c r="RAU281" s="1069"/>
      <c r="RAV281" s="1069"/>
      <c r="RAW281" s="1069"/>
      <c r="RAX281" s="1069"/>
      <c r="RAY281" s="1069"/>
      <c r="RAZ281" s="1069"/>
      <c r="RBA281" s="1069"/>
      <c r="RBB281" s="1069"/>
      <c r="RBC281" s="1069"/>
      <c r="RBD281" s="1069"/>
      <c r="RBE281" s="1069"/>
      <c r="RBF281" s="1069"/>
      <c r="RBG281" s="1069"/>
      <c r="RBH281" s="1069"/>
      <c r="RBI281" s="1069"/>
      <c r="RBJ281" s="1069"/>
      <c r="RBK281" s="1069"/>
      <c r="RBL281" s="1069"/>
      <c r="RBM281" s="1069"/>
      <c r="RBN281" s="1069"/>
      <c r="RBO281" s="1069"/>
      <c r="RBP281" s="1069"/>
      <c r="RBQ281" s="1069"/>
      <c r="RBR281" s="1069"/>
      <c r="RBS281" s="1069"/>
      <c r="RBT281" s="1069"/>
      <c r="RBU281" s="1069"/>
      <c r="RBV281" s="1069"/>
      <c r="RBW281" s="1069"/>
      <c r="RBX281" s="1069"/>
      <c r="RBY281" s="1069"/>
      <c r="RBZ281" s="1069"/>
      <c r="RCA281" s="1069"/>
      <c r="RCB281" s="1069"/>
      <c r="RCC281" s="1069"/>
      <c r="RCD281" s="1069"/>
      <c r="RCE281" s="1069"/>
      <c r="RCF281" s="1069"/>
      <c r="RCG281" s="1069"/>
      <c r="RCH281" s="1069"/>
      <c r="RCI281" s="1069"/>
      <c r="RCJ281" s="1069"/>
      <c r="RCK281" s="1069"/>
      <c r="RCL281" s="1069"/>
      <c r="RCM281" s="1069"/>
      <c r="RCN281" s="1069"/>
      <c r="RCO281" s="1069"/>
      <c r="RCP281" s="1069"/>
      <c r="RCQ281" s="1069"/>
      <c r="RCR281" s="1069"/>
      <c r="RCS281" s="1069"/>
      <c r="RCT281" s="1069"/>
      <c r="RCU281" s="1069"/>
      <c r="RCV281" s="1069"/>
      <c r="RCW281" s="1069"/>
      <c r="RCX281" s="1069"/>
      <c r="RCY281" s="1069"/>
      <c r="RCZ281" s="1069"/>
      <c r="RDA281" s="1069"/>
      <c r="RDB281" s="1069"/>
      <c r="RDC281" s="1069"/>
      <c r="RDD281" s="1069"/>
      <c r="RDE281" s="1069"/>
      <c r="RDF281" s="1069"/>
      <c r="RDG281" s="1069"/>
      <c r="RDH281" s="1069"/>
      <c r="RDI281" s="1069"/>
      <c r="RDJ281" s="1069"/>
      <c r="RDK281" s="1069"/>
      <c r="RDL281" s="1069"/>
      <c r="RDM281" s="1069"/>
      <c r="RDN281" s="1069"/>
      <c r="RDO281" s="1069"/>
      <c r="RDP281" s="1069"/>
      <c r="RDQ281" s="1069"/>
      <c r="RDR281" s="1069"/>
      <c r="RDS281" s="1069"/>
      <c r="RDT281" s="1069"/>
      <c r="RDU281" s="1069"/>
      <c r="RDV281" s="1069"/>
      <c r="RDW281" s="1069"/>
      <c r="RDX281" s="1069"/>
      <c r="RDY281" s="1069"/>
      <c r="RDZ281" s="1069"/>
      <c r="REA281" s="1069"/>
      <c r="REB281" s="1069"/>
      <c r="REC281" s="1069"/>
      <c r="RED281" s="1069"/>
      <c r="REE281" s="1069"/>
      <c r="REF281" s="1069"/>
      <c r="REG281" s="1069"/>
      <c r="REH281" s="1069"/>
      <c r="REI281" s="1069"/>
      <c r="REJ281" s="1069"/>
      <c r="REK281" s="1069"/>
      <c r="REL281" s="1069"/>
      <c r="REM281" s="1069"/>
      <c r="REN281" s="1069"/>
      <c r="REO281" s="1069"/>
      <c r="REP281" s="1069"/>
      <c r="REQ281" s="1069"/>
      <c r="RER281" s="1069"/>
      <c r="RES281" s="1069"/>
      <c r="RET281" s="1069"/>
      <c r="REU281" s="1069"/>
      <c r="REV281" s="1069"/>
      <c r="REW281" s="1069"/>
      <c r="REX281" s="1069"/>
      <c r="REY281" s="1069"/>
      <c r="REZ281" s="1069"/>
      <c r="RFA281" s="1069"/>
      <c r="RFB281" s="1069"/>
      <c r="RFC281" s="1069"/>
      <c r="RFD281" s="1069"/>
      <c r="RFE281" s="1069"/>
      <c r="RFF281" s="1069"/>
      <c r="RFG281" s="1069"/>
      <c r="RFH281" s="1069"/>
      <c r="RFI281" s="1069"/>
      <c r="RFJ281" s="1069"/>
      <c r="RFK281" s="1069"/>
      <c r="RFL281" s="1069"/>
      <c r="RFM281" s="1069"/>
      <c r="RFN281" s="1069"/>
      <c r="RFO281" s="1069"/>
      <c r="RFP281" s="1069"/>
      <c r="RFQ281" s="1069"/>
      <c r="RFR281" s="1069"/>
      <c r="RFS281" s="1069"/>
      <c r="RFT281" s="1069"/>
      <c r="RFU281" s="1069"/>
      <c r="RFV281" s="1069"/>
      <c r="RFW281" s="1069"/>
      <c r="RFX281" s="1069"/>
      <c r="RFY281" s="1069"/>
      <c r="RFZ281" s="1069"/>
      <c r="RGA281" s="1069"/>
      <c r="RGB281" s="1069"/>
      <c r="RGC281" s="1069"/>
      <c r="RGD281" s="1069"/>
      <c r="RGE281" s="1069"/>
      <c r="RGF281" s="1069"/>
      <c r="RGG281" s="1069"/>
      <c r="RGH281" s="1069"/>
      <c r="RGI281" s="1069"/>
      <c r="RGJ281" s="1069"/>
      <c r="RGK281" s="1069"/>
      <c r="RGL281" s="1069"/>
      <c r="RGM281" s="1069"/>
      <c r="RGN281" s="1069"/>
      <c r="RGO281" s="1069"/>
      <c r="RGP281" s="1069"/>
      <c r="RGQ281" s="1069"/>
      <c r="RGR281" s="1069"/>
      <c r="RGS281" s="1069"/>
      <c r="RGT281" s="1069"/>
      <c r="RGU281" s="1069"/>
      <c r="RGV281" s="1069"/>
      <c r="RGW281" s="1069"/>
      <c r="RGX281" s="1069"/>
      <c r="RGY281" s="1069"/>
      <c r="RGZ281" s="1069"/>
      <c r="RHA281" s="1069"/>
      <c r="RHB281" s="1069"/>
      <c r="RHC281" s="1069"/>
      <c r="RHD281" s="1069"/>
      <c r="RHE281" s="1069"/>
      <c r="RHF281" s="1069"/>
      <c r="RHG281" s="1069"/>
      <c r="RHH281" s="1069"/>
      <c r="RHI281" s="1069"/>
      <c r="RHJ281" s="1069"/>
      <c r="RHK281" s="1069"/>
      <c r="RHL281" s="1069"/>
      <c r="RHM281" s="1069"/>
      <c r="RHN281" s="1069"/>
      <c r="RHO281" s="1069"/>
      <c r="RHP281" s="1069"/>
      <c r="RHQ281" s="1069"/>
      <c r="RHR281" s="1069"/>
      <c r="RHS281" s="1069"/>
      <c r="RHT281" s="1069"/>
      <c r="RHU281" s="1069"/>
      <c r="RHV281" s="1069"/>
      <c r="RHW281" s="1069"/>
      <c r="RHX281" s="1069"/>
      <c r="RHY281" s="1069"/>
      <c r="RHZ281" s="1069"/>
      <c r="RIA281" s="1069"/>
      <c r="RIB281" s="1069"/>
      <c r="RIC281" s="1069"/>
      <c r="RID281" s="1069"/>
      <c r="RIE281" s="1069"/>
      <c r="RIF281" s="1069"/>
      <c r="RIG281" s="1069"/>
      <c r="RIH281" s="1069"/>
      <c r="RII281" s="1069"/>
      <c r="RIJ281" s="1069"/>
      <c r="RIK281" s="1069"/>
      <c r="RIL281" s="1069"/>
      <c r="RIM281" s="1069"/>
      <c r="RIN281" s="1069"/>
      <c r="RIO281" s="1069"/>
      <c r="RIP281" s="1069"/>
      <c r="RIQ281" s="1069"/>
      <c r="RIR281" s="1069"/>
      <c r="RIS281" s="1069"/>
      <c r="RIT281" s="1069"/>
      <c r="RIU281" s="1069"/>
      <c r="RIV281" s="1069"/>
      <c r="RIW281" s="1069"/>
      <c r="RIX281" s="1069"/>
      <c r="RIY281" s="1069"/>
      <c r="RIZ281" s="1069"/>
      <c r="RJA281" s="1069"/>
      <c r="RJB281" s="1069"/>
      <c r="RJC281" s="1069"/>
      <c r="RJD281" s="1069"/>
      <c r="RJE281" s="1069"/>
      <c r="RJF281" s="1069"/>
      <c r="RJG281" s="1069"/>
      <c r="RJH281" s="1069"/>
      <c r="RJI281" s="1069"/>
      <c r="RJJ281" s="1069"/>
      <c r="RJK281" s="1069"/>
      <c r="RJL281" s="1069"/>
      <c r="RJM281" s="1069"/>
      <c r="RJN281" s="1069"/>
      <c r="RJO281" s="1069"/>
      <c r="RJP281" s="1069"/>
      <c r="RJQ281" s="1069"/>
      <c r="RJR281" s="1069"/>
      <c r="RJS281" s="1069"/>
      <c r="RJT281" s="1069"/>
      <c r="RJU281" s="1069"/>
      <c r="RJV281" s="1069"/>
      <c r="RJW281" s="1069"/>
      <c r="RJX281" s="1069"/>
      <c r="RJY281" s="1069"/>
      <c r="RJZ281" s="1069"/>
      <c r="RKA281" s="1069"/>
      <c r="RKB281" s="1069"/>
      <c r="RKC281" s="1069"/>
      <c r="RKD281" s="1069"/>
      <c r="RKE281" s="1069"/>
      <c r="RKF281" s="1069"/>
      <c r="RKG281" s="1069"/>
      <c r="RKH281" s="1069"/>
      <c r="RKI281" s="1069"/>
      <c r="RKJ281" s="1069"/>
      <c r="RKK281" s="1069"/>
      <c r="RKL281" s="1069"/>
      <c r="RKM281" s="1069"/>
      <c r="RKN281" s="1069"/>
      <c r="RKO281" s="1069"/>
      <c r="RKP281" s="1069"/>
      <c r="RKQ281" s="1069"/>
      <c r="RKR281" s="1069"/>
      <c r="RKS281" s="1069"/>
      <c r="RKT281" s="1069"/>
      <c r="RKU281" s="1069"/>
      <c r="RKV281" s="1069"/>
      <c r="RKW281" s="1069"/>
      <c r="RKX281" s="1069"/>
      <c r="RKY281" s="1069"/>
      <c r="RKZ281" s="1069"/>
      <c r="RLA281" s="1069"/>
      <c r="RLB281" s="1069"/>
      <c r="RLC281" s="1069"/>
      <c r="RLD281" s="1069"/>
      <c r="RLE281" s="1069"/>
      <c r="RLF281" s="1069"/>
      <c r="RLG281" s="1069"/>
      <c r="RLH281" s="1069"/>
      <c r="RLI281" s="1069"/>
      <c r="RLJ281" s="1069"/>
      <c r="RLK281" s="1069"/>
      <c r="RLL281" s="1069"/>
      <c r="RLM281" s="1069"/>
      <c r="RLN281" s="1069"/>
      <c r="RLO281" s="1069"/>
      <c r="RLP281" s="1069"/>
      <c r="RLQ281" s="1069"/>
      <c r="RLR281" s="1069"/>
      <c r="RLS281" s="1069"/>
      <c r="RLT281" s="1069"/>
      <c r="RLU281" s="1069"/>
      <c r="RLV281" s="1069"/>
      <c r="RLW281" s="1069"/>
      <c r="RLX281" s="1069"/>
      <c r="RLY281" s="1069"/>
      <c r="RLZ281" s="1069"/>
      <c r="RMA281" s="1069"/>
      <c r="RMB281" s="1069"/>
      <c r="RMC281" s="1069"/>
      <c r="RMD281" s="1069"/>
      <c r="RME281" s="1069"/>
      <c r="RMF281" s="1069"/>
      <c r="RMG281" s="1069"/>
      <c r="RMH281" s="1069"/>
      <c r="RMI281" s="1069"/>
      <c r="RMJ281" s="1069"/>
      <c r="RMK281" s="1069"/>
      <c r="RML281" s="1069"/>
      <c r="RMM281" s="1069"/>
      <c r="RMN281" s="1069"/>
      <c r="RMO281" s="1069"/>
      <c r="RMP281" s="1069"/>
      <c r="RMQ281" s="1069"/>
      <c r="RMR281" s="1069"/>
      <c r="RMS281" s="1069"/>
      <c r="RMT281" s="1069"/>
      <c r="RMU281" s="1069"/>
      <c r="RMV281" s="1069"/>
      <c r="RMW281" s="1069"/>
      <c r="RMX281" s="1069"/>
      <c r="RMY281" s="1069"/>
      <c r="RMZ281" s="1069"/>
      <c r="RNA281" s="1069"/>
      <c r="RNB281" s="1069"/>
      <c r="RNC281" s="1069"/>
      <c r="RND281" s="1069"/>
      <c r="RNE281" s="1069"/>
      <c r="RNF281" s="1069"/>
      <c r="RNG281" s="1069"/>
      <c r="RNH281" s="1069"/>
      <c r="RNI281" s="1069"/>
      <c r="RNJ281" s="1069"/>
      <c r="RNK281" s="1069"/>
      <c r="RNL281" s="1069"/>
      <c r="RNM281" s="1069"/>
      <c r="RNN281" s="1069"/>
      <c r="RNO281" s="1069"/>
      <c r="RNP281" s="1069"/>
      <c r="RNQ281" s="1069"/>
      <c r="RNR281" s="1069"/>
      <c r="RNS281" s="1069"/>
      <c r="RNT281" s="1069"/>
      <c r="RNU281" s="1069"/>
      <c r="RNV281" s="1069"/>
      <c r="RNW281" s="1069"/>
      <c r="RNX281" s="1069"/>
      <c r="RNY281" s="1069"/>
      <c r="RNZ281" s="1069"/>
      <c r="ROA281" s="1069"/>
      <c r="ROB281" s="1069"/>
      <c r="ROC281" s="1069"/>
      <c r="ROD281" s="1069"/>
      <c r="ROE281" s="1069"/>
      <c r="ROF281" s="1069"/>
      <c r="ROG281" s="1069"/>
      <c r="ROH281" s="1069"/>
      <c r="ROI281" s="1069"/>
      <c r="ROJ281" s="1069"/>
      <c r="ROK281" s="1069"/>
      <c r="ROL281" s="1069"/>
      <c r="ROM281" s="1069"/>
      <c r="RON281" s="1069"/>
      <c r="ROO281" s="1069"/>
      <c r="ROP281" s="1069"/>
      <c r="ROQ281" s="1069"/>
      <c r="ROR281" s="1069"/>
      <c r="ROS281" s="1069"/>
      <c r="ROT281" s="1069"/>
      <c r="ROU281" s="1069"/>
      <c r="ROV281" s="1069"/>
      <c r="ROW281" s="1069"/>
      <c r="ROX281" s="1069"/>
      <c r="ROY281" s="1069"/>
      <c r="ROZ281" s="1069"/>
      <c r="RPA281" s="1069"/>
      <c r="RPB281" s="1069"/>
      <c r="RPC281" s="1069"/>
      <c r="RPD281" s="1069"/>
      <c r="RPE281" s="1069"/>
      <c r="RPF281" s="1069"/>
      <c r="RPG281" s="1069"/>
      <c r="RPH281" s="1069"/>
      <c r="RPI281" s="1069"/>
      <c r="RPJ281" s="1069"/>
      <c r="RPK281" s="1069"/>
      <c r="RPL281" s="1069"/>
      <c r="RPM281" s="1069"/>
      <c r="RPN281" s="1069"/>
      <c r="RPO281" s="1069"/>
      <c r="RPP281" s="1069"/>
      <c r="RPQ281" s="1069"/>
      <c r="RPR281" s="1069"/>
      <c r="RPS281" s="1069"/>
      <c r="RPT281" s="1069"/>
      <c r="RPU281" s="1069"/>
      <c r="RPV281" s="1069"/>
      <c r="RPW281" s="1069"/>
      <c r="RPX281" s="1069"/>
      <c r="RPY281" s="1069"/>
      <c r="RPZ281" s="1069"/>
      <c r="RQA281" s="1069"/>
      <c r="RQB281" s="1069"/>
      <c r="RQC281" s="1069"/>
      <c r="RQD281" s="1069"/>
      <c r="RQE281" s="1069"/>
      <c r="RQF281" s="1069"/>
      <c r="RQG281" s="1069"/>
      <c r="RQH281" s="1069"/>
      <c r="RQI281" s="1069"/>
      <c r="RQJ281" s="1069"/>
      <c r="RQK281" s="1069"/>
      <c r="RQL281" s="1069"/>
      <c r="RQM281" s="1069"/>
      <c r="RQN281" s="1069"/>
      <c r="RQO281" s="1069"/>
      <c r="RQP281" s="1069"/>
      <c r="RQQ281" s="1069"/>
      <c r="RQR281" s="1069"/>
      <c r="RQS281" s="1069"/>
      <c r="RQT281" s="1069"/>
      <c r="RQU281" s="1069"/>
      <c r="RQV281" s="1069"/>
      <c r="RQW281" s="1069"/>
      <c r="RQX281" s="1069"/>
      <c r="RQY281" s="1069"/>
      <c r="RQZ281" s="1069"/>
      <c r="RRA281" s="1069"/>
      <c r="RRB281" s="1069"/>
      <c r="RRC281" s="1069"/>
      <c r="RRD281" s="1069"/>
      <c r="RRE281" s="1069"/>
      <c r="RRF281" s="1069"/>
      <c r="RRG281" s="1069"/>
      <c r="RRH281" s="1069"/>
      <c r="RRI281" s="1069"/>
      <c r="RRJ281" s="1069"/>
      <c r="RRK281" s="1069"/>
      <c r="RRL281" s="1069"/>
      <c r="RRM281" s="1069"/>
      <c r="RRN281" s="1069"/>
      <c r="RRO281" s="1069"/>
      <c r="RRP281" s="1069"/>
      <c r="RRQ281" s="1069"/>
      <c r="RRR281" s="1069"/>
      <c r="RRS281" s="1069"/>
      <c r="RRT281" s="1069"/>
      <c r="RRU281" s="1069"/>
      <c r="RRV281" s="1069"/>
      <c r="RRW281" s="1069"/>
      <c r="RRX281" s="1069"/>
      <c r="RRY281" s="1069"/>
      <c r="RRZ281" s="1069"/>
      <c r="RSA281" s="1069"/>
      <c r="RSB281" s="1069"/>
      <c r="RSC281" s="1069"/>
      <c r="RSD281" s="1069"/>
      <c r="RSE281" s="1069"/>
      <c r="RSF281" s="1069"/>
      <c r="RSG281" s="1069"/>
      <c r="RSH281" s="1069"/>
      <c r="RSI281" s="1069"/>
      <c r="RSJ281" s="1069"/>
      <c r="RSK281" s="1069"/>
      <c r="RSL281" s="1069"/>
      <c r="RSM281" s="1069"/>
      <c r="RSN281" s="1069"/>
      <c r="RSO281" s="1069"/>
      <c r="RSP281" s="1069"/>
      <c r="RSQ281" s="1069"/>
      <c r="RSR281" s="1069"/>
      <c r="RSS281" s="1069"/>
      <c r="RST281" s="1069"/>
      <c r="RSU281" s="1069"/>
      <c r="RSV281" s="1069"/>
      <c r="RSW281" s="1069"/>
      <c r="RSX281" s="1069"/>
      <c r="RSY281" s="1069"/>
      <c r="RSZ281" s="1069"/>
      <c r="RTA281" s="1069"/>
      <c r="RTB281" s="1069"/>
      <c r="RTC281" s="1069"/>
      <c r="RTD281" s="1069"/>
      <c r="RTE281" s="1069"/>
      <c r="RTF281" s="1069"/>
      <c r="RTG281" s="1069"/>
      <c r="RTH281" s="1069"/>
      <c r="RTI281" s="1069"/>
      <c r="RTJ281" s="1069"/>
      <c r="RTK281" s="1069"/>
      <c r="RTL281" s="1069"/>
      <c r="RTM281" s="1069"/>
      <c r="RTN281" s="1069"/>
      <c r="RTO281" s="1069"/>
      <c r="RTP281" s="1069"/>
      <c r="RTQ281" s="1069"/>
      <c r="RTR281" s="1069"/>
      <c r="RTS281" s="1069"/>
      <c r="RTT281" s="1069"/>
      <c r="RTU281" s="1069"/>
      <c r="RTV281" s="1069"/>
      <c r="RTW281" s="1069"/>
      <c r="RTX281" s="1069"/>
      <c r="RTY281" s="1069"/>
      <c r="RTZ281" s="1069"/>
      <c r="RUA281" s="1069"/>
      <c r="RUB281" s="1069"/>
      <c r="RUC281" s="1069"/>
      <c r="RUD281" s="1069"/>
      <c r="RUE281" s="1069"/>
      <c r="RUF281" s="1069"/>
      <c r="RUG281" s="1069"/>
      <c r="RUH281" s="1069"/>
      <c r="RUI281" s="1069"/>
      <c r="RUJ281" s="1069"/>
      <c r="RUK281" s="1069"/>
      <c r="RUL281" s="1069"/>
      <c r="RUM281" s="1069"/>
      <c r="RUN281" s="1069"/>
      <c r="RUO281" s="1069"/>
      <c r="RUP281" s="1069"/>
      <c r="RUQ281" s="1069"/>
      <c r="RUR281" s="1069"/>
      <c r="RUS281" s="1069"/>
      <c r="RUT281" s="1069"/>
      <c r="RUU281" s="1069"/>
      <c r="RUV281" s="1069"/>
      <c r="RUW281" s="1069"/>
      <c r="RUX281" s="1069"/>
      <c r="RUY281" s="1069"/>
      <c r="RUZ281" s="1069"/>
      <c r="RVA281" s="1069"/>
      <c r="RVB281" s="1069"/>
      <c r="RVC281" s="1069"/>
      <c r="RVD281" s="1069"/>
      <c r="RVE281" s="1069"/>
      <c r="RVF281" s="1069"/>
      <c r="RVG281" s="1069"/>
      <c r="RVH281" s="1069"/>
      <c r="RVI281" s="1069"/>
      <c r="RVJ281" s="1069"/>
      <c r="RVK281" s="1069"/>
      <c r="RVL281" s="1069"/>
      <c r="RVM281" s="1069"/>
      <c r="RVN281" s="1069"/>
      <c r="RVO281" s="1069"/>
      <c r="RVP281" s="1069"/>
      <c r="RVQ281" s="1069"/>
      <c r="RVR281" s="1069"/>
      <c r="RVS281" s="1069"/>
      <c r="RVT281" s="1069"/>
      <c r="RVU281" s="1069"/>
      <c r="RVV281" s="1069"/>
      <c r="RVW281" s="1069"/>
      <c r="RVX281" s="1069"/>
      <c r="RVY281" s="1069"/>
      <c r="RVZ281" s="1069"/>
      <c r="RWA281" s="1069"/>
      <c r="RWB281" s="1069"/>
      <c r="RWC281" s="1069"/>
      <c r="RWD281" s="1069"/>
      <c r="RWE281" s="1069"/>
      <c r="RWF281" s="1069"/>
      <c r="RWG281" s="1069"/>
      <c r="RWH281" s="1069"/>
      <c r="RWI281" s="1069"/>
      <c r="RWJ281" s="1069"/>
      <c r="RWK281" s="1069"/>
      <c r="RWL281" s="1069"/>
      <c r="RWM281" s="1069"/>
      <c r="RWN281" s="1069"/>
      <c r="RWO281" s="1069"/>
      <c r="RWP281" s="1069"/>
      <c r="RWQ281" s="1069"/>
      <c r="RWR281" s="1069"/>
      <c r="RWS281" s="1069"/>
      <c r="RWT281" s="1069"/>
      <c r="RWU281" s="1069"/>
      <c r="RWV281" s="1069"/>
      <c r="RWW281" s="1069"/>
      <c r="RWX281" s="1069"/>
      <c r="RWY281" s="1069"/>
      <c r="RWZ281" s="1069"/>
      <c r="RXA281" s="1069"/>
      <c r="RXB281" s="1069"/>
      <c r="RXC281" s="1069"/>
      <c r="RXD281" s="1069"/>
      <c r="RXE281" s="1069"/>
      <c r="RXF281" s="1069"/>
      <c r="RXG281" s="1069"/>
      <c r="RXH281" s="1069"/>
      <c r="RXI281" s="1069"/>
      <c r="RXJ281" s="1069"/>
      <c r="RXK281" s="1069"/>
      <c r="RXL281" s="1069"/>
      <c r="RXM281" s="1069"/>
      <c r="RXN281" s="1069"/>
      <c r="RXO281" s="1069"/>
      <c r="RXP281" s="1069"/>
      <c r="RXQ281" s="1069"/>
      <c r="RXR281" s="1069"/>
      <c r="RXS281" s="1069"/>
      <c r="RXT281" s="1069"/>
      <c r="RXU281" s="1069"/>
      <c r="RXV281" s="1069"/>
      <c r="RXW281" s="1069"/>
      <c r="RXX281" s="1069"/>
      <c r="RXY281" s="1069"/>
      <c r="RXZ281" s="1069"/>
      <c r="RYA281" s="1069"/>
      <c r="RYB281" s="1069"/>
      <c r="RYC281" s="1069"/>
      <c r="RYD281" s="1069"/>
      <c r="RYE281" s="1069"/>
      <c r="RYF281" s="1069"/>
      <c r="RYG281" s="1069"/>
      <c r="RYH281" s="1069"/>
      <c r="RYI281" s="1069"/>
      <c r="RYJ281" s="1069"/>
      <c r="RYK281" s="1069"/>
      <c r="RYL281" s="1069"/>
      <c r="RYM281" s="1069"/>
      <c r="RYN281" s="1069"/>
      <c r="RYO281" s="1069"/>
      <c r="RYP281" s="1069"/>
      <c r="RYQ281" s="1069"/>
      <c r="RYR281" s="1069"/>
      <c r="RYS281" s="1069"/>
      <c r="RYT281" s="1069"/>
      <c r="RYU281" s="1069"/>
      <c r="RYV281" s="1069"/>
      <c r="RYW281" s="1069"/>
      <c r="RYX281" s="1069"/>
      <c r="RYY281" s="1069"/>
      <c r="RYZ281" s="1069"/>
      <c r="RZA281" s="1069"/>
      <c r="RZB281" s="1069"/>
      <c r="RZC281" s="1069"/>
      <c r="RZD281" s="1069"/>
      <c r="RZE281" s="1069"/>
      <c r="RZF281" s="1069"/>
      <c r="RZG281" s="1069"/>
      <c r="RZH281" s="1069"/>
      <c r="RZI281" s="1069"/>
      <c r="RZJ281" s="1069"/>
      <c r="RZK281" s="1069"/>
      <c r="RZL281" s="1069"/>
      <c r="RZM281" s="1069"/>
      <c r="RZN281" s="1069"/>
      <c r="RZO281" s="1069"/>
      <c r="RZP281" s="1069"/>
      <c r="RZQ281" s="1069"/>
      <c r="RZR281" s="1069"/>
      <c r="RZS281" s="1069"/>
      <c r="RZT281" s="1069"/>
      <c r="RZU281" s="1069"/>
      <c r="RZV281" s="1069"/>
      <c r="RZW281" s="1069"/>
      <c r="RZX281" s="1069"/>
      <c r="RZY281" s="1069"/>
      <c r="RZZ281" s="1069"/>
      <c r="SAA281" s="1069"/>
      <c r="SAB281" s="1069"/>
      <c r="SAC281" s="1069"/>
      <c r="SAD281" s="1069"/>
      <c r="SAE281" s="1069"/>
      <c r="SAF281" s="1069"/>
      <c r="SAG281" s="1069"/>
      <c r="SAH281" s="1069"/>
      <c r="SAI281" s="1069"/>
      <c r="SAJ281" s="1069"/>
      <c r="SAK281" s="1069"/>
      <c r="SAL281" s="1069"/>
      <c r="SAM281" s="1069"/>
      <c r="SAN281" s="1069"/>
      <c r="SAO281" s="1069"/>
      <c r="SAP281" s="1069"/>
      <c r="SAQ281" s="1069"/>
      <c r="SAR281" s="1069"/>
      <c r="SAS281" s="1069"/>
      <c r="SAT281" s="1069"/>
      <c r="SAU281" s="1069"/>
      <c r="SAV281" s="1069"/>
      <c r="SAW281" s="1069"/>
      <c r="SAX281" s="1069"/>
      <c r="SAY281" s="1069"/>
      <c r="SAZ281" s="1069"/>
      <c r="SBA281" s="1069"/>
      <c r="SBB281" s="1069"/>
      <c r="SBC281" s="1069"/>
      <c r="SBD281" s="1069"/>
      <c r="SBE281" s="1069"/>
      <c r="SBF281" s="1069"/>
      <c r="SBG281" s="1069"/>
      <c r="SBH281" s="1069"/>
      <c r="SBI281" s="1069"/>
      <c r="SBJ281" s="1069"/>
      <c r="SBK281" s="1069"/>
      <c r="SBL281" s="1069"/>
      <c r="SBM281" s="1069"/>
      <c r="SBN281" s="1069"/>
      <c r="SBO281" s="1069"/>
      <c r="SBP281" s="1069"/>
      <c r="SBQ281" s="1069"/>
      <c r="SBR281" s="1069"/>
      <c r="SBS281" s="1069"/>
      <c r="SBT281" s="1069"/>
      <c r="SBU281" s="1069"/>
      <c r="SBV281" s="1069"/>
      <c r="SBW281" s="1069"/>
      <c r="SBX281" s="1069"/>
      <c r="SBY281" s="1069"/>
      <c r="SBZ281" s="1069"/>
      <c r="SCA281" s="1069"/>
      <c r="SCB281" s="1069"/>
      <c r="SCC281" s="1069"/>
      <c r="SCD281" s="1069"/>
      <c r="SCE281" s="1069"/>
      <c r="SCF281" s="1069"/>
      <c r="SCG281" s="1069"/>
      <c r="SCH281" s="1069"/>
      <c r="SCI281" s="1069"/>
      <c r="SCJ281" s="1069"/>
      <c r="SCK281" s="1069"/>
      <c r="SCL281" s="1069"/>
      <c r="SCM281" s="1069"/>
      <c r="SCN281" s="1069"/>
      <c r="SCO281" s="1069"/>
      <c r="SCP281" s="1069"/>
      <c r="SCQ281" s="1069"/>
      <c r="SCR281" s="1069"/>
      <c r="SCS281" s="1069"/>
      <c r="SCT281" s="1069"/>
      <c r="SCU281" s="1069"/>
      <c r="SCV281" s="1069"/>
      <c r="SCW281" s="1069"/>
      <c r="SCX281" s="1069"/>
      <c r="SCY281" s="1069"/>
      <c r="SCZ281" s="1069"/>
      <c r="SDA281" s="1069"/>
      <c r="SDB281" s="1069"/>
      <c r="SDC281" s="1069"/>
      <c r="SDD281" s="1069"/>
      <c r="SDE281" s="1069"/>
      <c r="SDF281" s="1069"/>
      <c r="SDG281" s="1069"/>
      <c r="SDH281" s="1069"/>
      <c r="SDI281" s="1069"/>
      <c r="SDJ281" s="1069"/>
      <c r="SDK281" s="1069"/>
      <c r="SDL281" s="1069"/>
      <c r="SDM281" s="1069"/>
      <c r="SDN281" s="1069"/>
      <c r="SDO281" s="1069"/>
      <c r="SDP281" s="1069"/>
      <c r="SDQ281" s="1069"/>
      <c r="SDR281" s="1069"/>
      <c r="SDS281" s="1069"/>
      <c r="SDT281" s="1069"/>
      <c r="SDU281" s="1069"/>
      <c r="SDV281" s="1069"/>
      <c r="SDW281" s="1069"/>
      <c r="SDX281" s="1069"/>
      <c r="SDY281" s="1069"/>
      <c r="SDZ281" s="1069"/>
      <c r="SEA281" s="1069"/>
      <c r="SEB281" s="1069"/>
      <c r="SEC281" s="1069"/>
      <c r="SED281" s="1069"/>
      <c r="SEE281" s="1069"/>
      <c r="SEF281" s="1069"/>
      <c r="SEG281" s="1069"/>
      <c r="SEH281" s="1069"/>
      <c r="SEI281" s="1069"/>
      <c r="SEJ281" s="1069"/>
      <c r="SEK281" s="1069"/>
      <c r="SEL281" s="1069"/>
      <c r="SEM281" s="1069"/>
      <c r="SEN281" s="1069"/>
      <c r="SEO281" s="1069"/>
      <c r="SEP281" s="1069"/>
      <c r="SEQ281" s="1069"/>
      <c r="SER281" s="1069"/>
      <c r="SES281" s="1069"/>
      <c r="SET281" s="1069"/>
      <c r="SEU281" s="1069"/>
      <c r="SEV281" s="1069"/>
      <c r="SEW281" s="1069"/>
      <c r="SEX281" s="1069"/>
      <c r="SEY281" s="1069"/>
      <c r="SEZ281" s="1069"/>
      <c r="SFA281" s="1069"/>
      <c r="SFB281" s="1069"/>
      <c r="SFC281" s="1069"/>
      <c r="SFD281" s="1069"/>
      <c r="SFE281" s="1069"/>
      <c r="SFF281" s="1069"/>
      <c r="SFG281" s="1069"/>
      <c r="SFH281" s="1069"/>
      <c r="SFI281" s="1069"/>
      <c r="SFJ281" s="1069"/>
      <c r="SFK281" s="1069"/>
      <c r="SFL281" s="1069"/>
      <c r="SFM281" s="1069"/>
      <c r="SFN281" s="1069"/>
      <c r="SFO281" s="1069"/>
      <c r="SFP281" s="1069"/>
      <c r="SFQ281" s="1069"/>
      <c r="SFR281" s="1069"/>
      <c r="SFS281" s="1069"/>
      <c r="SFT281" s="1069"/>
      <c r="SFU281" s="1069"/>
      <c r="SFV281" s="1069"/>
      <c r="SFW281" s="1069"/>
      <c r="SFX281" s="1069"/>
      <c r="SFY281" s="1069"/>
      <c r="SFZ281" s="1069"/>
      <c r="SGA281" s="1069"/>
      <c r="SGB281" s="1069"/>
      <c r="SGC281" s="1069"/>
      <c r="SGD281" s="1069"/>
      <c r="SGE281" s="1069"/>
      <c r="SGF281" s="1069"/>
      <c r="SGG281" s="1069"/>
      <c r="SGH281" s="1069"/>
      <c r="SGI281" s="1069"/>
      <c r="SGJ281" s="1069"/>
      <c r="SGK281" s="1069"/>
      <c r="SGL281" s="1069"/>
      <c r="SGM281" s="1069"/>
      <c r="SGN281" s="1069"/>
      <c r="SGO281" s="1069"/>
      <c r="SGP281" s="1069"/>
      <c r="SGQ281" s="1069"/>
      <c r="SGR281" s="1069"/>
      <c r="SGS281" s="1069"/>
      <c r="SGT281" s="1069"/>
      <c r="SGU281" s="1069"/>
      <c r="SGV281" s="1069"/>
      <c r="SGW281" s="1069"/>
      <c r="SGX281" s="1069"/>
      <c r="SGY281" s="1069"/>
      <c r="SGZ281" s="1069"/>
      <c r="SHA281" s="1069"/>
      <c r="SHB281" s="1069"/>
      <c r="SHC281" s="1069"/>
      <c r="SHD281" s="1069"/>
      <c r="SHE281" s="1069"/>
      <c r="SHF281" s="1069"/>
      <c r="SHG281" s="1069"/>
      <c r="SHH281" s="1069"/>
      <c r="SHI281" s="1069"/>
      <c r="SHJ281" s="1069"/>
      <c r="SHK281" s="1069"/>
      <c r="SHL281" s="1069"/>
      <c r="SHM281" s="1069"/>
      <c r="SHN281" s="1069"/>
      <c r="SHO281" s="1069"/>
      <c r="SHP281" s="1069"/>
      <c r="SHQ281" s="1069"/>
      <c r="SHR281" s="1069"/>
      <c r="SHS281" s="1069"/>
      <c r="SHT281" s="1069"/>
      <c r="SHU281" s="1069"/>
      <c r="SHV281" s="1069"/>
      <c r="SHW281" s="1069"/>
      <c r="SHX281" s="1069"/>
      <c r="SHY281" s="1069"/>
      <c r="SHZ281" s="1069"/>
      <c r="SIA281" s="1069"/>
      <c r="SIB281" s="1069"/>
      <c r="SIC281" s="1069"/>
      <c r="SID281" s="1069"/>
      <c r="SIE281" s="1069"/>
      <c r="SIF281" s="1069"/>
      <c r="SIG281" s="1069"/>
      <c r="SIH281" s="1069"/>
      <c r="SII281" s="1069"/>
      <c r="SIJ281" s="1069"/>
      <c r="SIK281" s="1069"/>
      <c r="SIL281" s="1069"/>
      <c r="SIM281" s="1069"/>
      <c r="SIN281" s="1069"/>
      <c r="SIO281" s="1069"/>
      <c r="SIP281" s="1069"/>
      <c r="SIQ281" s="1069"/>
      <c r="SIR281" s="1069"/>
      <c r="SIS281" s="1069"/>
      <c r="SIT281" s="1069"/>
      <c r="SIU281" s="1069"/>
      <c r="SIV281" s="1069"/>
      <c r="SIW281" s="1069"/>
      <c r="SIX281" s="1069"/>
      <c r="SIY281" s="1069"/>
      <c r="SIZ281" s="1069"/>
      <c r="SJA281" s="1069"/>
      <c r="SJB281" s="1069"/>
      <c r="SJC281" s="1069"/>
      <c r="SJD281" s="1069"/>
      <c r="SJE281" s="1069"/>
      <c r="SJF281" s="1069"/>
      <c r="SJG281" s="1069"/>
      <c r="SJH281" s="1069"/>
      <c r="SJI281" s="1069"/>
      <c r="SJJ281" s="1069"/>
      <c r="SJK281" s="1069"/>
      <c r="SJL281" s="1069"/>
      <c r="SJM281" s="1069"/>
      <c r="SJN281" s="1069"/>
      <c r="SJO281" s="1069"/>
      <c r="SJP281" s="1069"/>
      <c r="SJQ281" s="1069"/>
      <c r="SJR281" s="1069"/>
      <c r="SJS281" s="1069"/>
      <c r="SJT281" s="1069"/>
      <c r="SJU281" s="1069"/>
      <c r="SJV281" s="1069"/>
      <c r="SJW281" s="1069"/>
      <c r="SJX281" s="1069"/>
      <c r="SJY281" s="1069"/>
      <c r="SJZ281" s="1069"/>
      <c r="SKA281" s="1069"/>
      <c r="SKB281" s="1069"/>
      <c r="SKC281" s="1069"/>
      <c r="SKD281" s="1069"/>
      <c r="SKE281" s="1069"/>
      <c r="SKF281" s="1069"/>
      <c r="SKG281" s="1069"/>
      <c r="SKH281" s="1069"/>
      <c r="SKI281" s="1069"/>
      <c r="SKJ281" s="1069"/>
      <c r="SKK281" s="1069"/>
      <c r="SKL281" s="1069"/>
      <c r="SKM281" s="1069"/>
      <c r="SKN281" s="1069"/>
      <c r="SKO281" s="1069"/>
      <c r="SKP281" s="1069"/>
      <c r="SKQ281" s="1069"/>
      <c r="SKR281" s="1069"/>
      <c r="SKS281" s="1069"/>
      <c r="SKT281" s="1069"/>
      <c r="SKU281" s="1069"/>
      <c r="SKV281" s="1069"/>
      <c r="SKW281" s="1069"/>
      <c r="SKX281" s="1069"/>
      <c r="SKY281" s="1069"/>
      <c r="SKZ281" s="1069"/>
      <c r="SLA281" s="1069"/>
      <c r="SLB281" s="1069"/>
      <c r="SLC281" s="1069"/>
      <c r="SLD281" s="1069"/>
      <c r="SLE281" s="1069"/>
      <c r="SLF281" s="1069"/>
      <c r="SLG281" s="1069"/>
      <c r="SLH281" s="1069"/>
      <c r="SLI281" s="1069"/>
      <c r="SLJ281" s="1069"/>
      <c r="SLK281" s="1069"/>
      <c r="SLL281" s="1069"/>
      <c r="SLM281" s="1069"/>
      <c r="SLN281" s="1069"/>
      <c r="SLO281" s="1069"/>
      <c r="SLP281" s="1069"/>
      <c r="SLQ281" s="1069"/>
      <c r="SLR281" s="1069"/>
      <c r="SLS281" s="1069"/>
      <c r="SLT281" s="1069"/>
      <c r="SLU281" s="1069"/>
      <c r="SLV281" s="1069"/>
      <c r="SLW281" s="1069"/>
      <c r="SLX281" s="1069"/>
      <c r="SLY281" s="1069"/>
      <c r="SLZ281" s="1069"/>
      <c r="SMA281" s="1069"/>
      <c r="SMB281" s="1069"/>
      <c r="SMC281" s="1069"/>
      <c r="SMD281" s="1069"/>
      <c r="SME281" s="1069"/>
      <c r="SMF281" s="1069"/>
      <c r="SMG281" s="1069"/>
      <c r="SMH281" s="1069"/>
      <c r="SMI281" s="1069"/>
      <c r="SMJ281" s="1069"/>
      <c r="SMK281" s="1069"/>
      <c r="SML281" s="1069"/>
      <c r="SMM281" s="1069"/>
      <c r="SMN281" s="1069"/>
      <c r="SMO281" s="1069"/>
      <c r="SMP281" s="1069"/>
      <c r="SMQ281" s="1069"/>
      <c r="SMR281" s="1069"/>
      <c r="SMS281" s="1069"/>
      <c r="SMT281" s="1069"/>
      <c r="SMU281" s="1069"/>
      <c r="SMV281" s="1069"/>
      <c r="SMW281" s="1069"/>
      <c r="SMX281" s="1069"/>
      <c r="SMY281" s="1069"/>
      <c r="SMZ281" s="1069"/>
      <c r="SNA281" s="1069"/>
      <c r="SNB281" s="1069"/>
      <c r="SNC281" s="1069"/>
      <c r="SND281" s="1069"/>
      <c r="SNE281" s="1069"/>
      <c r="SNF281" s="1069"/>
      <c r="SNG281" s="1069"/>
      <c r="SNH281" s="1069"/>
      <c r="SNI281" s="1069"/>
      <c r="SNJ281" s="1069"/>
      <c r="SNK281" s="1069"/>
      <c r="SNL281" s="1069"/>
      <c r="SNM281" s="1069"/>
      <c r="SNN281" s="1069"/>
      <c r="SNO281" s="1069"/>
      <c r="SNP281" s="1069"/>
      <c r="SNQ281" s="1069"/>
      <c r="SNR281" s="1069"/>
      <c r="SNS281" s="1069"/>
      <c r="SNT281" s="1069"/>
      <c r="SNU281" s="1069"/>
      <c r="SNV281" s="1069"/>
      <c r="SNW281" s="1069"/>
      <c r="SNX281" s="1069"/>
      <c r="SNY281" s="1069"/>
      <c r="SNZ281" s="1069"/>
      <c r="SOA281" s="1069"/>
      <c r="SOB281" s="1069"/>
      <c r="SOC281" s="1069"/>
      <c r="SOD281" s="1069"/>
      <c r="SOE281" s="1069"/>
      <c r="SOF281" s="1069"/>
      <c r="SOG281" s="1069"/>
      <c r="SOH281" s="1069"/>
      <c r="SOI281" s="1069"/>
      <c r="SOJ281" s="1069"/>
      <c r="SOK281" s="1069"/>
      <c r="SOL281" s="1069"/>
      <c r="SOM281" s="1069"/>
      <c r="SON281" s="1069"/>
      <c r="SOO281" s="1069"/>
      <c r="SOP281" s="1069"/>
      <c r="SOQ281" s="1069"/>
      <c r="SOR281" s="1069"/>
      <c r="SOS281" s="1069"/>
      <c r="SOT281" s="1069"/>
      <c r="SOU281" s="1069"/>
      <c r="SOV281" s="1069"/>
      <c r="SOW281" s="1069"/>
      <c r="SOX281" s="1069"/>
      <c r="SOY281" s="1069"/>
      <c r="SOZ281" s="1069"/>
      <c r="SPA281" s="1069"/>
      <c r="SPB281" s="1069"/>
      <c r="SPC281" s="1069"/>
      <c r="SPD281" s="1069"/>
      <c r="SPE281" s="1069"/>
      <c r="SPF281" s="1069"/>
      <c r="SPG281" s="1069"/>
      <c r="SPH281" s="1069"/>
      <c r="SPI281" s="1069"/>
      <c r="SPJ281" s="1069"/>
      <c r="SPK281" s="1069"/>
      <c r="SPL281" s="1069"/>
      <c r="SPM281" s="1069"/>
      <c r="SPN281" s="1069"/>
      <c r="SPO281" s="1069"/>
      <c r="SPP281" s="1069"/>
      <c r="SPQ281" s="1069"/>
      <c r="SPR281" s="1069"/>
      <c r="SPS281" s="1069"/>
      <c r="SPT281" s="1069"/>
      <c r="SPU281" s="1069"/>
      <c r="SPV281" s="1069"/>
      <c r="SPW281" s="1069"/>
      <c r="SPX281" s="1069"/>
      <c r="SPY281" s="1069"/>
      <c r="SPZ281" s="1069"/>
      <c r="SQA281" s="1069"/>
      <c r="SQB281" s="1069"/>
      <c r="SQC281" s="1069"/>
      <c r="SQD281" s="1069"/>
      <c r="SQE281" s="1069"/>
      <c r="SQF281" s="1069"/>
      <c r="SQG281" s="1069"/>
      <c r="SQH281" s="1069"/>
      <c r="SQI281" s="1069"/>
      <c r="SQJ281" s="1069"/>
      <c r="SQK281" s="1069"/>
      <c r="SQL281" s="1069"/>
      <c r="SQM281" s="1069"/>
      <c r="SQN281" s="1069"/>
      <c r="SQO281" s="1069"/>
      <c r="SQP281" s="1069"/>
      <c r="SQQ281" s="1069"/>
      <c r="SQR281" s="1069"/>
      <c r="SQS281" s="1069"/>
      <c r="SQT281" s="1069"/>
      <c r="SQU281" s="1069"/>
      <c r="SQV281" s="1069"/>
      <c r="SQW281" s="1069"/>
      <c r="SQX281" s="1069"/>
      <c r="SQY281" s="1069"/>
      <c r="SQZ281" s="1069"/>
      <c r="SRA281" s="1069"/>
      <c r="SRB281" s="1069"/>
      <c r="SRC281" s="1069"/>
      <c r="SRD281" s="1069"/>
      <c r="SRE281" s="1069"/>
      <c r="SRF281" s="1069"/>
      <c r="SRG281" s="1069"/>
      <c r="SRH281" s="1069"/>
      <c r="SRI281" s="1069"/>
      <c r="SRJ281" s="1069"/>
      <c r="SRK281" s="1069"/>
      <c r="SRL281" s="1069"/>
      <c r="SRM281" s="1069"/>
      <c r="SRN281" s="1069"/>
      <c r="SRO281" s="1069"/>
      <c r="SRP281" s="1069"/>
      <c r="SRQ281" s="1069"/>
      <c r="SRR281" s="1069"/>
      <c r="SRS281" s="1069"/>
      <c r="SRT281" s="1069"/>
      <c r="SRU281" s="1069"/>
      <c r="SRV281" s="1069"/>
      <c r="SRW281" s="1069"/>
      <c r="SRX281" s="1069"/>
      <c r="SRY281" s="1069"/>
      <c r="SRZ281" s="1069"/>
      <c r="SSA281" s="1069"/>
      <c r="SSB281" s="1069"/>
      <c r="SSC281" s="1069"/>
      <c r="SSD281" s="1069"/>
      <c r="SSE281" s="1069"/>
      <c r="SSF281" s="1069"/>
      <c r="SSG281" s="1069"/>
      <c r="SSH281" s="1069"/>
      <c r="SSI281" s="1069"/>
      <c r="SSJ281" s="1069"/>
      <c r="SSK281" s="1069"/>
      <c r="SSL281" s="1069"/>
      <c r="SSM281" s="1069"/>
      <c r="SSN281" s="1069"/>
      <c r="SSO281" s="1069"/>
      <c r="SSP281" s="1069"/>
      <c r="SSQ281" s="1069"/>
      <c r="SSR281" s="1069"/>
      <c r="SSS281" s="1069"/>
      <c r="SST281" s="1069"/>
      <c r="SSU281" s="1069"/>
      <c r="SSV281" s="1069"/>
      <c r="SSW281" s="1069"/>
      <c r="SSX281" s="1069"/>
      <c r="SSY281" s="1069"/>
      <c r="SSZ281" s="1069"/>
      <c r="STA281" s="1069"/>
      <c r="STB281" s="1069"/>
      <c r="STC281" s="1069"/>
      <c r="STD281" s="1069"/>
      <c r="STE281" s="1069"/>
      <c r="STF281" s="1069"/>
      <c r="STG281" s="1069"/>
      <c r="STH281" s="1069"/>
      <c r="STI281" s="1069"/>
      <c r="STJ281" s="1069"/>
      <c r="STK281" s="1069"/>
      <c r="STL281" s="1069"/>
      <c r="STM281" s="1069"/>
      <c r="STN281" s="1069"/>
      <c r="STO281" s="1069"/>
      <c r="STP281" s="1069"/>
      <c r="STQ281" s="1069"/>
      <c r="STR281" s="1069"/>
      <c r="STS281" s="1069"/>
      <c r="STT281" s="1069"/>
      <c r="STU281" s="1069"/>
      <c r="STV281" s="1069"/>
      <c r="STW281" s="1069"/>
      <c r="STX281" s="1069"/>
      <c r="STY281" s="1069"/>
      <c r="STZ281" s="1069"/>
      <c r="SUA281" s="1069"/>
      <c r="SUB281" s="1069"/>
      <c r="SUC281" s="1069"/>
      <c r="SUD281" s="1069"/>
      <c r="SUE281" s="1069"/>
      <c r="SUF281" s="1069"/>
      <c r="SUG281" s="1069"/>
      <c r="SUH281" s="1069"/>
      <c r="SUI281" s="1069"/>
      <c r="SUJ281" s="1069"/>
      <c r="SUK281" s="1069"/>
      <c r="SUL281" s="1069"/>
      <c r="SUM281" s="1069"/>
      <c r="SUN281" s="1069"/>
      <c r="SUO281" s="1069"/>
      <c r="SUP281" s="1069"/>
      <c r="SUQ281" s="1069"/>
      <c r="SUR281" s="1069"/>
      <c r="SUS281" s="1069"/>
      <c r="SUT281" s="1069"/>
      <c r="SUU281" s="1069"/>
      <c r="SUV281" s="1069"/>
      <c r="SUW281" s="1069"/>
      <c r="SUX281" s="1069"/>
      <c r="SUY281" s="1069"/>
      <c r="SUZ281" s="1069"/>
      <c r="SVA281" s="1069"/>
      <c r="SVB281" s="1069"/>
      <c r="SVC281" s="1069"/>
      <c r="SVD281" s="1069"/>
      <c r="SVE281" s="1069"/>
      <c r="SVF281" s="1069"/>
      <c r="SVG281" s="1069"/>
      <c r="SVH281" s="1069"/>
      <c r="SVI281" s="1069"/>
      <c r="SVJ281" s="1069"/>
      <c r="SVK281" s="1069"/>
      <c r="SVL281" s="1069"/>
      <c r="SVM281" s="1069"/>
      <c r="SVN281" s="1069"/>
      <c r="SVO281" s="1069"/>
      <c r="SVP281" s="1069"/>
      <c r="SVQ281" s="1069"/>
      <c r="SVR281" s="1069"/>
      <c r="SVS281" s="1069"/>
      <c r="SVT281" s="1069"/>
      <c r="SVU281" s="1069"/>
      <c r="SVV281" s="1069"/>
      <c r="SVW281" s="1069"/>
      <c r="SVX281" s="1069"/>
      <c r="SVY281" s="1069"/>
      <c r="SVZ281" s="1069"/>
      <c r="SWA281" s="1069"/>
      <c r="SWB281" s="1069"/>
      <c r="SWC281" s="1069"/>
      <c r="SWD281" s="1069"/>
      <c r="SWE281" s="1069"/>
      <c r="SWF281" s="1069"/>
      <c r="SWG281" s="1069"/>
      <c r="SWH281" s="1069"/>
      <c r="SWI281" s="1069"/>
      <c r="SWJ281" s="1069"/>
      <c r="SWK281" s="1069"/>
      <c r="SWL281" s="1069"/>
      <c r="SWM281" s="1069"/>
      <c r="SWN281" s="1069"/>
      <c r="SWO281" s="1069"/>
      <c r="SWP281" s="1069"/>
      <c r="SWQ281" s="1069"/>
      <c r="SWR281" s="1069"/>
      <c r="SWS281" s="1069"/>
      <c r="SWT281" s="1069"/>
      <c r="SWU281" s="1069"/>
      <c r="SWV281" s="1069"/>
      <c r="SWW281" s="1069"/>
      <c r="SWX281" s="1069"/>
      <c r="SWY281" s="1069"/>
      <c r="SWZ281" s="1069"/>
      <c r="SXA281" s="1069"/>
      <c r="SXB281" s="1069"/>
      <c r="SXC281" s="1069"/>
      <c r="SXD281" s="1069"/>
      <c r="SXE281" s="1069"/>
      <c r="SXF281" s="1069"/>
      <c r="SXG281" s="1069"/>
      <c r="SXH281" s="1069"/>
      <c r="SXI281" s="1069"/>
      <c r="SXJ281" s="1069"/>
      <c r="SXK281" s="1069"/>
      <c r="SXL281" s="1069"/>
      <c r="SXM281" s="1069"/>
      <c r="SXN281" s="1069"/>
      <c r="SXO281" s="1069"/>
      <c r="SXP281" s="1069"/>
      <c r="SXQ281" s="1069"/>
      <c r="SXR281" s="1069"/>
      <c r="SXS281" s="1069"/>
      <c r="SXT281" s="1069"/>
      <c r="SXU281" s="1069"/>
      <c r="SXV281" s="1069"/>
      <c r="SXW281" s="1069"/>
      <c r="SXX281" s="1069"/>
      <c r="SXY281" s="1069"/>
      <c r="SXZ281" s="1069"/>
      <c r="SYA281" s="1069"/>
      <c r="SYB281" s="1069"/>
      <c r="SYC281" s="1069"/>
      <c r="SYD281" s="1069"/>
      <c r="SYE281" s="1069"/>
      <c r="SYF281" s="1069"/>
      <c r="SYG281" s="1069"/>
      <c r="SYH281" s="1069"/>
      <c r="SYI281" s="1069"/>
      <c r="SYJ281" s="1069"/>
      <c r="SYK281" s="1069"/>
      <c r="SYL281" s="1069"/>
      <c r="SYM281" s="1069"/>
      <c r="SYN281" s="1069"/>
      <c r="SYO281" s="1069"/>
      <c r="SYP281" s="1069"/>
      <c r="SYQ281" s="1069"/>
      <c r="SYR281" s="1069"/>
      <c r="SYS281" s="1069"/>
      <c r="SYT281" s="1069"/>
      <c r="SYU281" s="1069"/>
      <c r="SYV281" s="1069"/>
      <c r="SYW281" s="1069"/>
      <c r="SYX281" s="1069"/>
      <c r="SYY281" s="1069"/>
      <c r="SYZ281" s="1069"/>
      <c r="SZA281" s="1069"/>
      <c r="SZB281" s="1069"/>
      <c r="SZC281" s="1069"/>
      <c r="SZD281" s="1069"/>
      <c r="SZE281" s="1069"/>
      <c r="SZF281" s="1069"/>
      <c r="SZG281" s="1069"/>
      <c r="SZH281" s="1069"/>
      <c r="SZI281" s="1069"/>
      <c r="SZJ281" s="1069"/>
      <c r="SZK281" s="1069"/>
      <c r="SZL281" s="1069"/>
      <c r="SZM281" s="1069"/>
      <c r="SZN281" s="1069"/>
      <c r="SZO281" s="1069"/>
      <c r="SZP281" s="1069"/>
      <c r="SZQ281" s="1069"/>
      <c r="SZR281" s="1069"/>
      <c r="SZS281" s="1069"/>
      <c r="SZT281" s="1069"/>
      <c r="SZU281" s="1069"/>
      <c r="SZV281" s="1069"/>
      <c r="SZW281" s="1069"/>
      <c r="SZX281" s="1069"/>
      <c r="SZY281" s="1069"/>
      <c r="SZZ281" s="1069"/>
      <c r="TAA281" s="1069"/>
      <c r="TAB281" s="1069"/>
      <c r="TAC281" s="1069"/>
      <c r="TAD281" s="1069"/>
      <c r="TAE281" s="1069"/>
      <c r="TAF281" s="1069"/>
      <c r="TAG281" s="1069"/>
      <c r="TAH281" s="1069"/>
      <c r="TAI281" s="1069"/>
      <c r="TAJ281" s="1069"/>
      <c r="TAK281" s="1069"/>
      <c r="TAL281" s="1069"/>
      <c r="TAM281" s="1069"/>
      <c r="TAN281" s="1069"/>
      <c r="TAO281" s="1069"/>
      <c r="TAP281" s="1069"/>
      <c r="TAQ281" s="1069"/>
      <c r="TAR281" s="1069"/>
      <c r="TAS281" s="1069"/>
      <c r="TAT281" s="1069"/>
      <c r="TAU281" s="1069"/>
      <c r="TAV281" s="1069"/>
      <c r="TAW281" s="1069"/>
      <c r="TAX281" s="1069"/>
      <c r="TAY281" s="1069"/>
      <c r="TAZ281" s="1069"/>
      <c r="TBA281" s="1069"/>
      <c r="TBB281" s="1069"/>
      <c r="TBC281" s="1069"/>
      <c r="TBD281" s="1069"/>
      <c r="TBE281" s="1069"/>
      <c r="TBF281" s="1069"/>
      <c r="TBG281" s="1069"/>
      <c r="TBH281" s="1069"/>
      <c r="TBI281" s="1069"/>
      <c r="TBJ281" s="1069"/>
      <c r="TBK281" s="1069"/>
      <c r="TBL281" s="1069"/>
      <c r="TBM281" s="1069"/>
      <c r="TBN281" s="1069"/>
      <c r="TBO281" s="1069"/>
      <c r="TBP281" s="1069"/>
      <c r="TBQ281" s="1069"/>
      <c r="TBR281" s="1069"/>
      <c r="TBS281" s="1069"/>
      <c r="TBT281" s="1069"/>
      <c r="TBU281" s="1069"/>
      <c r="TBV281" s="1069"/>
      <c r="TBW281" s="1069"/>
      <c r="TBX281" s="1069"/>
      <c r="TBY281" s="1069"/>
      <c r="TBZ281" s="1069"/>
      <c r="TCA281" s="1069"/>
      <c r="TCB281" s="1069"/>
      <c r="TCC281" s="1069"/>
      <c r="TCD281" s="1069"/>
      <c r="TCE281" s="1069"/>
      <c r="TCF281" s="1069"/>
      <c r="TCG281" s="1069"/>
      <c r="TCH281" s="1069"/>
      <c r="TCI281" s="1069"/>
      <c r="TCJ281" s="1069"/>
      <c r="TCK281" s="1069"/>
      <c r="TCL281" s="1069"/>
      <c r="TCM281" s="1069"/>
      <c r="TCN281" s="1069"/>
      <c r="TCO281" s="1069"/>
      <c r="TCP281" s="1069"/>
      <c r="TCQ281" s="1069"/>
      <c r="TCR281" s="1069"/>
      <c r="TCS281" s="1069"/>
      <c r="TCT281" s="1069"/>
      <c r="TCU281" s="1069"/>
      <c r="TCV281" s="1069"/>
      <c r="TCW281" s="1069"/>
      <c r="TCX281" s="1069"/>
      <c r="TCY281" s="1069"/>
      <c r="TCZ281" s="1069"/>
      <c r="TDA281" s="1069"/>
      <c r="TDB281" s="1069"/>
      <c r="TDC281" s="1069"/>
      <c r="TDD281" s="1069"/>
      <c r="TDE281" s="1069"/>
      <c r="TDF281" s="1069"/>
      <c r="TDG281" s="1069"/>
      <c r="TDH281" s="1069"/>
      <c r="TDI281" s="1069"/>
      <c r="TDJ281" s="1069"/>
      <c r="TDK281" s="1069"/>
      <c r="TDL281" s="1069"/>
      <c r="TDM281" s="1069"/>
      <c r="TDN281" s="1069"/>
      <c r="TDO281" s="1069"/>
      <c r="TDP281" s="1069"/>
      <c r="TDQ281" s="1069"/>
      <c r="TDR281" s="1069"/>
      <c r="TDS281" s="1069"/>
      <c r="TDT281" s="1069"/>
      <c r="TDU281" s="1069"/>
      <c r="TDV281" s="1069"/>
      <c r="TDW281" s="1069"/>
      <c r="TDX281" s="1069"/>
      <c r="TDY281" s="1069"/>
      <c r="TDZ281" s="1069"/>
      <c r="TEA281" s="1069"/>
      <c r="TEB281" s="1069"/>
      <c r="TEC281" s="1069"/>
      <c r="TED281" s="1069"/>
      <c r="TEE281" s="1069"/>
      <c r="TEF281" s="1069"/>
      <c r="TEG281" s="1069"/>
      <c r="TEH281" s="1069"/>
      <c r="TEI281" s="1069"/>
      <c r="TEJ281" s="1069"/>
      <c r="TEK281" s="1069"/>
      <c r="TEL281" s="1069"/>
      <c r="TEM281" s="1069"/>
      <c r="TEN281" s="1069"/>
      <c r="TEO281" s="1069"/>
      <c r="TEP281" s="1069"/>
      <c r="TEQ281" s="1069"/>
      <c r="TER281" s="1069"/>
      <c r="TES281" s="1069"/>
      <c r="TET281" s="1069"/>
      <c r="TEU281" s="1069"/>
      <c r="TEV281" s="1069"/>
      <c r="TEW281" s="1069"/>
      <c r="TEX281" s="1069"/>
      <c r="TEY281" s="1069"/>
      <c r="TEZ281" s="1069"/>
      <c r="TFA281" s="1069"/>
      <c r="TFB281" s="1069"/>
      <c r="TFC281" s="1069"/>
      <c r="TFD281" s="1069"/>
      <c r="TFE281" s="1069"/>
      <c r="TFF281" s="1069"/>
      <c r="TFG281" s="1069"/>
      <c r="TFH281" s="1069"/>
      <c r="TFI281" s="1069"/>
      <c r="TFJ281" s="1069"/>
      <c r="TFK281" s="1069"/>
      <c r="TFL281" s="1069"/>
      <c r="TFM281" s="1069"/>
      <c r="TFN281" s="1069"/>
      <c r="TFO281" s="1069"/>
      <c r="TFP281" s="1069"/>
      <c r="TFQ281" s="1069"/>
      <c r="TFR281" s="1069"/>
      <c r="TFS281" s="1069"/>
      <c r="TFT281" s="1069"/>
      <c r="TFU281" s="1069"/>
      <c r="TFV281" s="1069"/>
      <c r="TFW281" s="1069"/>
      <c r="TFX281" s="1069"/>
      <c r="TFY281" s="1069"/>
      <c r="TFZ281" s="1069"/>
      <c r="TGA281" s="1069"/>
      <c r="TGB281" s="1069"/>
      <c r="TGC281" s="1069"/>
      <c r="TGD281" s="1069"/>
      <c r="TGE281" s="1069"/>
      <c r="TGF281" s="1069"/>
      <c r="TGG281" s="1069"/>
      <c r="TGH281" s="1069"/>
      <c r="TGI281" s="1069"/>
      <c r="TGJ281" s="1069"/>
      <c r="TGK281" s="1069"/>
      <c r="TGL281" s="1069"/>
      <c r="TGM281" s="1069"/>
      <c r="TGN281" s="1069"/>
      <c r="TGO281" s="1069"/>
      <c r="TGP281" s="1069"/>
      <c r="TGQ281" s="1069"/>
      <c r="TGR281" s="1069"/>
      <c r="TGS281" s="1069"/>
      <c r="TGT281" s="1069"/>
      <c r="TGU281" s="1069"/>
      <c r="TGV281" s="1069"/>
      <c r="TGW281" s="1069"/>
      <c r="TGX281" s="1069"/>
      <c r="TGY281" s="1069"/>
      <c r="TGZ281" s="1069"/>
      <c r="THA281" s="1069"/>
      <c r="THB281" s="1069"/>
      <c r="THC281" s="1069"/>
      <c r="THD281" s="1069"/>
      <c r="THE281" s="1069"/>
      <c r="THF281" s="1069"/>
      <c r="THG281" s="1069"/>
      <c r="THH281" s="1069"/>
      <c r="THI281" s="1069"/>
      <c r="THJ281" s="1069"/>
      <c r="THK281" s="1069"/>
      <c r="THL281" s="1069"/>
      <c r="THM281" s="1069"/>
      <c r="THN281" s="1069"/>
      <c r="THO281" s="1069"/>
      <c r="THP281" s="1069"/>
      <c r="THQ281" s="1069"/>
      <c r="THR281" s="1069"/>
      <c r="THS281" s="1069"/>
      <c r="THT281" s="1069"/>
      <c r="THU281" s="1069"/>
      <c r="THV281" s="1069"/>
      <c r="THW281" s="1069"/>
      <c r="THX281" s="1069"/>
      <c r="THY281" s="1069"/>
      <c r="THZ281" s="1069"/>
      <c r="TIA281" s="1069"/>
      <c r="TIB281" s="1069"/>
      <c r="TIC281" s="1069"/>
      <c r="TID281" s="1069"/>
      <c r="TIE281" s="1069"/>
      <c r="TIF281" s="1069"/>
      <c r="TIG281" s="1069"/>
      <c r="TIH281" s="1069"/>
      <c r="TII281" s="1069"/>
      <c r="TIJ281" s="1069"/>
      <c r="TIK281" s="1069"/>
      <c r="TIL281" s="1069"/>
      <c r="TIM281" s="1069"/>
      <c r="TIN281" s="1069"/>
      <c r="TIO281" s="1069"/>
      <c r="TIP281" s="1069"/>
      <c r="TIQ281" s="1069"/>
      <c r="TIR281" s="1069"/>
      <c r="TIS281" s="1069"/>
      <c r="TIT281" s="1069"/>
      <c r="TIU281" s="1069"/>
      <c r="TIV281" s="1069"/>
      <c r="TIW281" s="1069"/>
      <c r="TIX281" s="1069"/>
      <c r="TIY281" s="1069"/>
      <c r="TIZ281" s="1069"/>
      <c r="TJA281" s="1069"/>
      <c r="TJB281" s="1069"/>
      <c r="TJC281" s="1069"/>
      <c r="TJD281" s="1069"/>
      <c r="TJE281" s="1069"/>
      <c r="TJF281" s="1069"/>
      <c r="TJG281" s="1069"/>
      <c r="TJH281" s="1069"/>
      <c r="TJI281" s="1069"/>
      <c r="TJJ281" s="1069"/>
      <c r="TJK281" s="1069"/>
      <c r="TJL281" s="1069"/>
      <c r="TJM281" s="1069"/>
      <c r="TJN281" s="1069"/>
      <c r="TJO281" s="1069"/>
      <c r="TJP281" s="1069"/>
      <c r="TJQ281" s="1069"/>
      <c r="TJR281" s="1069"/>
      <c r="TJS281" s="1069"/>
      <c r="TJT281" s="1069"/>
      <c r="TJU281" s="1069"/>
      <c r="TJV281" s="1069"/>
      <c r="TJW281" s="1069"/>
      <c r="TJX281" s="1069"/>
      <c r="TJY281" s="1069"/>
      <c r="TJZ281" s="1069"/>
      <c r="TKA281" s="1069"/>
      <c r="TKB281" s="1069"/>
      <c r="TKC281" s="1069"/>
      <c r="TKD281" s="1069"/>
      <c r="TKE281" s="1069"/>
      <c r="TKF281" s="1069"/>
      <c r="TKG281" s="1069"/>
      <c r="TKH281" s="1069"/>
      <c r="TKI281" s="1069"/>
      <c r="TKJ281" s="1069"/>
      <c r="TKK281" s="1069"/>
      <c r="TKL281" s="1069"/>
      <c r="TKM281" s="1069"/>
      <c r="TKN281" s="1069"/>
      <c r="TKO281" s="1069"/>
      <c r="TKP281" s="1069"/>
      <c r="TKQ281" s="1069"/>
      <c r="TKR281" s="1069"/>
      <c r="TKS281" s="1069"/>
      <c r="TKT281" s="1069"/>
      <c r="TKU281" s="1069"/>
      <c r="TKV281" s="1069"/>
      <c r="TKW281" s="1069"/>
      <c r="TKX281" s="1069"/>
      <c r="TKY281" s="1069"/>
      <c r="TKZ281" s="1069"/>
      <c r="TLA281" s="1069"/>
      <c r="TLB281" s="1069"/>
      <c r="TLC281" s="1069"/>
      <c r="TLD281" s="1069"/>
      <c r="TLE281" s="1069"/>
      <c r="TLF281" s="1069"/>
      <c r="TLG281" s="1069"/>
      <c r="TLH281" s="1069"/>
      <c r="TLI281" s="1069"/>
      <c r="TLJ281" s="1069"/>
      <c r="TLK281" s="1069"/>
      <c r="TLL281" s="1069"/>
      <c r="TLM281" s="1069"/>
      <c r="TLN281" s="1069"/>
      <c r="TLO281" s="1069"/>
      <c r="TLP281" s="1069"/>
      <c r="TLQ281" s="1069"/>
      <c r="TLR281" s="1069"/>
      <c r="TLS281" s="1069"/>
      <c r="TLT281" s="1069"/>
      <c r="TLU281" s="1069"/>
      <c r="TLV281" s="1069"/>
      <c r="TLW281" s="1069"/>
      <c r="TLX281" s="1069"/>
      <c r="TLY281" s="1069"/>
      <c r="TLZ281" s="1069"/>
      <c r="TMA281" s="1069"/>
      <c r="TMB281" s="1069"/>
      <c r="TMC281" s="1069"/>
      <c r="TMD281" s="1069"/>
      <c r="TME281" s="1069"/>
      <c r="TMF281" s="1069"/>
      <c r="TMG281" s="1069"/>
      <c r="TMH281" s="1069"/>
      <c r="TMI281" s="1069"/>
      <c r="TMJ281" s="1069"/>
      <c r="TMK281" s="1069"/>
      <c r="TML281" s="1069"/>
      <c r="TMM281" s="1069"/>
      <c r="TMN281" s="1069"/>
      <c r="TMO281" s="1069"/>
      <c r="TMP281" s="1069"/>
      <c r="TMQ281" s="1069"/>
      <c r="TMR281" s="1069"/>
      <c r="TMS281" s="1069"/>
      <c r="TMT281" s="1069"/>
      <c r="TMU281" s="1069"/>
      <c r="TMV281" s="1069"/>
      <c r="TMW281" s="1069"/>
      <c r="TMX281" s="1069"/>
      <c r="TMY281" s="1069"/>
      <c r="TMZ281" s="1069"/>
      <c r="TNA281" s="1069"/>
      <c r="TNB281" s="1069"/>
      <c r="TNC281" s="1069"/>
      <c r="TND281" s="1069"/>
      <c r="TNE281" s="1069"/>
      <c r="TNF281" s="1069"/>
      <c r="TNG281" s="1069"/>
      <c r="TNH281" s="1069"/>
      <c r="TNI281" s="1069"/>
      <c r="TNJ281" s="1069"/>
      <c r="TNK281" s="1069"/>
      <c r="TNL281" s="1069"/>
      <c r="TNM281" s="1069"/>
      <c r="TNN281" s="1069"/>
      <c r="TNO281" s="1069"/>
      <c r="TNP281" s="1069"/>
      <c r="TNQ281" s="1069"/>
      <c r="TNR281" s="1069"/>
      <c r="TNS281" s="1069"/>
      <c r="TNT281" s="1069"/>
      <c r="TNU281" s="1069"/>
      <c r="TNV281" s="1069"/>
      <c r="TNW281" s="1069"/>
      <c r="TNX281" s="1069"/>
      <c r="TNY281" s="1069"/>
      <c r="TNZ281" s="1069"/>
      <c r="TOA281" s="1069"/>
      <c r="TOB281" s="1069"/>
      <c r="TOC281" s="1069"/>
      <c r="TOD281" s="1069"/>
      <c r="TOE281" s="1069"/>
      <c r="TOF281" s="1069"/>
      <c r="TOG281" s="1069"/>
      <c r="TOH281" s="1069"/>
      <c r="TOI281" s="1069"/>
      <c r="TOJ281" s="1069"/>
      <c r="TOK281" s="1069"/>
      <c r="TOL281" s="1069"/>
      <c r="TOM281" s="1069"/>
      <c r="TON281" s="1069"/>
      <c r="TOO281" s="1069"/>
      <c r="TOP281" s="1069"/>
      <c r="TOQ281" s="1069"/>
      <c r="TOR281" s="1069"/>
      <c r="TOS281" s="1069"/>
      <c r="TOT281" s="1069"/>
      <c r="TOU281" s="1069"/>
      <c r="TOV281" s="1069"/>
      <c r="TOW281" s="1069"/>
      <c r="TOX281" s="1069"/>
      <c r="TOY281" s="1069"/>
      <c r="TOZ281" s="1069"/>
      <c r="TPA281" s="1069"/>
      <c r="TPB281" s="1069"/>
      <c r="TPC281" s="1069"/>
      <c r="TPD281" s="1069"/>
      <c r="TPE281" s="1069"/>
      <c r="TPF281" s="1069"/>
      <c r="TPG281" s="1069"/>
      <c r="TPH281" s="1069"/>
      <c r="TPI281" s="1069"/>
      <c r="TPJ281" s="1069"/>
      <c r="TPK281" s="1069"/>
      <c r="TPL281" s="1069"/>
      <c r="TPM281" s="1069"/>
      <c r="TPN281" s="1069"/>
      <c r="TPO281" s="1069"/>
      <c r="TPP281" s="1069"/>
      <c r="TPQ281" s="1069"/>
      <c r="TPR281" s="1069"/>
      <c r="TPS281" s="1069"/>
      <c r="TPT281" s="1069"/>
      <c r="TPU281" s="1069"/>
      <c r="TPV281" s="1069"/>
      <c r="TPW281" s="1069"/>
      <c r="TPX281" s="1069"/>
      <c r="TPY281" s="1069"/>
      <c r="TPZ281" s="1069"/>
      <c r="TQA281" s="1069"/>
      <c r="TQB281" s="1069"/>
      <c r="TQC281" s="1069"/>
      <c r="TQD281" s="1069"/>
      <c r="TQE281" s="1069"/>
      <c r="TQF281" s="1069"/>
      <c r="TQG281" s="1069"/>
      <c r="TQH281" s="1069"/>
      <c r="TQI281" s="1069"/>
      <c r="TQJ281" s="1069"/>
      <c r="TQK281" s="1069"/>
      <c r="TQL281" s="1069"/>
      <c r="TQM281" s="1069"/>
      <c r="TQN281" s="1069"/>
      <c r="TQO281" s="1069"/>
      <c r="TQP281" s="1069"/>
      <c r="TQQ281" s="1069"/>
      <c r="TQR281" s="1069"/>
      <c r="TQS281" s="1069"/>
      <c r="TQT281" s="1069"/>
      <c r="TQU281" s="1069"/>
      <c r="TQV281" s="1069"/>
      <c r="TQW281" s="1069"/>
      <c r="TQX281" s="1069"/>
      <c r="TQY281" s="1069"/>
      <c r="TQZ281" s="1069"/>
      <c r="TRA281" s="1069"/>
      <c r="TRB281" s="1069"/>
      <c r="TRC281" s="1069"/>
      <c r="TRD281" s="1069"/>
      <c r="TRE281" s="1069"/>
      <c r="TRF281" s="1069"/>
      <c r="TRG281" s="1069"/>
      <c r="TRH281" s="1069"/>
      <c r="TRI281" s="1069"/>
      <c r="TRJ281" s="1069"/>
      <c r="TRK281" s="1069"/>
      <c r="TRL281" s="1069"/>
      <c r="TRM281" s="1069"/>
      <c r="TRN281" s="1069"/>
      <c r="TRO281" s="1069"/>
      <c r="TRP281" s="1069"/>
      <c r="TRQ281" s="1069"/>
      <c r="TRR281" s="1069"/>
      <c r="TRS281" s="1069"/>
      <c r="TRT281" s="1069"/>
      <c r="TRU281" s="1069"/>
      <c r="TRV281" s="1069"/>
      <c r="TRW281" s="1069"/>
      <c r="TRX281" s="1069"/>
      <c r="TRY281" s="1069"/>
      <c r="TRZ281" s="1069"/>
      <c r="TSA281" s="1069"/>
      <c r="TSB281" s="1069"/>
      <c r="TSC281" s="1069"/>
      <c r="TSD281" s="1069"/>
      <c r="TSE281" s="1069"/>
      <c r="TSF281" s="1069"/>
      <c r="TSG281" s="1069"/>
      <c r="TSH281" s="1069"/>
      <c r="TSI281" s="1069"/>
      <c r="TSJ281" s="1069"/>
      <c r="TSK281" s="1069"/>
      <c r="TSL281" s="1069"/>
      <c r="TSM281" s="1069"/>
      <c r="TSN281" s="1069"/>
      <c r="TSO281" s="1069"/>
      <c r="TSP281" s="1069"/>
      <c r="TSQ281" s="1069"/>
      <c r="TSR281" s="1069"/>
      <c r="TSS281" s="1069"/>
      <c r="TST281" s="1069"/>
      <c r="TSU281" s="1069"/>
      <c r="TSV281" s="1069"/>
      <c r="TSW281" s="1069"/>
      <c r="TSX281" s="1069"/>
      <c r="TSY281" s="1069"/>
      <c r="TSZ281" s="1069"/>
      <c r="TTA281" s="1069"/>
      <c r="TTB281" s="1069"/>
      <c r="TTC281" s="1069"/>
      <c r="TTD281" s="1069"/>
      <c r="TTE281" s="1069"/>
      <c r="TTF281" s="1069"/>
      <c r="TTG281" s="1069"/>
      <c r="TTH281" s="1069"/>
      <c r="TTI281" s="1069"/>
      <c r="TTJ281" s="1069"/>
      <c r="TTK281" s="1069"/>
      <c r="TTL281" s="1069"/>
      <c r="TTM281" s="1069"/>
      <c r="TTN281" s="1069"/>
      <c r="TTO281" s="1069"/>
      <c r="TTP281" s="1069"/>
      <c r="TTQ281" s="1069"/>
      <c r="TTR281" s="1069"/>
      <c r="TTS281" s="1069"/>
      <c r="TTT281" s="1069"/>
      <c r="TTU281" s="1069"/>
      <c r="TTV281" s="1069"/>
      <c r="TTW281" s="1069"/>
      <c r="TTX281" s="1069"/>
      <c r="TTY281" s="1069"/>
      <c r="TTZ281" s="1069"/>
      <c r="TUA281" s="1069"/>
      <c r="TUB281" s="1069"/>
      <c r="TUC281" s="1069"/>
      <c r="TUD281" s="1069"/>
      <c r="TUE281" s="1069"/>
      <c r="TUF281" s="1069"/>
      <c r="TUG281" s="1069"/>
      <c r="TUH281" s="1069"/>
      <c r="TUI281" s="1069"/>
      <c r="TUJ281" s="1069"/>
      <c r="TUK281" s="1069"/>
      <c r="TUL281" s="1069"/>
      <c r="TUM281" s="1069"/>
      <c r="TUN281" s="1069"/>
      <c r="TUO281" s="1069"/>
      <c r="TUP281" s="1069"/>
      <c r="TUQ281" s="1069"/>
      <c r="TUR281" s="1069"/>
      <c r="TUS281" s="1069"/>
      <c r="TUT281" s="1069"/>
      <c r="TUU281" s="1069"/>
      <c r="TUV281" s="1069"/>
      <c r="TUW281" s="1069"/>
      <c r="TUX281" s="1069"/>
      <c r="TUY281" s="1069"/>
      <c r="TUZ281" s="1069"/>
      <c r="TVA281" s="1069"/>
      <c r="TVB281" s="1069"/>
      <c r="TVC281" s="1069"/>
      <c r="TVD281" s="1069"/>
      <c r="TVE281" s="1069"/>
      <c r="TVF281" s="1069"/>
      <c r="TVG281" s="1069"/>
      <c r="TVH281" s="1069"/>
      <c r="TVI281" s="1069"/>
      <c r="TVJ281" s="1069"/>
      <c r="TVK281" s="1069"/>
      <c r="TVL281" s="1069"/>
      <c r="TVM281" s="1069"/>
      <c r="TVN281" s="1069"/>
      <c r="TVO281" s="1069"/>
      <c r="TVP281" s="1069"/>
      <c r="TVQ281" s="1069"/>
      <c r="TVR281" s="1069"/>
      <c r="TVS281" s="1069"/>
      <c r="TVT281" s="1069"/>
      <c r="TVU281" s="1069"/>
      <c r="TVV281" s="1069"/>
      <c r="TVW281" s="1069"/>
      <c r="TVX281" s="1069"/>
      <c r="TVY281" s="1069"/>
      <c r="TVZ281" s="1069"/>
      <c r="TWA281" s="1069"/>
      <c r="TWB281" s="1069"/>
      <c r="TWC281" s="1069"/>
      <c r="TWD281" s="1069"/>
      <c r="TWE281" s="1069"/>
      <c r="TWF281" s="1069"/>
      <c r="TWG281" s="1069"/>
      <c r="TWH281" s="1069"/>
      <c r="TWI281" s="1069"/>
      <c r="TWJ281" s="1069"/>
      <c r="TWK281" s="1069"/>
      <c r="TWL281" s="1069"/>
      <c r="TWM281" s="1069"/>
      <c r="TWN281" s="1069"/>
      <c r="TWO281" s="1069"/>
      <c r="TWP281" s="1069"/>
      <c r="TWQ281" s="1069"/>
      <c r="TWR281" s="1069"/>
      <c r="TWS281" s="1069"/>
      <c r="TWT281" s="1069"/>
      <c r="TWU281" s="1069"/>
      <c r="TWV281" s="1069"/>
      <c r="TWW281" s="1069"/>
      <c r="TWX281" s="1069"/>
      <c r="TWY281" s="1069"/>
      <c r="TWZ281" s="1069"/>
      <c r="TXA281" s="1069"/>
      <c r="TXB281" s="1069"/>
      <c r="TXC281" s="1069"/>
      <c r="TXD281" s="1069"/>
      <c r="TXE281" s="1069"/>
      <c r="TXF281" s="1069"/>
      <c r="TXG281" s="1069"/>
      <c r="TXH281" s="1069"/>
      <c r="TXI281" s="1069"/>
      <c r="TXJ281" s="1069"/>
      <c r="TXK281" s="1069"/>
      <c r="TXL281" s="1069"/>
      <c r="TXM281" s="1069"/>
      <c r="TXN281" s="1069"/>
      <c r="TXO281" s="1069"/>
      <c r="TXP281" s="1069"/>
      <c r="TXQ281" s="1069"/>
      <c r="TXR281" s="1069"/>
      <c r="TXS281" s="1069"/>
      <c r="TXT281" s="1069"/>
      <c r="TXU281" s="1069"/>
      <c r="TXV281" s="1069"/>
      <c r="TXW281" s="1069"/>
      <c r="TXX281" s="1069"/>
      <c r="TXY281" s="1069"/>
      <c r="TXZ281" s="1069"/>
      <c r="TYA281" s="1069"/>
      <c r="TYB281" s="1069"/>
      <c r="TYC281" s="1069"/>
      <c r="TYD281" s="1069"/>
      <c r="TYE281" s="1069"/>
      <c r="TYF281" s="1069"/>
      <c r="TYG281" s="1069"/>
      <c r="TYH281" s="1069"/>
      <c r="TYI281" s="1069"/>
      <c r="TYJ281" s="1069"/>
      <c r="TYK281" s="1069"/>
      <c r="TYL281" s="1069"/>
      <c r="TYM281" s="1069"/>
      <c r="TYN281" s="1069"/>
      <c r="TYO281" s="1069"/>
      <c r="TYP281" s="1069"/>
      <c r="TYQ281" s="1069"/>
      <c r="TYR281" s="1069"/>
      <c r="TYS281" s="1069"/>
      <c r="TYT281" s="1069"/>
      <c r="TYU281" s="1069"/>
      <c r="TYV281" s="1069"/>
      <c r="TYW281" s="1069"/>
      <c r="TYX281" s="1069"/>
      <c r="TYY281" s="1069"/>
      <c r="TYZ281" s="1069"/>
      <c r="TZA281" s="1069"/>
      <c r="TZB281" s="1069"/>
      <c r="TZC281" s="1069"/>
      <c r="TZD281" s="1069"/>
      <c r="TZE281" s="1069"/>
      <c r="TZF281" s="1069"/>
      <c r="TZG281" s="1069"/>
      <c r="TZH281" s="1069"/>
      <c r="TZI281" s="1069"/>
      <c r="TZJ281" s="1069"/>
      <c r="TZK281" s="1069"/>
      <c r="TZL281" s="1069"/>
      <c r="TZM281" s="1069"/>
      <c r="TZN281" s="1069"/>
      <c r="TZO281" s="1069"/>
      <c r="TZP281" s="1069"/>
      <c r="TZQ281" s="1069"/>
      <c r="TZR281" s="1069"/>
      <c r="TZS281" s="1069"/>
      <c r="TZT281" s="1069"/>
      <c r="TZU281" s="1069"/>
      <c r="TZV281" s="1069"/>
      <c r="TZW281" s="1069"/>
      <c r="TZX281" s="1069"/>
      <c r="TZY281" s="1069"/>
      <c r="TZZ281" s="1069"/>
      <c r="UAA281" s="1069"/>
      <c r="UAB281" s="1069"/>
      <c r="UAC281" s="1069"/>
      <c r="UAD281" s="1069"/>
      <c r="UAE281" s="1069"/>
      <c r="UAF281" s="1069"/>
      <c r="UAG281" s="1069"/>
      <c r="UAH281" s="1069"/>
      <c r="UAI281" s="1069"/>
      <c r="UAJ281" s="1069"/>
      <c r="UAK281" s="1069"/>
      <c r="UAL281" s="1069"/>
      <c r="UAM281" s="1069"/>
      <c r="UAN281" s="1069"/>
      <c r="UAO281" s="1069"/>
      <c r="UAP281" s="1069"/>
      <c r="UAQ281" s="1069"/>
      <c r="UAR281" s="1069"/>
      <c r="UAS281" s="1069"/>
      <c r="UAT281" s="1069"/>
      <c r="UAU281" s="1069"/>
      <c r="UAV281" s="1069"/>
      <c r="UAW281" s="1069"/>
      <c r="UAX281" s="1069"/>
      <c r="UAY281" s="1069"/>
      <c r="UAZ281" s="1069"/>
      <c r="UBA281" s="1069"/>
      <c r="UBB281" s="1069"/>
      <c r="UBC281" s="1069"/>
      <c r="UBD281" s="1069"/>
      <c r="UBE281" s="1069"/>
      <c r="UBF281" s="1069"/>
      <c r="UBG281" s="1069"/>
      <c r="UBH281" s="1069"/>
      <c r="UBI281" s="1069"/>
      <c r="UBJ281" s="1069"/>
      <c r="UBK281" s="1069"/>
      <c r="UBL281" s="1069"/>
      <c r="UBM281" s="1069"/>
      <c r="UBN281" s="1069"/>
      <c r="UBO281" s="1069"/>
      <c r="UBP281" s="1069"/>
      <c r="UBQ281" s="1069"/>
      <c r="UBR281" s="1069"/>
      <c r="UBS281" s="1069"/>
      <c r="UBT281" s="1069"/>
      <c r="UBU281" s="1069"/>
      <c r="UBV281" s="1069"/>
      <c r="UBW281" s="1069"/>
      <c r="UBX281" s="1069"/>
      <c r="UBY281" s="1069"/>
      <c r="UBZ281" s="1069"/>
      <c r="UCA281" s="1069"/>
      <c r="UCB281" s="1069"/>
      <c r="UCC281" s="1069"/>
      <c r="UCD281" s="1069"/>
      <c r="UCE281" s="1069"/>
      <c r="UCF281" s="1069"/>
      <c r="UCG281" s="1069"/>
      <c r="UCH281" s="1069"/>
      <c r="UCI281" s="1069"/>
      <c r="UCJ281" s="1069"/>
      <c r="UCK281" s="1069"/>
      <c r="UCL281" s="1069"/>
      <c r="UCM281" s="1069"/>
      <c r="UCN281" s="1069"/>
      <c r="UCO281" s="1069"/>
      <c r="UCP281" s="1069"/>
      <c r="UCQ281" s="1069"/>
      <c r="UCR281" s="1069"/>
      <c r="UCS281" s="1069"/>
      <c r="UCT281" s="1069"/>
      <c r="UCU281" s="1069"/>
      <c r="UCV281" s="1069"/>
      <c r="UCW281" s="1069"/>
      <c r="UCX281" s="1069"/>
      <c r="UCY281" s="1069"/>
      <c r="UCZ281" s="1069"/>
      <c r="UDA281" s="1069"/>
      <c r="UDB281" s="1069"/>
      <c r="UDC281" s="1069"/>
      <c r="UDD281" s="1069"/>
      <c r="UDE281" s="1069"/>
      <c r="UDF281" s="1069"/>
      <c r="UDG281" s="1069"/>
      <c r="UDH281" s="1069"/>
      <c r="UDI281" s="1069"/>
      <c r="UDJ281" s="1069"/>
      <c r="UDK281" s="1069"/>
      <c r="UDL281" s="1069"/>
      <c r="UDM281" s="1069"/>
      <c r="UDN281" s="1069"/>
      <c r="UDO281" s="1069"/>
      <c r="UDP281" s="1069"/>
      <c r="UDQ281" s="1069"/>
      <c r="UDR281" s="1069"/>
      <c r="UDS281" s="1069"/>
      <c r="UDT281" s="1069"/>
      <c r="UDU281" s="1069"/>
      <c r="UDV281" s="1069"/>
      <c r="UDW281" s="1069"/>
      <c r="UDX281" s="1069"/>
      <c r="UDY281" s="1069"/>
      <c r="UDZ281" s="1069"/>
      <c r="UEA281" s="1069"/>
      <c r="UEB281" s="1069"/>
      <c r="UEC281" s="1069"/>
      <c r="UED281" s="1069"/>
      <c r="UEE281" s="1069"/>
      <c r="UEF281" s="1069"/>
      <c r="UEG281" s="1069"/>
      <c r="UEH281" s="1069"/>
      <c r="UEI281" s="1069"/>
      <c r="UEJ281" s="1069"/>
      <c r="UEK281" s="1069"/>
      <c r="UEL281" s="1069"/>
      <c r="UEM281" s="1069"/>
      <c r="UEN281" s="1069"/>
      <c r="UEO281" s="1069"/>
      <c r="UEP281" s="1069"/>
      <c r="UEQ281" s="1069"/>
      <c r="UER281" s="1069"/>
      <c r="UES281" s="1069"/>
      <c r="UET281" s="1069"/>
      <c r="UEU281" s="1069"/>
      <c r="UEV281" s="1069"/>
      <c r="UEW281" s="1069"/>
      <c r="UEX281" s="1069"/>
      <c r="UEY281" s="1069"/>
      <c r="UEZ281" s="1069"/>
      <c r="UFA281" s="1069"/>
      <c r="UFB281" s="1069"/>
      <c r="UFC281" s="1069"/>
      <c r="UFD281" s="1069"/>
      <c r="UFE281" s="1069"/>
      <c r="UFF281" s="1069"/>
      <c r="UFG281" s="1069"/>
      <c r="UFH281" s="1069"/>
      <c r="UFI281" s="1069"/>
      <c r="UFJ281" s="1069"/>
      <c r="UFK281" s="1069"/>
      <c r="UFL281" s="1069"/>
      <c r="UFM281" s="1069"/>
      <c r="UFN281" s="1069"/>
      <c r="UFO281" s="1069"/>
      <c r="UFP281" s="1069"/>
      <c r="UFQ281" s="1069"/>
      <c r="UFR281" s="1069"/>
      <c r="UFS281" s="1069"/>
      <c r="UFT281" s="1069"/>
      <c r="UFU281" s="1069"/>
      <c r="UFV281" s="1069"/>
      <c r="UFW281" s="1069"/>
      <c r="UFX281" s="1069"/>
      <c r="UFY281" s="1069"/>
      <c r="UFZ281" s="1069"/>
      <c r="UGA281" s="1069"/>
      <c r="UGB281" s="1069"/>
      <c r="UGC281" s="1069"/>
      <c r="UGD281" s="1069"/>
      <c r="UGE281" s="1069"/>
      <c r="UGF281" s="1069"/>
      <c r="UGG281" s="1069"/>
      <c r="UGH281" s="1069"/>
      <c r="UGI281" s="1069"/>
      <c r="UGJ281" s="1069"/>
      <c r="UGK281" s="1069"/>
      <c r="UGL281" s="1069"/>
      <c r="UGM281" s="1069"/>
      <c r="UGN281" s="1069"/>
      <c r="UGO281" s="1069"/>
      <c r="UGP281" s="1069"/>
      <c r="UGQ281" s="1069"/>
      <c r="UGR281" s="1069"/>
      <c r="UGS281" s="1069"/>
      <c r="UGT281" s="1069"/>
      <c r="UGU281" s="1069"/>
      <c r="UGV281" s="1069"/>
      <c r="UGW281" s="1069"/>
      <c r="UGX281" s="1069"/>
      <c r="UGY281" s="1069"/>
      <c r="UGZ281" s="1069"/>
      <c r="UHA281" s="1069"/>
      <c r="UHB281" s="1069"/>
      <c r="UHC281" s="1069"/>
      <c r="UHD281" s="1069"/>
      <c r="UHE281" s="1069"/>
      <c r="UHF281" s="1069"/>
      <c r="UHG281" s="1069"/>
      <c r="UHH281" s="1069"/>
      <c r="UHI281" s="1069"/>
      <c r="UHJ281" s="1069"/>
      <c r="UHK281" s="1069"/>
      <c r="UHL281" s="1069"/>
      <c r="UHM281" s="1069"/>
      <c r="UHN281" s="1069"/>
      <c r="UHO281" s="1069"/>
      <c r="UHP281" s="1069"/>
      <c r="UHQ281" s="1069"/>
      <c r="UHR281" s="1069"/>
      <c r="UHS281" s="1069"/>
      <c r="UHT281" s="1069"/>
      <c r="UHU281" s="1069"/>
      <c r="UHV281" s="1069"/>
      <c r="UHW281" s="1069"/>
      <c r="UHX281" s="1069"/>
      <c r="UHY281" s="1069"/>
      <c r="UHZ281" s="1069"/>
      <c r="UIA281" s="1069"/>
      <c r="UIB281" s="1069"/>
      <c r="UIC281" s="1069"/>
      <c r="UID281" s="1069"/>
      <c r="UIE281" s="1069"/>
      <c r="UIF281" s="1069"/>
      <c r="UIG281" s="1069"/>
      <c r="UIH281" s="1069"/>
      <c r="UII281" s="1069"/>
      <c r="UIJ281" s="1069"/>
      <c r="UIK281" s="1069"/>
      <c r="UIL281" s="1069"/>
      <c r="UIM281" s="1069"/>
      <c r="UIN281" s="1069"/>
      <c r="UIO281" s="1069"/>
      <c r="UIP281" s="1069"/>
      <c r="UIQ281" s="1069"/>
      <c r="UIR281" s="1069"/>
      <c r="UIS281" s="1069"/>
      <c r="UIT281" s="1069"/>
      <c r="UIU281" s="1069"/>
      <c r="UIV281" s="1069"/>
      <c r="UIW281" s="1069"/>
      <c r="UIX281" s="1069"/>
      <c r="UIY281" s="1069"/>
      <c r="UIZ281" s="1069"/>
      <c r="UJA281" s="1069"/>
      <c r="UJB281" s="1069"/>
      <c r="UJC281" s="1069"/>
      <c r="UJD281" s="1069"/>
      <c r="UJE281" s="1069"/>
      <c r="UJF281" s="1069"/>
      <c r="UJG281" s="1069"/>
      <c r="UJH281" s="1069"/>
      <c r="UJI281" s="1069"/>
      <c r="UJJ281" s="1069"/>
      <c r="UJK281" s="1069"/>
      <c r="UJL281" s="1069"/>
      <c r="UJM281" s="1069"/>
      <c r="UJN281" s="1069"/>
      <c r="UJO281" s="1069"/>
      <c r="UJP281" s="1069"/>
      <c r="UJQ281" s="1069"/>
      <c r="UJR281" s="1069"/>
      <c r="UJS281" s="1069"/>
      <c r="UJT281" s="1069"/>
      <c r="UJU281" s="1069"/>
      <c r="UJV281" s="1069"/>
      <c r="UJW281" s="1069"/>
      <c r="UJX281" s="1069"/>
      <c r="UJY281" s="1069"/>
      <c r="UJZ281" s="1069"/>
      <c r="UKA281" s="1069"/>
      <c r="UKB281" s="1069"/>
      <c r="UKC281" s="1069"/>
      <c r="UKD281" s="1069"/>
      <c r="UKE281" s="1069"/>
      <c r="UKF281" s="1069"/>
      <c r="UKG281" s="1069"/>
      <c r="UKH281" s="1069"/>
      <c r="UKI281" s="1069"/>
      <c r="UKJ281" s="1069"/>
      <c r="UKK281" s="1069"/>
      <c r="UKL281" s="1069"/>
      <c r="UKM281" s="1069"/>
      <c r="UKN281" s="1069"/>
      <c r="UKO281" s="1069"/>
      <c r="UKP281" s="1069"/>
      <c r="UKQ281" s="1069"/>
      <c r="UKR281" s="1069"/>
      <c r="UKS281" s="1069"/>
      <c r="UKT281" s="1069"/>
      <c r="UKU281" s="1069"/>
      <c r="UKV281" s="1069"/>
      <c r="UKW281" s="1069"/>
      <c r="UKX281" s="1069"/>
      <c r="UKY281" s="1069"/>
      <c r="UKZ281" s="1069"/>
      <c r="ULA281" s="1069"/>
      <c r="ULB281" s="1069"/>
      <c r="ULC281" s="1069"/>
      <c r="ULD281" s="1069"/>
      <c r="ULE281" s="1069"/>
      <c r="ULF281" s="1069"/>
      <c r="ULG281" s="1069"/>
      <c r="ULH281" s="1069"/>
      <c r="ULI281" s="1069"/>
      <c r="ULJ281" s="1069"/>
      <c r="ULK281" s="1069"/>
      <c r="ULL281" s="1069"/>
      <c r="ULM281" s="1069"/>
      <c r="ULN281" s="1069"/>
      <c r="ULO281" s="1069"/>
      <c r="ULP281" s="1069"/>
      <c r="ULQ281" s="1069"/>
      <c r="ULR281" s="1069"/>
      <c r="ULS281" s="1069"/>
      <c r="ULT281" s="1069"/>
      <c r="ULU281" s="1069"/>
      <c r="ULV281" s="1069"/>
      <c r="ULW281" s="1069"/>
      <c r="ULX281" s="1069"/>
      <c r="ULY281" s="1069"/>
      <c r="ULZ281" s="1069"/>
      <c r="UMA281" s="1069"/>
      <c r="UMB281" s="1069"/>
      <c r="UMC281" s="1069"/>
      <c r="UMD281" s="1069"/>
      <c r="UME281" s="1069"/>
      <c r="UMF281" s="1069"/>
      <c r="UMG281" s="1069"/>
      <c r="UMH281" s="1069"/>
      <c r="UMI281" s="1069"/>
      <c r="UMJ281" s="1069"/>
      <c r="UMK281" s="1069"/>
      <c r="UML281" s="1069"/>
      <c r="UMM281" s="1069"/>
      <c r="UMN281" s="1069"/>
      <c r="UMO281" s="1069"/>
      <c r="UMP281" s="1069"/>
      <c r="UMQ281" s="1069"/>
      <c r="UMR281" s="1069"/>
      <c r="UMS281" s="1069"/>
      <c r="UMT281" s="1069"/>
      <c r="UMU281" s="1069"/>
      <c r="UMV281" s="1069"/>
      <c r="UMW281" s="1069"/>
      <c r="UMX281" s="1069"/>
      <c r="UMY281" s="1069"/>
      <c r="UMZ281" s="1069"/>
      <c r="UNA281" s="1069"/>
      <c r="UNB281" s="1069"/>
      <c r="UNC281" s="1069"/>
      <c r="UND281" s="1069"/>
      <c r="UNE281" s="1069"/>
      <c r="UNF281" s="1069"/>
      <c r="UNG281" s="1069"/>
      <c r="UNH281" s="1069"/>
      <c r="UNI281" s="1069"/>
      <c r="UNJ281" s="1069"/>
      <c r="UNK281" s="1069"/>
      <c r="UNL281" s="1069"/>
      <c r="UNM281" s="1069"/>
      <c r="UNN281" s="1069"/>
      <c r="UNO281" s="1069"/>
      <c r="UNP281" s="1069"/>
      <c r="UNQ281" s="1069"/>
      <c r="UNR281" s="1069"/>
      <c r="UNS281" s="1069"/>
      <c r="UNT281" s="1069"/>
      <c r="UNU281" s="1069"/>
      <c r="UNV281" s="1069"/>
      <c r="UNW281" s="1069"/>
      <c r="UNX281" s="1069"/>
      <c r="UNY281" s="1069"/>
      <c r="UNZ281" s="1069"/>
      <c r="UOA281" s="1069"/>
      <c r="UOB281" s="1069"/>
      <c r="UOC281" s="1069"/>
      <c r="UOD281" s="1069"/>
      <c r="UOE281" s="1069"/>
      <c r="UOF281" s="1069"/>
      <c r="UOG281" s="1069"/>
      <c r="UOH281" s="1069"/>
      <c r="UOI281" s="1069"/>
      <c r="UOJ281" s="1069"/>
      <c r="UOK281" s="1069"/>
      <c r="UOL281" s="1069"/>
      <c r="UOM281" s="1069"/>
      <c r="UON281" s="1069"/>
      <c r="UOO281" s="1069"/>
      <c r="UOP281" s="1069"/>
      <c r="UOQ281" s="1069"/>
      <c r="UOR281" s="1069"/>
      <c r="UOS281" s="1069"/>
      <c r="UOT281" s="1069"/>
      <c r="UOU281" s="1069"/>
      <c r="UOV281" s="1069"/>
      <c r="UOW281" s="1069"/>
      <c r="UOX281" s="1069"/>
      <c r="UOY281" s="1069"/>
      <c r="UOZ281" s="1069"/>
      <c r="UPA281" s="1069"/>
      <c r="UPB281" s="1069"/>
      <c r="UPC281" s="1069"/>
      <c r="UPD281" s="1069"/>
      <c r="UPE281" s="1069"/>
      <c r="UPF281" s="1069"/>
      <c r="UPG281" s="1069"/>
      <c r="UPH281" s="1069"/>
      <c r="UPI281" s="1069"/>
      <c r="UPJ281" s="1069"/>
      <c r="UPK281" s="1069"/>
      <c r="UPL281" s="1069"/>
      <c r="UPM281" s="1069"/>
      <c r="UPN281" s="1069"/>
      <c r="UPO281" s="1069"/>
      <c r="UPP281" s="1069"/>
      <c r="UPQ281" s="1069"/>
      <c r="UPR281" s="1069"/>
      <c r="UPS281" s="1069"/>
      <c r="UPT281" s="1069"/>
      <c r="UPU281" s="1069"/>
      <c r="UPV281" s="1069"/>
      <c r="UPW281" s="1069"/>
      <c r="UPX281" s="1069"/>
      <c r="UPY281" s="1069"/>
      <c r="UPZ281" s="1069"/>
      <c r="UQA281" s="1069"/>
      <c r="UQB281" s="1069"/>
      <c r="UQC281" s="1069"/>
      <c r="UQD281" s="1069"/>
      <c r="UQE281" s="1069"/>
      <c r="UQF281" s="1069"/>
      <c r="UQG281" s="1069"/>
      <c r="UQH281" s="1069"/>
      <c r="UQI281" s="1069"/>
      <c r="UQJ281" s="1069"/>
      <c r="UQK281" s="1069"/>
      <c r="UQL281" s="1069"/>
      <c r="UQM281" s="1069"/>
      <c r="UQN281" s="1069"/>
      <c r="UQO281" s="1069"/>
      <c r="UQP281" s="1069"/>
      <c r="UQQ281" s="1069"/>
      <c r="UQR281" s="1069"/>
      <c r="UQS281" s="1069"/>
      <c r="UQT281" s="1069"/>
      <c r="UQU281" s="1069"/>
      <c r="UQV281" s="1069"/>
      <c r="UQW281" s="1069"/>
      <c r="UQX281" s="1069"/>
      <c r="UQY281" s="1069"/>
      <c r="UQZ281" s="1069"/>
      <c r="URA281" s="1069"/>
      <c r="URB281" s="1069"/>
      <c r="URC281" s="1069"/>
      <c r="URD281" s="1069"/>
      <c r="URE281" s="1069"/>
      <c r="URF281" s="1069"/>
      <c r="URG281" s="1069"/>
      <c r="URH281" s="1069"/>
      <c r="URI281" s="1069"/>
      <c r="URJ281" s="1069"/>
      <c r="URK281" s="1069"/>
      <c r="URL281" s="1069"/>
      <c r="URM281" s="1069"/>
      <c r="URN281" s="1069"/>
      <c r="URO281" s="1069"/>
      <c r="URP281" s="1069"/>
      <c r="URQ281" s="1069"/>
      <c r="URR281" s="1069"/>
      <c r="URS281" s="1069"/>
      <c r="URT281" s="1069"/>
      <c r="URU281" s="1069"/>
      <c r="URV281" s="1069"/>
      <c r="URW281" s="1069"/>
      <c r="URX281" s="1069"/>
      <c r="URY281" s="1069"/>
      <c r="URZ281" s="1069"/>
      <c r="USA281" s="1069"/>
      <c r="USB281" s="1069"/>
      <c r="USC281" s="1069"/>
      <c r="USD281" s="1069"/>
      <c r="USE281" s="1069"/>
      <c r="USF281" s="1069"/>
      <c r="USG281" s="1069"/>
      <c r="USH281" s="1069"/>
      <c r="USI281" s="1069"/>
      <c r="USJ281" s="1069"/>
      <c r="USK281" s="1069"/>
      <c r="USL281" s="1069"/>
      <c r="USM281" s="1069"/>
      <c r="USN281" s="1069"/>
      <c r="USO281" s="1069"/>
      <c r="USP281" s="1069"/>
      <c r="USQ281" s="1069"/>
      <c r="USR281" s="1069"/>
      <c r="USS281" s="1069"/>
      <c r="UST281" s="1069"/>
      <c r="USU281" s="1069"/>
      <c r="USV281" s="1069"/>
      <c r="USW281" s="1069"/>
      <c r="USX281" s="1069"/>
      <c r="USY281" s="1069"/>
      <c r="USZ281" s="1069"/>
      <c r="UTA281" s="1069"/>
      <c r="UTB281" s="1069"/>
      <c r="UTC281" s="1069"/>
      <c r="UTD281" s="1069"/>
      <c r="UTE281" s="1069"/>
      <c r="UTF281" s="1069"/>
      <c r="UTG281" s="1069"/>
      <c r="UTH281" s="1069"/>
      <c r="UTI281" s="1069"/>
      <c r="UTJ281" s="1069"/>
      <c r="UTK281" s="1069"/>
      <c r="UTL281" s="1069"/>
      <c r="UTM281" s="1069"/>
      <c r="UTN281" s="1069"/>
      <c r="UTO281" s="1069"/>
      <c r="UTP281" s="1069"/>
      <c r="UTQ281" s="1069"/>
      <c r="UTR281" s="1069"/>
      <c r="UTS281" s="1069"/>
      <c r="UTT281" s="1069"/>
      <c r="UTU281" s="1069"/>
      <c r="UTV281" s="1069"/>
      <c r="UTW281" s="1069"/>
      <c r="UTX281" s="1069"/>
      <c r="UTY281" s="1069"/>
      <c r="UTZ281" s="1069"/>
      <c r="UUA281" s="1069"/>
      <c r="UUB281" s="1069"/>
      <c r="UUC281" s="1069"/>
      <c r="UUD281" s="1069"/>
      <c r="UUE281" s="1069"/>
      <c r="UUF281" s="1069"/>
      <c r="UUG281" s="1069"/>
      <c r="UUH281" s="1069"/>
      <c r="UUI281" s="1069"/>
      <c r="UUJ281" s="1069"/>
      <c r="UUK281" s="1069"/>
      <c r="UUL281" s="1069"/>
      <c r="UUM281" s="1069"/>
      <c r="UUN281" s="1069"/>
      <c r="UUO281" s="1069"/>
      <c r="UUP281" s="1069"/>
      <c r="UUQ281" s="1069"/>
      <c r="UUR281" s="1069"/>
      <c r="UUS281" s="1069"/>
      <c r="UUT281" s="1069"/>
      <c r="UUU281" s="1069"/>
      <c r="UUV281" s="1069"/>
      <c r="UUW281" s="1069"/>
      <c r="UUX281" s="1069"/>
      <c r="UUY281" s="1069"/>
      <c r="UUZ281" s="1069"/>
      <c r="UVA281" s="1069"/>
      <c r="UVB281" s="1069"/>
      <c r="UVC281" s="1069"/>
      <c r="UVD281" s="1069"/>
      <c r="UVE281" s="1069"/>
      <c r="UVF281" s="1069"/>
      <c r="UVG281" s="1069"/>
      <c r="UVH281" s="1069"/>
      <c r="UVI281" s="1069"/>
      <c r="UVJ281" s="1069"/>
      <c r="UVK281" s="1069"/>
      <c r="UVL281" s="1069"/>
      <c r="UVM281" s="1069"/>
      <c r="UVN281" s="1069"/>
      <c r="UVO281" s="1069"/>
      <c r="UVP281" s="1069"/>
      <c r="UVQ281" s="1069"/>
      <c r="UVR281" s="1069"/>
      <c r="UVS281" s="1069"/>
      <c r="UVT281" s="1069"/>
      <c r="UVU281" s="1069"/>
      <c r="UVV281" s="1069"/>
      <c r="UVW281" s="1069"/>
      <c r="UVX281" s="1069"/>
      <c r="UVY281" s="1069"/>
      <c r="UVZ281" s="1069"/>
      <c r="UWA281" s="1069"/>
      <c r="UWB281" s="1069"/>
      <c r="UWC281" s="1069"/>
      <c r="UWD281" s="1069"/>
      <c r="UWE281" s="1069"/>
      <c r="UWF281" s="1069"/>
      <c r="UWG281" s="1069"/>
      <c r="UWH281" s="1069"/>
      <c r="UWI281" s="1069"/>
      <c r="UWJ281" s="1069"/>
      <c r="UWK281" s="1069"/>
      <c r="UWL281" s="1069"/>
      <c r="UWM281" s="1069"/>
      <c r="UWN281" s="1069"/>
      <c r="UWO281" s="1069"/>
      <c r="UWP281" s="1069"/>
      <c r="UWQ281" s="1069"/>
      <c r="UWR281" s="1069"/>
      <c r="UWS281" s="1069"/>
      <c r="UWT281" s="1069"/>
      <c r="UWU281" s="1069"/>
      <c r="UWV281" s="1069"/>
      <c r="UWW281" s="1069"/>
      <c r="UWX281" s="1069"/>
      <c r="UWY281" s="1069"/>
      <c r="UWZ281" s="1069"/>
      <c r="UXA281" s="1069"/>
      <c r="UXB281" s="1069"/>
      <c r="UXC281" s="1069"/>
      <c r="UXD281" s="1069"/>
      <c r="UXE281" s="1069"/>
      <c r="UXF281" s="1069"/>
      <c r="UXG281" s="1069"/>
      <c r="UXH281" s="1069"/>
      <c r="UXI281" s="1069"/>
      <c r="UXJ281" s="1069"/>
      <c r="UXK281" s="1069"/>
      <c r="UXL281" s="1069"/>
      <c r="UXM281" s="1069"/>
      <c r="UXN281" s="1069"/>
      <c r="UXO281" s="1069"/>
      <c r="UXP281" s="1069"/>
      <c r="UXQ281" s="1069"/>
      <c r="UXR281" s="1069"/>
      <c r="UXS281" s="1069"/>
      <c r="UXT281" s="1069"/>
      <c r="UXU281" s="1069"/>
      <c r="UXV281" s="1069"/>
      <c r="UXW281" s="1069"/>
      <c r="UXX281" s="1069"/>
      <c r="UXY281" s="1069"/>
      <c r="UXZ281" s="1069"/>
      <c r="UYA281" s="1069"/>
      <c r="UYB281" s="1069"/>
      <c r="UYC281" s="1069"/>
      <c r="UYD281" s="1069"/>
      <c r="UYE281" s="1069"/>
      <c r="UYF281" s="1069"/>
      <c r="UYG281" s="1069"/>
      <c r="UYH281" s="1069"/>
      <c r="UYI281" s="1069"/>
      <c r="UYJ281" s="1069"/>
      <c r="UYK281" s="1069"/>
      <c r="UYL281" s="1069"/>
      <c r="UYM281" s="1069"/>
      <c r="UYN281" s="1069"/>
      <c r="UYO281" s="1069"/>
      <c r="UYP281" s="1069"/>
      <c r="UYQ281" s="1069"/>
      <c r="UYR281" s="1069"/>
      <c r="UYS281" s="1069"/>
      <c r="UYT281" s="1069"/>
      <c r="UYU281" s="1069"/>
      <c r="UYV281" s="1069"/>
      <c r="UYW281" s="1069"/>
      <c r="UYX281" s="1069"/>
      <c r="UYY281" s="1069"/>
      <c r="UYZ281" s="1069"/>
      <c r="UZA281" s="1069"/>
      <c r="UZB281" s="1069"/>
      <c r="UZC281" s="1069"/>
      <c r="UZD281" s="1069"/>
      <c r="UZE281" s="1069"/>
      <c r="UZF281" s="1069"/>
      <c r="UZG281" s="1069"/>
      <c r="UZH281" s="1069"/>
      <c r="UZI281" s="1069"/>
      <c r="UZJ281" s="1069"/>
      <c r="UZK281" s="1069"/>
      <c r="UZL281" s="1069"/>
      <c r="UZM281" s="1069"/>
      <c r="UZN281" s="1069"/>
      <c r="UZO281" s="1069"/>
      <c r="UZP281" s="1069"/>
      <c r="UZQ281" s="1069"/>
      <c r="UZR281" s="1069"/>
      <c r="UZS281" s="1069"/>
      <c r="UZT281" s="1069"/>
      <c r="UZU281" s="1069"/>
      <c r="UZV281" s="1069"/>
      <c r="UZW281" s="1069"/>
      <c r="UZX281" s="1069"/>
      <c r="UZY281" s="1069"/>
      <c r="UZZ281" s="1069"/>
      <c r="VAA281" s="1069"/>
      <c r="VAB281" s="1069"/>
      <c r="VAC281" s="1069"/>
      <c r="VAD281" s="1069"/>
      <c r="VAE281" s="1069"/>
      <c r="VAF281" s="1069"/>
      <c r="VAG281" s="1069"/>
      <c r="VAH281" s="1069"/>
      <c r="VAI281" s="1069"/>
      <c r="VAJ281" s="1069"/>
      <c r="VAK281" s="1069"/>
      <c r="VAL281" s="1069"/>
      <c r="VAM281" s="1069"/>
      <c r="VAN281" s="1069"/>
      <c r="VAO281" s="1069"/>
      <c r="VAP281" s="1069"/>
      <c r="VAQ281" s="1069"/>
      <c r="VAR281" s="1069"/>
      <c r="VAS281" s="1069"/>
      <c r="VAT281" s="1069"/>
      <c r="VAU281" s="1069"/>
      <c r="VAV281" s="1069"/>
      <c r="VAW281" s="1069"/>
      <c r="VAX281" s="1069"/>
      <c r="VAY281" s="1069"/>
      <c r="VAZ281" s="1069"/>
      <c r="VBA281" s="1069"/>
      <c r="VBB281" s="1069"/>
      <c r="VBC281" s="1069"/>
      <c r="VBD281" s="1069"/>
      <c r="VBE281" s="1069"/>
      <c r="VBF281" s="1069"/>
      <c r="VBG281" s="1069"/>
      <c r="VBH281" s="1069"/>
      <c r="VBI281" s="1069"/>
      <c r="VBJ281" s="1069"/>
      <c r="VBK281" s="1069"/>
      <c r="VBL281" s="1069"/>
      <c r="VBM281" s="1069"/>
      <c r="VBN281" s="1069"/>
      <c r="VBO281" s="1069"/>
      <c r="VBP281" s="1069"/>
      <c r="VBQ281" s="1069"/>
      <c r="VBR281" s="1069"/>
      <c r="VBS281" s="1069"/>
      <c r="VBT281" s="1069"/>
      <c r="VBU281" s="1069"/>
      <c r="VBV281" s="1069"/>
      <c r="VBW281" s="1069"/>
      <c r="VBX281" s="1069"/>
      <c r="VBY281" s="1069"/>
      <c r="VBZ281" s="1069"/>
      <c r="VCA281" s="1069"/>
      <c r="VCB281" s="1069"/>
      <c r="VCC281" s="1069"/>
      <c r="VCD281" s="1069"/>
      <c r="VCE281" s="1069"/>
      <c r="VCF281" s="1069"/>
      <c r="VCG281" s="1069"/>
      <c r="VCH281" s="1069"/>
      <c r="VCI281" s="1069"/>
      <c r="VCJ281" s="1069"/>
      <c r="VCK281" s="1069"/>
      <c r="VCL281" s="1069"/>
      <c r="VCM281" s="1069"/>
      <c r="VCN281" s="1069"/>
      <c r="VCO281" s="1069"/>
      <c r="VCP281" s="1069"/>
      <c r="VCQ281" s="1069"/>
      <c r="VCR281" s="1069"/>
      <c r="VCS281" s="1069"/>
      <c r="VCT281" s="1069"/>
      <c r="VCU281" s="1069"/>
      <c r="VCV281" s="1069"/>
      <c r="VCW281" s="1069"/>
      <c r="VCX281" s="1069"/>
      <c r="VCY281" s="1069"/>
      <c r="VCZ281" s="1069"/>
      <c r="VDA281" s="1069"/>
      <c r="VDB281" s="1069"/>
      <c r="VDC281" s="1069"/>
      <c r="VDD281" s="1069"/>
      <c r="VDE281" s="1069"/>
      <c r="VDF281" s="1069"/>
      <c r="VDG281" s="1069"/>
      <c r="VDH281" s="1069"/>
      <c r="VDI281" s="1069"/>
      <c r="VDJ281" s="1069"/>
      <c r="VDK281" s="1069"/>
      <c r="VDL281" s="1069"/>
      <c r="VDM281" s="1069"/>
      <c r="VDN281" s="1069"/>
      <c r="VDO281" s="1069"/>
      <c r="VDP281" s="1069"/>
      <c r="VDQ281" s="1069"/>
      <c r="VDR281" s="1069"/>
      <c r="VDS281" s="1069"/>
      <c r="VDT281" s="1069"/>
      <c r="VDU281" s="1069"/>
      <c r="VDV281" s="1069"/>
      <c r="VDW281" s="1069"/>
      <c r="VDX281" s="1069"/>
      <c r="VDY281" s="1069"/>
      <c r="VDZ281" s="1069"/>
      <c r="VEA281" s="1069"/>
      <c r="VEB281" s="1069"/>
      <c r="VEC281" s="1069"/>
      <c r="VED281" s="1069"/>
      <c r="VEE281" s="1069"/>
      <c r="VEF281" s="1069"/>
      <c r="VEG281" s="1069"/>
      <c r="VEH281" s="1069"/>
      <c r="VEI281" s="1069"/>
      <c r="VEJ281" s="1069"/>
      <c r="VEK281" s="1069"/>
      <c r="VEL281" s="1069"/>
      <c r="VEM281" s="1069"/>
      <c r="VEN281" s="1069"/>
      <c r="VEO281" s="1069"/>
      <c r="VEP281" s="1069"/>
      <c r="VEQ281" s="1069"/>
      <c r="VER281" s="1069"/>
      <c r="VES281" s="1069"/>
      <c r="VET281" s="1069"/>
      <c r="VEU281" s="1069"/>
      <c r="VEV281" s="1069"/>
      <c r="VEW281" s="1069"/>
      <c r="VEX281" s="1069"/>
      <c r="VEY281" s="1069"/>
      <c r="VEZ281" s="1069"/>
      <c r="VFA281" s="1069"/>
      <c r="VFB281" s="1069"/>
      <c r="VFC281" s="1069"/>
      <c r="VFD281" s="1069"/>
      <c r="VFE281" s="1069"/>
      <c r="VFF281" s="1069"/>
      <c r="VFG281" s="1069"/>
      <c r="VFH281" s="1069"/>
      <c r="VFI281" s="1069"/>
      <c r="VFJ281" s="1069"/>
      <c r="VFK281" s="1069"/>
      <c r="VFL281" s="1069"/>
      <c r="VFM281" s="1069"/>
      <c r="VFN281" s="1069"/>
      <c r="VFO281" s="1069"/>
      <c r="VFP281" s="1069"/>
      <c r="VFQ281" s="1069"/>
      <c r="VFR281" s="1069"/>
      <c r="VFS281" s="1069"/>
      <c r="VFT281" s="1069"/>
      <c r="VFU281" s="1069"/>
      <c r="VFV281" s="1069"/>
      <c r="VFW281" s="1069"/>
      <c r="VFX281" s="1069"/>
      <c r="VFY281" s="1069"/>
      <c r="VFZ281" s="1069"/>
      <c r="VGA281" s="1069"/>
      <c r="VGB281" s="1069"/>
      <c r="VGC281" s="1069"/>
      <c r="VGD281" s="1069"/>
      <c r="VGE281" s="1069"/>
      <c r="VGF281" s="1069"/>
      <c r="VGG281" s="1069"/>
      <c r="VGH281" s="1069"/>
      <c r="VGI281" s="1069"/>
      <c r="VGJ281" s="1069"/>
      <c r="VGK281" s="1069"/>
      <c r="VGL281" s="1069"/>
      <c r="VGM281" s="1069"/>
      <c r="VGN281" s="1069"/>
      <c r="VGO281" s="1069"/>
      <c r="VGP281" s="1069"/>
      <c r="VGQ281" s="1069"/>
      <c r="VGR281" s="1069"/>
      <c r="VGS281" s="1069"/>
      <c r="VGT281" s="1069"/>
      <c r="VGU281" s="1069"/>
      <c r="VGV281" s="1069"/>
      <c r="VGW281" s="1069"/>
      <c r="VGX281" s="1069"/>
      <c r="VGY281" s="1069"/>
      <c r="VGZ281" s="1069"/>
      <c r="VHA281" s="1069"/>
      <c r="VHB281" s="1069"/>
      <c r="VHC281" s="1069"/>
      <c r="VHD281" s="1069"/>
      <c r="VHE281" s="1069"/>
      <c r="VHF281" s="1069"/>
      <c r="VHG281" s="1069"/>
      <c r="VHH281" s="1069"/>
      <c r="VHI281" s="1069"/>
      <c r="VHJ281" s="1069"/>
      <c r="VHK281" s="1069"/>
      <c r="VHL281" s="1069"/>
      <c r="VHM281" s="1069"/>
      <c r="VHN281" s="1069"/>
      <c r="VHO281" s="1069"/>
      <c r="VHP281" s="1069"/>
      <c r="VHQ281" s="1069"/>
      <c r="VHR281" s="1069"/>
      <c r="VHS281" s="1069"/>
      <c r="VHT281" s="1069"/>
      <c r="VHU281" s="1069"/>
      <c r="VHV281" s="1069"/>
      <c r="VHW281" s="1069"/>
      <c r="VHX281" s="1069"/>
      <c r="VHY281" s="1069"/>
      <c r="VHZ281" s="1069"/>
      <c r="VIA281" s="1069"/>
      <c r="VIB281" s="1069"/>
      <c r="VIC281" s="1069"/>
      <c r="VID281" s="1069"/>
      <c r="VIE281" s="1069"/>
      <c r="VIF281" s="1069"/>
      <c r="VIG281" s="1069"/>
      <c r="VIH281" s="1069"/>
      <c r="VII281" s="1069"/>
      <c r="VIJ281" s="1069"/>
      <c r="VIK281" s="1069"/>
      <c r="VIL281" s="1069"/>
      <c r="VIM281" s="1069"/>
      <c r="VIN281" s="1069"/>
      <c r="VIO281" s="1069"/>
      <c r="VIP281" s="1069"/>
      <c r="VIQ281" s="1069"/>
      <c r="VIR281" s="1069"/>
      <c r="VIS281" s="1069"/>
      <c r="VIT281" s="1069"/>
      <c r="VIU281" s="1069"/>
      <c r="VIV281" s="1069"/>
      <c r="VIW281" s="1069"/>
      <c r="VIX281" s="1069"/>
      <c r="VIY281" s="1069"/>
      <c r="VIZ281" s="1069"/>
      <c r="VJA281" s="1069"/>
      <c r="VJB281" s="1069"/>
      <c r="VJC281" s="1069"/>
      <c r="VJD281" s="1069"/>
      <c r="VJE281" s="1069"/>
      <c r="VJF281" s="1069"/>
      <c r="VJG281" s="1069"/>
      <c r="VJH281" s="1069"/>
      <c r="VJI281" s="1069"/>
      <c r="VJJ281" s="1069"/>
      <c r="VJK281" s="1069"/>
      <c r="VJL281" s="1069"/>
      <c r="VJM281" s="1069"/>
      <c r="VJN281" s="1069"/>
      <c r="VJO281" s="1069"/>
      <c r="VJP281" s="1069"/>
      <c r="VJQ281" s="1069"/>
      <c r="VJR281" s="1069"/>
      <c r="VJS281" s="1069"/>
      <c r="VJT281" s="1069"/>
      <c r="VJU281" s="1069"/>
      <c r="VJV281" s="1069"/>
      <c r="VJW281" s="1069"/>
      <c r="VJX281" s="1069"/>
      <c r="VJY281" s="1069"/>
      <c r="VJZ281" s="1069"/>
      <c r="VKA281" s="1069"/>
      <c r="VKB281" s="1069"/>
      <c r="VKC281" s="1069"/>
      <c r="VKD281" s="1069"/>
      <c r="VKE281" s="1069"/>
      <c r="VKF281" s="1069"/>
      <c r="VKG281" s="1069"/>
      <c r="VKH281" s="1069"/>
      <c r="VKI281" s="1069"/>
      <c r="VKJ281" s="1069"/>
      <c r="VKK281" s="1069"/>
      <c r="VKL281" s="1069"/>
      <c r="VKM281" s="1069"/>
      <c r="VKN281" s="1069"/>
      <c r="VKO281" s="1069"/>
      <c r="VKP281" s="1069"/>
      <c r="VKQ281" s="1069"/>
      <c r="VKR281" s="1069"/>
      <c r="VKS281" s="1069"/>
      <c r="VKT281" s="1069"/>
      <c r="VKU281" s="1069"/>
      <c r="VKV281" s="1069"/>
      <c r="VKW281" s="1069"/>
      <c r="VKX281" s="1069"/>
      <c r="VKY281" s="1069"/>
      <c r="VKZ281" s="1069"/>
      <c r="VLA281" s="1069"/>
      <c r="VLB281" s="1069"/>
      <c r="VLC281" s="1069"/>
      <c r="VLD281" s="1069"/>
      <c r="VLE281" s="1069"/>
      <c r="VLF281" s="1069"/>
      <c r="VLG281" s="1069"/>
      <c r="VLH281" s="1069"/>
      <c r="VLI281" s="1069"/>
      <c r="VLJ281" s="1069"/>
      <c r="VLK281" s="1069"/>
      <c r="VLL281" s="1069"/>
      <c r="VLM281" s="1069"/>
      <c r="VLN281" s="1069"/>
      <c r="VLO281" s="1069"/>
      <c r="VLP281" s="1069"/>
      <c r="VLQ281" s="1069"/>
      <c r="VLR281" s="1069"/>
      <c r="VLS281" s="1069"/>
      <c r="VLT281" s="1069"/>
      <c r="VLU281" s="1069"/>
      <c r="VLV281" s="1069"/>
      <c r="VLW281" s="1069"/>
      <c r="VLX281" s="1069"/>
      <c r="VLY281" s="1069"/>
      <c r="VLZ281" s="1069"/>
      <c r="VMA281" s="1069"/>
      <c r="VMB281" s="1069"/>
      <c r="VMC281" s="1069"/>
      <c r="VMD281" s="1069"/>
      <c r="VME281" s="1069"/>
      <c r="VMF281" s="1069"/>
      <c r="VMG281" s="1069"/>
      <c r="VMH281" s="1069"/>
      <c r="VMI281" s="1069"/>
      <c r="VMJ281" s="1069"/>
      <c r="VMK281" s="1069"/>
      <c r="VML281" s="1069"/>
      <c r="VMM281" s="1069"/>
      <c r="VMN281" s="1069"/>
      <c r="VMO281" s="1069"/>
      <c r="VMP281" s="1069"/>
      <c r="VMQ281" s="1069"/>
      <c r="VMR281" s="1069"/>
      <c r="VMS281" s="1069"/>
      <c r="VMT281" s="1069"/>
      <c r="VMU281" s="1069"/>
      <c r="VMV281" s="1069"/>
      <c r="VMW281" s="1069"/>
      <c r="VMX281" s="1069"/>
      <c r="VMY281" s="1069"/>
      <c r="VMZ281" s="1069"/>
      <c r="VNA281" s="1069"/>
      <c r="VNB281" s="1069"/>
      <c r="VNC281" s="1069"/>
      <c r="VND281" s="1069"/>
      <c r="VNE281" s="1069"/>
      <c r="VNF281" s="1069"/>
      <c r="VNG281" s="1069"/>
      <c r="VNH281" s="1069"/>
      <c r="VNI281" s="1069"/>
      <c r="VNJ281" s="1069"/>
      <c r="VNK281" s="1069"/>
      <c r="VNL281" s="1069"/>
      <c r="VNM281" s="1069"/>
      <c r="VNN281" s="1069"/>
      <c r="VNO281" s="1069"/>
      <c r="VNP281" s="1069"/>
      <c r="VNQ281" s="1069"/>
      <c r="VNR281" s="1069"/>
      <c r="VNS281" s="1069"/>
      <c r="VNT281" s="1069"/>
      <c r="VNU281" s="1069"/>
      <c r="VNV281" s="1069"/>
      <c r="VNW281" s="1069"/>
      <c r="VNX281" s="1069"/>
      <c r="VNY281" s="1069"/>
      <c r="VNZ281" s="1069"/>
      <c r="VOA281" s="1069"/>
      <c r="VOB281" s="1069"/>
      <c r="VOC281" s="1069"/>
      <c r="VOD281" s="1069"/>
      <c r="VOE281" s="1069"/>
      <c r="VOF281" s="1069"/>
      <c r="VOG281" s="1069"/>
      <c r="VOH281" s="1069"/>
      <c r="VOI281" s="1069"/>
      <c r="VOJ281" s="1069"/>
      <c r="VOK281" s="1069"/>
      <c r="VOL281" s="1069"/>
      <c r="VOM281" s="1069"/>
      <c r="VON281" s="1069"/>
      <c r="VOO281" s="1069"/>
      <c r="VOP281" s="1069"/>
      <c r="VOQ281" s="1069"/>
      <c r="VOR281" s="1069"/>
      <c r="VOS281" s="1069"/>
      <c r="VOT281" s="1069"/>
      <c r="VOU281" s="1069"/>
      <c r="VOV281" s="1069"/>
      <c r="VOW281" s="1069"/>
      <c r="VOX281" s="1069"/>
      <c r="VOY281" s="1069"/>
      <c r="VOZ281" s="1069"/>
      <c r="VPA281" s="1069"/>
      <c r="VPB281" s="1069"/>
      <c r="VPC281" s="1069"/>
      <c r="VPD281" s="1069"/>
      <c r="VPE281" s="1069"/>
      <c r="VPF281" s="1069"/>
      <c r="VPG281" s="1069"/>
      <c r="VPH281" s="1069"/>
      <c r="VPI281" s="1069"/>
      <c r="VPJ281" s="1069"/>
      <c r="VPK281" s="1069"/>
      <c r="VPL281" s="1069"/>
      <c r="VPM281" s="1069"/>
      <c r="VPN281" s="1069"/>
      <c r="VPO281" s="1069"/>
      <c r="VPP281" s="1069"/>
      <c r="VPQ281" s="1069"/>
      <c r="VPR281" s="1069"/>
      <c r="VPS281" s="1069"/>
      <c r="VPT281" s="1069"/>
      <c r="VPU281" s="1069"/>
      <c r="VPV281" s="1069"/>
      <c r="VPW281" s="1069"/>
      <c r="VPX281" s="1069"/>
      <c r="VPY281" s="1069"/>
      <c r="VPZ281" s="1069"/>
      <c r="VQA281" s="1069"/>
      <c r="VQB281" s="1069"/>
      <c r="VQC281" s="1069"/>
      <c r="VQD281" s="1069"/>
      <c r="VQE281" s="1069"/>
      <c r="VQF281" s="1069"/>
      <c r="VQG281" s="1069"/>
      <c r="VQH281" s="1069"/>
      <c r="VQI281" s="1069"/>
      <c r="VQJ281" s="1069"/>
      <c r="VQK281" s="1069"/>
      <c r="VQL281" s="1069"/>
      <c r="VQM281" s="1069"/>
      <c r="VQN281" s="1069"/>
      <c r="VQO281" s="1069"/>
      <c r="VQP281" s="1069"/>
      <c r="VQQ281" s="1069"/>
      <c r="VQR281" s="1069"/>
      <c r="VQS281" s="1069"/>
      <c r="VQT281" s="1069"/>
      <c r="VQU281" s="1069"/>
      <c r="VQV281" s="1069"/>
      <c r="VQW281" s="1069"/>
      <c r="VQX281" s="1069"/>
      <c r="VQY281" s="1069"/>
      <c r="VQZ281" s="1069"/>
      <c r="VRA281" s="1069"/>
      <c r="VRB281" s="1069"/>
      <c r="VRC281" s="1069"/>
      <c r="VRD281" s="1069"/>
      <c r="VRE281" s="1069"/>
      <c r="VRF281" s="1069"/>
      <c r="VRG281" s="1069"/>
      <c r="VRH281" s="1069"/>
      <c r="VRI281" s="1069"/>
      <c r="VRJ281" s="1069"/>
      <c r="VRK281" s="1069"/>
      <c r="VRL281" s="1069"/>
      <c r="VRM281" s="1069"/>
      <c r="VRN281" s="1069"/>
      <c r="VRO281" s="1069"/>
      <c r="VRP281" s="1069"/>
      <c r="VRQ281" s="1069"/>
      <c r="VRR281" s="1069"/>
      <c r="VRS281" s="1069"/>
      <c r="VRT281" s="1069"/>
      <c r="VRU281" s="1069"/>
      <c r="VRV281" s="1069"/>
      <c r="VRW281" s="1069"/>
      <c r="VRX281" s="1069"/>
      <c r="VRY281" s="1069"/>
      <c r="VRZ281" s="1069"/>
      <c r="VSA281" s="1069"/>
      <c r="VSB281" s="1069"/>
      <c r="VSC281" s="1069"/>
      <c r="VSD281" s="1069"/>
      <c r="VSE281" s="1069"/>
      <c r="VSF281" s="1069"/>
      <c r="VSG281" s="1069"/>
      <c r="VSH281" s="1069"/>
      <c r="VSI281" s="1069"/>
      <c r="VSJ281" s="1069"/>
      <c r="VSK281" s="1069"/>
      <c r="VSL281" s="1069"/>
      <c r="VSM281" s="1069"/>
      <c r="VSN281" s="1069"/>
      <c r="VSO281" s="1069"/>
      <c r="VSP281" s="1069"/>
      <c r="VSQ281" s="1069"/>
      <c r="VSR281" s="1069"/>
      <c r="VSS281" s="1069"/>
      <c r="VST281" s="1069"/>
      <c r="VSU281" s="1069"/>
      <c r="VSV281" s="1069"/>
      <c r="VSW281" s="1069"/>
      <c r="VSX281" s="1069"/>
      <c r="VSY281" s="1069"/>
      <c r="VSZ281" s="1069"/>
      <c r="VTA281" s="1069"/>
      <c r="VTB281" s="1069"/>
      <c r="VTC281" s="1069"/>
      <c r="VTD281" s="1069"/>
      <c r="VTE281" s="1069"/>
      <c r="VTF281" s="1069"/>
      <c r="VTG281" s="1069"/>
      <c r="VTH281" s="1069"/>
      <c r="VTI281" s="1069"/>
      <c r="VTJ281" s="1069"/>
      <c r="VTK281" s="1069"/>
      <c r="VTL281" s="1069"/>
      <c r="VTM281" s="1069"/>
      <c r="VTN281" s="1069"/>
      <c r="VTO281" s="1069"/>
      <c r="VTP281" s="1069"/>
      <c r="VTQ281" s="1069"/>
      <c r="VTR281" s="1069"/>
      <c r="VTS281" s="1069"/>
      <c r="VTT281" s="1069"/>
      <c r="VTU281" s="1069"/>
      <c r="VTV281" s="1069"/>
      <c r="VTW281" s="1069"/>
      <c r="VTX281" s="1069"/>
      <c r="VTY281" s="1069"/>
      <c r="VTZ281" s="1069"/>
      <c r="VUA281" s="1069"/>
      <c r="VUB281" s="1069"/>
      <c r="VUC281" s="1069"/>
      <c r="VUD281" s="1069"/>
      <c r="VUE281" s="1069"/>
      <c r="VUF281" s="1069"/>
      <c r="VUG281" s="1069"/>
      <c r="VUH281" s="1069"/>
      <c r="VUI281" s="1069"/>
      <c r="VUJ281" s="1069"/>
      <c r="VUK281" s="1069"/>
      <c r="VUL281" s="1069"/>
      <c r="VUM281" s="1069"/>
      <c r="VUN281" s="1069"/>
      <c r="VUO281" s="1069"/>
      <c r="VUP281" s="1069"/>
      <c r="VUQ281" s="1069"/>
      <c r="VUR281" s="1069"/>
      <c r="VUS281" s="1069"/>
      <c r="VUT281" s="1069"/>
      <c r="VUU281" s="1069"/>
      <c r="VUV281" s="1069"/>
      <c r="VUW281" s="1069"/>
      <c r="VUX281" s="1069"/>
      <c r="VUY281" s="1069"/>
      <c r="VUZ281" s="1069"/>
      <c r="VVA281" s="1069"/>
      <c r="VVB281" s="1069"/>
      <c r="VVC281" s="1069"/>
      <c r="VVD281" s="1069"/>
      <c r="VVE281" s="1069"/>
      <c r="VVF281" s="1069"/>
      <c r="VVG281" s="1069"/>
      <c r="VVH281" s="1069"/>
      <c r="VVI281" s="1069"/>
      <c r="VVJ281" s="1069"/>
      <c r="VVK281" s="1069"/>
      <c r="VVL281" s="1069"/>
      <c r="VVM281" s="1069"/>
      <c r="VVN281" s="1069"/>
      <c r="VVO281" s="1069"/>
      <c r="VVP281" s="1069"/>
      <c r="VVQ281" s="1069"/>
      <c r="VVR281" s="1069"/>
      <c r="VVS281" s="1069"/>
      <c r="VVT281" s="1069"/>
      <c r="VVU281" s="1069"/>
      <c r="VVV281" s="1069"/>
      <c r="VVW281" s="1069"/>
      <c r="VVX281" s="1069"/>
      <c r="VVY281" s="1069"/>
      <c r="VVZ281" s="1069"/>
      <c r="VWA281" s="1069"/>
      <c r="VWB281" s="1069"/>
      <c r="VWC281" s="1069"/>
      <c r="VWD281" s="1069"/>
      <c r="VWE281" s="1069"/>
      <c r="VWF281" s="1069"/>
      <c r="VWG281" s="1069"/>
      <c r="VWH281" s="1069"/>
      <c r="VWI281" s="1069"/>
      <c r="VWJ281" s="1069"/>
      <c r="VWK281" s="1069"/>
      <c r="VWL281" s="1069"/>
      <c r="VWM281" s="1069"/>
      <c r="VWN281" s="1069"/>
      <c r="VWO281" s="1069"/>
      <c r="VWP281" s="1069"/>
      <c r="VWQ281" s="1069"/>
      <c r="VWR281" s="1069"/>
      <c r="VWS281" s="1069"/>
      <c r="VWT281" s="1069"/>
      <c r="VWU281" s="1069"/>
      <c r="VWV281" s="1069"/>
      <c r="VWW281" s="1069"/>
      <c r="VWX281" s="1069"/>
      <c r="VWY281" s="1069"/>
      <c r="VWZ281" s="1069"/>
      <c r="VXA281" s="1069"/>
      <c r="VXB281" s="1069"/>
      <c r="VXC281" s="1069"/>
      <c r="VXD281" s="1069"/>
      <c r="VXE281" s="1069"/>
      <c r="VXF281" s="1069"/>
      <c r="VXG281" s="1069"/>
      <c r="VXH281" s="1069"/>
      <c r="VXI281" s="1069"/>
      <c r="VXJ281" s="1069"/>
      <c r="VXK281" s="1069"/>
      <c r="VXL281" s="1069"/>
      <c r="VXM281" s="1069"/>
      <c r="VXN281" s="1069"/>
      <c r="VXO281" s="1069"/>
      <c r="VXP281" s="1069"/>
      <c r="VXQ281" s="1069"/>
      <c r="VXR281" s="1069"/>
      <c r="VXS281" s="1069"/>
      <c r="VXT281" s="1069"/>
      <c r="VXU281" s="1069"/>
      <c r="VXV281" s="1069"/>
      <c r="VXW281" s="1069"/>
      <c r="VXX281" s="1069"/>
      <c r="VXY281" s="1069"/>
      <c r="VXZ281" s="1069"/>
      <c r="VYA281" s="1069"/>
      <c r="VYB281" s="1069"/>
      <c r="VYC281" s="1069"/>
      <c r="VYD281" s="1069"/>
      <c r="VYE281" s="1069"/>
      <c r="VYF281" s="1069"/>
      <c r="VYG281" s="1069"/>
      <c r="VYH281" s="1069"/>
      <c r="VYI281" s="1069"/>
      <c r="VYJ281" s="1069"/>
      <c r="VYK281" s="1069"/>
      <c r="VYL281" s="1069"/>
      <c r="VYM281" s="1069"/>
      <c r="VYN281" s="1069"/>
      <c r="VYO281" s="1069"/>
      <c r="VYP281" s="1069"/>
      <c r="VYQ281" s="1069"/>
      <c r="VYR281" s="1069"/>
      <c r="VYS281" s="1069"/>
      <c r="VYT281" s="1069"/>
      <c r="VYU281" s="1069"/>
      <c r="VYV281" s="1069"/>
      <c r="VYW281" s="1069"/>
      <c r="VYX281" s="1069"/>
      <c r="VYY281" s="1069"/>
      <c r="VYZ281" s="1069"/>
      <c r="VZA281" s="1069"/>
      <c r="VZB281" s="1069"/>
      <c r="VZC281" s="1069"/>
      <c r="VZD281" s="1069"/>
      <c r="VZE281" s="1069"/>
      <c r="VZF281" s="1069"/>
      <c r="VZG281" s="1069"/>
      <c r="VZH281" s="1069"/>
      <c r="VZI281" s="1069"/>
      <c r="VZJ281" s="1069"/>
      <c r="VZK281" s="1069"/>
      <c r="VZL281" s="1069"/>
      <c r="VZM281" s="1069"/>
      <c r="VZN281" s="1069"/>
      <c r="VZO281" s="1069"/>
      <c r="VZP281" s="1069"/>
      <c r="VZQ281" s="1069"/>
      <c r="VZR281" s="1069"/>
      <c r="VZS281" s="1069"/>
      <c r="VZT281" s="1069"/>
      <c r="VZU281" s="1069"/>
      <c r="VZV281" s="1069"/>
      <c r="VZW281" s="1069"/>
      <c r="VZX281" s="1069"/>
      <c r="VZY281" s="1069"/>
      <c r="VZZ281" s="1069"/>
      <c r="WAA281" s="1069"/>
      <c r="WAB281" s="1069"/>
      <c r="WAC281" s="1069"/>
      <c r="WAD281" s="1069"/>
      <c r="WAE281" s="1069"/>
      <c r="WAF281" s="1069"/>
      <c r="WAG281" s="1069"/>
      <c r="WAH281" s="1069"/>
      <c r="WAI281" s="1069"/>
      <c r="WAJ281" s="1069"/>
      <c r="WAK281" s="1069"/>
      <c r="WAL281" s="1069"/>
      <c r="WAM281" s="1069"/>
      <c r="WAN281" s="1069"/>
      <c r="WAO281" s="1069"/>
      <c r="WAP281" s="1069"/>
      <c r="WAQ281" s="1069"/>
      <c r="WAR281" s="1069"/>
      <c r="WAS281" s="1069"/>
      <c r="WAT281" s="1069"/>
      <c r="WAU281" s="1069"/>
      <c r="WAV281" s="1069"/>
      <c r="WAW281" s="1069"/>
      <c r="WAX281" s="1069"/>
      <c r="WAY281" s="1069"/>
      <c r="WAZ281" s="1069"/>
      <c r="WBA281" s="1069"/>
      <c r="WBB281" s="1069"/>
      <c r="WBC281" s="1069"/>
      <c r="WBD281" s="1069"/>
      <c r="WBE281" s="1069"/>
      <c r="WBF281" s="1069"/>
      <c r="WBG281" s="1069"/>
      <c r="WBH281" s="1069"/>
      <c r="WBI281" s="1069"/>
      <c r="WBJ281" s="1069"/>
      <c r="WBK281" s="1069"/>
      <c r="WBL281" s="1069"/>
      <c r="WBM281" s="1069"/>
      <c r="WBN281" s="1069"/>
      <c r="WBO281" s="1069"/>
      <c r="WBP281" s="1069"/>
      <c r="WBQ281" s="1069"/>
      <c r="WBR281" s="1069"/>
      <c r="WBS281" s="1069"/>
      <c r="WBT281" s="1069"/>
      <c r="WBU281" s="1069"/>
      <c r="WBV281" s="1069"/>
      <c r="WBW281" s="1069"/>
      <c r="WBX281" s="1069"/>
      <c r="WBY281" s="1069"/>
      <c r="WBZ281" s="1069"/>
      <c r="WCA281" s="1069"/>
      <c r="WCB281" s="1069"/>
      <c r="WCC281" s="1069"/>
      <c r="WCD281" s="1069"/>
      <c r="WCE281" s="1069"/>
      <c r="WCF281" s="1069"/>
      <c r="WCG281" s="1069"/>
      <c r="WCH281" s="1069"/>
      <c r="WCI281" s="1069"/>
      <c r="WCJ281" s="1069"/>
      <c r="WCK281" s="1069"/>
      <c r="WCL281" s="1069"/>
      <c r="WCM281" s="1069"/>
      <c r="WCN281" s="1069"/>
      <c r="WCO281" s="1069"/>
      <c r="WCP281" s="1069"/>
      <c r="WCQ281" s="1069"/>
      <c r="WCR281" s="1069"/>
      <c r="WCS281" s="1069"/>
      <c r="WCT281" s="1069"/>
      <c r="WCU281" s="1069"/>
      <c r="WCV281" s="1069"/>
      <c r="WCW281" s="1069"/>
      <c r="WCX281" s="1069"/>
      <c r="WCY281" s="1069"/>
      <c r="WCZ281" s="1069"/>
      <c r="WDA281" s="1069"/>
      <c r="WDB281" s="1069"/>
      <c r="WDC281" s="1069"/>
      <c r="WDD281" s="1069"/>
      <c r="WDE281" s="1069"/>
      <c r="WDF281" s="1069"/>
      <c r="WDG281" s="1069"/>
      <c r="WDH281" s="1069"/>
      <c r="WDI281" s="1069"/>
      <c r="WDJ281" s="1069"/>
      <c r="WDK281" s="1069"/>
      <c r="WDL281" s="1069"/>
      <c r="WDM281" s="1069"/>
      <c r="WDN281" s="1069"/>
      <c r="WDO281" s="1069"/>
      <c r="WDP281" s="1069"/>
      <c r="WDQ281" s="1069"/>
      <c r="WDR281" s="1069"/>
      <c r="WDS281" s="1069"/>
      <c r="WDT281" s="1069"/>
      <c r="WDU281" s="1069"/>
      <c r="WDV281" s="1069"/>
      <c r="WDW281" s="1069"/>
      <c r="WDX281" s="1069"/>
      <c r="WDY281" s="1069"/>
      <c r="WDZ281" s="1069"/>
      <c r="WEA281" s="1069"/>
      <c r="WEB281" s="1069"/>
      <c r="WEC281" s="1069"/>
      <c r="WED281" s="1069"/>
      <c r="WEE281" s="1069"/>
      <c r="WEF281" s="1069"/>
      <c r="WEG281" s="1069"/>
      <c r="WEH281" s="1069"/>
      <c r="WEI281" s="1069"/>
      <c r="WEJ281" s="1069"/>
      <c r="WEK281" s="1069"/>
      <c r="WEL281" s="1069"/>
      <c r="WEM281" s="1069"/>
      <c r="WEN281" s="1069"/>
      <c r="WEO281" s="1069"/>
      <c r="WEP281" s="1069"/>
      <c r="WEQ281" s="1069"/>
      <c r="WER281" s="1069"/>
      <c r="WES281" s="1069"/>
      <c r="WET281" s="1069"/>
      <c r="WEU281" s="1069"/>
      <c r="WEV281" s="1069"/>
      <c r="WEW281" s="1069"/>
      <c r="WEX281" s="1069"/>
      <c r="WEY281" s="1069"/>
      <c r="WEZ281" s="1069"/>
      <c r="WFA281" s="1069"/>
      <c r="WFB281" s="1069"/>
      <c r="WFC281" s="1069"/>
      <c r="WFD281" s="1069"/>
      <c r="WFE281" s="1069"/>
      <c r="WFF281" s="1069"/>
      <c r="WFG281" s="1069"/>
      <c r="WFH281" s="1069"/>
      <c r="WFI281" s="1069"/>
      <c r="WFJ281" s="1069"/>
      <c r="WFK281" s="1069"/>
      <c r="WFL281" s="1069"/>
      <c r="WFM281" s="1069"/>
      <c r="WFN281" s="1069"/>
      <c r="WFO281" s="1069"/>
      <c r="WFP281" s="1069"/>
      <c r="WFQ281" s="1069"/>
      <c r="WFR281" s="1069"/>
      <c r="WFS281" s="1069"/>
      <c r="WFT281" s="1069"/>
      <c r="WFU281" s="1069"/>
      <c r="WFV281" s="1069"/>
      <c r="WFW281" s="1069"/>
      <c r="WFX281" s="1069"/>
      <c r="WFY281" s="1069"/>
      <c r="WFZ281" s="1069"/>
      <c r="WGA281" s="1069"/>
      <c r="WGB281" s="1069"/>
      <c r="WGC281" s="1069"/>
      <c r="WGD281" s="1069"/>
      <c r="WGE281" s="1069"/>
      <c r="WGF281" s="1069"/>
      <c r="WGG281" s="1069"/>
      <c r="WGH281" s="1069"/>
      <c r="WGI281" s="1069"/>
      <c r="WGJ281" s="1069"/>
      <c r="WGK281" s="1069"/>
      <c r="WGL281" s="1069"/>
      <c r="WGM281" s="1069"/>
      <c r="WGN281" s="1069"/>
      <c r="WGO281" s="1069"/>
      <c r="WGP281" s="1069"/>
      <c r="WGQ281" s="1069"/>
      <c r="WGR281" s="1069"/>
      <c r="WGS281" s="1069"/>
      <c r="WGT281" s="1069"/>
      <c r="WGU281" s="1069"/>
      <c r="WGV281" s="1069"/>
      <c r="WGW281" s="1069"/>
      <c r="WGX281" s="1069"/>
      <c r="WGY281" s="1069"/>
      <c r="WGZ281" s="1069"/>
      <c r="WHA281" s="1069"/>
      <c r="WHB281" s="1069"/>
      <c r="WHC281" s="1069"/>
      <c r="WHD281" s="1069"/>
      <c r="WHE281" s="1069"/>
      <c r="WHF281" s="1069"/>
      <c r="WHG281" s="1069"/>
      <c r="WHH281" s="1069"/>
      <c r="WHI281" s="1069"/>
      <c r="WHJ281" s="1069"/>
      <c r="WHK281" s="1069"/>
      <c r="WHL281" s="1069"/>
      <c r="WHM281" s="1069"/>
      <c r="WHN281" s="1069"/>
      <c r="WHO281" s="1069"/>
      <c r="WHP281" s="1069"/>
      <c r="WHQ281" s="1069"/>
      <c r="WHR281" s="1069"/>
      <c r="WHS281" s="1069"/>
      <c r="WHT281" s="1069"/>
      <c r="WHU281" s="1069"/>
      <c r="WHV281" s="1069"/>
      <c r="WHW281" s="1069"/>
      <c r="WHX281" s="1069"/>
      <c r="WHY281" s="1069"/>
      <c r="WHZ281" s="1069"/>
      <c r="WIA281" s="1069"/>
      <c r="WIB281" s="1069"/>
      <c r="WIC281" s="1069"/>
      <c r="WID281" s="1069"/>
      <c r="WIE281" s="1069"/>
      <c r="WIF281" s="1069"/>
      <c r="WIG281" s="1069"/>
      <c r="WIH281" s="1069"/>
      <c r="WII281" s="1069"/>
      <c r="WIJ281" s="1069"/>
      <c r="WIK281" s="1069"/>
      <c r="WIL281" s="1069"/>
      <c r="WIM281" s="1069"/>
      <c r="WIN281" s="1069"/>
      <c r="WIO281" s="1069"/>
      <c r="WIP281" s="1069"/>
      <c r="WIQ281" s="1069"/>
      <c r="WIR281" s="1069"/>
      <c r="WIS281" s="1069"/>
      <c r="WIT281" s="1069"/>
      <c r="WIU281" s="1069"/>
      <c r="WIV281" s="1069"/>
      <c r="WIW281" s="1069"/>
      <c r="WIX281" s="1069"/>
      <c r="WIY281" s="1069"/>
      <c r="WIZ281" s="1069"/>
      <c r="WJA281" s="1069"/>
      <c r="WJB281" s="1069"/>
      <c r="WJC281" s="1069"/>
      <c r="WJD281" s="1069"/>
      <c r="WJE281" s="1069"/>
      <c r="WJF281" s="1069"/>
      <c r="WJG281" s="1069"/>
      <c r="WJH281" s="1069"/>
      <c r="WJI281" s="1069"/>
      <c r="WJJ281" s="1069"/>
      <c r="WJK281" s="1069"/>
      <c r="WJL281" s="1069"/>
      <c r="WJM281" s="1069"/>
      <c r="WJN281" s="1069"/>
      <c r="WJO281" s="1069"/>
      <c r="WJP281" s="1069"/>
      <c r="WJQ281" s="1069"/>
      <c r="WJR281" s="1069"/>
      <c r="WJS281" s="1069"/>
      <c r="WJT281" s="1069"/>
      <c r="WJU281" s="1069"/>
      <c r="WJV281" s="1069"/>
      <c r="WJW281" s="1069"/>
      <c r="WJX281" s="1069"/>
      <c r="WJY281" s="1069"/>
      <c r="WJZ281" s="1069"/>
      <c r="WKA281" s="1069"/>
      <c r="WKB281" s="1069"/>
      <c r="WKC281" s="1069"/>
      <c r="WKD281" s="1069"/>
      <c r="WKE281" s="1069"/>
      <c r="WKF281" s="1069"/>
      <c r="WKG281" s="1069"/>
      <c r="WKH281" s="1069"/>
      <c r="WKI281" s="1069"/>
      <c r="WKJ281" s="1069"/>
      <c r="WKK281" s="1069"/>
      <c r="WKL281" s="1069"/>
      <c r="WKM281" s="1069"/>
      <c r="WKN281" s="1069"/>
      <c r="WKO281" s="1069"/>
      <c r="WKP281" s="1069"/>
      <c r="WKQ281" s="1069"/>
      <c r="WKR281" s="1069"/>
      <c r="WKS281" s="1069"/>
      <c r="WKT281" s="1069"/>
      <c r="WKU281" s="1069"/>
      <c r="WKV281" s="1069"/>
      <c r="WKW281" s="1069"/>
      <c r="WKX281" s="1069"/>
      <c r="WKY281" s="1069"/>
      <c r="WKZ281" s="1069"/>
      <c r="WLA281" s="1069"/>
      <c r="WLB281" s="1069"/>
      <c r="WLC281" s="1069"/>
      <c r="WLD281" s="1069"/>
      <c r="WLE281" s="1069"/>
      <c r="WLF281" s="1069"/>
      <c r="WLG281" s="1069"/>
      <c r="WLH281" s="1069"/>
      <c r="WLI281" s="1069"/>
      <c r="WLJ281" s="1069"/>
      <c r="WLK281" s="1069"/>
      <c r="WLL281" s="1069"/>
      <c r="WLM281" s="1069"/>
      <c r="WLN281" s="1069"/>
      <c r="WLO281" s="1069"/>
      <c r="WLP281" s="1069"/>
      <c r="WLQ281" s="1069"/>
      <c r="WLR281" s="1069"/>
      <c r="WLS281" s="1069"/>
      <c r="WLT281" s="1069"/>
      <c r="WLU281" s="1069"/>
      <c r="WLV281" s="1069"/>
      <c r="WLW281" s="1069"/>
      <c r="WLX281" s="1069"/>
      <c r="WLY281" s="1069"/>
      <c r="WLZ281" s="1069"/>
      <c r="WMA281" s="1069"/>
      <c r="WMB281" s="1069"/>
      <c r="WMC281" s="1069"/>
      <c r="WMD281" s="1069"/>
      <c r="WME281" s="1069"/>
      <c r="WMF281" s="1069"/>
      <c r="WMG281" s="1069"/>
      <c r="WMH281" s="1069"/>
      <c r="WMI281" s="1069"/>
      <c r="WMJ281" s="1069"/>
      <c r="WMK281" s="1069"/>
      <c r="WML281" s="1069"/>
      <c r="WMM281" s="1069"/>
      <c r="WMN281" s="1069"/>
      <c r="WMO281" s="1069"/>
      <c r="WMP281" s="1069"/>
      <c r="WMQ281" s="1069"/>
      <c r="WMR281" s="1069"/>
      <c r="WMS281" s="1069"/>
      <c r="WMT281" s="1069"/>
      <c r="WMU281" s="1069"/>
      <c r="WMV281" s="1069"/>
      <c r="WMW281" s="1069"/>
      <c r="WMX281" s="1069"/>
      <c r="WMY281" s="1069"/>
      <c r="WMZ281" s="1069"/>
      <c r="WNA281" s="1069"/>
      <c r="WNB281" s="1069"/>
      <c r="WNC281" s="1069"/>
      <c r="WND281" s="1069"/>
      <c r="WNE281" s="1069"/>
      <c r="WNF281" s="1069"/>
      <c r="WNG281" s="1069"/>
      <c r="WNH281" s="1069"/>
      <c r="WNI281" s="1069"/>
      <c r="WNJ281" s="1069"/>
      <c r="WNK281" s="1069"/>
      <c r="WNL281" s="1069"/>
      <c r="WNM281" s="1069"/>
      <c r="WNN281" s="1069"/>
      <c r="WNO281" s="1069"/>
      <c r="WNP281" s="1069"/>
      <c r="WNQ281" s="1069"/>
      <c r="WNR281" s="1069"/>
      <c r="WNS281" s="1069"/>
      <c r="WNT281" s="1069"/>
      <c r="WNU281" s="1069"/>
      <c r="WNV281" s="1069"/>
      <c r="WNW281" s="1069"/>
      <c r="WNX281" s="1069"/>
      <c r="WNY281" s="1069"/>
      <c r="WNZ281" s="1069"/>
      <c r="WOA281" s="1069"/>
      <c r="WOB281" s="1069"/>
      <c r="WOC281" s="1069"/>
      <c r="WOD281" s="1069"/>
      <c r="WOE281" s="1069"/>
      <c r="WOF281" s="1069"/>
      <c r="WOG281" s="1069"/>
      <c r="WOH281" s="1069"/>
      <c r="WOI281" s="1069"/>
      <c r="WOJ281" s="1069"/>
      <c r="WOK281" s="1069"/>
      <c r="WOL281" s="1069"/>
      <c r="WOM281" s="1069"/>
      <c r="WON281" s="1069"/>
      <c r="WOO281" s="1069"/>
      <c r="WOP281" s="1069"/>
      <c r="WOQ281" s="1069"/>
      <c r="WOR281" s="1069"/>
      <c r="WOS281" s="1069"/>
      <c r="WOT281" s="1069"/>
      <c r="WOU281" s="1069"/>
      <c r="WOV281" s="1069"/>
      <c r="WOW281" s="1069"/>
      <c r="WOX281" s="1069"/>
      <c r="WOY281" s="1069"/>
      <c r="WOZ281" s="1069"/>
      <c r="WPA281" s="1069"/>
      <c r="WPB281" s="1069"/>
      <c r="WPC281" s="1069"/>
      <c r="WPD281" s="1069"/>
      <c r="WPE281" s="1069"/>
      <c r="WPF281" s="1069"/>
      <c r="WPG281" s="1069"/>
      <c r="WPH281" s="1069"/>
      <c r="WPI281" s="1069"/>
      <c r="WPJ281" s="1069"/>
      <c r="WPK281" s="1069"/>
      <c r="WPL281" s="1069"/>
      <c r="WPM281" s="1069"/>
      <c r="WPN281" s="1069"/>
      <c r="WPO281" s="1069"/>
      <c r="WPP281" s="1069"/>
      <c r="WPQ281" s="1069"/>
      <c r="WPR281" s="1069"/>
      <c r="WPS281" s="1069"/>
      <c r="WPT281" s="1069"/>
      <c r="WPU281" s="1069"/>
      <c r="WPV281" s="1069"/>
      <c r="WPW281" s="1069"/>
      <c r="WPX281" s="1069"/>
      <c r="WPY281" s="1069"/>
      <c r="WPZ281" s="1069"/>
      <c r="WQA281" s="1069"/>
      <c r="WQB281" s="1069"/>
      <c r="WQC281" s="1069"/>
      <c r="WQD281" s="1069"/>
      <c r="WQE281" s="1069"/>
      <c r="WQF281" s="1069"/>
      <c r="WQG281" s="1069"/>
      <c r="WQH281" s="1069"/>
      <c r="WQI281" s="1069"/>
      <c r="WQJ281" s="1069"/>
      <c r="WQK281" s="1069"/>
      <c r="WQL281" s="1069"/>
      <c r="WQM281" s="1069"/>
      <c r="WQN281" s="1069"/>
      <c r="WQO281" s="1069"/>
      <c r="WQP281" s="1069"/>
      <c r="WQQ281" s="1069"/>
      <c r="WQR281" s="1069"/>
      <c r="WQS281" s="1069"/>
      <c r="WQT281" s="1069"/>
      <c r="WQU281" s="1069"/>
      <c r="WQV281" s="1069"/>
      <c r="WQW281" s="1069"/>
      <c r="WQX281" s="1069"/>
      <c r="WQY281" s="1069"/>
      <c r="WQZ281" s="1069"/>
      <c r="WRA281" s="1069"/>
      <c r="WRB281" s="1069"/>
      <c r="WRC281" s="1069"/>
      <c r="WRD281" s="1069"/>
      <c r="WRE281" s="1069"/>
      <c r="WRF281" s="1069"/>
      <c r="WRG281" s="1069"/>
      <c r="WRH281" s="1069"/>
      <c r="WRI281" s="1069"/>
      <c r="WRJ281" s="1069"/>
      <c r="WRK281" s="1069"/>
      <c r="WRL281" s="1069"/>
      <c r="WRM281" s="1069"/>
      <c r="WRN281" s="1069"/>
      <c r="WRO281" s="1069"/>
      <c r="WRP281" s="1069"/>
      <c r="WRQ281" s="1069"/>
      <c r="WRR281" s="1069"/>
      <c r="WRS281" s="1069"/>
      <c r="WRT281" s="1069"/>
      <c r="WRU281" s="1069"/>
      <c r="WRV281" s="1069"/>
      <c r="WRW281" s="1069"/>
      <c r="WRX281" s="1069"/>
      <c r="WRY281" s="1069"/>
      <c r="WRZ281" s="1069"/>
      <c r="WSA281" s="1069"/>
      <c r="WSB281" s="1069"/>
      <c r="WSC281" s="1069"/>
      <c r="WSD281" s="1069"/>
      <c r="WSE281" s="1069"/>
      <c r="WSF281" s="1069"/>
      <c r="WSG281" s="1069"/>
      <c r="WSH281" s="1069"/>
      <c r="WSI281" s="1069"/>
      <c r="WSJ281" s="1069"/>
      <c r="WSK281" s="1069"/>
      <c r="WSL281" s="1069"/>
      <c r="WSM281" s="1069"/>
      <c r="WSN281" s="1069"/>
      <c r="WSO281" s="1069"/>
      <c r="WSP281" s="1069"/>
      <c r="WSQ281" s="1069"/>
      <c r="WSR281" s="1069"/>
      <c r="WSS281" s="1069"/>
      <c r="WST281" s="1069"/>
      <c r="WSU281" s="1069"/>
      <c r="WSV281" s="1069"/>
      <c r="WSW281" s="1069"/>
      <c r="WSX281" s="1069"/>
      <c r="WSY281" s="1069"/>
      <c r="WSZ281" s="1069"/>
      <c r="WTA281" s="1069"/>
      <c r="WTB281" s="1069"/>
      <c r="WTC281" s="1069"/>
      <c r="WTD281" s="1069"/>
      <c r="WTE281" s="1069"/>
      <c r="WTF281" s="1069"/>
      <c r="WTG281" s="1069"/>
      <c r="WTH281" s="1069"/>
      <c r="WTI281" s="1069"/>
      <c r="WTJ281" s="1069"/>
      <c r="WTK281" s="1069"/>
      <c r="WTL281" s="1069"/>
      <c r="WTM281" s="1069"/>
      <c r="WTN281" s="1069"/>
      <c r="WTO281" s="1069"/>
      <c r="WTP281" s="1069"/>
      <c r="WTQ281" s="1069"/>
      <c r="WTR281" s="1069"/>
      <c r="WTS281" s="1069"/>
      <c r="WTT281" s="1069"/>
      <c r="WTU281" s="1069"/>
      <c r="WTV281" s="1069"/>
      <c r="WTW281" s="1069"/>
      <c r="WTX281" s="1069"/>
      <c r="WTY281" s="1069"/>
      <c r="WTZ281" s="1069"/>
      <c r="WUA281" s="1069"/>
      <c r="WUB281" s="1069"/>
      <c r="WUC281" s="1069"/>
      <c r="WUD281" s="1069"/>
      <c r="WUE281" s="1069"/>
      <c r="WUF281" s="1069"/>
      <c r="WUG281" s="1069"/>
      <c r="WUH281" s="1069"/>
      <c r="WUI281" s="1069"/>
      <c r="WUJ281" s="1069"/>
      <c r="WUK281" s="1069"/>
      <c r="WUL281" s="1069"/>
      <c r="WUM281" s="1069"/>
      <c r="WUN281" s="1069"/>
      <c r="WUO281" s="1069"/>
      <c r="WUP281" s="1069"/>
      <c r="WUQ281" s="1069"/>
      <c r="WUR281" s="1069"/>
      <c r="WUS281" s="1069"/>
      <c r="WUT281" s="1069"/>
      <c r="WUU281" s="1069"/>
      <c r="WUV281" s="1069"/>
      <c r="WUW281" s="1069"/>
      <c r="WUX281" s="1069"/>
      <c r="WUY281" s="1069"/>
      <c r="WUZ281" s="1069"/>
      <c r="WVA281" s="1069"/>
      <c r="WVB281" s="1069"/>
      <c r="WVC281" s="1069"/>
      <c r="WVD281" s="1069"/>
      <c r="WVE281" s="1069"/>
      <c r="WVF281" s="1069"/>
      <c r="WVG281" s="1069"/>
      <c r="WVH281" s="1069"/>
      <c r="WVI281" s="1069"/>
      <c r="WVJ281" s="1069"/>
      <c r="WVK281" s="1069"/>
      <c r="WVL281" s="1069"/>
      <c r="WVM281" s="1069"/>
      <c r="WVN281" s="1069"/>
      <c r="WVO281" s="1069"/>
      <c r="WVP281" s="1069"/>
      <c r="WVQ281" s="1069"/>
      <c r="WVR281" s="1069"/>
      <c r="WVS281" s="1069"/>
      <c r="WVT281" s="1069"/>
      <c r="WVU281" s="1069"/>
      <c r="WVV281" s="1069"/>
      <c r="WVW281" s="1069"/>
      <c r="WVX281" s="1069"/>
      <c r="WVY281" s="1069"/>
      <c r="WVZ281" s="1069"/>
      <c r="WWA281" s="1069"/>
      <c r="WWB281" s="1069"/>
      <c r="WWC281" s="1069"/>
      <c r="WWD281" s="1069"/>
      <c r="WWE281" s="1069"/>
      <c r="WWF281" s="1069"/>
      <c r="WWG281" s="1069"/>
      <c r="WWH281" s="1069"/>
      <c r="WWI281" s="1069"/>
      <c r="WWJ281" s="1069"/>
      <c r="WWK281" s="1069"/>
      <c r="WWL281" s="1069"/>
      <c r="WWM281" s="1069"/>
      <c r="WWN281" s="1069"/>
      <c r="WWO281" s="1069"/>
      <c r="WWP281" s="1069"/>
      <c r="WWQ281" s="1069"/>
      <c r="WWR281" s="1069"/>
      <c r="WWS281" s="1069"/>
      <c r="WWT281" s="1069"/>
      <c r="WWU281" s="1069"/>
      <c r="WWV281" s="1069"/>
      <c r="WWW281" s="1069"/>
      <c r="WWX281" s="1069"/>
      <c r="WWY281" s="1069"/>
      <c r="WWZ281" s="1069"/>
      <c r="WXA281" s="1069"/>
      <c r="WXB281" s="1069"/>
      <c r="WXC281" s="1069"/>
      <c r="WXD281" s="1069"/>
      <c r="WXE281" s="1069"/>
      <c r="WXF281" s="1069"/>
      <c r="WXG281" s="1069"/>
      <c r="WXH281" s="1069"/>
      <c r="WXI281" s="1069"/>
      <c r="WXJ281" s="1069"/>
      <c r="WXK281" s="1069"/>
      <c r="WXL281" s="1069"/>
      <c r="WXM281" s="1069"/>
      <c r="WXN281" s="1069"/>
      <c r="WXO281" s="1069"/>
      <c r="WXP281" s="1069"/>
      <c r="WXQ281" s="1069"/>
      <c r="WXR281" s="1069"/>
      <c r="WXS281" s="1069"/>
      <c r="WXT281" s="1069"/>
      <c r="WXU281" s="1069"/>
      <c r="WXV281" s="1069"/>
      <c r="WXW281" s="1069"/>
      <c r="WXX281" s="1069"/>
      <c r="WXY281" s="1069"/>
      <c r="WXZ281" s="1069"/>
      <c r="WYA281" s="1069"/>
      <c r="WYB281" s="1069"/>
      <c r="WYC281" s="1069"/>
      <c r="WYD281" s="1069"/>
      <c r="WYE281" s="1069"/>
      <c r="WYF281" s="1069"/>
      <c r="WYG281" s="1069"/>
      <c r="WYH281" s="1069"/>
      <c r="WYI281" s="1069"/>
      <c r="WYJ281" s="1069"/>
      <c r="WYK281" s="1069"/>
      <c r="WYL281" s="1069"/>
      <c r="WYM281" s="1069"/>
      <c r="WYN281" s="1069"/>
      <c r="WYO281" s="1069"/>
      <c r="WYP281" s="1069"/>
      <c r="WYQ281" s="1069"/>
      <c r="WYR281" s="1069"/>
      <c r="WYS281" s="1069"/>
      <c r="WYT281" s="1069"/>
      <c r="WYU281" s="1069"/>
      <c r="WYV281" s="1069"/>
      <c r="WYW281" s="1069"/>
      <c r="WYX281" s="1069"/>
      <c r="WYY281" s="1069"/>
      <c r="WYZ281" s="1069"/>
      <c r="WZA281" s="1069"/>
      <c r="WZB281" s="1069"/>
      <c r="WZC281" s="1069"/>
      <c r="WZD281" s="1069"/>
      <c r="WZE281" s="1069"/>
      <c r="WZF281" s="1069"/>
      <c r="WZG281" s="1069"/>
      <c r="WZH281" s="1069"/>
      <c r="WZI281" s="1069"/>
      <c r="WZJ281" s="1069"/>
      <c r="WZK281" s="1069"/>
      <c r="WZL281" s="1069"/>
      <c r="WZM281" s="1069"/>
      <c r="WZN281" s="1069"/>
      <c r="WZO281" s="1069"/>
      <c r="WZP281" s="1069"/>
      <c r="WZQ281" s="1069"/>
      <c r="WZR281" s="1069"/>
      <c r="WZS281" s="1069"/>
      <c r="WZT281" s="1069"/>
      <c r="WZU281" s="1069"/>
      <c r="WZV281" s="1069"/>
      <c r="WZW281" s="1069"/>
      <c r="WZX281" s="1069"/>
      <c r="WZY281" s="1069"/>
      <c r="WZZ281" s="1069"/>
      <c r="XAA281" s="1069"/>
      <c r="XAB281" s="1069"/>
      <c r="XAC281" s="1069"/>
      <c r="XAD281" s="1069"/>
      <c r="XAE281" s="1069"/>
      <c r="XAF281" s="1069"/>
      <c r="XAG281" s="1069"/>
      <c r="XAH281" s="1069"/>
      <c r="XAI281" s="1069"/>
      <c r="XAJ281" s="1069"/>
      <c r="XAK281" s="1069"/>
      <c r="XAL281" s="1069"/>
      <c r="XAM281" s="1069"/>
      <c r="XAN281" s="1069"/>
      <c r="XAO281" s="1069"/>
      <c r="XAP281" s="1069"/>
      <c r="XAQ281" s="1069"/>
      <c r="XAR281" s="1069"/>
      <c r="XAS281" s="1069"/>
      <c r="XAT281" s="1069"/>
      <c r="XAU281" s="1069"/>
      <c r="XAV281" s="1069"/>
      <c r="XAW281" s="1069"/>
      <c r="XAX281" s="1069"/>
      <c r="XAY281" s="1069"/>
      <c r="XAZ281" s="1069"/>
      <c r="XBA281" s="1069"/>
      <c r="XBB281" s="1069"/>
      <c r="XBC281" s="1069"/>
      <c r="XBD281" s="1069"/>
      <c r="XBE281" s="1069"/>
      <c r="XBF281" s="1069"/>
      <c r="XBG281" s="1069"/>
      <c r="XBH281" s="1069"/>
      <c r="XBI281" s="1069"/>
      <c r="XBJ281" s="1069"/>
      <c r="XBK281" s="1069"/>
      <c r="XBL281" s="1069"/>
      <c r="XBM281" s="1069"/>
      <c r="XBN281" s="1069"/>
      <c r="XBO281" s="1069"/>
      <c r="XBP281" s="1069"/>
      <c r="XBQ281" s="1069"/>
      <c r="XBR281" s="1069"/>
      <c r="XBS281" s="1069"/>
      <c r="XBT281" s="1069"/>
      <c r="XBU281" s="1069"/>
      <c r="XBV281" s="1069"/>
      <c r="XBW281" s="1069"/>
      <c r="XBX281" s="1069"/>
      <c r="XBY281" s="1069"/>
      <c r="XBZ281" s="1069"/>
      <c r="XCA281" s="1069"/>
      <c r="XCB281" s="1069"/>
      <c r="XCC281" s="1069"/>
      <c r="XCD281" s="1069"/>
      <c r="XCE281" s="1069"/>
      <c r="XCF281" s="1069"/>
      <c r="XCG281" s="1069"/>
      <c r="XCH281" s="1069"/>
      <c r="XCI281" s="1069"/>
      <c r="XCJ281" s="1069"/>
      <c r="XCK281" s="1069"/>
      <c r="XCL281" s="1069"/>
      <c r="XCM281" s="1069"/>
      <c r="XCN281" s="1069"/>
      <c r="XCO281" s="1069"/>
      <c r="XCP281" s="1069"/>
      <c r="XCQ281" s="1069"/>
      <c r="XCR281" s="1069"/>
      <c r="XCS281" s="1069"/>
      <c r="XCT281" s="1069"/>
      <c r="XCU281" s="1069"/>
      <c r="XCV281" s="1069"/>
      <c r="XCW281" s="1069"/>
      <c r="XCX281" s="1069"/>
      <c r="XCY281" s="1069"/>
      <c r="XCZ281" s="1069"/>
      <c r="XDA281" s="1069"/>
      <c r="XDB281" s="1069"/>
      <c r="XDC281" s="1069"/>
      <c r="XDD281" s="1069"/>
      <c r="XDE281" s="1069"/>
      <c r="XDF281" s="1069"/>
      <c r="XDG281" s="1069"/>
      <c r="XDH281" s="1069"/>
      <c r="XDI281" s="1069"/>
      <c r="XDJ281" s="1069"/>
      <c r="XDK281" s="1069"/>
      <c r="XDL281" s="1069"/>
      <c r="XDM281" s="1069"/>
      <c r="XDN281" s="1069"/>
      <c r="XDO281" s="1069"/>
      <c r="XDP281" s="1069"/>
      <c r="XDQ281" s="1069"/>
      <c r="XDR281" s="1069"/>
      <c r="XDS281" s="1069"/>
      <c r="XDT281" s="1069"/>
      <c r="XDU281" s="1069"/>
      <c r="XDV281" s="1069"/>
      <c r="XDW281" s="1069"/>
      <c r="XDX281" s="1069"/>
      <c r="XDY281" s="1069"/>
      <c r="XDZ281" s="1069"/>
      <c r="XEA281" s="1069"/>
      <c r="XEB281" s="1069"/>
      <c r="XEC281" s="1069"/>
    </row>
    <row r="282" spans="1:16357" ht="12.75" hidden="1" customHeight="1" outlineLevel="1" x14ac:dyDescent="0.35">
      <c r="A282" s="17" t="s">
        <v>707</v>
      </c>
      <c r="B282" s="85"/>
      <c r="C282" s="89"/>
      <c r="D282" s="90"/>
      <c r="E282" s="90"/>
      <c r="F282" s="92"/>
      <c r="G282" s="85"/>
      <c r="H282" s="89"/>
      <c r="I282" s="90"/>
      <c r="J282" s="90"/>
      <c r="K282" s="90"/>
      <c r="L282" s="85"/>
      <c r="M282" s="90"/>
      <c r="N282" s="90"/>
      <c r="O282" s="90"/>
      <c r="P282" s="90"/>
      <c r="Q282" s="85"/>
      <c r="R282" s="38"/>
      <c r="S282" s="38"/>
      <c r="T282" s="38"/>
      <c r="U282" s="39"/>
      <c r="V282" s="85"/>
      <c r="W282" s="38"/>
      <c r="X282" s="38"/>
      <c r="Y282" s="38"/>
      <c r="Z282" s="39"/>
      <c r="AA282" s="54"/>
      <c r="AB282" s="87"/>
      <c r="AC282" s="38"/>
      <c r="AD282" s="38"/>
      <c r="AE282" s="38"/>
      <c r="AF282" s="85"/>
      <c r="AG282" s="38"/>
      <c r="AH282" s="38"/>
      <c r="AI282" s="38"/>
      <c r="AJ282" s="38"/>
      <c r="AK282" s="85"/>
      <c r="AL282" s="38"/>
      <c r="AM282" s="38"/>
      <c r="AN282" s="38"/>
      <c r="AO282" s="38"/>
      <c r="AP282" s="85"/>
      <c r="AQ282" s="38"/>
      <c r="AR282" s="38"/>
      <c r="AS282" s="38"/>
      <c r="AT282" s="38"/>
      <c r="AU282" s="86"/>
      <c r="AV282" s="45"/>
      <c r="AW282" s="38"/>
      <c r="AX282" s="38"/>
      <c r="AY282" s="38"/>
      <c r="AZ282" s="38"/>
      <c r="BA282" s="85"/>
      <c r="BB282" s="38"/>
      <c r="BC282" s="38"/>
      <c r="BD282" s="38"/>
      <c r="BE282" s="38"/>
      <c r="BF282" s="85"/>
      <c r="BG282" s="38"/>
      <c r="BH282" s="38"/>
      <c r="BI282" s="38"/>
      <c r="BJ282" s="38"/>
      <c r="BK282" s="85"/>
      <c r="BL282" s="22">
        <v>0.12895250155977839</v>
      </c>
      <c r="BM282" s="22">
        <v>0.14848153103839756</v>
      </c>
      <c r="BN282" s="22">
        <v>0.13164189755532144</v>
      </c>
      <c r="BO282" s="22">
        <v>0.13010641261798292</v>
      </c>
      <c r="BP282" s="123">
        <v>0.13482804001076759</v>
      </c>
      <c r="BQ282" s="22">
        <v>0.12899881287401654</v>
      </c>
      <c r="BR282" s="22">
        <v>0.14335179243476465</v>
      </c>
      <c r="BS282" s="22">
        <v>0.1434280838834254</v>
      </c>
      <c r="BT282" s="22">
        <v>0.13500000000000001</v>
      </c>
      <c r="BU282" s="123">
        <v>0.13798431119307419</v>
      </c>
      <c r="BV282" s="1196">
        <v>0.13</v>
      </c>
      <c r="BW282" s="1196">
        <v>0.14299999999999999</v>
      </c>
      <c r="BX282" s="1196">
        <v>0.13500000000000001</v>
      </c>
      <c r="BY282" s="1196">
        <v>0.13500000000000001</v>
      </c>
      <c r="BZ282" s="123">
        <v>0.13587714676805004</v>
      </c>
      <c r="CA282" s="22">
        <v>0.13</v>
      </c>
      <c r="CB282" s="22">
        <v>0.14299999999999999</v>
      </c>
      <c r="CC282" s="22">
        <v>0.13500000000000001</v>
      </c>
      <c r="CD282" s="22">
        <v>0.13500000000000001</v>
      </c>
      <c r="CE282" s="123">
        <v>0.13587714676805004</v>
      </c>
      <c r="CF282" s="22">
        <v>0.13100000000000001</v>
      </c>
      <c r="CG282" s="22">
        <v>0.14399999999999999</v>
      </c>
      <c r="CH282" s="22">
        <v>0.13600000000000001</v>
      </c>
      <c r="CI282" s="22">
        <v>0.13600000000000001</v>
      </c>
      <c r="CJ282" s="123">
        <v>0.1368946472895439</v>
      </c>
      <c r="CK282" s="22">
        <v>0.13200000000000001</v>
      </c>
      <c r="CL282" s="22">
        <v>0.14499999999999999</v>
      </c>
      <c r="CM282" s="22">
        <v>0.13700000000000001</v>
      </c>
      <c r="CN282" s="22">
        <v>0.13700000000000001</v>
      </c>
      <c r="CO282" s="123">
        <v>0.13783859679017182</v>
      </c>
      <c r="CP282" s="22">
        <v>0.13300000000000001</v>
      </c>
      <c r="CQ282" s="22">
        <v>0.14599999999999999</v>
      </c>
      <c r="CR282" s="22">
        <v>0.13800000000000001</v>
      </c>
      <c r="CS282" s="22">
        <v>0.13800000000000001</v>
      </c>
      <c r="CT282" s="123">
        <v>0.13883755404521556</v>
      </c>
      <c r="CU282" s="22">
        <v>0.13400000000000001</v>
      </c>
      <c r="CV282" s="22">
        <v>0.14699999999999999</v>
      </c>
      <c r="CW282" s="22">
        <v>0.13900000000000001</v>
      </c>
      <c r="CX282" s="22">
        <v>0.13900000000000001</v>
      </c>
      <c r="CY282" s="123">
        <v>0.13983772469977526</v>
      </c>
      <c r="CZ282" s="22">
        <v>0.13500000000000001</v>
      </c>
      <c r="DA282" s="22">
        <v>0.14799999999999999</v>
      </c>
      <c r="DB282" s="22">
        <v>0.14000000000000001</v>
      </c>
      <c r="DC282" s="22">
        <v>0.14000000000000001</v>
      </c>
      <c r="DD282" s="123">
        <v>0.1408374749737582</v>
      </c>
      <c r="DE282" s="22">
        <v>0.13600000000000001</v>
      </c>
      <c r="DF282" s="22">
        <v>0.14899999999999999</v>
      </c>
      <c r="DG282" s="22">
        <v>0.14100000000000001</v>
      </c>
      <c r="DH282" s="22">
        <v>0.14100000000000001</v>
      </c>
      <c r="DI282" s="123">
        <v>0.14183746786571005</v>
      </c>
      <c r="DJ282" s="22">
        <v>0.13700000000000001</v>
      </c>
      <c r="DK282" s="22">
        <v>0.15</v>
      </c>
      <c r="DL282" s="22">
        <v>0.14200000000000002</v>
      </c>
      <c r="DM282" s="22">
        <v>0.14200000000000002</v>
      </c>
      <c r="DN282" s="123">
        <v>0.14283724571962123</v>
      </c>
      <c r="DO282" s="22"/>
      <c r="DP282" s="22"/>
      <c r="DQ282" s="22"/>
      <c r="DR282" s="22"/>
      <c r="DS282" s="123"/>
      <c r="DT282" s="38"/>
      <c r="DU282" s="38"/>
      <c r="DV282" s="38"/>
      <c r="DW282" s="38"/>
      <c r="DX282" s="85"/>
      <c r="DY282" s="38"/>
      <c r="DZ282" s="38"/>
      <c r="EA282" s="38"/>
      <c r="EB282" s="38"/>
      <c r="EC282" s="85"/>
      <c r="ED282" s="46"/>
      <c r="EE282" s="37"/>
      <c r="EF282" s="286"/>
      <c r="EG282" s="25"/>
      <c r="EH282" s="25"/>
      <c r="EI282" s="25"/>
      <c r="EJ282" s="25"/>
      <c r="EK282" s="25"/>
      <c r="EL282" s="25"/>
      <c r="EM282" s="25"/>
      <c r="EN282" s="25"/>
      <c r="EO282" s="25"/>
      <c r="EP282" s="25"/>
      <c r="EQ282" s="25"/>
      <c r="ER282" s="25"/>
      <c r="ES282" s="25"/>
      <c r="ET282" s="25"/>
      <c r="EU282" s="25"/>
      <c r="EX282" s="25"/>
      <c r="EY282" s="294"/>
      <c r="EZ282" s="985"/>
      <c r="FA282" s="985"/>
      <c r="FB282" s="294"/>
      <c r="FC282" s="985"/>
      <c r="FD282" s="25"/>
      <c r="FK282" s="1069"/>
      <c r="FL282" s="1069"/>
      <c r="FM282" s="1069"/>
      <c r="FN282" s="1069"/>
      <c r="FO282" s="1069"/>
      <c r="FP282" s="1069"/>
      <c r="FQ282" s="1069"/>
      <c r="FR282" s="1069"/>
      <c r="FS282" s="1069"/>
      <c r="FT282" s="1069"/>
      <c r="FU282" s="1069"/>
      <c r="FV282" s="1069"/>
      <c r="FW282" s="1069"/>
      <c r="FX282" s="1069"/>
      <c r="FY282" s="1069"/>
      <c r="FZ282" s="1069"/>
      <c r="GA282" s="1069"/>
      <c r="GB282" s="1069"/>
      <c r="GC282" s="1069"/>
      <c r="GD282" s="1069"/>
      <c r="GE282" s="1069"/>
      <c r="GF282" s="1069"/>
      <c r="GG282" s="1069"/>
      <c r="GH282" s="1069"/>
      <c r="GI282" s="1069"/>
      <c r="GJ282" s="1069"/>
      <c r="GK282" s="1069"/>
      <c r="GL282" s="1069"/>
      <c r="GM282" s="1069"/>
      <c r="GN282" s="1069"/>
      <c r="GO282" s="1069"/>
      <c r="GP282" s="1069"/>
      <c r="GQ282" s="1069"/>
      <c r="GR282" s="1069"/>
      <c r="GS282" s="1069"/>
      <c r="GT282" s="1069"/>
      <c r="GU282" s="1069"/>
      <c r="GV282" s="1069"/>
      <c r="GW282" s="1069"/>
      <c r="GX282" s="1069"/>
      <c r="GY282" s="1069"/>
      <c r="GZ282" s="1069"/>
      <c r="HA282" s="1069"/>
      <c r="HB282" s="1069"/>
      <c r="HC282" s="1069"/>
      <c r="HD282" s="1069"/>
      <c r="HE282" s="1069"/>
      <c r="HF282" s="1069"/>
      <c r="HG282" s="1069"/>
      <c r="HH282" s="1069"/>
      <c r="HI282" s="1069"/>
      <c r="HJ282" s="1069"/>
      <c r="HK282" s="1069"/>
      <c r="HL282" s="1069"/>
      <c r="HM282" s="1069"/>
      <c r="HN282" s="1069"/>
      <c r="HO282" s="1069"/>
      <c r="HP282" s="1069"/>
      <c r="HQ282" s="1069"/>
      <c r="HR282" s="1069"/>
      <c r="HS282" s="1069"/>
      <c r="HT282" s="1069"/>
      <c r="HU282" s="1069"/>
      <c r="HV282" s="1069"/>
      <c r="HW282" s="1069"/>
      <c r="HX282" s="1069"/>
      <c r="HY282" s="1069"/>
      <c r="HZ282" s="1069"/>
      <c r="IA282" s="1069"/>
      <c r="IB282" s="1069"/>
      <c r="IC282" s="1069"/>
      <c r="ID282" s="1069"/>
      <c r="IE282" s="1069"/>
      <c r="IF282" s="1069"/>
      <c r="IG282" s="1069"/>
      <c r="IH282" s="1069"/>
      <c r="II282" s="1069"/>
      <c r="IJ282" s="1069"/>
      <c r="IK282" s="1069"/>
      <c r="IL282" s="1069"/>
      <c r="IM282" s="1069"/>
      <c r="IN282" s="1069"/>
      <c r="IO282" s="1069"/>
      <c r="IP282" s="1069"/>
      <c r="IQ282" s="1069"/>
      <c r="IR282" s="1069"/>
      <c r="IS282" s="1069"/>
      <c r="IT282" s="1069"/>
      <c r="IU282" s="1069"/>
      <c r="IV282" s="1069"/>
      <c r="IW282" s="1069"/>
      <c r="IX282" s="1069"/>
      <c r="IY282" s="1069"/>
      <c r="IZ282" s="1069"/>
      <c r="JA282" s="1069"/>
      <c r="JB282" s="1069"/>
      <c r="JC282" s="1069"/>
      <c r="JD282" s="1069"/>
      <c r="JE282" s="1069"/>
      <c r="JF282" s="1069"/>
      <c r="JG282" s="1069"/>
      <c r="JH282" s="1069"/>
      <c r="JI282" s="1069"/>
      <c r="JJ282" s="1069"/>
      <c r="JK282" s="1069"/>
      <c r="JL282" s="1069"/>
      <c r="JM282" s="1069"/>
      <c r="JN282" s="1069"/>
      <c r="JO282" s="1069"/>
      <c r="JP282" s="1069"/>
      <c r="JQ282" s="1069"/>
      <c r="JR282" s="1069"/>
      <c r="JS282" s="1069"/>
      <c r="JT282" s="1069"/>
      <c r="JU282" s="1069"/>
      <c r="JV282" s="1069"/>
      <c r="JW282" s="1069"/>
      <c r="JX282" s="1069"/>
      <c r="JY282" s="1069"/>
      <c r="JZ282" s="1069"/>
      <c r="KA282" s="1069"/>
      <c r="KB282" s="1069"/>
      <c r="KC282" s="1069"/>
      <c r="KD282" s="1069"/>
      <c r="KE282" s="1069"/>
      <c r="KF282" s="1069"/>
      <c r="KG282" s="1069"/>
      <c r="KH282" s="1069"/>
      <c r="KI282" s="1069"/>
      <c r="KJ282" s="1069"/>
      <c r="KK282" s="1069"/>
      <c r="KL282" s="1069"/>
      <c r="KM282" s="1069"/>
      <c r="KN282" s="1069"/>
      <c r="KO282" s="1069"/>
      <c r="KP282" s="1069"/>
      <c r="KQ282" s="1069"/>
      <c r="KR282" s="1069"/>
      <c r="KS282" s="1069"/>
      <c r="KT282" s="1069"/>
      <c r="KU282" s="1069"/>
      <c r="KV282" s="1069"/>
      <c r="KW282" s="1069"/>
      <c r="KX282" s="1069"/>
      <c r="KY282" s="1069"/>
      <c r="KZ282" s="1069"/>
      <c r="LA282" s="1069"/>
      <c r="LB282" s="1069"/>
      <c r="LC282" s="1069"/>
      <c r="LD282" s="1069"/>
      <c r="LE282" s="1069"/>
      <c r="LF282" s="1069"/>
      <c r="LG282" s="1069"/>
      <c r="LH282" s="1069"/>
      <c r="LI282" s="1069"/>
      <c r="LJ282" s="1069"/>
      <c r="LK282" s="1069"/>
      <c r="LL282" s="1069"/>
      <c r="LM282" s="1069"/>
      <c r="LN282" s="1069"/>
      <c r="LO282" s="1069"/>
      <c r="LP282" s="1069"/>
      <c r="LQ282" s="1069"/>
      <c r="LR282" s="1069"/>
      <c r="LS282" s="1069"/>
      <c r="LT282" s="1069"/>
      <c r="LU282" s="1069"/>
      <c r="LV282" s="1069"/>
      <c r="LW282" s="1069"/>
      <c r="LX282" s="1069"/>
      <c r="LY282" s="1069"/>
      <c r="LZ282" s="1069"/>
      <c r="MA282" s="1069"/>
      <c r="MB282" s="1069"/>
      <c r="MC282" s="1069"/>
      <c r="MD282" s="1069"/>
      <c r="ME282" s="1069"/>
      <c r="MF282" s="1069"/>
      <c r="MG282" s="1069"/>
      <c r="MH282" s="1069"/>
      <c r="MI282" s="1069"/>
      <c r="MJ282" s="1069"/>
      <c r="MK282" s="1069"/>
      <c r="ML282" s="1069"/>
      <c r="MM282" s="1069"/>
      <c r="MN282" s="1069"/>
      <c r="MO282" s="1069"/>
      <c r="MP282" s="1069"/>
      <c r="MQ282" s="1069"/>
      <c r="MR282" s="1069"/>
      <c r="MS282" s="1069"/>
      <c r="MT282" s="1069"/>
      <c r="MU282" s="1069"/>
      <c r="MV282" s="1069"/>
      <c r="MW282" s="1069"/>
      <c r="MX282" s="1069"/>
      <c r="MY282" s="1069"/>
      <c r="MZ282" s="1069"/>
      <c r="NA282" s="1069"/>
      <c r="NB282" s="1069"/>
      <c r="NC282" s="1069"/>
      <c r="ND282" s="1069"/>
      <c r="NE282" s="1069"/>
      <c r="NF282" s="1069"/>
      <c r="NG282" s="1069"/>
      <c r="NH282" s="1069"/>
      <c r="NI282" s="1069"/>
      <c r="NJ282" s="1069"/>
      <c r="NK282" s="1069"/>
      <c r="NL282" s="1069"/>
      <c r="NM282" s="1069"/>
      <c r="NN282" s="1069"/>
      <c r="NO282" s="1069"/>
      <c r="NP282" s="1069"/>
      <c r="NQ282" s="1069"/>
      <c r="NR282" s="1069"/>
      <c r="NS282" s="1069"/>
      <c r="NT282" s="1069"/>
      <c r="NU282" s="1069"/>
      <c r="NV282" s="1069"/>
      <c r="NW282" s="1069"/>
      <c r="NX282" s="1069"/>
      <c r="NY282" s="1069"/>
      <c r="NZ282" s="1069"/>
      <c r="OA282" s="1069"/>
      <c r="OB282" s="1069"/>
      <c r="OC282" s="1069"/>
      <c r="OD282" s="1069"/>
      <c r="OE282" s="1069"/>
      <c r="OF282" s="1069"/>
      <c r="OG282" s="1069"/>
      <c r="OH282" s="1069"/>
      <c r="OI282" s="1069"/>
      <c r="OJ282" s="1069"/>
      <c r="OK282" s="1069"/>
      <c r="OL282" s="1069"/>
      <c r="OM282" s="1069"/>
      <c r="ON282" s="1069"/>
      <c r="OO282" s="1069"/>
      <c r="OP282" s="1069"/>
      <c r="OQ282" s="1069"/>
      <c r="OR282" s="1069"/>
      <c r="OS282" s="1069"/>
      <c r="OT282" s="1069"/>
      <c r="OU282" s="1069"/>
      <c r="OV282" s="1069"/>
      <c r="OW282" s="1069"/>
      <c r="OX282" s="1069"/>
      <c r="OY282" s="1069"/>
      <c r="OZ282" s="1069"/>
      <c r="PA282" s="1069"/>
      <c r="PB282" s="1069"/>
      <c r="PC282" s="1069"/>
      <c r="PD282" s="1069"/>
      <c r="PE282" s="1069"/>
      <c r="PF282" s="1069"/>
      <c r="PG282" s="1069"/>
      <c r="PH282" s="1069"/>
      <c r="PI282" s="1069"/>
      <c r="PJ282" s="1069"/>
      <c r="PK282" s="1069"/>
      <c r="PL282" s="1069"/>
      <c r="PM282" s="1069"/>
      <c r="PN282" s="1069"/>
      <c r="PO282" s="1069"/>
      <c r="PP282" s="1069"/>
      <c r="PQ282" s="1069"/>
      <c r="PR282" s="1069"/>
      <c r="PS282" s="1069"/>
      <c r="PT282" s="1069"/>
      <c r="PU282" s="1069"/>
      <c r="PV282" s="1069"/>
      <c r="PW282" s="1069"/>
      <c r="PX282" s="1069"/>
      <c r="PY282" s="1069"/>
      <c r="PZ282" s="1069"/>
      <c r="QA282" s="1069"/>
      <c r="QB282" s="1069"/>
      <c r="QC282" s="1069"/>
      <c r="QD282" s="1069"/>
      <c r="QE282" s="1069"/>
      <c r="QF282" s="1069"/>
      <c r="QG282" s="1069"/>
      <c r="QH282" s="1069"/>
      <c r="QI282" s="1069"/>
      <c r="QJ282" s="1069"/>
      <c r="QK282" s="1069"/>
      <c r="QL282" s="1069"/>
      <c r="QM282" s="1069"/>
      <c r="QN282" s="1069"/>
      <c r="QO282" s="1069"/>
      <c r="QP282" s="1069"/>
      <c r="QQ282" s="1069"/>
      <c r="QR282" s="1069"/>
      <c r="QS282" s="1069"/>
      <c r="QT282" s="1069"/>
      <c r="QU282" s="1069"/>
      <c r="QV282" s="1069"/>
      <c r="QW282" s="1069"/>
      <c r="QX282" s="1069"/>
      <c r="QY282" s="1069"/>
      <c r="QZ282" s="1069"/>
      <c r="RA282" s="1069"/>
      <c r="RB282" s="1069"/>
      <c r="RC282" s="1069"/>
      <c r="RD282" s="1069"/>
      <c r="RE282" s="1069"/>
      <c r="RF282" s="1069"/>
      <c r="RG282" s="1069"/>
      <c r="RH282" s="1069"/>
      <c r="RI282" s="1069"/>
      <c r="RJ282" s="1069"/>
      <c r="RK282" s="1069"/>
      <c r="RL282" s="1069"/>
      <c r="RM282" s="1069"/>
      <c r="RN282" s="1069"/>
      <c r="RO282" s="1069"/>
      <c r="RP282" s="1069"/>
      <c r="RQ282" s="1069"/>
      <c r="RR282" s="1069"/>
      <c r="RS282" s="1069"/>
      <c r="RT282" s="1069"/>
      <c r="RU282" s="1069"/>
      <c r="RV282" s="1069"/>
      <c r="RW282" s="1069"/>
      <c r="RX282" s="1069"/>
      <c r="RY282" s="1069"/>
      <c r="RZ282" s="1069"/>
      <c r="SA282" s="1069"/>
      <c r="SB282" s="1069"/>
      <c r="SC282" s="1069"/>
      <c r="SD282" s="1069"/>
      <c r="SE282" s="1069"/>
      <c r="SF282" s="1069"/>
      <c r="SG282" s="1069"/>
      <c r="SH282" s="1069"/>
      <c r="SI282" s="1069"/>
      <c r="SJ282" s="1069"/>
      <c r="SK282" s="1069"/>
      <c r="SL282" s="1069"/>
      <c r="SM282" s="1069"/>
      <c r="SN282" s="1069"/>
      <c r="SO282" s="1069"/>
      <c r="SP282" s="1069"/>
      <c r="SQ282" s="1069"/>
      <c r="SR282" s="1069"/>
      <c r="SS282" s="1069"/>
      <c r="ST282" s="1069"/>
      <c r="SU282" s="1069"/>
      <c r="SV282" s="1069"/>
      <c r="SW282" s="1069"/>
      <c r="SX282" s="1069"/>
      <c r="SY282" s="1069"/>
      <c r="SZ282" s="1069"/>
      <c r="TA282" s="1069"/>
      <c r="TB282" s="1069"/>
      <c r="TC282" s="1069"/>
      <c r="TD282" s="1069"/>
      <c r="TE282" s="1069"/>
      <c r="TF282" s="1069"/>
      <c r="TG282" s="1069"/>
      <c r="TH282" s="1069"/>
      <c r="TI282" s="1069"/>
      <c r="TJ282" s="1069"/>
      <c r="TK282" s="1069"/>
      <c r="TL282" s="1069"/>
      <c r="TM282" s="1069"/>
      <c r="TN282" s="1069"/>
      <c r="TO282" s="1069"/>
      <c r="TP282" s="1069"/>
      <c r="TQ282" s="1069"/>
      <c r="TR282" s="1069"/>
      <c r="TS282" s="1069"/>
      <c r="TT282" s="1069"/>
      <c r="TU282" s="1069"/>
      <c r="TV282" s="1069"/>
      <c r="TW282" s="1069"/>
      <c r="TX282" s="1069"/>
      <c r="TY282" s="1069"/>
      <c r="TZ282" s="1069"/>
      <c r="UA282" s="1069"/>
      <c r="UB282" s="1069"/>
      <c r="UC282" s="1069"/>
      <c r="UD282" s="1069"/>
      <c r="UE282" s="1069"/>
      <c r="UF282" s="1069"/>
      <c r="UG282" s="1069"/>
      <c r="UH282" s="1069"/>
      <c r="UI282" s="1069"/>
      <c r="UJ282" s="1069"/>
      <c r="UK282" s="1069"/>
      <c r="UL282" s="1069"/>
      <c r="UM282" s="1069"/>
      <c r="UN282" s="1069"/>
      <c r="UO282" s="1069"/>
      <c r="UP282" s="1069"/>
      <c r="UQ282" s="1069"/>
      <c r="UR282" s="1069"/>
      <c r="US282" s="1069"/>
      <c r="UT282" s="1069"/>
      <c r="UU282" s="1069"/>
      <c r="UV282" s="1069"/>
      <c r="UW282" s="1069"/>
      <c r="UX282" s="1069"/>
      <c r="UY282" s="1069"/>
      <c r="UZ282" s="1069"/>
      <c r="VA282" s="1069"/>
      <c r="VB282" s="1069"/>
      <c r="VC282" s="1069"/>
      <c r="VD282" s="1069"/>
      <c r="VE282" s="1069"/>
      <c r="VF282" s="1069"/>
      <c r="VG282" s="1069"/>
      <c r="VH282" s="1069"/>
      <c r="VI282" s="1069"/>
      <c r="VJ282" s="1069"/>
      <c r="VK282" s="1069"/>
      <c r="VL282" s="1069"/>
      <c r="VM282" s="1069"/>
      <c r="VN282" s="1069"/>
      <c r="VO282" s="1069"/>
      <c r="VP282" s="1069"/>
      <c r="VQ282" s="1069"/>
      <c r="VR282" s="1069"/>
      <c r="VS282" s="1069"/>
      <c r="VT282" s="1069"/>
      <c r="VU282" s="1069"/>
      <c r="VV282" s="1069"/>
      <c r="VW282" s="1069"/>
      <c r="VX282" s="1069"/>
      <c r="VY282" s="1069"/>
      <c r="VZ282" s="1069"/>
      <c r="WA282" s="1069"/>
      <c r="WB282" s="1069"/>
      <c r="WC282" s="1069"/>
      <c r="WD282" s="1069"/>
      <c r="WE282" s="1069"/>
      <c r="WF282" s="1069"/>
      <c r="WG282" s="1069"/>
      <c r="WH282" s="1069"/>
      <c r="WI282" s="1069"/>
      <c r="WJ282" s="1069"/>
      <c r="WK282" s="1069"/>
      <c r="WL282" s="1069"/>
      <c r="WM282" s="1069"/>
      <c r="WN282" s="1069"/>
      <c r="WO282" s="1069"/>
      <c r="WP282" s="1069"/>
      <c r="WQ282" s="1069"/>
      <c r="WR282" s="1069"/>
      <c r="WS282" s="1069"/>
      <c r="WT282" s="1069"/>
      <c r="WU282" s="1069"/>
      <c r="WV282" s="1069"/>
      <c r="WW282" s="1069"/>
      <c r="WX282" s="1069"/>
      <c r="WY282" s="1069"/>
      <c r="WZ282" s="1069"/>
      <c r="XA282" s="1069"/>
      <c r="XB282" s="1069"/>
      <c r="XC282" s="1069"/>
      <c r="XD282" s="1069"/>
      <c r="XE282" s="1069"/>
      <c r="XF282" s="1069"/>
      <c r="XG282" s="1069"/>
      <c r="XH282" s="1069"/>
      <c r="XI282" s="1069"/>
      <c r="XJ282" s="1069"/>
      <c r="XK282" s="1069"/>
      <c r="XL282" s="1069"/>
      <c r="XM282" s="1069"/>
      <c r="XN282" s="1069"/>
      <c r="XO282" s="1069"/>
      <c r="XP282" s="1069"/>
      <c r="XQ282" s="1069"/>
      <c r="XR282" s="1069"/>
      <c r="XS282" s="1069"/>
      <c r="XT282" s="1069"/>
      <c r="XU282" s="1069"/>
      <c r="XV282" s="1069"/>
      <c r="XW282" s="1069"/>
      <c r="XX282" s="1069"/>
      <c r="XY282" s="1069"/>
      <c r="XZ282" s="1069"/>
      <c r="YA282" s="1069"/>
      <c r="YB282" s="1069"/>
      <c r="YC282" s="1069"/>
      <c r="YD282" s="1069"/>
      <c r="YE282" s="1069"/>
      <c r="YF282" s="1069"/>
      <c r="YG282" s="1069"/>
      <c r="YH282" s="1069"/>
      <c r="YI282" s="1069"/>
      <c r="YJ282" s="1069"/>
      <c r="YK282" s="1069"/>
      <c r="YL282" s="1069"/>
      <c r="YM282" s="1069"/>
      <c r="YN282" s="1069"/>
      <c r="YO282" s="1069"/>
      <c r="YP282" s="1069"/>
      <c r="YQ282" s="1069"/>
      <c r="YR282" s="1069"/>
      <c r="YS282" s="1069"/>
      <c r="YT282" s="1069"/>
      <c r="YU282" s="1069"/>
      <c r="YV282" s="1069"/>
      <c r="YW282" s="1069"/>
      <c r="YX282" s="1069"/>
      <c r="YY282" s="1069"/>
      <c r="YZ282" s="1069"/>
      <c r="ZA282" s="1069"/>
      <c r="ZB282" s="1069"/>
      <c r="ZC282" s="1069"/>
      <c r="ZD282" s="1069"/>
      <c r="ZE282" s="1069"/>
      <c r="ZF282" s="1069"/>
      <c r="ZG282" s="1069"/>
      <c r="ZH282" s="1069"/>
      <c r="ZI282" s="1069"/>
      <c r="ZJ282" s="1069"/>
      <c r="ZK282" s="1069"/>
      <c r="ZL282" s="1069"/>
      <c r="ZM282" s="1069"/>
      <c r="ZN282" s="1069"/>
      <c r="ZO282" s="1069"/>
      <c r="ZP282" s="1069"/>
      <c r="ZQ282" s="1069"/>
      <c r="ZR282" s="1069"/>
      <c r="ZS282" s="1069"/>
      <c r="ZT282" s="1069"/>
      <c r="ZU282" s="1069"/>
      <c r="ZV282" s="1069"/>
      <c r="ZW282" s="1069"/>
      <c r="ZX282" s="1069"/>
      <c r="ZY282" s="1069"/>
      <c r="ZZ282" s="1069"/>
      <c r="AAA282" s="1069"/>
      <c r="AAB282" s="1069"/>
      <c r="AAC282" s="1069"/>
      <c r="AAD282" s="1069"/>
      <c r="AAE282" s="1069"/>
      <c r="AAF282" s="1069"/>
      <c r="AAG282" s="1069"/>
      <c r="AAH282" s="1069"/>
      <c r="AAI282" s="1069"/>
      <c r="AAJ282" s="1069"/>
      <c r="AAK282" s="1069"/>
      <c r="AAL282" s="1069"/>
      <c r="AAM282" s="1069"/>
      <c r="AAN282" s="1069"/>
      <c r="AAO282" s="1069"/>
      <c r="AAP282" s="1069"/>
      <c r="AAQ282" s="1069"/>
      <c r="AAR282" s="1069"/>
      <c r="AAS282" s="1069"/>
      <c r="AAT282" s="1069"/>
      <c r="AAU282" s="1069"/>
      <c r="AAV282" s="1069"/>
      <c r="AAW282" s="1069"/>
      <c r="AAX282" s="1069"/>
      <c r="AAY282" s="1069"/>
      <c r="AAZ282" s="1069"/>
      <c r="ABA282" s="1069"/>
      <c r="ABB282" s="1069"/>
      <c r="ABC282" s="1069"/>
      <c r="ABD282" s="1069"/>
      <c r="ABE282" s="1069"/>
      <c r="ABF282" s="1069"/>
      <c r="ABG282" s="1069"/>
      <c r="ABH282" s="1069"/>
      <c r="ABI282" s="1069"/>
      <c r="ABJ282" s="1069"/>
      <c r="ABK282" s="1069"/>
      <c r="ABL282" s="1069"/>
      <c r="ABM282" s="1069"/>
      <c r="ABN282" s="1069"/>
      <c r="ABO282" s="1069"/>
      <c r="ABP282" s="1069"/>
      <c r="ABQ282" s="1069"/>
      <c r="ABR282" s="1069"/>
      <c r="ABS282" s="1069"/>
      <c r="ABT282" s="1069"/>
      <c r="ABU282" s="1069"/>
      <c r="ABV282" s="1069"/>
      <c r="ABW282" s="1069"/>
      <c r="ABX282" s="1069"/>
      <c r="ABY282" s="1069"/>
      <c r="ABZ282" s="1069"/>
      <c r="ACA282" s="1069"/>
      <c r="ACB282" s="1069"/>
      <c r="ACC282" s="1069"/>
      <c r="ACD282" s="1069"/>
      <c r="ACE282" s="1069"/>
      <c r="ACF282" s="1069"/>
      <c r="ACG282" s="1069"/>
      <c r="ACH282" s="1069"/>
      <c r="ACI282" s="1069"/>
      <c r="ACJ282" s="1069"/>
      <c r="ACK282" s="1069"/>
      <c r="ACL282" s="1069"/>
      <c r="ACM282" s="1069"/>
      <c r="ACN282" s="1069"/>
      <c r="ACO282" s="1069"/>
      <c r="ACP282" s="1069"/>
      <c r="ACQ282" s="1069"/>
      <c r="ACR282" s="1069"/>
      <c r="ACS282" s="1069"/>
      <c r="ACT282" s="1069"/>
      <c r="ACU282" s="1069"/>
      <c r="ACV282" s="1069"/>
      <c r="ACW282" s="1069"/>
      <c r="ACX282" s="1069"/>
      <c r="ACY282" s="1069"/>
      <c r="ACZ282" s="1069"/>
      <c r="ADA282" s="1069"/>
      <c r="ADB282" s="1069"/>
      <c r="ADC282" s="1069"/>
      <c r="ADD282" s="1069"/>
      <c r="ADE282" s="1069"/>
      <c r="ADF282" s="1069"/>
      <c r="ADG282" s="1069"/>
      <c r="ADH282" s="1069"/>
      <c r="ADI282" s="1069"/>
      <c r="ADJ282" s="1069"/>
      <c r="ADK282" s="1069"/>
      <c r="ADL282" s="1069"/>
      <c r="ADM282" s="1069"/>
      <c r="ADN282" s="1069"/>
      <c r="ADO282" s="1069"/>
      <c r="ADP282" s="1069"/>
      <c r="ADQ282" s="1069"/>
      <c r="ADR282" s="1069"/>
      <c r="ADS282" s="1069"/>
      <c r="ADT282" s="1069"/>
      <c r="ADU282" s="1069"/>
      <c r="ADV282" s="1069"/>
      <c r="ADW282" s="1069"/>
      <c r="ADX282" s="1069"/>
      <c r="ADY282" s="1069"/>
      <c r="ADZ282" s="1069"/>
      <c r="AEA282" s="1069"/>
      <c r="AEB282" s="1069"/>
      <c r="AEC282" s="1069"/>
      <c r="AED282" s="1069"/>
      <c r="AEE282" s="1069"/>
      <c r="AEF282" s="1069"/>
      <c r="AEG282" s="1069"/>
      <c r="AEH282" s="1069"/>
      <c r="AEI282" s="1069"/>
      <c r="AEJ282" s="1069"/>
      <c r="AEK282" s="1069"/>
      <c r="AEL282" s="1069"/>
      <c r="AEM282" s="1069"/>
      <c r="AEN282" s="1069"/>
      <c r="AEO282" s="1069"/>
      <c r="AEP282" s="1069"/>
      <c r="AEQ282" s="1069"/>
      <c r="AER282" s="1069"/>
      <c r="AES282" s="1069"/>
      <c r="AET282" s="1069"/>
      <c r="AEU282" s="1069"/>
      <c r="AEV282" s="1069"/>
      <c r="AEW282" s="1069"/>
      <c r="AEX282" s="1069"/>
      <c r="AEY282" s="1069"/>
      <c r="AEZ282" s="1069"/>
      <c r="AFA282" s="1069"/>
      <c r="AFB282" s="1069"/>
      <c r="AFC282" s="1069"/>
      <c r="AFD282" s="1069"/>
      <c r="AFE282" s="1069"/>
      <c r="AFF282" s="1069"/>
      <c r="AFG282" s="1069"/>
      <c r="AFH282" s="1069"/>
      <c r="AFI282" s="1069"/>
      <c r="AFJ282" s="1069"/>
      <c r="AFK282" s="1069"/>
      <c r="AFL282" s="1069"/>
      <c r="AFM282" s="1069"/>
      <c r="AFN282" s="1069"/>
      <c r="AFO282" s="1069"/>
      <c r="AFP282" s="1069"/>
      <c r="AFQ282" s="1069"/>
      <c r="AFR282" s="1069"/>
      <c r="AFS282" s="1069"/>
      <c r="AFT282" s="1069"/>
      <c r="AFU282" s="1069"/>
      <c r="AFV282" s="1069"/>
      <c r="AFW282" s="1069"/>
      <c r="AFX282" s="1069"/>
      <c r="AFY282" s="1069"/>
      <c r="AFZ282" s="1069"/>
      <c r="AGA282" s="1069"/>
      <c r="AGB282" s="1069"/>
      <c r="AGC282" s="1069"/>
      <c r="AGD282" s="1069"/>
      <c r="AGE282" s="1069"/>
      <c r="AGF282" s="1069"/>
      <c r="AGG282" s="1069"/>
      <c r="AGH282" s="1069"/>
      <c r="AGI282" s="1069"/>
      <c r="AGJ282" s="1069"/>
      <c r="AGK282" s="1069"/>
      <c r="AGL282" s="1069"/>
      <c r="AGM282" s="1069"/>
      <c r="AGN282" s="1069"/>
      <c r="AGO282" s="1069"/>
      <c r="AGP282" s="1069"/>
      <c r="AGQ282" s="1069"/>
      <c r="AGR282" s="1069"/>
      <c r="AGS282" s="1069"/>
      <c r="AGT282" s="1069"/>
      <c r="AGU282" s="1069"/>
      <c r="AGV282" s="1069"/>
      <c r="AGW282" s="1069"/>
      <c r="AGX282" s="1069"/>
      <c r="AGY282" s="1069"/>
      <c r="AGZ282" s="1069"/>
      <c r="AHA282" s="1069"/>
      <c r="AHB282" s="1069"/>
      <c r="AHC282" s="1069"/>
      <c r="AHD282" s="1069"/>
      <c r="AHE282" s="1069"/>
      <c r="AHF282" s="1069"/>
      <c r="AHG282" s="1069"/>
      <c r="AHH282" s="1069"/>
      <c r="AHI282" s="1069"/>
      <c r="AHJ282" s="1069"/>
      <c r="AHK282" s="1069"/>
      <c r="AHL282" s="1069"/>
      <c r="AHM282" s="1069"/>
      <c r="AHN282" s="1069"/>
      <c r="AHO282" s="1069"/>
      <c r="AHP282" s="1069"/>
      <c r="AHQ282" s="1069"/>
      <c r="AHR282" s="1069"/>
      <c r="AHS282" s="1069"/>
      <c r="AHT282" s="1069"/>
      <c r="AHU282" s="1069"/>
      <c r="AHV282" s="1069"/>
      <c r="AHW282" s="1069"/>
      <c r="AHX282" s="1069"/>
      <c r="AHY282" s="1069"/>
      <c r="AHZ282" s="1069"/>
      <c r="AIA282" s="1069"/>
      <c r="AIB282" s="1069"/>
      <c r="AIC282" s="1069"/>
      <c r="AID282" s="1069"/>
      <c r="AIE282" s="1069"/>
      <c r="AIF282" s="1069"/>
      <c r="AIG282" s="1069"/>
      <c r="AIH282" s="1069"/>
      <c r="AII282" s="1069"/>
      <c r="AIJ282" s="1069"/>
      <c r="AIK282" s="1069"/>
      <c r="AIL282" s="1069"/>
      <c r="AIM282" s="1069"/>
      <c r="AIN282" s="1069"/>
      <c r="AIO282" s="1069"/>
      <c r="AIP282" s="1069"/>
      <c r="AIQ282" s="1069"/>
      <c r="AIR282" s="1069"/>
      <c r="AIS282" s="1069"/>
      <c r="AIT282" s="1069"/>
      <c r="AIU282" s="1069"/>
      <c r="AIV282" s="1069"/>
      <c r="AIW282" s="1069"/>
      <c r="AIX282" s="1069"/>
      <c r="AIY282" s="1069"/>
      <c r="AIZ282" s="1069"/>
      <c r="AJA282" s="1069"/>
      <c r="AJB282" s="1069"/>
      <c r="AJC282" s="1069"/>
      <c r="AJD282" s="1069"/>
      <c r="AJE282" s="1069"/>
      <c r="AJF282" s="1069"/>
      <c r="AJG282" s="1069"/>
      <c r="AJH282" s="1069"/>
      <c r="AJI282" s="1069"/>
      <c r="AJJ282" s="1069"/>
      <c r="AJK282" s="1069"/>
      <c r="AJL282" s="1069"/>
      <c r="AJM282" s="1069"/>
      <c r="AJN282" s="1069"/>
      <c r="AJO282" s="1069"/>
      <c r="AJP282" s="1069"/>
      <c r="AJQ282" s="1069"/>
      <c r="AJR282" s="1069"/>
      <c r="AJS282" s="1069"/>
      <c r="AJT282" s="1069"/>
      <c r="AJU282" s="1069"/>
      <c r="AJV282" s="1069"/>
      <c r="AJW282" s="1069"/>
      <c r="AJX282" s="1069"/>
      <c r="AJY282" s="1069"/>
      <c r="AJZ282" s="1069"/>
      <c r="AKA282" s="1069"/>
      <c r="AKB282" s="1069"/>
      <c r="AKC282" s="1069"/>
      <c r="AKD282" s="1069"/>
      <c r="AKE282" s="1069"/>
      <c r="AKF282" s="1069"/>
      <c r="AKG282" s="1069"/>
      <c r="AKH282" s="1069"/>
      <c r="AKI282" s="1069"/>
      <c r="AKJ282" s="1069"/>
      <c r="AKK282" s="1069"/>
      <c r="AKL282" s="1069"/>
      <c r="AKM282" s="1069"/>
      <c r="AKN282" s="1069"/>
      <c r="AKO282" s="1069"/>
      <c r="AKP282" s="1069"/>
      <c r="AKQ282" s="1069"/>
      <c r="AKR282" s="1069"/>
      <c r="AKS282" s="1069"/>
      <c r="AKT282" s="1069"/>
      <c r="AKU282" s="1069"/>
      <c r="AKV282" s="1069"/>
      <c r="AKW282" s="1069"/>
      <c r="AKX282" s="1069"/>
      <c r="AKY282" s="1069"/>
      <c r="AKZ282" s="1069"/>
      <c r="ALA282" s="1069"/>
      <c r="ALB282" s="1069"/>
      <c r="ALC282" s="1069"/>
      <c r="ALD282" s="1069"/>
      <c r="ALE282" s="1069"/>
      <c r="ALF282" s="1069"/>
      <c r="ALG282" s="1069"/>
      <c r="ALH282" s="1069"/>
      <c r="ALI282" s="1069"/>
      <c r="ALJ282" s="1069"/>
      <c r="ALK282" s="1069"/>
      <c r="ALL282" s="1069"/>
      <c r="ALM282" s="1069"/>
      <c r="ALN282" s="1069"/>
      <c r="ALO282" s="1069"/>
      <c r="ALP282" s="1069"/>
      <c r="ALQ282" s="1069"/>
      <c r="ALR282" s="1069"/>
      <c r="ALS282" s="1069"/>
      <c r="ALT282" s="1069"/>
      <c r="ALU282" s="1069"/>
      <c r="ALV282" s="1069"/>
      <c r="ALW282" s="1069"/>
      <c r="ALX282" s="1069"/>
      <c r="ALY282" s="1069"/>
      <c r="ALZ282" s="1069"/>
      <c r="AMA282" s="1069"/>
      <c r="AMB282" s="1069"/>
      <c r="AMC282" s="1069"/>
      <c r="AMD282" s="1069"/>
      <c r="AME282" s="1069"/>
      <c r="AMF282" s="1069"/>
      <c r="AMG282" s="1069"/>
      <c r="AMH282" s="1069"/>
      <c r="AMI282" s="1069"/>
      <c r="AMJ282" s="1069"/>
      <c r="AMK282" s="1069"/>
      <c r="AML282" s="1069"/>
      <c r="AMM282" s="1069"/>
      <c r="AMN282" s="1069"/>
      <c r="AMO282" s="1069"/>
      <c r="AMP282" s="1069"/>
      <c r="AMQ282" s="1069"/>
      <c r="AMR282" s="1069"/>
      <c r="AMS282" s="1069"/>
      <c r="AMT282" s="1069"/>
      <c r="AMU282" s="1069"/>
      <c r="AMV282" s="1069"/>
      <c r="AMW282" s="1069"/>
      <c r="AMX282" s="1069"/>
      <c r="AMY282" s="1069"/>
      <c r="AMZ282" s="1069"/>
      <c r="ANA282" s="1069"/>
      <c r="ANB282" s="1069"/>
      <c r="ANC282" s="1069"/>
      <c r="AND282" s="1069"/>
      <c r="ANE282" s="1069"/>
      <c r="ANF282" s="1069"/>
      <c r="ANG282" s="1069"/>
      <c r="ANH282" s="1069"/>
      <c r="ANI282" s="1069"/>
      <c r="ANJ282" s="1069"/>
      <c r="ANK282" s="1069"/>
      <c r="ANL282" s="1069"/>
      <c r="ANM282" s="1069"/>
      <c r="ANN282" s="1069"/>
      <c r="ANO282" s="1069"/>
      <c r="ANP282" s="1069"/>
      <c r="ANQ282" s="1069"/>
      <c r="ANR282" s="1069"/>
      <c r="ANS282" s="1069"/>
      <c r="ANT282" s="1069"/>
      <c r="ANU282" s="1069"/>
      <c r="ANV282" s="1069"/>
      <c r="ANW282" s="1069"/>
      <c r="ANX282" s="1069"/>
      <c r="ANY282" s="1069"/>
      <c r="ANZ282" s="1069"/>
      <c r="AOA282" s="1069"/>
      <c r="AOB282" s="1069"/>
      <c r="AOC282" s="1069"/>
      <c r="AOD282" s="1069"/>
      <c r="AOE282" s="1069"/>
      <c r="AOF282" s="1069"/>
      <c r="AOG282" s="1069"/>
      <c r="AOH282" s="1069"/>
      <c r="AOI282" s="1069"/>
      <c r="AOJ282" s="1069"/>
      <c r="AOK282" s="1069"/>
      <c r="AOL282" s="1069"/>
      <c r="AOM282" s="1069"/>
      <c r="AON282" s="1069"/>
      <c r="AOO282" s="1069"/>
      <c r="AOP282" s="1069"/>
      <c r="AOQ282" s="1069"/>
      <c r="AOR282" s="1069"/>
      <c r="AOS282" s="1069"/>
      <c r="AOT282" s="1069"/>
      <c r="AOU282" s="1069"/>
      <c r="AOV282" s="1069"/>
      <c r="AOW282" s="1069"/>
      <c r="AOX282" s="1069"/>
      <c r="AOY282" s="1069"/>
      <c r="AOZ282" s="1069"/>
      <c r="APA282" s="1069"/>
      <c r="APB282" s="1069"/>
      <c r="APC282" s="1069"/>
      <c r="APD282" s="1069"/>
      <c r="APE282" s="1069"/>
      <c r="APF282" s="1069"/>
      <c r="APG282" s="1069"/>
      <c r="APH282" s="1069"/>
      <c r="API282" s="1069"/>
      <c r="APJ282" s="1069"/>
      <c r="APK282" s="1069"/>
      <c r="APL282" s="1069"/>
      <c r="APM282" s="1069"/>
      <c r="APN282" s="1069"/>
      <c r="APO282" s="1069"/>
      <c r="APP282" s="1069"/>
      <c r="APQ282" s="1069"/>
      <c r="APR282" s="1069"/>
      <c r="APS282" s="1069"/>
      <c r="APT282" s="1069"/>
      <c r="APU282" s="1069"/>
      <c r="APV282" s="1069"/>
      <c r="APW282" s="1069"/>
      <c r="APX282" s="1069"/>
      <c r="APY282" s="1069"/>
      <c r="APZ282" s="1069"/>
      <c r="AQA282" s="1069"/>
      <c r="AQB282" s="1069"/>
      <c r="AQC282" s="1069"/>
      <c r="AQD282" s="1069"/>
      <c r="AQE282" s="1069"/>
      <c r="AQF282" s="1069"/>
      <c r="AQG282" s="1069"/>
      <c r="AQH282" s="1069"/>
      <c r="AQI282" s="1069"/>
      <c r="AQJ282" s="1069"/>
      <c r="AQK282" s="1069"/>
      <c r="AQL282" s="1069"/>
      <c r="AQM282" s="1069"/>
      <c r="AQN282" s="1069"/>
      <c r="AQO282" s="1069"/>
      <c r="AQP282" s="1069"/>
      <c r="AQQ282" s="1069"/>
      <c r="AQR282" s="1069"/>
      <c r="AQS282" s="1069"/>
      <c r="AQT282" s="1069"/>
      <c r="AQU282" s="1069"/>
      <c r="AQV282" s="1069"/>
      <c r="AQW282" s="1069"/>
      <c r="AQX282" s="1069"/>
      <c r="AQY282" s="1069"/>
      <c r="AQZ282" s="1069"/>
      <c r="ARA282" s="1069"/>
      <c r="ARB282" s="1069"/>
      <c r="ARC282" s="1069"/>
      <c r="ARD282" s="1069"/>
      <c r="ARE282" s="1069"/>
      <c r="ARF282" s="1069"/>
      <c r="ARG282" s="1069"/>
      <c r="ARH282" s="1069"/>
      <c r="ARI282" s="1069"/>
      <c r="ARJ282" s="1069"/>
      <c r="ARK282" s="1069"/>
      <c r="ARL282" s="1069"/>
      <c r="ARM282" s="1069"/>
      <c r="ARN282" s="1069"/>
      <c r="ARO282" s="1069"/>
      <c r="ARP282" s="1069"/>
      <c r="ARQ282" s="1069"/>
      <c r="ARR282" s="1069"/>
      <c r="ARS282" s="1069"/>
      <c r="ART282" s="1069"/>
      <c r="ARU282" s="1069"/>
      <c r="ARV282" s="1069"/>
      <c r="ARW282" s="1069"/>
      <c r="ARX282" s="1069"/>
      <c r="ARY282" s="1069"/>
      <c r="ARZ282" s="1069"/>
      <c r="ASA282" s="1069"/>
      <c r="ASB282" s="1069"/>
      <c r="ASC282" s="1069"/>
      <c r="ASD282" s="1069"/>
      <c r="ASE282" s="1069"/>
      <c r="ASF282" s="1069"/>
      <c r="ASG282" s="1069"/>
      <c r="ASH282" s="1069"/>
      <c r="ASI282" s="1069"/>
      <c r="ASJ282" s="1069"/>
      <c r="ASK282" s="1069"/>
      <c r="ASL282" s="1069"/>
      <c r="ASM282" s="1069"/>
      <c r="ASN282" s="1069"/>
      <c r="ASO282" s="1069"/>
      <c r="ASP282" s="1069"/>
      <c r="ASQ282" s="1069"/>
      <c r="ASR282" s="1069"/>
      <c r="ASS282" s="1069"/>
      <c r="AST282" s="1069"/>
      <c r="ASU282" s="1069"/>
      <c r="ASV282" s="1069"/>
      <c r="ASW282" s="1069"/>
      <c r="ASX282" s="1069"/>
      <c r="ASY282" s="1069"/>
      <c r="ASZ282" s="1069"/>
      <c r="ATA282" s="1069"/>
      <c r="ATB282" s="1069"/>
      <c r="ATC282" s="1069"/>
      <c r="ATD282" s="1069"/>
      <c r="ATE282" s="1069"/>
      <c r="ATF282" s="1069"/>
      <c r="ATG282" s="1069"/>
      <c r="ATH282" s="1069"/>
      <c r="ATI282" s="1069"/>
      <c r="ATJ282" s="1069"/>
      <c r="ATK282" s="1069"/>
      <c r="ATL282" s="1069"/>
      <c r="ATM282" s="1069"/>
      <c r="ATN282" s="1069"/>
      <c r="ATO282" s="1069"/>
      <c r="ATP282" s="1069"/>
      <c r="ATQ282" s="1069"/>
      <c r="ATR282" s="1069"/>
      <c r="ATS282" s="1069"/>
      <c r="ATT282" s="1069"/>
      <c r="ATU282" s="1069"/>
      <c r="ATV282" s="1069"/>
      <c r="ATW282" s="1069"/>
      <c r="ATX282" s="1069"/>
      <c r="ATY282" s="1069"/>
      <c r="ATZ282" s="1069"/>
      <c r="AUA282" s="1069"/>
      <c r="AUB282" s="1069"/>
      <c r="AUC282" s="1069"/>
      <c r="AUD282" s="1069"/>
      <c r="AUE282" s="1069"/>
      <c r="AUF282" s="1069"/>
      <c r="AUG282" s="1069"/>
      <c r="AUH282" s="1069"/>
      <c r="AUI282" s="1069"/>
      <c r="AUJ282" s="1069"/>
      <c r="AUK282" s="1069"/>
      <c r="AUL282" s="1069"/>
      <c r="AUM282" s="1069"/>
      <c r="AUN282" s="1069"/>
      <c r="AUO282" s="1069"/>
      <c r="AUP282" s="1069"/>
      <c r="AUQ282" s="1069"/>
      <c r="AUR282" s="1069"/>
      <c r="AUS282" s="1069"/>
      <c r="AUT282" s="1069"/>
      <c r="AUU282" s="1069"/>
      <c r="AUV282" s="1069"/>
      <c r="AUW282" s="1069"/>
      <c r="AUX282" s="1069"/>
      <c r="AUY282" s="1069"/>
      <c r="AUZ282" s="1069"/>
      <c r="AVA282" s="1069"/>
      <c r="AVB282" s="1069"/>
      <c r="AVC282" s="1069"/>
      <c r="AVD282" s="1069"/>
      <c r="AVE282" s="1069"/>
      <c r="AVF282" s="1069"/>
      <c r="AVG282" s="1069"/>
      <c r="AVH282" s="1069"/>
      <c r="AVI282" s="1069"/>
      <c r="AVJ282" s="1069"/>
      <c r="AVK282" s="1069"/>
      <c r="AVL282" s="1069"/>
      <c r="AVM282" s="1069"/>
      <c r="AVN282" s="1069"/>
      <c r="AVO282" s="1069"/>
      <c r="AVP282" s="1069"/>
      <c r="AVQ282" s="1069"/>
      <c r="AVR282" s="1069"/>
      <c r="AVS282" s="1069"/>
      <c r="AVT282" s="1069"/>
      <c r="AVU282" s="1069"/>
      <c r="AVV282" s="1069"/>
      <c r="AVW282" s="1069"/>
      <c r="AVX282" s="1069"/>
      <c r="AVY282" s="1069"/>
      <c r="AVZ282" s="1069"/>
      <c r="AWA282" s="1069"/>
      <c r="AWB282" s="1069"/>
      <c r="AWC282" s="1069"/>
      <c r="AWD282" s="1069"/>
      <c r="AWE282" s="1069"/>
      <c r="AWF282" s="1069"/>
      <c r="AWG282" s="1069"/>
      <c r="AWH282" s="1069"/>
      <c r="AWI282" s="1069"/>
      <c r="AWJ282" s="1069"/>
      <c r="AWK282" s="1069"/>
      <c r="AWL282" s="1069"/>
      <c r="AWM282" s="1069"/>
      <c r="AWN282" s="1069"/>
      <c r="AWO282" s="1069"/>
      <c r="AWP282" s="1069"/>
      <c r="AWQ282" s="1069"/>
      <c r="AWR282" s="1069"/>
      <c r="AWS282" s="1069"/>
      <c r="AWT282" s="1069"/>
      <c r="AWU282" s="1069"/>
      <c r="AWV282" s="1069"/>
      <c r="AWW282" s="1069"/>
      <c r="AWX282" s="1069"/>
      <c r="AWY282" s="1069"/>
      <c r="AWZ282" s="1069"/>
      <c r="AXA282" s="1069"/>
      <c r="AXB282" s="1069"/>
      <c r="AXC282" s="1069"/>
      <c r="AXD282" s="1069"/>
      <c r="AXE282" s="1069"/>
      <c r="AXF282" s="1069"/>
      <c r="AXG282" s="1069"/>
      <c r="AXH282" s="1069"/>
      <c r="AXI282" s="1069"/>
      <c r="AXJ282" s="1069"/>
      <c r="AXK282" s="1069"/>
      <c r="AXL282" s="1069"/>
      <c r="AXM282" s="1069"/>
      <c r="AXN282" s="1069"/>
      <c r="AXO282" s="1069"/>
      <c r="AXP282" s="1069"/>
      <c r="AXQ282" s="1069"/>
      <c r="AXR282" s="1069"/>
      <c r="AXS282" s="1069"/>
      <c r="AXT282" s="1069"/>
      <c r="AXU282" s="1069"/>
      <c r="AXV282" s="1069"/>
      <c r="AXW282" s="1069"/>
      <c r="AXX282" s="1069"/>
      <c r="AXY282" s="1069"/>
      <c r="AXZ282" s="1069"/>
      <c r="AYA282" s="1069"/>
      <c r="AYB282" s="1069"/>
      <c r="AYC282" s="1069"/>
      <c r="AYD282" s="1069"/>
      <c r="AYE282" s="1069"/>
      <c r="AYF282" s="1069"/>
      <c r="AYG282" s="1069"/>
      <c r="AYH282" s="1069"/>
      <c r="AYI282" s="1069"/>
      <c r="AYJ282" s="1069"/>
      <c r="AYK282" s="1069"/>
      <c r="AYL282" s="1069"/>
      <c r="AYM282" s="1069"/>
      <c r="AYN282" s="1069"/>
      <c r="AYO282" s="1069"/>
      <c r="AYP282" s="1069"/>
      <c r="AYQ282" s="1069"/>
      <c r="AYR282" s="1069"/>
      <c r="AYS282" s="1069"/>
      <c r="AYT282" s="1069"/>
      <c r="AYU282" s="1069"/>
      <c r="AYV282" s="1069"/>
      <c r="AYW282" s="1069"/>
      <c r="AYX282" s="1069"/>
      <c r="AYY282" s="1069"/>
      <c r="AYZ282" s="1069"/>
      <c r="AZA282" s="1069"/>
      <c r="AZB282" s="1069"/>
      <c r="AZC282" s="1069"/>
      <c r="AZD282" s="1069"/>
      <c r="AZE282" s="1069"/>
      <c r="AZF282" s="1069"/>
      <c r="AZG282" s="1069"/>
      <c r="AZH282" s="1069"/>
      <c r="AZI282" s="1069"/>
      <c r="AZJ282" s="1069"/>
      <c r="AZK282" s="1069"/>
      <c r="AZL282" s="1069"/>
      <c r="AZM282" s="1069"/>
      <c r="AZN282" s="1069"/>
      <c r="AZO282" s="1069"/>
      <c r="AZP282" s="1069"/>
      <c r="AZQ282" s="1069"/>
      <c r="AZR282" s="1069"/>
      <c r="AZS282" s="1069"/>
      <c r="AZT282" s="1069"/>
      <c r="AZU282" s="1069"/>
      <c r="AZV282" s="1069"/>
      <c r="AZW282" s="1069"/>
      <c r="AZX282" s="1069"/>
      <c r="AZY282" s="1069"/>
      <c r="AZZ282" s="1069"/>
      <c r="BAA282" s="1069"/>
      <c r="BAB282" s="1069"/>
      <c r="BAC282" s="1069"/>
      <c r="BAD282" s="1069"/>
      <c r="BAE282" s="1069"/>
      <c r="BAF282" s="1069"/>
      <c r="BAG282" s="1069"/>
      <c r="BAH282" s="1069"/>
      <c r="BAI282" s="1069"/>
      <c r="BAJ282" s="1069"/>
      <c r="BAK282" s="1069"/>
      <c r="BAL282" s="1069"/>
      <c r="BAM282" s="1069"/>
      <c r="BAN282" s="1069"/>
      <c r="BAO282" s="1069"/>
      <c r="BAP282" s="1069"/>
      <c r="BAQ282" s="1069"/>
      <c r="BAR282" s="1069"/>
      <c r="BAS282" s="1069"/>
      <c r="BAT282" s="1069"/>
      <c r="BAU282" s="1069"/>
      <c r="BAV282" s="1069"/>
      <c r="BAW282" s="1069"/>
      <c r="BAX282" s="1069"/>
      <c r="BAY282" s="1069"/>
      <c r="BAZ282" s="1069"/>
      <c r="BBA282" s="1069"/>
      <c r="BBB282" s="1069"/>
      <c r="BBC282" s="1069"/>
      <c r="BBD282" s="1069"/>
      <c r="BBE282" s="1069"/>
      <c r="BBF282" s="1069"/>
      <c r="BBG282" s="1069"/>
      <c r="BBH282" s="1069"/>
      <c r="BBI282" s="1069"/>
      <c r="BBJ282" s="1069"/>
      <c r="BBK282" s="1069"/>
      <c r="BBL282" s="1069"/>
      <c r="BBM282" s="1069"/>
      <c r="BBN282" s="1069"/>
      <c r="BBO282" s="1069"/>
      <c r="BBP282" s="1069"/>
      <c r="BBQ282" s="1069"/>
      <c r="BBR282" s="1069"/>
      <c r="BBS282" s="1069"/>
      <c r="BBT282" s="1069"/>
      <c r="BBU282" s="1069"/>
      <c r="BBV282" s="1069"/>
      <c r="BBW282" s="1069"/>
      <c r="BBX282" s="1069"/>
      <c r="BBY282" s="1069"/>
      <c r="BBZ282" s="1069"/>
      <c r="BCA282" s="1069"/>
      <c r="BCB282" s="1069"/>
      <c r="BCC282" s="1069"/>
      <c r="BCD282" s="1069"/>
      <c r="BCE282" s="1069"/>
      <c r="BCF282" s="1069"/>
      <c r="BCG282" s="1069"/>
      <c r="BCH282" s="1069"/>
      <c r="BCI282" s="1069"/>
      <c r="BCJ282" s="1069"/>
      <c r="BCK282" s="1069"/>
      <c r="BCL282" s="1069"/>
      <c r="BCM282" s="1069"/>
      <c r="BCN282" s="1069"/>
      <c r="BCO282" s="1069"/>
      <c r="BCP282" s="1069"/>
      <c r="BCQ282" s="1069"/>
      <c r="BCR282" s="1069"/>
      <c r="BCS282" s="1069"/>
      <c r="BCT282" s="1069"/>
      <c r="BCU282" s="1069"/>
      <c r="BCV282" s="1069"/>
      <c r="BCW282" s="1069"/>
      <c r="BCX282" s="1069"/>
      <c r="BCY282" s="1069"/>
      <c r="BCZ282" s="1069"/>
      <c r="BDA282" s="1069"/>
      <c r="BDB282" s="1069"/>
      <c r="BDC282" s="1069"/>
      <c r="BDD282" s="1069"/>
      <c r="BDE282" s="1069"/>
      <c r="BDF282" s="1069"/>
      <c r="BDG282" s="1069"/>
      <c r="BDH282" s="1069"/>
      <c r="BDI282" s="1069"/>
      <c r="BDJ282" s="1069"/>
      <c r="BDK282" s="1069"/>
      <c r="BDL282" s="1069"/>
      <c r="BDM282" s="1069"/>
      <c r="BDN282" s="1069"/>
      <c r="BDO282" s="1069"/>
      <c r="BDP282" s="1069"/>
      <c r="BDQ282" s="1069"/>
      <c r="BDR282" s="1069"/>
      <c r="BDS282" s="1069"/>
      <c r="BDT282" s="1069"/>
      <c r="BDU282" s="1069"/>
      <c r="BDV282" s="1069"/>
      <c r="BDW282" s="1069"/>
      <c r="BDX282" s="1069"/>
      <c r="BDY282" s="1069"/>
      <c r="BDZ282" s="1069"/>
      <c r="BEA282" s="1069"/>
      <c r="BEB282" s="1069"/>
      <c r="BEC282" s="1069"/>
      <c r="BED282" s="1069"/>
      <c r="BEE282" s="1069"/>
      <c r="BEF282" s="1069"/>
      <c r="BEG282" s="1069"/>
      <c r="BEH282" s="1069"/>
      <c r="BEI282" s="1069"/>
      <c r="BEJ282" s="1069"/>
      <c r="BEK282" s="1069"/>
      <c r="BEL282" s="1069"/>
      <c r="BEM282" s="1069"/>
      <c r="BEN282" s="1069"/>
      <c r="BEO282" s="1069"/>
      <c r="BEP282" s="1069"/>
      <c r="BEQ282" s="1069"/>
      <c r="BER282" s="1069"/>
      <c r="BES282" s="1069"/>
      <c r="BET282" s="1069"/>
      <c r="BEU282" s="1069"/>
      <c r="BEV282" s="1069"/>
      <c r="BEW282" s="1069"/>
      <c r="BEX282" s="1069"/>
      <c r="BEY282" s="1069"/>
      <c r="BEZ282" s="1069"/>
      <c r="BFA282" s="1069"/>
      <c r="BFB282" s="1069"/>
      <c r="BFC282" s="1069"/>
      <c r="BFD282" s="1069"/>
      <c r="BFE282" s="1069"/>
      <c r="BFF282" s="1069"/>
      <c r="BFG282" s="1069"/>
      <c r="BFH282" s="1069"/>
      <c r="BFI282" s="1069"/>
      <c r="BFJ282" s="1069"/>
      <c r="BFK282" s="1069"/>
      <c r="BFL282" s="1069"/>
      <c r="BFM282" s="1069"/>
      <c r="BFN282" s="1069"/>
      <c r="BFO282" s="1069"/>
      <c r="BFP282" s="1069"/>
      <c r="BFQ282" s="1069"/>
      <c r="BFR282" s="1069"/>
      <c r="BFS282" s="1069"/>
      <c r="BFT282" s="1069"/>
      <c r="BFU282" s="1069"/>
      <c r="BFV282" s="1069"/>
      <c r="BFW282" s="1069"/>
      <c r="BFX282" s="1069"/>
      <c r="BFY282" s="1069"/>
      <c r="BFZ282" s="1069"/>
      <c r="BGA282" s="1069"/>
      <c r="BGB282" s="1069"/>
      <c r="BGC282" s="1069"/>
      <c r="BGD282" s="1069"/>
      <c r="BGE282" s="1069"/>
      <c r="BGF282" s="1069"/>
      <c r="BGG282" s="1069"/>
      <c r="BGH282" s="1069"/>
      <c r="BGI282" s="1069"/>
      <c r="BGJ282" s="1069"/>
      <c r="BGK282" s="1069"/>
      <c r="BGL282" s="1069"/>
      <c r="BGM282" s="1069"/>
      <c r="BGN282" s="1069"/>
      <c r="BGO282" s="1069"/>
      <c r="BGP282" s="1069"/>
      <c r="BGQ282" s="1069"/>
      <c r="BGR282" s="1069"/>
      <c r="BGS282" s="1069"/>
      <c r="BGT282" s="1069"/>
      <c r="BGU282" s="1069"/>
      <c r="BGV282" s="1069"/>
      <c r="BGW282" s="1069"/>
      <c r="BGX282" s="1069"/>
      <c r="BGY282" s="1069"/>
      <c r="BGZ282" s="1069"/>
      <c r="BHA282" s="1069"/>
      <c r="BHB282" s="1069"/>
      <c r="BHC282" s="1069"/>
      <c r="BHD282" s="1069"/>
      <c r="BHE282" s="1069"/>
      <c r="BHF282" s="1069"/>
      <c r="BHG282" s="1069"/>
      <c r="BHH282" s="1069"/>
      <c r="BHI282" s="1069"/>
      <c r="BHJ282" s="1069"/>
      <c r="BHK282" s="1069"/>
      <c r="BHL282" s="1069"/>
      <c r="BHM282" s="1069"/>
      <c r="BHN282" s="1069"/>
      <c r="BHO282" s="1069"/>
      <c r="BHP282" s="1069"/>
      <c r="BHQ282" s="1069"/>
      <c r="BHR282" s="1069"/>
      <c r="BHS282" s="1069"/>
      <c r="BHT282" s="1069"/>
      <c r="BHU282" s="1069"/>
      <c r="BHV282" s="1069"/>
      <c r="BHW282" s="1069"/>
      <c r="BHX282" s="1069"/>
      <c r="BHY282" s="1069"/>
      <c r="BHZ282" s="1069"/>
      <c r="BIA282" s="1069"/>
      <c r="BIB282" s="1069"/>
      <c r="BIC282" s="1069"/>
      <c r="BID282" s="1069"/>
      <c r="BIE282" s="1069"/>
      <c r="BIF282" s="1069"/>
      <c r="BIG282" s="1069"/>
      <c r="BIH282" s="1069"/>
      <c r="BII282" s="1069"/>
      <c r="BIJ282" s="1069"/>
      <c r="BIK282" s="1069"/>
      <c r="BIL282" s="1069"/>
      <c r="BIM282" s="1069"/>
      <c r="BIN282" s="1069"/>
      <c r="BIO282" s="1069"/>
      <c r="BIP282" s="1069"/>
      <c r="BIQ282" s="1069"/>
      <c r="BIR282" s="1069"/>
      <c r="BIS282" s="1069"/>
      <c r="BIT282" s="1069"/>
      <c r="BIU282" s="1069"/>
      <c r="BIV282" s="1069"/>
      <c r="BIW282" s="1069"/>
      <c r="BIX282" s="1069"/>
      <c r="BIY282" s="1069"/>
      <c r="BIZ282" s="1069"/>
      <c r="BJA282" s="1069"/>
      <c r="BJB282" s="1069"/>
      <c r="BJC282" s="1069"/>
      <c r="BJD282" s="1069"/>
      <c r="BJE282" s="1069"/>
      <c r="BJF282" s="1069"/>
      <c r="BJG282" s="1069"/>
      <c r="BJH282" s="1069"/>
      <c r="BJI282" s="1069"/>
      <c r="BJJ282" s="1069"/>
      <c r="BJK282" s="1069"/>
      <c r="BJL282" s="1069"/>
      <c r="BJM282" s="1069"/>
      <c r="BJN282" s="1069"/>
      <c r="BJO282" s="1069"/>
      <c r="BJP282" s="1069"/>
      <c r="BJQ282" s="1069"/>
      <c r="BJR282" s="1069"/>
      <c r="BJS282" s="1069"/>
      <c r="BJT282" s="1069"/>
      <c r="BJU282" s="1069"/>
      <c r="BJV282" s="1069"/>
      <c r="BJW282" s="1069"/>
      <c r="BJX282" s="1069"/>
      <c r="BJY282" s="1069"/>
      <c r="BJZ282" s="1069"/>
      <c r="BKA282" s="1069"/>
      <c r="BKB282" s="1069"/>
      <c r="BKC282" s="1069"/>
      <c r="BKD282" s="1069"/>
      <c r="BKE282" s="1069"/>
      <c r="BKF282" s="1069"/>
      <c r="BKG282" s="1069"/>
      <c r="BKH282" s="1069"/>
      <c r="BKI282" s="1069"/>
      <c r="BKJ282" s="1069"/>
      <c r="BKK282" s="1069"/>
      <c r="BKL282" s="1069"/>
      <c r="BKM282" s="1069"/>
      <c r="BKN282" s="1069"/>
      <c r="BKO282" s="1069"/>
      <c r="BKP282" s="1069"/>
      <c r="BKQ282" s="1069"/>
      <c r="BKR282" s="1069"/>
      <c r="BKS282" s="1069"/>
      <c r="BKT282" s="1069"/>
      <c r="BKU282" s="1069"/>
      <c r="BKV282" s="1069"/>
      <c r="BKW282" s="1069"/>
      <c r="BKX282" s="1069"/>
      <c r="BKY282" s="1069"/>
      <c r="BKZ282" s="1069"/>
      <c r="BLA282" s="1069"/>
      <c r="BLB282" s="1069"/>
      <c r="BLC282" s="1069"/>
      <c r="BLD282" s="1069"/>
      <c r="BLE282" s="1069"/>
      <c r="BLF282" s="1069"/>
      <c r="BLG282" s="1069"/>
      <c r="BLH282" s="1069"/>
      <c r="BLI282" s="1069"/>
      <c r="BLJ282" s="1069"/>
      <c r="BLK282" s="1069"/>
      <c r="BLL282" s="1069"/>
      <c r="BLM282" s="1069"/>
      <c r="BLN282" s="1069"/>
      <c r="BLO282" s="1069"/>
      <c r="BLP282" s="1069"/>
      <c r="BLQ282" s="1069"/>
      <c r="BLR282" s="1069"/>
      <c r="BLS282" s="1069"/>
      <c r="BLT282" s="1069"/>
      <c r="BLU282" s="1069"/>
      <c r="BLV282" s="1069"/>
      <c r="BLW282" s="1069"/>
      <c r="BLX282" s="1069"/>
      <c r="BLY282" s="1069"/>
      <c r="BLZ282" s="1069"/>
      <c r="BMA282" s="1069"/>
      <c r="BMB282" s="1069"/>
      <c r="BMC282" s="1069"/>
      <c r="BMD282" s="1069"/>
      <c r="BME282" s="1069"/>
      <c r="BMF282" s="1069"/>
      <c r="BMG282" s="1069"/>
      <c r="BMH282" s="1069"/>
      <c r="BMI282" s="1069"/>
      <c r="BMJ282" s="1069"/>
      <c r="BMK282" s="1069"/>
      <c r="BML282" s="1069"/>
      <c r="BMM282" s="1069"/>
      <c r="BMN282" s="1069"/>
      <c r="BMO282" s="1069"/>
      <c r="BMP282" s="1069"/>
      <c r="BMQ282" s="1069"/>
      <c r="BMR282" s="1069"/>
      <c r="BMS282" s="1069"/>
      <c r="BMT282" s="1069"/>
      <c r="BMU282" s="1069"/>
      <c r="BMV282" s="1069"/>
      <c r="BMW282" s="1069"/>
      <c r="BMX282" s="1069"/>
      <c r="BMY282" s="1069"/>
      <c r="BMZ282" s="1069"/>
      <c r="BNA282" s="1069"/>
      <c r="BNB282" s="1069"/>
      <c r="BNC282" s="1069"/>
      <c r="BND282" s="1069"/>
      <c r="BNE282" s="1069"/>
      <c r="BNF282" s="1069"/>
      <c r="BNG282" s="1069"/>
      <c r="BNH282" s="1069"/>
      <c r="BNI282" s="1069"/>
      <c r="BNJ282" s="1069"/>
      <c r="BNK282" s="1069"/>
      <c r="BNL282" s="1069"/>
      <c r="BNM282" s="1069"/>
      <c r="BNN282" s="1069"/>
      <c r="BNO282" s="1069"/>
      <c r="BNP282" s="1069"/>
      <c r="BNQ282" s="1069"/>
      <c r="BNR282" s="1069"/>
      <c r="BNS282" s="1069"/>
      <c r="BNT282" s="1069"/>
      <c r="BNU282" s="1069"/>
      <c r="BNV282" s="1069"/>
      <c r="BNW282" s="1069"/>
      <c r="BNX282" s="1069"/>
      <c r="BNY282" s="1069"/>
      <c r="BNZ282" s="1069"/>
      <c r="BOA282" s="1069"/>
      <c r="BOB282" s="1069"/>
      <c r="BOC282" s="1069"/>
      <c r="BOD282" s="1069"/>
      <c r="BOE282" s="1069"/>
      <c r="BOF282" s="1069"/>
      <c r="BOG282" s="1069"/>
      <c r="BOH282" s="1069"/>
      <c r="BOI282" s="1069"/>
      <c r="BOJ282" s="1069"/>
      <c r="BOK282" s="1069"/>
      <c r="BOL282" s="1069"/>
      <c r="BOM282" s="1069"/>
      <c r="BON282" s="1069"/>
      <c r="BOO282" s="1069"/>
      <c r="BOP282" s="1069"/>
      <c r="BOQ282" s="1069"/>
      <c r="BOR282" s="1069"/>
      <c r="BOS282" s="1069"/>
      <c r="BOT282" s="1069"/>
      <c r="BOU282" s="1069"/>
      <c r="BOV282" s="1069"/>
      <c r="BOW282" s="1069"/>
      <c r="BOX282" s="1069"/>
      <c r="BOY282" s="1069"/>
      <c r="BOZ282" s="1069"/>
      <c r="BPA282" s="1069"/>
      <c r="BPB282" s="1069"/>
      <c r="BPC282" s="1069"/>
      <c r="BPD282" s="1069"/>
      <c r="BPE282" s="1069"/>
      <c r="BPF282" s="1069"/>
      <c r="BPG282" s="1069"/>
      <c r="BPH282" s="1069"/>
      <c r="BPI282" s="1069"/>
      <c r="BPJ282" s="1069"/>
      <c r="BPK282" s="1069"/>
      <c r="BPL282" s="1069"/>
      <c r="BPM282" s="1069"/>
      <c r="BPN282" s="1069"/>
      <c r="BPO282" s="1069"/>
      <c r="BPP282" s="1069"/>
      <c r="BPQ282" s="1069"/>
      <c r="BPR282" s="1069"/>
      <c r="BPS282" s="1069"/>
      <c r="BPT282" s="1069"/>
      <c r="BPU282" s="1069"/>
      <c r="BPV282" s="1069"/>
      <c r="BPW282" s="1069"/>
      <c r="BPX282" s="1069"/>
      <c r="BPY282" s="1069"/>
      <c r="BPZ282" s="1069"/>
      <c r="BQA282" s="1069"/>
      <c r="BQB282" s="1069"/>
      <c r="BQC282" s="1069"/>
      <c r="BQD282" s="1069"/>
      <c r="BQE282" s="1069"/>
      <c r="BQF282" s="1069"/>
      <c r="BQG282" s="1069"/>
      <c r="BQH282" s="1069"/>
      <c r="BQI282" s="1069"/>
      <c r="BQJ282" s="1069"/>
      <c r="BQK282" s="1069"/>
      <c r="BQL282" s="1069"/>
      <c r="BQM282" s="1069"/>
      <c r="BQN282" s="1069"/>
      <c r="BQO282" s="1069"/>
      <c r="BQP282" s="1069"/>
      <c r="BQQ282" s="1069"/>
      <c r="BQR282" s="1069"/>
      <c r="BQS282" s="1069"/>
      <c r="BQT282" s="1069"/>
      <c r="BQU282" s="1069"/>
      <c r="BQV282" s="1069"/>
      <c r="BQW282" s="1069"/>
      <c r="BQX282" s="1069"/>
      <c r="BQY282" s="1069"/>
      <c r="BQZ282" s="1069"/>
      <c r="BRA282" s="1069"/>
      <c r="BRB282" s="1069"/>
      <c r="BRC282" s="1069"/>
      <c r="BRD282" s="1069"/>
      <c r="BRE282" s="1069"/>
      <c r="BRF282" s="1069"/>
      <c r="BRG282" s="1069"/>
      <c r="BRH282" s="1069"/>
      <c r="BRI282" s="1069"/>
      <c r="BRJ282" s="1069"/>
      <c r="BRK282" s="1069"/>
      <c r="BRL282" s="1069"/>
      <c r="BRM282" s="1069"/>
      <c r="BRN282" s="1069"/>
      <c r="BRO282" s="1069"/>
      <c r="BRP282" s="1069"/>
      <c r="BRQ282" s="1069"/>
      <c r="BRR282" s="1069"/>
      <c r="BRS282" s="1069"/>
      <c r="BRT282" s="1069"/>
      <c r="BRU282" s="1069"/>
      <c r="BRV282" s="1069"/>
      <c r="BRW282" s="1069"/>
      <c r="BRX282" s="1069"/>
      <c r="BRY282" s="1069"/>
      <c r="BRZ282" s="1069"/>
      <c r="BSA282" s="1069"/>
      <c r="BSB282" s="1069"/>
      <c r="BSC282" s="1069"/>
      <c r="BSD282" s="1069"/>
      <c r="BSE282" s="1069"/>
      <c r="BSF282" s="1069"/>
      <c r="BSG282" s="1069"/>
      <c r="BSH282" s="1069"/>
      <c r="BSI282" s="1069"/>
      <c r="BSJ282" s="1069"/>
      <c r="BSK282" s="1069"/>
      <c r="BSL282" s="1069"/>
      <c r="BSM282" s="1069"/>
      <c r="BSN282" s="1069"/>
      <c r="BSO282" s="1069"/>
      <c r="BSP282" s="1069"/>
      <c r="BSQ282" s="1069"/>
      <c r="BSR282" s="1069"/>
      <c r="BSS282" s="1069"/>
      <c r="BST282" s="1069"/>
      <c r="BSU282" s="1069"/>
      <c r="BSV282" s="1069"/>
      <c r="BSW282" s="1069"/>
      <c r="BSX282" s="1069"/>
      <c r="BSY282" s="1069"/>
      <c r="BSZ282" s="1069"/>
      <c r="BTA282" s="1069"/>
      <c r="BTB282" s="1069"/>
      <c r="BTC282" s="1069"/>
      <c r="BTD282" s="1069"/>
      <c r="BTE282" s="1069"/>
      <c r="BTF282" s="1069"/>
      <c r="BTG282" s="1069"/>
      <c r="BTH282" s="1069"/>
      <c r="BTI282" s="1069"/>
      <c r="BTJ282" s="1069"/>
      <c r="BTK282" s="1069"/>
      <c r="BTL282" s="1069"/>
      <c r="BTM282" s="1069"/>
      <c r="BTN282" s="1069"/>
      <c r="BTO282" s="1069"/>
      <c r="BTP282" s="1069"/>
      <c r="BTQ282" s="1069"/>
      <c r="BTR282" s="1069"/>
      <c r="BTS282" s="1069"/>
      <c r="BTT282" s="1069"/>
      <c r="BTU282" s="1069"/>
      <c r="BTV282" s="1069"/>
      <c r="BTW282" s="1069"/>
      <c r="BTX282" s="1069"/>
      <c r="BTY282" s="1069"/>
      <c r="BTZ282" s="1069"/>
      <c r="BUA282" s="1069"/>
      <c r="BUB282" s="1069"/>
      <c r="BUC282" s="1069"/>
      <c r="BUD282" s="1069"/>
      <c r="BUE282" s="1069"/>
      <c r="BUF282" s="1069"/>
      <c r="BUG282" s="1069"/>
      <c r="BUH282" s="1069"/>
      <c r="BUI282" s="1069"/>
      <c r="BUJ282" s="1069"/>
      <c r="BUK282" s="1069"/>
      <c r="BUL282" s="1069"/>
      <c r="BUM282" s="1069"/>
      <c r="BUN282" s="1069"/>
      <c r="BUO282" s="1069"/>
      <c r="BUP282" s="1069"/>
      <c r="BUQ282" s="1069"/>
      <c r="BUR282" s="1069"/>
      <c r="BUS282" s="1069"/>
      <c r="BUT282" s="1069"/>
      <c r="BUU282" s="1069"/>
      <c r="BUV282" s="1069"/>
      <c r="BUW282" s="1069"/>
      <c r="BUX282" s="1069"/>
      <c r="BUY282" s="1069"/>
      <c r="BUZ282" s="1069"/>
      <c r="BVA282" s="1069"/>
      <c r="BVB282" s="1069"/>
      <c r="BVC282" s="1069"/>
      <c r="BVD282" s="1069"/>
      <c r="BVE282" s="1069"/>
      <c r="BVF282" s="1069"/>
      <c r="BVG282" s="1069"/>
      <c r="BVH282" s="1069"/>
      <c r="BVI282" s="1069"/>
      <c r="BVJ282" s="1069"/>
      <c r="BVK282" s="1069"/>
      <c r="BVL282" s="1069"/>
      <c r="BVM282" s="1069"/>
      <c r="BVN282" s="1069"/>
      <c r="BVO282" s="1069"/>
      <c r="BVP282" s="1069"/>
      <c r="BVQ282" s="1069"/>
      <c r="BVR282" s="1069"/>
      <c r="BVS282" s="1069"/>
      <c r="BVT282" s="1069"/>
      <c r="BVU282" s="1069"/>
      <c r="BVV282" s="1069"/>
      <c r="BVW282" s="1069"/>
      <c r="BVX282" s="1069"/>
      <c r="BVY282" s="1069"/>
      <c r="BVZ282" s="1069"/>
      <c r="BWA282" s="1069"/>
      <c r="BWB282" s="1069"/>
      <c r="BWC282" s="1069"/>
      <c r="BWD282" s="1069"/>
      <c r="BWE282" s="1069"/>
      <c r="BWF282" s="1069"/>
      <c r="BWG282" s="1069"/>
      <c r="BWH282" s="1069"/>
      <c r="BWI282" s="1069"/>
      <c r="BWJ282" s="1069"/>
      <c r="BWK282" s="1069"/>
      <c r="BWL282" s="1069"/>
      <c r="BWM282" s="1069"/>
      <c r="BWN282" s="1069"/>
      <c r="BWO282" s="1069"/>
      <c r="BWP282" s="1069"/>
      <c r="BWQ282" s="1069"/>
      <c r="BWR282" s="1069"/>
      <c r="BWS282" s="1069"/>
      <c r="BWT282" s="1069"/>
      <c r="BWU282" s="1069"/>
      <c r="BWV282" s="1069"/>
      <c r="BWW282" s="1069"/>
      <c r="BWX282" s="1069"/>
      <c r="BWY282" s="1069"/>
      <c r="BWZ282" s="1069"/>
      <c r="BXA282" s="1069"/>
      <c r="BXB282" s="1069"/>
      <c r="BXC282" s="1069"/>
      <c r="BXD282" s="1069"/>
      <c r="BXE282" s="1069"/>
      <c r="BXF282" s="1069"/>
      <c r="BXG282" s="1069"/>
      <c r="BXH282" s="1069"/>
      <c r="BXI282" s="1069"/>
      <c r="BXJ282" s="1069"/>
      <c r="BXK282" s="1069"/>
      <c r="BXL282" s="1069"/>
      <c r="BXM282" s="1069"/>
      <c r="BXN282" s="1069"/>
      <c r="BXO282" s="1069"/>
      <c r="BXP282" s="1069"/>
      <c r="BXQ282" s="1069"/>
      <c r="BXR282" s="1069"/>
      <c r="BXS282" s="1069"/>
      <c r="BXT282" s="1069"/>
      <c r="BXU282" s="1069"/>
      <c r="BXV282" s="1069"/>
      <c r="BXW282" s="1069"/>
      <c r="BXX282" s="1069"/>
      <c r="BXY282" s="1069"/>
      <c r="BXZ282" s="1069"/>
      <c r="BYA282" s="1069"/>
      <c r="BYB282" s="1069"/>
      <c r="BYC282" s="1069"/>
      <c r="BYD282" s="1069"/>
      <c r="BYE282" s="1069"/>
      <c r="BYF282" s="1069"/>
      <c r="BYG282" s="1069"/>
      <c r="BYH282" s="1069"/>
      <c r="BYI282" s="1069"/>
      <c r="BYJ282" s="1069"/>
      <c r="BYK282" s="1069"/>
      <c r="BYL282" s="1069"/>
      <c r="BYM282" s="1069"/>
      <c r="BYN282" s="1069"/>
      <c r="BYO282" s="1069"/>
      <c r="BYP282" s="1069"/>
      <c r="BYQ282" s="1069"/>
      <c r="BYR282" s="1069"/>
      <c r="BYS282" s="1069"/>
      <c r="BYT282" s="1069"/>
      <c r="BYU282" s="1069"/>
      <c r="BYV282" s="1069"/>
      <c r="BYW282" s="1069"/>
      <c r="BYX282" s="1069"/>
      <c r="BYY282" s="1069"/>
      <c r="BYZ282" s="1069"/>
      <c r="BZA282" s="1069"/>
      <c r="BZB282" s="1069"/>
      <c r="BZC282" s="1069"/>
      <c r="BZD282" s="1069"/>
      <c r="BZE282" s="1069"/>
      <c r="BZF282" s="1069"/>
      <c r="BZG282" s="1069"/>
      <c r="BZH282" s="1069"/>
      <c r="BZI282" s="1069"/>
      <c r="BZJ282" s="1069"/>
      <c r="BZK282" s="1069"/>
      <c r="BZL282" s="1069"/>
      <c r="BZM282" s="1069"/>
      <c r="BZN282" s="1069"/>
      <c r="BZO282" s="1069"/>
      <c r="BZP282" s="1069"/>
      <c r="BZQ282" s="1069"/>
      <c r="BZR282" s="1069"/>
      <c r="BZS282" s="1069"/>
      <c r="BZT282" s="1069"/>
      <c r="BZU282" s="1069"/>
      <c r="BZV282" s="1069"/>
      <c r="BZW282" s="1069"/>
      <c r="BZX282" s="1069"/>
      <c r="BZY282" s="1069"/>
      <c r="BZZ282" s="1069"/>
      <c r="CAA282" s="1069"/>
      <c r="CAB282" s="1069"/>
      <c r="CAC282" s="1069"/>
      <c r="CAD282" s="1069"/>
      <c r="CAE282" s="1069"/>
      <c r="CAF282" s="1069"/>
      <c r="CAG282" s="1069"/>
      <c r="CAH282" s="1069"/>
      <c r="CAI282" s="1069"/>
      <c r="CAJ282" s="1069"/>
      <c r="CAK282" s="1069"/>
      <c r="CAL282" s="1069"/>
      <c r="CAM282" s="1069"/>
      <c r="CAN282" s="1069"/>
      <c r="CAO282" s="1069"/>
      <c r="CAP282" s="1069"/>
      <c r="CAQ282" s="1069"/>
      <c r="CAR282" s="1069"/>
      <c r="CAS282" s="1069"/>
      <c r="CAT282" s="1069"/>
      <c r="CAU282" s="1069"/>
      <c r="CAV282" s="1069"/>
      <c r="CAW282" s="1069"/>
      <c r="CAX282" s="1069"/>
      <c r="CAY282" s="1069"/>
      <c r="CAZ282" s="1069"/>
      <c r="CBA282" s="1069"/>
      <c r="CBB282" s="1069"/>
      <c r="CBC282" s="1069"/>
      <c r="CBD282" s="1069"/>
      <c r="CBE282" s="1069"/>
      <c r="CBF282" s="1069"/>
      <c r="CBG282" s="1069"/>
      <c r="CBH282" s="1069"/>
      <c r="CBI282" s="1069"/>
      <c r="CBJ282" s="1069"/>
      <c r="CBK282" s="1069"/>
      <c r="CBL282" s="1069"/>
      <c r="CBM282" s="1069"/>
      <c r="CBN282" s="1069"/>
      <c r="CBO282" s="1069"/>
      <c r="CBP282" s="1069"/>
      <c r="CBQ282" s="1069"/>
      <c r="CBR282" s="1069"/>
      <c r="CBS282" s="1069"/>
      <c r="CBT282" s="1069"/>
      <c r="CBU282" s="1069"/>
      <c r="CBV282" s="1069"/>
      <c r="CBW282" s="1069"/>
      <c r="CBX282" s="1069"/>
      <c r="CBY282" s="1069"/>
      <c r="CBZ282" s="1069"/>
      <c r="CCA282" s="1069"/>
      <c r="CCB282" s="1069"/>
      <c r="CCC282" s="1069"/>
      <c r="CCD282" s="1069"/>
      <c r="CCE282" s="1069"/>
      <c r="CCF282" s="1069"/>
      <c r="CCG282" s="1069"/>
      <c r="CCH282" s="1069"/>
      <c r="CCI282" s="1069"/>
      <c r="CCJ282" s="1069"/>
      <c r="CCK282" s="1069"/>
      <c r="CCL282" s="1069"/>
      <c r="CCM282" s="1069"/>
      <c r="CCN282" s="1069"/>
      <c r="CCO282" s="1069"/>
      <c r="CCP282" s="1069"/>
      <c r="CCQ282" s="1069"/>
      <c r="CCR282" s="1069"/>
      <c r="CCS282" s="1069"/>
      <c r="CCT282" s="1069"/>
      <c r="CCU282" s="1069"/>
      <c r="CCV282" s="1069"/>
      <c r="CCW282" s="1069"/>
      <c r="CCX282" s="1069"/>
      <c r="CCY282" s="1069"/>
      <c r="CCZ282" s="1069"/>
      <c r="CDA282" s="1069"/>
      <c r="CDB282" s="1069"/>
      <c r="CDC282" s="1069"/>
      <c r="CDD282" s="1069"/>
      <c r="CDE282" s="1069"/>
      <c r="CDF282" s="1069"/>
      <c r="CDG282" s="1069"/>
      <c r="CDH282" s="1069"/>
      <c r="CDI282" s="1069"/>
      <c r="CDJ282" s="1069"/>
      <c r="CDK282" s="1069"/>
      <c r="CDL282" s="1069"/>
      <c r="CDM282" s="1069"/>
      <c r="CDN282" s="1069"/>
      <c r="CDO282" s="1069"/>
      <c r="CDP282" s="1069"/>
      <c r="CDQ282" s="1069"/>
      <c r="CDR282" s="1069"/>
      <c r="CDS282" s="1069"/>
      <c r="CDT282" s="1069"/>
      <c r="CDU282" s="1069"/>
      <c r="CDV282" s="1069"/>
      <c r="CDW282" s="1069"/>
      <c r="CDX282" s="1069"/>
      <c r="CDY282" s="1069"/>
      <c r="CDZ282" s="1069"/>
      <c r="CEA282" s="1069"/>
      <c r="CEB282" s="1069"/>
      <c r="CEC282" s="1069"/>
      <c r="CED282" s="1069"/>
      <c r="CEE282" s="1069"/>
      <c r="CEF282" s="1069"/>
      <c r="CEG282" s="1069"/>
      <c r="CEH282" s="1069"/>
      <c r="CEI282" s="1069"/>
      <c r="CEJ282" s="1069"/>
      <c r="CEK282" s="1069"/>
      <c r="CEL282" s="1069"/>
      <c r="CEM282" s="1069"/>
      <c r="CEN282" s="1069"/>
      <c r="CEO282" s="1069"/>
      <c r="CEP282" s="1069"/>
      <c r="CEQ282" s="1069"/>
      <c r="CER282" s="1069"/>
      <c r="CES282" s="1069"/>
      <c r="CET282" s="1069"/>
      <c r="CEU282" s="1069"/>
      <c r="CEV282" s="1069"/>
      <c r="CEW282" s="1069"/>
      <c r="CEX282" s="1069"/>
      <c r="CEY282" s="1069"/>
      <c r="CEZ282" s="1069"/>
      <c r="CFA282" s="1069"/>
      <c r="CFB282" s="1069"/>
      <c r="CFC282" s="1069"/>
      <c r="CFD282" s="1069"/>
      <c r="CFE282" s="1069"/>
      <c r="CFF282" s="1069"/>
      <c r="CFG282" s="1069"/>
      <c r="CFH282" s="1069"/>
      <c r="CFI282" s="1069"/>
      <c r="CFJ282" s="1069"/>
      <c r="CFK282" s="1069"/>
      <c r="CFL282" s="1069"/>
      <c r="CFM282" s="1069"/>
      <c r="CFN282" s="1069"/>
      <c r="CFO282" s="1069"/>
      <c r="CFP282" s="1069"/>
      <c r="CFQ282" s="1069"/>
      <c r="CFR282" s="1069"/>
      <c r="CFS282" s="1069"/>
      <c r="CFT282" s="1069"/>
      <c r="CFU282" s="1069"/>
      <c r="CFV282" s="1069"/>
      <c r="CFW282" s="1069"/>
      <c r="CFX282" s="1069"/>
      <c r="CFY282" s="1069"/>
      <c r="CFZ282" s="1069"/>
      <c r="CGA282" s="1069"/>
      <c r="CGB282" s="1069"/>
      <c r="CGC282" s="1069"/>
      <c r="CGD282" s="1069"/>
      <c r="CGE282" s="1069"/>
      <c r="CGF282" s="1069"/>
      <c r="CGG282" s="1069"/>
      <c r="CGH282" s="1069"/>
      <c r="CGI282" s="1069"/>
      <c r="CGJ282" s="1069"/>
      <c r="CGK282" s="1069"/>
      <c r="CGL282" s="1069"/>
      <c r="CGM282" s="1069"/>
      <c r="CGN282" s="1069"/>
      <c r="CGO282" s="1069"/>
      <c r="CGP282" s="1069"/>
      <c r="CGQ282" s="1069"/>
      <c r="CGR282" s="1069"/>
      <c r="CGS282" s="1069"/>
      <c r="CGT282" s="1069"/>
      <c r="CGU282" s="1069"/>
      <c r="CGV282" s="1069"/>
      <c r="CGW282" s="1069"/>
      <c r="CGX282" s="1069"/>
      <c r="CGY282" s="1069"/>
      <c r="CGZ282" s="1069"/>
      <c r="CHA282" s="1069"/>
      <c r="CHB282" s="1069"/>
      <c r="CHC282" s="1069"/>
      <c r="CHD282" s="1069"/>
      <c r="CHE282" s="1069"/>
      <c r="CHF282" s="1069"/>
      <c r="CHG282" s="1069"/>
      <c r="CHH282" s="1069"/>
      <c r="CHI282" s="1069"/>
      <c r="CHJ282" s="1069"/>
      <c r="CHK282" s="1069"/>
      <c r="CHL282" s="1069"/>
      <c r="CHM282" s="1069"/>
      <c r="CHN282" s="1069"/>
      <c r="CHO282" s="1069"/>
      <c r="CHP282" s="1069"/>
      <c r="CHQ282" s="1069"/>
      <c r="CHR282" s="1069"/>
      <c r="CHS282" s="1069"/>
      <c r="CHT282" s="1069"/>
      <c r="CHU282" s="1069"/>
      <c r="CHV282" s="1069"/>
      <c r="CHW282" s="1069"/>
      <c r="CHX282" s="1069"/>
      <c r="CHY282" s="1069"/>
      <c r="CHZ282" s="1069"/>
      <c r="CIA282" s="1069"/>
      <c r="CIB282" s="1069"/>
      <c r="CIC282" s="1069"/>
      <c r="CID282" s="1069"/>
      <c r="CIE282" s="1069"/>
      <c r="CIF282" s="1069"/>
      <c r="CIG282" s="1069"/>
      <c r="CIH282" s="1069"/>
      <c r="CII282" s="1069"/>
      <c r="CIJ282" s="1069"/>
      <c r="CIK282" s="1069"/>
      <c r="CIL282" s="1069"/>
      <c r="CIM282" s="1069"/>
      <c r="CIN282" s="1069"/>
      <c r="CIO282" s="1069"/>
      <c r="CIP282" s="1069"/>
      <c r="CIQ282" s="1069"/>
      <c r="CIR282" s="1069"/>
      <c r="CIS282" s="1069"/>
      <c r="CIT282" s="1069"/>
      <c r="CIU282" s="1069"/>
      <c r="CIV282" s="1069"/>
      <c r="CIW282" s="1069"/>
      <c r="CIX282" s="1069"/>
      <c r="CIY282" s="1069"/>
      <c r="CIZ282" s="1069"/>
      <c r="CJA282" s="1069"/>
      <c r="CJB282" s="1069"/>
      <c r="CJC282" s="1069"/>
      <c r="CJD282" s="1069"/>
      <c r="CJE282" s="1069"/>
      <c r="CJF282" s="1069"/>
      <c r="CJG282" s="1069"/>
      <c r="CJH282" s="1069"/>
      <c r="CJI282" s="1069"/>
      <c r="CJJ282" s="1069"/>
      <c r="CJK282" s="1069"/>
      <c r="CJL282" s="1069"/>
      <c r="CJM282" s="1069"/>
      <c r="CJN282" s="1069"/>
      <c r="CJO282" s="1069"/>
      <c r="CJP282" s="1069"/>
      <c r="CJQ282" s="1069"/>
      <c r="CJR282" s="1069"/>
      <c r="CJS282" s="1069"/>
      <c r="CJT282" s="1069"/>
      <c r="CJU282" s="1069"/>
      <c r="CJV282" s="1069"/>
      <c r="CJW282" s="1069"/>
      <c r="CJX282" s="1069"/>
      <c r="CJY282" s="1069"/>
      <c r="CJZ282" s="1069"/>
      <c r="CKA282" s="1069"/>
      <c r="CKB282" s="1069"/>
      <c r="CKC282" s="1069"/>
      <c r="CKD282" s="1069"/>
      <c r="CKE282" s="1069"/>
      <c r="CKF282" s="1069"/>
      <c r="CKG282" s="1069"/>
      <c r="CKH282" s="1069"/>
      <c r="CKI282" s="1069"/>
      <c r="CKJ282" s="1069"/>
      <c r="CKK282" s="1069"/>
      <c r="CKL282" s="1069"/>
      <c r="CKM282" s="1069"/>
      <c r="CKN282" s="1069"/>
      <c r="CKO282" s="1069"/>
      <c r="CKP282" s="1069"/>
      <c r="CKQ282" s="1069"/>
      <c r="CKR282" s="1069"/>
      <c r="CKS282" s="1069"/>
      <c r="CKT282" s="1069"/>
      <c r="CKU282" s="1069"/>
      <c r="CKV282" s="1069"/>
      <c r="CKW282" s="1069"/>
      <c r="CKX282" s="1069"/>
      <c r="CKY282" s="1069"/>
      <c r="CKZ282" s="1069"/>
      <c r="CLA282" s="1069"/>
      <c r="CLB282" s="1069"/>
      <c r="CLC282" s="1069"/>
      <c r="CLD282" s="1069"/>
      <c r="CLE282" s="1069"/>
      <c r="CLF282" s="1069"/>
      <c r="CLG282" s="1069"/>
      <c r="CLH282" s="1069"/>
      <c r="CLI282" s="1069"/>
      <c r="CLJ282" s="1069"/>
      <c r="CLK282" s="1069"/>
      <c r="CLL282" s="1069"/>
      <c r="CLM282" s="1069"/>
      <c r="CLN282" s="1069"/>
      <c r="CLO282" s="1069"/>
      <c r="CLP282" s="1069"/>
      <c r="CLQ282" s="1069"/>
      <c r="CLR282" s="1069"/>
      <c r="CLS282" s="1069"/>
      <c r="CLT282" s="1069"/>
      <c r="CLU282" s="1069"/>
      <c r="CLV282" s="1069"/>
      <c r="CLW282" s="1069"/>
      <c r="CLX282" s="1069"/>
      <c r="CLY282" s="1069"/>
      <c r="CLZ282" s="1069"/>
      <c r="CMA282" s="1069"/>
      <c r="CMB282" s="1069"/>
      <c r="CMC282" s="1069"/>
      <c r="CMD282" s="1069"/>
      <c r="CME282" s="1069"/>
      <c r="CMF282" s="1069"/>
      <c r="CMG282" s="1069"/>
      <c r="CMH282" s="1069"/>
      <c r="CMI282" s="1069"/>
      <c r="CMJ282" s="1069"/>
      <c r="CMK282" s="1069"/>
      <c r="CML282" s="1069"/>
      <c r="CMM282" s="1069"/>
      <c r="CMN282" s="1069"/>
      <c r="CMO282" s="1069"/>
      <c r="CMP282" s="1069"/>
      <c r="CMQ282" s="1069"/>
      <c r="CMR282" s="1069"/>
      <c r="CMS282" s="1069"/>
      <c r="CMT282" s="1069"/>
      <c r="CMU282" s="1069"/>
      <c r="CMV282" s="1069"/>
      <c r="CMW282" s="1069"/>
      <c r="CMX282" s="1069"/>
      <c r="CMY282" s="1069"/>
      <c r="CMZ282" s="1069"/>
      <c r="CNA282" s="1069"/>
      <c r="CNB282" s="1069"/>
      <c r="CNC282" s="1069"/>
      <c r="CND282" s="1069"/>
      <c r="CNE282" s="1069"/>
      <c r="CNF282" s="1069"/>
      <c r="CNG282" s="1069"/>
      <c r="CNH282" s="1069"/>
      <c r="CNI282" s="1069"/>
      <c r="CNJ282" s="1069"/>
      <c r="CNK282" s="1069"/>
      <c r="CNL282" s="1069"/>
      <c r="CNM282" s="1069"/>
      <c r="CNN282" s="1069"/>
      <c r="CNO282" s="1069"/>
      <c r="CNP282" s="1069"/>
      <c r="CNQ282" s="1069"/>
      <c r="CNR282" s="1069"/>
      <c r="CNS282" s="1069"/>
      <c r="CNT282" s="1069"/>
      <c r="CNU282" s="1069"/>
      <c r="CNV282" s="1069"/>
      <c r="CNW282" s="1069"/>
      <c r="CNX282" s="1069"/>
      <c r="CNY282" s="1069"/>
      <c r="CNZ282" s="1069"/>
      <c r="COA282" s="1069"/>
      <c r="COB282" s="1069"/>
      <c r="COC282" s="1069"/>
      <c r="COD282" s="1069"/>
      <c r="COE282" s="1069"/>
      <c r="COF282" s="1069"/>
      <c r="COG282" s="1069"/>
      <c r="COH282" s="1069"/>
      <c r="COI282" s="1069"/>
      <c r="COJ282" s="1069"/>
      <c r="COK282" s="1069"/>
      <c r="COL282" s="1069"/>
      <c r="COM282" s="1069"/>
      <c r="CON282" s="1069"/>
      <c r="COO282" s="1069"/>
      <c r="COP282" s="1069"/>
      <c r="COQ282" s="1069"/>
      <c r="COR282" s="1069"/>
      <c r="COS282" s="1069"/>
      <c r="COT282" s="1069"/>
      <c r="COU282" s="1069"/>
      <c r="COV282" s="1069"/>
      <c r="COW282" s="1069"/>
      <c r="COX282" s="1069"/>
      <c r="COY282" s="1069"/>
      <c r="COZ282" s="1069"/>
      <c r="CPA282" s="1069"/>
      <c r="CPB282" s="1069"/>
      <c r="CPC282" s="1069"/>
      <c r="CPD282" s="1069"/>
      <c r="CPE282" s="1069"/>
      <c r="CPF282" s="1069"/>
      <c r="CPG282" s="1069"/>
      <c r="CPH282" s="1069"/>
      <c r="CPI282" s="1069"/>
      <c r="CPJ282" s="1069"/>
      <c r="CPK282" s="1069"/>
      <c r="CPL282" s="1069"/>
      <c r="CPM282" s="1069"/>
      <c r="CPN282" s="1069"/>
      <c r="CPO282" s="1069"/>
      <c r="CPP282" s="1069"/>
      <c r="CPQ282" s="1069"/>
      <c r="CPR282" s="1069"/>
      <c r="CPS282" s="1069"/>
      <c r="CPT282" s="1069"/>
      <c r="CPU282" s="1069"/>
      <c r="CPV282" s="1069"/>
      <c r="CPW282" s="1069"/>
      <c r="CPX282" s="1069"/>
      <c r="CPY282" s="1069"/>
      <c r="CPZ282" s="1069"/>
      <c r="CQA282" s="1069"/>
      <c r="CQB282" s="1069"/>
      <c r="CQC282" s="1069"/>
      <c r="CQD282" s="1069"/>
      <c r="CQE282" s="1069"/>
      <c r="CQF282" s="1069"/>
      <c r="CQG282" s="1069"/>
      <c r="CQH282" s="1069"/>
      <c r="CQI282" s="1069"/>
      <c r="CQJ282" s="1069"/>
      <c r="CQK282" s="1069"/>
      <c r="CQL282" s="1069"/>
      <c r="CQM282" s="1069"/>
      <c r="CQN282" s="1069"/>
      <c r="CQO282" s="1069"/>
      <c r="CQP282" s="1069"/>
      <c r="CQQ282" s="1069"/>
      <c r="CQR282" s="1069"/>
      <c r="CQS282" s="1069"/>
      <c r="CQT282" s="1069"/>
      <c r="CQU282" s="1069"/>
      <c r="CQV282" s="1069"/>
      <c r="CQW282" s="1069"/>
      <c r="CQX282" s="1069"/>
      <c r="CQY282" s="1069"/>
      <c r="CQZ282" s="1069"/>
      <c r="CRA282" s="1069"/>
      <c r="CRB282" s="1069"/>
      <c r="CRC282" s="1069"/>
      <c r="CRD282" s="1069"/>
      <c r="CRE282" s="1069"/>
      <c r="CRF282" s="1069"/>
      <c r="CRG282" s="1069"/>
      <c r="CRH282" s="1069"/>
      <c r="CRI282" s="1069"/>
      <c r="CRJ282" s="1069"/>
      <c r="CRK282" s="1069"/>
      <c r="CRL282" s="1069"/>
      <c r="CRM282" s="1069"/>
      <c r="CRN282" s="1069"/>
      <c r="CRO282" s="1069"/>
      <c r="CRP282" s="1069"/>
      <c r="CRQ282" s="1069"/>
      <c r="CRR282" s="1069"/>
      <c r="CRS282" s="1069"/>
      <c r="CRT282" s="1069"/>
      <c r="CRU282" s="1069"/>
      <c r="CRV282" s="1069"/>
      <c r="CRW282" s="1069"/>
      <c r="CRX282" s="1069"/>
      <c r="CRY282" s="1069"/>
      <c r="CRZ282" s="1069"/>
      <c r="CSA282" s="1069"/>
      <c r="CSB282" s="1069"/>
      <c r="CSC282" s="1069"/>
      <c r="CSD282" s="1069"/>
      <c r="CSE282" s="1069"/>
      <c r="CSF282" s="1069"/>
      <c r="CSG282" s="1069"/>
      <c r="CSH282" s="1069"/>
      <c r="CSI282" s="1069"/>
      <c r="CSJ282" s="1069"/>
      <c r="CSK282" s="1069"/>
      <c r="CSL282" s="1069"/>
      <c r="CSM282" s="1069"/>
      <c r="CSN282" s="1069"/>
      <c r="CSO282" s="1069"/>
      <c r="CSP282" s="1069"/>
      <c r="CSQ282" s="1069"/>
      <c r="CSR282" s="1069"/>
      <c r="CSS282" s="1069"/>
      <c r="CST282" s="1069"/>
      <c r="CSU282" s="1069"/>
      <c r="CSV282" s="1069"/>
      <c r="CSW282" s="1069"/>
      <c r="CSX282" s="1069"/>
      <c r="CSY282" s="1069"/>
      <c r="CSZ282" s="1069"/>
      <c r="CTA282" s="1069"/>
      <c r="CTB282" s="1069"/>
      <c r="CTC282" s="1069"/>
      <c r="CTD282" s="1069"/>
      <c r="CTE282" s="1069"/>
      <c r="CTF282" s="1069"/>
      <c r="CTG282" s="1069"/>
      <c r="CTH282" s="1069"/>
      <c r="CTI282" s="1069"/>
      <c r="CTJ282" s="1069"/>
      <c r="CTK282" s="1069"/>
      <c r="CTL282" s="1069"/>
      <c r="CTM282" s="1069"/>
      <c r="CTN282" s="1069"/>
      <c r="CTO282" s="1069"/>
      <c r="CTP282" s="1069"/>
      <c r="CTQ282" s="1069"/>
      <c r="CTR282" s="1069"/>
      <c r="CTS282" s="1069"/>
      <c r="CTT282" s="1069"/>
      <c r="CTU282" s="1069"/>
      <c r="CTV282" s="1069"/>
      <c r="CTW282" s="1069"/>
      <c r="CTX282" s="1069"/>
      <c r="CTY282" s="1069"/>
      <c r="CTZ282" s="1069"/>
      <c r="CUA282" s="1069"/>
      <c r="CUB282" s="1069"/>
      <c r="CUC282" s="1069"/>
      <c r="CUD282" s="1069"/>
      <c r="CUE282" s="1069"/>
      <c r="CUF282" s="1069"/>
      <c r="CUG282" s="1069"/>
      <c r="CUH282" s="1069"/>
      <c r="CUI282" s="1069"/>
      <c r="CUJ282" s="1069"/>
      <c r="CUK282" s="1069"/>
      <c r="CUL282" s="1069"/>
      <c r="CUM282" s="1069"/>
      <c r="CUN282" s="1069"/>
      <c r="CUO282" s="1069"/>
      <c r="CUP282" s="1069"/>
      <c r="CUQ282" s="1069"/>
      <c r="CUR282" s="1069"/>
      <c r="CUS282" s="1069"/>
      <c r="CUT282" s="1069"/>
      <c r="CUU282" s="1069"/>
      <c r="CUV282" s="1069"/>
      <c r="CUW282" s="1069"/>
      <c r="CUX282" s="1069"/>
      <c r="CUY282" s="1069"/>
      <c r="CUZ282" s="1069"/>
      <c r="CVA282" s="1069"/>
      <c r="CVB282" s="1069"/>
      <c r="CVC282" s="1069"/>
      <c r="CVD282" s="1069"/>
      <c r="CVE282" s="1069"/>
      <c r="CVF282" s="1069"/>
      <c r="CVG282" s="1069"/>
      <c r="CVH282" s="1069"/>
      <c r="CVI282" s="1069"/>
      <c r="CVJ282" s="1069"/>
      <c r="CVK282" s="1069"/>
      <c r="CVL282" s="1069"/>
      <c r="CVM282" s="1069"/>
      <c r="CVN282" s="1069"/>
      <c r="CVO282" s="1069"/>
      <c r="CVP282" s="1069"/>
      <c r="CVQ282" s="1069"/>
      <c r="CVR282" s="1069"/>
      <c r="CVS282" s="1069"/>
      <c r="CVT282" s="1069"/>
      <c r="CVU282" s="1069"/>
      <c r="CVV282" s="1069"/>
      <c r="CVW282" s="1069"/>
      <c r="CVX282" s="1069"/>
      <c r="CVY282" s="1069"/>
      <c r="CVZ282" s="1069"/>
      <c r="CWA282" s="1069"/>
      <c r="CWB282" s="1069"/>
      <c r="CWC282" s="1069"/>
      <c r="CWD282" s="1069"/>
      <c r="CWE282" s="1069"/>
      <c r="CWF282" s="1069"/>
      <c r="CWG282" s="1069"/>
      <c r="CWH282" s="1069"/>
      <c r="CWI282" s="1069"/>
      <c r="CWJ282" s="1069"/>
      <c r="CWK282" s="1069"/>
      <c r="CWL282" s="1069"/>
      <c r="CWM282" s="1069"/>
      <c r="CWN282" s="1069"/>
      <c r="CWO282" s="1069"/>
      <c r="CWP282" s="1069"/>
      <c r="CWQ282" s="1069"/>
      <c r="CWR282" s="1069"/>
      <c r="CWS282" s="1069"/>
      <c r="CWT282" s="1069"/>
      <c r="CWU282" s="1069"/>
      <c r="CWV282" s="1069"/>
      <c r="CWW282" s="1069"/>
      <c r="CWX282" s="1069"/>
      <c r="CWY282" s="1069"/>
      <c r="CWZ282" s="1069"/>
      <c r="CXA282" s="1069"/>
      <c r="CXB282" s="1069"/>
      <c r="CXC282" s="1069"/>
      <c r="CXD282" s="1069"/>
      <c r="CXE282" s="1069"/>
      <c r="CXF282" s="1069"/>
      <c r="CXG282" s="1069"/>
      <c r="CXH282" s="1069"/>
      <c r="CXI282" s="1069"/>
      <c r="CXJ282" s="1069"/>
      <c r="CXK282" s="1069"/>
      <c r="CXL282" s="1069"/>
      <c r="CXM282" s="1069"/>
      <c r="CXN282" s="1069"/>
      <c r="CXO282" s="1069"/>
      <c r="CXP282" s="1069"/>
      <c r="CXQ282" s="1069"/>
      <c r="CXR282" s="1069"/>
      <c r="CXS282" s="1069"/>
      <c r="CXT282" s="1069"/>
      <c r="CXU282" s="1069"/>
      <c r="CXV282" s="1069"/>
      <c r="CXW282" s="1069"/>
      <c r="CXX282" s="1069"/>
      <c r="CXY282" s="1069"/>
      <c r="CXZ282" s="1069"/>
      <c r="CYA282" s="1069"/>
      <c r="CYB282" s="1069"/>
      <c r="CYC282" s="1069"/>
      <c r="CYD282" s="1069"/>
      <c r="CYE282" s="1069"/>
      <c r="CYF282" s="1069"/>
      <c r="CYG282" s="1069"/>
      <c r="CYH282" s="1069"/>
      <c r="CYI282" s="1069"/>
      <c r="CYJ282" s="1069"/>
      <c r="CYK282" s="1069"/>
      <c r="CYL282" s="1069"/>
      <c r="CYM282" s="1069"/>
      <c r="CYN282" s="1069"/>
      <c r="CYO282" s="1069"/>
      <c r="CYP282" s="1069"/>
      <c r="CYQ282" s="1069"/>
      <c r="CYR282" s="1069"/>
      <c r="CYS282" s="1069"/>
      <c r="CYT282" s="1069"/>
      <c r="CYU282" s="1069"/>
      <c r="CYV282" s="1069"/>
      <c r="CYW282" s="1069"/>
      <c r="CYX282" s="1069"/>
      <c r="CYY282" s="1069"/>
      <c r="CYZ282" s="1069"/>
      <c r="CZA282" s="1069"/>
      <c r="CZB282" s="1069"/>
      <c r="CZC282" s="1069"/>
      <c r="CZD282" s="1069"/>
      <c r="CZE282" s="1069"/>
      <c r="CZF282" s="1069"/>
      <c r="CZG282" s="1069"/>
      <c r="CZH282" s="1069"/>
      <c r="CZI282" s="1069"/>
      <c r="CZJ282" s="1069"/>
      <c r="CZK282" s="1069"/>
      <c r="CZL282" s="1069"/>
      <c r="CZM282" s="1069"/>
      <c r="CZN282" s="1069"/>
      <c r="CZO282" s="1069"/>
      <c r="CZP282" s="1069"/>
      <c r="CZQ282" s="1069"/>
      <c r="CZR282" s="1069"/>
      <c r="CZS282" s="1069"/>
      <c r="CZT282" s="1069"/>
      <c r="CZU282" s="1069"/>
      <c r="CZV282" s="1069"/>
      <c r="CZW282" s="1069"/>
      <c r="CZX282" s="1069"/>
      <c r="CZY282" s="1069"/>
      <c r="CZZ282" s="1069"/>
      <c r="DAA282" s="1069"/>
      <c r="DAB282" s="1069"/>
      <c r="DAC282" s="1069"/>
      <c r="DAD282" s="1069"/>
      <c r="DAE282" s="1069"/>
      <c r="DAF282" s="1069"/>
      <c r="DAG282" s="1069"/>
      <c r="DAH282" s="1069"/>
      <c r="DAI282" s="1069"/>
      <c r="DAJ282" s="1069"/>
      <c r="DAK282" s="1069"/>
      <c r="DAL282" s="1069"/>
      <c r="DAM282" s="1069"/>
      <c r="DAN282" s="1069"/>
      <c r="DAO282" s="1069"/>
      <c r="DAP282" s="1069"/>
      <c r="DAQ282" s="1069"/>
      <c r="DAR282" s="1069"/>
      <c r="DAS282" s="1069"/>
      <c r="DAT282" s="1069"/>
      <c r="DAU282" s="1069"/>
      <c r="DAV282" s="1069"/>
      <c r="DAW282" s="1069"/>
      <c r="DAX282" s="1069"/>
      <c r="DAY282" s="1069"/>
      <c r="DAZ282" s="1069"/>
      <c r="DBA282" s="1069"/>
      <c r="DBB282" s="1069"/>
      <c r="DBC282" s="1069"/>
      <c r="DBD282" s="1069"/>
      <c r="DBE282" s="1069"/>
      <c r="DBF282" s="1069"/>
      <c r="DBG282" s="1069"/>
      <c r="DBH282" s="1069"/>
      <c r="DBI282" s="1069"/>
      <c r="DBJ282" s="1069"/>
      <c r="DBK282" s="1069"/>
      <c r="DBL282" s="1069"/>
      <c r="DBM282" s="1069"/>
      <c r="DBN282" s="1069"/>
      <c r="DBO282" s="1069"/>
      <c r="DBP282" s="1069"/>
      <c r="DBQ282" s="1069"/>
      <c r="DBR282" s="1069"/>
      <c r="DBS282" s="1069"/>
      <c r="DBT282" s="1069"/>
      <c r="DBU282" s="1069"/>
      <c r="DBV282" s="1069"/>
      <c r="DBW282" s="1069"/>
      <c r="DBX282" s="1069"/>
      <c r="DBY282" s="1069"/>
      <c r="DBZ282" s="1069"/>
      <c r="DCA282" s="1069"/>
      <c r="DCB282" s="1069"/>
      <c r="DCC282" s="1069"/>
      <c r="DCD282" s="1069"/>
      <c r="DCE282" s="1069"/>
      <c r="DCF282" s="1069"/>
      <c r="DCG282" s="1069"/>
      <c r="DCH282" s="1069"/>
      <c r="DCI282" s="1069"/>
      <c r="DCJ282" s="1069"/>
      <c r="DCK282" s="1069"/>
      <c r="DCL282" s="1069"/>
      <c r="DCM282" s="1069"/>
      <c r="DCN282" s="1069"/>
      <c r="DCO282" s="1069"/>
      <c r="DCP282" s="1069"/>
      <c r="DCQ282" s="1069"/>
      <c r="DCR282" s="1069"/>
      <c r="DCS282" s="1069"/>
      <c r="DCT282" s="1069"/>
      <c r="DCU282" s="1069"/>
      <c r="DCV282" s="1069"/>
      <c r="DCW282" s="1069"/>
      <c r="DCX282" s="1069"/>
      <c r="DCY282" s="1069"/>
      <c r="DCZ282" s="1069"/>
      <c r="DDA282" s="1069"/>
      <c r="DDB282" s="1069"/>
      <c r="DDC282" s="1069"/>
      <c r="DDD282" s="1069"/>
      <c r="DDE282" s="1069"/>
      <c r="DDF282" s="1069"/>
      <c r="DDG282" s="1069"/>
      <c r="DDH282" s="1069"/>
      <c r="DDI282" s="1069"/>
      <c r="DDJ282" s="1069"/>
      <c r="DDK282" s="1069"/>
      <c r="DDL282" s="1069"/>
      <c r="DDM282" s="1069"/>
      <c r="DDN282" s="1069"/>
      <c r="DDO282" s="1069"/>
      <c r="DDP282" s="1069"/>
      <c r="DDQ282" s="1069"/>
      <c r="DDR282" s="1069"/>
      <c r="DDS282" s="1069"/>
      <c r="DDT282" s="1069"/>
      <c r="DDU282" s="1069"/>
      <c r="DDV282" s="1069"/>
      <c r="DDW282" s="1069"/>
      <c r="DDX282" s="1069"/>
      <c r="DDY282" s="1069"/>
      <c r="DDZ282" s="1069"/>
      <c r="DEA282" s="1069"/>
      <c r="DEB282" s="1069"/>
      <c r="DEC282" s="1069"/>
      <c r="DED282" s="1069"/>
      <c r="DEE282" s="1069"/>
      <c r="DEF282" s="1069"/>
      <c r="DEG282" s="1069"/>
      <c r="DEH282" s="1069"/>
      <c r="DEI282" s="1069"/>
      <c r="DEJ282" s="1069"/>
      <c r="DEK282" s="1069"/>
      <c r="DEL282" s="1069"/>
      <c r="DEM282" s="1069"/>
      <c r="DEN282" s="1069"/>
      <c r="DEO282" s="1069"/>
      <c r="DEP282" s="1069"/>
      <c r="DEQ282" s="1069"/>
      <c r="DER282" s="1069"/>
      <c r="DES282" s="1069"/>
      <c r="DET282" s="1069"/>
      <c r="DEU282" s="1069"/>
      <c r="DEV282" s="1069"/>
      <c r="DEW282" s="1069"/>
      <c r="DEX282" s="1069"/>
      <c r="DEY282" s="1069"/>
      <c r="DEZ282" s="1069"/>
      <c r="DFA282" s="1069"/>
      <c r="DFB282" s="1069"/>
      <c r="DFC282" s="1069"/>
      <c r="DFD282" s="1069"/>
      <c r="DFE282" s="1069"/>
      <c r="DFF282" s="1069"/>
      <c r="DFG282" s="1069"/>
      <c r="DFH282" s="1069"/>
      <c r="DFI282" s="1069"/>
      <c r="DFJ282" s="1069"/>
      <c r="DFK282" s="1069"/>
      <c r="DFL282" s="1069"/>
      <c r="DFM282" s="1069"/>
      <c r="DFN282" s="1069"/>
      <c r="DFO282" s="1069"/>
      <c r="DFP282" s="1069"/>
      <c r="DFQ282" s="1069"/>
      <c r="DFR282" s="1069"/>
      <c r="DFS282" s="1069"/>
      <c r="DFT282" s="1069"/>
      <c r="DFU282" s="1069"/>
      <c r="DFV282" s="1069"/>
      <c r="DFW282" s="1069"/>
      <c r="DFX282" s="1069"/>
      <c r="DFY282" s="1069"/>
      <c r="DFZ282" s="1069"/>
      <c r="DGA282" s="1069"/>
      <c r="DGB282" s="1069"/>
      <c r="DGC282" s="1069"/>
      <c r="DGD282" s="1069"/>
      <c r="DGE282" s="1069"/>
      <c r="DGF282" s="1069"/>
      <c r="DGG282" s="1069"/>
      <c r="DGH282" s="1069"/>
      <c r="DGI282" s="1069"/>
      <c r="DGJ282" s="1069"/>
      <c r="DGK282" s="1069"/>
      <c r="DGL282" s="1069"/>
      <c r="DGM282" s="1069"/>
      <c r="DGN282" s="1069"/>
      <c r="DGO282" s="1069"/>
      <c r="DGP282" s="1069"/>
      <c r="DGQ282" s="1069"/>
      <c r="DGR282" s="1069"/>
      <c r="DGS282" s="1069"/>
      <c r="DGT282" s="1069"/>
      <c r="DGU282" s="1069"/>
      <c r="DGV282" s="1069"/>
      <c r="DGW282" s="1069"/>
      <c r="DGX282" s="1069"/>
      <c r="DGY282" s="1069"/>
      <c r="DGZ282" s="1069"/>
      <c r="DHA282" s="1069"/>
      <c r="DHB282" s="1069"/>
      <c r="DHC282" s="1069"/>
      <c r="DHD282" s="1069"/>
      <c r="DHE282" s="1069"/>
      <c r="DHF282" s="1069"/>
      <c r="DHG282" s="1069"/>
      <c r="DHH282" s="1069"/>
      <c r="DHI282" s="1069"/>
      <c r="DHJ282" s="1069"/>
      <c r="DHK282" s="1069"/>
      <c r="DHL282" s="1069"/>
      <c r="DHM282" s="1069"/>
      <c r="DHN282" s="1069"/>
      <c r="DHO282" s="1069"/>
      <c r="DHP282" s="1069"/>
      <c r="DHQ282" s="1069"/>
      <c r="DHR282" s="1069"/>
      <c r="DHS282" s="1069"/>
      <c r="DHT282" s="1069"/>
      <c r="DHU282" s="1069"/>
      <c r="DHV282" s="1069"/>
      <c r="DHW282" s="1069"/>
      <c r="DHX282" s="1069"/>
      <c r="DHY282" s="1069"/>
      <c r="DHZ282" s="1069"/>
      <c r="DIA282" s="1069"/>
      <c r="DIB282" s="1069"/>
      <c r="DIC282" s="1069"/>
      <c r="DID282" s="1069"/>
      <c r="DIE282" s="1069"/>
      <c r="DIF282" s="1069"/>
      <c r="DIG282" s="1069"/>
      <c r="DIH282" s="1069"/>
      <c r="DII282" s="1069"/>
      <c r="DIJ282" s="1069"/>
      <c r="DIK282" s="1069"/>
      <c r="DIL282" s="1069"/>
      <c r="DIM282" s="1069"/>
      <c r="DIN282" s="1069"/>
      <c r="DIO282" s="1069"/>
      <c r="DIP282" s="1069"/>
      <c r="DIQ282" s="1069"/>
      <c r="DIR282" s="1069"/>
      <c r="DIS282" s="1069"/>
      <c r="DIT282" s="1069"/>
      <c r="DIU282" s="1069"/>
      <c r="DIV282" s="1069"/>
      <c r="DIW282" s="1069"/>
      <c r="DIX282" s="1069"/>
      <c r="DIY282" s="1069"/>
      <c r="DIZ282" s="1069"/>
      <c r="DJA282" s="1069"/>
      <c r="DJB282" s="1069"/>
      <c r="DJC282" s="1069"/>
      <c r="DJD282" s="1069"/>
      <c r="DJE282" s="1069"/>
      <c r="DJF282" s="1069"/>
      <c r="DJG282" s="1069"/>
      <c r="DJH282" s="1069"/>
      <c r="DJI282" s="1069"/>
      <c r="DJJ282" s="1069"/>
      <c r="DJK282" s="1069"/>
      <c r="DJL282" s="1069"/>
      <c r="DJM282" s="1069"/>
      <c r="DJN282" s="1069"/>
      <c r="DJO282" s="1069"/>
      <c r="DJP282" s="1069"/>
      <c r="DJQ282" s="1069"/>
      <c r="DJR282" s="1069"/>
      <c r="DJS282" s="1069"/>
      <c r="DJT282" s="1069"/>
      <c r="DJU282" s="1069"/>
      <c r="DJV282" s="1069"/>
      <c r="DJW282" s="1069"/>
      <c r="DJX282" s="1069"/>
      <c r="DJY282" s="1069"/>
      <c r="DJZ282" s="1069"/>
      <c r="DKA282" s="1069"/>
      <c r="DKB282" s="1069"/>
      <c r="DKC282" s="1069"/>
      <c r="DKD282" s="1069"/>
      <c r="DKE282" s="1069"/>
      <c r="DKF282" s="1069"/>
      <c r="DKG282" s="1069"/>
      <c r="DKH282" s="1069"/>
      <c r="DKI282" s="1069"/>
      <c r="DKJ282" s="1069"/>
      <c r="DKK282" s="1069"/>
      <c r="DKL282" s="1069"/>
      <c r="DKM282" s="1069"/>
      <c r="DKN282" s="1069"/>
      <c r="DKO282" s="1069"/>
      <c r="DKP282" s="1069"/>
      <c r="DKQ282" s="1069"/>
      <c r="DKR282" s="1069"/>
      <c r="DKS282" s="1069"/>
      <c r="DKT282" s="1069"/>
      <c r="DKU282" s="1069"/>
      <c r="DKV282" s="1069"/>
      <c r="DKW282" s="1069"/>
      <c r="DKX282" s="1069"/>
      <c r="DKY282" s="1069"/>
      <c r="DKZ282" s="1069"/>
      <c r="DLA282" s="1069"/>
      <c r="DLB282" s="1069"/>
      <c r="DLC282" s="1069"/>
      <c r="DLD282" s="1069"/>
      <c r="DLE282" s="1069"/>
      <c r="DLF282" s="1069"/>
      <c r="DLG282" s="1069"/>
      <c r="DLH282" s="1069"/>
      <c r="DLI282" s="1069"/>
      <c r="DLJ282" s="1069"/>
      <c r="DLK282" s="1069"/>
      <c r="DLL282" s="1069"/>
      <c r="DLM282" s="1069"/>
      <c r="DLN282" s="1069"/>
      <c r="DLO282" s="1069"/>
      <c r="DLP282" s="1069"/>
      <c r="DLQ282" s="1069"/>
      <c r="DLR282" s="1069"/>
      <c r="DLS282" s="1069"/>
      <c r="DLT282" s="1069"/>
      <c r="DLU282" s="1069"/>
      <c r="DLV282" s="1069"/>
      <c r="DLW282" s="1069"/>
      <c r="DLX282" s="1069"/>
      <c r="DLY282" s="1069"/>
      <c r="DLZ282" s="1069"/>
      <c r="DMA282" s="1069"/>
      <c r="DMB282" s="1069"/>
      <c r="DMC282" s="1069"/>
      <c r="DMD282" s="1069"/>
      <c r="DME282" s="1069"/>
      <c r="DMF282" s="1069"/>
      <c r="DMG282" s="1069"/>
      <c r="DMH282" s="1069"/>
      <c r="DMI282" s="1069"/>
      <c r="DMJ282" s="1069"/>
      <c r="DMK282" s="1069"/>
      <c r="DML282" s="1069"/>
      <c r="DMM282" s="1069"/>
      <c r="DMN282" s="1069"/>
      <c r="DMO282" s="1069"/>
      <c r="DMP282" s="1069"/>
      <c r="DMQ282" s="1069"/>
      <c r="DMR282" s="1069"/>
      <c r="DMS282" s="1069"/>
      <c r="DMT282" s="1069"/>
      <c r="DMU282" s="1069"/>
      <c r="DMV282" s="1069"/>
      <c r="DMW282" s="1069"/>
      <c r="DMX282" s="1069"/>
      <c r="DMY282" s="1069"/>
      <c r="DMZ282" s="1069"/>
      <c r="DNA282" s="1069"/>
      <c r="DNB282" s="1069"/>
      <c r="DNC282" s="1069"/>
      <c r="DND282" s="1069"/>
      <c r="DNE282" s="1069"/>
      <c r="DNF282" s="1069"/>
      <c r="DNG282" s="1069"/>
      <c r="DNH282" s="1069"/>
      <c r="DNI282" s="1069"/>
      <c r="DNJ282" s="1069"/>
      <c r="DNK282" s="1069"/>
      <c r="DNL282" s="1069"/>
      <c r="DNM282" s="1069"/>
      <c r="DNN282" s="1069"/>
      <c r="DNO282" s="1069"/>
      <c r="DNP282" s="1069"/>
      <c r="DNQ282" s="1069"/>
      <c r="DNR282" s="1069"/>
      <c r="DNS282" s="1069"/>
      <c r="DNT282" s="1069"/>
      <c r="DNU282" s="1069"/>
      <c r="DNV282" s="1069"/>
      <c r="DNW282" s="1069"/>
      <c r="DNX282" s="1069"/>
      <c r="DNY282" s="1069"/>
      <c r="DNZ282" s="1069"/>
      <c r="DOA282" s="1069"/>
      <c r="DOB282" s="1069"/>
      <c r="DOC282" s="1069"/>
      <c r="DOD282" s="1069"/>
      <c r="DOE282" s="1069"/>
      <c r="DOF282" s="1069"/>
      <c r="DOG282" s="1069"/>
      <c r="DOH282" s="1069"/>
      <c r="DOI282" s="1069"/>
      <c r="DOJ282" s="1069"/>
      <c r="DOK282" s="1069"/>
      <c r="DOL282" s="1069"/>
      <c r="DOM282" s="1069"/>
      <c r="DON282" s="1069"/>
      <c r="DOO282" s="1069"/>
      <c r="DOP282" s="1069"/>
      <c r="DOQ282" s="1069"/>
      <c r="DOR282" s="1069"/>
      <c r="DOS282" s="1069"/>
      <c r="DOT282" s="1069"/>
      <c r="DOU282" s="1069"/>
      <c r="DOV282" s="1069"/>
      <c r="DOW282" s="1069"/>
      <c r="DOX282" s="1069"/>
      <c r="DOY282" s="1069"/>
      <c r="DOZ282" s="1069"/>
      <c r="DPA282" s="1069"/>
      <c r="DPB282" s="1069"/>
      <c r="DPC282" s="1069"/>
      <c r="DPD282" s="1069"/>
      <c r="DPE282" s="1069"/>
      <c r="DPF282" s="1069"/>
      <c r="DPG282" s="1069"/>
      <c r="DPH282" s="1069"/>
      <c r="DPI282" s="1069"/>
      <c r="DPJ282" s="1069"/>
      <c r="DPK282" s="1069"/>
      <c r="DPL282" s="1069"/>
      <c r="DPM282" s="1069"/>
      <c r="DPN282" s="1069"/>
      <c r="DPO282" s="1069"/>
      <c r="DPP282" s="1069"/>
      <c r="DPQ282" s="1069"/>
      <c r="DPR282" s="1069"/>
      <c r="DPS282" s="1069"/>
      <c r="DPT282" s="1069"/>
      <c r="DPU282" s="1069"/>
      <c r="DPV282" s="1069"/>
      <c r="DPW282" s="1069"/>
      <c r="DPX282" s="1069"/>
      <c r="DPY282" s="1069"/>
      <c r="DPZ282" s="1069"/>
      <c r="DQA282" s="1069"/>
      <c r="DQB282" s="1069"/>
      <c r="DQC282" s="1069"/>
      <c r="DQD282" s="1069"/>
      <c r="DQE282" s="1069"/>
      <c r="DQF282" s="1069"/>
      <c r="DQG282" s="1069"/>
      <c r="DQH282" s="1069"/>
      <c r="DQI282" s="1069"/>
      <c r="DQJ282" s="1069"/>
      <c r="DQK282" s="1069"/>
      <c r="DQL282" s="1069"/>
      <c r="DQM282" s="1069"/>
      <c r="DQN282" s="1069"/>
      <c r="DQO282" s="1069"/>
      <c r="DQP282" s="1069"/>
      <c r="DQQ282" s="1069"/>
      <c r="DQR282" s="1069"/>
      <c r="DQS282" s="1069"/>
      <c r="DQT282" s="1069"/>
      <c r="DQU282" s="1069"/>
      <c r="DQV282" s="1069"/>
      <c r="DQW282" s="1069"/>
      <c r="DQX282" s="1069"/>
      <c r="DQY282" s="1069"/>
      <c r="DQZ282" s="1069"/>
      <c r="DRA282" s="1069"/>
      <c r="DRB282" s="1069"/>
      <c r="DRC282" s="1069"/>
      <c r="DRD282" s="1069"/>
      <c r="DRE282" s="1069"/>
      <c r="DRF282" s="1069"/>
      <c r="DRG282" s="1069"/>
      <c r="DRH282" s="1069"/>
      <c r="DRI282" s="1069"/>
      <c r="DRJ282" s="1069"/>
      <c r="DRK282" s="1069"/>
      <c r="DRL282" s="1069"/>
      <c r="DRM282" s="1069"/>
      <c r="DRN282" s="1069"/>
      <c r="DRO282" s="1069"/>
      <c r="DRP282" s="1069"/>
      <c r="DRQ282" s="1069"/>
      <c r="DRR282" s="1069"/>
      <c r="DRS282" s="1069"/>
      <c r="DRT282" s="1069"/>
      <c r="DRU282" s="1069"/>
      <c r="DRV282" s="1069"/>
      <c r="DRW282" s="1069"/>
      <c r="DRX282" s="1069"/>
      <c r="DRY282" s="1069"/>
      <c r="DRZ282" s="1069"/>
      <c r="DSA282" s="1069"/>
      <c r="DSB282" s="1069"/>
      <c r="DSC282" s="1069"/>
      <c r="DSD282" s="1069"/>
      <c r="DSE282" s="1069"/>
      <c r="DSF282" s="1069"/>
      <c r="DSG282" s="1069"/>
      <c r="DSH282" s="1069"/>
      <c r="DSI282" s="1069"/>
      <c r="DSJ282" s="1069"/>
      <c r="DSK282" s="1069"/>
      <c r="DSL282" s="1069"/>
      <c r="DSM282" s="1069"/>
      <c r="DSN282" s="1069"/>
      <c r="DSO282" s="1069"/>
      <c r="DSP282" s="1069"/>
      <c r="DSQ282" s="1069"/>
      <c r="DSR282" s="1069"/>
      <c r="DSS282" s="1069"/>
      <c r="DST282" s="1069"/>
      <c r="DSU282" s="1069"/>
      <c r="DSV282" s="1069"/>
      <c r="DSW282" s="1069"/>
      <c r="DSX282" s="1069"/>
      <c r="DSY282" s="1069"/>
      <c r="DSZ282" s="1069"/>
      <c r="DTA282" s="1069"/>
      <c r="DTB282" s="1069"/>
      <c r="DTC282" s="1069"/>
      <c r="DTD282" s="1069"/>
      <c r="DTE282" s="1069"/>
      <c r="DTF282" s="1069"/>
      <c r="DTG282" s="1069"/>
      <c r="DTH282" s="1069"/>
      <c r="DTI282" s="1069"/>
      <c r="DTJ282" s="1069"/>
      <c r="DTK282" s="1069"/>
      <c r="DTL282" s="1069"/>
      <c r="DTM282" s="1069"/>
      <c r="DTN282" s="1069"/>
      <c r="DTO282" s="1069"/>
      <c r="DTP282" s="1069"/>
      <c r="DTQ282" s="1069"/>
      <c r="DTR282" s="1069"/>
      <c r="DTS282" s="1069"/>
      <c r="DTT282" s="1069"/>
      <c r="DTU282" s="1069"/>
      <c r="DTV282" s="1069"/>
      <c r="DTW282" s="1069"/>
      <c r="DTX282" s="1069"/>
      <c r="DTY282" s="1069"/>
      <c r="DTZ282" s="1069"/>
      <c r="DUA282" s="1069"/>
      <c r="DUB282" s="1069"/>
      <c r="DUC282" s="1069"/>
      <c r="DUD282" s="1069"/>
      <c r="DUE282" s="1069"/>
      <c r="DUF282" s="1069"/>
      <c r="DUG282" s="1069"/>
      <c r="DUH282" s="1069"/>
      <c r="DUI282" s="1069"/>
      <c r="DUJ282" s="1069"/>
      <c r="DUK282" s="1069"/>
      <c r="DUL282" s="1069"/>
      <c r="DUM282" s="1069"/>
      <c r="DUN282" s="1069"/>
      <c r="DUO282" s="1069"/>
      <c r="DUP282" s="1069"/>
      <c r="DUQ282" s="1069"/>
      <c r="DUR282" s="1069"/>
      <c r="DUS282" s="1069"/>
      <c r="DUT282" s="1069"/>
      <c r="DUU282" s="1069"/>
      <c r="DUV282" s="1069"/>
      <c r="DUW282" s="1069"/>
      <c r="DUX282" s="1069"/>
      <c r="DUY282" s="1069"/>
      <c r="DUZ282" s="1069"/>
      <c r="DVA282" s="1069"/>
      <c r="DVB282" s="1069"/>
      <c r="DVC282" s="1069"/>
      <c r="DVD282" s="1069"/>
      <c r="DVE282" s="1069"/>
      <c r="DVF282" s="1069"/>
      <c r="DVG282" s="1069"/>
      <c r="DVH282" s="1069"/>
      <c r="DVI282" s="1069"/>
      <c r="DVJ282" s="1069"/>
      <c r="DVK282" s="1069"/>
      <c r="DVL282" s="1069"/>
      <c r="DVM282" s="1069"/>
      <c r="DVN282" s="1069"/>
      <c r="DVO282" s="1069"/>
      <c r="DVP282" s="1069"/>
      <c r="DVQ282" s="1069"/>
      <c r="DVR282" s="1069"/>
      <c r="DVS282" s="1069"/>
      <c r="DVT282" s="1069"/>
      <c r="DVU282" s="1069"/>
      <c r="DVV282" s="1069"/>
      <c r="DVW282" s="1069"/>
      <c r="DVX282" s="1069"/>
      <c r="DVY282" s="1069"/>
      <c r="DVZ282" s="1069"/>
      <c r="DWA282" s="1069"/>
      <c r="DWB282" s="1069"/>
      <c r="DWC282" s="1069"/>
      <c r="DWD282" s="1069"/>
      <c r="DWE282" s="1069"/>
      <c r="DWF282" s="1069"/>
      <c r="DWG282" s="1069"/>
      <c r="DWH282" s="1069"/>
      <c r="DWI282" s="1069"/>
      <c r="DWJ282" s="1069"/>
      <c r="DWK282" s="1069"/>
      <c r="DWL282" s="1069"/>
      <c r="DWM282" s="1069"/>
      <c r="DWN282" s="1069"/>
      <c r="DWO282" s="1069"/>
      <c r="DWP282" s="1069"/>
      <c r="DWQ282" s="1069"/>
      <c r="DWR282" s="1069"/>
      <c r="DWS282" s="1069"/>
      <c r="DWT282" s="1069"/>
      <c r="DWU282" s="1069"/>
      <c r="DWV282" s="1069"/>
      <c r="DWW282" s="1069"/>
      <c r="DWX282" s="1069"/>
      <c r="DWY282" s="1069"/>
      <c r="DWZ282" s="1069"/>
      <c r="DXA282" s="1069"/>
      <c r="DXB282" s="1069"/>
      <c r="DXC282" s="1069"/>
      <c r="DXD282" s="1069"/>
      <c r="DXE282" s="1069"/>
      <c r="DXF282" s="1069"/>
      <c r="DXG282" s="1069"/>
      <c r="DXH282" s="1069"/>
      <c r="DXI282" s="1069"/>
      <c r="DXJ282" s="1069"/>
      <c r="DXK282" s="1069"/>
      <c r="DXL282" s="1069"/>
      <c r="DXM282" s="1069"/>
      <c r="DXN282" s="1069"/>
      <c r="DXO282" s="1069"/>
      <c r="DXP282" s="1069"/>
      <c r="DXQ282" s="1069"/>
      <c r="DXR282" s="1069"/>
      <c r="DXS282" s="1069"/>
      <c r="DXT282" s="1069"/>
      <c r="DXU282" s="1069"/>
      <c r="DXV282" s="1069"/>
      <c r="DXW282" s="1069"/>
      <c r="DXX282" s="1069"/>
      <c r="DXY282" s="1069"/>
      <c r="DXZ282" s="1069"/>
      <c r="DYA282" s="1069"/>
      <c r="DYB282" s="1069"/>
      <c r="DYC282" s="1069"/>
      <c r="DYD282" s="1069"/>
      <c r="DYE282" s="1069"/>
      <c r="DYF282" s="1069"/>
      <c r="DYG282" s="1069"/>
      <c r="DYH282" s="1069"/>
      <c r="DYI282" s="1069"/>
      <c r="DYJ282" s="1069"/>
      <c r="DYK282" s="1069"/>
      <c r="DYL282" s="1069"/>
      <c r="DYM282" s="1069"/>
      <c r="DYN282" s="1069"/>
      <c r="DYO282" s="1069"/>
      <c r="DYP282" s="1069"/>
      <c r="DYQ282" s="1069"/>
      <c r="DYR282" s="1069"/>
      <c r="DYS282" s="1069"/>
      <c r="DYT282" s="1069"/>
      <c r="DYU282" s="1069"/>
      <c r="DYV282" s="1069"/>
      <c r="DYW282" s="1069"/>
      <c r="DYX282" s="1069"/>
      <c r="DYY282" s="1069"/>
      <c r="DYZ282" s="1069"/>
      <c r="DZA282" s="1069"/>
      <c r="DZB282" s="1069"/>
      <c r="DZC282" s="1069"/>
      <c r="DZD282" s="1069"/>
      <c r="DZE282" s="1069"/>
      <c r="DZF282" s="1069"/>
      <c r="DZG282" s="1069"/>
      <c r="DZH282" s="1069"/>
      <c r="DZI282" s="1069"/>
      <c r="DZJ282" s="1069"/>
      <c r="DZK282" s="1069"/>
      <c r="DZL282" s="1069"/>
      <c r="DZM282" s="1069"/>
      <c r="DZN282" s="1069"/>
      <c r="DZO282" s="1069"/>
      <c r="DZP282" s="1069"/>
      <c r="DZQ282" s="1069"/>
      <c r="DZR282" s="1069"/>
      <c r="DZS282" s="1069"/>
      <c r="DZT282" s="1069"/>
      <c r="DZU282" s="1069"/>
      <c r="DZV282" s="1069"/>
      <c r="DZW282" s="1069"/>
      <c r="DZX282" s="1069"/>
      <c r="DZY282" s="1069"/>
      <c r="DZZ282" s="1069"/>
      <c r="EAA282" s="1069"/>
      <c r="EAB282" s="1069"/>
      <c r="EAC282" s="1069"/>
      <c r="EAD282" s="1069"/>
      <c r="EAE282" s="1069"/>
      <c r="EAF282" s="1069"/>
      <c r="EAG282" s="1069"/>
      <c r="EAH282" s="1069"/>
      <c r="EAI282" s="1069"/>
      <c r="EAJ282" s="1069"/>
      <c r="EAK282" s="1069"/>
      <c r="EAL282" s="1069"/>
      <c r="EAM282" s="1069"/>
      <c r="EAN282" s="1069"/>
      <c r="EAO282" s="1069"/>
      <c r="EAP282" s="1069"/>
      <c r="EAQ282" s="1069"/>
      <c r="EAR282" s="1069"/>
      <c r="EAS282" s="1069"/>
      <c r="EAT282" s="1069"/>
      <c r="EAU282" s="1069"/>
      <c r="EAV282" s="1069"/>
      <c r="EAW282" s="1069"/>
      <c r="EAX282" s="1069"/>
      <c r="EAY282" s="1069"/>
      <c r="EAZ282" s="1069"/>
      <c r="EBA282" s="1069"/>
      <c r="EBB282" s="1069"/>
      <c r="EBC282" s="1069"/>
      <c r="EBD282" s="1069"/>
      <c r="EBE282" s="1069"/>
      <c r="EBF282" s="1069"/>
      <c r="EBG282" s="1069"/>
      <c r="EBH282" s="1069"/>
      <c r="EBI282" s="1069"/>
      <c r="EBJ282" s="1069"/>
      <c r="EBK282" s="1069"/>
      <c r="EBL282" s="1069"/>
      <c r="EBM282" s="1069"/>
      <c r="EBN282" s="1069"/>
      <c r="EBO282" s="1069"/>
      <c r="EBP282" s="1069"/>
      <c r="EBQ282" s="1069"/>
      <c r="EBR282" s="1069"/>
      <c r="EBS282" s="1069"/>
      <c r="EBT282" s="1069"/>
      <c r="EBU282" s="1069"/>
      <c r="EBV282" s="1069"/>
      <c r="EBW282" s="1069"/>
      <c r="EBX282" s="1069"/>
      <c r="EBY282" s="1069"/>
      <c r="EBZ282" s="1069"/>
      <c r="ECA282" s="1069"/>
      <c r="ECB282" s="1069"/>
      <c r="ECC282" s="1069"/>
      <c r="ECD282" s="1069"/>
      <c r="ECE282" s="1069"/>
      <c r="ECF282" s="1069"/>
      <c r="ECG282" s="1069"/>
      <c r="ECH282" s="1069"/>
      <c r="ECI282" s="1069"/>
      <c r="ECJ282" s="1069"/>
      <c r="ECK282" s="1069"/>
      <c r="ECL282" s="1069"/>
      <c r="ECM282" s="1069"/>
      <c r="ECN282" s="1069"/>
      <c r="ECO282" s="1069"/>
      <c r="ECP282" s="1069"/>
      <c r="ECQ282" s="1069"/>
      <c r="ECR282" s="1069"/>
      <c r="ECS282" s="1069"/>
      <c r="ECT282" s="1069"/>
      <c r="ECU282" s="1069"/>
      <c r="ECV282" s="1069"/>
      <c r="ECW282" s="1069"/>
      <c r="ECX282" s="1069"/>
      <c r="ECY282" s="1069"/>
      <c r="ECZ282" s="1069"/>
      <c r="EDA282" s="1069"/>
      <c r="EDB282" s="1069"/>
      <c r="EDC282" s="1069"/>
      <c r="EDD282" s="1069"/>
      <c r="EDE282" s="1069"/>
      <c r="EDF282" s="1069"/>
      <c r="EDG282" s="1069"/>
      <c r="EDH282" s="1069"/>
      <c r="EDI282" s="1069"/>
      <c r="EDJ282" s="1069"/>
      <c r="EDK282" s="1069"/>
      <c r="EDL282" s="1069"/>
      <c r="EDM282" s="1069"/>
      <c r="EDN282" s="1069"/>
      <c r="EDO282" s="1069"/>
      <c r="EDP282" s="1069"/>
      <c r="EDQ282" s="1069"/>
      <c r="EDR282" s="1069"/>
      <c r="EDS282" s="1069"/>
      <c r="EDT282" s="1069"/>
      <c r="EDU282" s="1069"/>
      <c r="EDV282" s="1069"/>
      <c r="EDW282" s="1069"/>
      <c r="EDX282" s="1069"/>
      <c r="EDY282" s="1069"/>
      <c r="EDZ282" s="1069"/>
      <c r="EEA282" s="1069"/>
      <c r="EEB282" s="1069"/>
      <c r="EEC282" s="1069"/>
      <c r="EED282" s="1069"/>
      <c r="EEE282" s="1069"/>
      <c r="EEF282" s="1069"/>
      <c r="EEG282" s="1069"/>
      <c r="EEH282" s="1069"/>
      <c r="EEI282" s="1069"/>
      <c r="EEJ282" s="1069"/>
      <c r="EEK282" s="1069"/>
      <c r="EEL282" s="1069"/>
      <c r="EEM282" s="1069"/>
      <c r="EEN282" s="1069"/>
      <c r="EEO282" s="1069"/>
      <c r="EEP282" s="1069"/>
      <c r="EEQ282" s="1069"/>
      <c r="EER282" s="1069"/>
      <c r="EES282" s="1069"/>
      <c r="EET282" s="1069"/>
      <c r="EEU282" s="1069"/>
      <c r="EEV282" s="1069"/>
      <c r="EEW282" s="1069"/>
      <c r="EEX282" s="1069"/>
      <c r="EEY282" s="1069"/>
      <c r="EEZ282" s="1069"/>
      <c r="EFA282" s="1069"/>
      <c r="EFB282" s="1069"/>
      <c r="EFC282" s="1069"/>
      <c r="EFD282" s="1069"/>
      <c r="EFE282" s="1069"/>
      <c r="EFF282" s="1069"/>
      <c r="EFG282" s="1069"/>
      <c r="EFH282" s="1069"/>
      <c r="EFI282" s="1069"/>
      <c r="EFJ282" s="1069"/>
      <c r="EFK282" s="1069"/>
      <c r="EFL282" s="1069"/>
      <c r="EFM282" s="1069"/>
      <c r="EFN282" s="1069"/>
      <c r="EFO282" s="1069"/>
      <c r="EFP282" s="1069"/>
      <c r="EFQ282" s="1069"/>
      <c r="EFR282" s="1069"/>
      <c r="EFS282" s="1069"/>
      <c r="EFT282" s="1069"/>
      <c r="EFU282" s="1069"/>
      <c r="EFV282" s="1069"/>
      <c r="EFW282" s="1069"/>
      <c r="EFX282" s="1069"/>
      <c r="EFY282" s="1069"/>
      <c r="EFZ282" s="1069"/>
      <c r="EGA282" s="1069"/>
      <c r="EGB282" s="1069"/>
      <c r="EGC282" s="1069"/>
      <c r="EGD282" s="1069"/>
      <c r="EGE282" s="1069"/>
      <c r="EGF282" s="1069"/>
      <c r="EGG282" s="1069"/>
      <c r="EGH282" s="1069"/>
      <c r="EGI282" s="1069"/>
      <c r="EGJ282" s="1069"/>
      <c r="EGK282" s="1069"/>
      <c r="EGL282" s="1069"/>
      <c r="EGM282" s="1069"/>
      <c r="EGN282" s="1069"/>
      <c r="EGO282" s="1069"/>
      <c r="EGP282" s="1069"/>
      <c r="EGQ282" s="1069"/>
      <c r="EGR282" s="1069"/>
      <c r="EGS282" s="1069"/>
      <c r="EGT282" s="1069"/>
      <c r="EGU282" s="1069"/>
      <c r="EGV282" s="1069"/>
      <c r="EGW282" s="1069"/>
      <c r="EGX282" s="1069"/>
      <c r="EGY282" s="1069"/>
      <c r="EGZ282" s="1069"/>
      <c r="EHA282" s="1069"/>
      <c r="EHB282" s="1069"/>
      <c r="EHC282" s="1069"/>
      <c r="EHD282" s="1069"/>
      <c r="EHE282" s="1069"/>
      <c r="EHF282" s="1069"/>
      <c r="EHG282" s="1069"/>
      <c r="EHH282" s="1069"/>
      <c r="EHI282" s="1069"/>
      <c r="EHJ282" s="1069"/>
      <c r="EHK282" s="1069"/>
      <c r="EHL282" s="1069"/>
      <c r="EHM282" s="1069"/>
      <c r="EHN282" s="1069"/>
      <c r="EHO282" s="1069"/>
      <c r="EHP282" s="1069"/>
      <c r="EHQ282" s="1069"/>
      <c r="EHR282" s="1069"/>
      <c r="EHS282" s="1069"/>
      <c r="EHT282" s="1069"/>
      <c r="EHU282" s="1069"/>
      <c r="EHV282" s="1069"/>
      <c r="EHW282" s="1069"/>
      <c r="EHX282" s="1069"/>
      <c r="EHY282" s="1069"/>
      <c r="EHZ282" s="1069"/>
      <c r="EIA282" s="1069"/>
      <c r="EIB282" s="1069"/>
      <c r="EIC282" s="1069"/>
      <c r="EID282" s="1069"/>
      <c r="EIE282" s="1069"/>
      <c r="EIF282" s="1069"/>
      <c r="EIG282" s="1069"/>
      <c r="EIH282" s="1069"/>
      <c r="EII282" s="1069"/>
      <c r="EIJ282" s="1069"/>
      <c r="EIK282" s="1069"/>
      <c r="EIL282" s="1069"/>
      <c r="EIM282" s="1069"/>
      <c r="EIN282" s="1069"/>
      <c r="EIO282" s="1069"/>
      <c r="EIP282" s="1069"/>
      <c r="EIQ282" s="1069"/>
      <c r="EIR282" s="1069"/>
      <c r="EIS282" s="1069"/>
      <c r="EIT282" s="1069"/>
      <c r="EIU282" s="1069"/>
      <c r="EIV282" s="1069"/>
      <c r="EIW282" s="1069"/>
      <c r="EIX282" s="1069"/>
      <c r="EIY282" s="1069"/>
      <c r="EIZ282" s="1069"/>
      <c r="EJA282" s="1069"/>
      <c r="EJB282" s="1069"/>
      <c r="EJC282" s="1069"/>
      <c r="EJD282" s="1069"/>
      <c r="EJE282" s="1069"/>
      <c r="EJF282" s="1069"/>
      <c r="EJG282" s="1069"/>
      <c r="EJH282" s="1069"/>
      <c r="EJI282" s="1069"/>
      <c r="EJJ282" s="1069"/>
      <c r="EJK282" s="1069"/>
      <c r="EJL282" s="1069"/>
      <c r="EJM282" s="1069"/>
      <c r="EJN282" s="1069"/>
      <c r="EJO282" s="1069"/>
      <c r="EJP282" s="1069"/>
      <c r="EJQ282" s="1069"/>
      <c r="EJR282" s="1069"/>
      <c r="EJS282" s="1069"/>
      <c r="EJT282" s="1069"/>
      <c r="EJU282" s="1069"/>
      <c r="EJV282" s="1069"/>
      <c r="EJW282" s="1069"/>
      <c r="EJX282" s="1069"/>
      <c r="EJY282" s="1069"/>
      <c r="EJZ282" s="1069"/>
      <c r="EKA282" s="1069"/>
      <c r="EKB282" s="1069"/>
      <c r="EKC282" s="1069"/>
      <c r="EKD282" s="1069"/>
      <c r="EKE282" s="1069"/>
      <c r="EKF282" s="1069"/>
      <c r="EKG282" s="1069"/>
      <c r="EKH282" s="1069"/>
      <c r="EKI282" s="1069"/>
      <c r="EKJ282" s="1069"/>
      <c r="EKK282" s="1069"/>
      <c r="EKL282" s="1069"/>
      <c r="EKM282" s="1069"/>
      <c r="EKN282" s="1069"/>
      <c r="EKO282" s="1069"/>
      <c r="EKP282" s="1069"/>
      <c r="EKQ282" s="1069"/>
      <c r="EKR282" s="1069"/>
      <c r="EKS282" s="1069"/>
      <c r="EKT282" s="1069"/>
      <c r="EKU282" s="1069"/>
      <c r="EKV282" s="1069"/>
      <c r="EKW282" s="1069"/>
      <c r="EKX282" s="1069"/>
      <c r="EKY282" s="1069"/>
      <c r="EKZ282" s="1069"/>
      <c r="ELA282" s="1069"/>
      <c r="ELB282" s="1069"/>
      <c r="ELC282" s="1069"/>
      <c r="ELD282" s="1069"/>
      <c r="ELE282" s="1069"/>
      <c r="ELF282" s="1069"/>
      <c r="ELG282" s="1069"/>
      <c r="ELH282" s="1069"/>
      <c r="ELI282" s="1069"/>
      <c r="ELJ282" s="1069"/>
      <c r="ELK282" s="1069"/>
      <c r="ELL282" s="1069"/>
      <c r="ELM282" s="1069"/>
      <c r="ELN282" s="1069"/>
      <c r="ELO282" s="1069"/>
      <c r="ELP282" s="1069"/>
      <c r="ELQ282" s="1069"/>
      <c r="ELR282" s="1069"/>
      <c r="ELS282" s="1069"/>
      <c r="ELT282" s="1069"/>
      <c r="ELU282" s="1069"/>
      <c r="ELV282" s="1069"/>
      <c r="ELW282" s="1069"/>
      <c r="ELX282" s="1069"/>
      <c r="ELY282" s="1069"/>
      <c r="ELZ282" s="1069"/>
      <c r="EMA282" s="1069"/>
      <c r="EMB282" s="1069"/>
      <c r="EMC282" s="1069"/>
      <c r="EMD282" s="1069"/>
      <c r="EME282" s="1069"/>
      <c r="EMF282" s="1069"/>
      <c r="EMG282" s="1069"/>
      <c r="EMH282" s="1069"/>
      <c r="EMI282" s="1069"/>
      <c r="EMJ282" s="1069"/>
      <c r="EMK282" s="1069"/>
      <c r="EML282" s="1069"/>
      <c r="EMM282" s="1069"/>
      <c r="EMN282" s="1069"/>
      <c r="EMO282" s="1069"/>
      <c r="EMP282" s="1069"/>
      <c r="EMQ282" s="1069"/>
      <c r="EMR282" s="1069"/>
      <c r="EMS282" s="1069"/>
      <c r="EMT282" s="1069"/>
      <c r="EMU282" s="1069"/>
      <c r="EMV282" s="1069"/>
      <c r="EMW282" s="1069"/>
      <c r="EMX282" s="1069"/>
      <c r="EMY282" s="1069"/>
      <c r="EMZ282" s="1069"/>
      <c r="ENA282" s="1069"/>
      <c r="ENB282" s="1069"/>
      <c r="ENC282" s="1069"/>
      <c r="END282" s="1069"/>
      <c r="ENE282" s="1069"/>
      <c r="ENF282" s="1069"/>
      <c r="ENG282" s="1069"/>
      <c r="ENH282" s="1069"/>
      <c r="ENI282" s="1069"/>
      <c r="ENJ282" s="1069"/>
      <c r="ENK282" s="1069"/>
      <c r="ENL282" s="1069"/>
      <c r="ENM282" s="1069"/>
      <c r="ENN282" s="1069"/>
      <c r="ENO282" s="1069"/>
      <c r="ENP282" s="1069"/>
      <c r="ENQ282" s="1069"/>
      <c r="ENR282" s="1069"/>
      <c r="ENS282" s="1069"/>
      <c r="ENT282" s="1069"/>
      <c r="ENU282" s="1069"/>
      <c r="ENV282" s="1069"/>
      <c r="ENW282" s="1069"/>
      <c r="ENX282" s="1069"/>
      <c r="ENY282" s="1069"/>
      <c r="ENZ282" s="1069"/>
      <c r="EOA282" s="1069"/>
      <c r="EOB282" s="1069"/>
      <c r="EOC282" s="1069"/>
      <c r="EOD282" s="1069"/>
      <c r="EOE282" s="1069"/>
      <c r="EOF282" s="1069"/>
      <c r="EOG282" s="1069"/>
      <c r="EOH282" s="1069"/>
      <c r="EOI282" s="1069"/>
      <c r="EOJ282" s="1069"/>
      <c r="EOK282" s="1069"/>
      <c r="EOL282" s="1069"/>
      <c r="EOM282" s="1069"/>
      <c r="EON282" s="1069"/>
      <c r="EOO282" s="1069"/>
      <c r="EOP282" s="1069"/>
      <c r="EOQ282" s="1069"/>
      <c r="EOR282" s="1069"/>
      <c r="EOS282" s="1069"/>
      <c r="EOT282" s="1069"/>
      <c r="EOU282" s="1069"/>
      <c r="EOV282" s="1069"/>
      <c r="EOW282" s="1069"/>
      <c r="EOX282" s="1069"/>
      <c r="EOY282" s="1069"/>
      <c r="EOZ282" s="1069"/>
      <c r="EPA282" s="1069"/>
      <c r="EPB282" s="1069"/>
      <c r="EPC282" s="1069"/>
      <c r="EPD282" s="1069"/>
      <c r="EPE282" s="1069"/>
      <c r="EPF282" s="1069"/>
      <c r="EPG282" s="1069"/>
      <c r="EPH282" s="1069"/>
      <c r="EPI282" s="1069"/>
      <c r="EPJ282" s="1069"/>
      <c r="EPK282" s="1069"/>
      <c r="EPL282" s="1069"/>
      <c r="EPM282" s="1069"/>
      <c r="EPN282" s="1069"/>
      <c r="EPO282" s="1069"/>
      <c r="EPP282" s="1069"/>
      <c r="EPQ282" s="1069"/>
      <c r="EPR282" s="1069"/>
      <c r="EPS282" s="1069"/>
      <c r="EPT282" s="1069"/>
      <c r="EPU282" s="1069"/>
      <c r="EPV282" s="1069"/>
      <c r="EPW282" s="1069"/>
      <c r="EPX282" s="1069"/>
      <c r="EPY282" s="1069"/>
      <c r="EPZ282" s="1069"/>
      <c r="EQA282" s="1069"/>
      <c r="EQB282" s="1069"/>
      <c r="EQC282" s="1069"/>
      <c r="EQD282" s="1069"/>
      <c r="EQE282" s="1069"/>
      <c r="EQF282" s="1069"/>
      <c r="EQG282" s="1069"/>
      <c r="EQH282" s="1069"/>
      <c r="EQI282" s="1069"/>
      <c r="EQJ282" s="1069"/>
      <c r="EQK282" s="1069"/>
      <c r="EQL282" s="1069"/>
      <c r="EQM282" s="1069"/>
      <c r="EQN282" s="1069"/>
      <c r="EQO282" s="1069"/>
      <c r="EQP282" s="1069"/>
      <c r="EQQ282" s="1069"/>
      <c r="EQR282" s="1069"/>
      <c r="EQS282" s="1069"/>
      <c r="EQT282" s="1069"/>
      <c r="EQU282" s="1069"/>
      <c r="EQV282" s="1069"/>
      <c r="EQW282" s="1069"/>
      <c r="EQX282" s="1069"/>
      <c r="EQY282" s="1069"/>
      <c r="EQZ282" s="1069"/>
      <c r="ERA282" s="1069"/>
      <c r="ERB282" s="1069"/>
      <c r="ERC282" s="1069"/>
      <c r="ERD282" s="1069"/>
      <c r="ERE282" s="1069"/>
      <c r="ERF282" s="1069"/>
      <c r="ERG282" s="1069"/>
      <c r="ERH282" s="1069"/>
      <c r="ERI282" s="1069"/>
      <c r="ERJ282" s="1069"/>
      <c r="ERK282" s="1069"/>
      <c r="ERL282" s="1069"/>
      <c r="ERM282" s="1069"/>
      <c r="ERN282" s="1069"/>
      <c r="ERO282" s="1069"/>
      <c r="ERP282" s="1069"/>
      <c r="ERQ282" s="1069"/>
      <c r="ERR282" s="1069"/>
      <c r="ERS282" s="1069"/>
      <c r="ERT282" s="1069"/>
      <c r="ERU282" s="1069"/>
      <c r="ERV282" s="1069"/>
      <c r="ERW282" s="1069"/>
      <c r="ERX282" s="1069"/>
      <c r="ERY282" s="1069"/>
      <c r="ERZ282" s="1069"/>
      <c r="ESA282" s="1069"/>
      <c r="ESB282" s="1069"/>
      <c r="ESC282" s="1069"/>
      <c r="ESD282" s="1069"/>
      <c r="ESE282" s="1069"/>
      <c r="ESF282" s="1069"/>
      <c r="ESG282" s="1069"/>
      <c r="ESH282" s="1069"/>
      <c r="ESI282" s="1069"/>
      <c r="ESJ282" s="1069"/>
      <c r="ESK282" s="1069"/>
      <c r="ESL282" s="1069"/>
      <c r="ESM282" s="1069"/>
      <c r="ESN282" s="1069"/>
      <c r="ESO282" s="1069"/>
      <c r="ESP282" s="1069"/>
      <c r="ESQ282" s="1069"/>
      <c r="ESR282" s="1069"/>
      <c r="ESS282" s="1069"/>
      <c r="EST282" s="1069"/>
      <c r="ESU282" s="1069"/>
      <c r="ESV282" s="1069"/>
      <c r="ESW282" s="1069"/>
      <c r="ESX282" s="1069"/>
      <c r="ESY282" s="1069"/>
      <c r="ESZ282" s="1069"/>
      <c r="ETA282" s="1069"/>
      <c r="ETB282" s="1069"/>
      <c r="ETC282" s="1069"/>
      <c r="ETD282" s="1069"/>
      <c r="ETE282" s="1069"/>
      <c r="ETF282" s="1069"/>
      <c r="ETG282" s="1069"/>
      <c r="ETH282" s="1069"/>
      <c r="ETI282" s="1069"/>
      <c r="ETJ282" s="1069"/>
      <c r="ETK282" s="1069"/>
      <c r="ETL282" s="1069"/>
      <c r="ETM282" s="1069"/>
      <c r="ETN282" s="1069"/>
      <c r="ETO282" s="1069"/>
      <c r="ETP282" s="1069"/>
      <c r="ETQ282" s="1069"/>
      <c r="ETR282" s="1069"/>
      <c r="ETS282" s="1069"/>
      <c r="ETT282" s="1069"/>
      <c r="ETU282" s="1069"/>
      <c r="ETV282" s="1069"/>
      <c r="ETW282" s="1069"/>
      <c r="ETX282" s="1069"/>
      <c r="ETY282" s="1069"/>
      <c r="ETZ282" s="1069"/>
      <c r="EUA282" s="1069"/>
      <c r="EUB282" s="1069"/>
      <c r="EUC282" s="1069"/>
      <c r="EUD282" s="1069"/>
      <c r="EUE282" s="1069"/>
      <c r="EUF282" s="1069"/>
      <c r="EUG282" s="1069"/>
      <c r="EUH282" s="1069"/>
      <c r="EUI282" s="1069"/>
      <c r="EUJ282" s="1069"/>
      <c r="EUK282" s="1069"/>
      <c r="EUL282" s="1069"/>
      <c r="EUM282" s="1069"/>
      <c r="EUN282" s="1069"/>
      <c r="EUO282" s="1069"/>
      <c r="EUP282" s="1069"/>
      <c r="EUQ282" s="1069"/>
      <c r="EUR282" s="1069"/>
      <c r="EUS282" s="1069"/>
      <c r="EUT282" s="1069"/>
      <c r="EUU282" s="1069"/>
      <c r="EUV282" s="1069"/>
      <c r="EUW282" s="1069"/>
      <c r="EUX282" s="1069"/>
      <c r="EUY282" s="1069"/>
      <c r="EUZ282" s="1069"/>
      <c r="EVA282" s="1069"/>
      <c r="EVB282" s="1069"/>
      <c r="EVC282" s="1069"/>
      <c r="EVD282" s="1069"/>
      <c r="EVE282" s="1069"/>
      <c r="EVF282" s="1069"/>
      <c r="EVG282" s="1069"/>
      <c r="EVH282" s="1069"/>
      <c r="EVI282" s="1069"/>
      <c r="EVJ282" s="1069"/>
      <c r="EVK282" s="1069"/>
      <c r="EVL282" s="1069"/>
      <c r="EVM282" s="1069"/>
      <c r="EVN282" s="1069"/>
      <c r="EVO282" s="1069"/>
      <c r="EVP282" s="1069"/>
      <c r="EVQ282" s="1069"/>
      <c r="EVR282" s="1069"/>
      <c r="EVS282" s="1069"/>
      <c r="EVT282" s="1069"/>
      <c r="EVU282" s="1069"/>
      <c r="EVV282" s="1069"/>
      <c r="EVW282" s="1069"/>
      <c r="EVX282" s="1069"/>
      <c r="EVY282" s="1069"/>
      <c r="EVZ282" s="1069"/>
      <c r="EWA282" s="1069"/>
      <c r="EWB282" s="1069"/>
      <c r="EWC282" s="1069"/>
      <c r="EWD282" s="1069"/>
      <c r="EWE282" s="1069"/>
      <c r="EWF282" s="1069"/>
      <c r="EWG282" s="1069"/>
      <c r="EWH282" s="1069"/>
      <c r="EWI282" s="1069"/>
      <c r="EWJ282" s="1069"/>
      <c r="EWK282" s="1069"/>
      <c r="EWL282" s="1069"/>
      <c r="EWM282" s="1069"/>
      <c r="EWN282" s="1069"/>
      <c r="EWO282" s="1069"/>
      <c r="EWP282" s="1069"/>
      <c r="EWQ282" s="1069"/>
      <c r="EWR282" s="1069"/>
      <c r="EWS282" s="1069"/>
      <c r="EWT282" s="1069"/>
      <c r="EWU282" s="1069"/>
      <c r="EWV282" s="1069"/>
      <c r="EWW282" s="1069"/>
      <c r="EWX282" s="1069"/>
      <c r="EWY282" s="1069"/>
      <c r="EWZ282" s="1069"/>
      <c r="EXA282" s="1069"/>
      <c r="EXB282" s="1069"/>
      <c r="EXC282" s="1069"/>
      <c r="EXD282" s="1069"/>
      <c r="EXE282" s="1069"/>
      <c r="EXF282" s="1069"/>
      <c r="EXG282" s="1069"/>
      <c r="EXH282" s="1069"/>
      <c r="EXI282" s="1069"/>
      <c r="EXJ282" s="1069"/>
      <c r="EXK282" s="1069"/>
      <c r="EXL282" s="1069"/>
      <c r="EXM282" s="1069"/>
      <c r="EXN282" s="1069"/>
      <c r="EXO282" s="1069"/>
      <c r="EXP282" s="1069"/>
      <c r="EXQ282" s="1069"/>
      <c r="EXR282" s="1069"/>
      <c r="EXS282" s="1069"/>
      <c r="EXT282" s="1069"/>
      <c r="EXU282" s="1069"/>
      <c r="EXV282" s="1069"/>
      <c r="EXW282" s="1069"/>
      <c r="EXX282" s="1069"/>
      <c r="EXY282" s="1069"/>
      <c r="EXZ282" s="1069"/>
      <c r="EYA282" s="1069"/>
      <c r="EYB282" s="1069"/>
      <c r="EYC282" s="1069"/>
      <c r="EYD282" s="1069"/>
      <c r="EYE282" s="1069"/>
      <c r="EYF282" s="1069"/>
      <c r="EYG282" s="1069"/>
      <c r="EYH282" s="1069"/>
      <c r="EYI282" s="1069"/>
      <c r="EYJ282" s="1069"/>
      <c r="EYK282" s="1069"/>
      <c r="EYL282" s="1069"/>
      <c r="EYM282" s="1069"/>
      <c r="EYN282" s="1069"/>
      <c r="EYO282" s="1069"/>
      <c r="EYP282" s="1069"/>
      <c r="EYQ282" s="1069"/>
      <c r="EYR282" s="1069"/>
      <c r="EYS282" s="1069"/>
      <c r="EYT282" s="1069"/>
      <c r="EYU282" s="1069"/>
      <c r="EYV282" s="1069"/>
      <c r="EYW282" s="1069"/>
      <c r="EYX282" s="1069"/>
      <c r="EYY282" s="1069"/>
      <c r="EYZ282" s="1069"/>
      <c r="EZA282" s="1069"/>
      <c r="EZB282" s="1069"/>
      <c r="EZC282" s="1069"/>
      <c r="EZD282" s="1069"/>
      <c r="EZE282" s="1069"/>
      <c r="EZF282" s="1069"/>
      <c r="EZG282" s="1069"/>
      <c r="EZH282" s="1069"/>
      <c r="EZI282" s="1069"/>
      <c r="EZJ282" s="1069"/>
      <c r="EZK282" s="1069"/>
      <c r="EZL282" s="1069"/>
      <c r="EZM282" s="1069"/>
      <c r="EZN282" s="1069"/>
      <c r="EZO282" s="1069"/>
      <c r="EZP282" s="1069"/>
      <c r="EZQ282" s="1069"/>
      <c r="EZR282" s="1069"/>
      <c r="EZS282" s="1069"/>
      <c r="EZT282" s="1069"/>
      <c r="EZU282" s="1069"/>
      <c r="EZV282" s="1069"/>
      <c r="EZW282" s="1069"/>
      <c r="EZX282" s="1069"/>
      <c r="EZY282" s="1069"/>
      <c r="EZZ282" s="1069"/>
      <c r="FAA282" s="1069"/>
      <c r="FAB282" s="1069"/>
      <c r="FAC282" s="1069"/>
      <c r="FAD282" s="1069"/>
      <c r="FAE282" s="1069"/>
      <c r="FAF282" s="1069"/>
      <c r="FAG282" s="1069"/>
      <c r="FAH282" s="1069"/>
      <c r="FAI282" s="1069"/>
      <c r="FAJ282" s="1069"/>
      <c r="FAK282" s="1069"/>
      <c r="FAL282" s="1069"/>
      <c r="FAM282" s="1069"/>
      <c r="FAN282" s="1069"/>
      <c r="FAO282" s="1069"/>
      <c r="FAP282" s="1069"/>
      <c r="FAQ282" s="1069"/>
      <c r="FAR282" s="1069"/>
      <c r="FAS282" s="1069"/>
      <c r="FAT282" s="1069"/>
      <c r="FAU282" s="1069"/>
      <c r="FAV282" s="1069"/>
      <c r="FAW282" s="1069"/>
      <c r="FAX282" s="1069"/>
      <c r="FAY282" s="1069"/>
      <c r="FAZ282" s="1069"/>
      <c r="FBA282" s="1069"/>
      <c r="FBB282" s="1069"/>
      <c r="FBC282" s="1069"/>
      <c r="FBD282" s="1069"/>
      <c r="FBE282" s="1069"/>
      <c r="FBF282" s="1069"/>
      <c r="FBG282" s="1069"/>
      <c r="FBH282" s="1069"/>
      <c r="FBI282" s="1069"/>
      <c r="FBJ282" s="1069"/>
      <c r="FBK282" s="1069"/>
      <c r="FBL282" s="1069"/>
      <c r="FBM282" s="1069"/>
      <c r="FBN282" s="1069"/>
      <c r="FBO282" s="1069"/>
      <c r="FBP282" s="1069"/>
      <c r="FBQ282" s="1069"/>
      <c r="FBR282" s="1069"/>
      <c r="FBS282" s="1069"/>
      <c r="FBT282" s="1069"/>
      <c r="FBU282" s="1069"/>
      <c r="FBV282" s="1069"/>
      <c r="FBW282" s="1069"/>
      <c r="FBX282" s="1069"/>
      <c r="FBY282" s="1069"/>
      <c r="FBZ282" s="1069"/>
      <c r="FCA282" s="1069"/>
      <c r="FCB282" s="1069"/>
      <c r="FCC282" s="1069"/>
      <c r="FCD282" s="1069"/>
      <c r="FCE282" s="1069"/>
      <c r="FCF282" s="1069"/>
      <c r="FCG282" s="1069"/>
      <c r="FCH282" s="1069"/>
      <c r="FCI282" s="1069"/>
      <c r="FCJ282" s="1069"/>
      <c r="FCK282" s="1069"/>
      <c r="FCL282" s="1069"/>
      <c r="FCM282" s="1069"/>
      <c r="FCN282" s="1069"/>
      <c r="FCO282" s="1069"/>
      <c r="FCP282" s="1069"/>
      <c r="FCQ282" s="1069"/>
      <c r="FCR282" s="1069"/>
      <c r="FCS282" s="1069"/>
      <c r="FCT282" s="1069"/>
      <c r="FCU282" s="1069"/>
      <c r="FCV282" s="1069"/>
      <c r="FCW282" s="1069"/>
      <c r="FCX282" s="1069"/>
      <c r="FCY282" s="1069"/>
      <c r="FCZ282" s="1069"/>
      <c r="FDA282" s="1069"/>
      <c r="FDB282" s="1069"/>
      <c r="FDC282" s="1069"/>
      <c r="FDD282" s="1069"/>
      <c r="FDE282" s="1069"/>
      <c r="FDF282" s="1069"/>
      <c r="FDG282" s="1069"/>
      <c r="FDH282" s="1069"/>
      <c r="FDI282" s="1069"/>
      <c r="FDJ282" s="1069"/>
      <c r="FDK282" s="1069"/>
      <c r="FDL282" s="1069"/>
      <c r="FDM282" s="1069"/>
      <c r="FDN282" s="1069"/>
      <c r="FDO282" s="1069"/>
      <c r="FDP282" s="1069"/>
      <c r="FDQ282" s="1069"/>
      <c r="FDR282" s="1069"/>
      <c r="FDS282" s="1069"/>
      <c r="FDT282" s="1069"/>
      <c r="FDU282" s="1069"/>
      <c r="FDV282" s="1069"/>
      <c r="FDW282" s="1069"/>
      <c r="FDX282" s="1069"/>
      <c r="FDY282" s="1069"/>
      <c r="FDZ282" s="1069"/>
      <c r="FEA282" s="1069"/>
      <c r="FEB282" s="1069"/>
      <c r="FEC282" s="1069"/>
      <c r="FED282" s="1069"/>
      <c r="FEE282" s="1069"/>
      <c r="FEF282" s="1069"/>
      <c r="FEG282" s="1069"/>
      <c r="FEH282" s="1069"/>
      <c r="FEI282" s="1069"/>
      <c r="FEJ282" s="1069"/>
      <c r="FEK282" s="1069"/>
      <c r="FEL282" s="1069"/>
      <c r="FEM282" s="1069"/>
      <c r="FEN282" s="1069"/>
      <c r="FEO282" s="1069"/>
      <c r="FEP282" s="1069"/>
      <c r="FEQ282" s="1069"/>
      <c r="FER282" s="1069"/>
      <c r="FES282" s="1069"/>
      <c r="FET282" s="1069"/>
      <c r="FEU282" s="1069"/>
      <c r="FEV282" s="1069"/>
      <c r="FEW282" s="1069"/>
      <c r="FEX282" s="1069"/>
      <c r="FEY282" s="1069"/>
      <c r="FEZ282" s="1069"/>
      <c r="FFA282" s="1069"/>
      <c r="FFB282" s="1069"/>
      <c r="FFC282" s="1069"/>
      <c r="FFD282" s="1069"/>
      <c r="FFE282" s="1069"/>
      <c r="FFF282" s="1069"/>
      <c r="FFG282" s="1069"/>
      <c r="FFH282" s="1069"/>
      <c r="FFI282" s="1069"/>
      <c r="FFJ282" s="1069"/>
      <c r="FFK282" s="1069"/>
      <c r="FFL282" s="1069"/>
      <c r="FFM282" s="1069"/>
      <c r="FFN282" s="1069"/>
      <c r="FFO282" s="1069"/>
      <c r="FFP282" s="1069"/>
      <c r="FFQ282" s="1069"/>
      <c r="FFR282" s="1069"/>
      <c r="FFS282" s="1069"/>
      <c r="FFT282" s="1069"/>
      <c r="FFU282" s="1069"/>
      <c r="FFV282" s="1069"/>
      <c r="FFW282" s="1069"/>
      <c r="FFX282" s="1069"/>
      <c r="FFY282" s="1069"/>
      <c r="FFZ282" s="1069"/>
      <c r="FGA282" s="1069"/>
      <c r="FGB282" s="1069"/>
      <c r="FGC282" s="1069"/>
      <c r="FGD282" s="1069"/>
      <c r="FGE282" s="1069"/>
      <c r="FGF282" s="1069"/>
      <c r="FGG282" s="1069"/>
      <c r="FGH282" s="1069"/>
      <c r="FGI282" s="1069"/>
      <c r="FGJ282" s="1069"/>
      <c r="FGK282" s="1069"/>
      <c r="FGL282" s="1069"/>
      <c r="FGM282" s="1069"/>
      <c r="FGN282" s="1069"/>
      <c r="FGO282" s="1069"/>
      <c r="FGP282" s="1069"/>
      <c r="FGQ282" s="1069"/>
      <c r="FGR282" s="1069"/>
      <c r="FGS282" s="1069"/>
      <c r="FGT282" s="1069"/>
      <c r="FGU282" s="1069"/>
      <c r="FGV282" s="1069"/>
      <c r="FGW282" s="1069"/>
      <c r="FGX282" s="1069"/>
      <c r="FGY282" s="1069"/>
      <c r="FGZ282" s="1069"/>
      <c r="FHA282" s="1069"/>
      <c r="FHB282" s="1069"/>
      <c r="FHC282" s="1069"/>
      <c r="FHD282" s="1069"/>
      <c r="FHE282" s="1069"/>
      <c r="FHF282" s="1069"/>
      <c r="FHG282" s="1069"/>
      <c r="FHH282" s="1069"/>
      <c r="FHI282" s="1069"/>
      <c r="FHJ282" s="1069"/>
      <c r="FHK282" s="1069"/>
      <c r="FHL282" s="1069"/>
      <c r="FHM282" s="1069"/>
      <c r="FHN282" s="1069"/>
      <c r="FHO282" s="1069"/>
      <c r="FHP282" s="1069"/>
      <c r="FHQ282" s="1069"/>
      <c r="FHR282" s="1069"/>
      <c r="FHS282" s="1069"/>
      <c r="FHT282" s="1069"/>
      <c r="FHU282" s="1069"/>
      <c r="FHV282" s="1069"/>
      <c r="FHW282" s="1069"/>
      <c r="FHX282" s="1069"/>
      <c r="FHY282" s="1069"/>
      <c r="FHZ282" s="1069"/>
      <c r="FIA282" s="1069"/>
      <c r="FIB282" s="1069"/>
      <c r="FIC282" s="1069"/>
      <c r="FID282" s="1069"/>
      <c r="FIE282" s="1069"/>
      <c r="FIF282" s="1069"/>
      <c r="FIG282" s="1069"/>
      <c r="FIH282" s="1069"/>
      <c r="FII282" s="1069"/>
      <c r="FIJ282" s="1069"/>
      <c r="FIK282" s="1069"/>
      <c r="FIL282" s="1069"/>
      <c r="FIM282" s="1069"/>
      <c r="FIN282" s="1069"/>
      <c r="FIO282" s="1069"/>
      <c r="FIP282" s="1069"/>
      <c r="FIQ282" s="1069"/>
      <c r="FIR282" s="1069"/>
      <c r="FIS282" s="1069"/>
      <c r="FIT282" s="1069"/>
      <c r="FIU282" s="1069"/>
      <c r="FIV282" s="1069"/>
      <c r="FIW282" s="1069"/>
      <c r="FIX282" s="1069"/>
      <c r="FIY282" s="1069"/>
      <c r="FIZ282" s="1069"/>
      <c r="FJA282" s="1069"/>
      <c r="FJB282" s="1069"/>
      <c r="FJC282" s="1069"/>
      <c r="FJD282" s="1069"/>
      <c r="FJE282" s="1069"/>
      <c r="FJF282" s="1069"/>
      <c r="FJG282" s="1069"/>
      <c r="FJH282" s="1069"/>
      <c r="FJI282" s="1069"/>
      <c r="FJJ282" s="1069"/>
      <c r="FJK282" s="1069"/>
      <c r="FJL282" s="1069"/>
      <c r="FJM282" s="1069"/>
      <c r="FJN282" s="1069"/>
      <c r="FJO282" s="1069"/>
      <c r="FJP282" s="1069"/>
      <c r="FJQ282" s="1069"/>
      <c r="FJR282" s="1069"/>
      <c r="FJS282" s="1069"/>
      <c r="FJT282" s="1069"/>
      <c r="FJU282" s="1069"/>
      <c r="FJV282" s="1069"/>
      <c r="FJW282" s="1069"/>
      <c r="FJX282" s="1069"/>
      <c r="FJY282" s="1069"/>
      <c r="FJZ282" s="1069"/>
      <c r="FKA282" s="1069"/>
      <c r="FKB282" s="1069"/>
      <c r="FKC282" s="1069"/>
      <c r="FKD282" s="1069"/>
      <c r="FKE282" s="1069"/>
      <c r="FKF282" s="1069"/>
      <c r="FKG282" s="1069"/>
      <c r="FKH282" s="1069"/>
      <c r="FKI282" s="1069"/>
      <c r="FKJ282" s="1069"/>
      <c r="FKK282" s="1069"/>
      <c r="FKL282" s="1069"/>
      <c r="FKM282" s="1069"/>
      <c r="FKN282" s="1069"/>
      <c r="FKO282" s="1069"/>
      <c r="FKP282" s="1069"/>
      <c r="FKQ282" s="1069"/>
      <c r="FKR282" s="1069"/>
      <c r="FKS282" s="1069"/>
      <c r="FKT282" s="1069"/>
      <c r="FKU282" s="1069"/>
      <c r="FKV282" s="1069"/>
      <c r="FKW282" s="1069"/>
      <c r="FKX282" s="1069"/>
      <c r="FKY282" s="1069"/>
      <c r="FKZ282" s="1069"/>
      <c r="FLA282" s="1069"/>
      <c r="FLB282" s="1069"/>
      <c r="FLC282" s="1069"/>
      <c r="FLD282" s="1069"/>
      <c r="FLE282" s="1069"/>
      <c r="FLF282" s="1069"/>
      <c r="FLG282" s="1069"/>
      <c r="FLH282" s="1069"/>
      <c r="FLI282" s="1069"/>
      <c r="FLJ282" s="1069"/>
      <c r="FLK282" s="1069"/>
      <c r="FLL282" s="1069"/>
      <c r="FLM282" s="1069"/>
      <c r="FLN282" s="1069"/>
      <c r="FLO282" s="1069"/>
      <c r="FLP282" s="1069"/>
      <c r="FLQ282" s="1069"/>
      <c r="FLR282" s="1069"/>
      <c r="FLS282" s="1069"/>
      <c r="FLT282" s="1069"/>
      <c r="FLU282" s="1069"/>
      <c r="FLV282" s="1069"/>
      <c r="FLW282" s="1069"/>
      <c r="FLX282" s="1069"/>
      <c r="FLY282" s="1069"/>
      <c r="FLZ282" s="1069"/>
      <c r="FMA282" s="1069"/>
      <c r="FMB282" s="1069"/>
      <c r="FMC282" s="1069"/>
      <c r="FMD282" s="1069"/>
      <c r="FME282" s="1069"/>
      <c r="FMF282" s="1069"/>
      <c r="FMG282" s="1069"/>
      <c r="FMH282" s="1069"/>
      <c r="FMI282" s="1069"/>
      <c r="FMJ282" s="1069"/>
      <c r="FMK282" s="1069"/>
      <c r="FML282" s="1069"/>
      <c r="FMM282" s="1069"/>
      <c r="FMN282" s="1069"/>
      <c r="FMO282" s="1069"/>
      <c r="FMP282" s="1069"/>
      <c r="FMQ282" s="1069"/>
      <c r="FMR282" s="1069"/>
      <c r="FMS282" s="1069"/>
      <c r="FMT282" s="1069"/>
      <c r="FMU282" s="1069"/>
      <c r="FMV282" s="1069"/>
      <c r="FMW282" s="1069"/>
      <c r="FMX282" s="1069"/>
      <c r="FMY282" s="1069"/>
      <c r="FMZ282" s="1069"/>
      <c r="FNA282" s="1069"/>
      <c r="FNB282" s="1069"/>
      <c r="FNC282" s="1069"/>
      <c r="FND282" s="1069"/>
      <c r="FNE282" s="1069"/>
      <c r="FNF282" s="1069"/>
      <c r="FNG282" s="1069"/>
      <c r="FNH282" s="1069"/>
      <c r="FNI282" s="1069"/>
      <c r="FNJ282" s="1069"/>
      <c r="FNK282" s="1069"/>
      <c r="FNL282" s="1069"/>
      <c r="FNM282" s="1069"/>
      <c r="FNN282" s="1069"/>
      <c r="FNO282" s="1069"/>
      <c r="FNP282" s="1069"/>
      <c r="FNQ282" s="1069"/>
      <c r="FNR282" s="1069"/>
      <c r="FNS282" s="1069"/>
      <c r="FNT282" s="1069"/>
      <c r="FNU282" s="1069"/>
      <c r="FNV282" s="1069"/>
      <c r="FNW282" s="1069"/>
      <c r="FNX282" s="1069"/>
      <c r="FNY282" s="1069"/>
      <c r="FNZ282" s="1069"/>
      <c r="FOA282" s="1069"/>
      <c r="FOB282" s="1069"/>
      <c r="FOC282" s="1069"/>
      <c r="FOD282" s="1069"/>
      <c r="FOE282" s="1069"/>
      <c r="FOF282" s="1069"/>
      <c r="FOG282" s="1069"/>
      <c r="FOH282" s="1069"/>
      <c r="FOI282" s="1069"/>
      <c r="FOJ282" s="1069"/>
      <c r="FOK282" s="1069"/>
      <c r="FOL282" s="1069"/>
      <c r="FOM282" s="1069"/>
      <c r="FON282" s="1069"/>
      <c r="FOO282" s="1069"/>
      <c r="FOP282" s="1069"/>
      <c r="FOQ282" s="1069"/>
      <c r="FOR282" s="1069"/>
      <c r="FOS282" s="1069"/>
      <c r="FOT282" s="1069"/>
      <c r="FOU282" s="1069"/>
      <c r="FOV282" s="1069"/>
      <c r="FOW282" s="1069"/>
      <c r="FOX282" s="1069"/>
      <c r="FOY282" s="1069"/>
      <c r="FOZ282" s="1069"/>
      <c r="FPA282" s="1069"/>
      <c r="FPB282" s="1069"/>
      <c r="FPC282" s="1069"/>
      <c r="FPD282" s="1069"/>
      <c r="FPE282" s="1069"/>
      <c r="FPF282" s="1069"/>
      <c r="FPG282" s="1069"/>
      <c r="FPH282" s="1069"/>
      <c r="FPI282" s="1069"/>
      <c r="FPJ282" s="1069"/>
      <c r="FPK282" s="1069"/>
      <c r="FPL282" s="1069"/>
      <c r="FPM282" s="1069"/>
      <c r="FPN282" s="1069"/>
      <c r="FPO282" s="1069"/>
      <c r="FPP282" s="1069"/>
      <c r="FPQ282" s="1069"/>
      <c r="FPR282" s="1069"/>
      <c r="FPS282" s="1069"/>
      <c r="FPT282" s="1069"/>
      <c r="FPU282" s="1069"/>
      <c r="FPV282" s="1069"/>
      <c r="FPW282" s="1069"/>
      <c r="FPX282" s="1069"/>
      <c r="FPY282" s="1069"/>
      <c r="FPZ282" s="1069"/>
      <c r="FQA282" s="1069"/>
      <c r="FQB282" s="1069"/>
      <c r="FQC282" s="1069"/>
      <c r="FQD282" s="1069"/>
      <c r="FQE282" s="1069"/>
      <c r="FQF282" s="1069"/>
      <c r="FQG282" s="1069"/>
      <c r="FQH282" s="1069"/>
      <c r="FQI282" s="1069"/>
      <c r="FQJ282" s="1069"/>
      <c r="FQK282" s="1069"/>
      <c r="FQL282" s="1069"/>
      <c r="FQM282" s="1069"/>
      <c r="FQN282" s="1069"/>
      <c r="FQO282" s="1069"/>
      <c r="FQP282" s="1069"/>
      <c r="FQQ282" s="1069"/>
      <c r="FQR282" s="1069"/>
      <c r="FQS282" s="1069"/>
      <c r="FQT282" s="1069"/>
      <c r="FQU282" s="1069"/>
      <c r="FQV282" s="1069"/>
      <c r="FQW282" s="1069"/>
      <c r="FQX282" s="1069"/>
      <c r="FQY282" s="1069"/>
      <c r="FQZ282" s="1069"/>
      <c r="FRA282" s="1069"/>
      <c r="FRB282" s="1069"/>
      <c r="FRC282" s="1069"/>
      <c r="FRD282" s="1069"/>
      <c r="FRE282" s="1069"/>
      <c r="FRF282" s="1069"/>
      <c r="FRG282" s="1069"/>
      <c r="FRH282" s="1069"/>
      <c r="FRI282" s="1069"/>
      <c r="FRJ282" s="1069"/>
      <c r="FRK282" s="1069"/>
      <c r="FRL282" s="1069"/>
      <c r="FRM282" s="1069"/>
      <c r="FRN282" s="1069"/>
      <c r="FRO282" s="1069"/>
      <c r="FRP282" s="1069"/>
      <c r="FRQ282" s="1069"/>
      <c r="FRR282" s="1069"/>
      <c r="FRS282" s="1069"/>
      <c r="FRT282" s="1069"/>
      <c r="FRU282" s="1069"/>
      <c r="FRV282" s="1069"/>
      <c r="FRW282" s="1069"/>
      <c r="FRX282" s="1069"/>
      <c r="FRY282" s="1069"/>
      <c r="FRZ282" s="1069"/>
      <c r="FSA282" s="1069"/>
      <c r="FSB282" s="1069"/>
      <c r="FSC282" s="1069"/>
      <c r="FSD282" s="1069"/>
      <c r="FSE282" s="1069"/>
      <c r="FSF282" s="1069"/>
      <c r="FSG282" s="1069"/>
      <c r="FSH282" s="1069"/>
      <c r="FSI282" s="1069"/>
      <c r="FSJ282" s="1069"/>
      <c r="FSK282" s="1069"/>
      <c r="FSL282" s="1069"/>
      <c r="FSM282" s="1069"/>
      <c r="FSN282" s="1069"/>
      <c r="FSO282" s="1069"/>
      <c r="FSP282" s="1069"/>
      <c r="FSQ282" s="1069"/>
      <c r="FSR282" s="1069"/>
      <c r="FSS282" s="1069"/>
      <c r="FST282" s="1069"/>
      <c r="FSU282" s="1069"/>
      <c r="FSV282" s="1069"/>
      <c r="FSW282" s="1069"/>
      <c r="FSX282" s="1069"/>
      <c r="FSY282" s="1069"/>
      <c r="FSZ282" s="1069"/>
      <c r="FTA282" s="1069"/>
      <c r="FTB282" s="1069"/>
      <c r="FTC282" s="1069"/>
      <c r="FTD282" s="1069"/>
      <c r="FTE282" s="1069"/>
      <c r="FTF282" s="1069"/>
      <c r="FTG282" s="1069"/>
      <c r="FTH282" s="1069"/>
      <c r="FTI282" s="1069"/>
      <c r="FTJ282" s="1069"/>
      <c r="FTK282" s="1069"/>
      <c r="FTL282" s="1069"/>
      <c r="FTM282" s="1069"/>
      <c r="FTN282" s="1069"/>
      <c r="FTO282" s="1069"/>
      <c r="FTP282" s="1069"/>
      <c r="FTQ282" s="1069"/>
      <c r="FTR282" s="1069"/>
      <c r="FTS282" s="1069"/>
      <c r="FTT282" s="1069"/>
      <c r="FTU282" s="1069"/>
      <c r="FTV282" s="1069"/>
      <c r="FTW282" s="1069"/>
      <c r="FTX282" s="1069"/>
      <c r="FTY282" s="1069"/>
      <c r="FTZ282" s="1069"/>
      <c r="FUA282" s="1069"/>
      <c r="FUB282" s="1069"/>
      <c r="FUC282" s="1069"/>
      <c r="FUD282" s="1069"/>
      <c r="FUE282" s="1069"/>
      <c r="FUF282" s="1069"/>
      <c r="FUG282" s="1069"/>
      <c r="FUH282" s="1069"/>
      <c r="FUI282" s="1069"/>
      <c r="FUJ282" s="1069"/>
      <c r="FUK282" s="1069"/>
      <c r="FUL282" s="1069"/>
      <c r="FUM282" s="1069"/>
      <c r="FUN282" s="1069"/>
      <c r="FUO282" s="1069"/>
      <c r="FUP282" s="1069"/>
      <c r="FUQ282" s="1069"/>
      <c r="FUR282" s="1069"/>
      <c r="FUS282" s="1069"/>
      <c r="FUT282" s="1069"/>
      <c r="FUU282" s="1069"/>
      <c r="FUV282" s="1069"/>
      <c r="FUW282" s="1069"/>
      <c r="FUX282" s="1069"/>
      <c r="FUY282" s="1069"/>
      <c r="FUZ282" s="1069"/>
      <c r="FVA282" s="1069"/>
      <c r="FVB282" s="1069"/>
      <c r="FVC282" s="1069"/>
      <c r="FVD282" s="1069"/>
      <c r="FVE282" s="1069"/>
      <c r="FVF282" s="1069"/>
      <c r="FVG282" s="1069"/>
      <c r="FVH282" s="1069"/>
      <c r="FVI282" s="1069"/>
      <c r="FVJ282" s="1069"/>
      <c r="FVK282" s="1069"/>
      <c r="FVL282" s="1069"/>
      <c r="FVM282" s="1069"/>
      <c r="FVN282" s="1069"/>
      <c r="FVO282" s="1069"/>
      <c r="FVP282" s="1069"/>
      <c r="FVQ282" s="1069"/>
      <c r="FVR282" s="1069"/>
      <c r="FVS282" s="1069"/>
      <c r="FVT282" s="1069"/>
      <c r="FVU282" s="1069"/>
      <c r="FVV282" s="1069"/>
      <c r="FVW282" s="1069"/>
      <c r="FVX282" s="1069"/>
      <c r="FVY282" s="1069"/>
      <c r="FVZ282" s="1069"/>
      <c r="FWA282" s="1069"/>
      <c r="FWB282" s="1069"/>
      <c r="FWC282" s="1069"/>
      <c r="FWD282" s="1069"/>
      <c r="FWE282" s="1069"/>
      <c r="FWF282" s="1069"/>
      <c r="FWG282" s="1069"/>
      <c r="FWH282" s="1069"/>
      <c r="FWI282" s="1069"/>
      <c r="FWJ282" s="1069"/>
      <c r="FWK282" s="1069"/>
      <c r="FWL282" s="1069"/>
      <c r="FWM282" s="1069"/>
      <c r="FWN282" s="1069"/>
      <c r="FWO282" s="1069"/>
      <c r="FWP282" s="1069"/>
      <c r="FWQ282" s="1069"/>
      <c r="FWR282" s="1069"/>
      <c r="FWS282" s="1069"/>
      <c r="FWT282" s="1069"/>
      <c r="FWU282" s="1069"/>
      <c r="FWV282" s="1069"/>
      <c r="FWW282" s="1069"/>
      <c r="FWX282" s="1069"/>
      <c r="FWY282" s="1069"/>
      <c r="FWZ282" s="1069"/>
      <c r="FXA282" s="1069"/>
      <c r="FXB282" s="1069"/>
      <c r="FXC282" s="1069"/>
      <c r="FXD282" s="1069"/>
      <c r="FXE282" s="1069"/>
      <c r="FXF282" s="1069"/>
      <c r="FXG282" s="1069"/>
      <c r="FXH282" s="1069"/>
      <c r="FXI282" s="1069"/>
      <c r="FXJ282" s="1069"/>
      <c r="FXK282" s="1069"/>
      <c r="FXL282" s="1069"/>
      <c r="FXM282" s="1069"/>
      <c r="FXN282" s="1069"/>
      <c r="FXO282" s="1069"/>
      <c r="FXP282" s="1069"/>
      <c r="FXQ282" s="1069"/>
      <c r="FXR282" s="1069"/>
      <c r="FXS282" s="1069"/>
      <c r="FXT282" s="1069"/>
      <c r="FXU282" s="1069"/>
      <c r="FXV282" s="1069"/>
      <c r="FXW282" s="1069"/>
      <c r="FXX282" s="1069"/>
      <c r="FXY282" s="1069"/>
      <c r="FXZ282" s="1069"/>
      <c r="FYA282" s="1069"/>
      <c r="FYB282" s="1069"/>
      <c r="FYC282" s="1069"/>
      <c r="FYD282" s="1069"/>
      <c r="FYE282" s="1069"/>
      <c r="FYF282" s="1069"/>
      <c r="FYG282" s="1069"/>
      <c r="FYH282" s="1069"/>
      <c r="FYI282" s="1069"/>
      <c r="FYJ282" s="1069"/>
      <c r="FYK282" s="1069"/>
      <c r="FYL282" s="1069"/>
      <c r="FYM282" s="1069"/>
      <c r="FYN282" s="1069"/>
      <c r="FYO282" s="1069"/>
      <c r="FYP282" s="1069"/>
      <c r="FYQ282" s="1069"/>
      <c r="FYR282" s="1069"/>
      <c r="FYS282" s="1069"/>
      <c r="FYT282" s="1069"/>
      <c r="FYU282" s="1069"/>
      <c r="FYV282" s="1069"/>
      <c r="FYW282" s="1069"/>
      <c r="FYX282" s="1069"/>
      <c r="FYY282" s="1069"/>
      <c r="FYZ282" s="1069"/>
      <c r="FZA282" s="1069"/>
      <c r="FZB282" s="1069"/>
      <c r="FZC282" s="1069"/>
      <c r="FZD282" s="1069"/>
      <c r="FZE282" s="1069"/>
      <c r="FZF282" s="1069"/>
      <c r="FZG282" s="1069"/>
      <c r="FZH282" s="1069"/>
      <c r="FZI282" s="1069"/>
      <c r="FZJ282" s="1069"/>
      <c r="FZK282" s="1069"/>
      <c r="FZL282" s="1069"/>
      <c r="FZM282" s="1069"/>
      <c r="FZN282" s="1069"/>
      <c r="FZO282" s="1069"/>
      <c r="FZP282" s="1069"/>
      <c r="FZQ282" s="1069"/>
      <c r="FZR282" s="1069"/>
      <c r="FZS282" s="1069"/>
      <c r="FZT282" s="1069"/>
      <c r="FZU282" s="1069"/>
      <c r="FZV282" s="1069"/>
      <c r="FZW282" s="1069"/>
      <c r="FZX282" s="1069"/>
      <c r="FZY282" s="1069"/>
      <c r="FZZ282" s="1069"/>
      <c r="GAA282" s="1069"/>
      <c r="GAB282" s="1069"/>
      <c r="GAC282" s="1069"/>
      <c r="GAD282" s="1069"/>
      <c r="GAE282" s="1069"/>
      <c r="GAF282" s="1069"/>
      <c r="GAG282" s="1069"/>
      <c r="GAH282" s="1069"/>
      <c r="GAI282" s="1069"/>
      <c r="GAJ282" s="1069"/>
      <c r="GAK282" s="1069"/>
      <c r="GAL282" s="1069"/>
      <c r="GAM282" s="1069"/>
      <c r="GAN282" s="1069"/>
      <c r="GAO282" s="1069"/>
      <c r="GAP282" s="1069"/>
      <c r="GAQ282" s="1069"/>
      <c r="GAR282" s="1069"/>
      <c r="GAS282" s="1069"/>
      <c r="GAT282" s="1069"/>
      <c r="GAU282" s="1069"/>
      <c r="GAV282" s="1069"/>
      <c r="GAW282" s="1069"/>
      <c r="GAX282" s="1069"/>
      <c r="GAY282" s="1069"/>
      <c r="GAZ282" s="1069"/>
      <c r="GBA282" s="1069"/>
      <c r="GBB282" s="1069"/>
      <c r="GBC282" s="1069"/>
      <c r="GBD282" s="1069"/>
      <c r="GBE282" s="1069"/>
      <c r="GBF282" s="1069"/>
      <c r="GBG282" s="1069"/>
      <c r="GBH282" s="1069"/>
      <c r="GBI282" s="1069"/>
      <c r="GBJ282" s="1069"/>
      <c r="GBK282" s="1069"/>
      <c r="GBL282" s="1069"/>
      <c r="GBM282" s="1069"/>
      <c r="GBN282" s="1069"/>
      <c r="GBO282" s="1069"/>
      <c r="GBP282" s="1069"/>
      <c r="GBQ282" s="1069"/>
      <c r="GBR282" s="1069"/>
      <c r="GBS282" s="1069"/>
      <c r="GBT282" s="1069"/>
      <c r="GBU282" s="1069"/>
      <c r="GBV282" s="1069"/>
      <c r="GBW282" s="1069"/>
      <c r="GBX282" s="1069"/>
      <c r="GBY282" s="1069"/>
      <c r="GBZ282" s="1069"/>
      <c r="GCA282" s="1069"/>
      <c r="GCB282" s="1069"/>
      <c r="GCC282" s="1069"/>
      <c r="GCD282" s="1069"/>
      <c r="GCE282" s="1069"/>
      <c r="GCF282" s="1069"/>
      <c r="GCG282" s="1069"/>
      <c r="GCH282" s="1069"/>
      <c r="GCI282" s="1069"/>
      <c r="GCJ282" s="1069"/>
      <c r="GCK282" s="1069"/>
      <c r="GCL282" s="1069"/>
      <c r="GCM282" s="1069"/>
      <c r="GCN282" s="1069"/>
      <c r="GCO282" s="1069"/>
      <c r="GCP282" s="1069"/>
      <c r="GCQ282" s="1069"/>
      <c r="GCR282" s="1069"/>
      <c r="GCS282" s="1069"/>
      <c r="GCT282" s="1069"/>
      <c r="GCU282" s="1069"/>
      <c r="GCV282" s="1069"/>
      <c r="GCW282" s="1069"/>
      <c r="GCX282" s="1069"/>
      <c r="GCY282" s="1069"/>
      <c r="GCZ282" s="1069"/>
      <c r="GDA282" s="1069"/>
      <c r="GDB282" s="1069"/>
      <c r="GDC282" s="1069"/>
      <c r="GDD282" s="1069"/>
      <c r="GDE282" s="1069"/>
      <c r="GDF282" s="1069"/>
      <c r="GDG282" s="1069"/>
      <c r="GDH282" s="1069"/>
      <c r="GDI282" s="1069"/>
      <c r="GDJ282" s="1069"/>
      <c r="GDK282" s="1069"/>
      <c r="GDL282" s="1069"/>
      <c r="GDM282" s="1069"/>
      <c r="GDN282" s="1069"/>
      <c r="GDO282" s="1069"/>
      <c r="GDP282" s="1069"/>
      <c r="GDQ282" s="1069"/>
      <c r="GDR282" s="1069"/>
      <c r="GDS282" s="1069"/>
      <c r="GDT282" s="1069"/>
      <c r="GDU282" s="1069"/>
      <c r="GDV282" s="1069"/>
      <c r="GDW282" s="1069"/>
      <c r="GDX282" s="1069"/>
      <c r="GDY282" s="1069"/>
      <c r="GDZ282" s="1069"/>
      <c r="GEA282" s="1069"/>
      <c r="GEB282" s="1069"/>
      <c r="GEC282" s="1069"/>
      <c r="GED282" s="1069"/>
      <c r="GEE282" s="1069"/>
      <c r="GEF282" s="1069"/>
      <c r="GEG282" s="1069"/>
      <c r="GEH282" s="1069"/>
      <c r="GEI282" s="1069"/>
      <c r="GEJ282" s="1069"/>
      <c r="GEK282" s="1069"/>
      <c r="GEL282" s="1069"/>
      <c r="GEM282" s="1069"/>
      <c r="GEN282" s="1069"/>
      <c r="GEO282" s="1069"/>
      <c r="GEP282" s="1069"/>
      <c r="GEQ282" s="1069"/>
      <c r="GER282" s="1069"/>
      <c r="GES282" s="1069"/>
      <c r="GET282" s="1069"/>
      <c r="GEU282" s="1069"/>
      <c r="GEV282" s="1069"/>
      <c r="GEW282" s="1069"/>
      <c r="GEX282" s="1069"/>
      <c r="GEY282" s="1069"/>
      <c r="GEZ282" s="1069"/>
      <c r="GFA282" s="1069"/>
      <c r="GFB282" s="1069"/>
      <c r="GFC282" s="1069"/>
      <c r="GFD282" s="1069"/>
      <c r="GFE282" s="1069"/>
      <c r="GFF282" s="1069"/>
      <c r="GFG282" s="1069"/>
      <c r="GFH282" s="1069"/>
      <c r="GFI282" s="1069"/>
      <c r="GFJ282" s="1069"/>
      <c r="GFK282" s="1069"/>
      <c r="GFL282" s="1069"/>
      <c r="GFM282" s="1069"/>
      <c r="GFN282" s="1069"/>
      <c r="GFO282" s="1069"/>
      <c r="GFP282" s="1069"/>
      <c r="GFQ282" s="1069"/>
      <c r="GFR282" s="1069"/>
      <c r="GFS282" s="1069"/>
      <c r="GFT282" s="1069"/>
      <c r="GFU282" s="1069"/>
      <c r="GFV282" s="1069"/>
      <c r="GFW282" s="1069"/>
      <c r="GFX282" s="1069"/>
      <c r="GFY282" s="1069"/>
      <c r="GFZ282" s="1069"/>
      <c r="GGA282" s="1069"/>
      <c r="GGB282" s="1069"/>
      <c r="GGC282" s="1069"/>
      <c r="GGD282" s="1069"/>
      <c r="GGE282" s="1069"/>
      <c r="GGF282" s="1069"/>
      <c r="GGG282" s="1069"/>
      <c r="GGH282" s="1069"/>
      <c r="GGI282" s="1069"/>
      <c r="GGJ282" s="1069"/>
      <c r="GGK282" s="1069"/>
      <c r="GGL282" s="1069"/>
      <c r="GGM282" s="1069"/>
      <c r="GGN282" s="1069"/>
      <c r="GGO282" s="1069"/>
      <c r="GGP282" s="1069"/>
      <c r="GGQ282" s="1069"/>
      <c r="GGR282" s="1069"/>
      <c r="GGS282" s="1069"/>
      <c r="GGT282" s="1069"/>
      <c r="GGU282" s="1069"/>
      <c r="GGV282" s="1069"/>
      <c r="GGW282" s="1069"/>
      <c r="GGX282" s="1069"/>
      <c r="GGY282" s="1069"/>
      <c r="GGZ282" s="1069"/>
      <c r="GHA282" s="1069"/>
      <c r="GHB282" s="1069"/>
      <c r="GHC282" s="1069"/>
      <c r="GHD282" s="1069"/>
      <c r="GHE282" s="1069"/>
      <c r="GHF282" s="1069"/>
      <c r="GHG282" s="1069"/>
      <c r="GHH282" s="1069"/>
      <c r="GHI282" s="1069"/>
      <c r="GHJ282" s="1069"/>
      <c r="GHK282" s="1069"/>
      <c r="GHL282" s="1069"/>
      <c r="GHM282" s="1069"/>
      <c r="GHN282" s="1069"/>
      <c r="GHO282" s="1069"/>
      <c r="GHP282" s="1069"/>
      <c r="GHQ282" s="1069"/>
      <c r="GHR282" s="1069"/>
      <c r="GHS282" s="1069"/>
      <c r="GHT282" s="1069"/>
      <c r="GHU282" s="1069"/>
      <c r="GHV282" s="1069"/>
      <c r="GHW282" s="1069"/>
      <c r="GHX282" s="1069"/>
      <c r="GHY282" s="1069"/>
      <c r="GHZ282" s="1069"/>
      <c r="GIA282" s="1069"/>
      <c r="GIB282" s="1069"/>
      <c r="GIC282" s="1069"/>
      <c r="GID282" s="1069"/>
      <c r="GIE282" s="1069"/>
      <c r="GIF282" s="1069"/>
      <c r="GIG282" s="1069"/>
      <c r="GIH282" s="1069"/>
      <c r="GII282" s="1069"/>
      <c r="GIJ282" s="1069"/>
      <c r="GIK282" s="1069"/>
      <c r="GIL282" s="1069"/>
      <c r="GIM282" s="1069"/>
      <c r="GIN282" s="1069"/>
      <c r="GIO282" s="1069"/>
      <c r="GIP282" s="1069"/>
      <c r="GIQ282" s="1069"/>
      <c r="GIR282" s="1069"/>
      <c r="GIS282" s="1069"/>
      <c r="GIT282" s="1069"/>
      <c r="GIU282" s="1069"/>
      <c r="GIV282" s="1069"/>
      <c r="GIW282" s="1069"/>
      <c r="GIX282" s="1069"/>
      <c r="GIY282" s="1069"/>
      <c r="GIZ282" s="1069"/>
      <c r="GJA282" s="1069"/>
      <c r="GJB282" s="1069"/>
      <c r="GJC282" s="1069"/>
      <c r="GJD282" s="1069"/>
      <c r="GJE282" s="1069"/>
      <c r="GJF282" s="1069"/>
      <c r="GJG282" s="1069"/>
      <c r="GJH282" s="1069"/>
      <c r="GJI282" s="1069"/>
      <c r="GJJ282" s="1069"/>
      <c r="GJK282" s="1069"/>
      <c r="GJL282" s="1069"/>
      <c r="GJM282" s="1069"/>
      <c r="GJN282" s="1069"/>
      <c r="GJO282" s="1069"/>
      <c r="GJP282" s="1069"/>
      <c r="GJQ282" s="1069"/>
      <c r="GJR282" s="1069"/>
      <c r="GJS282" s="1069"/>
      <c r="GJT282" s="1069"/>
      <c r="GJU282" s="1069"/>
      <c r="GJV282" s="1069"/>
      <c r="GJW282" s="1069"/>
      <c r="GJX282" s="1069"/>
      <c r="GJY282" s="1069"/>
      <c r="GJZ282" s="1069"/>
      <c r="GKA282" s="1069"/>
      <c r="GKB282" s="1069"/>
      <c r="GKC282" s="1069"/>
      <c r="GKD282" s="1069"/>
      <c r="GKE282" s="1069"/>
      <c r="GKF282" s="1069"/>
      <c r="GKG282" s="1069"/>
      <c r="GKH282" s="1069"/>
      <c r="GKI282" s="1069"/>
      <c r="GKJ282" s="1069"/>
      <c r="GKK282" s="1069"/>
      <c r="GKL282" s="1069"/>
      <c r="GKM282" s="1069"/>
      <c r="GKN282" s="1069"/>
      <c r="GKO282" s="1069"/>
      <c r="GKP282" s="1069"/>
      <c r="GKQ282" s="1069"/>
      <c r="GKR282" s="1069"/>
      <c r="GKS282" s="1069"/>
      <c r="GKT282" s="1069"/>
      <c r="GKU282" s="1069"/>
      <c r="GKV282" s="1069"/>
      <c r="GKW282" s="1069"/>
      <c r="GKX282" s="1069"/>
      <c r="GKY282" s="1069"/>
      <c r="GKZ282" s="1069"/>
      <c r="GLA282" s="1069"/>
      <c r="GLB282" s="1069"/>
      <c r="GLC282" s="1069"/>
      <c r="GLD282" s="1069"/>
      <c r="GLE282" s="1069"/>
      <c r="GLF282" s="1069"/>
      <c r="GLG282" s="1069"/>
      <c r="GLH282" s="1069"/>
      <c r="GLI282" s="1069"/>
      <c r="GLJ282" s="1069"/>
      <c r="GLK282" s="1069"/>
      <c r="GLL282" s="1069"/>
      <c r="GLM282" s="1069"/>
      <c r="GLN282" s="1069"/>
      <c r="GLO282" s="1069"/>
      <c r="GLP282" s="1069"/>
      <c r="GLQ282" s="1069"/>
      <c r="GLR282" s="1069"/>
      <c r="GLS282" s="1069"/>
      <c r="GLT282" s="1069"/>
      <c r="GLU282" s="1069"/>
      <c r="GLV282" s="1069"/>
      <c r="GLW282" s="1069"/>
      <c r="GLX282" s="1069"/>
      <c r="GLY282" s="1069"/>
      <c r="GLZ282" s="1069"/>
      <c r="GMA282" s="1069"/>
      <c r="GMB282" s="1069"/>
      <c r="GMC282" s="1069"/>
      <c r="GMD282" s="1069"/>
      <c r="GME282" s="1069"/>
      <c r="GMF282" s="1069"/>
      <c r="GMG282" s="1069"/>
      <c r="GMH282" s="1069"/>
      <c r="GMI282" s="1069"/>
      <c r="GMJ282" s="1069"/>
      <c r="GMK282" s="1069"/>
      <c r="GML282" s="1069"/>
      <c r="GMM282" s="1069"/>
      <c r="GMN282" s="1069"/>
      <c r="GMO282" s="1069"/>
      <c r="GMP282" s="1069"/>
      <c r="GMQ282" s="1069"/>
      <c r="GMR282" s="1069"/>
      <c r="GMS282" s="1069"/>
      <c r="GMT282" s="1069"/>
      <c r="GMU282" s="1069"/>
      <c r="GMV282" s="1069"/>
      <c r="GMW282" s="1069"/>
      <c r="GMX282" s="1069"/>
      <c r="GMY282" s="1069"/>
      <c r="GMZ282" s="1069"/>
      <c r="GNA282" s="1069"/>
      <c r="GNB282" s="1069"/>
      <c r="GNC282" s="1069"/>
      <c r="GND282" s="1069"/>
      <c r="GNE282" s="1069"/>
      <c r="GNF282" s="1069"/>
      <c r="GNG282" s="1069"/>
      <c r="GNH282" s="1069"/>
      <c r="GNI282" s="1069"/>
      <c r="GNJ282" s="1069"/>
      <c r="GNK282" s="1069"/>
      <c r="GNL282" s="1069"/>
      <c r="GNM282" s="1069"/>
      <c r="GNN282" s="1069"/>
      <c r="GNO282" s="1069"/>
      <c r="GNP282" s="1069"/>
      <c r="GNQ282" s="1069"/>
      <c r="GNR282" s="1069"/>
      <c r="GNS282" s="1069"/>
      <c r="GNT282" s="1069"/>
      <c r="GNU282" s="1069"/>
      <c r="GNV282" s="1069"/>
      <c r="GNW282" s="1069"/>
      <c r="GNX282" s="1069"/>
      <c r="GNY282" s="1069"/>
      <c r="GNZ282" s="1069"/>
      <c r="GOA282" s="1069"/>
      <c r="GOB282" s="1069"/>
      <c r="GOC282" s="1069"/>
      <c r="GOD282" s="1069"/>
      <c r="GOE282" s="1069"/>
      <c r="GOF282" s="1069"/>
      <c r="GOG282" s="1069"/>
      <c r="GOH282" s="1069"/>
      <c r="GOI282" s="1069"/>
      <c r="GOJ282" s="1069"/>
      <c r="GOK282" s="1069"/>
      <c r="GOL282" s="1069"/>
      <c r="GOM282" s="1069"/>
      <c r="GON282" s="1069"/>
      <c r="GOO282" s="1069"/>
      <c r="GOP282" s="1069"/>
      <c r="GOQ282" s="1069"/>
      <c r="GOR282" s="1069"/>
      <c r="GOS282" s="1069"/>
      <c r="GOT282" s="1069"/>
      <c r="GOU282" s="1069"/>
      <c r="GOV282" s="1069"/>
      <c r="GOW282" s="1069"/>
      <c r="GOX282" s="1069"/>
      <c r="GOY282" s="1069"/>
      <c r="GOZ282" s="1069"/>
      <c r="GPA282" s="1069"/>
      <c r="GPB282" s="1069"/>
      <c r="GPC282" s="1069"/>
      <c r="GPD282" s="1069"/>
      <c r="GPE282" s="1069"/>
      <c r="GPF282" s="1069"/>
      <c r="GPG282" s="1069"/>
      <c r="GPH282" s="1069"/>
      <c r="GPI282" s="1069"/>
      <c r="GPJ282" s="1069"/>
      <c r="GPK282" s="1069"/>
      <c r="GPL282" s="1069"/>
      <c r="GPM282" s="1069"/>
      <c r="GPN282" s="1069"/>
      <c r="GPO282" s="1069"/>
      <c r="GPP282" s="1069"/>
      <c r="GPQ282" s="1069"/>
      <c r="GPR282" s="1069"/>
      <c r="GPS282" s="1069"/>
      <c r="GPT282" s="1069"/>
      <c r="GPU282" s="1069"/>
      <c r="GPV282" s="1069"/>
      <c r="GPW282" s="1069"/>
      <c r="GPX282" s="1069"/>
      <c r="GPY282" s="1069"/>
      <c r="GPZ282" s="1069"/>
      <c r="GQA282" s="1069"/>
      <c r="GQB282" s="1069"/>
      <c r="GQC282" s="1069"/>
      <c r="GQD282" s="1069"/>
      <c r="GQE282" s="1069"/>
      <c r="GQF282" s="1069"/>
      <c r="GQG282" s="1069"/>
      <c r="GQH282" s="1069"/>
      <c r="GQI282" s="1069"/>
      <c r="GQJ282" s="1069"/>
      <c r="GQK282" s="1069"/>
      <c r="GQL282" s="1069"/>
      <c r="GQM282" s="1069"/>
      <c r="GQN282" s="1069"/>
      <c r="GQO282" s="1069"/>
      <c r="GQP282" s="1069"/>
      <c r="GQQ282" s="1069"/>
      <c r="GQR282" s="1069"/>
      <c r="GQS282" s="1069"/>
      <c r="GQT282" s="1069"/>
      <c r="GQU282" s="1069"/>
      <c r="GQV282" s="1069"/>
      <c r="GQW282" s="1069"/>
      <c r="GQX282" s="1069"/>
      <c r="GQY282" s="1069"/>
      <c r="GQZ282" s="1069"/>
      <c r="GRA282" s="1069"/>
      <c r="GRB282" s="1069"/>
      <c r="GRC282" s="1069"/>
      <c r="GRD282" s="1069"/>
      <c r="GRE282" s="1069"/>
      <c r="GRF282" s="1069"/>
      <c r="GRG282" s="1069"/>
      <c r="GRH282" s="1069"/>
      <c r="GRI282" s="1069"/>
      <c r="GRJ282" s="1069"/>
      <c r="GRK282" s="1069"/>
      <c r="GRL282" s="1069"/>
      <c r="GRM282" s="1069"/>
      <c r="GRN282" s="1069"/>
      <c r="GRO282" s="1069"/>
      <c r="GRP282" s="1069"/>
      <c r="GRQ282" s="1069"/>
      <c r="GRR282" s="1069"/>
      <c r="GRS282" s="1069"/>
      <c r="GRT282" s="1069"/>
      <c r="GRU282" s="1069"/>
      <c r="GRV282" s="1069"/>
      <c r="GRW282" s="1069"/>
      <c r="GRX282" s="1069"/>
      <c r="GRY282" s="1069"/>
      <c r="GRZ282" s="1069"/>
      <c r="GSA282" s="1069"/>
      <c r="GSB282" s="1069"/>
      <c r="GSC282" s="1069"/>
      <c r="GSD282" s="1069"/>
      <c r="GSE282" s="1069"/>
      <c r="GSF282" s="1069"/>
      <c r="GSG282" s="1069"/>
      <c r="GSH282" s="1069"/>
      <c r="GSI282" s="1069"/>
      <c r="GSJ282" s="1069"/>
      <c r="GSK282" s="1069"/>
      <c r="GSL282" s="1069"/>
      <c r="GSM282" s="1069"/>
      <c r="GSN282" s="1069"/>
      <c r="GSO282" s="1069"/>
      <c r="GSP282" s="1069"/>
      <c r="GSQ282" s="1069"/>
      <c r="GSR282" s="1069"/>
      <c r="GSS282" s="1069"/>
      <c r="GST282" s="1069"/>
      <c r="GSU282" s="1069"/>
      <c r="GSV282" s="1069"/>
      <c r="GSW282" s="1069"/>
      <c r="GSX282" s="1069"/>
      <c r="GSY282" s="1069"/>
      <c r="GSZ282" s="1069"/>
      <c r="GTA282" s="1069"/>
      <c r="GTB282" s="1069"/>
      <c r="GTC282" s="1069"/>
      <c r="GTD282" s="1069"/>
      <c r="GTE282" s="1069"/>
      <c r="GTF282" s="1069"/>
      <c r="GTG282" s="1069"/>
      <c r="GTH282" s="1069"/>
      <c r="GTI282" s="1069"/>
      <c r="GTJ282" s="1069"/>
      <c r="GTK282" s="1069"/>
      <c r="GTL282" s="1069"/>
      <c r="GTM282" s="1069"/>
      <c r="GTN282" s="1069"/>
      <c r="GTO282" s="1069"/>
      <c r="GTP282" s="1069"/>
      <c r="GTQ282" s="1069"/>
      <c r="GTR282" s="1069"/>
      <c r="GTS282" s="1069"/>
      <c r="GTT282" s="1069"/>
      <c r="GTU282" s="1069"/>
      <c r="GTV282" s="1069"/>
      <c r="GTW282" s="1069"/>
      <c r="GTX282" s="1069"/>
      <c r="GTY282" s="1069"/>
      <c r="GTZ282" s="1069"/>
      <c r="GUA282" s="1069"/>
      <c r="GUB282" s="1069"/>
      <c r="GUC282" s="1069"/>
      <c r="GUD282" s="1069"/>
      <c r="GUE282" s="1069"/>
      <c r="GUF282" s="1069"/>
      <c r="GUG282" s="1069"/>
      <c r="GUH282" s="1069"/>
      <c r="GUI282" s="1069"/>
      <c r="GUJ282" s="1069"/>
      <c r="GUK282" s="1069"/>
      <c r="GUL282" s="1069"/>
      <c r="GUM282" s="1069"/>
      <c r="GUN282" s="1069"/>
      <c r="GUO282" s="1069"/>
      <c r="GUP282" s="1069"/>
      <c r="GUQ282" s="1069"/>
      <c r="GUR282" s="1069"/>
      <c r="GUS282" s="1069"/>
      <c r="GUT282" s="1069"/>
      <c r="GUU282" s="1069"/>
      <c r="GUV282" s="1069"/>
      <c r="GUW282" s="1069"/>
      <c r="GUX282" s="1069"/>
      <c r="GUY282" s="1069"/>
      <c r="GUZ282" s="1069"/>
      <c r="GVA282" s="1069"/>
      <c r="GVB282" s="1069"/>
      <c r="GVC282" s="1069"/>
      <c r="GVD282" s="1069"/>
      <c r="GVE282" s="1069"/>
      <c r="GVF282" s="1069"/>
      <c r="GVG282" s="1069"/>
      <c r="GVH282" s="1069"/>
      <c r="GVI282" s="1069"/>
      <c r="GVJ282" s="1069"/>
      <c r="GVK282" s="1069"/>
      <c r="GVL282" s="1069"/>
      <c r="GVM282" s="1069"/>
      <c r="GVN282" s="1069"/>
      <c r="GVO282" s="1069"/>
      <c r="GVP282" s="1069"/>
      <c r="GVQ282" s="1069"/>
      <c r="GVR282" s="1069"/>
      <c r="GVS282" s="1069"/>
      <c r="GVT282" s="1069"/>
      <c r="GVU282" s="1069"/>
      <c r="GVV282" s="1069"/>
      <c r="GVW282" s="1069"/>
      <c r="GVX282" s="1069"/>
      <c r="GVY282" s="1069"/>
      <c r="GVZ282" s="1069"/>
      <c r="GWA282" s="1069"/>
      <c r="GWB282" s="1069"/>
      <c r="GWC282" s="1069"/>
      <c r="GWD282" s="1069"/>
      <c r="GWE282" s="1069"/>
      <c r="GWF282" s="1069"/>
      <c r="GWG282" s="1069"/>
      <c r="GWH282" s="1069"/>
      <c r="GWI282" s="1069"/>
      <c r="GWJ282" s="1069"/>
      <c r="GWK282" s="1069"/>
      <c r="GWL282" s="1069"/>
      <c r="GWM282" s="1069"/>
      <c r="GWN282" s="1069"/>
      <c r="GWO282" s="1069"/>
      <c r="GWP282" s="1069"/>
      <c r="GWQ282" s="1069"/>
      <c r="GWR282" s="1069"/>
      <c r="GWS282" s="1069"/>
      <c r="GWT282" s="1069"/>
      <c r="GWU282" s="1069"/>
      <c r="GWV282" s="1069"/>
      <c r="GWW282" s="1069"/>
      <c r="GWX282" s="1069"/>
      <c r="GWY282" s="1069"/>
      <c r="GWZ282" s="1069"/>
      <c r="GXA282" s="1069"/>
      <c r="GXB282" s="1069"/>
      <c r="GXC282" s="1069"/>
      <c r="GXD282" s="1069"/>
      <c r="GXE282" s="1069"/>
      <c r="GXF282" s="1069"/>
      <c r="GXG282" s="1069"/>
      <c r="GXH282" s="1069"/>
      <c r="GXI282" s="1069"/>
      <c r="GXJ282" s="1069"/>
      <c r="GXK282" s="1069"/>
      <c r="GXL282" s="1069"/>
      <c r="GXM282" s="1069"/>
      <c r="GXN282" s="1069"/>
      <c r="GXO282" s="1069"/>
      <c r="GXP282" s="1069"/>
      <c r="GXQ282" s="1069"/>
      <c r="GXR282" s="1069"/>
      <c r="GXS282" s="1069"/>
      <c r="GXT282" s="1069"/>
      <c r="GXU282" s="1069"/>
      <c r="GXV282" s="1069"/>
      <c r="GXW282" s="1069"/>
      <c r="GXX282" s="1069"/>
      <c r="GXY282" s="1069"/>
      <c r="GXZ282" s="1069"/>
      <c r="GYA282" s="1069"/>
      <c r="GYB282" s="1069"/>
      <c r="GYC282" s="1069"/>
      <c r="GYD282" s="1069"/>
      <c r="GYE282" s="1069"/>
      <c r="GYF282" s="1069"/>
      <c r="GYG282" s="1069"/>
      <c r="GYH282" s="1069"/>
      <c r="GYI282" s="1069"/>
      <c r="GYJ282" s="1069"/>
      <c r="GYK282" s="1069"/>
      <c r="GYL282" s="1069"/>
      <c r="GYM282" s="1069"/>
      <c r="GYN282" s="1069"/>
      <c r="GYO282" s="1069"/>
      <c r="GYP282" s="1069"/>
      <c r="GYQ282" s="1069"/>
      <c r="GYR282" s="1069"/>
      <c r="GYS282" s="1069"/>
      <c r="GYT282" s="1069"/>
      <c r="GYU282" s="1069"/>
      <c r="GYV282" s="1069"/>
      <c r="GYW282" s="1069"/>
      <c r="GYX282" s="1069"/>
      <c r="GYY282" s="1069"/>
      <c r="GYZ282" s="1069"/>
      <c r="GZA282" s="1069"/>
      <c r="GZB282" s="1069"/>
      <c r="GZC282" s="1069"/>
      <c r="GZD282" s="1069"/>
      <c r="GZE282" s="1069"/>
      <c r="GZF282" s="1069"/>
      <c r="GZG282" s="1069"/>
      <c r="GZH282" s="1069"/>
      <c r="GZI282" s="1069"/>
      <c r="GZJ282" s="1069"/>
      <c r="GZK282" s="1069"/>
      <c r="GZL282" s="1069"/>
      <c r="GZM282" s="1069"/>
      <c r="GZN282" s="1069"/>
      <c r="GZO282" s="1069"/>
      <c r="GZP282" s="1069"/>
      <c r="GZQ282" s="1069"/>
      <c r="GZR282" s="1069"/>
      <c r="GZS282" s="1069"/>
      <c r="GZT282" s="1069"/>
      <c r="GZU282" s="1069"/>
      <c r="GZV282" s="1069"/>
      <c r="GZW282" s="1069"/>
      <c r="GZX282" s="1069"/>
      <c r="GZY282" s="1069"/>
      <c r="GZZ282" s="1069"/>
      <c r="HAA282" s="1069"/>
      <c r="HAB282" s="1069"/>
      <c r="HAC282" s="1069"/>
      <c r="HAD282" s="1069"/>
      <c r="HAE282" s="1069"/>
      <c r="HAF282" s="1069"/>
      <c r="HAG282" s="1069"/>
      <c r="HAH282" s="1069"/>
      <c r="HAI282" s="1069"/>
      <c r="HAJ282" s="1069"/>
      <c r="HAK282" s="1069"/>
      <c r="HAL282" s="1069"/>
      <c r="HAM282" s="1069"/>
      <c r="HAN282" s="1069"/>
      <c r="HAO282" s="1069"/>
      <c r="HAP282" s="1069"/>
      <c r="HAQ282" s="1069"/>
      <c r="HAR282" s="1069"/>
      <c r="HAS282" s="1069"/>
      <c r="HAT282" s="1069"/>
      <c r="HAU282" s="1069"/>
      <c r="HAV282" s="1069"/>
      <c r="HAW282" s="1069"/>
      <c r="HAX282" s="1069"/>
      <c r="HAY282" s="1069"/>
      <c r="HAZ282" s="1069"/>
      <c r="HBA282" s="1069"/>
      <c r="HBB282" s="1069"/>
      <c r="HBC282" s="1069"/>
      <c r="HBD282" s="1069"/>
      <c r="HBE282" s="1069"/>
      <c r="HBF282" s="1069"/>
      <c r="HBG282" s="1069"/>
      <c r="HBH282" s="1069"/>
      <c r="HBI282" s="1069"/>
      <c r="HBJ282" s="1069"/>
      <c r="HBK282" s="1069"/>
      <c r="HBL282" s="1069"/>
      <c r="HBM282" s="1069"/>
      <c r="HBN282" s="1069"/>
      <c r="HBO282" s="1069"/>
      <c r="HBP282" s="1069"/>
      <c r="HBQ282" s="1069"/>
      <c r="HBR282" s="1069"/>
      <c r="HBS282" s="1069"/>
      <c r="HBT282" s="1069"/>
      <c r="HBU282" s="1069"/>
      <c r="HBV282" s="1069"/>
      <c r="HBW282" s="1069"/>
      <c r="HBX282" s="1069"/>
      <c r="HBY282" s="1069"/>
      <c r="HBZ282" s="1069"/>
      <c r="HCA282" s="1069"/>
      <c r="HCB282" s="1069"/>
      <c r="HCC282" s="1069"/>
      <c r="HCD282" s="1069"/>
      <c r="HCE282" s="1069"/>
      <c r="HCF282" s="1069"/>
      <c r="HCG282" s="1069"/>
      <c r="HCH282" s="1069"/>
      <c r="HCI282" s="1069"/>
      <c r="HCJ282" s="1069"/>
      <c r="HCK282" s="1069"/>
      <c r="HCL282" s="1069"/>
      <c r="HCM282" s="1069"/>
      <c r="HCN282" s="1069"/>
      <c r="HCO282" s="1069"/>
      <c r="HCP282" s="1069"/>
      <c r="HCQ282" s="1069"/>
      <c r="HCR282" s="1069"/>
      <c r="HCS282" s="1069"/>
      <c r="HCT282" s="1069"/>
      <c r="HCU282" s="1069"/>
      <c r="HCV282" s="1069"/>
      <c r="HCW282" s="1069"/>
      <c r="HCX282" s="1069"/>
      <c r="HCY282" s="1069"/>
      <c r="HCZ282" s="1069"/>
      <c r="HDA282" s="1069"/>
      <c r="HDB282" s="1069"/>
      <c r="HDC282" s="1069"/>
      <c r="HDD282" s="1069"/>
      <c r="HDE282" s="1069"/>
      <c r="HDF282" s="1069"/>
      <c r="HDG282" s="1069"/>
      <c r="HDH282" s="1069"/>
      <c r="HDI282" s="1069"/>
      <c r="HDJ282" s="1069"/>
      <c r="HDK282" s="1069"/>
      <c r="HDL282" s="1069"/>
      <c r="HDM282" s="1069"/>
      <c r="HDN282" s="1069"/>
      <c r="HDO282" s="1069"/>
      <c r="HDP282" s="1069"/>
      <c r="HDQ282" s="1069"/>
      <c r="HDR282" s="1069"/>
      <c r="HDS282" s="1069"/>
      <c r="HDT282" s="1069"/>
      <c r="HDU282" s="1069"/>
      <c r="HDV282" s="1069"/>
      <c r="HDW282" s="1069"/>
      <c r="HDX282" s="1069"/>
      <c r="HDY282" s="1069"/>
      <c r="HDZ282" s="1069"/>
      <c r="HEA282" s="1069"/>
      <c r="HEB282" s="1069"/>
      <c r="HEC282" s="1069"/>
      <c r="HED282" s="1069"/>
      <c r="HEE282" s="1069"/>
      <c r="HEF282" s="1069"/>
      <c r="HEG282" s="1069"/>
      <c r="HEH282" s="1069"/>
      <c r="HEI282" s="1069"/>
      <c r="HEJ282" s="1069"/>
      <c r="HEK282" s="1069"/>
      <c r="HEL282" s="1069"/>
      <c r="HEM282" s="1069"/>
      <c r="HEN282" s="1069"/>
      <c r="HEO282" s="1069"/>
      <c r="HEP282" s="1069"/>
      <c r="HEQ282" s="1069"/>
      <c r="HER282" s="1069"/>
      <c r="HES282" s="1069"/>
      <c r="HET282" s="1069"/>
      <c r="HEU282" s="1069"/>
      <c r="HEV282" s="1069"/>
      <c r="HEW282" s="1069"/>
      <c r="HEX282" s="1069"/>
      <c r="HEY282" s="1069"/>
      <c r="HEZ282" s="1069"/>
      <c r="HFA282" s="1069"/>
      <c r="HFB282" s="1069"/>
      <c r="HFC282" s="1069"/>
      <c r="HFD282" s="1069"/>
      <c r="HFE282" s="1069"/>
      <c r="HFF282" s="1069"/>
      <c r="HFG282" s="1069"/>
      <c r="HFH282" s="1069"/>
      <c r="HFI282" s="1069"/>
      <c r="HFJ282" s="1069"/>
      <c r="HFK282" s="1069"/>
      <c r="HFL282" s="1069"/>
      <c r="HFM282" s="1069"/>
      <c r="HFN282" s="1069"/>
      <c r="HFO282" s="1069"/>
      <c r="HFP282" s="1069"/>
      <c r="HFQ282" s="1069"/>
      <c r="HFR282" s="1069"/>
      <c r="HFS282" s="1069"/>
      <c r="HFT282" s="1069"/>
      <c r="HFU282" s="1069"/>
      <c r="HFV282" s="1069"/>
      <c r="HFW282" s="1069"/>
      <c r="HFX282" s="1069"/>
      <c r="HFY282" s="1069"/>
      <c r="HFZ282" s="1069"/>
      <c r="HGA282" s="1069"/>
      <c r="HGB282" s="1069"/>
      <c r="HGC282" s="1069"/>
      <c r="HGD282" s="1069"/>
      <c r="HGE282" s="1069"/>
      <c r="HGF282" s="1069"/>
      <c r="HGG282" s="1069"/>
      <c r="HGH282" s="1069"/>
      <c r="HGI282" s="1069"/>
      <c r="HGJ282" s="1069"/>
      <c r="HGK282" s="1069"/>
      <c r="HGL282" s="1069"/>
      <c r="HGM282" s="1069"/>
      <c r="HGN282" s="1069"/>
      <c r="HGO282" s="1069"/>
      <c r="HGP282" s="1069"/>
      <c r="HGQ282" s="1069"/>
      <c r="HGR282" s="1069"/>
      <c r="HGS282" s="1069"/>
      <c r="HGT282" s="1069"/>
      <c r="HGU282" s="1069"/>
      <c r="HGV282" s="1069"/>
      <c r="HGW282" s="1069"/>
      <c r="HGX282" s="1069"/>
      <c r="HGY282" s="1069"/>
      <c r="HGZ282" s="1069"/>
      <c r="HHA282" s="1069"/>
      <c r="HHB282" s="1069"/>
      <c r="HHC282" s="1069"/>
      <c r="HHD282" s="1069"/>
      <c r="HHE282" s="1069"/>
      <c r="HHF282" s="1069"/>
      <c r="HHG282" s="1069"/>
      <c r="HHH282" s="1069"/>
      <c r="HHI282" s="1069"/>
      <c r="HHJ282" s="1069"/>
      <c r="HHK282" s="1069"/>
      <c r="HHL282" s="1069"/>
      <c r="HHM282" s="1069"/>
      <c r="HHN282" s="1069"/>
      <c r="HHO282" s="1069"/>
      <c r="HHP282" s="1069"/>
      <c r="HHQ282" s="1069"/>
      <c r="HHR282" s="1069"/>
      <c r="HHS282" s="1069"/>
      <c r="HHT282" s="1069"/>
      <c r="HHU282" s="1069"/>
      <c r="HHV282" s="1069"/>
      <c r="HHW282" s="1069"/>
      <c r="HHX282" s="1069"/>
      <c r="HHY282" s="1069"/>
      <c r="HHZ282" s="1069"/>
      <c r="HIA282" s="1069"/>
      <c r="HIB282" s="1069"/>
      <c r="HIC282" s="1069"/>
      <c r="HID282" s="1069"/>
      <c r="HIE282" s="1069"/>
      <c r="HIF282" s="1069"/>
      <c r="HIG282" s="1069"/>
      <c r="HIH282" s="1069"/>
      <c r="HII282" s="1069"/>
      <c r="HIJ282" s="1069"/>
      <c r="HIK282" s="1069"/>
      <c r="HIL282" s="1069"/>
      <c r="HIM282" s="1069"/>
      <c r="HIN282" s="1069"/>
      <c r="HIO282" s="1069"/>
      <c r="HIP282" s="1069"/>
      <c r="HIQ282" s="1069"/>
      <c r="HIR282" s="1069"/>
      <c r="HIS282" s="1069"/>
      <c r="HIT282" s="1069"/>
      <c r="HIU282" s="1069"/>
      <c r="HIV282" s="1069"/>
      <c r="HIW282" s="1069"/>
      <c r="HIX282" s="1069"/>
      <c r="HIY282" s="1069"/>
      <c r="HIZ282" s="1069"/>
      <c r="HJA282" s="1069"/>
      <c r="HJB282" s="1069"/>
      <c r="HJC282" s="1069"/>
      <c r="HJD282" s="1069"/>
      <c r="HJE282" s="1069"/>
      <c r="HJF282" s="1069"/>
      <c r="HJG282" s="1069"/>
      <c r="HJH282" s="1069"/>
      <c r="HJI282" s="1069"/>
      <c r="HJJ282" s="1069"/>
      <c r="HJK282" s="1069"/>
      <c r="HJL282" s="1069"/>
      <c r="HJM282" s="1069"/>
      <c r="HJN282" s="1069"/>
      <c r="HJO282" s="1069"/>
      <c r="HJP282" s="1069"/>
      <c r="HJQ282" s="1069"/>
      <c r="HJR282" s="1069"/>
      <c r="HJS282" s="1069"/>
      <c r="HJT282" s="1069"/>
      <c r="HJU282" s="1069"/>
      <c r="HJV282" s="1069"/>
      <c r="HJW282" s="1069"/>
      <c r="HJX282" s="1069"/>
      <c r="HJY282" s="1069"/>
      <c r="HJZ282" s="1069"/>
      <c r="HKA282" s="1069"/>
      <c r="HKB282" s="1069"/>
      <c r="HKC282" s="1069"/>
      <c r="HKD282" s="1069"/>
      <c r="HKE282" s="1069"/>
      <c r="HKF282" s="1069"/>
      <c r="HKG282" s="1069"/>
      <c r="HKH282" s="1069"/>
      <c r="HKI282" s="1069"/>
      <c r="HKJ282" s="1069"/>
      <c r="HKK282" s="1069"/>
      <c r="HKL282" s="1069"/>
      <c r="HKM282" s="1069"/>
      <c r="HKN282" s="1069"/>
      <c r="HKO282" s="1069"/>
      <c r="HKP282" s="1069"/>
      <c r="HKQ282" s="1069"/>
      <c r="HKR282" s="1069"/>
      <c r="HKS282" s="1069"/>
      <c r="HKT282" s="1069"/>
      <c r="HKU282" s="1069"/>
      <c r="HKV282" s="1069"/>
      <c r="HKW282" s="1069"/>
      <c r="HKX282" s="1069"/>
      <c r="HKY282" s="1069"/>
      <c r="HKZ282" s="1069"/>
      <c r="HLA282" s="1069"/>
      <c r="HLB282" s="1069"/>
      <c r="HLC282" s="1069"/>
      <c r="HLD282" s="1069"/>
      <c r="HLE282" s="1069"/>
      <c r="HLF282" s="1069"/>
      <c r="HLG282" s="1069"/>
      <c r="HLH282" s="1069"/>
      <c r="HLI282" s="1069"/>
      <c r="HLJ282" s="1069"/>
      <c r="HLK282" s="1069"/>
      <c r="HLL282" s="1069"/>
      <c r="HLM282" s="1069"/>
      <c r="HLN282" s="1069"/>
      <c r="HLO282" s="1069"/>
      <c r="HLP282" s="1069"/>
      <c r="HLQ282" s="1069"/>
      <c r="HLR282" s="1069"/>
      <c r="HLS282" s="1069"/>
      <c r="HLT282" s="1069"/>
      <c r="HLU282" s="1069"/>
      <c r="HLV282" s="1069"/>
      <c r="HLW282" s="1069"/>
      <c r="HLX282" s="1069"/>
      <c r="HLY282" s="1069"/>
      <c r="HLZ282" s="1069"/>
      <c r="HMA282" s="1069"/>
      <c r="HMB282" s="1069"/>
      <c r="HMC282" s="1069"/>
      <c r="HMD282" s="1069"/>
      <c r="HME282" s="1069"/>
      <c r="HMF282" s="1069"/>
      <c r="HMG282" s="1069"/>
      <c r="HMH282" s="1069"/>
      <c r="HMI282" s="1069"/>
      <c r="HMJ282" s="1069"/>
      <c r="HMK282" s="1069"/>
      <c r="HML282" s="1069"/>
      <c r="HMM282" s="1069"/>
      <c r="HMN282" s="1069"/>
      <c r="HMO282" s="1069"/>
      <c r="HMP282" s="1069"/>
      <c r="HMQ282" s="1069"/>
      <c r="HMR282" s="1069"/>
      <c r="HMS282" s="1069"/>
      <c r="HMT282" s="1069"/>
      <c r="HMU282" s="1069"/>
      <c r="HMV282" s="1069"/>
      <c r="HMW282" s="1069"/>
      <c r="HMX282" s="1069"/>
      <c r="HMY282" s="1069"/>
      <c r="HMZ282" s="1069"/>
      <c r="HNA282" s="1069"/>
      <c r="HNB282" s="1069"/>
      <c r="HNC282" s="1069"/>
      <c r="HND282" s="1069"/>
      <c r="HNE282" s="1069"/>
      <c r="HNF282" s="1069"/>
      <c r="HNG282" s="1069"/>
      <c r="HNH282" s="1069"/>
      <c r="HNI282" s="1069"/>
      <c r="HNJ282" s="1069"/>
      <c r="HNK282" s="1069"/>
      <c r="HNL282" s="1069"/>
      <c r="HNM282" s="1069"/>
      <c r="HNN282" s="1069"/>
      <c r="HNO282" s="1069"/>
      <c r="HNP282" s="1069"/>
      <c r="HNQ282" s="1069"/>
      <c r="HNR282" s="1069"/>
      <c r="HNS282" s="1069"/>
      <c r="HNT282" s="1069"/>
      <c r="HNU282" s="1069"/>
      <c r="HNV282" s="1069"/>
      <c r="HNW282" s="1069"/>
      <c r="HNX282" s="1069"/>
      <c r="HNY282" s="1069"/>
      <c r="HNZ282" s="1069"/>
      <c r="HOA282" s="1069"/>
      <c r="HOB282" s="1069"/>
      <c r="HOC282" s="1069"/>
      <c r="HOD282" s="1069"/>
      <c r="HOE282" s="1069"/>
      <c r="HOF282" s="1069"/>
      <c r="HOG282" s="1069"/>
      <c r="HOH282" s="1069"/>
      <c r="HOI282" s="1069"/>
      <c r="HOJ282" s="1069"/>
      <c r="HOK282" s="1069"/>
      <c r="HOL282" s="1069"/>
      <c r="HOM282" s="1069"/>
      <c r="HON282" s="1069"/>
      <c r="HOO282" s="1069"/>
      <c r="HOP282" s="1069"/>
      <c r="HOQ282" s="1069"/>
      <c r="HOR282" s="1069"/>
      <c r="HOS282" s="1069"/>
      <c r="HOT282" s="1069"/>
      <c r="HOU282" s="1069"/>
      <c r="HOV282" s="1069"/>
      <c r="HOW282" s="1069"/>
      <c r="HOX282" s="1069"/>
      <c r="HOY282" s="1069"/>
      <c r="HOZ282" s="1069"/>
      <c r="HPA282" s="1069"/>
      <c r="HPB282" s="1069"/>
      <c r="HPC282" s="1069"/>
      <c r="HPD282" s="1069"/>
      <c r="HPE282" s="1069"/>
      <c r="HPF282" s="1069"/>
      <c r="HPG282" s="1069"/>
      <c r="HPH282" s="1069"/>
      <c r="HPI282" s="1069"/>
      <c r="HPJ282" s="1069"/>
      <c r="HPK282" s="1069"/>
      <c r="HPL282" s="1069"/>
      <c r="HPM282" s="1069"/>
      <c r="HPN282" s="1069"/>
      <c r="HPO282" s="1069"/>
      <c r="HPP282" s="1069"/>
      <c r="HPQ282" s="1069"/>
      <c r="HPR282" s="1069"/>
      <c r="HPS282" s="1069"/>
      <c r="HPT282" s="1069"/>
      <c r="HPU282" s="1069"/>
      <c r="HPV282" s="1069"/>
      <c r="HPW282" s="1069"/>
      <c r="HPX282" s="1069"/>
      <c r="HPY282" s="1069"/>
      <c r="HPZ282" s="1069"/>
      <c r="HQA282" s="1069"/>
      <c r="HQB282" s="1069"/>
      <c r="HQC282" s="1069"/>
      <c r="HQD282" s="1069"/>
      <c r="HQE282" s="1069"/>
      <c r="HQF282" s="1069"/>
      <c r="HQG282" s="1069"/>
      <c r="HQH282" s="1069"/>
      <c r="HQI282" s="1069"/>
      <c r="HQJ282" s="1069"/>
      <c r="HQK282" s="1069"/>
      <c r="HQL282" s="1069"/>
      <c r="HQM282" s="1069"/>
      <c r="HQN282" s="1069"/>
      <c r="HQO282" s="1069"/>
      <c r="HQP282" s="1069"/>
      <c r="HQQ282" s="1069"/>
      <c r="HQR282" s="1069"/>
      <c r="HQS282" s="1069"/>
      <c r="HQT282" s="1069"/>
      <c r="HQU282" s="1069"/>
      <c r="HQV282" s="1069"/>
      <c r="HQW282" s="1069"/>
      <c r="HQX282" s="1069"/>
      <c r="HQY282" s="1069"/>
      <c r="HQZ282" s="1069"/>
      <c r="HRA282" s="1069"/>
      <c r="HRB282" s="1069"/>
      <c r="HRC282" s="1069"/>
      <c r="HRD282" s="1069"/>
      <c r="HRE282" s="1069"/>
      <c r="HRF282" s="1069"/>
      <c r="HRG282" s="1069"/>
      <c r="HRH282" s="1069"/>
      <c r="HRI282" s="1069"/>
      <c r="HRJ282" s="1069"/>
      <c r="HRK282" s="1069"/>
      <c r="HRL282" s="1069"/>
      <c r="HRM282" s="1069"/>
      <c r="HRN282" s="1069"/>
      <c r="HRO282" s="1069"/>
      <c r="HRP282" s="1069"/>
      <c r="HRQ282" s="1069"/>
      <c r="HRR282" s="1069"/>
      <c r="HRS282" s="1069"/>
      <c r="HRT282" s="1069"/>
      <c r="HRU282" s="1069"/>
      <c r="HRV282" s="1069"/>
      <c r="HRW282" s="1069"/>
      <c r="HRX282" s="1069"/>
      <c r="HRY282" s="1069"/>
      <c r="HRZ282" s="1069"/>
      <c r="HSA282" s="1069"/>
      <c r="HSB282" s="1069"/>
      <c r="HSC282" s="1069"/>
      <c r="HSD282" s="1069"/>
      <c r="HSE282" s="1069"/>
      <c r="HSF282" s="1069"/>
      <c r="HSG282" s="1069"/>
      <c r="HSH282" s="1069"/>
      <c r="HSI282" s="1069"/>
      <c r="HSJ282" s="1069"/>
      <c r="HSK282" s="1069"/>
      <c r="HSL282" s="1069"/>
      <c r="HSM282" s="1069"/>
      <c r="HSN282" s="1069"/>
      <c r="HSO282" s="1069"/>
      <c r="HSP282" s="1069"/>
      <c r="HSQ282" s="1069"/>
      <c r="HSR282" s="1069"/>
      <c r="HSS282" s="1069"/>
      <c r="HST282" s="1069"/>
      <c r="HSU282" s="1069"/>
      <c r="HSV282" s="1069"/>
      <c r="HSW282" s="1069"/>
      <c r="HSX282" s="1069"/>
      <c r="HSY282" s="1069"/>
      <c r="HSZ282" s="1069"/>
      <c r="HTA282" s="1069"/>
      <c r="HTB282" s="1069"/>
      <c r="HTC282" s="1069"/>
      <c r="HTD282" s="1069"/>
      <c r="HTE282" s="1069"/>
      <c r="HTF282" s="1069"/>
      <c r="HTG282" s="1069"/>
      <c r="HTH282" s="1069"/>
      <c r="HTI282" s="1069"/>
      <c r="HTJ282" s="1069"/>
      <c r="HTK282" s="1069"/>
      <c r="HTL282" s="1069"/>
      <c r="HTM282" s="1069"/>
      <c r="HTN282" s="1069"/>
      <c r="HTO282" s="1069"/>
      <c r="HTP282" s="1069"/>
      <c r="HTQ282" s="1069"/>
      <c r="HTR282" s="1069"/>
      <c r="HTS282" s="1069"/>
      <c r="HTT282" s="1069"/>
      <c r="HTU282" s="1069"/>
      <c r="HTV282" s="1069"/>
      <c r="HTW282" s="1069"/>
      <c r="HTX282" s="1069"/>
      <c r="HTY282" s="1069"/>
      <c r="HTZ282" s="1069"/>
      <c r="HUA282" s="1069"/>
      <c r="HUB282" s="1069"/>
      <c r="HUC282" s="1069"/>
      <c r="HUD282" s="1069"/>
      <c r="HUE282" s="1069"/>
      <c r="HUF282" s="1069"/>
      <c r="HUG282" s="1069"/>
      <c r="HUH282" s="1069"/>
      <c r="HUI282" s="1069"/>
      <c r="HUJ282" s="1069"/>
      <c r="HUK282" s="1069"/>
      <c r="HUL282" s="1069"/>
      <c r="HUM282" s="1069"/>
      <c r="HUN282" s="1069"/>
      <c r="HUO282" s="1069"/>
      <c r="HUP282" s="1069"/>
      <c r="HUQ282" s="1069"/>
      <c r="HUR282" s="1069"/>
      <c r="HUS282" s="1069"/>
      <c r="HUT282" s="1069"/>
      <c r="HUU282" s="1069"/>
      <c r="HUV282" s="1069"/>
      <c r="HUW282" s="1069"/>
      <c r="HUX282" s="1069"/>
      <c r="HUY282" s="1069"/>
      <c r="HUZ282" s="1069"/>
      <c r="HVA282" s="1069"/>
      <c r="HVB282" s="1069"/>
      <c r="HVC282" s="1069"/>
      <c r="HVD282" s="1069"/>
      <c r="HVE282" s="1069"/>
      <c r="HVF282" s="1069"/>
      <c r="HVG282" s="1069"/>
      <c r="HVH282" s="1069"/>
      <c r="HVI282" s="1069"/>
      <c r="HVJ282" s="1069"/>
      <c r="HVK282" s="1069"/>
      <c r="HVL282" s="1069"/>
      <c r="HVM282" s="1069"/>
      <c r="HVN282" s="1069"/>
      <c r="HVO282" s="1069"/>
      <c r="HVP282" s="1069"/>
      <c r="HVQ282" s="1069"/>
      <c r="HVR282" s="1069"/>
      <c r="HVS282" s="1069"/>
      <c r="HVT282" s="1069"/>
      <c r="HVU282" s="1069"/>
      <c r="HVV282" s="1069"/>
      <c r="HVW282" s="1069"/>
      <c r="HVX282" s="1069"/>
      <c r="HVY282" s="1069"/>
      <c r="HVZ282" s="1069"/>
      <c r="HWA282" s="1069"/>
      <c r="HWB282" s="1069"/>
      <c r="HWC282" s="1069"/>
      <c r="HWD282" s="1069"/>
      <c r="HWE282" s="1069"/>
      <c r="HWF282" s="1069"/>
      <c r="HWG282" s="1069"/>
      <c r="HWH282" s="1069"/>
      <c r="HWI282" s="1069"/>
      <c r="HWJ282" s="1069"/>
      <c r="HWK282" s="1069"/>
      <c r="HWL282" s="1069"/>
      <c r="HWM282" s="1069"/>
      <c r="HWN282" s="1069"/>
      <c r="HWO282" s="1069"/>
      <c r="HWP282" s="1069"/>
      <c r="HWQ282" s="1069"/>
      <c r="HWR282" s="1069"/>
      <c r="HWS282" s="1069"/>
      <c r="HWT282" s="1069"/>
      <c r="HWU282" s="1069"/>
      <c r="HWV282" s="1069"/>
      <c r="HWW282" s="1069"/>
      <c r="HWX282" s="1069"/>
      <c r="HWY282" s="1069"/>
      <c r="HWZ282" s="1069"/>
      <c r="HXA282" s="1069"/>
      <c r="HXB282" s="1069"/>
      <c r="HXC282" s="1069"/>
      <c r="HXD282" s="1069"/>
      <c r="HXE282" s="1069"/>
      <c r="HXF282" s="1069"/>
      <c r="HXG282" s="1069"/>
      <c r="HXH282" s="1069"/>
      <c r="HXI282" s="1069"/>
      <c r="HXJ282" s="1069"/>
      <c r="HXK282" s="1069"/>
      <c r="HXL282" s="1069"/>
      <c r="HXM282" s="1069"/>
      <c r="HXN282" s="1069"/>
      <c r="HXO282" s="1069"/>
      <c r="HXP282" s="1069"/>
      <c r="HXQ282" s="1069"/>
      <c r="HXR282" s="1069"/>
      <c r="HXS282" s="1069"/>
      <c r="HXT282" s="1069"/>
      <c r="HXU282" s="1069"/>
      <c r="HXV282" s="1069"/>
      <c r="HXW282" s="1069"/>
      <c r="HXX282" s="1069"/>
      <c r="HXY282" s="1069"/>
      <c r="HXZ282" s="1069"/>
      <c r="HYA282" s="1069"/>
      <c r="HYB282" s="1069"/>
      <c r="HYC282" s="1069"/>
      <c r="HYD282" s="1069"/>
      <c r="HYE282" s="1069"/>
      <c r="HYF282" s="1069"/>
      <c r="HYG282" s="1069"/>
      <c r="HYH282" s="1069"/>
      <c r="HYI282" s="1069"/>
      <c r="HYJ282" s="1069"/>
      <c r="HYK282" s="1069"/>
      <c r="HYL282" s="1069"/>
      <c r="HYM282" s="1069"/>
      <c r="HYN282" s="1069"/>
      <c r="HYO282" s="1069"/>
      <c r="HYP282" s="1069"/>
      <c r="HYQ282" s="1069"/>
      <c r="HYR282" s="1069"/>
      <c r="HYS282" s="1069"/>
      <c r="HYT282" s="1069"/>
      <c r="HYU282" s="1069"/>
      <c r="HYV282" s="1069"/>
      <c r="HYW282" s="1069"/>
      <c r="HYX282" s="1069"/>
      <c r="HYY282" s="1069"/>
      <c r="HYZ282" s="1069"/>
      <c r="HZA282" s="1069"/>
      <c r="HZB282" s="1069"/>
      <c r="HZC282" s="1069"/>
      <c r="HZD282" s="1069"/>
      <c r="HZE282" s="1069"/>
      <c r="HZF282" s="1069"/>
      <c r="HZG282" s="1069"/>
      <c r="HZH282" s="1069"/>
      <c r="HZI282" s="1069"/>
      <c r="HZJ282" s="1069"/>
      <c r="HZK282" s="1069"/>
      <c r="HZL282" s="1069"/>
      <c r="HZM282" s="1069"/>
      <c r="HZN282" s="1069"/>
      <c r="HZO282" s="1069"/>
      <c r="HZP282" s="1069"/>
      <c r="HZQ282" s="1069"/>
      <c r="HZR282" s="1069"/>
      <c r="HZS282" s="1069"/>
      <c r="HZT282" s="1069"/>
      <c r="HZU282" s="1069"/>
      <c r="HZV282" s="1069"/>
      <c r="HZW282" s="1069"/>
      <c r="HZX282" s="1069"/>
      <c r="HZY282" s="1069"/>
      <c r="HZZ282" s="1069"/>
      <c r="IAA282" s="1069"/>
      <c r="IAB282" s="1069"/>
      <c r="IAC282" s="1069"/>
      <c r="IAD282" s="1069"/>
      <c r="IAE282" s="1069"/>
      <c r="IAF282" s="1069"/>
      <c r="IAG282" s="1069"/>
      <c r="IAH282" s="1069"/>
      <c r="IAI282" s="1069"/>
      <c r="IAJ282" s="1069"/>
      <c r="IAK282" s="1069"/>
      <c r="IAL282" s="1069"/>
      <c r="IAM282" s="1069"/>
      <c r="IAN282" s="1069"/>
      <c r="IAO282" s="1069"/>
      <c r="IAP282" s="1069"/>
      <c r="IAQ282" s="1069"/>
      <c r="IAR282" s="1069"/>
      <c r="IAS282" s="1069"/>
      <c r="IAT282" s="1069"/>
      <c r="IAU282" s="1069"/>
      <c r="IAV282" s="1069"/>
      <c r="IAW282" s="1069"/>
      <c r="IAX282" s="1069"/>
      <c r="IAY282" s="1069"/>
      <c r="IAZ282" s="1069"/>
      <c r="IBA282" s="1069"/>
      <c r="IBB282" s="1069"/>
      <c r="IBC282" s="1069"/>
      <c r="IBD282" s="1069"/>
      <c r="IBE282" s="1069"/>
      <c r="IBF282" s="1069"/>
      <c r="IBG282" s="1069"/>
      <c r="IBH282" s="1069"/>
      <c r="IBI282" s="1069"/>
      <c r="IBJ282" s="1069"/>
      <c r="IBK282" s="1069"/>
      <c r="IBL282" s="1069"/>
      <c r="IBM282" s="1069"/>
      <c r="IBN282" s="1069"/>
      <c r="IBO282" s="1069"/>
      <c r="IBP282" s="1069"/>
      <c r="IBQ282" s="1069"/>
      <c r="IBR282" s="1069"/>
      <c r="IBS282" s="1069"/>
      <c r="IBT282" s="1069"/>
      <c r="IBU282" s="1069"/>
      <c r="IBV282" s="1069"/>
      <c r="IBW282" s="1069"/>
      <c r="IBX282" s="1069"/>
      <c r="IBY282" s="1069"/>
      <c r="IBZ282" s="1069"/>
      <c r="ICA282" s="1069"/>
      <c r="ICB282" s="1069"/>
      <c r="ICC282" s="1069"/>
      <c r="ICD282" s="1069"/>
      <c r="ICE282" s="1069"/>
      <c r="ICF282" s="1069"/>
      <c r="ICG282" s="1069"/>
      <c r="ICH282" s="1069"/>
      <c r="ICI282" s="1069"/>
      <c r="ICJ282" s="1069"/>
      <c r="ICK282" s="1069"/>
      <c r="ICL282" s="1069"/>
      <c r="ICM282" s="1069"/>
      <c r="ICN282" s="1069"/>
      <c r="ICO282" s="1069"/>
      <c r="ICP282" s="1069"/>
      <c r="ICQ282" s="1069"/>
      <c r="ICR282" s="1069"/>
      <c r="ICS282" s="1069"/>
      <c r="ICT282" s="1069"/>
      <c r="ICU282" s="1069"/>
      <c r="ICV282" s="1069"/>
      <c r="ICW282" s="1069"/>
      <c r="ICX282" s="1069"/>
      <c r="ICY282" s="1069"/>
      <c r="ICZ282" s="1069"/>
      <c r="IDA282" s="1069"/>
      <c r="IDB282" s="1069"/>
      <c r="IDC282" s="1069"/>
      <c r="IDD282" s="1069"/>
      <c r="IDE282" s="1069"/>
      <c r="IDF282" s="1069"/>
      <c r="IDG282" s="1069"/>
      <c r="IDH282" s="1069"/>
      <c r="IDI282" s="1069"/>
      <c r="IDJ282" s="1069"/>
      <c r="IDK282" s="1069"/>
      <c r="IDL282" s="1069"/>
      <c r="IDM282" s="1069"/>
      <c r="IDN282" s="1069"/>
      <c r="IDO282" s="1069"/>
      <c r="IDP282" s="1069"/>
      <c r="IDQ282" s="1069"/>
      <c r="IDR282" s="1069"/>
      <c r="IDS282" s="1069"/>
      <c r="IDT282" s="1069"/>
      <c r="IDU282" s="1069"/>
      <c r="IDV282" s="1069"/>
      <c r="IDW282" s="1069"/>
      <c r="IDX282" s="1069"/>
      <c r="IDY282" s="1069"/>
      <c r="IDZ282" s="1069"/>
      <c r="IEA282" s="1069"/>
      <c r="IEB282" s="1069"/>
      <c r="IEC282" s="1069"/>
      <c r="IED282" s="1069"/>
      <c r="IEE282" s="1069"/>
      <c r="IEF282" s="1069"/>
      <c r="IEG282" s="1069"/>
      <c r="IEH282" s="1069"/>
      <c r="IEI282" s="1069"/>
      <c r="IEJ282" s="1069"/>
      <c r="IEK282" s="1069"/>
      <c r="IEL282" s="1069"/>
      <c r="IEM282" s="1069"/>
      <c r="IEN282" s="1069"/>
      <c r="IEO282" s="1069"/>
      <c r="IEP282" s="1069"/>
      <c r="IEQ282" s="1069"/>
      <c r="IER282" s="1069"/>
      <c r="IES282" s="1069"/>
      <c r="IET282" s="1069"/>
      <c r="IEU282" s="1069"/>
      <c r="IEV282" s="1069"/>
      <c r="IEW282" s="1069"/>
      <c r="IEX282" s="1069"/>
      <c r="IEY282" s="1069"/>
      <c r="IEZ282" s="1069"/>
      <c r="IFA282" s="1069"/>
      <c r="IFB282" s="1069"/>
      <c r="IFC282" s="1069"/>
      <c r="IFD282" s="1069"/>
      <c r="IFE282" s="1069"/>
      <c r="IFF282" s="1069"/>
      <c r="IFG282" s="1069"/>
      <c r="IFH282" s="1069"/>
      <c r="IFI282" s="1069"/>
      <c r="IFJ282" s="1069"/>
      <c r="IFK282" s="1069"/>
      <c r="IFL282" s="1069"/>
      <c r="IFM282" s="1069"/>
      <c r="IFN282" s="1069"/>
      <c r="IFO282" s="1069"/>
      <c r="IFP282" s="1069"/>
      <c r="IFQ282" s="1069"/>
      <c r="IFR282" s="1069"/>
      <c r="IFS282" s="1069"/>
      <c r="IFT282" s="1069"/>
      <c r="IFU282" s="1069"/>
      <c r="IFV282" s="1069"/>
      <c r="IFW282" s="1069"/>
      <c r="IFX282" s="1069"/>
      <c r="IFY282" s="1069"/>
      <c r="IFZ282" s="1069"/>
      <c r="IGA282" s="1069"/>
      <c r="IGB282" s="1069"/>
      <c r="IGC282" s="1069"/>
      <c r="IGD282" s="1069"/>
      <c r="IGE282" s="1069"/>
      <c r="IGF282" s="1069"/>
      <c r="IGG282" s="1069"/>
      <c r="IGH282" s="1069"/>
      <c r="IGI282" s="1069"/>
      <c r="IGJ282" s="1069"/>
      <c r="IGK282" s="1069"/>
      <c r="IGL282" s="1069"/>
      <c r="IGM282" s="1069"/>
      <c r="IGN282" s="1069"/>
      <c r="IGO282" s="1069"/>
      <c r="IGP282" s="1069"/>
      <c r="IGQ282" s="1069"/>
      <c r="IGR282" s="1069"/>
      <c r="IGS282" s="1069"/>
      <c r="IGT282" s="1069"/>
      <c r="IGU282" s="1069"/>
      <c r="IGV282" s="1069"/>
      <c r="IGW282" s="1069"/>
      <c r="IGX282" s="1069"/>
      <c r="IGY282" s="1069"/>
      <c r="IGZ282" s="1069"/>
      <c r="IHA282" s="1069"/>
      <c r="IHB282" s="1069"/>
      <c r="IHC282" s="1069"/>
      <c r="IHD282" s="1069"/>
      <c r="IHE282" s="1069"/>
      <c r="IHF282" s="1069"/>
      <c r="IHG282" s="1069"/>
      <c r="IHH282" s="1069"/>
      <c r="IHI282" s="1069"/>
      <c r="IHJ282" s="1069"/>
      <c r="IHK282" s="1069"/>
      <c r="IHL282" s="1069"/>
      <c r="IHM282" s="1069"/>
      <c r="IHN282" s="1069"/>
      <c r="IHO282" s="1069"/>
      <c r="IHP282" s="1069"/>
      <c r="IHQ282" s="1069"/>
      <c r="IHR282" s="1069"/>
      <c r="IHS282" s="1069"/>
      <c r="IHT282" s="1069"/>
      <c r="IHU282" s="1069"/>
      <c r="IHV282" s="1069"/>
      <c r="IHW282" s="1069"/>
      <c r="IHX282" s="1069"/>
      <c r="IHY282" s="1069"/>
      <c r="IHZ282" s="1069"/>
      <c r="IIA282" s="1069"/>
      <c r="IIB282" s="1069"/>
      <c r="IIC282" s="1069"/>
      <c r="IID282" s="1069"/>
      <c r="IIE282" s="1069"/>
      <c r="IIF282" s="1069"/>
      <c r="IIG282" s="1069"/>
      <c r="IIH282" s="1069"/>
      <c r="III282" s="1069"/>
      <c r="IIJ282" s="1069"/>
      <c r="IIK282" s="1069"/>
      <c r="IIL282" s="1069"/>
      <c r="IIM282" s="1069"/>
      <c r="IIN282" s="1069"/>
      <c r="IIO282" s="1069"/>
      <c r="IIP282" s="1069"/>
      <c r="IIQ282" s="1069"/>
      <c r="IIR282" s="1069"/>
      <c r="IIS282" s="1069"/>
      <c r="IIT282" s="1069"/>
      <c r="IIU282" s="1069"/>
      <c r="IIV282" s="1069"/>
      <c r="IIW282" s="1069"/>
      <c r="IIX282" s="1069"/>
      <c r="IIY282" s="1069"/>
      <c r="IIZ282" s="1069"/>
      <c r="IJA282" s="1069"/>
      <c r="IJB282" s="1069"/>
      <c r="IJC282" s="1069"/>
      <c r="IJD282" s="1069"/>
      <c r="IJE282" s="1069"/>
      <c r="IJF282" s="1069"/>
      <c r="IJG282" s="1069"/>
      <c r="IJH282" s="1069"/>
      <c r="IJI282" s="1069"/>
      <c r="IJJ282" s="1069"/>
      <c r="IJK282" s="1069"/>
      <c r="IJL282" s="1069"/>
      <c r="IJM282" s="1069"/>
      <c r="IJN282" s="1069"/>
      <c r="IJO282" s="1069"/>
      <c r="IJP282" s="1069"/>
      <c r="IJQ282" s="1069"/>
      <c r="IJR282" s="1069"/>
      <c r="IJS282" s="1069"/>
      <c r="IJT282" s="1069"/>
      <c r="IJU282" s="1069"/>
      <c r="IJV282" s="1069"/>
      <c r="IJW282" s="1069"/>
      <c r="IJX282" s="1069"/>
      <c r="IJY282" s="1069"/>
      <c r="IJZ282" s="1069"/>
      <c r="IKA282" s="1069"/>
      <c r="IKB282" s="1069"/>
      <c r="IKC282" s="1069"/>
      <c r="IKD282" s="1069"/>
      <c r="IKE282" s="1069"/>
      <c r="IKF282" s="1069"/>
      <c r="IKG282" s="1069"/>
      <c r="IKH282" s="1069"/>
      <c r="IKI282" s="1069"/>
      <c r="IKJ282" s="1069"/>
      <c r="IKK282" s="1069"/>
      <c r="IKL282" s="1069"/>
      <c r="IKM282" s="1069"/>
      <c r="IKN282" s="1069"/>
      <c r="IKO282" s="1069"/>
      <c r="IKP282" s="1069"/>
      <c r="IKQ282" s="1069"/>
      <c r="IKR282" s="1069"/>
      <c r="IKS282" s="1069"/>
      <c r="IKT282" s="1069"/>
      <c r="IKU282" s="1069"/>
      <c r="IKV282" s="1069"/>
      <c r="IKW282" s="1069"/>
      <c r="IKX282" s="1069"/>
      <c r="IKY282" s="1069"/>
      <c r="IKZ282" s="1069"/>
      <c r="ILA282" s="1069"/>
      <c r="ILB282" s="1069"/>
      <c r="ILC282" s="1069"/>
      <c r="ILD282" s="1069"/>
      <c r="ILE282" s="1069"/>
      <c r="ILF282" s="1069"/>
      <c r="ILG282" s="1069"/>
      <c r="ILH282" s="1069"/>
      <c r="ILI282" s="1069"/>
      <c r="ILJ282" s="1069"/>
      <c r="ILK282" s="1069"/>
      <c r="ILL282" s="1069"/>
      <c r="ILM282" s="1069"/>
      <c r="ILN282" s="1069"/>
      <c r="ILO282" s="1069"/>
      <c r="ILP282" s="1069"/>
      <c r="ILQ282" s="1069"/>
      <c r="ILR282" s="1069"/>
      <c r="ILS282" s="1069"/>
      <c r="ILT282" s="1069"/>
      <c r="ILU282" s="1069"/>
      <c r="ILV282" s="1069"/>
      <c r="ILW282" s="1069"/>
      <c r="ILX282" s="1069"/>
      <c r="ILY282" s="1069"/>
      <c r="ILZ282" s="1069"/>
      <c r="IMA282" s="1069"/>
      <c r="IMB282" s="1069"/>
      <c r="IMC282" s="1069"/>
      <c r="IMD282" s="1069"/>
      <c r="IME282" s="1069"/>
      <c r="IMF282" s="1069"/>
      <c r="IMG282" s="1069"/>
      <c r="IMH282" s="1069"/>
      <c r="IMI282" s="1069"/>
      <c r="IMJ282" s="1069"/>
      <c r="IMK282" s="1069"/>
      <c r="IML282" s="1069"/>
      <c r="IMM282" s="1069"/>
      <c r="IMN282" s="1069"/>
      <c r="IMO282" s="1069"/>
      <c r="IMP282" s="1069"/>
      <c r="IMQ282" s="1069"/>
      <c r="IMR282" s="1069"/>
      <c r="IMS282" s="1069"/>
      <c r="IMT282" s="1069"/>
      <c r="IMU282" s="1069"/>
      <c r="IMV282" s="1069"/>
      <c r="IMW282" s="1069"/>
      <c r="IMX282" s="1069"/>
      <c r="IMY282" s="1069"/>
      <c r="IMZ282" s="1069"/>
      <c r="INA282" s="1069"/>
      <c r="INB282" s="1069"/>
      <c r="INC282" s="1069"/>
      <c r="IND282" s="1069"/>
      <c r="INE282" s="1069"/>
      <c r="INF282" s="1069"/>
      <c r="ING282" s="1069"/>
      <c r="INH282" s="1069"/>
      <c r="INI282" s="1069"/>
      <c r="INJ282" s="1069"/>
      <c r="INK282" s="1069"/>
      <c r="INL282" s="1069"/>
      <c r="INM282" s="1069"/>
      <c r="INN282" s="1069"/>
      <c r="INO282" s="1069"/>
      <c r="INP282" s="1069"/>
      <c r="INQ282" s="1069"/>
      <c r="INR282" s="1069"/>
      <c r="INS282" s="1069"/>
      <c r="INT282" s="1069"/>
      <c r="INU282" s="1069"/>
      <c r="INV282" s="1069"/>
      <c r="INW282" s="1069"/>
      <c r="INX282" s="1069"/>
      <c r="INY282" s="1069"/>
      <c r="INZ282" s="1069"/>
      <c r="IOA282" s="1069"/>
      <c r="IOB282" s="1069"/>
      <c r="IOC282" s="1069"/>
      <c r="IOD282" s="1069"/>
      <c r="IOE282" s="1069"/>
      <c r="IOF282" s="1069"/>
      <c r="IOG282" s="1069"/>
      <c r="IOH282" s="1069"/>
      <c r="IOI282" s="1069"/>
      <c r="IOJ282" s="1069"/>
      <c r="IOK282" s="1069"/>
      <c r="IOL282" s="1069"/>
      <c r="IOM282" s="1069"/>
      <c r="ION282" s="1069"/>
      <c r="IOO282" s="1069"/>
      <c r="IOP282" s="1069"/>
      <c r="IOQ282" s="1069"/>
      <c r="IOR282" s="1069"/>
      <c r="IOS282" s="1069"/>
      <c r="IOT282" s="1069"/>
      <c r="IOU282" s="1069"/>
      <c r="IOV282" s="1069"/>
      <c r="IOW282" s="1069"/>
      <c r="IOX282" s="1069"/>
      <c r="IOY282" s="1069"/>
      <c r="IOZ282" s="1069"/>
      <c r="IPA282" s="1069"/>
      <c r="IPB282" s="1069"/>
      <c r="IPC282" s="1069"/>
      <c r="IPD282" s="1069"/>
      <c r="IPE282" s="1069"/>
      <c r="IPF282" s="1069"/>
      <c r="IPG282" s="1069"/>
      <c r="IPH282" s="1069"/>
      <c r="IPI282" s="1069"/>
      <c r="IPJ282" s="1069"/>
      <c r="IPK282" s="1069"/>
      <c r="IPL282" s="1069"/>
      <c r="IPM282" s="1069"/>
      <c r="IPN282" s="1069"/>
      <c r="IPO282" s="1069"/>
      <c r="IPP282" s="1069"/>
      <c r="IPQ282" s="1069"/>
      <c r="IPR282" s="1069"/>
      <c r="IPS282" s="1069"/>
      <c r="IPT282" s="1069"/>
      <c r="IPU282" s="1069"/>
      <c r="IPV282" s="1069"/>
      <c r="IPW282" s="1069"/>
      <c r="IPX282" s="1069"/>
      <c r="IPY282" s="1069"/>
      <c r="IPZ282" s="1069"/>
      <c r="IQA282" s="1069"/>
      <c r="IQB282" s="1069"/>
      <c r="IQC282" s="1069"/>
      <c r="IQD282" s="1069"/>
      <c r="IQE282" s="1069"/>
      <c r="IQF282" s="1069"/>
      <c r="IQG282" s="1069"/>
      <c r="IQH282" s="1069"/>
      <c r="IQI282" s="1069"/>
      <c r="IQJ282" s="1069"/>
      <c r="IQK282" s="1069"/>
      <c r="IQL282" s="1069"/>
      <c r="IQM282" s="1069"/>
      <c r="IQN282" s="1069"/>
      <c r="IQO282" s="1069"/>
      <c r="IQP282" s="1069"/>
      <c r="IQQ282" s="1069"/>
      <c r="IQR282" s="1069"/>
      <c r="IQS282" s="1069"/>
      <c r="IQT282" s="1069"/>
      <c r="IQU282" s="1069"/>
      <c r="IQV282" s="1069"/>
      <c r="IQW282" s="1069"/>
      <c r="IQX282" s="1069"/>
      <c r="IQY282" s="1069"/>
      <c r="IQZ282" s="1069"/>
      <c r="IRA282" s="1069"/>
      <c r="IRB282" s="1069"/>
      <c r="IRC282" s="1069"/>
      <c r="IRD282" s="1069"/>
      <c r="IRE282" s="1069"/>
      <c r="IRF282" s="1069"/>
      <c r="IRG282" s="1069"/>
      <c r="IRH282" s="1069"/>
      <c r="IRI282" s="1069"/>
      <c r="IRJ282" s="1069"/>
      <c r="IRK282" s="1069"/>
      <c r="IRL282" s="1069"/>
      <c r="IRM282" s="1069"/>
      <c r="IRN282" s="1069"/>
      <c r="IRO282" s="1069"/>
      <c r="IRP282" s="1069"/>
      <c r="IRQ282" s="1069"/>
      <c r="IRR282" s="1069"/>
      <c r="IRS282" s="1069"/>
      <c r="IRT282" s="1069"/>
      <c r="IRU282" s="1069"/>
      <c r="IRV282" s="1069"/>
      <c r="IRW282" s="1069"/>
      <c r="IRX282" s="1069"/>
      <c r="IRY282" s="1069"/>
      <c r="IRZ282" s="1069"/>
      <c r="ISA282" s="1069"/>
      <c r="ISB282" s="1069"/>
      <c r="ISC282" s="1069"/>
      <c r="ISD282" s="1069"/>
      <c r="ISE282" s="1069"/>
      <c r="ISF282" s="1069"/>
      <c r="ISG282" s="1069"/>
      <c r="ISH282" s="1069"/>
      <c r="ISI282" s="1069"/>
      <c r="ISJ282" s="1069"/>
      <c r="ISK282" s="1069"/>
      <c r="ISL282" s="1069"/>
      <c r="ISM282" s="1069"/>
      <c r="ISN282" s="1069"/>
      <c r="ISO282" s="1069"/>
      <c r="ISP282" s="1069"/>
      <c r="ISQ282" s="1069"/>
      <c r="ISR282" s="1069"/>
      <c r="ISS282" s="1069"/>
      <c r="IST282" s="1069"/>
      <c r="ISU282" s="1069"/>
      <c r="ISV282" s="1069"/>
      <c r="ISW282" s="1069"/>
      <c r="ISX282" s="1069"/>
      <c r="ISY282" s="1069"/>
      <c r="ISZ282" s="1069"/>
      <c r="ITA282" s="1069"/>
      <c r="ITB282" s="1069"/>
      <c r="ITC282" s="1069"/>
      <c r="ITD282" s="1069"/>
      <c r="ITE282" s="1069"/>
      <c r="ITF282" s="1069"/>
      <c r="ITG282" s="1069"/>
      <c r="ITH282" s="1069"/>
      <c r="ITI282" s="1069"/>
      <c r="ITJ282" s="1069"/>
      <c r="ITK282" s="1069"/>
      <c r="ITL282" s="1069"/>
      <c r="ITM282" s="1069"/>
      <c r="ITN282" s="1069"/>
      <c r="ITO282" s="1069"/>
      <c r="ITP282" s="1069"/>
      <c r="ITQ282" s="1069"/>
      <c r="ITR282" s="1069"/>
      <c r="ITS282" s="1069"/>
      <c r="ITT282" s="1069"/>
      <c r="ITU282" s="1069"/>
      <c r="ITV282" s="1069"/>
      <c r="ITW282" s="1069"/>
      <c r="ITX282" s="1069"/>
      <c r="ITY282" s="1069"/>
      <c r="ITZ282" s="1069"/>
      <c r="IUA282" s="1069"/>
      <c r="IUB282" s="1069"/>
      <c r="IUC282" s="1069"/>
      <c r="IUD282" s="1069"/>
      <c r="IUE282" s="1069"/>
      <c r="IUF282" s="1069"/>
      <c r="IUG282" s="1069"/>
      <c r="IUH282" s="1069"/>
      <c r="IUI282" s="1069"/>
      <c r="IUJ282" s="1069"/>
      <c r="IUK282" s="1069"/>
      <c r="IUL282" s="1069"/>
      <c r="IUM282" s="1069"/>
      <c r="IUN282" s="1069"/>
      <c r="IUO282" s="1069"/>
      <c r="IUP282" s="1069"/>
      <c r="IUQ282" s="1069"/>
      <c r="IUR282" s="1069"/>
      <c r="IUS282" s="1069"/>
      <c r="IUT282" s="1069"/>
      <c r="IUU282" s="1069"/>
      <c r="IUV282" s="1069"/>
      <c r="IUW282" s="1069"/>
      <c r="IUX282" s="1069"/>
      <c r="IUY282" s="1069"/>
      <c r="IUZ282" s="1069"/>
      <c r="IVA282" s="1069"/>
      <c r="IVB282" s="1069"/>
      <c r="IVC282" s="1069"/>
      <c r="IVD282" s="1069"/>
      <c r="IVE282" s="1069"/>
      <c r="IVF282" s="1069"/>
      <c r="IVG282" s="1069"/>
      <c r="IVH282" s="1069"/>
      <c r="IVI282" s="1069"/>
      <c r="IVJ282" s="1069"/>
      <c r="IVK282" s="1069"/>
      <c r="IVL282" s="1069"/>
      <c r="IVM282" s="1069"/>
      <c r="IVN282" s="1069"/>
      <c r="IVO282" s="1069"/>
      <c r="IVP282" s="1069"/>
      <c r="IVQ282" s="1069"/>
      <c r="IVR282" s="1069"/>
      <c r="IVS282" s="1069"/>
      <c r="IVT282" s="1069"/>
      <c r="IVU282" s="1069"/>
      <c r="IVV282" s="1069"/>
      <c r="IVW282" s="1069"/>
      <c r="IVX282" s="1069"/>
      <c r="IVY282" s="1069"/>
      <c r="IVZ282" s="1069"/>
      <c r="IWA282" s="1069"/>
      <c r="IWB282" s="1069"/>
      <c r="IWC282" s="1069"/>
      <c r="IWD282" s="1069"/>
      <c r="IWE282" s="1069"/>
      <c r="IWF282" s="1069"/>
      <c r="IWG282" s="1069"/>
      <c r="IWH282" s="1069"/>
      <c r="IWI282" s="1069"/>
      <c r="IWJ282" s="1069"/>
      <c r="IWK282" s="1069"/>
      <c r="IWL282" s="1069"/>
      <c r="IWM282" s="1069"/>
      <c r="IWN282" s="1069"/>
      <c r="IWO282" s="1069"/>
      <c r="IWP282" s="1069"/>
      <c r="IWQ282" s="1069"/>
      <c r="IWR282" s="1069"/>
      <c r="IWS282" s="1069"/>
      <c r="IWT282" s="1069"/>
      <c r="IWU282" s="1069"/>
      <c r="IWV282" s="1069"/>
      <c r="IWW282" s="1069"/>
      <c r="IWX282" s="1069"/>
      <c r="IWY282" s="1069"/>
      <c r="IWZ282" s="1069"/>
      <c r="IXA282" s="1069"/>
      <c r="IXB282" s="1069"/>
      <c r="IXC282" s="1069"/>
      <c r="IXD282" s="1069"/>
      <c r="IXE282" s="1069"/>
      <c r="IXF282" s="1069"/>
      <c r="IXG282" s="1069"/>
      <c r="IXH282" s="1069"/>
      <c r="IXI282" s="1069"/>
      <c r="IXJ282" s="1069"/>
      <c r="IXK282" s="1069"/>
      <c r="IXL282" s="1069"/>
      <c r="IXM282" s="1069"/>
      <c r="IXN282" s="1069"/>
      <c r="IXO282" s="1069"/>
      <c r="IXP282" s="1069"/>
      <c r="IXQ282" s="1069"/>
      <c r="IXR282" s="1069"/>
      <c r="IXS282" s="1069"/>
      <c r="IXT282" s="1069"/>
      <c r="IXU282" s="1069"/>
      <c r="IXV282" s="1069"/>
      <c r="IXW282" s="1069"/>
      <c r="IXX282" s="1069"/>
      <c r="IXY282" s="1069"/>
      <c r="IXZ282" s="1069"/>
      <c r="IYA282" s="1069"/>
      <c r="IYB282" s="1069"/>
      <c r="IYC282" s="1069"/>
      <c r="IYD282" s="1069"/>
      <c r="IYE282" s="1069"/>
      <c r="IYF282" s="1069"/>
      <c r="IYG282" s="1069"/>
      <c r="IYH282" s="1069"/>
      <c r="IYI282" s="1069"/>
      <c r="IYJ282" s="1069"/>
      <c r="IYK282" s="1069"/>
      <c r="IYL282" s="1069"/>
      <c r="IYM282" s="1069"/>
      <c r="IYN282" s="1069"/>
      <c r="IYO282" s="1069"/>
      <c r="IYP282" s="1069"/>
      <c r="IYQ282" s="1069"/>
      <c r="IYR282" s="1069"/>
      <c r="IYS282" s="1069"/>
      <c r="IYT282" s="1069"/>
      <c r="IYU282" s="1069"/>
      <c r="IYV282" s="1069"/>
      <c r="IYW282" s="1069"/>
      <c r="IYX282" s="1069"/>
      <c r="IYY282" s="1069"/>
      <c r="IYZ282" s="1069"/>
      <c r="IZA282" s="1069"/>
      <c r="IZB282" s="1069"/>
      <c r="IZC282" s="1069"/>
      <c r="IZD282" s="1069"/>
      <c r="IZE282" s="1069"/>
      <c r="IZF282" s="1069"/>
      <c r="IZG282" s="1069"/>
      <c r="IZH282" s="1069"/>
      <c r="IZI282" s="1069"/>
      <c r="IZJ282" s="1069"/>
      <c r="IZK282" s="1069"/>
      <c r="IZL282" s="1069"/>
      <c r="IZM282" s="1069"/>
      <c r="IZN282" s="1069"/>
      <c r="IZO282" s="1069"/>
      <c r="IZP282" s="1069"/>
      <c r="IZQ282" s="1069"/>
      <c r="IZR282" s="1069"/>
      <c r="IZS282" s="1069"/>
      <c r="IZT282" s="1069"/>
      <c r="IZU282" s="1069"/>
      <c r="IZV282" s="1069"/>
      <c r="IZW282" s="1069"/>
      <c r="IZX282" s="1069"/>
      <c r="IZY282" s="1069"/>
      <c r="IZZ282" s="1069"/>
      <c r="JAA282" s="1069"/>
      <c r="JAB282" s="1069"/>
      <c r="JAC282" s="1069"/>
      <c r="JAD282" s="1069"/>
      <c r="JAE282" s="1069"/>
      <c r="JAF282" s="1069"/>
      <c r="JAG282" s="1069"/>
      <c r="JAH282" s="1069"/>
      <c r="JAI282" s="1069"/>
      <c r="JAJ282" s="1069"/>
      <c r="JAK282" s="1069"/>
      <c r="JAL282" s="1069"/>
      <c r="JAM282" s="1069"/>
      <c r="JAN282" s="1069"/>
      <c r="JAO282" s="1069"/>
      <c r="JAP282" s="1069"/>
      <c r="JAQ282" s="1069"/>
      <c r="JAR282" s="1069"/>
      <c r="JAS282" s="1069"/>
      <c r="JAT282" s="1069"/>
      <c r="JAU282" s="1069"/>
      <c r="JAV282" s="1069"/>
      <c r="JAW282" s="1069"/>
      <c r="JAX282" s="1069"/>
      <c r="JAY282" s="1069"/>
      <c r="JAZ282" s="1069"/>
      <c r="JBA282" s="1069"/>
      <c r="JBB282" s="1069"/>
      <c r="JBC282" s="1069"/>
      <c r="JBD282" s="1069"/>
      <c r="JBE282" s="1069"/>
      <c r="JBF282" s="1069"/>
      <c r="JBG282" s="1069"/>
      <c r="JBH282" s="1069"/>
      <c r="JBI282" s="1069"/>
      <c r="JBJ282" s="1069"/>
      <c r="JBK282" s="1069"/>
      <c r="JBL282" s="1069"/>
      <c r="JBM282" s="1069"/>
      <c r="JBN282" s="1069"/>
      <c r="JBO282" s="1069"/>
      <c r="JBP282" s="1069"/>
      <c r="JBQ282" s="1069"/>
      <c r="JBR282" s="1069"/>
      <c r="JBS282" s="1069"/>
      <c r="JBT282" s="1069"/>
      <c r="JBU282" s="1069"/>
      <c r="JBV282" s="1069"/>
      <c r="JBW282" s="1069"/>
      <c r="JBX282" s="1069"/>
      <c r="JBY282" s="1069"/>
      <c r="JBZ282" s="1069"/>
      <c r="JCA282" s="1069"/>
      <c r="JCB282" s="1069"/>
      <c r="JCC282" s="1069"/>
      <c r="JCD282" s="1069"/>
      <c r="JCE282" s="1069"/>
      <c r="JCF282" s="1069"/>
      <c r="JCG282" s="1069"/>
      <c r="JCH282" s="1069"/>
      <c r="JCI282" s="1069"/>
      <c r="JCJ282" s="1069"/>
      <c r="JCK282" s="1069"/>
      <c r="JCL282" s="1069"/>
      <c r="JCM282" s="1069"/>
      <c r="JCN282" s="1069"/>
      <c r="JCO282" s="1069"/>
      <c r="JCP282" s="1069"/>
      <c r="JCQ282" s="1069"/>
      <c r="JCR282" s="1069"/>
      <c r="JCS282" s="1069"/>
      <c r="JCT282" s="1069"/>
      <c r="JCU282" s="1069"/>
      <c r="JCV282" s="1069"/>
      <c r="JCW282" s="1069"/>
      <c r="JCX282" s="1069"/>
      <c r="JCY282" s="1069"/>
      <c r="JCZ282" s="1069"/>
      <c r="JDA282" s="1069"/>
      <c r="JDB282" s="1069"/>
      <c r="JDC282" s="1069"/>
      <c r="JDD282" s="1069"/>
      <c r="JDE282" s="1069"/>
      <c r="JDF282" s="1069"/>
      <c r="JDG282" s="1069"/>
      <c r="JDH282" s="1069"/>
      <c r="JDI282" s="1069"/>
      <c r="JDJ282" s="1069"/>
      <c r="JDK282" s="1069"/>
      <c r="JDL282" s="1069"/>
      <c r="JDM282" s="1069"/>
      <c r="JDN282" s="1069"/>
      <c r="JDO282" s="1069"/>
      <c r="JDP282" s="1069"/>
      <c r="JDQ282" s="1069"/>
      <c r="JDR282" s="1069"/>
      <c r="JDS282" s="1069"/>
      <c r="JDT282" s="1069"/>
      <c r="JDU282" s="1069"/>
      <c r="JDV282" s="1069"/>
      <c r="JDW282" s="1069"/>
      <c r="JDX282" s="1069"/>
      <c r="JDY282" s="1069"/>
      <c r="JDZ282" s="1069"/>
      <c r="JEA282" s="1069"/>
      <c r="JEB282" s="1069"/>
      <c r="JEC282" s="1069"/>
      <c r="JED282" s="1069"/>
      <c r="JEE282" s="1069"/>
      <c r="JEF282" s="1069"/>
      <c r="JEG282" s="1069"/>
      <c r="JEH282" s="1069"/>
      <c r="JEI282" s="1069"/>
      <c r="JEJ282" s="1069"/>
      <c r="JEK282" s="1069"/>
      <c r="JEL282" s="1069"/>
      <c r="JEM282" s="1069"/>
      <c r="JEN282" s="1069"/>
      <c r="JEO282" s="1069"/>
      <c r="JEP282" s="1069"/>
      <c r="JEQ282" s="1069"/>
      <c r="JER282" s="1069"/>
      <c r="JES282" s="1069"/>
      <c r="JET282" s="1069"/>
      <c r="JEU282" s="1069"/>
      <c r="JEV282" s="1069"/>
      <c r="JEW282" s="1069"/>
      <c r="JEX282" s="1069"/>
      <c r="JEY282" s="1069"/>
      <c r="JEZ282" s="1069"/>
      <c r="JFA282" s="1069"/>
      <c r="JFB282" s="1069"/>
      <c r="JFC282" s="1069"/>
      <c r="JFD282" s="1069"/>
      <c r="JFE282" s="1069"/>
      <c r="JFF282" s="1069"/>
      <c r="JFG282" s="1069"/>
      <c r="JFH282" s="1069"/>
      <c r="JFI282" s="1069"/>
      <c r="JFJ282" s="1069"/>
      <c r="JFK282" s="1069"/>
      <c r="JFL282" s="1069"/>
      <c r="JFM282" s="1069"/>
      <c r="JFN282" s="1069"/>
      <c r="JFO282" s="1069"/>
      <c r="JFP282" s="1069"/>
      <c r="JFQ282" s="1069"/>
      <c r="JFR282" s="1069"/>
      <c r="JFS282" s="1069"/>
      <c r="JFT282" s="1069"/>
      <c r="JFU282" s="1069"/>
      <c r="JFV282" s="1069"/>
      <c r="JFW282" s="1069"/>
      <c r="JFX282" s="1069"/>
      <c r="JFY282" s="1069"/>
      <c r="JFZ282" s="1069"/>
      <c r="JGA282" s="1069"/>
      <c r="JGB282" s="1069"/>
      <c r="JGC282" s="1069"/>
      <c r="JGD282" s="1069"/>
      <c r="JGE282" s="1069"/>
      <c r="JGF282" s="1069"/>
      <c r="JGG282" s="1069"/>
      <c r="JGH282" s="1069"/>
      <c r="JGI282" s="1069"/>
      <c r="JGJ282" s="1069"/>
      <c r="JGK282" s="1069"/>
      <c r="JGL282" s="1069"/>
      <c r="JGM282" s="1069"/>
      <c r="JGN282" s="1069"/>
      <c r="JGO282" s="1069"/>
      <c r="JGP282" s="1069"/>
      <c r="JGQ282" s="1069"/>
      <c r="JGR282" s="1069"/>
      <c r="JGS282" s="1069"/>
      <c r="JGT282" s="1069"/>
      <c r="JGU282" s="1069"/>
      <c r="JGV282" s="1069"/>
      <c r="JGW282" s="1069"/>
      <c r="JGX282" s="1069"/>
      <c r="JGY282" s="1069"/>
      <c r="JGZ282" s="1069"/>
      <c r="JHA282" s="1069"/>
      <c r="JHB282" s="1069"/>
      <c r="JHC282" s="1069"/>
      <c r="JHD282" s="1069"/>
      <c r="JHE282" s="1069"/>
      <c r="JHF282" s="1069"/>
      <c r="JHG282" s="1069"/>
      <c r="JHH282" s="1069"/>
      <c r="JHI282" s="1069"/>
      <c r="JHJ282" s="1069"/>
      <c r="JHK282" s="1069"/>
      <c r="JHL282" s="1069"/>
      <c r="JHM282" s="1069"/>
      <c r="JHN282" s="1069"/>
      <c r="JHO282" s="1069"/>
      <c r="JHP282" s="1069"/>
      <c r="JHQ282" s="1069"/>
      <c r="JHR282" s="1069"/>
      <c r="JHS282" s="1069"/>
      <c r="JHT282" s="1069"/>
      <c r="JHU282" s="1069"/>
      <c r="JHV282" s="1069"/>
      <c r="JHW282" s="1069"/>
      <c r="JHX282" s="1069"/>
      <c r="JHY282" s="1069"/>
      <c r="JHZ282" s="1069"/>
      <c r="JIA282" s="1069"/>
      <c r="JIB282" s="1069"/>
      <c r="JIC282" s="1069"/>
      <c r="JID282" s="1069"/>
      <c r="JIE282" s="1069"/>
      <c r="JIF282" s="1069"/>
      <c r="JIG282" s="1069"/>
      <c r="JIH282" s="1069"/>
      <c r="JII282" s="1069"/>
      <c r="JIJ282" s="1069"/>
      <c r="JIK282" s="1069"/>
      <c r="JIL282" s="1069"/>
      <c r="JIM282" s="1069"/>
      <c r="JIN282" s="1069"/>
      <c r="JIO282" s="1069"/>
      <c r="JIP282" s="1069"/>
      <c r="JIQ282" s="1069"/>
      <c r="JIR282" s="1069"/>
      <c r="JIS282" s="1069"/>
      <c r="JIT282" s="1069"/>
      <c r="JIU282" s="1069"/>
      <c r="JIV282" s="1069"/>
      <c r="JIW282" s="1069"/>
      <c r="JIX282" s="1069"/>
      <c r="JIY282" s="1069"/>
      <c r="JIZ282" s="1069"/>
      <c r="JJA282" s="1069"/>
      <c r="JJB282" s="1069"/>
      <c r="JJC282" s="1069"/>
      <c r="JJD282" s="1069"/>
      <c r="JJE282" s="1069"/>
      <c r="JJF282" s="1069"/>
      <c r="JJG282" s="1069"/>
      <c r="JJH282" s="1069"/>
      <c r="JJI282" s="1069"/>
      <c r="JJJ282" s="1069"/>
      <c r="JJK282" s="1069"/>
      <c r="JJL282" s="1069"/>
      <c r="JJM282" s="1069"/>
      <c r="JJN282" s="1069"/>
      <c r="JJO282" s="1069"/>
      <c r="JJP282" s="1069"/>
      <c r="JJQ282" s="1069"/>
      <c r="JJR282" s="1069"/>
      <c r="JJS282" s="1069"/>
      <c r="JJT282" s="1069"/>
      <c r="JJU282" s="1069"/>
      <c r="JJV282" s="1069"/>
      <c r="JJW282" s="1069"/>
      <c r="JJX282" s="1069"/>
      <c r="JJY282" s="1069"/>
      <c r="JJZ282" s="1069"/>
      <c r="JKA282" s="1069"/>
      <c r="JKB282" s="1069"/>
      <c r="JKC282" s="1069"/>
      <c r="JKD282" s="1069"/>
      <c r="JKE282" s="1069"/>
      <c r="JKF282" s="1069"/>
      <c r="JKG282" s="1069"/>
      <c r="JKH282" s="1069"/>
      <c r="JKI282" s="1069"/>
      <c r="JKJ282" s="1069"/>
      <c r="JKK282" s="1069"/>
      <c r="JKL282" s="1069"/>
      <c r="JKM282" s="1069"/>
      <c r="JKN282" s="1069"/>
      <c r="JKO282" s="1069"/>
      <c r="JKP282" s="1069"/>
      <c r="JKQ282" s="1069"/>
      <c r="JKR282" s="1069"/>
      <c r="JKS282" s="1069"/>
      <c r="JKT282" s="1069"/>
      <c r="JKU282" s="1069"/>
      <c r="JKV282" s="1069"/>
      <c r="JKW282" s="1069"/>
      <c r="JKX282" s="1069"/>
      <c r="JKY282" s="1069"/>
      <c r="JKZ282" s="1069"/>
      <c r="JLA282" s="1069"/>
      <c r="JLB282" s="1069"/>
      <c r="JLC282" s="1069"/>
      <c r="JLD282" s="1069"/>
      <c r="JLE282" s="1069"/>
      <c r="JLF282" s="1069"/>
      <c r="JLG282" s="1069"/>
      <c r="JLH282" s="1069"/>
      <c r="JLI282" s="1069"/>
      <c r="JLJ282" s="1069"/>
      <c r="JLK282" s="1069"/>
      <c r="JLL282" s="1069"/>
      <c r="JLM282" s="1069"/>
      <c r="JLN282" s="1069"/>
      <c r="JLO282" s="1069"/>
      <c r="JLP282" s="1069"/>
      <c r="JLQ282" s="1069"/>
      <c r="JLR282" s="1069"/>
      <c r="JLS282" s="1069"/>
      <c r="JLT282" s="1069"/>
      <c r="JLU282" s="1069"/>
      <c r="JLV282" s="1069"/>
      <c r="JLW282" s="1069"/>
      <c r="JLX282" s="1069"/>
      <c r="JLY282" s="1069"/>
      <c r="JLZ282" s="1069"/>
      <c r="JMA282" s="1069"/>
      <c r="JMB282" s="1069"/>
      <c r="JMC282" s="1069"/>
      <c r="JMD282" s="1069"/>
      <c r="JME282" s="1069"/>
      <c r="JMF282" s="1069"/>
      <c r="JMG282" s="1069"/>
      <c r="JMH282" s="1069"/>
      <c r="JMI282" s="1069"/>
      <c r="JMJ282" s="1069"/>
      <c r="JMK282" s="1069"/>
      <c r="JML282" s="1069"/>
      <c r="JMM282" s="1069"/>
      <c r="JMN282" s="1069"/>
      <c r="JMO282" s="1069"/>
      <c r="JMP282" s="1069"/>
      <c r="JMQ282" s="1069"/>
      <c r="JMR282" s="1069"/>
      <c r="JMS282" s="1069"/>
      <c r="JMT282" s="1069"/>
      <c r="JMU282" s="1069"/>
      <c r="JMV282" s="1069"/>
      <c r="JMW282" s="1069"/>
      <c r="JMX282" s="1069"/>
      <c r="JMY282" s="1069"/>
      <c r="JMZ282" s="1069"/>
      <c r="JNA282" s="1069"/>
      <c r="JNB282" s="1069"/>
      <c r="JNC282" s="1069"/>
      <c r="JND282" s="1069"/>
      <c r="JNE282" s="1069"/>
      <c r="JNF282" s="1069"/>
      <c r="JNG282" s="1069"/>
      <c r="JNH282" s="1069"/>
      <c r="JNI282" s="1069"/>
      <c r="JNJ282" s="1069"/>
      <c r="JNK282" s="1069"/>
      <c r="JNL282" s="1069"/>
      <c r="JNM282" s="1069"/>
      <c r="JNN282" s="1069"/>
      <c r="JNO282" s="1069"/>
      <c r="JNP282" s="1069"/>
      <c r="JNQ282" s="1069"/>
      <c r="JNR282" s="1069"/>
      <c r="JNS282" s="1069"/>
      <c r="JNT282" s="1069"/>
      <c r="JNU282" s="1069"/>
      <c r="JNV282" s="1069"/>
      <c r="JNW282" s="1069"/>
      <c r="JNX282" s="1069"/>
      <c r="JNY282" s="1069"/>
      <c r="JNZ282" s="1069"/>
      <c r="JOA282" s="1069"/>
      <c r="JOB282" s="1069"/>
      <c r="JOC282" s="1069"/>
      <c r="JOD282" s="1069"/>
      <c r="JOE282" s="1069"/>
      <c r="JOF282" s="1069"/>
      <c r="JOG282" s="1069"/>
      <c r="JOH282" s="1069"/>
      <c r="JOI282" s="1069"/>
      <c r="JOJ282" s="1069"/>
      <c r="JOK282" s="1069"/>
      <c r="JOL282" s="1069"/>
      <c r="JOM282" s="1069"/>
      <c r="JON282" s="1069"/>
      <c r="JOO282" s="1069"/>
      <c r="JOP282" s="1069"/>
      <c r="JOQ282" s="1069"/>
      <c r="JOR282" s="1069"/>
      <c r="JOS282" s="1069"/>
      <c r="JOT282" s="1069"/>
      <c r="JOU282" s="1069"/>
      <c r="JOV282" s="1069"/>
      <c r="JOW282" s="1069"/>
      <c r="JOX282" s="1069"/>
      <c r="JOY282" s="1069"/>
      <c r="JOZ282" s="1069"/>
      <c r="JPA282" s="1069"/>
      <c r="JPB282" s="1069"/>
      <c r="JPC282" s="1069"/>
      <c r="JPD282" s="1069"/>
      <c r="JPE282" s="1069"/>
      <c r="JPF282" s="1069"/>
      <c r="JPG282" s="1069"/>
      <c r="JPH282" s="1069"/>
      <c r="JPI282" s="1069"/>
      <c r="JPJ282" s="1069"/>
      <c r="JPK282" s="1069"/>
      <c r="JPL282" s="1069"/>
      <c r="JPM282" s="1069"/>
      <c r="JPN282" s="1069"/>
      <c r="JPO282" s="1069"/>
      <c r="JPP282" s="1069"/>
      <c r="JPQ282" s="1069"/>
      <c r="JPR282" s="1069"/>
      <c r="JPS282" s="1069"/>
      <c r="JPT282" s="1069"/>
      <c r="JPU282" s="1069"/>
      <c r="JPV282" s="1069"/>
      <c r="JPW282" s="1069"/>
      <c r="JPX282" s="1069"/>
      <c r="JPY282" s="1069"/>
      <c r="JPZ282" s="1069"/>
      <c r="JQA282" s="1069"/>
      <c r="JQB282" s="1069"/>
      <c r="JQC282" s="1069"/>
      <c r="JQD282" s="1069"/>
      <c r="JQE282" s="1069"/>
      <c r="JQF282" s="1069"/>
      <c r="JQG282" s="1069"/>
      <c r="JQH282" s="1069"/>
      <c r="JQI282" s="1069"/>
      <c r="JQJ282" s="1069"/>
      <c r="JQK282" s="1069"/>
      <c r="JQL282" s="1069"/>
      <c r="JQM282" s="1069"/>
      <c r="JQN282" s="1069"/>
      <c r="JQO282" s="1069"/>
      <c r="JQP282" s="1069"/>
      <c r="JQQ282" s="1069"/>
      <c r="JQR282" s="1069"/>
      <c r="JQS282" s="1069"/>
      <c r="JQT282" s="1069"/>
      <c r="JQU282" s="1069"/>
      <c r="JQV282" s="1069"/>
      <c r="JQW282" s="1069"/>
      <c r="JQX282" s="1069"/>
      <c r="JQY282" s="1069"/>
      <c r="JQZ282" s="1069"/>
      <c r="JRA282" s="1069"/>
      <c r="JRB282" s="1069"/>
      <c r="JRC282" s="1069"/>
      <c r="JRD282" s="1069"/>
      <c r="JRE282" s="1069"/>
      <c r="JRF282" s="1069"/>
      <c r="JRG282" s="1069"/>
      <c r="JRH282" s="1069"/>
      <c r="JRI282" s="1069"/>
      <c r="JRJ282" s="1069"/>
      <c r="JRK282" s="1069"/>
      <c r="JRL282" s="1069"/>
      <c r="JRM282" s="1069"/>
      <c r="JRN282" s="1069"/>
      <c r="JRO282" s="1069"/>
      <c r="JRP282" s="1069"/>
      <c r="JRQ282" s="1069"/>
      <c r="JRR282" s="1069"/>
      <c r="JRS282" s="1069"/>
      <c r="JRT282" s="1069"/>
      <c r="JRU282" s="1069"/>
      <c r="JRV282" s="1069"/>
      <c r="JRW282" s="1069"/>
      <c r="JRX282" s="1069"/>
      <c r="JRY282" s="1069"/>
      <c r="JRZ282" s="1069"/>
      <c r="JSA282" s="1069"/>
      <c r="JSB282" s="1069"/>
      <c r="JSC282" s="1069"/>
      <c r="JSD282" s="1069"/>
      <c r="JSE282" s="1069"/>
      <c r="JSF282" s="1069"/>
      <c r="JSG282" s="1069"/>
      <c r="JSH282" s="1069"/>
      <c r="JSI282" s="1069"/>
      <c r="JSJ282" s="1069"/>
      <c r="JSK282" s="1069"/>
      <c r="JSL282" s="1069"/>
      <c r="JSM282" s="1069"/>
      <c r="JSN282" s="1069"/>
      <c r="JSO282" s="1069"/>
      <c r="JSP282" s="1069"/>
      <c r="JSQ282" s="1069"/>
      <c r="JSR282" s="1069"/>
      <c r="JSS282" s="1069"/>
      <c r="JST282" s="1069"/>
      <c r="JSU282" s="1069"/>
      <c r="JSV282" s="1069"/>
      <c r="JSW282" s="1069"/>
      <c r="JSX282" s="1069"/>
      <c r="JSY282" s="1069"/>
      <c r="JSZ282" s="1069"/>
      <c r="JTA282" s="1069"/>
      <c r="JTB282" s="1069"/>
      <c r="JTC282" s="1069"/>
      <c r="JTD282" s="1069"/>
      <c r="JTE282" s="1069"/>
      <c r="JTF282" s="1069"/>
      <c r="JTG282" s="1069"/>
      <c r="JTH282" s="1069"/>
      <c r="JTI282" s="1069"/>
      <c r="JTJ282" s="1069"/>
      <c r="JTK282" s="1069"/>
      <c r="JTL282" s="1069"/>
      <c r="JTM282" s="1069"/>
      <c r="JTN282" s="1069"/>
      <c r="JTO282" s="1069"/>
      <c r="JTP282" s="1069"/>
      <c r="JTQ282" s="1069"/>
      <c r="JTR282" s="1069"/>
      <c r="JTS282" s="1069"/>
      <c r="JTT282" s="1069"/>
      <c r="JTU282" s="1069"/>
      <c r="JTV282" s="1069"/>
      <c r="JTW282" s="1069"/>
      <c r="JTX282" s="1069"/>
      <c r="JTY282" s="1069"/>
      <c r="JTZ282" s="1069"/>
      <c r="JUA282" s="1069"/>
      <c r="JUB282" s="1069"/>
      <c r="JUC282" s="1069"/>
      <c r="JUD282" s="1069"/>
      <c r="JUE282" s="1069"/>
      <c r="JUF282" s="1069"/>
      <c r="JUG282" s="1069"/>
      <c r="JUH282" s="1069"/>
      <c r="JUI282" s="1069"/>
      <c r="JUJ282" s="1069"/>
      <c r="JUK282" s="1069"/>
      <c r="JUL282" s="1069"/>
      <c r="JUM282" s="1069"/>
      <c r="JUN282" s="1069"/>
      <c r="JUO282" s="1069"/>
      <c r="JUP282" s="1069"/>
      <c r="JUQ282" s="1069"/>
      <c r="JUR282" s="1069"/>
      <c r="JUS282" s="1069"/>
      <c r="JUT282" s="1069"/>
      <c r="JUU282" s="1069"/>
      <c r="JUV282" s="1069"/>
      <c r="JUW282" s="1069"/>
      <c r="JUX282" s="1069"/>
      <c r="JUY282" s="1069"/>
      <c r="JUZ282" s="1069"/>
      <c r="JVA282" s="1069"/>
      <c r="JVB282" s="1069"/>
      <c r="JVC282" s="1069"/>
      <c r="JVD282" s="1069"/>
      <c r="JVE282" s="1069"/>
      <c r="JVF282" s="1069"/>
      <c r="JVG282" s="1069"/>
      <c r="JVH282" s="1069"/>
      <c r="JVI282" s="1069"/>
      <c r="JVJ282" s="1069"/>
      <c r="JVK282" s="1069"/>
      <c r="JVL282" s="1069"/>
      <c r="JVM282" s="1069"/>
      <c r="JVN282" s="1069"/>
      <c r="JVO282" s="1069"/>
      <c r="JVP282" s="1069"/>
      <c r="JVQ282" s="1069"/>
      <c r="JVR282" s="1069"/>
      <c r="JVS282" s="1069"/>
      <c r="JVT282" s="1069"/>
      <c r="JVU282" s="1069"/>
      <c r="JVV282" s="1069"/>
      <c r="JVW282" s="1069"/>
      <c r="JVX282" s="1069"/>
      <c r="JVY282" s="1069"/>
      <c r="JVZ282" s="1069"/>
      <c r="JWA282" s="1069"/>
      <c r="JWB282" s="1069"/>
      <c r="JWC282" s="1069"/>
      <c r="JWD282" s="1069"/>
      <c r="JWE282" s="1069"/>
      <c r="JWF282" s="1069"/>
      <c r="JWG282" s="1069"/>
      <c r="JWH282" s="1069"/>
      <c r="JWI282" s="1069"/>
      <c r="JWJ282" s="1069"/>
      <c r="JWK282" s="1069"/>
      <c r="JWL282" s="1069"/>
      <c r="JWM282" s="1069"/>
      <c r="JWN282" s="1069"/>
      <c r="JWO282" s="1069"/>
      <c r="JWP282" s="1069"/>
      <c r="JWQ282" s="1069"/>
      <c r="JWR282" s="1069"/>
      <c r="JWS282" s="1069"/>
      <c r="JWT282" s="1069"/>
      <c r="JWU282" s="1069"/>
      <c r="JWV282" s="1069"/>
      <c r="JWW282" s="1069"/>
      <c r="JWX282" s="1069"/>
      <c r="JWY282" s="1069"/>
      <c r="JWZ282" s="1069"/>
      <c r="JXA282" s="1069"/>
      <c r="JXB282" s="1069"/>
      <c r="JXC282" s="1069"/>
      <c r="JXD282" s="1069"/>
      <c r="JXE282" s="1069"/>
      <c r="JXF282" s="1069"/>
      <c r="JXG282" s="1069"/>
      <c r="JXH282" s="1069"/>
      <c r="JXI282" s="1069"/>
      <c r="JXJ282" s="1069"/>
      <c r="JXK282" s="1069"/>
      <c r="JXL282" s="1069"/>
      <c r="JXM282" s="1069"/>
      <c r="JXN282" s="1069"/>
      <c r="JXO282" s="1069"/>
      <c r="JXP282" s="1069"/>
      <c r="JXQ282" s="1069"/>
      <c r="JXR282" s="1069"/>
      <c r="JXS282" s="1069"/>
      <c r="JXT282" s="1069"/>
      <c r="JXU282" s="1069"/>
      <c r="JXV282" s="1069"/>
      <c r="JXW282" s="1069"/>
      <c r="JXX282" s="1069"/>
      <c r="JXY282" s="1069"/>
      <c r="JXZ282" s="1069"/>
      <c r="JYA282" s="1069"/>
      <c r="JYB282" s="1069"/>
      <c r="JYC282" s="1069"/>
      <c r="JYD282" s="1069"/>
      <c r="JYE282" s="1069"/>
      <c r="JYF282" s="1069"/>
      <c r="JYG282" s="1069"/>
      <c r="JYH282" s="1069"/>
      <c r="JYI282" s="1069"/>
      <c r="JYJ282" s="1069"/>
      <c r="JYK282" s="1069"/>
      <c r="JYL282" s="1069"/>
      <c r="JYM282" s="1069"/>
      <c r="JYN282" s="1069"/>
      <c r="JYO282" s="1069"/>
      <c r="JYP282" s="1069"/>
      <c r="JYQ282" s="1069"/>
      <c r="JYR282" s="1069"/>
      <c r="JYS282" s="1069"/>
      <c r="JYT282" s="1069"/>
      <c r="JYU282" s="1069"/>
      <c r="JYV282" s="1069"/>
      <c r="JYW282" s="1069"/>
      <c r="JYX282" s="1069"/>
      <c r="JYY282" s="1069"/>
      <c r="JYZ282" s="1069"/>
      <c r="JZA282" s="1069"/>
      <c r="JZB282" s="1069"/>
      <c r="JZC282" s="1069"/>
      <c r="JZD282" s="1069"/>
      <c r="JZE282" s="1069"/>
      <c r="JZF282" s="1069"/>
      <c r="JZG282" s="1069"/>
      <c r="JZH282" s="1069"/>
      <c r="JZI282" s="1069"/>
      <c r="JZJ282" s="1069"/>
      <c r="JZK282" s="1069"/>
      <c r="JZL282" s="1069"/>
      <c r="JZM282" s="1069"/>
      <c r="JZN282" s="1069"/>
      <c r="JZO282" s="1069"/>
      <c r="JZP282" s="1069"/>
      <c r="JZQ282" s="1069"/>
      <c r="JZR282" s="1069"/>
      <c r="JZS282" s="1069"/>
      <c r="JZT282" s="1069"/>
      <c r="JZU282" s="1069"/>
      <c r="JZV282" s="1069"/>
      <c r="JZW282" s="1069"/>
      <c r="JZX282" s="1069"/>
      <c r="JZY282" s="1069"/>
      <c r="JZZ282" s="1069"/>
      <c r="KAA282" s="1069"/>
      <c r="KAB282" s="1069"/>
      <c r="KAC282" s="1069"/>
      <c r="KAD282" s="1069"/>
      <c r="KAE282" s="1069"/>
      <c r="KAF282" s="1069"/>
      <c r="KAG282" s="1069"/>
      <c r="KAH282" s="1069"/>
      <c r="KAI282" s="1069"/>
      <c r="KAJ282" s="1069"/>
      <c r="KAK282" s="1069"/>
      <c r="KAL282" s="1069"/>
      <c r="KAM282" s="1069"/>
      <c r="KAN282" s="1069"/>
      <c r="KAO282" s="1069"/>
      <c r="KAP282" s="1069"/>
      <c r="KAQ282" s="1069"/>
      <c r="KAR282" s="1069"/>
      <c r="KAS282" s="1069"/>
      <c r="KAT282" s="1069"/>
      <c r="KAU282" s="1069"/>
      <c r="KAV282" s="1069"/>
      <c r="KAW282" s="1069"/>
      <c r="KAX282" s="1069"/>
      <c r="KAY282" s="1069"/>
      <c r="KAZ282" s="1069"/>
      <c r="KBA282" s="1069"/>
      <c r="KBB282" s="1069"/>
      <c r="KBC282" s="1069"/>
      <c r="KBD282" s="1069"/>
      <c r="KBE282" s="1069"/>
      <c r="KBF282" s="1069"/>
      <c r="KBG282" s="1069"/>
      <c r="KBH282" s="1069"/>
      <c r="KBI282" s="1069"/>
      <c r="KBJ282" s="1069"/>
      <c r="KBK282" s="1069"/>
      <c r="KBL282" s="1069"/>
      <c r="KBM282" s="1069"/>
      <c r="KBN282" s="1069"/>
      <c r="KBO282" s="1069"/>
      <c r="KBP282" s="1069"/>
      <c r="KBQ282" s="1069"/>
      <c r="KBR282" s="1069"/>
      <c r="KBS282" s="1069"/>
      <c r="KBT282" s="1069"/>
      <c r="KBU282" s="1069"/>
      <c r="KBV282" s="1069"/>
      <c r="KBW282" s="1069"/>
      <c r="KBX282" s="1069"/>
      <c r="KBY282" s="1069"/>
      <c r="KBZ282" s="1069"/>
      <c r="KCA282" s="1069"/>
      <c r="KCB282" s="1069"/>
      <c r="KCC282" s="1069"/>
      <c r="KCD282" s="1069"/>
      <c r="KCE282" s="1069"/>
      <c r="KCF282" s="1069"/>
      <c r="KCG282" s="1069"/>
      <c r="KCH282" s="1069"/>
      <c r="KCI282" s="1069"/>
      <c r="KCJ282" s="1069"/>
      <c r="KCK282" s="1069"/>
      <c r="KCL282" s="1069"/>
      <c r="KCM282" s="1069"/>
      <c r="KCN282" s="1069"/>
      <c r="KCO282" s="1069"/>
      <c r="KCP282" s="1069"/>
      <c r="KCQ282" s="1069"/>
      <c r="KCR282" s="1069"/>
      <c r="KCS282" s="1069"/>
      <c r="KCT282" s="1069"/>
      <c r="KCU282" s="1069"/>
      <c r="KCV282" s="1069"/>
      <c r="KCW282" s="1069"/>
      <c r="KCX282" s="1069"/>
      <c r="KCY282" s="1069"/>
      <c r="KCZ282" s="1069"/>
      <c r="KDA282" s="1069"/>
      <c r="KDB282" s="1069"/>
      <c r="KDC282" s="1069"/>
      <c r="KDD282" s="1069"/>
      <c r="KDE282" s="1069"/>
      <c r="KDF282" s="1069"/>
      <c r="KDG282" s="1069"/>
      <c r="KDH282" s="1069"/>
      <c r="KDI282" s="1069"/>
      <c r="KDJ282" s="1069"/>
      <c r="KDK282" s="1069"/>
      <c r="KDL282" s="1069"/>
      <c r="KDM282" s="1069"/>
      <c r="KDN282" s="1069"/>
      <c r="KDO282" s="1069"/>
      <c r="KDP282" s="1069"/>
      <c r="KDQ282" s="1069"/>
      <c r="KDR282" s="1069"/>
      <c r="KDS282" s="1069"/>
      <c r="KDT282" s="1069"/>
      <c r="KDU282" s="1069"/>
      <c r="KDV282" s="1069"/>
      <c r="KDW282" s="1069"/>
      <c r="KDX282" s="1069"/>
      <c r="KDY282" s="1069"/>
      <c r="KDZ282" s="1069"/>
      <c r="KEA282" s="1069"/>
      <c r="KEB282" s="1069"/>
      <c r="KEC282" s="1069"/>
      <c r="KED282" s="1069"/>
      <c r="KEE282" s="1069"/>
      <c r="KEF282" s="1069"/>
      <c r="KEG282" s="1069"/>
      <c r="KEH282" s="1069"/>
      <c r="KEI282" s="1069"/>
      <c r="KEJ282" s="1069"/>
      <c r="KEK282" s="1069"/>
      <c r="KEL282" s="1069"/>
      <c r="KEM282" s="1069"/>
      <c r="KEN282" s="1069"/>
      <c r="KEO282" s="1069"/>
      <c r="KEP282" s="1069"/>
      <c r="KEQ282" s="1069"/>
      <c r="KER282" s="1069"/>
      <c r="KES282" s="1069"/>
      <c r="KET282" s="1069"/>
      <c r="KEU282" s="1069"/>
      <c r="KEV282" s="1069"/>
      <c r="KEW282" s="1069"/>
      <c r="KEX282" s="1069"/>
      <c r="KEY282" s="1069"/>
      <c r="KEZ282" s="1069"/>
      <c r="KFA282" s="1069"/>
      <c r="KFB282" s="1069"/>
      <c r="KFC282" s="1069"/>
      <c r="KFD282" s="1069"/>
      <c r="KFE282" s="1069"/>
      <c r="KFF282" s="1069"/>
      <c r="KFG282" s="1069"/>
      <c r="KFH282" s="1069"/>
      <c r="KFI282" s="1069"/>
      <c r="KFJ282" s="1069"/>
      <c r="KFK282" s="1069"/>
      <c r="KFL282" s="1069"/>
      <c r="KFM282" s="1069"/>
      <c r="KFN282" s="1069"/>
      <c r="KFO282" s="1069"/>
      <c r="KFP282" s="1069"/>
      <c r="KFQ282" s="1069"/>
      <c r="KFR282" s="1069"/>
      <c r="KFS282" s="1069"/>
      <c r="KFT282" s="1069"/>
      <c r="KFU282" s="1069"/>
      <c r="KFV282" s="1069"/>
      <c r="KFW282" s="1069"/>
      <c r="KFX282" s="1069"/>
      <c r="KFY282" s="1069"/>
      <c r="KFZ282" s="1069"/>
      <c r="KGA282" s="1069"/>
      <c r="KGB282" s="1069"/>
      <c r="KGC282" s="1069"/>
      <c r="KGD282" s="1069"/>
      <c r="KGE282" s="1069"/>
      <c r="KGF282" s="1069"/>
      <c r="KGG282" s="1069"/>
      <c r="KGH282" s="1069"/>
      <c r="KGI282" s="1069"/>
      <c r="KGJ282" s="1069"/>
      <c r="KGK282" s="1069"/>
      <c r="KGL282" s="1069"/>
      <c r="KGM282" s="1069"/>
      <c r="KGN282" s="1069"/>
      <c r="KGO282" s="1069"/>
      <c r="KGP282" s="1069"/>
      <c r="KGQ282" s="1069"/>
      <c r="KGR282" s="1069"/>
      <c r="KGS282" s="1069"/>
      <c r="KGT282" s="1069"/>
      <c r="KGU282" s="1069"/>
      <c r="KGV282" s="1069"/>
      <c r="KGW282" s="1069"/>
      <c r="KGX282" s="1069"/>
      <c r="KGY282" s="1069"/>
      <c r="KGZ282" s="1069"/>
      <c r="KHA282" s="1069"/>
      <c r="KHB282" s="1069"/>
      <c r="KHC282" s="1069"/>
      <c r="KHD282" s="1069"/>
      <c r="KHE282" s="1069"/>
      <c r="KHF282" s="1069"/>
      <c r="KHG282" s="1069"/>
      <c r="KHH282" s="1069"/>
      <c r="KHI282" s="1069"/>
      <c r="KHJ282" s="1069"/>
      <c r="KHK282" s="1069"/>
      <c r="KHL282" s="1069"/>
      <c r="KHM282" s="1069"/>
      <c r="KHN282" s="1069"/>
      <c r="KHO282" s="1069"/>
      <c r="KHP282" s="1069"/>
      <c r="KHQ282" s="1069"/>
      <c r="KHR282" s="1069"/>
      <c r="KHS282" s="1069"/>
      <c r="KHT282" s="1069"/>
      <c r="KHU282" s="1069"/>
      <c r="KHV282" s="1069"/>
      <c r="KHW282" s="1069"/>
      <c r="KHX282" s="1069"/>
      <c r="KHY282" s="1069"/>
      <c r="KHZ282" s="1069"/>
      <c r="KIA282" s="1069"/>
      <c r="KIB282" s="1069"/>
      <c r="KIC282" s="1069"/>
      <c r="KID282" s="1069"/>
      <c r="KIE282" s="1069"/>
      <c r="KIF282" s="1069"/>
      <c r="KIG282" s="1069"/>
      <c r="KIH282" s="1069"/>
      <c r="KII282" s="1069"/>
      <c r="KIJ282" s="1069"/>
      <c r="KIK282" s="1069"/>
      <c r="KIL282" s="1069"/>
      <c r="KIM282" s="1069"/>
      <c r="KIN282" s="1069"/>
      <c r="KIO282" s="1069"/>
      <c r="KIP282" s="1069"/>
      <c r="KIQ282" s="1069"/>
      <c r="KIR282" s="1069"/>
      <c r="KIS282" s="1069"/>
      <c r="KIT282" s="1069"/>
      <c r="KIU282" s="1069"/>
      <c r="KIV282" s="1069"/>
      <c r="KIW282" s="1069"/>
      <c r="KIX282" s="1069"/>
      <c r="KIY282" s="1069"/>
      <c r="KIZ282" s="1069"/>
      <c r="KJA282" s="1069"/>
      <c r="KJB282" s="1069"/>
      <c r="KJC282" s="1069"/>
      <c r="KJD282" s="1069"/>
      <c r="KJE282" s="1069"/>
      <c r="KJF282" s="1069"/>
      <c r="KJG282" s="1069"/>
      <c r="KJH282" s="1069"/>
      <c r="KJI282" s="1069"/>
      <c r="KJJ282" s="1069"/>
      <c r="KJK282" s="1069"/>
      <c r="KJL282" s="1069"/>
      <c r="KJM282" s="1069"/>
      <c r="KJN282" s="1069"/>
      <c r="KJO282" s="1069"/>
      <c r="KJP282" s="1069"/>
      <c r="KJQ282" s="1069"/>
      <c r="KJR282" s="1069"/>
      <c r="KJS282" s="1069"/>
      <c r="KJT282" s="1069"/>
      <c r="KJU282" s="1069"/>
      <c r="KJV282" s="1069"/>
      <c r="KJW282" s="1069"/>
      <c r="KJX282" s="1069"/>
      <c r="KJY282" s="1069"/>
      <c r="KJZ282" s="1069"/>
      <c r="KKA282" s="1069"/>
      <c r="KKB282" s="1069"/>
      <c r="KKC282" s="1069"/>
      <c r="KKD282" s="1069"/>
      <c r="KKE282" s="1069"/>
      <c r="KKF282" s="1069"/>
      <c r="KKG282" s="1069"/>
      <c r="KKH282" s="1069"/>
      <c r="KKI282" s="1069"/>
      <c r="KKJ282" s="1069"/>
      <c r="KKK282" s="1069"/>
      <c r="KKL282" s="1069"/>
      <c r="KKM282" s="1069"/>
      <c r="KKN282" s="1069"/>
      <c r="KKO282" s="1069"/>
      <c r="KKP282" s="1069"/>
      <c r="KKQ282" s="1069"/>
      <c r="KKR282" s="1069"/>
      <c r="KKS282" s="1069"/>
      <c r="KKT282" s="1069"/>
      <c r="KKU282" s="1069"/>
      <c r="KKV282" s="1069"/>
      <c r="KKW282" s="1069"/>
      <c r="KKX282" s="1069"/>
      <c r="KKY282" s="1069"/>
      <c r="KKZ282" s="1069"/>
      <c r="KLA282" s="1069"/>
      <c r="KLB282" s="1069"/>
      <c r="KLC282" s="1069"/>
      <c r="KLD282" s="1069"/>
      <c r="KLE282" s="1069"/>
      <c r="KLF282" s="1069"/>
      <c r="KLG282" s="1069"/>
      <c r="KLH282" s="1069"/>
      <c r="KLI282" s="1069"/>
      <c r="KLJ282" s="1069"/>
      <c r="KLK282" s="1069"/>
      <c r="KLL282" s="1069"/>
      <c r="KLM282" s="1069"/>
      <c r="KLN282" s="1069"/>
      <c r="KLO282" s="1069"/>
      <c r="KLP282" s="1069"/>
      <c r="KLQ282" s="1069"/>
      <c r="KLR282" s="1069"/>
      <c r="KLS282" s="1069"/>
      <c r="KLT282" s="1069"/>
      <c r="KLU282" s="1069"/>
      <c r="KLV282" s="1069"/>
      <c r="KLW282" s="1069"/>
      <c r="KLX282" s="1069"/>
      <c r="KLY282" s="1069"/>
      <c r="KLZ282" s="1069"/>
      <c r="KMA282" s="1069"/>
      <c r="KMB282" s="1069"/>
      <c r="KMC282" s="1069"/>
      <c r="KMD282" s="1069"/>
      <c r="KME282" s="1069"/>
      <c r="KMF282" s="1069"/>
      <c r="KMG282" s="1069"/>
      <c r="KMH282" s="1069"/>
      <c r="KMI282" s="1069"/>
      <c r="KMJ282" s="1069"/>
      <c r="KMK282" s="1069"/>
      <c r="KML282" s="1069"/>
      <c r="KMM282" s="1069"/>
      <c r="KMN282" s="1069"/>
      <c r="KMO282" s="1069"/>
      <c r="KMP282" s="1069"/>
      <c r="KMQ282" s="1069"/>
      <c r="KMR282" s="1069"/>
      <c r="KMS282" s="1069"/>
      <c r="KMT282" s="1069"/>
      <c r="KMU282" s="1069"/>
      <c r="KMV282" s="1069"/>
      <c r="KMW282" s="1069"/>
      <c r="KMX282" s="1069"/>
      <c r="KMY282" s="1069"/>
      <c r="KMZ282" s="1069"/>
      <c r="KNA282" s="1069"/>
      <c r="KNB282" s="1069"/>
      <c r="KNC282" s="1069"/>
      <c r="KND282" s="1069"/>
      <c r="KNE282" s="1069"/>
      <c r="KNF282" s="1069"/>
      <c r="KNG282" s="1069"/>
      <c r="KNH282" s="1069"/>
      <c r="KNI282" s="1069"/>
      <c r="KNJ282" s="1069"/>
      <c r="KNK282" s="1069"/>
      <c r="KNL282" s="1069"/>
      <c r="KNM282" s="1069"/>
      <c r="KNN282" s="1069"/>
      <c r="KNO282" s="1069"/>
      <c r="KNP282" s="1069"/>
      <c r="KNQ282" s="1069"/>
      <c r="KNR282" s="1069"/>
      <c r="KNS282" s="1069"/>
      <c r="KNT282" s="1069"/>
      <c r="KNU282" s="1069"/>
      <c r="KNV282" s="1069"/>
      <c r="KNW282" s="1069"/>
      <c r="KNX282" s="1069"/>
      <c r="KNY282" s="1069"/>
      <c r="KNZ282" s="1069"/>
      <c r="KOA282" s="1069"/>
      <c r="KOB282" s="1069"/>
      <c r="KOC282" s="1069"/>
      <c r="KOD282" s="1069"/>
      <c r="KOE282" s="1069"/>
      <c r="KOF282" s="1069"/>
      <c r="KOG282" s="1069"/>
      <c r="KOH282" s="1069"/>
      <c r="KOI282" s="1069"/>
      <c r="KOJ282" s="1069"/>
      <c r="KOK282" s="1069"/>
      <c r="KOL282" s="1069"/>
      <c r="KOM282" s="1069"/>
      <c r="KON282" s="1069"/>
      <c r="KOO282" s="1069"/>
      <c r="KOP282" s="1069"/>
      <c r="KOQ282" s="1069"/>
      <c r="KOR282" s="1069"/>
      <c r="KOS282" s="1069"/>
      <c r="KOT282" s="1069"/>
      <c r="KOU282" s="1069"/>
      <c r="KOV282" s="1069"/>
      <c r="KOW282" s="1069"/>
      <c r="KOX282" s="1069"/>
      <c r="KOY282" s="1069"/>
      <c r="KOZ282" s="1069"/>
      <c r="KPA282" s="1069"/>
      <c r="KPB282" s="1069"/>
      <c r="KPC282" s="1069"/>
      <c r="KPD282" s="1069"/>
      <c r="KPE282" s="1069"/>
      <c r="KPF282" s="1069"/>
      <c r="KPG282" s="1069"/>
      <c r="KPH282" s="1069"/>
      <c r="KPI282" s="1069"/>
      <c r="KPJ282" s="1069"/>
      <c r="KPK282" s="1069"/>
      <c r="KPL282" s="1069"/>
      <c r="KPM282" s="1069"/>
      <c r="KPN282" s="1069"/>
      <c r="KPO282" s="1069"/>
      <c r="KPP282" s="1069"/>
      <c r="KPQ282" s="1069"/>
      <c r="KPR282" s="1069"/>
      <c r="KPS282" s="1069"/>
      <c r="KPT282" s="1069"/>
      <c r="KPU282" s="1069"/>
      <c r="KPV282" s="1069"/>
      <c r="KPW282" s="1069"/>
      <c r="KPX282" s="1069"/>
      <c r="KPY282" s="1069"/>
      <c r="KPZ282" s="1069"/>
      <c r="KQA282" s="1069"/>
      <c r="KQB282" s="1069"/>
      <c r="KQC282" s="1069"/>
      <c r="KQD282" s="1069"/>
      <c r="KQE282" s="1069"/>
      <c r="KQF282" s="1069"/>
      <c r="KQG282" s="1069"/>
      <c r="KQH282" s="1069"/>
      <c r="KQI282" s="1069"/>
      <c r="KQJ282" s="1069"/>
      <c r="KQK282" s="1069"/>
      <c r="KQL282" s="1069"/>
      <c r="KQM282" s="1069"/>
      <c r="KQN282" s="1069"/>
      <c r="KQO282" s="1069"/>
      <c r="KQP282" s="1069"/>
      <c r="KQQ282" s="1069"/>
      <c r="KQR282" s="1069"/>
      <c r="KQS282" s="1069"/>
      <c r="KQT282" s="1069"/>
      <c r="KQU282" s="1069"/>
      <c r="KQV282" s="1069"/>
      <c r="KQW282" s="1069"/>
      <c r="KQX282" s="1069"/>
      <c r="KQY282" s="1069"/>
      <c r="KQZ282" s="1069"/>
      <c r="KRA282" s="1069"/>
      <c r="KRB282" s="1069"/>
      <c r="KRC282" s="1069"/>
      <c r="KRD282" s="1069"/>
      <c r="KRE282" s="1069"/>
      <c r="KRF282" s="1069"/>
      <c r="KRG282" s="1069"/>
      <c r="KRH282" s="1069"/>
      <c r="KRI282" s="1069"/>
      <c r="KRJ282" s="1069"/>
      <c r="KRK282" s="1069"/>
      <c r="KRL282" s="1069"/>
      <c r="KRM282" s="1069"/>
      <c r="KRN282" s="1069"/>
      <c r="KRO282" s="1069"/>
      <c r="KRP282" s="1069"/>
      <c r="KRQ282" s="1069"/>
      <c r="KRR282" s="1069"/>
      <c r="KRS282" s="1069"/>
      <c r="KRT282" s="1069"/>
      <c r="KRU282" s="1069"/>
      <c r="KRV282" s="1069"/>
      <c r="KRW282" s="1069"/>
      <c r="KRX282" s="1069"/>
      <c r="KRY282" s="1069"/>
      <c r="KRZ282" s="1069"/>
      <c r="KSA282" s="1069"/>
      <c r="KSB282" s="1069"/>
      <c r="KSC282" s="1069"/>
      <c r="KSD282" s="1069"/>
      <c r="KSE282" s="1069"/>
      <c r="KSF282" s="1069"/>
      <c r="KSG282" s="1069"/>
      <c r="KSH282" s="1069"/>
      <c r="KSI282" s="1069"/>
      <c r="KSJ282" s="1069"/>
      <c r="KSK282" s="1069"/>
      <c r="KSL282" s="1069"/>
      <c r="KSM282" s="1069"/>
      <c r="KSN282" s="1069"/>
      <c r="KSO282" s="1069"/>
      <c r="KSP282" s="1069"/>
      <c r="KSQ282" s="1069"/>
      <c r="KSR282" s="1069"/>
      <c r="KSS282" s="1069"/>
      <c r="KST282" s="1069"/>
      <c r="KSU282" s="1069"/>
      <c r="KSV282" s="1069"/>
      <c r="KSW282" s="1069"/>
      <c r="KSX282" s="1069"/>
      <c r="KSY282" s="1069"/>
      <c r="KSZ282" s="1069"/>
      <c r="KTA282" s="1069"/>
      <c r="KTB282" s="1069"/>
      <c r="KTC282" s="1069"/>
      <c r="KTD282" s="1069"/>
      <c r="KTE282" s="1069"/>
      <c r="KTF282" s="1069"/>
      <c r="KTG282" s="1069"/>
      <c r="KTH282" s="1069"/>
      <c r="KTI282" s="1069"/>
      <c r="KTJ282" s="1069"/>
      <c r="KTK282" s="1069"/>
      <c r="KTL282" s="1069"/>
      <c r="KTM282" s="1069"/>
      <c r="KTN282" s="1069"/>
      <c r="KTO282" s="1069"/>
      <c r="KTP282" s="1069"/>
      <c r="KTQ282" s="1069"/>
      <c r="KTR282" s="1069"/>
      <c r="KTS282" s="1069"/>
      <c r="KTT282" s="1069"/>
      <c r="KTU282" s="1069"/>
      <c r="KTV282" s="1069"/>
      <c r="KTW282" s="1069"/>
      <c r="KTX282" s="1069"/>
      <c r="KTY282" s="1069"/>
      <c r="KTZ282" s="1069"/>
      <c r="KUA282" s="1069"/>
      <c r="KUB282" s="1069"/>
      <c r="KUC282" s="1069"/>
      <c r="KUD282" s="1069"/>
      <c r="KUE282" s="1069"/>
      <c r="KUF282" s="1069"/>
      <c r="KUG282" s="1069"/>
      <c r="KUH282" s="1069"/>
      <c r="KUI282" s="1069"/>
      <c r="KUJ282" s="1069"/>
      <c r="KUK282" s="1069"/>
      <c r="KUL282" s="1069"/>
      <c r="KUM282" s="1069"/>
      <c r="KUN282" s="1069"/>
      <c r="KUO282" s="1069"/>
      <c r="KUP282" s="1069"/>
      <c r="KUQ282" s="1069"/>
      <c r="KUR282" s="1069"/>
      <c r="KUS282" s="1069"/>
      <c r="KUT282" s="1069"/>
      <c r="KUU282" s="1069"/>
      <c r="KUV282" s="1069"/>
      <c r="KUW282" s="1069"/>
      <c r="KUX282" s="1069"/>
      <c r="KUY282" s="1069"/>
      <c r="KUZ282" s="1069"/>
      <c r="KVA282" s="1069"/>
      <c r="KVB282" s="1069"/>
      <c r="KVC282" s="1069"/>
      <c r="KVD282" s="1069"/>
      <c r="KVE282" s="1069"/>
      <c r="KVF282" s="1069"/>
      <c r="KVG282" s="1069"/>
      <c r="KVH282" s="1069"/>
      <c r="KVI282" s="1069"/>
      <c r="KVJ282" s="1069"/>
      <c r="KVK282" s="1069"/>
      <c r="KVL282" s="1069"/>
      <c r="KVM282" s="1069"/>
      <c r="KVN282" s="1069"/>
      <c r="KVO282" s="1069"/>
      <c r="KVP282" s="1069"/>
      <c r="KVQ282" s="1069"/>
      <c r="KVR282" s="1069"/>
      <c r="KVS282" s="1069"/>
      <c r="KVT282" s="1069"/>
      <c r="KVU282" s="1069"/>
      <c r="KVV282" s="1069"/>
      <c r="KVW282" s="1069"/>
      <c r="KVX282" s="1069"/>
      <c r="KVY282" s="1069"/>
      <c r="KVZ282" s="1069"/>
      <c r="KWA282" s="1069"/>
      <c r="KWB282" s="1069"/>
      <c r="KWC282" s="1069"/>
      <c r="KWD282" s="1069"/>
      <c r="KWE282" s="1069"/>
      <c r="KWF282" s="1069"/>
      <c r="KWG282" s="1069"/>
      <c r="KWH282" s="1069"/>
      <c r="KWI282" s="1069"/>
      <c r="KWJ282" s="1069"/>
      <c r="KWK282" s="1069"/>
      <c r="KWL282" s="1069"/>
      <c r="KWM282" s="1069"/>
      <c r="KWN282" s="1069"/>
      <c r="KWO282" s="1069"/>
      <c r="KWP282" s="1069"/>
      <c r="KWQ282" s="1069"/>
      <c r="KWR282" s="1069"/>
      <c r="KWS282" s="1069"/>
      <c r="KWT282" s="1069"/>
      <c r="KWU282" s="1069"/>
      <c r="KWV282" s="1069"/>
      <c r="KWW282" s="1069"/>
      <c r="KWX282" s="1069"/>
      <c r="KWY282" s="1069"/>
      <c r="KWZ282" s="1069"/>
      <c r="KXA282" s="1069"/>
      <c r="KXB282" s="1069"/>
      <c r="KXC282" s="1069"/>
      <c r="KXD282" s="1069"/>
      <c r="KXE282" s="1069"/>
      <c r="KXF282" s="1069"/>
      <c r="KXG282" s="1069"/>
      <c r="KXH282" s="1069"/>
      <c r="KXI282" s="1069"/>
      <c r="KXJ282" s="1069"/>
      <c r="KXK282" s="1069"/>
      <c r="KXL282" s="1069"/>
      <c r="KXM282" s="1069"/>
      <c r="KXN282" s="1069"/>
      <c r="KXO282" s="1069"/>
      <c r="KXP282" s="1069"/>
      <c r="KXQ282" s="1069"/>
      <c r="KXR282" s="1069"/>
      <c r="KXS282" s="1069"/>
      <c r="KXT282" s="1069"/>
      <c r="KXU282" s="1069"/>
      <c r="KXV282" s="1069"/>
      <c r="KXW282" s="1069"/>
      <c r="KXX282" s="1069"/>
      <c r="KXY282" s="1069"/>
      <c r="KXZ282" s="1069"/>
      <c r="KYA282" s="1069"/>
      <c r="KYB282" s="1069"/>
      <c r="KYC282" s="1069"/>
      <c r="KYD282" s="1069"/>
      <c r="KYE282" s="1069"/>
      <c r="KYF282" s="1069"/>
      <c r="KYG282" s="1069"/>
      <c r="KYH282" s="1069"/>
      <c r="KYI282" s="1069"/>
      <c r="KYJ282" s="1069"/>
      <c r="KYK282" s="1069"/>
      <c r="KYL282" s="1069"/>
      <c r="KYM282" s="1069"/>
      <c r="KYN282" s="1069"/>
      <c r="KYO282" s="1069"/>
      <c r="KYP282" s="1069"/>
      <c r="KYQ282" s="1069"/>
      <c r="KYR282" s="1069"/>
      <c r="KYS282" s="1069"/>
      <c r="KYT282" s="1069"/>
      <c r="KYU282" s="1069"/>
      <c r="KYV282" s="1069"/>
      <c r="KYW282" s="1069"/>
      <c r="KYX282" s="1069"/>
      <c r="KYY282" s="1069"/>
      <c r="KYZ282" s="1069"/>
      <c r="KZA282" s="1069"/>
      <c r="KZB282" s="1069"/>
      <c r="KZC282" s="1069"/>
      <c r="KZD282" s="1069"/>
      <c r="KZE282" s="1069"/>
      <c r="KZF282" s="1069"/>
      <c r="KZG282" s="1069"/>
      <c r="KZH282" s="1069"/>
      <c r="KZI282" s="1069"/>
      <c r="KZJ282" s="1069"/>
      <c r="KZK282" s="1069"/>
      <c r="KZL282" s="1069"/>
      <c r="KZM282" s="1069"/>
      <c r="KZN282" s="1069"/>
      <c r="KZO282" s="1069"/>
      <c r="KZP282" s="1069"/>
      <c r="KZQ282" s="1069"/>
      <c r="KZR282" s="1069"/>
      <c r="KZS282" s="1069"/>
      <c r="KZT282" s="1069"/>
      <c r="KZU282" s="1069"/>
      <c r="KZV282" s="1069"/>
      <c r="KZW282" s="1069"/>
      <c r="KZX282" s="1069"/>
      <c r="KZY282" s="1069"/>
      <c r="KZZ282" s="1069"/>
      <c r="LAA282" s="1069"/>
      <c r="LAB282" s="1069"/>
      <c r="LAC282" s="1069"/>
      <c r="LAD282" s="1069"/>
      <c r="LAE282" s="1069"/>
      <c r="LAF282" s="1069"/>
      <c r="LAG282" s="1069"/>
      <c r="LAH282" s="1069"/>
      <c r="LAI282" s="1069"/>
      <c r="LAJ282" s="1069"/>
      <c r="LAK282" s="1069"/>
      <c r="LAL282" s="1069"/>
      <c r="LAM282" s="1069"/>
      <c r="LAN282" s="1069"/>
      <c r="LAO282" s="1069"/>
      <c r="LAP282" s="1069"/>
      <c r="LAQ282" s="1069"/>
      <c r="LAR282" s="1069"/>
      <c r="LAS282" s="1069"/>
      <c r="LAT282" s="1069"/>
      <c r="LAU282" s="1069"/>
      <c r="LAV282" s="1069"/>
      <c r="LAW282" s="1069"/>
      <c r="LAX282" s="1069"/>
      <c r="LAY282" s="1069"/>
      <c r="LAZ282" s="1069"/>
      <c r="LBA282" s="1069"/>
      <c r="LBB282" s="1069"/>
      <c r="LBC282" s="1069"/>
      <c r="LBD282" s="1069"/>
      <c r="LBE282" s="1069"/>
      <c r="LBF282" s="1069"/>
      <c r="LBG282" s="1069"/>
      <c r="LBH282" s="1069"/>
      <c r="LBI282" s="1069"/>
      <c r="LBJ282" s="1069"/>
      <c r="LBK282" s="1069"/>
      <c r="LBL282" s="1069"/>
      <c r="LBM282" s="1069"/>
      <c r="LBN282" s="1069"/>
      <c r="LBO282" s="1069"/>
      <c r="LBP282" s="1069"/>
      <c r="LBQ282" s="1069"/>
      <c r="LBR282" s="1069"/>
      <c r="LBS282" s="1069"/>
      <c r="LBT282" s="1069"/>
      <c r="LBU282" s="1069"/>
      <c r="LBV282" s="1069"/>
      <c r="LBW282" s="1069"/>
      <c r="LBX282" s="1069"/>
      <c r="LBY282" s="1069"/>
      <c r="LBZ282" s="1069"/>
      <c r="LCA282" s="1069"/>
      <c r="LCB282" s="1069"/>
      <c r="LCC282" s="1069"/>
      <c r="LCD282" s="1069"/>
      <c r="LCE282" s="1069"/>
      <c r="LCF282" s="1069"/>
      <c r="LCG282" s="1069"/>
      <c r="LCH282" s="1069"/>
      <c r="LCI282" s="1069"/>
      <c r="LCJ282" s="1069"/>
      <c r="LCK282" s="1069"/>
      <c r="LCL282" s="1069"/>
      <c r="LCM282" s="1069"/>
      <c r="LCN282" s="1069"/>
      <c r="LCO282" s="1069"/>
      <c r="LCP282" s="1069"/>
      <c r="LCQ282" s="1069"/>
      <c r="LCR282" s="1069"/>
      <c r="LCS282" s="1069"/>
      <c r="LCT282" s="1069"/>
      <c r="LCU282" s="1069"/>
      <c r="LCV282" s="1069"/>
      <c r="LCW282" s="1069"/>
      <c r="LCX282" s="1069"/>
      <c r="LCY282" s="1069"/>
      <c r="LCZ282" s="1069"/>
      <c r="LDA282" s="1069"/>
      <c r="LDB282" s="1069"/>
      <c r="LDC282" s="1069"/>
      <c r="LDD282" s="1069"/>
      <c r="LDE282" s="1069"/>
      <c r="LDF282" s="1069"/>
      <c r="LDG282" s="1069"/>
      <c r="LDH282" s="1069"/>
      <c r="LDI282" s="1069"/>
      <c r="LDJ282" s="1069"/>
      <c r="LDK282" s="1069"/>
      <c r="LDL282" s="1069"/>
      <c r="LDM282" s="1069"/>
      <c r="LDN282" s="1069"/>
      <c r="LDO282" s="1069"/>
      <c r="LDP282" s="1069"/>
      <c r="LDQ282" s="1069"/>
      <c r="LDR282" s="1069"/>
      <c r="LDS282" s="1069"/>
      <c r="LDT282" s="1069"/>
      <c r="LDU282" s="1069"/>
      <c r="LDV282" s="1069"/>
      <c r="LDW282" s="1069"/>
      <c r="LDX282" s="1069"/>
      <c r="LDY282" s="1069"/>
      <c r="LDZ282" s="1069"/>
      <c r="LEA282" s="1069"/>
      <c r="LEB282" s="1069"/>
      <c r="LEC282" s="1069"/>
      <c r="LED282" s="1069"/>
      <c r="LEE282" s="1069"/>
      <c r="LEF282" s="1069"/>
      <c r="LEG282" s="1069"/>
      <c r="LEH282" s="1069"/>
      <c r="LEI282" s="1069"/>
      <c r="LEJ282" s="1069"/>
      <c r="LEK282" s="1069"/>
      <c r="LEL282" s="1069"/>
      <c r="LEM282" s="1069"/>
      <c r="LEN282" s="1069"/>
      <c r="LEO282" s="1069"/>
      <c r="LEP282" s="1069"/>
      <c r="LEQ282" s="1069"/>
      <c r="LER282" s="1069"/>
      <c r="LES282" s="1069"/>
      <c r="LET282" s="1069"/>
      <c r="LEU282" s="1069"/>
      <c r="LEV282" s="1069"/>
      <c r="LEW282" s="1069"/>
      <c r="LEX282" s="1069"/>
      <c r="LEY282" s="1069"/>
      <c r="LEZ282" s="1069"/>
      <c r="LFA282" s="1069"/>
      <c r="LFB282" s="1069"/>
      <c r="LFC282" s="1069"/>
      <c r="LFD282" s="1069"/>
      <c r="LFE282" s="1069"/>
      <c r="LFF282" s="1069"/>
      <c r="LFG282" s="1069"/>
      <c r="LFH282" s="1069"/>
      <c r="LFI282" s="1069"/>
      <c r="LFJ282" s="1069"/>
      <c r="LFK282" s="1069"/>
      <c r="LFL282" s="1069"/>
      <c r="LFM282" s="1069"/>
      <c r="LFN282" s="1069"/>
      <c r="LFO282" s="1069"/>
      <c r="LFP282" s="1069"/>
      <c r="LFQ282" s="1069"/>
      <c r="LFR282" s="1069"/>
      <c r="LFS282" s="1069"/>
      <c r="LFT282" s="1069"/>
      <c r="LFU282" s="1069"/>
      <c r="LFV282" s="1069"/>
      <c r="LFW282" s="1069"/>
      <c r="LFX282" s="1069"/>
      <c r="LFY282" s="1069"/>
      <c r="LFZ282" s="1069"/>
      <c r="LGA282" s="1069"/>
      <c r="LGB282" s="1069"/>
      <c r="LGC282" s="1069"/>
      <c r="LGD282" s="1069"/>
      <c r="LGE282" s="1069"/>
      <c r="LGF282" s="1069"/>
      <c r="LGG282" s="1069"/>
      <c r="LGH282" s="1069"/>
      <c r="LGI282" s="1069"/>
      <c r="LGJ282" s="1069"/>
      <c r="LGK282" s="1069"/>
      <c r="LGL282" s="1069"/>
      <c r="LGM282" s="1069"/>
      <c r="LGN282" s="1069"/>
      <c r="LGO282" s="1069"/>
      <c r="LGP282" s="1069"/>
      <c r="LGQ282" s="1069"/>
      <c r="LGR282" s="1069"/>
      <c r="LGS282" s="1069"/>
      <c r="LGT282" s="1069"/>
      <c r="LGU282" s="1069"/>
      <c r="LGV282" s="1069"/>
      <c r="LGW282" s="1069"/>
      <c r="LGX282" s="1069"/>
      <c r="LGY282" s="1069"/>
      <c r="LGZ282" s="1069"/>
      <c r="LHA282" s="1069"/>
      <c r="LHB282" s="1069"/>
      <c r="LHC282" s="1069"/>
      <c r="LHD282" s="1069"/>
      <c r="LHE282" s="1069"/>
      <c r="LHF282" s="1069"/>
      <c r="LHG282" s="1069"/>
      <c r="LHH282" s="1069"/>
      <c r="LHI282" s="1069"/>
      <c r="LHJ282" s="1069"/>
      <c r="LHK282" s="1069"/>
      <c r="LHL282" s="1069"/>
      <c r="LHM282" s="1069"/>
      <c r="LHN282" s="1069"/>
      <c r="LHO282" s="1069"/>
      <c r="LHP282" s="1069"/>
      <c r="LHQ282" s="1069"/>
      <c r="LHR282" s="1069"/>
      <c r="LHS282" s="1069"/>
      <c r="LHT282" s="1069"/>
      <c r="LHU282" s="1069"/>
      <c r="LHV282" s="1069"/>
      <c r="LHW282" s="1069"/>
      <c r="LHX282" s="1069"/>
      <c r="LHY282" s="1069"/>
      <c r="LHZ282" s="1069"/>
      <c r="LIA282" s="1069"/>
      <c r="LIB282" s="1069"/>
      <c r="LIC282" s="1069"/>
      <c r="LID282" s="1069"/>
      <c r="LIE282" s="1069"/>
      <c r="LIF282" s="1069"/>
      <c r="LIG282" s="1069"/>
      <c r="LIH282" s="1069"/>
      <c r="LII282" s="1069"/>
      <c r="LIJ282" s="1069"/>
      <c r="LIK282" s="1069"/>
      <c r="LIL282" s="1069"/>
      <c r="LIM282" s="1069"/>
      <c r="LIN282" s="1069"/>
      <c r="LIO282" s="1069"/>
      <c r="LIP282" s="1069"/>
      <c r="LIQ282" s="1069"/>
      <c r="LIR282" s="1069"/>
      <c r="LIS282" s="1069"/>
      <c r="LIT282" s="1069"/>
      <c r="LIU282" s="1069"/>
      <c r="LIV282" s="1069"/>
      <c r="LIW282" s="1069"/>
      <c r="LIX282" s="1069"/>
      <c r="LIY282" s="1069"/>
      <c r="LIZ282" s="1069"/>
      <c r="LJA282" s="1069"/>
      <c r="LJB282" s="1069"/>
      <c r="LJC282" s="1069"/>
      <c r="LJD282" s="1069"/>
      <c r="LJE282" s="1069"/>
      <c r="LJF282" s="1069"/>
      <c r="LJG282" s="1069"/>
      <c r="LJH282" s="1069"/>
      <c r="LJI282" s="1069"/>
      <c r="LJJ282" s="1069"/>
      <c r="LJK282" s="1069"/>
      <c r="LJL282" s="1069"/>
      <c r="LJM282" s="1069"/>
      <c r="LJN282" s="1069"/>
      <c r="LJO282" s="1069"/>
      <c r="LJP282" s="1069"/>
      <c r="LJQ282" s="1069"/>
      <c r="LJR282" s="1069"/>
      <c r="LJS282" s="1069"/>
      <c r="LJT282" s="1069"/>
      <c r="LJU282" s="1069"/>
      <c r="LJV282" s="1069"/>
      <c r="LJW282" s="1069"/>
      <c r="LJX282" s="1069"/>
      <c r="LJY282" s="1069"/>
      <c r="LJZ282" s="1069"/>
      <c r="LKA282" s="1069"/>
      <c r="LKB282" s="1069"/>
      <c r="LKC282" s="1069"/>
      <c r="LKD282" s="1069"/>
      <c r="LKE282" s="1069"/>
      <c r="LKF282" s="1069"/>
      <c r="LKG282" s="1069"/>
      <c r="LKH282" s="1069"/>
      <c r="LKI282" s="1069"/>
      <c r="LKJ282" s="1069"/>
      <c r="LKK282" s="1069"/>
      <c r="LKL282" s="1069"/>
      <c r="LKM282" s="1069"/>
      <c r="LKN282" s="1069"/>
      <c r="LKO282" s="1069"/>
      <c r="LKP282" s="1069"/>
      <c r="LKQ282" s="1069"/>
      <c r="LKR282" s="1069"/>
      <c r="LKS282" s="1069"/>
      <c r="LKT282" s="1069"/>
      <c r="LKU282" s="1069"/>
      <c r="LKV282" s="1069"/>
      <c r="LKW282" s="1069"/>
      <c r="LKX282" s="1069"/>
      <c r="LKY282" s="1069"/>
      <c r="LKZ282" s="1069"/>
      <c r="LLA282" s="1069"/>
      <c r="LLB282" s="1069"/>
      <c r="LLC282" s="1069"/>
      <c r="LLD282" s="1069"/>
      <c r="LLE282" s="1069"/>
      <c r="LLF282" s="1069"/>
      <c r="LLG282" s="1069"/>
      <c r="LLH282" s="1069"/>
      <c r="LLI282" s="1069"/>
      <c r="LLJ282" s="1069"/>
      <c r="LLK282" s="1069"/>
      <c r="LLL282" s="1069"/>
      <c r="LLM282" s="1069"/>
      <c r="LLN282" s="1069"/>
      <c r="LLO282" s="1069"/>
      <c r="LLP282" s="1069"/>
      <c r="LLQ282" s="1069"/>
      <c r="LLR282" s="1069"/>
      <c r="LLS282" s="1069"/>
      <c r="LLT282" s="1069"/>
      <c r="LLU282" s="1069"/>
      <c r="LLV282" s="1069"/>
      <c r="LLW282" s="1069"/>
      <c r="LLX282" s="1069"/>
      <c r="LLY282" s="1069"/>
      <c r="LLZ282" s="1069"/>
      <c r="LMA282" s="1069"/>
      <c r="LMB282" s="1069"/>
      <c r="LMC282" s="1069"/>
      <c r="LMD282" s="1069"/>
      <c r="LME282" s="1069"/>
      <c r="LMF282" s="1069"/>
      <c r="LMG282" s="1069"/>
      <c r="LMH282" s="1069"/>
      <c r="LMI282" s="1069"/>
      <c r="LMJ282" s="1069"/>
      <c r="LMK282" s="1069"/>
      <c r="LML282" s="1069"/>
      <c r="LMM282" s="1069"/>
      <c r="LMN282" s="1069"/>
      <c r="LMO282" s="1069"/>
      <c r="LMP282" s="1069"/>
      <c r="LMQ282" s="1069"/>
      <c r="LMR282" s="1069"/>
      <c r="LMS282" s="1069"/>
      <c r="LMT282" s="1069"/>
      <c r="LMU282" s="1069"/>
      <c r="LMV282" s="1069"/>
      <c r="LMW282" s="1069"/>
      <c r="LMX282" s="1069"/>
      <c r="LMY282" s="1069"/>
      <c r="LMZ282" s="1069"/>
      <c r="LNA282" s="1069"/>
      <c r="LNB282" s="1069"/>
      <c r="LNC282" s="1069"/>
      <c r="LND282" s="1069"/>
      <c r="LNE282" s="1069"/>
      <c r="LNF282" s="1069"/>
      <c r="LNG282" s="1069"/>
      <c r="LNH282" s="1069"/>
      <c r="LNI282" s="1069"/>
      <c r="LNJ282" s="1069"/>
      <c r="LNK282" s="1069"/>
      <c r="LNL282" s="1069"/>
      <c r="LNM282" s="1069"/>
      <c r="LNN282" s="1069"/>
      <c r="LNO282" s="1069"/>
      <c r="LNP282" s="1069"/>
      <c r="LNQ282" s="1069"/>
      <c r="LNR282" s="1069"/>
      <c r="LNS282" s="1069"/>
      <c r="LNT282" s="1069"/>
      <c r="LNU282" s="1069"/>
      <c r="LNV282" s="1069"/>
      <c r="LNW282" s="1069"/>
      <c r="LNX282" s="1069"/>
      <c r="LNY282" s="1069"/>
      <c r="LNZ282" s="1069"/>
      <c r="LOA282" s="1069"/>
      <c r="LOB282" s="1069"/>
      <c r="LOC282" s="1069"/>
      <c r="LOD282" s="1069"/>
      <c r="LOE282" s="1069"/>
      <c r="LOF282" s="1069"/>
      <c r="LOG282" s="1069"/>
      <c r="LOH282" s="1069"/>
      <c r="LOI282" s="1069"/>
      <c r="LOJ282" s="1069"/>
      <c r="LOK282" s="1069"/>
      <c r="LOL282" s="1069"/>
      <c r="LOM282" s="1069"/>
      <c r="LON282" s="1069"/>
      <c r="LOO282" s="1069"/>
      <c r="LOP282" s="1069"/>
      <c r="LOQ282" s="1069"/>
      <c r="LOR282" s="1069"/>
      <c r="LOS282" s="1069"/>
      <c r="LOT282" s="1069"/>
      <c r="LOU282" s="1069"/>
      <c r="LOV282" s="1069"/>
      <c r="LOW282" s="1069"/>
      <c r="LOX282" s="1069"/>
      <c r="LOY282" s="1069"/>
      <c r="LOZ282" s="1069"/>
      <c r="LPA282" s="1069"/>
      <c r="LPB282" s="1069"/>
      <c r="LPC282" s="1069"/>
      <c r="LPD282" s="1069"/>
      <c r="LPE282" s="1069"/>
      <c r="LPF282" s="1069"/>
      <c r="LPG282" s="1069"/>
      <c r="LPH282" s="1069"/>
      <c r="LPI282" s="1069"/>
      <c r="LPJ282" s="1069"/>
      <c r="LPK282" s="1069"/>
      <c r="LPL282" s="1069"/>
      <c r="LPM282" s="1069"/>
      <c r="LPN282" s="1069"/>
      <c r="LPO282" s="1069"/>
      <c r="LPP282" s="1069"/>
      <c r="LPQ282" s="1069"/>
      <c r="LPR282" s="1069"/>
      <c r="LPS282" s="1069"/>
      <c r="LPT282" s="1069"/>
      <c r="LPU282" s="1069"/>
      <c r="LPV282" s="1069"/>
      <c r="LPW282" s="1069"/>
      <c r="LPX282" s="1069"/>
      <c r="LPY282" s="1069"/>
      <c r="LPZ282" s="1069"/>
      <c r="LQA282" s="1069"/>
      <c r="LQB282" s="1069"/>
      <c r="LQC282" s="1069"/>
      <c r="LQD282" s="1069"/>
      <c r="LQE282" s="1069"/>
      <c r="LQF282" s="1069"/>
      <c r="LQG282" s="1069"/>
      <c r="LQH282" s="1069"/>
      <c r="LQI282" s="1069"/>
      <c r="LQJ282" s="1069"/>
      <c r="LQK282" s="1069"/>
      <c r="LQL282" s="1069"/>
      <c r="LQM282" s="1069"/>
      <c r="LQN282" s="1069"/>
      <c r="LQO282" s="1069"/>
      <c r="LQP282" s="1069"/>
      <c r="LQQ282" s="1069"/>
      <c r="LQR282" s="1069"/>
      <c r="LQS282" s="1069"/>
      <c r="LQT282" s="1069"/>
      <c r="LQU282" s="1069"/>
      <c r="LQV282" s="1069"/>
      <c r="LQW282" s="1069"/>
      <c r="LQX282" s="1069"/>
      <c r="LQY282" s="1069"/>
      <c r="LQZ282" s="1069"/>
      <c r="LRA282" s="1069"/>
      <c r="LRB282" s="1069"/>
      <c r="LRC282" s="1069"/>
      <c r="LRD282" s="1069"/>
      <c r="LRE282" s="1069"/>
      <c r="LRF282" s="1069"/>
      <c r="LRG282" s="1069"/>
      <c r="LRH282" s="1069"/>
      <c r="LRI282" s="1069"/>
      <c r="LRJ282" s="1069"/>
      <c r="LRK282" s="1069"/>
      <c r="LRL282" s="1069"/>
      <c r="LRM282" s="1069"/>
      <c r="LRN282" s="1069"/>
      <c r="LRO282" s="1069"/>
      <c r="LRP282" s="1069"/>
      <c r="LRQ282" s="1069"/>
      <c r="LRR282" s="1069"/>
      <c r="LRS282" s="1069"/>
      <c r="LRT282" s="1069"/>
      <c r="LRU282" s="1069"/>
      <c r="LRV282" s="1069"/>
      <c r="LRW282" s="1069"/>
      <c r="LRX282" s="1069"/>
      <c r="LRY282" s="1069"/>
      <c r="LRZ282" s="1069"/>
      <c r="LSA282" s="1069"/>
      <c r="LSB282" s="1069"/>
      <c r="LSC282" s="1069"/>
      <c r="LSD282" s="1069"/>
      <c r="LSE282" s="1069"/>
      <c r="LSF282" s="1069"/>
      <c r="LSG282" s="1069"/>
      <c r="LSH282" s="1069"/>
      <c r="LSI282" s="1069"/>
      <c r="LSJ282" s="1069"/>
      <c r="LSK282" s="1069"/>
      <c r="LSL282" s="1069"/>
      <c r="LSM282" s="1069"/>
      <c r="LSN282" s="1069"/>
      <c r="LSO282" s="1069"/>
      <c r="LSP282" s="1069"/>
      <c r="LSQ282" s="1069"/>
      <c r="LSR282" s="1069"/>
      <c r="LSS282" s="1069"/>
      <c r="LST282" s="1069"/>
      <c r="LSU282" s="1069"/>
      <c r="LSV282" s="1069"/>
      <c r="LSW282" s="1069"/>
      <c r="LSX282" s="1069"/>
      <c r="LSY282" s="1069"/>
      <c r="LSZ282" s="1069"/>
      <c r="LTA282" s="1069"/>
      <c r="LTB282" s="1069"/>
      <c r="LTC282" s="1069"/>
      <c r="LTD282" s="1069"/>
      <c r="LTE282" s="1069"/>
      <c r="LTF282" s="1069"/>
      <c r="LTG282" s="1069"/>
      <c r="LTH282" s="1069"/>
      <c r="LTI282" s="1069"/>
      <c r="LTJ282" s="1069"/>
      <c r="LTK282" s="1069"/>
      <c r="LTL282" s="1069"/>
      <c r="LTM282" s="1069"/>
      <c r="LTN282" s="1069"/>
      <c r="LTO282" s="1069"/>
      <c r="LTP282" s="1069"/>
      <c r="LTQ282" s="1069"/>
      <c r="LTR282" s="1069"/>
      <c r="LTS282" s="1069"/>
      <c r="LTT282" s="1069"/>
      <c r="LTU282" s="1069"/>
      <c r="LTV282" s="1069"/>
      <c r="LTW282" s="1069"/>
      <c r="LTX282" s="1069"/>
      <c r="LTY282" s="1069"/>
      <c r="LTZ282" s="1069"/>
      <c r="LUA282" s="1069"/>
      <c r="LUB282" s="1069"/>
      <c r="LUC282" s="1069"/>
      <c r="LUD282" s="1069"/>
      <c r="LUE282" s="1069"/>
      <c r="LUF282" s="1069"/>
      <c r="LUG282" s="1069"/>
      <c r="LUH282" s="1069"/>
      <c r="LUI282" s="1069"/>
      <c r="LUJ282" s="1069"/>
      <c r="LUK282" s="1069"/>
      <c r="LUL282" s="1069"/>
      <c r="LUM282" s="1069"/>
      <c r="LUN282" s="1069"/>
      <c r="LUO282" s="1069"/>
      <c r="LUP282" s="1069"/>
      <c r="LUQ282" s="1069"/>
      <c r="LUR282" s="1069"/>
      <c r="LUS282" s="1069"/>
      <c r="LUT282" s="1069"/>
      <c r="LUU282" s="1069"/>
      <c r="LUV282" s="1069"/>
      <c r="LUW282" s="1069"/>
      <c r="LUX282" s="1069"/>
      <c r="LUY282" s="1069"/>
      <c r="LUZ282" s="1069"/>
      <c r="LVA282" s="1069"/>
      <c r="LVB282" s="1069"/>
      <c r="LVC282" s="1069"/>
      <c r="LVD282" s="1069"/>
      <c r="LVE282" s="1069"/>
      <c r="LVF282" s="1069"/>
      <c r="LVG282" s="1069"/>
      <c r="LVH282" s="1069"/>
      <c r="LVI282" s="1069"/>
      <c r="LVJ282" s="1069"/>
      <c r="LVK282" s="1069"/>
      <c r="LVL282" s="1069"/>
      <c r="LVM282" s="1069"/>
      <c r="LVN282" s="1069"/>
      <c r="LVO282" s="1069"/>
      <c r="LVP282" s="1069"/>
      <c r="LVQ282" s="1069"/>
      <c r="LVR282" s="1069"/>
      <c r="LVS282" s="1069"/>
      <c r="LVT282" s="1069"/>
      <c r="LVU282" s="1069"/>
      <c r="LVV282" s="1069"/>
      <c r="LVW282" s="1069"/>
      <c r="LVX282" s="1069"/>
      <c r="LVY282" s="1069"/>
      <c r="LVZ282" s="1069"/>
      <c r="LWA282" s="1069"/>
      <c r="LWB282" s="1069"/>
      <c r="LWC282" s="1069"/>
      <c r="LWD282" s="1069"/>
      <c r="LWE282" s="1069"/>
      <c r="LWF282" s="1069"/>
      <c r="LWG282" s="1069"/>
      <c r="LWH282" s="1069"/>
      <c r="LWI282" s="1069"/>
      <c r="LWJ282" s="1069"/>
      <c r="LWK282" s="1069"/>
      <c r="LWL282" s="1069"/>
      <c r="LWM282" s="1069"/>
      <c r="LWN282" s="1069"/>
      <c r="LWO282" s="1069"/>
      <c r="LWP282" s="1069"/>
      <c r="LWQ282" s="1069"/>
      <c r="LWR282" s="1069"/>
      <c r="LWS282" s="1069"/>
      <c r="LWT282" s="1069"/>
      <c r="LWU282" s="1069"/>
      <c r="LWV282" s="1069"/>
      <c r="LWW282" s="1069"/>
      <c r="LWX282" s="1069"/>
      <c r="LWY282" s="1069"/>
      <c r="LWZ282" s="1069"/>
      <c r="LXA282" s="1069"/>
      <c r="LXB282" s="1069"/>
      <c r="LXC282" s="1069"/>
      <c r="LXD282" s="1069"/>
      <c r="LXE282" s="1069"/>
      <c r="LXF282" s="1069"/>
      <c r="LXG282" s="1069"/>
      <c r="LXH282" s="1069"/>
      <c r="LXI282" s="1069"/>
      <c r="LXJ282" s="1069"/>
      <c r="LXK282" s="1069"/>
      <c r="LXL282" s="1069"/>
      <c r="LXM282" s="1069"/>
      <c r="LXN282" s="1069"/>
      <c r="LXO282" s="1069"/>
      <c r="LXP282" s="1069"/>
      <c r="LXQ282" s="1069"/>
      <c r="LXR282" s="1069"/>
      <c r="LXS282" s="1069"/>
      <c r="LXT282" s="1069"/>
      <c r="LXU282" s="1069"/>
      <c r="LXV282" s="1069"/>
      <c r="LXW282" s="1069"/>
      <c r="LXX282" s="1069"/>
      <c r="LXY282" s="1069"/>
      <c r="LXZ282" s="1069"/>
      <c r="LYA282" s="1069"/>
      <c r="LYB282" s="1069"/>
      <c r="LYC282" s="1069"/>
      <c r="LYD282" s="1069"/>
      <c r="LYE282" s="1069"/>
      <c r="LYF282" s="1069"/>
      <c r="LYG282" s="1069"/>
      <c r="LYH282" s="1069"/>
      <c r="LYI282" s="1069"/>
      <c r="LYJ282" s="1069"/>
      <c r="LYK282" s="1069"/>
      <c r="LYL282" s="1069"/>
      <c r="LYM282" s="1069"/>
      <c r="LYN282" s="1069"/>
      <c r="LYO282" s="1069"/>
      <c r="LYP282" s="1069"/>
      <c r="LYQ282" s="1069"/>
      <c r="LYR282" s="1069"/>
      <c r="LYS282" s="1069"/>
      <c r="LYT282" s="1069"/>
      <c r="LYU282" s="1069"/>
      <c r="LYV282" s="1069"/>
      <c r="LYW282" s="1069"/>
      <c r="LYX282" s="1069"/>
      <c r="LYY282" s="1069"/>
      <c r="LYZ282" s="1069"/>
      <c r="LZA282" s="1069"/>
      <c r="LZB282" s="1069"/>
      <c r="LZC282" s="1069"/>
      <c r="LZD282" s="1069"/>
      <c r="LZE282" s="1069"/>
      <c r="LZF282" s="1069"/>
      <c r="LZG282" s="1069"/>
      <c r="LZH282" s="1069"/>
      <c r="LZI282" s="1069"/>
      <c r="LZJ282" s="1069"/>
      <c r="LZK282" s="1069"/>
      <c r="LZL282" s="1069"/>
      <c r="LZM282" s="1069"/>
      <c r="LZN282" s="1069"/>
      <c r="LZO282" s="1069"/>
      <c r="LZP282" s="1069"/>
      <c r="LZQ282" s="1069"/>
      <c r="LZR282" s="1069"/>
      <c r="LZS282" s="1069"/>
      <c r="LZT282" s="1069"/>
      <c r="LZU282" s="1069"/>
      <c r="LZV282" s="1069"/>
      <c r="LZW282" s="1069"/>
      <c r="LZX282" s="1069"/>
      <c r="LZY282" s="1069"/>
      <c r="LZZ282" s="1069"/>
      <c r="MAA282" s="1069"/>
      <c r="MAB282" s="1069"/>
      <c r="MAC282" s="1069"/>
      <c r="MAD282" s="1069"/>
      <c r="MAE282" s="1069"/>
      <c r="MAF282" s="1069"/>
      <c r="MAG282" s="1069"/>
      <c r="MAH282" s="1069"/>
      <c r="MAI282" s="1069"/>
      <c r="MAJ282" s="1069"/>
      <c r="MAK282" s="1069"/>
      <c r="MAL282" s="1069"/>
      <c r="MAM282" s="1069"/>
      <c r="MAN282" s="1069"/>
      <c r="MAO282" s="1069"/>
      <c r="MAP282" s="1069"/>
      <c r="MAQ282" s="1069"/>
      <c r="MAR282" s="1069"/>
      <c r="MAS282" s="1069"/>
      <c r="MAT282" s="1069"/>
      <c r="MAU282" s="1069"/>
      <c r="MAV282" s="1069"/>
      <c r="MAW282" s="1069"/>
      <c r="MAX282" s="1069"/>
      <c r="MAY282" s="1069"/>
      <c r="MAZ282" s="1069"/>
      <c r="MBA282" s="1069"/>
      <c r="MBB282" s="1069"/>
      <c r="MBC282" s="1069"/>
      <c r="MBD282" s="1069"/>
      <c r="MBE282" s="1069"/>
      <c r="MBF282" s="1069"/>
      <c r="MBG282" s="1069"/>
      <c r="MBH282" s="1069"/>
      <c r="MBI282" s="1069"/>
      <c r="MBJ282" s="1069"/>
      <c r="MBK282" s="1069"/>
      <c r="MBL282" s="1069"/>
      <c r="MBM282" s="1069"/>
      <c r="MBN282" s="1069"/>
      <c r="MBO282" s="1069"/>
      <c r="MBP282" s="1069"/>
      <c r="MBQ282" s="1069"/>
      <c r="MBR282" s="1069"/>
      <c r="MBS282" s="1069"/>
      <c r="MBT282" s="1069"/>
      <c r="MBU282" s="1069"/>
      <c r="MBV282" s="1069"/>
      <c r="MBW282" s="1069"/>
      <c r="MBX282" s="1069"/>
      <c r="MBY282" s="1069"/>
      <c r="MBZ282" s="1069"/>
      <c r="MCA282" s="1069"/>
      <c r="MCB282" s="1069"/>
      <c r="MCC282" s="1069"/>
      <c r="MCD282" s="1069"/>
      <c r="MCE282" s="1069"/>
      <c r="MCF282" s="1069"/>
      <c r="MCG282" s="1069"/>
      <c r="MCH282" s="1069"/>
      <c r="MCI282" s="1069"/>
      <c r="MCJ282" s="1069"/>
      <c r="MCK282" s="1069"/>
      <c r="MCL282" s="1069"/>
      <c r="MCM282" s="1069"/>
      <c r="MCN282" s="1069"/>
      <c r="MCO282" s="1069"/>
      <c r="MCP282" s="1069"/>
      <c r="MCQ282" s="1069"/>
      <c r="MCR282" s="1069"/>
      <c r="MCS282" s="1069"/>
      <c r="MCT282" s="1069"/>
      <c r="MCU282" s="1069"/>
      <c r="MCV282" s="1069"/>
      <c r="MCW282" s="1069"/>
      <c r="MCX282" s="1069"/>
      <c r="MCY282" s="1069"/>
      <c r="MCZ282" s="1069"/>
      <c r="MDA282" s="1069"/>
      <c r="MDB282" s="1069"/>
      <c r="MDC282" s="1069"/>
      <c r="MDD282" s="1069"/>
      <c r="MDE282" s="1069"/>
      <c r="MDF282" s="1069"/>
      <c r="MDG282" s="1069"/>
      <c r="MDH282" s="1069"/>
      <c r="MDI282" s="1069"/>
      <c r="MDJ282" s="1069"/>
      <c r="MDK282" s="1069"/>
      <c r="MDL282" s="1069"/>
      <c r="MDM282" s="1069"/>
      <c r="MDN282" s="1069"/>
      <c r="MDO282" s="1069"/>
      <c r="MDP282" s="1069"/>
      <c r="MDQ282" s="1069"/>
      <c r="MDR282" s="1069"/>
      <c r="MDS282" s="1069"/>
      <c r="MDT282" s="1069"/>
      <c r="MDU282" s="1069"/>
      <c r="MDV282" s="1069"/>
      <c r="MDW282" s="1069"/>
      <c r="MDX282" s="1069"/>
      <c r="MDY282" s="1069"/>
      <c r="MDZ282" s="1069"/>
      <c r="MEA282" s="1069"/>
      <c r="MEB282" s="1069"/>
      <c r="MEC282" s="1069"/>
      <c r="MED282" s="1069"/>
      <c r="MEE282" s="1069"/>
      <c r="MEF282" s="1069"/>
      <c r="MEG282" s="1069"/>
      <c r="MEH282" s="1069"/>
      <c r="MEI282" s="1069"/>
      <c r="MEJ282" s="1069"/>
      <c r="MEK282" s="1069"/>
      <c r="MEL282" s="1069"/>
      <c r="MEM282" s="1069"/>
      <c r="MEN282" s="1069"/>
      <c r="MEO282" s="1069"/>
      <c r="MEP282" s="1069"/>
      <c r="MEQ282" s="1069"/>
      <c r="MER282" s="1069"/>
      <c r="MES282" s="1069"/>
      <c r="MET282" s="1069"/>
      <c r="MEU282" s="1069"/>
      <c r="MEV282" s="1069"/>
      <c r="MEW282" s="1069"/>
      <c r="MEX282" s="1069"/>
      <c r="MEY282" s="1069"/>
      <c r="MEZ282" s="1069"/>
      <c r="MFA282" s="1069"/>
      <c r="MFB282" s="1069"/>
      <c r="MFC282" s="1069"/>
      <c r="MFD282" s="1069"/>
      <c r="MFE282" s="1069"/>
      <c r="MFF282" s="1069"/>
      <c r="MFG282" s="1069"/>
      <c r="MFH282" s="1069"/>
      <c r="MFI282" s="1069"/>
      <c r="MFJ282" s="1069"/>
      <c r="MFK282" s="1069"/>
      <c r="MFL282" s="1069"/>
      <c r="MFM282" s="1069"/>
      <c r="MFN282" s="1069"/>
      <c r="MFO282" s="1069"/>
      <c r="MFP282" s="1069"/>
      <c r="MFQ282" s="1069"/>
      <c r="MFR282" s="1069"/>
      <c r="MFS282" s="1069"/>
      <c r="MFT282" s="1069"/>
      <c r="MFU282" s="1069"/>
      <c r="MFV282" s="1069"/>
      <c r="MFW282" s="1069"/>
      <c r="MFX282" s="1069"/>
      <c r="MFY282" s="1069"/>
      <c r="MFZ282" s="1069"/>
      <c r="MGA282" s="1069"/>
      <c r="MGB282" s="1069"/>
      <c r="MGC282" s="1069"/>
      <c r="MGD282" s="1069"/>
      <c r="MGE282" s="1069"/>
      <c r="MGF282" s="1069"/>
      <c r="MGG282" s="1069"/>
      <c r="MGH282" s="1069"/>
      <c r="MGI282" s="1069"/>
      <c r="MGJ282" s="1069"/>
      <c r="MGK282" s="1069"/>
      <c r="MGL282" s="1069"/>
      <c r="MGM282" s="1069"/>
      <c r="MGN282" s="1069"/>
      <c r="MGO282" s="1069"/>
      <c r="MGP282" s="1069"/>
      <c r="MGQ282" s="1069"/>
      <c r="MGR282" s="1069"/>
      <c r="MGS282" s="1069"/>
      <c r="MGT282" s="1069"/>
      <c r="MGU282" s="1069"/>
      <c r="MGV282" s="1069"/>
      <c r="MGW282" s="1069"/>
      <c r="MGX282" s="1069"/>
      <c r="MGY282" s="1069"/>
      <c r="MGZ282" s="1069"/>
      <c r="MHA282" s="1069"/>
      <c r="MHB282" s="1069"/>
      <c r="MHC282" s="1069"/>
      <c r="MHD282" s="1069"/>
      <c r="MHE282" s="1069"/>
      <c r="MHF282" s="1069"/>
      <c r="MHG282" s="1069"/>
      <c r="MHH282" s="1069"/>
      <c r="MHI282" s="1069"/>
      <c r="MHJ282" s="1069"/>
      <c r="MHK282" s="1069"/>
      <c r="MHL282" s="1069"/>
      <c r="MHM282" s="1069"/>
      <c r="MHN282" s="1069"/>
      <c r="MHO282" s="1069"/>
      <c r="MHP282" s="1069"/>
      <c r="MHQ282" s="1069"/>
      <c r="MHR282" s="1069"/>
      <c r="MHS282" s="1069"/>
      <c r="MHT282" s="1069"/>
      <c r="MHU282" s="1069"/>
      <c r="MHV282" s="1069"/>
      <c r="MHW282" s="1069"/>
      <c r="MHX282" s="1069"/>
      <c r="MHY282" s="1069"/>
      <c r="MHZ282" s="1069"/>
      <c r="MIA282" s="1069"/>
      <c r="MIB282" s="1069"/>
      <c r="MIC282" s="1069"/>
      <c r="MID282" s="1069"/>
      <c r="MIE282" s="1069"/>
      <c r="MIF282" s="1069"/>
      <c r="MIG282" s="1069"/>
      <c r="MIH282" s="1069"/>
      <c r="MII282" s="1069"/>
      <c r="MIJ282" s="1069"/>
      <c r="MIK282" s="1069"/>
      <c r="MIL282" s="1069"/>
      <c r="MIM282" s="1069"/>
      <c r="MIN282" s="1069"/>
      <c r="MIO282" s="1069"/>
      <c r="MIP282" s="1069"/>
      <c r="MIQ282" s="1069"/>
      <c r="MIR282" s="1069"/>
      <c r="MIS282" s="1069"/>
      <c r="MIT282" s="1069"/>
      <c r="MIU282" s="1069"/>
      <c r="MIV282" s="1069"/>
      <c r="MIW282" s="1069"/>
      <c r="MIX282" s="1069"/>
      <c r="MIY282" s="1069"/>
      <c r="MIZ282" s="1069"/>
      <c r="MJA282" s="1069"/>
      <c r="MJB282" s="1069"/>
      <c r="MJC282" s="1069"/>
      <c r="MJD282" s="1069"/>
      <c r="MJE282" s="1069"/>
      <c r="MJF282" s="1069"/>
      <c r="MJG282" s="1069"/>
      <c r="MJH282" s="1069"/>
      <c r="MJI282" s="1069"/>
      <c r="MJJ282" s="1069"/>
      <c r="MJK282" s="1069"/>
      <c r="MJL282" s="1069"/>
      <c r="MJM282" s="1069"/>
      <c r="MJN282" s="1069"/>
      <c r="MJO282" s="1069"/>
      <c r="MJP282" s="1069"/>
      <c r="MJQ282" s="1069"/>
      <c r="MJR282" s="1069"/>
      <c r="MJS282" s="1069"/>
      <c r="MJT282" s="1069"/>
      <c r="MJU282" s="1069"/>
      <c r="MJV282" s="1069"/>
      <c r="MJW282" s="1069"/>
      <c r="MJX282" s="1069"/>
      <c r="MJY282" s="1069"/>
      <c r="MJZ282" s="1069"/>
      <c r="MKA282" s="1069"/>
      <c r="MKB282" s="1069"/>
      <c r="MKC282" s="1069"/>
      <c r="MKD282" s="1069"/>
      <c r="MKE282" s="1069"/>
      <c r="MKF282" s="1069"/>
      <c r="MKG282" s="1069"/>
      <c r="MKH282" s="1069"/>
      <c r="MKI282" s="1069"/>
      <c r="MKJ282" s="1069"/>
      <c r="MKK282" s="1069"/>
      <c r="MKL282" s="1069"/>
      <c r="MKM282" s="1069"/>
      <c r="MKN282" s="1069"/>
      <c r="MKO282" s="1069"/>
      <c r="MKP282" s="1069"/>
      <c r="MKQ282" s="1069"/>
      <c r="MKR282" s="1069"/>
      <c r="MKS282" s="1069"/>
      <c r="MKT282" s="1069"/>
      <c r="MKU282" s="1069"/>
      <c r="MKV282" s="1069"/>
      <c r="MKW282" s="1069"/>
      <c r="MKX282" s="1069"/>
      <c r="MKY282" s="1069"/>
      <c r="MKZ282" s="1069"/>
      <c r="MLA282" s="1069"/>
      <c r="MLB282" s="1069"/>
      <c r="MLC282" s="1069"/>
      <c r="MLD282" s="1069"/>
      <c r="MLE282" s="1069"/>
      <c r="MLF282" s="1069"/>
      <c r="MLG282" s="1069"/>
      <c r="MLH282" s="1069"/>
      <c r="MLI282" s="1069"/>
      <c r="MLJ282" s="1069"/>
      <c r="MLK282" s="1069"/>
      <c r="MLL282" s="1069"/>
      <c r="MLM282" s="1069"/>
      <c r="MLN282" s="1069"/>
      <c r="MLO282" s="1069"/>
      <c r="MLP282" s="1069"/>
      <c r="MLQ282" s="1069"/>
      <c r="MLR282" s="1069"/>
      <c r="MLS282" s="1069"/>
      <c r="MLT282" s="1069"/>
      <c r="MLU282" s="1069"/>
      <c r="MLV282" s="1069"/>
      <c r="MLW282" s="1069"/>
      <c r="MLX282" s="1069"/>
      <c r="MLY282" s="1069"/>
      <c r="MLZ282" s="1069"/>
      <c r="MMA282" s="1069"/>
      <c r="MMB282" s="1069"/>
      <c r="MMC282" s="1069"/>
      <c r="MMD282" s="1069"/>
      <c r="MME282" s="1069"/>
      <c r="MMF282" s="1069"/>
      <c r="MMG282" s="1069"/>
      <c r="MMH282" s="1069"/>
      <c r="MMI282" s="1069"/>
      <c r="MMJ282" s="1069"/>
      <c r="MMK282" s="1069"/>
      <c r="MML282" s="1069"/>
      <c r="MMM282" s="1069"/>
      <c r="MMN282" s="1069"/>
      <c r="MMO282" s="1069"/>
      <c r="MMP282" s="1069"/>
      <c r="MMQ282" s="1069"/>
      <c r="MMR282" s="1069"/>
      <c r="MMS282" s="1069"/>
      <c r="MMT282" s="1069"/>
      <c r="MMU282" s="1069"/>
      <c r="MMV282" s="1069"/>
      <c r="MMW282" s="1069"/>
      <c r="MMX282" s="1069"/>
      <c r="MMY282" s="1069"/>
      <c r="MMZ282" s="1069"/>
      <c r="MNA282" s="1069"/>
      <c r="MNB282" s="1069"/>
      <c r="MNC282" s="1069"/>
      <c r="MND282" s="1069"/>
      <c r="MNE282" s="1069"/>
      <c r="MNF282" s="1069"/>
      <c r="MNG282" s="1069"/>
      <c r="MNH282" s="1069"/>
      <c r="MNI282" s="1069"/>
      <c r="MNJ282" s="1069"/>
      <c r="MNK282" s="1069"/>
      <c r="MNL282" s="1069"/>
      <c r="MNM282" s="1069"/>
      <c r="MNN282" s="1069"/>
      <c r="MNO282" s="1069"/>
      <c r="MNP282" s="1069"/>
      <c r="MNQ282" s="1069"/>
      <c r="MNR282" s="1069"/>
      <c r="MNS282" s="1069"/>
      <c r="MNT282" s="1069"/>
      <c r="MNU282" s="1069"/>
      <c r="MNV282" s="1069"/>
      <c r="MNW282" s="1069"/>
      <c r="MNX282" s="1069"/>
      <c r="MNY282" s="1069"/>
      <c r="MNZ282" s="1069"/>
      <c r="MOA282" s="1069"/>
      <c r="MOB282" s="1069"/>
      <c r="MOC282" s="1069"/>
      <c r="MOD282" s="1069"/>
      <c r="MOE282" s="1069"/>
      <c r="MOF282" s="1069"/>
      <c r="MOG282" s="1069"/>
      <c r="MOH282" s="1069"/>
      <c r="MOI282" s="1069"/>
      <c r="MOJ282" s="1069"/>
      <c r="MOK282" s="1069"/>
      <c r="MOL282" s="1069"/>
      <c r="MOM282" s="1069"/>
      <c r="MON282" s="1069"/>
      <c r="MOO282" s="1069"/>
      <c r="MOP282" s="1069"/>
      <c r="MOQ282" s="1069"/>
      <c r="MOR282" s="1069"/>
      <c r="MOS282" s="1069"/>
      <c r="MOT282" s="1069"/>
      <c r="MOU282" s="1069"/>
      <c r="MOV282" s="1069"/>
      <c r="MOW282" s="1069"/>
      <c r="MOX282" s="1069"/>
      <c r="MOY282" s="1069"/>
      <c r="MOZ282" s="1069"/>
      <c r="MPA282" s="1069"/>
      <c r="MPB282" s="1069"/>
      <c r="MPC282" s="1069"/>
      <c r="MPD282" s="1069"/>
      <c r="MPE282" s="1069"/>
      <c r="MPF282" s="1069"/>
      <c r="MPG282" s="1069"/>
      <c r="MPH282" s="1069"/>
      <c r="MPI282" s="1069"/>
      <c r="MPJ282" s="1069"/>
      <c r="MPK282" s="1069"/>
      <c r="MPL282" s="1069"/>
      <c r="MPM282" s="1069"/>
      <c r="MPN282" s="1069"/>
      <c r="MPO282" s="1069"/>
      <c r="MPP282" s="1069"/>
      <c r="MPQ282" s="1069"/>
      <c r="MPR282" s="1069"/>
      <c r="MPS282" s="1069"/>
      <c r="MPT282" s="1069"/>
      <c r="MPU282" s="1069"/>
      <c r="MPV282" s="1069"/>
      <c r="MPW282" s="1069"/>
      <c r="MPX282" s="1069"/>
      <c r="MPY282" s="1069"/>
      <c r="MPZ282" s="1069"/>
      <c r="MQA282" s="1069"/>
      <c r="MQB282" s="1069"/>
      <c r="MQC282" s="1069"/>
      <c r="MQD282" s="1069"/>
      <c r="MQE282" s="1069"/>
      <c r="MQF282" s="1069"/>
      <c r="MQG282" s="1069"/>
      <c r="MQH282" s="1069"/>
      <c r="MQI282" s="1069"/>
      <c r="MQJ282" s="1069"/>
      <c r="MQK282" s="1069"/>
      <c r="MQL282" s="1069"/>
      <c r="MQM282" s="1069"/>
      <c r="MQN282" s="1069"/>
      <c r="MQO282" s="1069"/>
      <c r="MQP282" s="1069"/>
      <c r="MQQ282" s="1069"/>
      <c r="MQR282" s="1069"/>
      <c r="MQS282" s="1069"/>
      <c r="MQT282" s="1069"/>
      <c r="MQU282" s="1069"/>
      <c r="MQV282" s="1069"/>
      <c r="MQW282" s="1069"/>
      <c r="MQX282" s="1069"/>
      <c r="MQY282" s="1069"/>
      <c r="MQZ282" s="1069"/>
      <c r="MRA282" s="1069"/>
      <c r="MRB282" s="1069"/>
      <c r="MRC282" s="1069"/>
      <c r="MRD282" s="1069"/>
      <c r="MRE282" s="1069"/>
      <c r="MRF282" s="1069"/>
      <c r="MRG282" s="1069"/>
      <c r="MRH282" s="1069"/>
      <c r="MRI282" s="1069"/>
      <c r="MRJ282" s="1069"/>
      <c r="MRK282" s="1069"/>
      <c r="MRL282" s="1069"/>
      <c r="MRM282" s="1069"/>
      <c r="MRN282" s="1069"/>
      <c r="MRO282" s="1069"/>
      <c r="MRP282" s="1069"/>
      <c r="MRQ282" s="1069"/>
      <c r="MRR282" s="1069"/>
      <c r="MRS282" s="1069"/>
      <c r="MRT282" s="1069"/>
      <c r="MRU282" s="1069"/>
      <c r="MRV282" s="1069"/>
      <c r="MRW282" s="1069"/>
      <c r="MRX282" s="1069"/>
      <c r="MRY282" s="1069"/>
      <c r="MRZ282" s="1069"/>
      <c r="MSA282" s="1069"/>
      <c r="MSB282" s="1069"/>
      <c r="MSC282" s="1069"/>
      <c r="MSD282" s="1069"/>
      <c r="MSE282" s="1069"/>
      <c r="MSF282" s="1069"/>
      <c r="MSG282" s="1069"/>
      <c r="MSH282" s="1069"/>
      <c r="MSI282" s="1069"/>
      <c r="MSJ282" s="1069"/>
      <c r="MSK282" s="1069"/>
      <c r="MSL282" s="1069"/>
      <c r="MSM282" s="1069"/>
      <c r="MSN282" s="1069"/>
      <c r="MSO282" s="1069"/>
      <c r="MSP282" s="1069"/>
      <c r="MSQ282" s="1069"/>
      <c r="MSR282" s="1069"/>
      <c r="MSS282" s="1069"/>
      <c r="MST282" s="1069"/>
      <c r="MSU282" s="1069"/>
      <c r="MSV282" s="1069"/>
      <c r="MSW282" s="1069"/>
      <c r="MSX282" s="1069"/>
      <c r="MSY282" s="1069"/>
      <c r="MSZ282" s="1069"/>
      <c r="MTA282" s="1069"/>
      <c r="MTB282" s="1069"/>
      <c r="MTC282" s="1069"/>
      <c r="MTD282" s="1069"/>
      <c r="MTE282" s="1069"/>
      <c r="MTF282" s="1069"/>
      <c r="MTG282" s="1069"/>
      <c r="MTH282" s="1069"/>
      <c r="MTI282" s="1069"/>
      <c r="MTJ282" s="1069"/>
      <c r="MTK282" s="1069"/>
      <c r="MTL282" s="1069"/>
      <c r="MTM282" s="1069"/>
      <c r="MTN282" s="1069"/>
      <c r="MTO282" s="1069"/>
      <c r="MTP282" s="1069"/>
      <c r="MTQ282" s="1069"/>
      <c r="MTR282" s="1069"/>
      <c r="MTS282" s="1069"/>
      <c r="MTT282" s="1069"/>
      <c r="MTU282" s="1069"/>
      <c r="MTV282" s="1069"/>
      <c r="MTW282" s="1069"/>
      <c r="MTX282" s="1069"/>
      <c r="MTY282" s="1069"/>
      <c r="MTZ282" s="1069"/>
      <c r="MUA282" s="1069"/>
      <c r="MUB282" s="1069"/>
      <c r="MUC282" s="1069"/>
      <c r="MUD282" s="1069"/>
      <c r="MUE282" s="1069"/>
      <c r="MUF282" s="1069"/>
      <c r="MUG282" s="1069"/>
      <c r="MUH282" s="1069"/>
      <c r="MUI282" s="1069"/>
      <c r="MUJ282" s="1069"/>
      <c r="MUK282" s="1069"/>
      <c r="MUL282" s="1069"/>
      <c r="MUM282" s="1069"/>
      <c r="MUN282" s="1069"/>
      <c r="MUO282" s="1069"/>
      <c r="MUP282" s="1069"/>
      <c r="MUQ282" s="1069"/>
      <c r="MUR282" s="1069"/>
      <c r="MUS282" s="1069"/>
      <c r="MUT282" s="1069"/>
      <c r="MUU282" s="1069"/>
      <c r="MUV282" s="1069"/>
      <c r="MUW282" s="1069"/>
      <c r="MUX282" s="1069"/>
      <c r="MUY282" s="1069"/>
      <c r="MUZ282" s="1069"/>
      <c r="MVA282" s="1069"/>
      <c r="MVB282" s="1069"/>
      <c r="MVC282" s="1069"/>
      <c r="MVD282" s="1069"/>
      <c r="MVE282" s="1069"/>
      <c r="MVF282" s="1069"/>
      <c r="MVG282" s="1069"/>
      <c r="MVH282" s="1069"/>
      <c r="MVI282" s="1069"/>
      <c r="MVJ282" s="1069"/>
      <c r="MVK282" s="1069"/>
      <c r="MVL282" s="1069"/>
      <c r="MVM282" s="1069"/>
      <c r="MVN282" s="1069"/>
      <c r="MVO282" s="1069"/>
      <c r="MVP282" s="1069"/>
      <c r="MVQ282" s="1069"/>
      <c r="MVR282" s="1069"/>
      <c r="MVS282" s="1069"/>
      <c r="MVT282" s="1069"/>
      <c r="MVU282" s="1069"/>
      <c r="MVV282" s="1069"/>
      <c r="MVW282" s="1069"/>
      <c r="MVX282" s="1069"/>
      <c r="MVY282" s="1069"/>
      <c r="MVZ282" s="1069"/>
      <c r="MWA282" s="1069"/>
      <c r="MWB282" s="1069"/>
      <c r="MWC282" s="1069"/>
      <c r="MWD282" s="1069"/>
      <c r="MWE282" s="1069"/>
      <c r="MWF282" s="1069"/>
      <c r="MWG282" s="1069"/>
      <c r="MWH282" s="1069"/>
      <c r="MWI282" s="1069"/>
      <c r="MWJ282" s="1069"/>
      <c r="MWK282" s="1069"/>
      <c r="MWL282" s="1069"/>
      <c r="MWM282" s="1069"/>
      <c r="MWN282" s="1069"/>
      <c r="MWO282" s="1069"/>
      <c r="MWP282" s="1069"/>
      <c r="MWQ282" s="1069"/>
      <c r="MWR282" s="1069"/>
      <c r="MWS282" s="1069"/>
      <c r="MWT282" s="1069"/>
      <c r="MWU282" s="1069"/>
      <c r="MWV282" s="1069"/>
      <c r="MWW282" s="1069"/>
      <c r="MWX282" s="1069"/>
      <c r="MWY282" s="1069"/>
      <c r="MWZ282" s="1069"/>
      <c r="MXA282" s="1069"/>
      <c r="MXB282" s="1069"/>
      <c r="MXC282" s="1069"/>
      <c r="MXD282" s="1069"/>
      <c r="MXE282" s="1069"/>
      <c r="MXF282" s="1069"/>
      <c r="MXG282" s="1069"/>
      <c r="MXH282" s="1069"/>
      <c r="MXI282" s="1069"/>
      <c r="MXJ282" s="1069"/>
      <c r="MXK282" s="1069"/>
      <c r="MXL282" s="1069"/>
      <c r="MXM282" s="1069"/>
      <c r="MXN282" s="1069"/>
      <c r="MXO282" s="1069"/>
      <c r="MXP282" s="1069"/>
      <c r="MXQ282" s="1069"/>
      <c r="MXR282" s="1069"/>
      <c r="MXS282" s="1069"/>
      <c r="MXT282" s="1069"/>
      <c r="MXU282" s="1069"/>
      <c r="MXV282" s="1069"/>
      <c r="MXW282" s="1069"/>
      <c r="MXX282" s="1069"/>
      <c r="MXY282" s="1069"/>
      <c r="MXZ282" s="1069"/>
      <c r="MYA282" s="1069"/>
      <c r="MYB282" s="1069"/>
      <c r="MYC282" s="1069"/>
      <c r="MYD282" s="1069"/>
      <c r="MYE282" s="1069"/>
      <c r="MYF282" s="1069"/>
      <c r="MYG282" s="1069"/>
      <c r="MYH282" s="1069"/>
      <c r="MYI282" s="1069"/>
      <c r="MYJ282" s="1069"/>
      <c r="MYK282" s="1069"/>
      <c r="MYL282" s="1069"/>
      <c r="MYM282" s="1069"/>
      <c r="MYN282" s="1069"/>
      <c r="MYO282" s="1069"/>
      <c r="MYP282" s="1069"/>
      <c r="MYQ282" s="1069"/>
      <c r="MYR282" s="1069"/>
      <c r="MYS282" s="1069"/>
      <c r="MYT282" s="1069"/>
      <c r="MYU282" s="1069"/>
      <c r="MYV282" s="1069"/>
      <c r="MYW282" s="1069"/>
      <c r="MYX282" s="1069"/>
      <c r="MYY282" s="1069"/>
      <c r="MYZ282" s="1069"/>
      <c r="MZA282" s="1069"/>
      <c r="MZB282" s="1069"/>
      <c r="MZC282" s="1069"/>
      <c r="MZD282" s="1069"/>
      <c r="MZE282" s="1069"/>
      <c r="MZF282" s="1069"/>
      <c r="MZG282" s="1069"/>
      <c r="MZH282" s="1069"/>
      <c r="MZI282" s="1069"/>
      <c r="MZJ282" s="1069"/>
      <c r="MZK282" s="1069"/>
      <c r="MZL282" s="1069"/>
      <c r="MZM282" s="1069"/>
      <c r="MZN282" s="1069"/>
      <c r="MZO282" s="1069"/>
      <c r="MZP282" s="1069"/>
      <c r="MZQ282" s="1069"/>
      <c r="MZR282" s="1069"/>
      <c r="MZS282" s="1069"/>
      <c r="MZT282" s="1069"/>
      <c r="MZU282" s="1069"/>
      <c r="MZV282" s="1069"/>
      <c r="MZW282" s="1069"/>
      <c r="MZX282" s="1069"/>
      <c r="MZY282" s="1069"/>
      <c r="MZZ282" s="1069"/>
      <c r="NAA282" s="1069"/>
      <c r="NAB282" s="1069"/>
      <c r="NAC282" s="1069"/>
      <c r="NAD282" s="1069"/>
      <c r="NAE282" s="1069"/>
      <c r="NAF282" s="1069"/>
      <c r="NAG282" s="1069"/>
      <c r="NAH282" s="1069"/>
      <c r="NAI282" s="1069"/>
      <c r="NAJ282" s="1069"/>
      <c r="NAK282" s="1069"/>
      <c r="NAL282" s="1069"/>
      <c r="NAM282" s="1069"/>
      <c r="NAN282" s="1069"/>
      <c r="NAO282" s="1069"/>
      <c r="NAP282" s="1069"/>
      <c r="NAQ282" s="1069"/>
      <c r="NAR282" s="1069"/>
      <c r="NAS282" s="1069"/>
      <c r="NAT282" s="1069"/>
      <c r="NAU282" s="1069"/>
      <c r="NAV282" s="1069"/>
      <c r="NAW282" s="1069"/>
      <c r="NAX282" s="1069"/>
      <c r="NAY282" s="1069"/>
      <c r="NAZ282" s="1069"/>
      <c r="NBA282" s="1069"/>
      <c r="NBB282" s="1069"/>
      <c r="NBC282" s="1069"/>
      <c r="NBD282" s="1069"/>
      <c r="NBE282" s="1069"/>
      <c r="NBF282" s="1069"/>
      <c r="NBG282" s="1069"/>
      <c r="NBH282" s="1069"/>
      <c r="NBI282" s="1069"/>
      <c r="NBJ282" s="1069"/>
      <c r="NBK282" s="1069"/>
      <c r="NBL282" s="1069"/>
      <c r="NBM282" s="1069"/>
      <c r="NBN282" s="1069"/>
      <c r="NBO282" s="1069"/>
      <c r="NBP282" s="1069"/>
      <c r="NBQ282" s="1069"/>
      <c r="NBR282" s="1069"/>
      <c r="NBS282" s="1069"/>
      <c r="NBT282" s="1069"/>
      <c r="NBU282" s="1069"/>
      <c r="NBV282" s="1069"/>
      <c r="NBW282" s="1069"/>
      <c r="NBX282" s="1069"/>
      <c r="NBY282" s="1069"/>
      <c r="NBZ282" s="1069"/>
      <c r="NCA282" s="1069"/>
      <c r="NCB282" s="1069"/>
      <c r="NCC282" s="1069"/>
      <c r="NCD282" s="1069"/>
      <c r="NCE282" s="1069"/>
      <c r="NCF282" s="1069"/>
      <c r="NCG282" s="1069"/>
      <c r="NCH282" s="1069"/>
      <c r="NCI282" s="1069"/>
      <c r="NCJ282" s="1069"/>
      <c r="NCK282" s="1069"/>
      <c r="NCL282" s="1069"/>
      <c r="NCM282" s="1069"/>
      <c r="NCN282" s="1069"/>
      <c r="NCO282" s="1069"/>
      <c r="NCP282" s="1069"/>
      <c r="NCQ282" s="1069"/>
      <c r="NCR282" s="1069"/>
      <c r="NCS282" s="1069"/>
      <c r="NCT282" s="1069"/>
      <c r="NCU282" s="1069"/>
      <c r="NCV282" s="1069"/>
      <c r="NCW282" s="1069"/>
      <c r="NCX282" s="1069"/>
      <c r="NCY282" s="1069"/>
      <c r="NCZ282" s="1069"/>
      <c r="NDA282" s="1069"/>
      <c r="NDB282" s="1069"/>
      <c r="NDC282" s="1069"/>
      <c r="NDD282" s="1069"/>
      <c r="NDE282" s="1069"/>
      <c r="NDF282" s="1069"/>
      <c r="NDG282" s="1069"/>
      <c r="NDH282" s="1069"/>
      <c r="NDI282" s="1069"/>
      <c r="NDJ282" s="1069"/>
      <c r="NDK282" s="1069"/>
      <c r="NDL282" s="1069"/>
      <c r="NDM282" s="1069"/>
      <c r="NDN282" s="1069"/>
      <c r="NDO282" s="1069"/>
      <c r="NDP282" s="1069"/>
      <c r="NDQ282" s="1069"/>
      <c r="NDR282" s="1069"/>
      <c r="NDS282" s="1069"/>
      <c r="NDT282" s="1069"/>
      <c r="NDU282" s="1069"/>
      <c r="NDV282" s="1069"/>
      <c r="NDW282" s="1069"/>
      <c r="NDX282" s="1069"/>
      <c r="NDY282" s="1069"/>
      <c r="NDZ282" s="1069"/>
      <c r="NEA282" s="1069"/>
      <c r="NEB282" s="1069"/>
      <c r="NEC282" s="1069"/>
      <c r="NED282" s="1069"/>
      <c r="NEE282" s="1069"/>
      <c r="NEF282" s="1069"/>
      <c r="NEG282" s="1069"/>
      <c r="NEH282" s="1069"/>
      <c r="NEI282" s="1069"/>
      <c r="NEJ282" s="1069"/>
      <c r="NEK282" s="1069"/>
      <c r="NEL282" s="1069"/>
      <c r="NEM282" s="1069"/>
      <c r="NEN282" s="1069"/>
      <c r="NEO282" s="1069"/>
      <c r="NEP282" s="1069"/>
      <c r="NEQ282" s="1069"/>
      <c r="NER282" s="1069"/>
      <c r="NES282" s="1069"/>
      <c r="NET282" s="1069"/>
      <c r="NEU282" s="1069"/>
      <c r="NEV282" s="1069"/>
      <c r="NEW282" s="1069"/>
      <c r="NEX282" s="1069"/>
      <c r="NEY282" s="1069"/>
      <c r="NEZ282" s="1069"/>
      <c r="NFA282" s="1069"/>
      <c r="NFB282" s="1069"/>
      <c r="NFC282" s="1069"/>
      <c r="NFD282" s="1069"/>
      <c r="NFE282" s="1069"/>
      <c r="NFF282" s="1069"/>
      <c r="NFG282" s="1069"/>
      <c r="NFH282" s="1069"/>
      <c r="NFI282" s="1069"/>
      <c r="NFJ282" s="1069"/>
      <c r="NFK282" s="1069"/>
      <c r="NFL282" s="1069"/>
      <c r="NFM282" s="1069"/>
      <c r="NFN282" s="1069"/>
      <c r="NFO282" s="1069"/>
      <c r="NFP282" s="1069"/>
      <c r="NFQ282" s="1069"/>
      <c r="NFR282" s="1069"/>
      <c r="NFS282" s="1069"/>
      <c r="NFT282" s="1069"/>
      <c r="NFU282" s="1069"/>
      <c r="NFV282" s="1069"/>
      <c r="NFW282" s="1069"/>
      <c r="NFX282" s="1069"/>
      <c r="NFY282" s="1069"/>
      <c r="NFZ282" s="1069"/>
      <c r="NGA282" s="1069"/>
      <c r="NGB282" s="1069"/>
      <c r="NGC282" s="1069"/>
      <c r="NGD282" s="1069"/>
      <c r="NGE282" s="1069"/>
      <c r="NGF282" s="1069"/>
      <c r="NGG282" s="1069"/>
      <c r="NGH282" s="1069"/>
      <c r="NGI282" s="1069"/>
      <c r="NGJ282" s="1069"/>
      <c r="NGK282" s="1069"/>
      <c r="NGL282" s="1069"/>
      <c r="NGM282" s="1069"/>
      <c r="NGN282" s="1069"/>
      <c r="NGO282" s="1069"/>
      <c r="NGP282" s="1069"/>
      <c r="NGQ282" s="1069"/>
      <c r="NGR282" s="1069"/>
      <c r="NGS282" s="1069"/>
      <c r="NGT282" s="1069"/>
      <c r="NGU282" s="1069"/>
      <c r="NGV282" s="1069"/>
      <c r="NGW282" s="1069"/>
      <c r="NGX282" s="1069"/>
      <c r="NGY282" s="1069"/>
      <c r="NGZ282" s="1069"/>
      <c r="NHA282" s="1069"/>
      <c r="NHB282" s="1069"/>
      <c r="NHC282" s="1069"/>
      <c r="NHD282" s="1069"/>
      <c r="NHE282" s="1069"/>
      <c r="NHF282" s="1069"/>
      <c r="NHG282" s="1069"/>
      <c r="NHH282" s="1069"/>
      <c r="NHI282" s="1069"/>
      <c r="NHJ282" s="1069"/>
      <c r="NHK282" s="1069"/>
      <c r="NHL282" s="1069"/>
      <c r="NHM282" s="1069"/>
      <c r="NHN282" s="1069"/>
      <c r="NHO282" s="1069"/>
      <c r="NHP282" s="1069"/>
      <c r="NHQ282" s="1069"/>
      <c r="NHR282" s="1069"/>
      <c r="NHS282" s="1069"/>
      <c r="NHT282" s="1069"/>
      <c r="NHU282" s="1069"/>
      <c r="NHV282" s="1069"/>
      <c r="NHW282" s="1069"/>
      <c r="NHX282" s="1069"/>
      <c r="NHY282" s="1069"/>
      <c r="NHZ282" s="1069"/>
      <c r="NIA282" s="1069"/>
      <c r="NIB282" s="1069"/>
      <c r="NIC282" s="1069"/>
      <c r="NID282" s="1069"/>
      <c r="NIE282" s="1069"/>
      <c r="NIF282" s="1069"/>
      <c r="NIG282" s="1069"/>
      <c r="NIH282" s="1069"/>
      <c r="NII282" s="1069"/>
      <c r="NIJ282" s="1069"/>
      <c r="NIK282" s="1069"/>
      <c r="NIL282" s="1069"/>
      <c r="NIM282" s="1069"/>
      <c r="NIN282" s="1069"/>
      <c r="NIO282" s="1069"/>
      <c r="NIP282" s="1069"/>
      <c r="NIQ282" s="1069"/>
      <c r="NIR282" s="1069"/>
      <c r="NIS282" s="1069"/>
      <c r="NIT282" s="1069"/>
      <c r="NIU282" s="1069"/>
      <c r="NIV282" s="1069"/>
      <c r="NIW282" s="1069"/>
      <c r="NIX282" s="1069"/>
      <c r="NIY282" s="1069"/>
      <c r="NIZ282" s="1069"/>
      <c r="NJA282" s="1069"/>
      <c r="NJB282" s="1069"/>
      <c r="NJC282" s="1069"/>
      <c r="NJD282" s="1069"/>
      <c r="NJE282" s="1069"/>
      <c r="NJF282" s="1069"/>
      <c r="NJG282" s="1069"/>
      <c r="NJH282" s="1069"/>
      <c r="NJI282" s="1069"/>
      <c r="NJJ282" s="1069"/>
      <c r="NJK282" s="1069"/>
      <c r="NJL282" s="1069"/>
      <c r="NJM282" s="1069"/>
      <c r="NJN282" s="1069"/>
      <c r="NJO282" s="1069"/>
      <c r="NJP282" s="1069"/>
      <c r="NJQ282" s="1069"/>
      <c r="NJR282" s="1069"/>
      <c r="NJS282" s="1069"/>
      <c r="NJT282" s="1069"/>
      <c r="NJU282" s="1069"/>
      <c r="NJV282" s="1069"/>
      <c r="NJW282" s="1069"/>
      <c r="NJX282" s="1069"/>
      <c r="NJY282" s="1069"/>
      <c r="NJZ282" s="1069"/>
      <c r="NKA282" s="1069"/>
      <c r="NKB282" s="1069"/>
      <c r="NKC282" s="1069"/>
      <c r="NKD282" s="1069"/>
      <c r="NKE282" s="1069"/>
      <c r="NKF282" s="1069"/>
      <c r="NKG282" s="1069"/>
      <c r="NKH282" s="1069"/>
      <c r="NKI282" s="1069"/>
      <c r="NKJ282" s="1069"/>
      <c r="NKK282" s="1069"/>
      <c r="NKL282" s="1069"/>
      <c r="NKM282" s="1069"/>
      <c r="NKN282" s="1069"/>
      <c r="NKO282" s="1069"/>
      <c r="NKP282" s="1069"/>
      <c r="NKQ282" s="1069"/>
      <c r="NKR282" s="1069"/>
      <c r="NKS282" s="1069"/>
      <c r="NKT282" s="1069"/>
      <c r="NKU282" s="1069"/>
      <c r="NKV282" s="1069"/>
      <c r="NKW282" s="1069"/>
      <c r="NKX282" s="1069"/>
      <c r="NKY282" s="1069"/>
      <c r="NKZ282" s="1069"/>
      <c r="NLA282" s="1069"/>
      <c r="NLB282" s="1069"/>
      <c r="NLC282" s="1069"/>
      <c r="NLD282" s="1069"/>
      <c r="NLE282" s="1069"/>
      <c r="NLF282" s="1069"/>
      <c r="NLG282" s="1069"/>
      <c r="NLH282" s="1069"/>
      <c r="NLI282" s="1069"/>
      <c r="NLJ282" s="1069"/>
      <c r="NLK282" s="1069"/>
      <c r="NLL282" s="1069"/>
      <c r="NLM282" s="1069"/>
      <c r="NLN282" s="1069"/>
      <c r="NLO282" s="1069"/>
      <c r="NLP282" s="1069"/>
      <c r="NLQ282" s="1069"/>
      <c r="NLR282" s="1069"/>
      <c r="NLS282" s="1069"/>
      <c r="NLT282" s="1069"/>
      <c r="NLU282" s="1069"/>
      <c r="NLV282" s="1069"/>
      <c r="NLW282" s="1069"/>
      <c r="NLX282" s="1069"/>
      <c r="NLY282" s="1069"/>
      <c r="NLZ282" s="1069"/>
      <c r="NMA282" s="1069"/>
      <c r="NMB282" s="1069"/>
      <c r="NMC282" s="1069"/>
      <c r="NMD282" s="1069"/>
      <c r="NME282" s="1069"/>
      <c r="NMF282" s="1069"/>
      <c r="NMG282" s="1069"/>
      <c r="NMH282" s="1069"/>
      <c r="NMI282" s="1069"/>
      <c r="NMJ282" s="1069"/>
      <c r="NMK282" s="1069"/>
      <c r="NML282" s="1069"/>
      <c r="NMM282" s="1069"/>
      <c r="NMN282" s="1069"/>
      <c r="NMO282" s="1069"/>
      <c r="NMP282" s="1069"/>
      <c r="NMQ282" s="1069"/>
      <c r="NMR282" s="1069"/>
      <c r="NMS282" s="1069"/>
      <c r="NMT282" s="1069"/>
      <c r="NMU282" s="1069"/>
      <c r="NMV282" s="1069"/>
      <c r="NMW282" s="1069"/>
      <c r="NMX282" s="1069"/>
      <c r="NMY282" s="1069"/>
      <c r="NMZ282" s="1069"/>
      <c r="NNA282" s="1069"/>
      <c r="NNB282" s="1069"/>
      <c r="NNC282" s="1069"/>
      <c r="NND282" s="1069"/>
      <c r="NNE282" s="1069"/>
      <c r="NNF282" s="1069"/>
      <c r="NNG282" s="1069"/>
      <c r="NNH282" s="1069"/>
      <c r="NNI282" s="1069"/>
      <c r="NNJ282" s="1069"/>
      <c r="NNK282" s="1069"/>
      <c r="NNL282" s="1069"/>
      <c r="NNM282" s="1069"/>
      <c r="NNN282" s="1069"/>
      <c r="NNO282" s="1069"/>
      <c r="NNP282" s="1069"/>
      <c r="NNQ282" s="1069"/>
      <c r="NNR282" s="1069"/>
      <c r="NNS282" s="1069"/>
      <c r="NNT282" s="1069"/>
      <c r="NNU282" s="1069"/>
      <c r="NNV282" s="1069"/>
      <c r="NNW282" s="1069"/>
      <c r="NNX282" s="1069"/>
      <c r="NNY282" s="1069"/>
      <c r="NNZ282" s="1069"/>
      <c r="NOA282" s="1069"/>
      <c r="NOB282" s="1069"/>
      <c r="NOC282" s="1069"/>
      <c r="NOD282" s="1069"/>
      <c r="NOE282" s="1069"/>
      <c r="NOF282" s="1069"/>
      <c r="NOG282" s="1069"/>
      <c r="NOH282" s="1069"/>
      <c r="NOI282" s="1069"/>
      <c r="NOJ282" s="1069"/>
      <c r="NOK282" s="1069"/>
      <c r="NOL282" s="1069"/>
      <c r="NOM282" s="1069"/>
      <c r="NON282" s="1069"/>
      <c r="NOO282" s="1069"/>
      <c r="NOP282" s="1069"/>
      <c r="NOQ282" s="1069"/>
      <c r="NOR282" s="1069"/>
      <c r="NOS282" s="1069"/>
      <c r="NOT282" s="1069"/>
      <c r="NOU282" s="1069"/>
      <c r="NOV282" s="1069"/>
      <c r="NOW282" s="1069"/>
      <c r="NOX282" s="1069"/>
      <c r="NOY282" s="1069"/>
      <c r="NOZ282" s="1069"/>
      <c r="NPA282" s="1069"/>
      <c r="NPB282" s="1069"/>
      <c r="NPC282" s="1069"/>
      <c r="NPD282" s="1069"/>
      <c r="NPE282" s="1069"/>
      <c r="NPF282" s="1069"/>
      <c r="NPG282" s="1069"/>
      <c r="NPH282" s="1069"/>
      <c r="NPI282" s="1069"/>
      <c r="NPJ282" s="1069"/>
      <c r="NPK282" s="1069"/>
      <c r="NPL282" s="1069"/>
      <c r="NPM282" s="1069"/>
      <c r="NPN282" s="1069"/>
      <c r="NPO282" s="1069"/>
      <c r="NPP282" s="1069"/>
      <c r="NPQ282" s="1069"/>
      <c r="NPR282" s="1069"/>
      <c r="NPS282" s="1069"/>
      <c r="NPT282" s="1069"/>
      <c r="NPU282" s="1069"/>
      <c r="NPV282" s="1069"/>
      <c r="NPW282" s="1069"/>
      <c r="NPX282" s="1069"/>
      <c r="NPY282" s="1069"/>
      <c r="NPZ282" s="1069"/>
      <c r="NQA282" s="1069"/>
      <c r="NQB282" s="1069"/>
      <c r="NQC282" s="1069"/>
      <c r="NQD282" s="1069"/>
      <c r="NQE282" s="1069"/>
      <c r="NQF282" s="1069"/>
      <c r="NQG282" s="1069"/>
      <c r="NQH282" s="1069"/>
      <c r="NQI282" s="1069"/>
      <c r="NQJ282" s="1069"/>
      <c r="NQK282" s="1069"/>
      <c r="NQL282" s="1069"/>
      <c r="NQM282" s="1069"/>
      <c r="NQN282" s="1069"/>
      <c r="NQO282" s="1069"/>
      <c r="NQP282" s="1069"/>
      <c r="NQQ282" s="1069"/>
      <c r="NQR282" s="1069"/>
      <c r="NQS282" s="1069"/>
      <c r="NQT282" s="1069"/>
      <c r="NQU282" s="1069"/>
      <c r="NQV282" s="1069"/>
      <c r="NQW282" s="1069"/>
      <c r="NQX282" s="1069"/>
      <c r="NQY282" s="1069"/>
      <c r="NQZ282" s="1069"/>
      <c r="NRA282" s="1069"/>
      <c r="NRB282" s="1069"/>
      <c r="NRC282" s="1069"/>
      <c r="NRD282" s="1069"/>
      <c r="NRE282" s="1069"/>
      <c r="NRF282" s="1069"/>
      <c r="NRG282" s="1069"/>
      <c r="NRH282" s="1069"/>
      <c r="NRI282" s="1069"/>
      <c r="NRJ282" s="1069"/>
      <c r="NRK282" s="1069"/>
      <c r="NRL282" s="1069"/>
      <c r="NRM282" s="1069"/>
      <c r="NRN282" s="1069"/>
      <c r="NRO282" s="1069"/>
      <c r="NRP282" s="1069"/>
      <c r="NRQ282" s="1069"/>
      <c r="NRR282" s="1069"/>
      <c r="NRS282" s="1069"/>
      <c r="NRT282" s="1069"/>
      <c r="NRU282" s="1069"/>
      <c r="NRV282" s="1069"/>
      <c r="NRW282" s="1069"/>
      <c r="NRX282" s="1069"/>
      <c r="NRY282" s="1069"/>
      <c r="NRZ282" s="1069"/>
      <c r="NSA282" s="1069"/>
      <c r="NSB282" s="1069"/>
      <c r="NSC282" s="1069"/>
      <c r="NSD282" s="1069"/>
      <c r="NSE282" s="1069"/>
      <c r="NSF282" s="1069"/>
      <c r="NSG282" s="1069"/>
      <c r="NSH282" s="1069"/>
      <c r="NSI282" s="1069"/>
      <c r="NSJ282" s="1069"/>
      <c r="NSK282" s="1069"/>
      <c r="NSL282" s="1069"/>
      <c r="NSM282" s="1069"/>
      <c r="NSN282" s="1069"/>
      <c r="NSO282" s="1069"/>
      <c r="NSP282" s="1069"/>
      <c r="NSQ282" s="1069"/>
      <c r="NSR282" s="1069"/>
      <c r="NSS282" s="1069"/>
      <c r="NST282" s="1069"/>
      <c r="NSU282" s="1069"/>
      <c r="NSV282" s="1069"/>
      <c r="NSW282" s="1069"/>
      <c r="NSX282" s="1069"/>
      <c r="NSY282" s="1069"/>
      <c r="NSZ282" s="1069"/>
      <c r="NTA282" s="1069"/>
      <c r="NTB282" s="1069"/>
      <c r="NTC282" s="1069"/>
      <c r="NTD282" s="1069"/>
      <c r="NTE282" s="1069"/>
      <c r="NTF282" s="1069"/>
      <c r="NTG282" s="1069"/>
      <c r="NTH282" s="1069"/>
      <c r="NTI282" s="1069"/>
      <c r="NTJ282" s="1069"/>
      <c r="NTK282" s="1069"/>
      <c r="NTL282" s="1069"/>
      <c r="NTM282" s="1069"/>
      <c r="NTN282" s="1069"/>
      <c r="NTO282" s="1069"/>
      <c r="NTP282" s="1069"/>
      <c r="NTQ282" s="1069"/>
      <c r="NTR282" s="1069"/>
      <c r="NTS282" s="1069"/>
      <c r="NTT282" s="1069"/>
      <c r="NTU282" s="1069"/>
      <c r="NTV282" s="1069"/>
      <c r="NTW282" s="1069"/>
      <c r="NTX282" s="1069"/>
      <c r="NTY282" s="1069"/>
      <c r="NTZ282" s="1069"/>
      <c r="NUA282" s="1069"/>
      <c r="NUB282" s="1069"/>
      <c r="NUC282" s="1069"/>
      <c r="NUD282" s="1069"/>
      <c r="NUE282" s="1069"/>
      <c r="NUF282" s="1069"/>
      <c r="NUG282" s="1069"/>
      <c r="NUH282" s="1069"/>
      <c r="NUI282" s="1069"/>
      <c r="NUJ282" s="1069"/>
      <c r="NUK282" s="1069"/>
      <c r="NUL282" s="1069"/>
      <c r="NUM282" s="1069"/>
      <c r="NUN282" s="1069"/>
      <c r="NUO282" s="1069"/>
      <c r="NUP282" s="1069"/>
      <c r="NUQ282" s="1069"/>
      <c r="NUR282" s="1069"/>
      <c r="NUS282" s="1069"/>
      <c r="NUT282" s="1069"/>
      <c r="NUU282" s="1069"/>
      <c r="NUV282" s="1069"/>
      <c r="NUW282" s="1069"/>
      <c r="NUX282" s="1069"/>
      <c r="NUY282" s="1069"/>
      <c r="NUZ282" s="1069"/>
      <c r="NVA282" s="1069"/>
      <c r="NVB282" s="1069"/>
      <c r="NVC282" s="1069"/>
      <c r="NVD282" s="1069"/>
      <c r="NVE282" s="1069"/>
      <c r="NVF282" s="1069"/>
      <c r="NVG282" s="1069"/>
      <c r="NVH282" s="1069"/>
      <c r="NVI282" s="1069"/>
      <c r="NVJ282" s="1069"/>
      <c r="NVK282" s="1069"/>
      <c r="NVL282" s="1069"/>
      <c r="NVM282" s="1069"/>
      <c r="NVN282" s="1069"/>
      <c r="NVO282" s="1069"/>
      <c r="NVP282" s="1069"/>
      <c r="NVQ282" s="1069"/>
      <c r="NVR282" s="1069"/>
      <c r="NVS282" s="1069"/>
      <c r="NVT282" s="1069"/>
      <c r="NVU282" s="1069"/>
      <c r="NVV282" s="1069"/>
      <c r="NVW282" s="1069"/>
      <c r="NVX282" s="1069"/>
      <c r="NVY282" s="1069"/>
      <c r="NVZ282" s="1069"/>
      <c r="NWA282" s="1069"/>
      <c r="NWB282" s="1069"/>
      <c r="NWC282" s="1069"/>
      <c r="NWD282" s="1069"/>
      <c r="NWE282" s="1069"/>
      <c r="NWF282" s="1069"/>
      <c r="NWG282" s="1069"/>
      <c r="NWH282" s="1069"/>
      <c r="NWI282" s="1069"/>
      <c r="NWJ282" s="1069"/>
      <c r="NWK282" s="1069"/>
      <c r="NWL282" s="1069"/>
      <c r="NWM282" s="1069"/>
      <c r="NWN282" s="1069"/>
      <c r="NWO282" s="1069"/>
      <c r="NWP282" s="1069"/>
      <c r="NWQ282" s="1069"/>
      <c r="NWR282" s="1069"/>
      <c r="NWS282" s="1069"/>
      <c r="NWT282" s="1069"/>
      <c r="NWU282" s="1069"/>
      <c r="NWV282" s="1069"/>
      <c r="NWW282" s="1069"/>
      <c r="NWX282" s="1069"/>
      <c r="NWY282" s="1069"/>
      <c r="NWZ282" s="1069"/>
      <c r="NXA282" s="1069"/>
      <c r="NXB282" s="1069"/>
      <c r="NXC282" s="1069"/>
      <c r="NXD282" s="1069"/>
      <c r="NXE282" s="1069"/>
      <c r="NXF282" s="1069"/>
      <c r="NXG282" s="1069"/>
      <c r="NXH282" s="1069"/>
      <c r="NXI282" s="1069"/>
      <c r="NXJ282" s="1069"/>
      <c r="NXK282" s="1069"/>
      <c r="NXL282" s="1069"/>
      <c r="NXM282" s="1069"/>
      <c r="NXN282" s="1069"/>
      <c r="NXO282" s="1069"/>
      <c r="NXP282" s="1069"/>
      <c r="NXQ282" s="1069"/>
      <c r="NXR282" s="1069"/>
      <c r="NXS282" s="1069"/>
      <c r="NXT282" s="1069"/>
      <c r="NXU282" s="1069"/>
      <c r="NXV282" s="1069"/>
      <c r="NXW282" s="1069"/>
      <c r="NXX282" s="1069"/>
      <c r="NXY282" s="1069"/>
      <c r="NXZ282" s="1069"/>
      <c r="NYA282" s="1069"/>
      <c r="NYB282" s="1069"/>
      <c r="NYC282" s="1069"/>
      <c r="NYD282" s="1069"/>
      <c r="NYE282" s="1069"/>
      <c r="NYF282" s="1069"/>
      <c r="NYG282" s="1069"/>
      <c r="NYH282" s="1069"/>
      <c r="NYI282" s="1069"/>
      <c r="NYJ282" s="1069"/>
      <c r="NYK282" s="1069"/>
      <c r="NYL282" s="1069"/>
      <c r="NYM282" s="1069"/>
      <c r="NYN282" s="1069"/>
      <c r="NYO282" s="1069"/>
      <c r="NYP282" s="1069"/>
      <c r="NYQ282" s="1069"/>
      <c r="NYR282" s="1069"/>
      <c r="NYS282" s="1069"/>
      <c r="NYT282" s="1069"/>
      <c r="NYU282" s="1069"/>
      <c r="NYV282" s="1069"/>
      <c r="NYW282" s="1069"/>
      <c r="NYX282" s="1069"/>
      <c r="NYY282" s="1069"/>
      <c r="NYZ282" s="1069"/>
      <c r="NZA282" s="1069"/>
      <c r="NZB282" s="1069"/>
      <c r="NZC282" s="1069"/>
      <c r="NZD282" s="1069"/>
      <c r="NZE282" s="1069"/>
      <c r="NZF282" s="1069"/>
      <c r="NZG282" s="1069"/>
      <c r="NZH282" s="1069"/>
      <c r="NZI282" s="1069"/>
      <c r="NZJ282" s="1069"/>
      <c r="NZK282" s="1069"/>
      <c r="NZL282" s="1069"/>
      <c r="NZM282" s="1069"/>
      <c r="NZN282" s="1069"/>
      <c r="NZO282" s="1069"/>
      <c r="NZP282" s="1069"/>
      <c r="NZQ282" s="1069"/>
      <c r="NZR282" s="1069"/>
      <c r="NZS282" s="1069"/>
      <c r="NZT282" s="1069"/>
      <c r="NZU282" s="1069"/>
      <c r="NZV282" s="1069"/>
      <c r="NZW282" s="1069"/>
      <c r="NZX282" s="1069"/>
      <c r="NZY282" s="1069"/>
      <c r="NZZ282" s="1069"/>
      <c r="OAA282" s="1069"/>
      <c r="OAB282" s="1069"/>
      <c r="OAC282" s="1069"/>
      <c r="OAD282" s="1069"/>
      <c r="OAE282" s="1069"/>
      <c r="OAF282" s="1069"/>
      <c r="OAG282" s="1069"/>
      <c r="OAH282" s="1069"/>
      <c r="OAI282" s="1069"/>
      <c r="OAJ282" s="1069"/>
      <c r="OAK282" s="1069"/>
      <c r="OAL282" s="1069"/>
      <c r="OAM282" s="1069"/>
      <c r="OAN282" s="1069"/>
      <c r="OAO282" s="1069"/>
      <c r="OAP282" s="1069"/>
      <c r="OAQ282" s="1069"/>
      <c r="OAR282" s="1069"/>
      <c r="OAS282" s="1069"/>
      <c r="OAT282" s="1069"/>
      <c r="OAU282" s="1069"/>
      <c r="OAV282" s="1069"/>
      <c r="OAW282" s="1069"/>
      <c r="OAX282" s="1069"/>
      <c r="OAY282" s="1069"/>
      <c r="OAZ282" s="1069"/>
      <c r="OBA282" s="1069"/>
      <c r="OBB282" s="1069"/>
      <c r="OBC282" s="1069"/>
      <c r="OBD282" s="1069"/>
      <c r="OBE282" s="1069"/>
      <c r="OBF282" s="1069"/>
      <c r="OBG282" s="1069"/>
      <c r="OBH282" s="1069"/>
      <c r="OBI282" s="1069"/>
      <c r="OBJ282" s="1069"/>
      <c r="OBK282" s="1069"/>
      <c r="OBL282" s="1069"/>
      <c r="OBM282" s="1069"/>
      <c r="OBN282" s="1069"/>
      <c r="OBO282" s="1069"/>
      <c r="OBP282" s="1069"/>
      <c r="OBQ282" s="1069"/>
      <c r="OBR282" s="1069"/>
      <c r="OBS282" s="1069"/>
      <c r="OBT282" s="1069"/>
      <c r="OBU282" s="1069"/>
      <c r="OBV282" s="1069"/>
      <c r="OBW282" s="1069"/>
      <c r="OBX282" s="1069"/>
      <c r="OBY282" s="1069"/>
      <c r="OBZ282" s="1069"/>
      <c r="OCA282" s="1069"/>
      <c r="OCB282" s="1069"/>
      <c r="OCC282" s="1069"/>
      <c r="OCD282" s="1069"/>
      <c r="OCE282" s="1069"/>
      <c r="OCF282" s="1069"/>
      <c r="OCG282" s="1069"/>
      <c r="OCH282" s="1069"/>
      <c r="OCI282" s="1069"/>
      <c r="OCJ282" s="1069"/>
      <c r="OCK282" s="1069"/>
      <c r="OCL282" s="1069"/>
      <c r="OCM282" s="1069"/>
      <c r="OCN282" s="1069"/>
      <c r="OCO282" s="1069"/>
      <c r="OCP282" s="1069"/>
      <c r="OCQ282" s="1069"/>
      <c r="OCR282" s="1069"/>
      <c r="OCS282" s="1069"/>
      <c r="OCT282" s="1069"/>
      <c r="OCU282" s="1069"/>
      <c r="OCV282" s="1069"/>
      <c r="OCW282" s="1069"/>
      <c r="OCX282" s="1069"/>
      <c r="OCY282" s="1069"/>
      <c r="OCZ282" s="1069"/>
      <c r="ODA282" s="1069"/>
      <c r="ODB282" s="1069"/>
      <c r="ODC282" s="1069"/>
      <c r="ODD282" s="1069"/>
      <c r="ODE282" s="1069"/>
      <c r="ODF282" s="1069"/>
      <c r="ODG282" s="1069"/>
      <c r="ODH282" s="1069"/>
      <c r="ODI282" s="1069"/>
      <c r="ODJ282" s="1069"/>
      <c r="ODK282" s="1069"/>
      <c r="ODL282" s="1069"/>
      <c r="ODM282" s="1069"/>
      <c r="ODN282" s="1069"/>
      <c r="ODO282" s="1069"/>
      <c r="ODP282" s="1069"/>
      <c r="ODQ282" s="1069"/>
      <c r="ODR282" s="1069"/>
      <c r="ODS282" s="1069"/>
      <c r="ODT282" s="1069"/>
      <c r="ODU282" s="1069"/>
      <c r="ODV282" s="1069"/>
      <c r="ODW282" s="1069"/>
      <c r="ODX282" s="1069"/>
      <c r="ODY282" s="1069"/>
      <c r="ODZ282" s="1069"/>
      <c r="OEA282" s="1069"/>
      <c r="OEB282" s="1069"/>
      <c r="OEC282" s="1069"/>
      <c r="OED282" s="1069"/>
      <c r="OEE282" s="1069"/>
      <c r="OEF282" s="1069"/>
      <c r="OEG282" s="1069"/>
      <c r="OEH282" s="1069"/>
      <c r="OEI282" s="1069"/>
      <c r="OEJ282" s="1069"/>
      <c r="OEK282" s="1069"/>
      <c r="OEL282" s="1069"/>
      <c r="OEM282" s="1069"/>
      <c r="OEN282" s="1069"/>
      <c r="OEO282" s="1069"/>
      <c r="OEP282" s="1069"/>
      <c r="OEQ282" s="1069"/>
      <c r="OER282" s="1069"/>
      <c r="OES282" s="1069"/>
      <c r="OET282" s="1069"/>
      <c r="OEU282" s="1069"/>
      <c r="OEV282" s="1069"/>
      <c r="OEW282" s="1069"/>
      <c r="OEX282" s="1069"/>
      <c r="OEY282" s="1069"/>
      <c r="OEZ282" s="1069"/>
      <c r="OFA282" s="1069"/>
      <c r="OFB282" s="1069"/>
      <c r="OFC282" s="1069"/>
      <c r="OFD282" s="1069"/>
      <c r="OFE282" s="1069"/>
      <c r="OFF282" s="1069"/>
      <c r="OFG282" s="1069"/>
      <c r="OFH282" s="1069"/>
      <c r="OFI282" s="1069"/>
      <c r="OFJ282" s="1069"/>
      <c r="OFK282" s="1069"/>
      <c r="OFL282" s="1069"/>
      <c r="OFM282" s="1069"/>
      <c r="OFN282" s="1069"/>
      <c r="OFO282" s="1069"/>
      <c r="OFP282" s="1069"/>
      <c r="OFQ282" s="1069"/>
      <c r="OFR282" s="1069"/>
      <c r="OFS282" s="1069"/>
      <c r="OFT282" s="1069"/>
      <c r="OFU282" s="1069"/>
      <c r="OFV282" s="1069"/>
      <c r="OFW282" s="1069"/>
      <c r="OFX282" s="1069"/>
      <c r="OFY282" s="1069"/>
      <c r="OFZ282" s="1069"/>
      <c r="OGA282" s="1069"/>
      <c r="OGB282" s="1069"/>
      <c r="OGC282" s="1069"/>
      <c r="OGD282" s="1069"/>
      <c r="OGE282" s="1069"/>
      <c r="OGF282" s="1069"/>
      <c r="OGG282" s="1069"/>
      <c r="OGH282" s="1069"/>
      <c r="OGI282" s="1069"/>
      <c r="OGJ282" s="1069"/>
      <c r="OGK282" s="1069"/>
      <c r="OGL282" s="1069"/>
      <c r="OGM282" s="1069"/>
      <c r="OGN282" s="1069"/>
      <c r="OGO282" s="1069"/>
      <c r="OGP282" s="1069"/>
      <c r="OGQ282" s="1069"/>
      <c r="OGR282" s="1069"/>
      <c r="OGS282" s="1069"/>
      <c r="OGT282" s="1069"/>
      <c r="OGU282" s="1069"/>
      <c r="OGV282" s="1069"/>
      <c r="OGW282" s="1069"/>
      <c r="OGX282" s="1069"/>
      <c r="OGY282" s="1069"/>
      <c r="OGZ282" s="1069"/>
      <c r="OHA282" s="1069"/>
      <c r="OHB282" s="1069"/>
      <c r="OHC282" s="1069"/>
      <c r="OHD282" s="1069"/>
      <c r="OHE282" s="1069"/>
      <c r="OHF282" s="1069"/>
      <c r="OHG282" s="1069"/>
      <c r="OHH282" s="1069"/>
      <c r="OHI282" s="1069"/>
      <c r="OHJ282" s="1069"/>
      <c r="OHK282" s="1069"/>
      <c r="OHL282" s="1069"/>
      <c r="OHM282" s="1069"/>
      <c r="OHN282" s="1069"/>
      <c r="OHO282" s="1069"/>
      <c r="OHP282" s="1069"/>
      <c r="OHQ282" s="1069"/>
      <c r="OHR282" s="1069"/>
      <c r="OHS282" s="1069"/>
      <c r="OHT282" s="1069"/>
      <c r="OHU282" s="1069"/>
      <c r="OHV282" s="1069"/>
      <c r="OHW282" s="1069"/>
      <c r="OHX282" s="1069"/>
      <c r="OHY282" s="1069"/>
      <c r="OHZ282" s="1069"/>
      <c r="OIA282" s="1069"/>
      <c r="OIB282" s="1069"/>
      <c r="OIC282" s="1069"/>
      <c r="OID282" s="1069"/>
      <c r="OIE282" s="1069"/>
      <c r="OIF282" s="1069"/>
      <c r="OIG282" s="1069"/>
      <c r="OIH282" s="1069"/>
      <c r="OII282" s="1069"/>
      <c r="OIJ282" s="1069"/>
      <c r="OIK282" s="1069"/>
      <c r="OIL282" s="1069"/>
      <c r="OIM282" s="1069"/>
      <c r="OIN282" s="1069"/>
      <c r="OIO282" s="1069"/>
      <c r="OIP282" s="1069"/>
      <c r="OIQ282" s="1069"/>
      <c r="OIR282" s="1069"/>
      <c r="OIS282" s="1069"/>
      <c r="OIT282" s="1069"/>
      <c r="OIU282" s="1069"/>
      <c r="OIV282" s="1069"/>
      <c r="OIW282" s="1069"/>
      <c r="OIX282" s="1069"/>
      <c r="OIY282" s="1069"/>
      <c r="OIZ282" s="1069"/>
      <c r="OJA282" s="1069"/>
      <c r="OJB282" s="1069"/>
      <c r="OJC282" s="1069"/>
      <c r="OJD282" s="1069"/>
      <c r="OJE282" s="1069"/>
      <c r="OJF282" s="1069"/>
      <c r="OJG282" s="1069"/>
      <c r="OJH282" s="1069"/>
      <c r="OJI282" s="1069"/>
      <c r="OJJ282" s="1069"/>
      <c r="OJK282" s="1069"/>
      <c r="OJL282" s="1069"/>
      <c r="OJM282" s="1069"/>
      <c r="OJN282" s="1069"/>
      <c r="OJO282" s="1069"/>
      <c r="OJP282" s="1069"/>
      <c r="OJQ282" s="1069"/>
      <c r="OJR282" s="1069"/>
      <c r="OJS282" s="1069"/>
      <c r="OJT282" s="1069"/>
      <c r="OJU282" s="1069"/>
      <c r="OJV282" s="1069"/>
      <c r="OJW282" s="1069"/>
      <c r="OJX282" s="1069"/>
      <c r="OJY282" s="1069"/>
      <c r="OJZ282" s="1069"/>
      <c r="OKA282" s="1069"/>
      <c r="OKB282" s="1069"/>
      <c r="OKC282" s="1069"/>
      <c r="OKD282" s="1069"/>
      <c r="OKE282" s="1069"/>
      <c r="OKF282" s="1069"/>
      <c r="OKG282" s="1069"/>
      <c r="OKH282" s="1069"/>
      <c r="OKI282" s="1069"/>
      <c r="OKJ282" s="1069"/>
      <c r="OKK282" s="1069"/>
      <c r="OKL282" s="1069"/>
      <c r="OKM282" s="1069"/>
      <c r="OKN282" s="1069"/>
      <c r="OKO282" s="1069"/>
      <c r="OKP282" s="1069"/>
      <c r="OKQ282" s="1069"/>
      <c r="OKR282" s="1069"/>
      <c r="OKS282" s="1069"/>
      <c r="OKT282" s="1069"/>
      <c r="OKU282" s="1069"/>
      <c r="OKV282" s="1069"/>
      <c r="OKW282" s="1069"/>
      <c r="OKX282" s="1069"/>
      <c r="OKY282" s="1069"/>
      <c r="OKZ282" s="1069"/>
      <c r="OLA282" s="1069"/>
      <c r="OLB282" s="1069"/>
      <c r="OLC282" s="1069"/>
      <c r="OLD282" s="1069"/>
      <c r="OLE282" s="1069"/>
      <c r="OLF282" s="1069"/>
      <c r="OLG282" s="1069"/>
      <c r="OLH282" s="1069"/>
      <c r="OLI282" s="1069"/>
      <c r="OLJ282" s="1069"/>
      <c r="OLK282" s="1069"/>
      <c r="OLL282" s="1069"/>
      <c r="OLM282" s="1069"/>
      <c r="OLN282" s="1069"/>
      <c r="OLO282" s="1069"/>
      <c r="OLP282" s="1069"/>
      <c r="OLQ282" s="1069"/>
      <c r="OLR282" s="1069"/>
      <c r="OLS282" s="1069"/>
      <c r="OLT282" s="1069"/>
      <c r="OLU282" s="1069"/>
      <c r="OLV282" s="1069"/>
      <c r="OLW282" s="1069"/>
      <c r="OLX282" s="1069"/>
      <c r="OLY282" s="1069"/>
      <c r="OLZ282" s="1069"/>
      <c r="OMA282" s="1069"/>
      <c r="OMB282" s="1069"/>
      <c r="OMC282" s="1069"/>
      <c r="OMD282" s="1069"/>
      <c r="OME282" s="1069"/>
      <c r="OMF282" s="1069"/>
      <c r="OMG282" s="1069"/>
      <c r="OMH282" s="1069"/>
      <c r="OMI282" s="1069"/>
      <c r="OMJ282" s="1069"/>
      <c r="OMK282" s="1069"/>
      <c r="OML282" s="1069"/>
      <c r="OMM282" s="1069"/>
      <c r="OMN282" s="1069"/>
      <c r="OMO282" s="1069"/>
      <c r="OMP282" s="1069"/>
      <c r="OMQ282" s="1069"/>
      <c r="OMR282" s="1069"/>
      <c r="OMS282" s="1069"/>
      <c r="OMT282" s="1069"/>
      <c r="OMU282" s="1069"/>
      <c r="OMV282" s="1069"/>
      <c r="OMW282" s="1069"/>
      <c r="OMX282" s="1069"/>
      <c r="OMY282" s="1069"/>
      <c r="OMZ282" s="1069"/>
      <c r="ONA282" s="1069"/>
      <c r="ONB282" s="1069"/>
      <c r="ONC282" s="1069"/>
      <c r="OND282" s="1069"/>
      <c r="ONE282" s="1069"/>
      <c r="ONF282" s="1069"/>
      <c r="ONG282" s="1069"/>
      <c r="ONH282" s="1069"/>
      <c r="ONI282" s="1069"/>
      <c r="ONJ282" s="1069"/>
      <c r="ONK282" s="1069"/>
      <c r="ONL282" s="1069"/>
      <c r="ONM282" s="1069"/>
      <c r="ONN282" s="1069"/>
      <c r="ONO282" s="1069"/>
      <c r="ONP282" s="1069"/>
      <c r="ONQ282" s="1069"/>
      <c r="ONR282" s="1069"/>
      <c r="ONS282" s="1069"/>
      <c r="ONT282" s="1069"/>
      <c r="ONU282" s="1069"/>
      <c r="ONV282" s="1069"/>
      <c r="ONW282" s="1069"/>
      <c r="ONX282" s="1069"/>
      <c r="ONY282" s="1069"/>
      <c r="ONZ282" s="1069"/>
      <c r="OOA282" s="1069"/>
      <c r="OOB282" s="1069"/>
      <c r="OOC282" s="1069"/>
      <c r="OOD282" s="1069"/>
      <c r="OOE282" s="1069"/>
      <c r="OOF282" s="1069"/>
      <c r="OOG282" s="1069"/>
      <c r="OOH282" s="1069"/>
      <c r="OOI282" s="1069"/>
      <c r="OOJ282" s="1069"/>
      <c r="OOK282" s="1069"/>
      <c r="OOL282" s="1069"/>
      <c r="OOM282" s="1069"/>
      <c r="OON282" s="1069"/>
      <c r="OOO282" s="1069"/>
      <c r="OOP282" s="1069"/>
      <c r="OOQ282" s="1069"/>
      <c r="OOR282" s="1069"/>
      <c r="OOS282" s="1069"/>
      <c r="OOT282" s="1069"/>
      <c r="OOU282" s="1069"/>
      <c r="OOV282" s="1069"/>
      <c r="OOW282" s="1069"/>
      <c r="OOX282" s="1069"/>
      <c r="OOY282" s="1069"/>
      <c r="OOZ282" s="1069"/>
      <c r="OPA282" s="1069"/>
      <c r="OPB282" s="1069"/>
      <c r="OPC282" s="1069"/>
      <c r="OPD282" s="1069"/>
      <c r="OPE282" s="1069"/>
      <c r="OPF282" s="1069"/>
      <c r="OPG282" s="1069"/>
      <c r="OPH282" s="1069"/>
      <c r="OPI282" s="1069"/>
      <c r="OPJ282" s="1069"/>
      <c r="OPK282" s="1069"/>
      <c r="OPL282" s="1069"/>
      <c r="OPM282" s="1069"/>
      <c r="OPN282" s="1069"/>
      <c r="OPO282" s="1069"/>
      <c r="OPP282" s="1069"/>
      <c r="OPQ282" s="1069"/>
      <c r="OPR282" s="1069"/>
      <c r="OPS282" s="1069"/>
      <c r="OPT282" s="1069"/>
      <c r="OPU282" s="1069"/>
      <c r="OPV282" s="1069"/>
      <c r="OPW282" s="1069"/>
      <c r="OPX282" s="1069"/>
      <c r="OPY282" s="1069"/>
      <c r="OPZ282" s="1069"/>
      <c r="OQA282" s="1069"/>
      <c r="OQB282" s="1069"/>
      <c r="OQC282" s="1069"/>
      <c r="OQD282" s="1069"/>
      <c r="OQE282" s="1069"/>
      <c r="OQF282" s="1069"/>
      <c r="OQG282" s="1069"/>
      <c r="OQH282" s="1069"/>
      <c r="OQI282" s="1069"/>
      <c r="OQJ282" s="1069"/>
      <c r="OQK282" s="1069"/>
      <c r="OQL282" s="1069"/>
      <c r="OQM282" s="1069"/>
      <c r="OQN282" s="1069"/>
      <c r="OQO282" s="1069"/>
      <c r="OQP282" s="1069"/>
      <c r="OQQ282" s="1069"/>
      <c r="OQR282" s="1069"/>
      <c r="OQS282" s="1069"/>
      <c r="OQT282" s="1069"/>
      <c r="OQU282" s="1069"/>
      <c r="OQV282" s="1069"/>
      <c r="OQW282" s="1069"/>
      <c r="OQX282" s="1069"/>
      <c r="OQY282" s="1069"/>
      <c r="OQZ282" s="1069"/>
      <c r="ORA282" s="1069"/>
      <c r="ORB282" s="1069"/>
      <c r="ORC282" s="1069"/>
      <c r="ORD282" s="1069"/>
      <c r="ORE282" s="1069"/>
      <c r="ORF282" s="1069"/>
      <c r="ORG282" s="1069"/>
      <c r="ORH282" s="1069"/>
      <c r="ORI282" s="1069"/>
      <c r="ORJ282" s="1069"/>
      <c r="ORK282" s="1069"/>
      <c r="ORL282" s="1069"/>
      <c r="ORM282" s="1069"/>
      <c r="ORN282" s="1069"/>
      <c r="ORO282" s="1069"/>
      <c r="ORP282" s="1069"/>
      <c r="ORQ282" s="1069"/>
      <c r="ORR282" s="1069"/>
      <c r="ORS282" s="1069"/>
      <c r="ORT282" s="1069"/>
      <c r="ORU282" s="1069"/>
      <c r="ORV282" s="1069"/>
      <c r="ORW282" s="1069"/>
      <c r="ORX282" s="1069"/>
      <c r="ORY282" s="1069"/>
      <c r="ORZ282" s="1069"/>
      <c r="OSA282" s="1069"/>
      <c r="OSB282" s="1069"/>
      <c r="OSC282" s="1069"/>
      <c r="OSD282" s="1069"/>
      <c r="OSE282" s="1069"/>
      <c r="OSF282" s="1069"/>
      <c r="OSG282" s="1069"/>
      <c r="OSH282" s="1069"/>
      <c r="OSI282" s="1069"/>
      <c r="OSJ282" s="1069"/>
      <c r="OSK282" s="1069"/>
      <c r="OSL282" s="1069"/>
      <c r="OSM282" s="1069"/>
      <c r="OSN282" s="1069"/>
      <c r="OSO282" s="1069"/>
      <c r="OSP282" s="1069"/>
      <c r="OSQ282" s="1069"/>
      <c r="OSR282" s="1069"/>
      <c r="OSS282" s="1069"/>
      <c r="OST282" s="1069"/>
      <c r="OSU282" s="1069"/>
      <c r="OSV282" s="1069"/>
      <c r="OSW282" s="1069"/>
      <c r="OSX282" s="1069"/>
      <c r="OSY282" s="1069"/>
      <c r="OSZ282" s="1069"/>
      <c r="OTA282" s="1069"/>
      <c r="OTB282" s="1069"/>
      <c r="OTC282" s="1069"/>
      <c r="OTD282" s="1069"/>
      <c r="OTE282" s="1069"/>
      <c r="OTF282" s="1069"/>
      <c r="OTG282" s="1069"/>
      <c r="OTH282" s="1069"/>
      <c r="OTI282" s="1069"/>
      <c r="OTJ282" s="1069"/>
      <c r="OTK282" s="1069"/>
      <c r="OTL282" s="1069"/>
      <c r="OTM282" s="1069"/>
      <c r="OTN282" s="1069"/>
      <c r="OTO282" s="1069"/>
      <c r="OTP282" s="1069"/>
      <c r="OTQ282" s="1069"/>
      <c r="OTR282" s="1069"/>
      <c r="OTS282" s="1069"/>
      <c r="OTT282" s="1069"/>
      <c r="OTU282" s="1069"/>
      <c r="OTV282" s="1069"/>
      <c r="OTW282" s="1069"/>
      <c r="OTX282" s="1069"/>
      <c r="OTY282" s="1069"/>
      <c r="OTZ282" s="1069"/>
      <c r="OUA282" s="1069"/>
      <c r="OUB282" s="1069"/>
      <c r="OUC282" s="1069"/>
      <c r="OUD282" s="1069"/>
      <c r="OUE282" s="1069"/>
      <c r="OUF282" s="1069"/>
      <c r="OUG282" s="1069"/>
      <c r="OUH282" s="1069"/>
      <c r="OUI282" s="1069"/>
      <c r="OUJ282" s="1069"/>
      <c r="OUK282" s="1069"/>
      <c r="OUL282" s="1069"/>
      <c r="OUM282" s="1069"/>
      <c r="OUN282" s="1069"/>
      <c r="OUO282" s="1069"/>
      <c r="OUP282" s="1069"/>
      <c r="OUQ282" s="1069"/>
      <c r="OUR282" s="1069"/>
      <c r="OUS282" s="1069"/>
      <c r="OUT282" s="1069"/>
      <c r="OUU282" s="1069"/>
      <c r="OUV282" s="1069"/>
      <c r="OUW282" s="1069"/>
      <c r="OUX282" s="1069"/>
      <c r="OUY282" s="1069"/>
      <c r="OUZ282" s="1069"/>
      <c r="OVA282" s="1069"/>
      <c r="OVB282" s="1069"/>
      <c r="OVC282" s="1069"/>
      <c r="OVD282" s="1069"/>
      <c r="OVE282" s="1069"/>
      <c r="OVF282" s="1069"/>
      <c r="OVG282" s="1069"/>
      <c r="OVH282" s="1069"/>
      <c r="OVI282" s="1069"/>
      <c r="OVJ282" s="1069"/>
      <c r="OVK282" s="1069"/>
      <c r="OVL282" s="1069"/>
      <c r="OVM282" s="1069"/>
      <c r="OVN282" s="1069"/>
      <c r="OVO282" s="1069"/>
      <c r="OVP282" s="1069"/>
      <c r="OVQ282" s="1069"/>
      <c r="OVR282" s="1069"/>
      <c r="OVS282" s="1069"/>
      <c r="OVT282" s="1069"/>
      <c r="OVU282" s="1069"/>
      <c r="OVV282" s="1069"/>
      <c r="OVW282" s="1069"/>
      <c r="OVX282" s="1069"/>
      <c r="OVY282" s="1069"/>
      <c r="OVZ282" s="1069"/>
      <c r="OWA282" s="1069"/>
      <c r="OWB282" s="1069"/>
      <c r="OWC282" s="1069"/>
      <c r="OWD282" s="1069"/>
      <c r="OWE282" s="1069"/>
      <c r="OWF282" s="1069"/>
      <c r="OWG282" s="1069"/>
      <c r="OWH282" s="1069"/>
      <c r="OWI282" s="1069"/>
      <c r="OWJ282" s="1069"/>
      <c r="OWK282" s="1069"/>
      <c r="OWL282" s="1069"/>
      <c r="OWM282" s="1069"/>
      <c r="OWN282" s="1069"/>
      <c r="OWO282" s="1069"/>
      <c r="OWP282" s="1069"/>
      <c r="OWQ282" s="1069"/>
      <c r="OWR282" s="1069"/>
      <c r="OWS282" s="1069"/>
      <c r="OWT282" s="1069"/>
      <c r="OWU282" s="1069"/>
      <c r="OWV282" s="1069"/>
      <c r="OWW282" s="1069"/>
      <c r="OWX282" s="1069"/>
      <c r="OWY282" s="1069"/>
      <c r="OWZ282" s="1069"/>
      <c r="OXA282" s="1069"/>
      <c r="OXB282" s="1069"/>
      <c r="OXC282" s="1069"/>
      <c r="OXD282" s="1069"/>
      <c r="OXE282" s="1069"/>
      <c r="OXF282" s="1069"/>
      <c r="OXG282" s="1069"/>
      <c r="OXH282" s="1069"/>
      <c r="OXI282" s="1069"/>
      <c r="OXJ282" s="1069"/>
      <c r="OXK282" s="1069"/>
      <c r="OXL282" s="1069"/>
      <c r="OXM282" s="1069"/>
      <c r="OXN282" s="1069"/>
      <c r="OXO282" s="1069"/>
      <c r="OXP282" s="1069"/>
      <c r="OXQ282" s="1069"/>
      <c r="OXR282" s="1069"/>
      <c r="OXS282" s="1069"/>
      <c r="OXT282" s="1069"/>
      <c r="OXU282" s="1069"/>
      <c r="OXV282" s="1069"/>
      <c r="OXW282" s="1069"/>
      <c r="OXX282" s="1069"/>
      <c r="OXY282" s="1069"/>
      <c r="OXZ282" s="1069"/>
      <c r="OYA282" s="1069"/>
      <c r="OYB282" s="1069"/>
      <c r="OYC282" s="1069"/>
      <c r="OYD282" s="1069"/>
      <c r="OYE282" s="1069"/>
      <c r="OYF282" s="1069"/>
      <c r="OYG282" s="1069"/>
      <c r="OYH282" s="1069"/>
      <c r="OYI282" s="1069"/>
      <c r="OYJ282" s="1069"/>
      <c r="OYK282" s="1069"/>
      <c r="OYL282" s="1069"/>
      <c r="OYM282" s="1069"/>
      <c r="OYN282" s="1069"/>
      <c r="OYO282" s="1069"/>
      <c r="OYP282" s="1069"/>
      <c r="OYQ282" s="1069"/>
      <c r="OYR282" s="1069"/>
      <c r="OYS282" s="1069"/>
      <c r="OYT282" s="1069"/>
      <c r="OYU282" s="1069"/>
      <c r="OYV282" s="1069"/>
      <c r="OYW282" s="1069"/>
      <c r="OYX282" s="1069"/>
      <c r="OYY282" s="1069"/>
      <c r="OYZ282" s="1069"/>
      <c r="OZA282" s="1069"/>
      <c r="OZB282" s="1069"/>
      <c r="OZC282" s="1069"/>
      <c r="OZD282" s="1069"/>
      <c r="OZE282" s="1069"/>
      <c r="OZF282" s="1069"/>
      <c r="OZG282" s="1069"/>
      <c r="OZH282" s="1069"/>
      <c r="OZI282" s="1069"/>
      <c r="OZJ282" s="1069"/>
      <c r="OZK282" s="1069"/>
      <c r="OZL282" s="1069"/>
      <c r="OZM282" s="1069"/>
      <c r="OZN282" s="1069"/>
      <c r="OZO282" s="1069"/>
      <c r="OZP282" s="1069"/>
      <c r="OZQ282" s="1069"/>
      <c r="OZR282" s="1069"/>
      <c r="OZS282" s="1069"/>
      <c r="OZT282" s="1069"/>
      <c r="OZU282" s="1069"/>
      <c r="OZV282" s="1069"/>
      <c r="OZW282" s="1069"/>
      <c r="OZX282" s="1069"/>
      <c r="OZY282" s="1069"/>
      <c r="OZZ282" s="1069"/>
      <c r="PAA282" s="1069"/>
      <c r="PAB282" s="1069"/>
      <c r="PAC282" s="1069"/>
      <c r="PAD282" s="1069"/>
      <c r="PAE282" s="1069"/>
      <c r="PAF282" s="1069"/>
      <c r="PAG282" s="1069"/>
      <c r="PAH282" s="1069"/>
      <c r="PAI282" s="1069"/>
      <c r="PAJ282" s="1069"/>
      <c r="PAK282" s="1069"/>
      <c r="PAL282" s="1069"/>
      <c r="PAM282" s="1069"/>
      <c r="PAN282" s="1069"/>
      <c r="PAO282" s="1069"/>
      <c r="PAP282" s="1069"/>
      <c r="PAQ282" s="1069"/>
      <c r="PAR282" s="1069"/>
      <c r="PAS282" s="1069"/>
      <c r="PAT282" s="1069"/>
      <c r="PAU282" s="1069"/>
      <c r="PAV282" s="1069"/>
      <c r="PAW282" s="1069"/>
      <c r="PAX282" s="1069"/>
      <c r="PAY282" s="1069"/>
      <c r="PAZ282" s="1069"/>
      <c r="PBA282" s="1069"/>
      <c r="PBB282" s="1069"/>
      <c r="PBC282" s="1069"/>
      <c r="PBD282" s="1069"/>
      <c r="PBE282" s="1069"/>
      <c r="PBF282" s="1069"/>
      <c r="PBG282" s="1069"/>
      <c r="PBH282" s="1069"/>
      <c r="PBI282" s="1069"/>
      <c r="PBJ282" s="1069"/>
      <c r="PBK282" s="1069"/>
      <c r="PBL282" s="1069"/>
      <c r="PBM282" s="1069"/>
      <c r="PBN282" s="1069"/>
      <c r="PBO282" s="1069"/>
      <c r="PBP282" s="1069"/>
      <c r="PBQ282" s="1069"/>
      <c r="PBR282" s="1069"/>
      <c r="PBS282" s="1069"/>
      <c r="PBT282" s="1069"/>
      <c r="PBU282" s="1069"/>
      <c r="PBV282" s="1069"/>
      <c r="PBW282" s="1069"/>
      <c r="PBX282" s="1069"/>
      <c r="PBY282" s="1069"/>
      <c r="PBZ282" s="1069"/>
      <c r="PCA282" s="1069"/>
      <c r="PCB282" s="1069"/>
      <c r="PCC282" s="1069"/>
      <c r="PCD282" s="1069"/>
      <c r="PCE282" s="1069"/>
      <c r="PCF282" s="1069"/>
      <c r="PCG282" s="1069"/>
      <c r="PCH282" s="1069"/>
      <c r="PCI282" s="1069"/>
      <c r="PCJ282" s="1069"/>
      <c r="PCK282" s="1069"/>
      <c r="PCL282" s="1069"/>
      <c r="PCM282" s="1069"/>
      <c r="PCN282" s="1069"/>
      <c r="PCO282" s="1069"/>
      <c r="PCP282" s="1069"/>
      <c r="PCQ282" s="1069"/>
      <c r="PCR282" s="1069"/>
      <c r="PCS282" s="1069"/>
      <c r="PCT282" s="1069"/>
      <c r="PCU282" s="1069"/>
      <c r="PCV282" s="1069"/>
      <c r="PCW282" s="1069"/>
      <c r="PCX282" s="1069"/>
      <c r="PCY282" s="1069"/>
      <c r="PCZ282" s="1069"/>
      <c r="PDA282" s="1069"/>
      <c r="PDB282" s="1069"/>
      <c r="PDC282" s="1069"/>
      <c r="PDD282" s="1069"/>
      <c r="PDE282" s="1069"/>
      <c r="PDF282" s="1069"/>
      <c r="PDG282" s="1069"/>
      <c r="PDH282" s="1069"/>
      <c r="PDI282" s="1069"/>
      <c r="PDJ282" s="1069"/>
      <c r="PDK282" s="1069"/>
      <c r="PDL282" s="1069"/>
      <c r="PDM282" s="1069"/>
      <c r="PDN282" s="1069"/>
      <c r="PDO282" s="1069"/>
      <c r="PDP282" s="1069"/>
      <c r="PDQ282" s="1069"/>
      <c r="PDR282" s="1069"/>
      <c r="PDS282" s="1069"/>
      <c r="PDT282" s="1069"/>
      <c r="PDU282" s="1069"/>
      <c r="PDV282" s="1069"/>
      <c r="PDW282" s="1069"/>
      <c r="PDX282" s="1069"/>
      <c r="PDY282" s="1069"/>
      <c r="PDZ282" s="1069"/>
      <c r="PEA282" s="1069"/>
      <c r="PEB282" s="1069"/>
      <c r="PEC282" s="1069"/>
      <c r="PED282" s="1069"/>
      <c r="PEE282" s="1069"/>
      <c r="PEF282" s="1069"/>
      <c r="PEG282" s="1069"/>
      <c r="PEH282" s="1069"/>
      <c r="PEI282" s="1069"/>
      <c r="PEJ282" s="1069"/>
      <c r="PEK282" s="1069"/>
      <c r="PEL282" s="1069"/>
      <c r="PEM282" s="1069"/>
      <c r="PEN282" s="1069"/>
      <c r="PEO282" s="1069"/>
      <c r="PEP282" s="1069"/>
      <c r="PEQ282" s="1069"/>
      <c r="PER282" s="1069"/>
      <c r="PES282" s="1069"/>
      <c r="PET282" s="1069"/>
      <c r="PEU282" s="1069"/>
      <c r="PEV282" s="1069"/>
      <c r="PEW282" s="1069"/>
      <c r="PEX282" s="1069"/>
      <c r="PEY282" s="1069"/>
      <c r="PEZ282" s="1069"/>
      <c r="PFA282" s="1069"/>
      <c r="PFB282" s="1069"/>
      <c r="PFC282" s="1069"/>
      <c r="PFD282" s="1069"/>
      <c r="PFE282" s="1069"/>
      <c r="PFF282" s="1069"/>
      <c r="PFG282" s="1069"/>
      <c r="PFH282" s="1069"/>
      <c r="PFI282" s="1069"/>
      <c r="PFJ282" s="1069"/>
      <c r="PFK282" s="1069"/>
      <c r="PFL282" s="1069"/>
      <c r="PFM282" s="1069"/>
      <c r="PFN282" s="1069"/>
      <c r="PFO282" s="1069"/>
      <c r="PFP282" s="1069"/>
      <c r="PFQ282" s="1069"/>
      <c r="PFR282" s="1069"/>
      <c r="PFS282" s="1069"/>
      <c r="PFT282" s="1069"/>
      <c r="PFU282" s="1069"/>
      <c r="PFV282" s="1069"/>
      <c r="PFW282" s="1069"/>
      <c r="PFX282" s="1069"/>
      <c r="PFY282" s="1069"/>
      <c r="PFZ282" s="1069"/>
      <c r="PGA282" s="1069"/>
      <c r="PGB282" s="1069"/>
      <c r="PGC282" s="1069"/>
      <c r="PGD282" s="1069"/>
      <c r="PGE282" s="1069"/>
      <c r="PGF282" s="1069"/>
      <c r="PGG282" s="1069"/>
      <c r="PGH282" s="1069"/>
      <c r="PGI282" s="1069"/>
      <c r="PGJ282" s="1069"/>
      <c r="PGK282" s="1069"/>
      <c r="PGL282" s="1069"/>
      <c r="PGM282" s="1069"/>
      <c r="PGN282" s="1069"/>
      <c r="PGO282" s="1069"/>
      <c r="PGP282" s="1069"/>
      <c r="PGQ282" s="1069"/>
      <c r="PGR282" s="1069"/>
      <c r="PGS282" s="1069"/>
      <c r="PGT282" s="1069"/>
      <c r="PGU282" s="1069"/>
      <c r="PGV282" s="1069"/>
      <c r="PGW282" s="1069"/>
      <c r="PGX282" s="1069"/>
      <c r="PGY282" s="1069"/>
      <c r="PGZ282" s="1069"/>
      <c r="PHA282" s="1069"/>
      <c r="PHB282" s="1069"/>
      <c r="PHC282" s="1069"/>
      <c r="PHD282" s="1069"/>
      <c r="PHE282" s="1069"/>
      <c r="PHF282" s="1069"/>
      <c r="PHG282" s="1069"/>
      <c r="PHH282" s="1069"/>
      <c r="PHI282" s="1069"/>
      <c r="PHJ282" s="1069"/>
      <c r="PHK282" s="1069"/>
      <c r="PHL282" s="1069"/>
      <c r="PHM282" s="1069"/>
      <c r="PHN282" s="1069"/>
      <c r="PHO282" s="1069"/>
      <c r="PHP282" s="1069"/>
      <c r="PHQ282" s="1069"/>
      <c r="PHR282" s="1069"/>
      <c r="PHS282" s="1069"/>
      <c r="PHT282" s="1069"/>
      <c r="PHU282" s="1069"/>
      <c r="PHV282" s="1069"/>
      <c r="PHW282" s="1069"/>
      <c r="PHX282" s="1069"/>
      <c r="PHY282" s="1069"/>
      <c r="PHZ282" s="1069"/>
      <c r="PIA282" s="1069"/>
      <c r="PIB282" s="1069"/>
      <c r="PIC282" s="1069"/>
      <c r="PID282" s="1069"/>
      <c r="PIE282" s="1069"/>
      <c r="PIF282" s="1069"/>
      <c r="PIG282" s="1069"/>
      <c r="PIH282" s="1069"/>
      <c r="PII282" s="1069"/>
      <c r="PIJ282" s="1069"/>
      <c r="PIK282" s="1069"/>
      <c r="PIL282" s="1069"/>
      <c r="PIM282" s="1069"/>
      <c r="PIN282" s="1069"/>
      <c r="PIO282" s="1069"/>
      <c r="PIP282" s="1069"/>
      <c r="PIQ282" s="1069"/>
      <c r="PIR282" s="1069"/>
      <c r="PIS282" s="1069"/>
      <c r="PIT282" s="1069"/>
      <c r="PIU282" s="1069"/>
      <c r="PIV282" s="1069"/>
      <c r="PIW282" s="1069"/>
      <c r="PIX282" s="1069"/>
      <c r="PIY282" s="1069"/>
      <c r="PIZ282" s="1069"/>
      <c r="PJA282" s="1069"/>
      <c r="PJB282" s="1069"/>
      <c r="PJC282" s="1069"/>
      <c r="PJD282" s="1069"/>
      <c r="PJE282" s="1069"/>
      <c r="PJF282" s="1069"/>
      <c r="PJG282" s="1069"/>
      <c r="PJH282" s="1069"/>
      <c r="PJI282" s="1069"/>
      <c r="PJJ282" s="1069"/>
      <c r="PJK282" s="1069"/>
      <c r="PJL282" s="1069"/>
      <c r="PJM282" s="1069"/>
      <c r="PJN282" s="1069"/>
      <c r="PJO282" s="1069"/>
      <c r="PJP282" s="1069"/>
      <c r="PJQ282" s="1069"/>
      <c r="PJR282" s="1069"/>
      <c r="PJS282" s="1069"/>
      <c r="PJT282" s="1069"/>
      <c r="PJU282" s="1069"/>
      <c r="PJV282" s="1069"/>
      <c r="PJW282" s="1069"/>
      <c r="PJX282" s="1069"/>
      <c r="PJY282" s="1069"/>
      <c r="PJZ282" s="1069"/>
      <c r="PKA282" s="1069"/>
      <c r="PKB282" s="1069"/>
      <c r="PKC282" s="1069"/>
      <c r="PKD282" s="1069"/>
      <c r="PKE282" s="1069"/>
      <c r="PKF282" s="1069"/>
      <c r="PKG282" s="1069"/>
      <c r="PKH282" s="1069"/>
      <c r="PKI282" s="1069"/>
      <c r="PKJ282" s="1069"/>
      <c r="PKK282" s="1069"/>
      <c r="PKL282" s="1069"/>
      <c r="PKM282" s="1069"/>
      <c r="PKN282" s="1069"/>
      <c r="PKO282" s="1069"/>
      <c r="PKP282" s="1069"/>
      <c r="PKQ282" s="1069"/>
      <c r="PKR282" s="1069"/>
      <c r="PKS282" s="1069"/>
      <c r="PKT282" s="1069"/>
      <c r="PKU282" s="1069"/>
      <c r="PKV282" s="1069"/>
      <c r="PKW282" s="1069"/>
      <c r="PKX282" s="1069"/>
      <c r="PKY282" s="1069"/>
      <c r="PKZ282" s="1069"/>
      <c r="PLA282" s="1069"/>
      <c r="PLB282" s="1069"/>
      <c r="PLC282" s="1069"/>
      <c r="PLD282" s="1069"/>
      <c r="PLE282" s="1069"/>
      <c r="PLF282" s="1069"/>
      <c r="PLG282" s="1069"/>
      <c r="PLH282" s="1069"/>
      <c r="PLI282" s="1069"/>
      <c r="PLJ282" s="1069"/>
      <c r="PLK282" s="1069"/>
      <c r="PLL282" s="1069"/>
      <c r="PLM282" s="1069"/>
      <c r="PLN282" s="1069"/>
      <c r="PLO282" s="1069"/>
      <c r="PLP282" s="1069"/>
      <c r="PLQ282" s="1069"/>
      <c r="PLR282" s="1069"/>
      <c r="PLS282" s="1069"/>
      <c r="PLT282" s="1069"/>
      <c r="PLU282" s="1069"/>
      <c r="PLV282" s="1069"/>
      <c r="PLW282" s="1069"/>
      <c r="PLX282" s="1069"/>
      <c r="PLY282" s="1069"/>
      <c r="PLZ282" s="1069"/>
      <c r="PMA282" s="1069"/>
      <c r="PMB282" s="1069"/>
      <c r="PMC282" s="1069"/>
      <c r="PMD282" s="1069"/>
      <c r="PME282" s="1069"/>
      <c r="PMF282" s="1069"/>
      <c r="PMG282" s="1069"/>
      <c r="PMH282" s="1069"/>
      <c r="PMI282" s="1069"/>
      <c r="PMJ282" s="1069"/>
      <c r="PMK282" s="1069"/>
      <c r="PML282" s="1069"/>
      <c r="PMM282" s="1069"/>
      <c r="PMN282" s="1069"/>
      <c r="PMO282" s="1069"/>
      <c r="PMP282" s="1069"/>
      <c r="PMQ282" s="1069"/>
      <c r="PMR282" s="1069"/>
      <c r="PMS282" s="1069"/>
      <c r="PMT282" s="1069"/>
      <c r="PMU282" s="1069"/>
      <c r="PMV282" s="1069"/>
      <c r="PMW282" s="1069"/>
      <c r="PMX282" s="1069"/>
      <c r="PMY282" s="1069"/>
      <c r="PMZ282" s="1069"/>
      <c r="PNA282" s="1069"/>
      <c r="PNB282" s="1069"/>
      <c r="PNC282" s="1069"/>
      <c r="PND282" s="1069"/>
      <c r="PNE282" s="1069"/>
      <c r="PNF282" s="1069"/>
      <c r="PNG282" s="1069"/>
      <c r="PNH282" s="1069"/>
      <c r="PNI282" s="1069"/>
      <c r="PNJ282" s="1069"/>
      <c r="PNK282" s="1069"/>
      <c r="PNL282" s="1069"/>
      <c r="PNM282" s="1069"/>
      <c r="PNN282" s="1069"/>
      <c r="PNO282" s="1069"/>
      <c r="PNP282" s="1069"/>
      <c r="PNQ282" s="1069"/>
      <c r="PNR282" s="1069"/>
      <c r="PNS282" s="1069"/>
      <c r="PNT282" s="1069"/>
      <c r="PNU282" s="1069"/>
      <c r="PNV282" s="1069"/>
      <c r="PNW282" s="1069"/>
      <c r="PNX282" s="1069"/>
      <c r="PNY282" s="1069"/>
      <c r="PNZ282" s="1069"/>
      <c r="POA282" s="1069"/>
      <c r="POB282" s="1069"/>
      <c r="POC282" s="1069"/>
      <c r="POD282" s="1069"/>
      <c r="POE282" s="1069"/>
      <c r="POF282" s="1069"/>
      <c r="POG282" s="1069"/>
      <c r="POH282" s="1069"/>
      <c r="POI282" s="1069"/>
      <c r="POJ282" s="1069"/>
      <c r="POK282" s="1069"/>
      <c r="POL282" s="1069"/>
      <c r="POM282" s="1069"/>
      <c r="PON282" s="1069"/>
      <c r="POO282" s="1069"/>
      <c r="POP282" s="1069"/>
      <c r="POQ282" s="1069"/>
      <c r="POR282" s="1069"/>
      <c r="POS282" s="1069"/>
      <c r="POT282" s="1069"/>
      <c r="POU282" s="1069"/>
      <c r="POV282" s="1069"/>
      <c r="POW282" s="1069"/>
      <c r="POX282" s="1069"/>
      <c r="POY282" s="1069"/>
      <c r="POZ282" s="1069"/>
      <c r="PPA282" s="1069"/>
      <c r="PPB282" s="1069"/>
      <c r="PPC282" s="1069"/>
      <c r="PPD282" s="1069"/>
      <c r="PPE282" s="1069"/>
      <c r="PPF282" s="1069"/>
      <c r="PPG282" s="1069"/>
      <c r="PPH282" s="1069"/>
      <c r="PPI282" s="1069"/>
      <c r="PPJ282" s="1069"/>
      <c r="PPK282" s="1069"/>
      <c r="PPL282" s="1069"/>
      <c r="PPM282" s="1069"/>
      <c r="PPN282" s="1069"/>
      <c r="PPO282" s="1069"/>
      <c r="PPP282" s="1069"/>
      <c r="PPQ282" s="1069"/>
      <c r="PPR282" s="1069"/>
      <c r="PPS282" s="1069"/>
      <c r="PPT282" s="1069"/>
      <c r="PPU282" s="1069"/>
      <c r="PPV282" s="1069"/>
      <c r="PPW282" s="1069"/>
      <c r="PPX282" s="1069"/>
      <c r="PPY282" s="1069"/>
      <c r="PPZ282" s="1069"/>
      <c r="PQA282" s="1069"/>
      <c r="PQB282" s="1069"/>
      <c r="PQC282" s="1069"/>
      <c r="PQD282" s="1069"/>
      <c r="PQE282" s="1069"/>
      <c r="PQF282" s="1069"/>
      <c r="PQG282" s="1069"/>
      <c r="PQH282" s="1069"/>
      <c r="PQI282" s="1069"/>
      <c r="PQJ282" s="1069"/>
      <c r="PQK282" s="1069"/>
      <c r="PQL282" s="1069"/>
      <c r="PQM282" s="1069"/>
      <c r="PQN282" s="1069"/>
      <c r="PQO282" s="1069"/>
      <c r="PQP282" s="1069"/>
      <c r="PQQ282" s="1069"/>
      <c r="PQR282" s="1069"/>
      <c r="PQS282" s="1069"/>
      <c r="PQT282" s="1069"/>
      <c r="PQU282" s="1069"/>
      <c r="PQV282" s="1069"/>
      <c r="PQW282" s="1069"/>
      <c r="PQX282" s="1069"/>
      <c r="PQY282" s="1069"/>
      <c r="PQZ282" s="1069"/>
      <c r="PRA282" s="1069"/>
      <c r="PRB282" s="1069"/>
      <c r="PRC282" s="1069"/>
      <c r="PRD282" s="1069"/>
      <c r="PRE282" s="1069"/>
      <c r="PRF282" s="1069"/>
      <c r="PRG282" s="1069"/>
      <c r="PRH282" s="1069"/>
      <c r="PRI282" s="1069"/>
      <c r="PRJ282" s="1069"/>
      <c r="PRK282" s="1069"/>
      <c r="PRL282" s="1069"/>
      <c r="PRM282" s="1069"/>
      <c r="PRN282" s="1069"/>
      <c r="PRO282" s="1069"/>
      <c r="PRP282" s="1069"/>
      <c r="PRQ282" s="1069"/>
      <c r="PRR282" s="1069"/>
      <c r="PRS282" s="1069"/>
      <c r="PRT282" s="1069"/>
      <c r="PRU282" s="1069"/>
      <c r="PRV282" s="1069"/>
      <c r="PRW282" s="1069"/>
      <c r="PRX282" s="1069"/>
      <c r="PRY282" s="1069"/>
      <c r="PRZ282" s="1069"/>
      <c r="PSA282" s="1069"/>
      <c r="PSB282" s="1069"/>
      <c r="PSC282" s="1069"/>
      <c r="PSD282" s="1069"/>
      <c r="PSE282" s="1069"/>
      <c r="PSF282" s="1069"/>
      <c r="PSG282" s="1069"/>
      <c r="PSH282" s="1069"/>
      <c r="PSI282" s="1069"/>
      <c r="PSJ282" s="1069"/>
      <c r="PSK282" s="1069"/>
      <c r="PSL282" s="1069"/>
      <c r="PSM282" s="1069"/>
      <c r="PSN282" s="1069"/>
      <c r="PSO282" s="1069"/>
      <c r="PSP282" s="1069"/>
      <c r="PSQ282" s="1069"/>
      <c r="PSR282" s="1069"/>
      <c r="PSS282" s="1069"/>
      <c r="PST282" s="1069"/>
      <c r="PSU282" s="1069"/>
      <c r="PSV282" s="1069"/>
      <c r="PSW282" s="1069"/>
      <c r="PSX282" s="1069"/>
      <c r="PSY282" s="1069"/>
      <c r="PSZ282" s="1069"/>
      <c r="PTA282" s="1069"/>
      <c r="PTB282" s="1069"/>
      <c r="PTC282" s="1069"/>
      <c r="PTD282" s="1069"/>
      <c r="PTE282" s="1069"/>
      <c r="PTF282" s="1069"/>
      <c r="PTG282" s="1069"/>
      <c r="PTH282" s="1069"/>
      <c r="PTI282" s="1069"/>
      <c r="PTJ282" s="1069"/>
      <c r="PTK282" s="1069"/>
      <c r="PTL282" s="1069"/>
      <c r="PTM282" s="1069"/>
      <c r="PTN282" s="1069"/>
      <c r="PTO282" s="1069"/>
      <c r="PTP282" s="1069"/>
      <c r="PTQ282" s="1069"/>
      <c r="PTR282" s="1069"/>
      <c r="PTS282" s="1069"/>
      <c r="PTT282" s="1069"/>
      <c r="PTU282" s="1069"/>
      <c r="PTV282" s="1069"/>
      <c r="PTW282" s="1069"/>
      <c r="PTX282" s="1069"/>
      <c r="PTY282" s="1069"/>
      <c r="PTZ282" s="1069"/>
      <c r="PUA282" s="1069"/>
      <c r="PUB282" s="1069"/>
      <c r="PUC282" s="1069"/>
      <c r="PUD282" s="1069"/>
      <c r="PUE282" s="1069"/>
      <c r="PUF282" s="1069"/>
      <c r="PUG282" s="1069"/>
      <c r="PUH282" s="1069"/>
      <c r="PUI282" s="1069"/>
      <c r="PUJ282" s="1069"/>
      <c r="PUK282" s="1069"/>
      <c r="PUL282" s="1069"/>
      <c r="PUM282" s="1069"/>
      <c r="PUN282" s="1069"/>
      <c r="PUO282" s="1069"/>
      <c r="PUP282" s="1069"/>
      <c r="PUQ282" s="1069"/>
      <c r="PUR282" s="1069"/>
      <c r="PUS282" s="1069"/>
      <c r="PUT282" s="1069"/>
      <c r="PUU282" s="1069"/>
      <c r="PUV282" s="1069"/>
      <c r="PUW282" s="1069"/>
      <c r="PUX282" s="1069"/>
      <c r="PUY282" s="1069"/>
      <c r="PUZ282" s="1069"/>
      <c r="PVA282" s="1069"/>
      <c r="PVB282" s="1069"/>
      <c r="PVC282" s="1069"/>
      <c r="PVD282" s="1069"/>
      <c r="PVE282" s="1069"/>
      <c r="PVF282" s="1069"/>
      <c r="PVG282" s="1069"/>
      <c r="PVH282" s="1069"/>
      <c r="PVI282" s="1069"/>
      <c r="PVJ282" s="1069"/>
      <c r="PVK282" s="1069"/>
      <c r="PVL282" s="1069"/>
      <c r="PVM282" s="1069"/>
      <c r="PVN282" s="1069"/>
      <c r="PVO282" s="1069"/>
      <c r="PVP282" s="1069"/>
      <c r="PVQ282" s="1069"/>
      <c r="PVR282" s="1069"/>
      <c r="PVS282" s="1069"/>
      <c r="PVT282" s="1069"/>
      <c r="PVU282" s="1069"/>
      <c r="PVV282" s="1069"/>
      <c r="PVW282" s="1069"/>
      <c r="PVX282" s="1069"/>
      <c r="PVY282" s="1069"/>
      <c r="PVZ282" s="1069"/>
      <c r="PWA282" s="1069"/>
      <c r="PWB282" s="1069"/>
      <c r="PWC282" s="1069"/>
      <c r="PWD282" s="1069"/>
      <c r="PWE282" s="1069"/>
      <c r="PWF282" s="1069"/>
      <c r="PWG282" s="1069"/>
      <c r="PWH282" s="1069"/>
      <c r="PWI282" s="1069"/>
      <c r="PWJ282" s="1069"/>
      <c r="PWK282" s="1069"/>
      <c r="PWL282" s="1069"/>
      <c r="PWM282" s="1069"/>
      <c r="PWN282" s="1069"/>
      <c r="PWO282" s="1069"/>
      <c r="PWP282" s="1069"/>
      <c r="PWQ282" s="1069"/>
      <c r="PWR282" s="1069"/>
      <c r="PWS282" s="1069"/>
      <c r="PWT282" s="1069"/>
      <c r="PWU282" s="1069"/>
      <c r="PWV282" s="1069"/>
      <c r="PWW282" s="1069"/>
      <c r="PWX282" s="1069"/>
      <c r="PWY282" s="1069"/>
      <c r="PWZ282" s="1069"/>
      <c r="PXA282" s="1069"/>
      <c r="PXB282" s="1069"/>
      <c r="PXC282" s="1069"/>
      <c r="PXD282" s="1069"/>
      <c r="PXE282" s="1069"/>
      <c r="PXF282" s="1069"/>
      <c r="PXG282" s="1069"/>
      <c r="PXH282" s="1069"/>
      <c r="PXI282" s="1069"/>
      <c r="PXJ282" s="1069"/>
      <c r="PXK282" s="1069"/>
      <c r="PXL282" s="1069"/>
      <c r="PXM282" s="1069"/>
      <c r="PXN282" s="1069"/>
      <c r="PXO282" s="1069"/>
      <c r="PXP282" s="1069"/>
      <c r="PXQ282" s="1069"/>
      <c r="PXR282" s="1069"/>
      <c r="PXS282" s="1069"/>
      <c r="PXT282" s="1069"/>
      <c r="PXU282" s="1069"/>
      <c r="PXV282" s="1069"/>
      <c r="PXW282" s="1069"/>
      <c r="PXX282" s="1069"/>
      <c r="PXY282" s="1069"/>
      <c r="PXZ282" s="1069"/>
      <c r="PYA282" s="1069"/>
      <c r="PYB282" s="1069"/>
      <c r="PYC282" s="1069"/>
      <c r="PYD282" s="1069"/>
      <c r="PYE282" s="1069"/>
      <c r="PYF282" s="1069"/>
      <c r="PYG282" s="1069"/>
      <c r="PYH282" s="1069"/>
      <c r="PYI282" s="1069"/>
      <c r="PYJ282" s="1069"/>
      <c r="PYK282" s="1069"/>
      <c r="PYL282" s="1069"/>
      <c r="PYM282" s="1069"/>
      <c r="PYN282" s="1069"/>
      <c r="PYO282" s="1069"/>
      <c r="PYP282" s="1069"/>
      <c r="PYQ282" s="1069"/>
      <c r="PYR282" s="1069"/>
      <c r="PYS282" s="1069"/>
      <c r="PYT282" s="1069"/>
      <c r="PYU282" s="1069"/>
      <c r="PYV282" s="1069"/>
      <c r="PYW282" s="1069"/>
      <c r="PYX282" s="1069"/>
      <c r="PYY282" s="1069"/>
      <c r="PYZ282" s="1069"/>
      <c r="PZA282" s="1069"/>
      <c r="PZB282" s="1069"/>
      <c r="PZC282" s="1069"/>
      <c r="PZD282" s="1069"/>
      <c r="PZE282" s="1069"/>
      <c r="PZF282" s="1069"/>
      <c r="PZG282" s="1069"/>
      <c r="PZH282" s="1069"/>
      <c r="PZI282" s="1069"/>
      <c r="PZJ282" s="1069"/>
      <c r="PZK282" s="1069"/>
      <c r="PZL282" s="1069"/>
      <c r="PZM282" s="1069"/>
      <c r="PZN282" s="1069"/>
      <c r="PZO282" s="1069"/>
      <c r="PZP282" s="1069"/>
      <c r="PZQ282" s="1069"/>
      <c r="PZR282" s="1069"/>
      <c r="PZS282" s="1069"/>
      <c r="PZT282" s="1069"/>
      <c r="PZU282" s="1069"/>
      <c r="PZV282" s="1069"/>
      <c r="PZW282" s="1069"/>
      <c r="PZX282" s="1069"/>
      <c r="PZY282" s="1069"/>
      <c r="PZZ282" s="1069"/>
      <c r="QAA282" s="1069"/>
      <c r="QAB282" s="1069"/>
      <c r="QAC282" s="1069"/>
      <c r="QAD282" s="1069"/>
      <c r="QAE282" s="1069"/>
      <c r="QAF282" s="1069"/>
      <c r="QAG282" s="1069"/>
      <c r="QAH282" s="1069"/>
      <c r="QAI282" s="1069"/>
      <c r="QAJ282" s="1069"/>
      <c r="QAK282" s="1069"/>
      <c r="QAL282" s="1069"/>
      <c r="QAM282" s="1069"/>
      <c r="QAN282" s="1069"/>
      <c r="QAO282" s="1069"/>
      <c r="QAP282" s="1069"/>
      <c r="QAQ282" s="1069"/>
      <c r="QAR282" s="1069"/>
      <c r="QAS282" s="1069"/>
      <c r="QAT282" s="1069"/>
      <c r="QAU282" s="1069"/>
      <c r="QAV282" s="1069"/>
      <c r="QAW282" s="1069"/>
      <c r="QAX282" s="1069"/>
      <c r="QAY282" s="1069"/>
      <c r="QAZ282" s="1069"/>
      <c r="QBA282" s="1069"/>
      <c r="QBB282" s="1069"/>
      <c r="QBC282" s="1069"/>
      <c r="QBD282" s="1069"/>
      <c r="QBE282" s="1069"/>
      <c r="QBF282" s="1069"/>
      <c r="QBG282" s="1069"/>
      <c r="QBH282" s="1069"/>
      <c r="QBI282" s="1069"/>
      <c r="QBJ282" s="1069"/>
      <c r="QBK282" s="1069"/>
      <c r="QBL282" s="1069"/>
      <c r="QBM282" s="1069"/>
      <c r="QBN282" s="1069"/>
      <c r="QBO282" s="1069"/>
      <c r="QBP282" s="1069"/>
      <c r="QBQ282" s="1069"/>
      <c r="QBR282" s="1069"/>
      <c r="QBS282" s="1069"/>
      <c r="QBT282" s="1069"/>
      <c r="QBU282" s="1069"/>
      <c r="QBV282" s="1069"/>
      <c r="QBW282" s="1069"/>
      <c r="QBX282" s="1069"/>
      <c r="QBY282" s="1069"/>
      <c r="QBZ282" s="1069"/>
      <c r="QCA282" s="1069"/>
      <c r="QCB282" s="1069"/>
      <c r="QCC282" s="1069"/>
      <c r="QCD282" s="1069"/>
      <c r="QCE282" s="1069"/>
      <c r="QCF282" s="1069"/>
      <c r="QCG282" s="1069"/>
      <c r="QCH282" s="1069"/>
      <c r="QCI282" s="1069"/>
      <c r="QCJ282" s="1069"/>
      <c r="QCK282" s="1069"/>
      <c r="QCL282" s="1069"/>
      <c r="QCM282" s="1069"/>
      <c r="QCN282" s="1069"/>
      <c r="QCO282" s="1069"/>
      <c r="QCP282" s="1069"/>
      <c r="QCQ282" s="1069"/>
      <c r="QCR282" s="1069"/>
      <c r="QCS282" s="1069"/>
      <c r="QCT282" s="1069"/>
      <c r="QCU282" s="1069"/>
      <c r="QCV282" s="1069"/>
      <c r="QCW282" s="1069"/>
      <c r="QCX282" s="1069"/>
      <c r="QCY282" s="1069"/>
      <c r="QCZ282" s="1069"/>
      <c r="QDA282" s="1069"/>
      <c r="QDB282" s="1069"/>
      <c r="QDC282" s="1069"/>
      <c r="QDD282" s="1069"/>
      <c r="QDE282" s="1069"/>
      <c r="QDF282" s="1069"/>
      <c r="QDG282" s="1069"/>
      <c r="QDH282" s="1069"/>
      <c r="QDI282" s="1069"/>
      <c r="QDJ282" s="1069"/>
      <c r="QDK282" s="1069"/>
      <c r="QDL282" s="1069"/>
      <c r="QDM282" s="1069"/>
      <c r="QDN282" s="1069"/>
      <c r="QDO282" s="1069"/>
      <c r="QDP282" s="1069"/>
      <c r="QDQ282" s="1069"/>
      <c r="QDR282" s="1069"/>
      <c r="QDS282" s="1069"/>
      <c r="QDT282" s="1069"/>
      <c r="QDU282" s="1069"/>
      <c r="QDV282" s="1069"/>
      <c r="QDW282" s="1069"/>
      <c r="QDX282" s="1069"/>
      <c r="QDY282" s="1069"/>
      <c r="QDZ282" s="1069"/>
      <c r="QEA282" s="1069"/>
      <c r="QEB282" s="1069"/>
      <c r="QEC282" s="1069"/>
      <c r="QED282" s="1069"/>
      <c r="QEE282" s="1069"/>
      <c r="QEF282" s="1069"/>
      <c r="QEG282" s="1069"/>
      <c r="QEH282" s="1069"/>
      <c r="QEI282" s="1069"/>
      <c r="QEJ282" s="1069"/>
      <c r="QEK282" s="1069"/>
      <c r="QEL282" s="1069"/>
      <c r="QEM282" s="1069"/>
      <c r="QEN282" s="1069"/>
      <c r="QEO282" s="1069"/>
      <c r="QEP282" s="1069"/>
      <c r="QEQ282" s="1069"/>
      <c r="QER282" s="1069"/>
      <c r="QES282" s="1069"/>
      <c r="QET282" s="1069"/>
      <c r="QEU282" s="1069"/>
      <c r="QEV282" s="1069"/>
      <c r="QEW282" s="1069"/>
      <c r="QEX282" s="1069"/>
      <c r="QEY282" s="1069"/>
      <c r="QEZ282" s="1069"/>
      <c r="QFA282" s="1069"/>
      <c r="QFB282" s="1069"/>
      <c r="QFC282" s="1069"/>
      <c r="QFD282" s="1069"/>
      <c r="QFE282" s="1069"/>
      <c r="QFF282" s="1069"/>
      <c r="QFG282" s="1069"/>
      <c r="QFH282" s="1069"/>
      <c r="QFI282" s="1069"/>
      <c r="QFJ282" s="1069"/>
      <c r="QFK282" s="1069"/>
      <c r="QFL282" s="1069"/>
      <c r="QFM282" s="1069"/>
      <c r="QFN282" s="1069"/>
      <c r="QFO282" s="1069"/>
      <c r="QFP282" s="1069"/>
      <c r="QFQ282" s="1069"/>
      <c r="QFR282" s="1069"/>
      <c r="QFS282" s="1069"/>
      <c r="QFT282" s="1069"/>
      <c r="QFU282" s="1069"/>
      <c r="QFV282" s="1069"/>
      <c r="QFW282" s="1069"/>
      <c r="QFX282" s="1069"/>
      <c r="QFY282" s="1069"/>
      <c r="QFZ282" s="1069"/>
      <c r="QGA282" s="1069"/>
      <c r="QGB282" s="1069"/>
      <c r="QGC282" s="1069"/>
      <c r="QGD282" s="1069"/>
      <c r="QGE282" s="1069"/>
      <c r="QGF282" s="1069"/>
      <c r="QGG282" s="1069"/>
      <c r="QGH282" s="1069"/>
      <c r="QGI282" s="1069"/>
      <c r="QGJ282" s="1069"/>
      <c r="QGK282" s="1069"/>
      <c r="QGL282" s="1069"/>
      <c r="QGM282" s="1069"/>
      <c r="QGN282" s="1069"/>
      <c r="QGO282" s="1069"/>
      <c r="QGP282" s="1069"/>
      <c r="QGQ282" s="1069"/>
      <c r="QGR282" s="1069"/>
      <c r="QGS282" s="1069"/>
      <c r="QGT282" s="1069"/>
      <c r="QGU282" s="1069"/>
      <c r="QGV282" s="1069"/>
      <c r="QGW282" s="1069"/>
      <c r="QGX282" s="1069"/>
      <c r="QGY282" s="1069"/>
      <c r="QGZ282" s="1069"/>
      <c r="QHA282" s="1069"/>
      <c r="QHB282" s="1069"/>
      <c r="QHC282" s="1069"/>
      <c r="QHD282" s="1069"/>
      <c r="QHE282" s="1069"/>
      <c r="QHF282" s="1069"/>
      <c r="QHG282" s="1069"/>
      <c r="QHH282" s="1069"/>
      <c r="QHI282" s="1069"/>
      <c r="QHJ282" s="1069"/>
      <c r="QHK282" s="1069"/>
      <c r="QHL282" s="1069"/>
      <c r="QHM282" s="1069"/>
      <c r="QHN282" s="1069"/>
      <c r="QHO282" s="1069"/>
      <c r="QHP282" s="1069"/>
      <c r="QHQ282" s="1069"/>
      <c r="QHR282" s="1069"/>
      <c r="QHS282" s="1069"/>
      <c r="QHT282" s="1069"/>
      <c r="QHU282" s="1069"/>
      <c r="QHV282" s="1069"/>
      <c r="QHW282" s="1069"/>
      <c r="QHX282" s="1069"/>
      <c r="QHY282" s="1069"/>
      <c r="QHZ282" s="1069"/>
      <c r="QIA282" s="1069"/>
      <c r="QIB282" s="1069"/>
      <c r="QIC282" s="1069"/>
      <c r="QID282" s="1069"/>
      <c r="QIE282" s="1069"/>
      <c r="QIF282" s="1069"/>
      <c r="QIG282" s="1069"/>
      <c r="QIH282" s="1069"/>
      <c r="QII282" s="1069"/>
      <c r="QIJ282" s="1069"/>
      <c r="QIK282" s="1069"/>
      <c r="QIL282" s="1069"/>
      <c r="QIM282" s="1069"/>
      <c r="QIN282" s="1069"/>
      <c r="QIO282" s="1069"/>
      <c r="QIP282" s="1069"/>
      <c r="QIQ282" s="1069"/>
      <c r="QIR282" s="1069"/>
      <c r="QIS282" s="1069"/>
      <c r="QIT282" s="1069"/>
      <c r="QIU282" s="1069"/>
      <c r="QIV282" s="1069"/>
      <c r="QIW282" s="1069"/>
      <c r="QIX282" s="1069"/>
      <c r="QIY282" s="1069"/>
      <c r="QIZ282" s="1069"/>
      <c r="QJA282" s="1069"/>
      <c r="QJB282" s="1069"/>
      <c r="QJC282" s="1069"/>
      <c r="QJD282" s="1069"/>
      <c r="QJE282" s="1069"/>
      <c r="QJF282" s="1069"/>
      <c r="QJG282" s="1069"/>
      <c r="QJH282" s="1069"/>
      <c r="QJI282" s="1069"/>
      <c r="QJJ282" s="1069"/>
      <c r="QJK282" s="1069"/>
      <c r="QJL282" s="1069"/>
      <c r="QJM282" s="1069"/>
      <c r="QJN282" s="1069"/>
      <c r="QJO282" s="1069"/>
      <c r="QJP282" s="1069"/>
      <c r="QJQ282" s="1069"/>
      <c r="QJR282" s="1069"/>
      <c r="QJS282" s="1069"/>
      <c r="QJT282" s="1069"/>
      <c r="QJU282" s="1069"/>
      <c r="QJV282" s="1069"/>
      <c r="QJW282" s="1069"/>
      <c r="QJX282" s="1069"/>
      <c r="QJY282" s="1069"/>
      <c r="QJZ282" s="1069"/>
      <c r="QKA282" s="1069"/>
      <c r="QKB282" s="1069"/>
      <c r="QKC282" s="1069"/>
      <c r="QKD282" s="1069"/>
      <c r="QKE282" s="1069"/>
      <c r="QKF282" s="1069"/>
      <c r="QKG282" s="1069"/>
      <c r="QKH282" s="1069"/>
      <c r="QKI282" s="1069"/>
      <c r="QKJ282" s="1069"/>
      <c r="QKK282" s="1069"/>
      <c r="QKL282" s="1069"/>
      <c r="QKM282" s="1069"/>
      <c r="QKN282" s="1069"/>
      <c r="QKO282" s="1069"/>
      <c r="QKP282" s="1069"/>
      <c r="QKQ282" s="1069"/>
      <c r="QKR282" s="1069"/>
      <c r="QKS282" s="1069"/>
      <c r="QKT282" s="1069"/>
      <c r="QKU282" s="1069"/>
      <c r="QKV282" s="1069"/>
      <c r="QKW282" s="1069"/>
      <c r="QKX282" s="1069"/>
      <c r="QKY282" s="1069"/>
      <c r="QKZ282" s="1069"/>
      <c r="QLA282" s="1069"/>
      <c r="QLB282" s="1069"/>
      <c r="QLC282" s="1069"/>
      <c r="QLD282" s="1069"/>
      <c r="QLE282" s="1069"/>
      <c r="QLF282" s="1069"/>
      <c r="QLG282" s="1069"/>
      <c r="QLH282" s="1069"/>
      <c r="QLI282" s="1069"/>
      <c r="QLJ282" s="1069"/>
      <c r="QLK282" s="1069"/>
      <c r="QLL282" s="1069"/>
      <c r="QLM282" s="1069"/>
      <c r="QLN282" s="1069"/>
      <c r="QLO282" s="1069"/>
      <c r="QLP282" s="1069"/>
      <c r="QLQ282" s="1069"/>
      <c r="QLR282" s="1069"/>
      <c r="QLS282" s="1069"/>
      <c r="QLT282" s="1069"/>
      <c r="QLU282" s="1069"/>
      <c r="QLV282" s="1069"/>
      <c r="QLW282" s="1069"/>
      <c r="QLX282" s="1069"/>
      <c r="QLY282" s="1069"/>
      <c r="QLZ282" s="1069"/>
      <c r="QMA282" s="1069"/>
      <c r="QMB282" s="1069"/>
      <c r="QMC282" s="1069"/>
      <c r="QMD282" s="1069"/>
      <c r="QME282" s="1069"/>
      <c r="QMF282" s="1069"/>
      <c r="QMG282" s="1069"/>
      <c r="QMH282" s="1069"/>
      <c r="QMI282" s="1069"/>
      <c r="QMJ282" s="1069"/>
      <c r="QMK282" s="1069"/>
      <c r="QML282" s="1069"/>
      <c r="QMM282" s="1069"/>
      <c r="QMN282" s="1069"/>
      <c r="QMO282" s="1069"/>
      <c r="QMP282" s="1069"/>
      <c r="QMQ282" s="1069"/>
      <c r="QMR282" s="1069"/>
      <c r="QMS282" s="1069"/>
      <c r="QMT282" s="1069"/>
      <c r="QMU282" s="1069"/>
      <c r="QMV282" s="1069"/>
      <c r="QMW282" s="1069"/>
      <c r="QMX282" s="1069"/>
      <c r="QMY282" s="1069"/>
      <c r="QMZ282" s="1069"/>
      <c r="QNA282" s="1069"/>
      <c r="QNB282" s="1069"/>
      <c r="QNC282" s="1069"/>
      <c r="QND282" s="1069"/>
      <c r="QNE282" s="1069"/>
      <c r="QNF282" s="1069"/>
      <c r="QNG282" s="1069"/>
      <c r="QNH282" s="1069"/>
      <c r="QNI282" s="1069"/>
      <c r="QNJ282" s="1069"/>
      <c r="QNK282" s="1069"/>
      <c r="QNL282" s="1069"/>
      <c r="QNM282" s="1069"/>
      <c r="QNN282" s="1069"/>
      <c r="QNO282" s="1069"/>
      <c r="QNP282" s="1069"/>
      <c r="QNQ282" s="1069"/>
      <c r="QNR282" s="1069"/>
      <c r="QNS282" s="1069"/>
      <c r="QNT282" s="1069"/>
      <c r="QNU282" s="1069"/>
      <c r="QNV282" s="1069"/>
      <c r="QNW282" s="1069"/>
      <c r="QNX282" s="1069"/>
      <c r="QNY282" s="1069"/>
      <c r="QNZ282" s="1069"/>
      <c r="QOA282" s="1069"/>
      <c r="QOB282" s="1069"/>
      <c r="QOC282" s="1069"/>
      <c r="QOD282" s="1069"/>
      <c r="QOE282" s="1069"/>
      <c r="QOF282" s="1069"/>
      <c r="QOG282" s="1069"/>
      <c r="QOH282" s="1069"/>
      <c r="QOI282" s="1069"/>
      <c r="QOJ282" s="1069"/>
      <c r="QOK282" s="1069"/>
      <c r="QOL282" s="1069"/>
      <c r="QOM282" s="1069"/>
      <c r="QON282" s="1069"/>
      <c r="QOO282" s="1069"/>
      <c r="QOP282" s="1069"/>
      <c r="QOQ282" s="1069"/>
      <c r="QOR282" s="1069"/>
      <c r="QOS282" s="1069"/>
      <c r="QOT282" s="1069"/>
      <c r="QOU282" s="1069"/>
      <c r="QOV282" s="1069"/>
      <c r="QOW282" s="1069"/>
      <c r="QOX282" s="1069"/>
      <c r="QOY282" s="1069"/>
      <c r="QOZ282" s="1069"/>
      <c r="QPA282" s="1069"/>
      <c r="QPB282" s="1069"/>
      <c r="QPC282" s="1069"/>
      <c r="QPD282" s="1069"/>
      <c r="QPE282" s="1069"/>
      <c r="QPF282" s="1069"/>
      <c r="QPG282" s="1069"/>
      <c r="QPH282" s="1069"/>
      <c r="QPI282" s="1069"/>
      <c r="QPJ282" s="1069"/>
      <c r="QPK282" s="1069"/>
      <c r="QPL282" s="1069"/>
      <c r="QPM282" s="1069"/>
      <c r="QPN282" s="1069"/>
      <c r="QPO282" s="1069"/>
      <c r="QPP282" s="1069"/>
      <c r="QPQ282" s="1069"/>
      <c r="QPR282" s="1069"/>
      <c r="QPS282" s="1069"/>
      <c r="QPT282" s="1069"/>
      <c r="QPU282" s="1069"/>
      <c r="QPV282" s="1069"/>
      <c r="QPW282" s="1069"/>
      <c r="QPX282" s="1069"/>
      <c r="QPY282" s="1069"/>
      <c r="QPZ282" s="1069"/>
      <c r="QQA282" s="1069"/>
      <c r="QQB282" s="1069"/>
      <c r="QQC282" s="1069"/>
      <c r="QQD282" s="1069"/>
      <c r="QQE282" s="1069"/>
      <c r="QQF282" s="1069"/>
      <c r="QQG282" s="1069"/>
      <c r="QQH282" s="1069"/>
      <c r="QQI282" s="1069"/>
      <c r="QQJ282" s="1069"/>
      <c r="QQK282" s="1069"/>
      <c r="QQL282" s="1069"/>
      <c r="QQM282" s="1069"/>
      <c r="QQN282" s="1069"/>
      <c r="QQO282" s="1069"/>
      <c r="QQP282" s="1069"/>
      <c r="QQQ282" s="1069"/>
      <c r="QQR282" s="1069"/>
      <c r="QQS282" s="1069"/>
      <c r="QQT282" s="1069"/>
      <c r="QQU282" s="1069"/>
      <c r="QQV282" s="1069"/>
      <c r="QQW282" s="1069"/>
      <c r="QQX282" s="1069"/>
      <c r="QQY282" s="1069"/>
      <c r="QQZ282" s="1069"/>
      <c r="QRA282" s="1069"/>
      <c r="QRB282" s="1069"/>
      <c r="QRC282" s="1069"/>
      <c r="QRD282" s="1069"/>
      <c r="QRE282" s="1069"/>
      <c r="QRF282" s="1069"/>
      <c r="QRG282" s="1069"/>
      <c r="QRH282" s="1069"/>
      <c r="QRI282" s="1069"/>
      <c r="QRJ282" s="1069"/>
      <c r="QRK282" s="1069"/>
      <c r="QRL282" s="1069"/>
      <c r="QRM282" s="1069"/>
      <c r="QRN282" s="1069"/>
      <c r="QRO282" s="1069"/>
      <c r="QRP282" s="1069"/>
      <c r="QRQ282" s="1069"/>
      <c r="QRR282" s="1069"/>
      <c r="QRS282" s="1069"/>
      <c r="QRT282" s="1069"/>
      <c r="QRU282" s="1069"/>
      <c r="QRV282" s="1069"/>
      <c r="QRW282" s="1069"/>
      <c r="QRX282" s="1069"/>
      <c r="QRY282" s="1069"/>
      <c r="QRZ282" s="1069"/>
      <c r="QSA282" s="1069"/>
      <c r="QSB282" s="1069"/>
      <c r="QSC282" s="1069"/>
      <c r="QSD282" s="1069"/>
      <c r="QSE282" s="1069"/>
      <c r="QSF282" s="1069"/>
      <c r="QSG282" s="1069"/>
      <c r="QSH282" s="1069"/>
      <c r="QSI282" s="1069"/>
      <c r="QSJ282" s="1069"/>
      <c r="QSK282" s="1069"/>
      <c r="QSL282" s="1069"/>
      <c r="QSM282" s="1069"/>
      <c r="QSN282" s="1069"/>
      <c r="QSO282" s="1069"/>
      <c r="QSP282" s="1069"/>
      <c r="QSQ282" s="1069"/>
      <c r="QSR282" s="1069"/>
      <c r="QSS282" s="1069"/>
      <c r="QST282" s="1069"/>
      <c r="QSU282" s="1069"/>
      <c r="QSV282" s="1069"/>
      <c r="QSW282" s="1069"/>
      <c r="QSX282" s="1069"/>
      <c r="QSY282" s="1069"/>
      <c r="QSZ282" s="1069"/>
      <c r="QTA282" s="1069"/>
      <c r="QTB282" s="1069"/>
      <c r="QTC282" s="1069"/>
      <c r="QTD282" s="1069"/>
      <c r="QTE282" s="1069"/>
      <c r="QTF282" s="1069"/>
      <c r="QTG282" s="1069"/>
      <c r="QTH282" s="1069"/>
      <c r="QTI282" s="1069"/>
      <c r="QTJ282" s="1069"/>
      <c r="QTK282" s="1069"/>
      <c r="QTL282" s="1069"/>
      <c r="QTM282" s="1069"/>
      <c r="QTN282" s="1069"/>
      <c r="QTO282" s="1069"/>
      <c r="QTP282" s="1069"/>
      <c r="QTQ282" s="1069"/>
      <c r="QTR282" s="1069"/>
      <c r="QTS282" s="1069"/>
      <c r="QTT282" s="1069"/>
      <c r="QTU282" s="1069"/>
      <c r="QTV282" s="1069"/>
      <c r="QTW282" s="1069"/>
      <c r="QTX282" s="1069"/>
      <c r="QTY282" s="1069"/>
      <c r="QTZ282" s="1069"/>
      <c r="QUA282" s="1069"/>
      <c r="QUB282" s="1069"/>
      <c r="QUC282" s="1069"/>
      <c r="QUD282" s="1069"/>
      <c r="QUE282" s="1069"/>
      <c r="QUF282" s="1069"/>
      <c r="QUG282" s="1069"/>
      <c r="QUH282" s="1069"/>
      <c r="QUI282" s="1069"/>
      <c r="QUJ282" s="1069"/>
      <c r="QUK282" s="1069"/>
      <c r="QUL282" s="1069"/>
      <c r="QUM282" s="1069"/>
      <c r="QUN282" s="1069"/>
      <c r="QUO282" s="1069"/>
      <c r="QUP282" s="1069"/>
      <c r="QUQ282" s="1069"/>
      <c r="QUR282" s="1069"/>
      <c r="QUS282" s="1069"/>
      <c r="QUT282" s="1069"/>
      <c r="QUU282" s="1069"/>
      <c r="QUV282" s="1069"/>
      <c r="QUW282" s="1069"/>
      <c r="QUX282" s="1069"/>
      <c r="QUY282" s="1069"/>
      <c r="QUZ282" s="1069"/>
      <c r="QVA282" s="1069"/>
      <c r="QVB282" s="1069"/>
      <c r="QVC282" s="1069"/>
      <c r="QVD282" s="1069"/>
      <c r="QVE282" s="1069"/>
      <c r="QVF282" s="1069"/>
      <c r="QVG282" s="1069"/>
      <c r="QVH282" s="1069"/>
      <c r="QVI282" s="1069"/>
      <c r="QVJ282" s="1069"/>
      <c r="QVK282" s="1069"/>
      <c r="QVL282" s="1069"/>
      <c r="QVM282" s="1069"/>
      <c r="QVN282" s="1069"/>
      <c r="QVO282" s="1069"/>
      <c r="QVP282" s="1069"/>
      <c r="QVQ282" s="1069"/>
      <c r="QVR282" s="1069"/>
      <c r="QVS282" s="1069"/>
      <c r="QVT282" s="1069"/>
      <c r="QVU282" s="1069"/>
      <c r="QVV282" s="1069"/>
      <c r="QVW282" s="1069"/>
      <c r="QVX282" s="1069"/>
      <c r="QVY282" s="1069"/>
      <c r="QVZ282" s="1069"/>
      <c r="QWA282" s="1069"/>
      <c r="QWB282" s="1069"/>
      <c r="QWC282" s="1069"/>
      <c r="QWD282" s="1069"/>
      <c r="QWE282" s="1069"/>
      <c r="QWF282" s="1069"/>
      <c r="QWG282" s="1069"/>
      <c r="QWH282" s="1069"/>
      <c r="QWI282" s="1069"/>
      <c r="QWJ282" s="1069"/>
      <c r="QWK282" s="1069"/>
      <c r="QWL282" s="1069"/>
      <c r="QWM282" s="1069"/>
      <c r="QWN282" s="1069"/>
      <c r="QWO282" s="1069"/>
      <c r="QWP282" s="1069"/>
      <c r="QWQ282" s="1069"/>
      <c r="QWR282" s="1069"/>
      <c r="QWS282" s="1069"/>
      <c r="QWT282" s="1069"/>
      <c r="QWU282" s="1069"/>
      <c r="QWV282" s="1069"/>
      <c r="QWW282" s="1069"/>
      <c r="QWX282" s="1069"/>
      <c r="QWY282" s="1069"/>
      <c r="QWZ282" s="1069"/>
      <c r="QXA282" s="1069"/>
      <c r="QXB282" s="1069"/>
      <c r="QXC282" s="1069"/>
      <c r="QXD282" s="1069"/>
      <c r="QXE282" s="1069"/>
      <c r="QXF282" s="1069"/>
      <c r="QXG282" s="1069"/>
      <c r="QXH282" s="1069"/>
      <c r="QXI282" s="1069"/>
      <c r="QXJ282" s="1069"/>
      <c r="QXK282" s="1069"/>
      <c r="QXL282" s="1069"/>
      <c r="QXM282" s="1069"/>
      <c r="QXN282" s="1069"/>
      <c r="QXO282" s="1069"/>
      <c r="QXP282" s="1069"/>
      <c r="QXQ282" s="1069"/>
      <c r="QXR282" s="1069"/>
      <c r="QXS282" s="1069"/>
      <c r="QXT282" s="1069"/>
      <c r="QXU282" s="1069"/>
      <c r="QXV282" s="1069"/>
      <c r="QXW282" s="1069"/>
      <c r="QXX282" s="1069"/>
      <c r="QXY282" s="1069"/>
      <c r="QXZ282" s="1069"/>
      <c r="QYA282" s="1069"/>
      <c r="QYB282" s="1069"/>
      <c r="QYC282" s="1069"/>
      <c r="QYD282" s="1069"/>
      <c r="QYE282" s="1069"/>
      <c r="QYF282" s="1069"/>
      <c r="QYG282" s="1069"/>
      <c r="QYH282" s="1069"/>
      <c r="QYI282" s="1069"/>
      <c r="QYJ282" s="1069"/>
      <c r="QYK282" s="1069"/>
      <c r="QYL282" s="1069"/>
      <c r="QYM282" s="1069"/>
      <c r="QYN282" s="1069"/>
      <c r="QYO282" s="1069"/>
      <c r="QYP282" s="1069"/>
      <c r="QYQ282" s="1069"/>
      <c r="QYR282" s="1069"/>
      <c r="QYS282" s="1069"/>
      <c r="QYT282" s="1069"/>
      <c r="QYU282" s="1069"/>
      <c r="QYV282" s="1069"/>
      <c r="QYW282" s="1069"/>
      <c r="QYX282" s="1069"/>
      <c r="QYY282" s="1069"/>
      <c r="QYZ282" s="1069"/>
      <c r="QZA282" s="1069"/>
      <c r="QZB282" s="1069"/>
      <c r="QZC282" s="1069"/>
      <c r="QZD282" s="1069"/>
      <c r="QZE282" s="1069"/>
      <c r="QZF282" s="1069"/>
      <c r="QZG282" s="1069"/>
      <c r="QZH282" s="1069"/>
      <c r="QZI282" s="1069"/>
      <c r="QZJ282" s="1069"/>
      <c r="QZK282" s="1069"/>
      <c r="QZL282" s="1069"/>
      <c r="QZM282" s="1069"/>
      <c r="QZN282" s="1069"/>
      <c r="QZO282" s="1069"/>
      <c r="QZP282" s="1069"/>
      <c r="QZQ282" s="1069"/>
      <c r="QZR282" s="1069"/>
      <c r="QZS282" s="1069"/>
      <c r="QZT282" s="1069"/>
      <c r="QZU282" s="1069"/>
      <c r="QZV282" s="1069"/>
      <c r="QZW282" s="1069"/>
      <c r="QZX282" s="1069"/>
      <c r="QZY282" s="1069"/>
      <c r="QZZ282" s="1069"/>
      <c r="RAA282" s="1069"/>
      <c r="RAB282" s="1069"/>
      <c r="RAC282" s="1069"/>
      <c r="RAD282" s="1069"/>
      <c r="RAE282" s="1069"/>
      <c r="RAF282" s="1069"/>
      <c r="RAG282" s="1069"/>
      <c r="RAH282" s="1069"/>
      <c r="RAI282" s="1069"/>
      <c r="RAJ282" s="1069"/>
      <c r="RAK282" s="1069"/>
      <c r="RAL282" s="1069"/>
      <c r="RAM282" s="1069"/>
      <c r="RAN282" s="1069"/>
      <c r="RAO282" s="1069"/>
      <c r="RAP282" s="1069"/>
      <c r="RAQ282" s="1069"/>
      <c r="RAR282" s="1069"/>
      <c r="RAS282" s="1069"/>
      <c r="RAT282" s="1069"/>
      <c r="RAU282" s="1069"/>
      <c r="RAV282" s="1069"/>
      <c r="RAW282" s="1069"/>
      <c r="RAX282" s="1069"/>
      <c r="RAY282" s="1069"/>
      <c r="RAZ282" s="1069"/>
      <c r="RBA282" s="1069"/>
      <c r="RBB282" s="1069"/>
      <c r="RBC282" s="1069"/>
      <c r="RBD282" s="1069"/>
      <c r="RBE282" s="1069"/>
      <c r="RBF282" s="1069"/>
      <c r="RBG282" s="1069"/>
      <c r="RBH282" s="1069"/>
      <c r="RBI282" s="1069"/>
      <c r="RBJ282" s="1069"/>
      <c r="RBK282" s="1069"/>
      <c r="RBL282" s="1069"/>
      <c r="RBM282" s="1069"/>
      <c r="RBN282" s="1069"/>
      <c r="RBO282" s="1069"/>
      <c r="RBP282" s="1069"/>
      <c r="RBQ282" s="1069"/>
      <c r="RBR282" s="1069"/>
      <c r="RBS282" s="1069"/>
      <c r="RBT282" s="1069"/>
      <c r="RBU282" s="1069"/>
      <c r="RBV282" s="1069"/>
      <c r="RBW282" s="1069"/>
      <c r="RBX282" s="1069"/>
      <c r="RBY282" s="1069"/>
      <c r="RBZ282" s="1069"/>
      <c r="RCA282" s="1069"/>
      <c r="RCB282" s="1069"/>
      <c r="RCC282" s="1069"/>
      <c r="RCD282" s="1069"/>
      <c r="RCE282" s="1069"/>
      <c r="RCF282" s="1069"/>
      <c r="RCG282" s="1069"/>
      <c r="RCH282" s="1069"/>
      <c r="RCI282" s="1069"/>
      <c r="RCJ282" s="1069"/>
      <c r="RCK282" s="1069"/>
      <c r="RCL282" s="1069"/>
      <c r="RCM282" s="1069"/>
      <c r="RCN282" s="1069"/>
      <c r="RCO282" s="1069"/>
      <c r="RCP282" s="1069"/>
      <c r="RCQ282" s="1069"/>
      <c r="RCR282" s="1069"/>
      <c r="RCS282" s="1069"/>
      <c r="RCT282" s="1069"/>
      <c r="RCU282" s="1069"/>
      <c r="RCV282" s="1069"/>
      <c r="RCW282" s="1069"/>
      <c r="RCX282" s="1069"/>
      <c r="RCY282" s="1069"/>
      <c r="RCZ282" s="1069"/>
      <c r="RDA282" s="1069"/>
      <c r="RDB282" s="1069"/>
      <c r="RDC282" s="1069"/>
      <c r="RDD282" s="1069"/>
      <c r="RDE282" s="1069"/>
      <c r="RDF282" s="1069"/>
      <c r="RDG282" s="1069"/>
      <c r="RDH282" s="1069"/>
      <c r="RDI282" s="1069"/>
      <c r="RDJ282" s="1069"/>
      <c r="RDK282" s="1069"/>
      <c r="RDL282" s="1069"/>
      <c r="RDM282" s="1069"/>
      <c r="RDN282" s="1069"/>
      <c r="RDO282" s="1069"/>
      <c r="RDP282" s="1069"/>
      <c r="RDQ282" s="1069"/>
      <c r="RDR282" s="1069"/>
      <c r="RDS282" s="1069"/>
      <c r="RDT282" s="1069"/>
      <c r="RDU282" s="1069"/>
      <c r="RDV282" s="1069"/>
      <c r="RDW282" s="1069"/>
      <c r="RDX282" s="1069"/>
      <c r="RDY282" s="1069"/>
      <c r="RDZ282" s="1069"/>
      <c r="REA282" s="1069"/>
      <c r="REB282" s="1069"/>
      <c r="REC282" s="1069"/>
      <c r="RED282" s="1069"/>
      <c r="REE282" s="1069"/>
      <c r="REF282" s="1069"/>
      <c r="REG282" s="1069"/>
      <c r="REH282" s="1069"/>
      <c r="REI282" s="1069"/>
      <c r="REJ282" s="1069"/>
      <c r="REK282" s="1069"/>
      <c r="REL282" s="1069"/>
      <c r="REM282" s="1069"/>
      <c r="REN282" s="1069"/>
      <c r="REO282" s="1069"/>
      <c r="REP282" s="1069"/>
      <c r="REQ282" s="1069"/>
      <c r="RER282" s="1069"/>
      <c r="RES282" s="1069"/>
      <c r="RET282" s="1069"/>
      <c r="REU282" s="1069"/>
      <c r="REV282" s="1069"/>
      <c r="REW282" s="1069"/>
      <c r="REX282" s="1069"/>
      <c r="REY282" s="1069"/>
      <c r="REZ282" s="1069"/>
      <c r="RFA282" s="1069"/>
      <c r="RFB282" s="1069"/>
      <c r="RFC282" s="1069"/>
      <c r="RFD282" s="1069"/>
      <c r="RFE282" s="1069"/>
      <c r="RFF282" s="1069"/>
      <c r="RFG282" s="1069"/>
      <c r="RFH282" s="1069"/>
      <c r="RFI282" s="1069"/>
      <c r="RFJ282" s="1069"/>
      <c r="RFK282" s="1069"/>
      <c r="RFL282" s="1069"/>
      <c r="RFM282" s="1069"/>
      <c r="RFN282" s="1069"/>
      <c r="RFO282" s="1069"/>
      <c r="RFP282" s="1069"/>
      <c r="RFQ282" s="1069"/>
      <c r="RFR282" s="1069"/>
      <c r="RFS282" s="1069"/>
      <c r="RFT282" s="1069"/>
      <c r="RFU282" s="1069"/>
      <c r="RFV282" s="1069"/>
      <c r="RFW282" s="1069"/>
      <c r="RFX282" s="1069"/>
      <c r="RFY282" s="1069"/>
      <c r="RFZ282" s="1069"/>
      <c r="RGA282" s="1069"/>
      <c r="RGB282" s="1069"/>
      <c r="RGC282" s="1069"/>
      <c r="RGD282" s="1069"/>
      <c r="RGE282" s="1069"/>
      <c r="RGF282" s="1069"/>
      <c r="RGG282" s="1069"/>
      <c r="RGH282" s="1069"/>
      <c r="RGI282" s="1069"/>
      <c r="RGJ282" s="1069"/>
      <c r="RGK282" s="1069"/>
      <c r="RGL282" s="1069"/>
      <c r="RGM282" s="1069"/>
      <c r="RGN282" s="1069"/>
      <c r="RGO282" s="1069"/>
      <c r="RGP282" s="1069"/>
      <c r="RGQ282" s="1069"/>
      <c r="RGR282" s="1069"/>
      <c r="RGS282" s="1069"/>
      <c r="RGT282" s="1069"/>
      <c r="RGU282" s="1069"/>
      <c r="RGV282" s="1069"/>
      <c r="RGW282" s="1069"/>
      <c r="RGX282" s="1069"/>
      <c r="RGY282" s="1069"/>
      <c r="RGZ282" s="1069"/>
      <c r="RHA282" s="1069"/>
      <c r="RHB282" s="1069"/>
      <c r="RHC282" s="1069"/>
      <c r="RHD282" s="1069"/>
      <c r="RHE282" s="1069"/>
      <c r="RHF282" s="1069"/>
      <c r="RHG282" s="1069"/>
      <c r="RHH282" s="1069"/>
      <c r="RHI282" s="1069"/>
      <c r="RHJ282" s="1069"/>
      <c r="RHK282" s="1069"/>
      <c r="RHL282" s="1069"/>
      <c r="RHM282" s="1069"/>
      <c r="RHN282" s="1069"/>
      <c r="RHO282" s="1069"/>
      <c r="RHP282" s="1069"/>
      <c r="RHQ282" s="1069"/>
      <c r="RHR282" s="1069"/>
      <c r="RHS282" s="1069"/>
      <c r="RHT282" s="1069"/>
      <c r="RHU282" s="1069"/>
      <c r="RHV282" s="1069"/>
      <c r="RHW282" s="1069"/>
      <c r="RHX282" s="1069"/>
      <c r="RHY282" s="1069"/>
      <c r="RHZ282" s="1069"/>
      <c r="RIA282" s="1069"/>
      <c r="RIB282" s="1069"/>
      <c r="RIC282" s="1069"/>
      <c r="RID282" s="1069"/>
      <c r="RIE282" s="1069"/>
      <c r="RIF282" s="1069"/>
      <c r="RIG282" s="1069"/>
      <c r="RIH282" s="1069"/>
      <c r="RII282" s="1069"/>
      <c r="RIJ282" s="1069"/>
      <c r="RIK282" s="1069"/>
      <c r="RIL282" s="1069"/>
      <c r="RIM282" s="1069"/>
      <c r="RIN282" s="1069"/>
      <c r="RIO282" s="1069"/>
      <c r="RIP282" s="1069"/>
      <c r="RIQ282" s="1069"/>
      <c r="RIR282" s="1069"/>
      <c r="RIS282" s="1069"/>
      <c r="RIT282" s="1069"/>
      <c r="RIU282" s="1069"/>
      <c r="RIV282" s="1069"/>
      <c r="RIW282" s="1069"/>
      <c r="RIX282" s="1069"/>
      <c r="RIY282" s="1069"/>
      <c r="RIZ282" s="1069"/>
      <c r="RJA282" s="1069"/>
      <c r="RJB282" s="1069"/>
      <c r="RJC282" s="1069"/>
      <c r="RJD282" s="1069"/>
      <c r="RJE282" s="1069"/>
      <c r="RJF282" s="1069"/>
      <c r="RJG282" s="1069"/>
      <c r="RJH282" s="1069"/>
      <c r="RJI282" s="1069"/>
      <c r="RJJ282" s="1069"/>
      <c r="RJK282" s="1069"/>
      <c r="RJL282" s="1069"/>
      <c r="RJM282" s="1069"/>
      <c r="RJN282" s="1069"/>
      <c r="RJO282" s="1069"/>
      <c r="RJP282" s="1069"/>
      <c r="RJQ282" s="1069"/>
      <c r="RJR282" s="1069"/>
      <c r="RJS282" s="1069"/>
      <c r="RJT282" s="1069"/>
      <c r="RJU282" s="1069"/>
      <c r="RJV282" s="1069"/>
      <c r="RJW282" s="1069"/>
      <c r="RJX282" s="1069"/>
      <c r="RJY282" s="1069"/>
      <c r="RJZ282" s="1069"/>
      <c r="RKA282" s="1069"/>
      <c r="RKB282" s="1069"/>
      <c r="RKC282" s="1069"/>
      <c r="RKD282" s="1069"/>
      <c r="RKE282" s="1069"/>
      <c r="RKF282" s="1069"/>
      <c r="RKG282" s="1069"/>
      <c r="RKH282" s="1069"/>
      <c r="RKI282" s="1069"/>
      <c r="RKJ282" s="1069"/>
      <c r="RKK282" s="1069"/>
      <c r="RKL282" s="1069"/>
      <c r="RKM282" s="1069"/>
      <c r="RKN282" s="1069"/>
      <c r="RKO282" s="1069"/>
      <c r="RKP282" s="1069"/>
      <c r="RKQ282" s="1069"/>
      <c r="RKR282" s="1069"/>
      <c r="RKS282" s="1069"/>
      <c r="RKT282" s="1069"/>
      <c r="RKU282" s="1069"/>
      <c r="RKV282" s="1069"/>
      <c r="RKW282" s="1069"/>
      <c r="RKX282" s="1069"/>
      <c r="RKY282" s="1069"/>
      <c r="RKZ282" s="1069"/>
      <c r="RLA282" s="1069"/>
      <c r="RLB282" s="1069"/>
      <c r="RLC282" s="1069"/>
      <c r="RLD282" s="1069"/>
      <c r="RLE282" s="1069"/>
      <c r="RLF282" s="1069"/>
      <c r="RLG282" s="1069"/>
      <c r="RLH282" s="1069"/>
      <c r="RLI282" s="1069"/>
      <c r="RLJ282" s="1069"/>
      <c r="RLK282" s="1069"/>
      <c r="RLL282" s="1069"/>
      <c r="RLM282" s="1069"/>
      <c r="RLN282" s="1069"/>
      <c r="RLO282" s="1069"/>
      <c r="RLP282" s="1069"/>
      <c r="RLQ282" s="1069"/>
      <c r="RLR282" s="1069"/>
      <c r="RLS282" s="1069"/>
      <c r="RLT282" s="1069"/>
      <c r="RLU282" s="1069"/>
      <c r="RLV282" s="1069"/>
      <c r="RLW282" s="1069"/>
      <c r="RLX282" s="1069"/>
      <c r="RLY282" s="1069"/>
      <c r="RLZ282" s="1069"/>
      <c r="RMA282" s="1069"/>
      <c r="RMB282" s="1069"/>
      <c r="RMC282" s="1069"/>
      <c r="RMD282" s="1069"/>
      <c r="RME282" s="1069"/>
      <c r="RMF282" s="1069"/>
      <c r="RMG282" s="1069"/>
      <c r="RMH282" s="1069"/>
      <c r="RMI282" s="1069"/>
      <c r="RMJ282" s="1069"/>
      <c r="RMK282" s="1069"/>
      <c r="RML282" s="1069"/>
      <c r="RMM282" s="1069"/>
      <c r="RMN282" s="1069"/>
      <c r="RMO282" s="1069"/>
      <c r="RMP282" s="1069"/>
      <c r="RMQ282" s="1069"/>
      <c r="RMR282" s="1069"/>
      <c r="RMS282" s="1069"/>
      <c r="RMT282" s="1069"/>
      <c r="RMU282" s="1069"/>
      <c r="RMV282" s="1069"/>
      <c r="RMW282" s="1069"/>
      <c r="RMX282" s="1069"/>
      <c r="RMY282" s="1069"/>
      <c r="RMZ282" s="1069"/>
      <c r="RNA282" s="1069"/>
      <c r="RNB282" s="1069"/>
      <c r="RNC282" s="1069"/>
      <c r="RND282" s="1069"/>
      <c r="RNE282" s="1069"/>
      <c r="RNF282" s="1069"/>
      <c r="RNG282" s="1069"/>
      <c r="RNH282" s="1069"/>
      <c r="RNI282" s="1069"/>
      <c r="RNJ282" s="1069"/>
      <c r="RNK282" s="1069"/>
      <c r="RNL282" s="1069"/>
      <c r="RNM282" s="1069"/>
      <c r="RNN282" s="1069"/>
      <c r="RNO282" s="1069"/>
      <c r="RNP282" s="1069"/>
      <c r="RNQ282" s="1069"/>
      <c r="RNR282" s="1069"/>
      <c r="RNS282" s="1069"/>
      <c r="RNT282" s="1069"/>
      <c r="RNU282" s="1069"/>
      <c r="RNV282" s="1069"/>
      <c r="RNW282" s="1069"/>
      <c r="RNX282" s="1069"/>
      <c r="RNY282" s="1069"/>
      <c r="RNZ282" s="1069"/>
      <c r="ROA282" s="1069"/>
      <c r="ROB282" s="1069"/>
      <c r="ROC282" s="1069"/>
      <c r="ROD282" s="1069"/>
      <c r="ROE282" s="1069"/>
      <c r="ROF282" s="1069"/>
      <c r="ROG282" s="1069"/>
      <c r="ROH282" s="1069"/>
      <c r="ROI282" s="1069"/>
      <c r="ROJ282" s="1069"/>
      <c r="ROK282" s="1069"/>
      <c r="ROL282" s="1069"/>
      <c r="ROM282" s="1069"/>
      <c r="RON282" s="1069"/>
      <c r="ROO282" s="1069"/>
      <c r="ROP282" s="1069"/>
      <c r="ROQ282" s="1069"/>
      <c r="ROR282" s="1069"/>
      <c r="ROS282" s="1069"/>
      <c r="ROT282" s="1069"/>
      <c r="ROU282" s="1069"/>
      <c r="ROV282" s="1069"/>
      <c r="ROW282" s="1069"/>
      <c r="ROX282" s="1069"/>
      <c r="ROY282" s="1069"/>
      <c r="ROZ282" s="1069"/>
      <c r="RPA282" s="1069"/>
      <c r="RPB282" s="1069"/>
      <c r="RPC282" s="1069"/>
      <c r="RPD282" s="1069"/>
      <c r="RPE282" s="1069"/>
      <c r="RPF282" s="1069"/>
      <c r="RPG282" s="1069"/>
      <c r="RPH282" s="1069"/>
      <c r="RPI282" s="1069"/>
      <c r="RPJ282" s="1069"/>
      <c r="RPK282" s="1069"/>
      <c r="RPL282" s="1069"/>
      <c r="RPM282" s="1069"/>
      <c r="RPN282" s="1069"/>
      <c r="RPO282" s="1069"/>
      <c r="RPP282" s="1069"/>
      <c r="RPQ282" s="1069"/>
      <c r="RPR282" s="1069"/>
      <c r="RPS282" s="1069"/>
      <c r="RPT282" s="1069"/>
      <c r="RPU282" s="1069"/>
      <c r="RPV282" s="1069"/>
      <c r="RPW282" s="1069"/>
      <c r="RPX282" s="1069"/>
      <c r="RPY282" s="1069"/>
      <c r="RPZ282" s="1069"/>
      <c r="RQA282" s="1069"/>
      <c r="RQB282" s="1069"/>
      <c r="RQC282" s="1069"/>
      <c r="RQD282" s="1069"/>
      <c r="RQE282" s="1069"/>
      <c r="RQF282" s="1069"/>
      <c r="RQG282" s="1069"/>
      <c r="RQH282" s="1069"/>
      <c r="RQI282" s="1069"/>
      <c r="RQJ282" s="1069"/>
      <c r="RQK282" s="1069"/>
      <c r="RQL282" s="1069"/>
      <c r="RQM282" s="1069"/>
      <c r="RQN282" s="1069"/>
      <c r="RQO282" s="1069"/>
      <c r="RQP282" s="1069"/>
      <c r="RQQ282" s="1069"/>
      <c r="RQR282" s="1069"/>
      <c r="RQS282" s="1069"/>
      <c r="RQT282" s="1069"/>
      <c r="RQU282" s="1069"/>
      <c r="RQV282" s="1069"/>
      <c r="RQW282" s="1069"/>
      <c r="RQX282" s="1069"/>
      <c r="RQY282" s="1069"/>
      <c r="RQZ282" s="1069"/>
      <c r="RRA282" s="1069"/>
      <c r="RRB282" s="1069"/>
      <c r="RRC282" s="1069"/>
      <c r="RRD282" s="1069"/>
      <c r="RRE282" s="1069"/>
      <c r="RRF282" s="1069"/>
      <c r="RRG282" s="1069"/>
      <c r="RRH282" s="1069"/>
      <c r="RRI282" s="1069"/>
      <c r="RRJ282" s="1069"/>
      <c r="RRK282" s="1069"/>
      <c r="RRL282" s="1069"/>
      <c r="RRM282" s="1069"/>
      <c r="RRN282" s="1069"/>
      <c r="RRO282" s="1069"/>
      <c r="RRP282" s="1069"/>
      <c r="RRQ282" s="1069"/>
      <c r="RRR282" s="1069"/>
      <c r="RRS282" s="1069"/>
      <c r="RRT282" s="1069"/>
      <c r="RRU282" s="1069"/>
      <c r="RRV282" s="1069"/>
      <c r="RRW282" s="1069"/>
      <c r="RRX282" s="1069"/>
      <c r="RRY282" s="1069"/>
      <c r="RRZ282" s="1069"/>
      <c r="RSA282" s="1069"/>
      <c r="RSB282" s="1069"/>
      <c r="RSC282" s="1069"/>
      <c r="RSD282" s="1069"/>
      <c r="RSE282" s="1069"/>
      <c r="RSF282" s="1069"/>
      <c r="RSG282" s="1069"/>
      <c r="RSH282" s="1069"/>
      <c r="RSI282" s="1069"/>
      <c r="RSJ282" s="1069"/>
      <c r="RSK282" s="1069"/>
      <c r="RSL282" s="1069"/>
      <c r="RSM282" s="1069"/>
      <c r="RSN282" s="1069"/>
      <c r="RSO282" s="1069"/>
      <c r="RSP282" s="1069"/>
      <c r="RSQ282" s="1069"/>
      <c r="RSR282" s="1069"/>
      <c r="RSS282" s="1069"/>
      <c r="RST282" s="1069"/>
      <c r="RSU282" s="1069"/>
      <c r="RSV282" s="1069"/>
      <c r="RSW282" s="1069"/>
      <c r="RSX282" s="1069"/>
      <c r="RSY282" s="1069"/>
      <c r="RSZ282" s="1069"/>
      <c r="RTA282" s="1069"/>
      <c r="RTB282" s="1069"/>
      <c r="RTC282" s="1069"/>
      <c r="RTD282" s="1069"/>
      <c r="RTE282" s="1069"/>
      <c r="RTF282" s="1069"/>
      <c r="RTG282" s="1069"/>
      <c r="RTH282" s="1069"/>
      <c r="RTI282" s="1069"/>
      <c r="RTJ282" s="1069"/>
      <c r="RTK282" s="1069"/>
      <c r="RTL282" s="1069"/>
      <c r="RTM282" s="1069"/>
      <c r="RTN282" s="1069"/>
      <c r="RTO282" s="1069"/>
      <c r="RTP282" s="1069"/>
      <c r="RTQ282" s="1069"/>
      <c r="RTR282" s="1069"/>
      <c r="RTS282" s="1069"/>
      <c r="RTT282" s="1069"/>
      <c r="RTU282" s="1069"/>
      <c r="RTV282" s="1069"/>
      <c r="RTW282" s="1069"/>
      <c r="RTX282" s="1069"/>
      <c r="RTY282" s="1069"/>
      <c r="RTZ282" s="1069"/>
      <c r="RUA282" s="1069"/>
      <c r="RUB282" s="1069"/>
      <c r="RUC282" s="1069"/>
      <c r="RUD282" s="1069"/>
      <c r="RUE282" s="1069"/>
      <c r="RUF282" s="1069"/>
      <c r="RUG282" s="1069"/>
      <c r="RUH282" s="1069"/>
      <c r="RUI282" s="1069"/>
      <c r="RUJ282" s="1069"/>
      <c r="RUK282" s="1069"/>
      <c r="RUL282" s="1069"/>
      <c r="RUM282" s="1069"/>
      <c r="RUN282" s="1069"/>
      <c r="RUO282" s="1069"/>
      <c r="RUP282" s="1069"/>
      <c r="RUQ282" s="1069"/>
      <c r="RUR282" s="1069"/>
      <c r="RUS282" s="1069"/>
      <c r="RUT282" s="1069"/>
      <c r="RUU282" s="1069"/>
      <c r="RUV282" s="1069"/>
      <c r="RUW282" s="1069"/>
      <c r="RUX282" s="1069"/>
      <c r="RUY282" s="1069"/>
      <c r="RUZ282" s="1069"/>
      <c r="RVA282" s="1069"/>
      <c r="RVB282" s="1069"/>
      <c r="RVC282" s="1069"/>
      <c r="RVD282" s="1069"/>
      <c r="RVE282" s="1069"/>
      <c r="RVF282" s="1069"/>
      <c r="RVG282" s="1069"/>
      <c r="RVH282" s="1069"/>
      <c r="RVI282" s="1069"/>
      <c r="RVJ282" s="1069"/>
      <c r="RVK282" s="1069"/>
      <c r="RVL282" s="1069"/>
      <c r="RVM282" s="1069"/>
      <c r="RVN282" s="1069"/>
      <c r="RVO282" s="1069"/>
      <c r="RVP282" s="1069"/>
      <c r="RVQ282" s="1069"/>
      <c r="RVR282" s="1069"/>
      <c r="RVS282" s="1069"/>
      <c r="RVT282" s="1069"/>
      <c r="RVU282" s="1069"/>
      <c r="RVV282" s="1069"/>
      <c r="RVW282" s="1069"/>
      <c r="RVX282" s="1069"/>
      <c r="RVY282" s="1069"/>
      <c r="RVZ282" s="1069"/>
      <c r="RWA282" s="1069"/>
      <c r="RWB282" s="1069"/>
      <c r="RWC282" s="1069"/>
      <c r="RWD282" s="1069"/>
      <c r="RWE282" s="1069"/>
      <c r="RWF282" s="1069"/>
      <c r="RWG282" s="1069"/>
      <c r="RWH282" s="1069"/>
      <c r="RWI282" s="1069"/>
      <c r="RWJ282" s="1069"/>
      <c r="RWK282" s="1069"/>
      <c r="RWL282" s="1069"/>
      <c r="RWM282" s="1069"/>
      <c r="RWN282" s="1069"/>
      <c r="RWO282" s="1069"/>
      <c r="RWP282" s="1069"/>
      <c r="RWQ282" s="1069"/>
      <c r="RWR282" s="1069"/>
      <c r="RWS282" s="1069"/>
      <c r="RWT282" s="1069"/>
      <c r="RWU282" s="1069"/>
      <c r="RWV282" s="1069"/>
      <c r="RWW282" s="1069"/>
      <c r="RWX282" s="1069"/>
      <c r="RWY282" s="1069"/>
      <c r="RWZ282" s="1069"/>
      <c r="RXA282" s="1069"/>
      <c r="RXB282" s="1069"/>
      <c r="RXC282" s="1069"/>
      <c r="RXD282" s="1069"/>
      <c r="RXE282" s="1069"/>
      <c r="RXF282" s="1069"/>
      <c r="RXG282" s="1069"/>
      <c r="RXH282" s="1069"/>
      <c r="RXI282" s="1069"/>
      <c r="RXJ282" s="1069"/>
      <c r="RXK282" s="1069"/>
      <c r="RXL282" s="1069"/>
      <c r="RXM282" s="1069"/>
      <c r="RXN282" s="1069"/>
      <c r="RXO282" s="1069"/>
      <c r="RXP282" s="1069"/>
      <c r="RXQ282" s="1069"/>
      <c r="RXR282" s="1069"/>
      <c r="RXS282" s="1069"/>
      <c r="RXT282" s="1069"/>
      <c r="RXU282" s="1069"/>
      <c r="RXV282" s="1069"/>
      <c r="RXW282" s="1069"/>
      <c r="RXX282" s="1069"/>
      <c r="RXY282" s="1069"/>
      <c r="RXZ282" s="1069"/>
      <c r="RYA282" s="1069"/>
      <c r="RYB282" s="1069"/>
      <c r="RYC282" s="1069"/>
      <c r="RYD282" s="1069"/>
      <c r="RYE282" s="1069"/>
      <c r="RYF282" s="1069"/>
      <c r="RYG282" s="1069"/>
      <c r="RYH282" s="1069"/>
      <c r="RYI282" s="1069"/>
      <c r="RYJ282" s="1069"/>
      <c r="RYK282" s="1069"/>
      <c r="RYL282" s="1069"/>
      <c r="RYM282" s="1069"/>
      <c r="RYN282" s="1069"/>
      <c r="RYO282" s="1069"/>
      <c r="RYP282" s="1069"/>
      <c r="RYQ282" s="1069"/>
      <c r="RYR282" s="1069"/>
      <c r="RYS282" s="1069"/>
      <c r="RYT282" s="1069"/>
      <c r="RYU282" s="1069"/>
      <c r="RYV282" s="1069"/>
      <c r="RYW282" s="1069"/>
      <c r="RYX282" s="1069"/>
      <c r="RYY282" s="1069"/>
      <c r="RYZ282" s="1069"/>
      <c r="RZA282" s="1069"/>
      <c r="RZB282" s="1069"/>
      <c r="RZC282" s="1069"/>
      <c r="RZD282" s="1069"/>
      <c r="RZE282" s="1069"/>
      <c r="RZF282" s="1069"/>
      <c r="RZG282" s="1069"/>
      <c r="RZH282" s="1069"/>
      <c r="RZI282" s="1069"/>
      <c r="RZJ282" s="1069"/>
      <c r="RZK282" s="1069"/>
      <c r="RZL282" s="1069"/>
      <c r="RZM282" s="1069"/>
      <c r="RZN282" s="1069"/>
      <c r="RZO282" s="1069"/>
      <c r="RZP282" s="1069"/>
      <c r="RZQ282" s="1069"/>
      <c r="RZR282" s="1069"/>
      <c r="RZS282" s="1069"/>
      <c r="RZT282" s="1069"/>
      <c r="RZU282" s="1069"/>
      <c r="RZV282" s="1069"/>
      <c r="RZW282" s="1069"/>
      <c r="RZX282" s="1069"/>
      <c r="RZY282" s="1069"/>
      <c r="RZZ282" s="1069"/>
      <c r="SAA282" s="1069"/>
      <c r="SAB282" s="1069"/>
      <c r="SAC282" s="1069"/>
      <c r="SAD282" s="1069"/>
      <c r="SAE282" s="1069"/>
      <c r="SAF282" s="1069"/>
      <c r="SAG282" s="1069"/>
      <c r="SAH282" s="1069"/>
      <c r="SAI282" s="1069"/>
      <c r="SAJ282" s="1069"/>
      <c r="SAK282" s="1069"/>
      <c r="SAL282" s="1069"/>
      <c r="SAM282" s="1069"/>
      <c r="SAN282" s="1069"/>
      <c r="SAO282" s="1069"/>
      <c r="SAP282" s="1069"/>
      <c r="SAQ282" s="1069"/>
      <c r="SAR282" s="1069"/>
      <c r="SAS282" s="1069"/>
      <c r="SAT282" s="1069"/>
      <c r="SAU282" s="1069"/>
      <c r="SAV282" s="1069"/>
      <c r="SAW282" s="1069"/>
      <c r="SAX282" s="1069"/>
      <c r="SAY282" s="1069"/>
      <c r="SAZ282" s="1069"/>
      <c r="SBA282" s="1069"/>
      <c r="SBB282" s="1069"/>
      <c r="SBC282" s="1069"/>
      <c r="SBD282" s="1069"/>
      <c r="SBE282" s="1069"/>
      <c r="SBF282" s="1069"/>
      <c r="SBG282" s="1069"/>
      <c r="SBH282" s="1069"/>
      <c r="SBI282" s="1069"/>
      <c r="SBJ282" s="1069"/>
      <c r="SBK282" s="1069"/>
      <c r="SBL282" s="1069"/>
      <c r="SBM282" s="1069"/>
      <c r="SBN282" s="1069"/>
      <c r="SBO282" s="1069"/>
      <c r="SBP282" s="1069"/>
      <c r="SBQ282" s="1069"/>
      <c r="SBR282" s="1069"/>
      <c r="SBS282" s="1069"/>
      <c r="SBT282" s="1069"/>
      <c r="SBU282" s="1069"/>
      <c r="SBV282" s="1069"/>
      <c r="SBW282" s="1069"/>
      <c r="SBX282" s="1069"/>
      <c r="SBY282" s="1069"/>
      <c r="SBZ282" s="1069"/>
      <c r="SCA282" s="1069"/>
      <c r="SCB282" s="1069"/>
      <c r="SCC282" s="1069"/>
      <c r="SCD282" s="1069"/>
      <c r="SCE282" s="1069"/>
      <c r="SCF282" s="1069"/>
      <c r="SCG282" s="1069"/>
      <c r="SCH282" s="1069"/>
      <c r="SCI282" s="1069"/>
      <c r="SCJ282" s="1069"/>
      <c r="SCK282" s="1069"/>
      <c r="SCL282" s="1069"/>
      <c r="SCM282" s="1069"/>
      <c r="SCN282" s="1069"/>
      <c r="SCO282" s="1069"/>
      <c r="SCP282" s="1069"/>
      <c r="SCQ282" s="1069"/>
      <c r="SCR282" s="1069"/>
      <c r="SCS282" s="1069"/>
      <c r="SCT282" s="1069"/>
      <c r="SCU282" s="1069"/>
      <c r="SCV282" s="1069"/>
      <c r="SCW282" s="1069"/>
      <c r="SCX282" s="1069"/>
      <c r="SCY282" s="1069"/>
      <c r="SCZ282" s="1069"/>
      <c r="SDA282" s="1069"/>
      <c r="SDB282" s="1069"/>
      <c r="SDC282" s="1069"/>
      <c r="SDD282" s="1069"/>
      <c r="SDE282" s="1069"/>
      <c r="SDF282" s="1069"/>
      <c r="SDG282" s="1069"/>
      <c r="SDH282" s="1069"/>
      <c r="SDI282" s="1069"/>
      <c r="SDJ282" s="1069"/>
      <c r="SDK282" s="1069"/>
      <c r="SDL282" s="1069"/>
      <c r="SDM282" s="1069"/>
      <c r="SDN282" s="1069"/>
      <c r="SDO282" s="1069"/>
      <c r="SDP282" s="1069"/>
      <c r="SDQ282" s="1069"/>
      <c r="SDR282" s="1069"/>
      <c r="SDS282" s="1069"/>
      <c r="SDT282" s="1069"/>
      <c r="SDU282" s="1069"/>
      <c r="SDV282" s="1069"/>
      <c r="SDW282" s="1069"/>
      <c r="SDX282" s="1069"/>
      <c r="SDY282" s="1069"/>
      <c r="SDZ282" s="1069"/>
      <c r="SEA282" s="1069"/>
      <c r="SEB282" s="1069"/>
      <c r="SEC282" s="1069"/>
      <c r="SED282" s="1069"/>
      <c r="SEE282" s="1069"/>
      <c r="SEF282" s="1069"/>
      <c r="SEG282" s="1069"/>
      <c r="SEH282" s="1069"/>
      <c r="SEI282" s="1069"/>
      <c r="SEJ282" s="1069"/>
      <c r="SEK282" s="1069"/>
      <c r="SEL282" s="1069"/>
      <c r="SEM282" s="1069"/>
      <c r="SEN282" s="1069"/>
      <c r="SEO282" s="1069"/>
      <c r="SEP282" s="1069"/>
      <c r="SEQ282" s="1069"/>
      <c r="SER282" s="1069"/>
      <c r="SES282" s="1069"/>
      <c r="SET282" s="1069"/>
      <c r="SEU282" s="1069"/>
      <c r="SEV282" s="1069"/>
      <c r="SEW282" s="1069"/>
      <c r="SEX282" s="1069"/>
      <c r="SEY282" s="1069"/>
      <c r="SEZ282" s="1069"/>
      <c r="SFA282" s="1069"/>
      <c r="SFB282" s="1069"/>
      <c r="SFC282" s="1069"/>
      <c r="SFD282" s="1069"/>
      <c r="SFE282" s="1069"/>
      <c r="SFF282" s="1069"/>
      <c r="SFG282" s="1069"/>
      <c r="SFH282" s="1069"/>
      <c r="SFI282" s="1069"/>
      <c r="SFJ282" s="1069"/>
      <c r="SFK282" s="1069"/>
      <c r="SFL282" s="1069"/>
      <c r="SFM282" s="1069"/>
      <c r="SFN282" s="1069"/>
      <c r="SFO282" s="1069"/>
      <c r="SFP282" s="1069"/>
      <c r="SFQ282" s="1069"/>
      <c r="SFR282" s="1069"/>
      <c r="SFS282" s="1069"/>
      <c r="SFT282" s="1069"/>
      <c r="SFU282" s="1069"/>
      <c r="SFV282" s="1069"/>
      <c r="SFW282" s="1069"/>
      <c r="SFX282" s="1069"/>
      <c r="SFY282" s="1069"/>
      <c r="SFZ282" s="1069"/>
      <c r="SGA282" s="1069"/>
      <c r="SGB282" s="1069"/>
      <c r="SGC282" s="1069"/>
      <c r="SGD282" s="1069"/>
      <c r="SGE282" s="1069"/>
      <c r="SGF282" s="1069"/>
      <c r="SGG282" s="1069"/>
      <c r="SGH282" s="1069"/>
      <c r="SGI282" s="1069"/>
      <c r="SGJ282" s="1069"/>
      <c r="SGK282" s="1069"/>
      <c r="SGL282" s="1069"/>
      <c r="SGM282" s="1069"/>
      <c r="SGN282" s="1069"/>
      <c r="SGO282" s="1069"/>
      <c r="SGP282" s="1069"/>
      <c r="SGQ282" s="1069"/>
      <c r="SGR282" s="1069"/>
      <c r="SGS282" s="1069"/>
      <c r="SGT282" s="1069"/>
      <c r="SGU282" s="1069"/>
      <c r="SGV282" s="1069"/>
      <c r="SGW282" s="1069"/>
      <c r="SGX282" s="1069"/>
      <c r="SGY282" s="1069"/>
      <c r="SGZ282" s="1069"/>
      <c r="SHA282" s="1069"/>
      <c r="SHB282" s="1069"/>
      <c r="SHC282" s="1069"/>
      <c r="SHD282" s="1069"/>
      <c r="SHE282" s="1069"/>
      <c r="SHF282" s="1069"/>
      <c r="SHG282" s="1069"/>
      <c r="SHH282" s="1069"/>
      <c r="SHI282" s="1069"/>
      <c r="SHJ282" s="1069"/>
      <c r="SHK282" s="1069"/>
      <c r="SHL282" s="1069"/>
      <c r="SHM282" s="1069"/>
      <c r="SHN282" s="1069"/>
      <c r="SHO282" s="1069"/>
      <c r="SHP282" s="1069"/>
      <c r="SHQ282" s="1069"/>
      <c r="SHR282" s="1069"/>
      <c r="SHS282" s="1069"/>
      <c r="SHT282" s="1069"/>
      <c r="SHU282" s="1069"/>
      <c r="SHV282" s="1069"/>
      <c r="SHW282" s="1069"/>
      <c r="SHX282" s="1069"/>
      <c r="SHY282" s="1069"/>
      <c r="SHZ282" s="1069"/>
      <c r="SIA282" s="1069"/>
      <c r="SIB282" s="1069"/>
      <c r="SIC282" s="1069"/>
      <c r="SID282" s="1069"/>
      <c r="SIE282" s="1069"/>
      <c r="SIF282" s="1069"/>
      <c r="SIG282" s="1069"/>
      <c r="SIH282" s="1069"/>
      <c r="SII282" s="1069"/>
      <c r="SIJ282" s="1069"/>
      <c r="SIK282" s="1069"/>
      <c r="SIL282" s="1069"/>
      <c r="SIM282" s="1069"/>
      <c r="SIN282" s="1069"/>
      <c r="SIO282" s="1069"/>
      <c r="SIP282" s="1069"/>
      <c r="SIQ282" s="1069"/>
      <c r="SIR282" s="1069"/>
      <c r="SIS282" s="1069"/>
      <c r="SIT282" s="1069"/>
      <c r="SIU282" s="1069"/>
      <c r="SIV282" s="1069"/>
      <c r="SIW282" s="1069"/>
      <c r="SIX282" s="1069"/>
      <c r="SIY282" s="1069"/>
      <c r="SIZ282" s="1069"/>
      <c r="SJA282" s="1069"/>
      <c r="SJB282" s="1069"/>
      <c r="SJC282" s="1069"/>
      <c r="SJD282" s="1069"/>
      <c r="SJE282" s="1069"/>
      <c r="SJF282" s="1069"/>
      <c r="SJG282" s="1069"/>
      <c r="SJH282" s="1069"/>
      <c r="SJI282" s="1069"/>
      <c r="SJJ282" s="1069"/>
      <c r="SJK282" s="1069"/>
      <c r="SJL282" s="1069"/>
      <c r="SJM282" s="1069"/>
      <c r="SJN282" s="1069"/>
      <c r="SJO282" s="1069"/>
      <c r="SJP282" s="1069"/>
      <c r="SJQ282" s="1069"/>
      <c r="SJR282" s="1069"/>
      <c r="SJS282" s="1069"/>
      <c r="SJT282" s="1069"/>
      <c r="SJU282" s="1069"/>
      <c r="SJV282" s="1069"/>
      <c r="SJW282" s="1069"/>
      <c r="SJX282" s="1069"/>
      <c r="SJY282" s="1069"/>
      <c r="SJZ282" s="1069"/>
      <c r="SKA282" s="1069"/>
      <c r="SKB282" s="1069"/>
      <c r="SKC282" s="1069"/>
      <c r="SKD282" s="1069"/>
      <c r="SKE282" s="1069"/>
      <c r="SKF282" s="1069"/>
      <c r="SKG282" s="1069"/>
      <c r="SKH282" s="1069"/>
      <c r="SKI282" s="1069"/>
      <c r="SKJ282" s="1069"/>
      <c r="SKK282" s="1069"/>
      <c r="SKL282" s="1069"/>
      <c r="SKM282" s="1069"/>
      <c r="SKN282" s="1069"/>
      <c r="SKO282" s="1069"/>
      <c r="SKP282" s="1069"/>
      <c r="SKQ282" s="1069"/>
      <c r="SKR282" s="1069"/>
      <c r="SKS282" s="1069"/>
      <c r="SKT282" s="1069"/>
      <c r="SKU282" s="1069"/>
      <c r="SKV282" s="1069"/>
      <c r="SKW282" s="1069"/>
      <c r="SKX282" s="1069"/>
      <c r="SKY282" s="1069"/>
      <c r="SKZ282" s="1069"/>
      <c r="SLA282" s="1069"/>
      <c r="SLB282" s="1069"/>
      <c r="SLC282" s="1069"/>
      <c r="SLD282" s="1069"/>
      <c r="SLE282" s="1069"/>
      <c r="SLF282" s="1069"/>
      <c r="SLG282" s="1069"/>
      <c r="SLH282" s="1069"/>
      <c r="SLI282" s="1069"/>
      <c r="SLJ282" s="1069"/>
      <c r="SLK282" s="1069"/>
      <c r="SLL282" s="1069"/>
      <c r="SLM282" s="1069"/>
      <c r="SLN282" s="1069"/>
      <c r="SLO282" s="1069"/>
      <c r="SLP282" s="1069"/>
      <c r="SLQ282" s="1069"/>
      <c r="SLR282" s="1069"/>
      <c r="SLS282" s="1069"/>
      <c r="SLT282" s="1069"/>
      <c r="SLU282" s="1069"/>
      <c r="SLV282" s="1069"/>
      <c r="SLW282" s="1069"/>
      <c r="SLX282" s="1069"/>
      <c r="SLY282" s="1069"/>
      <c r="SLZ282" s="1069"/>
      <c r="SMA282" s="1069"/>
      <c r="SMB282" s="1069"/>
      <c r="SMC282" s="1069"/>
      <c r="SMD282" s="1069"/>
      <c r="SME282" s="1069"/>
      <c r="SMF282" s="1069"/>
      <c r="SMG282" s="1069"/>
      <c r="SMH282" s="1069"/>
      <c r="SMI282" s="1069"/>
      <c r="SMJ282" s="1069"/>
      <c r="SMK282" s="1069"/>
      <c r="SML282" s="1069"/>
      <c r="SMM282" s="1069"/>
      <c r="SMN282" s="1069"/>
      <c r="SMO282" s="1069"/>
      <c r="SMP282" s="1069"/>
      <c r="SMQ282" s="1069"/>
      <c r="SMR282" s="1069"/>
      <c r="SMS282" s="1069"/>
      <c r="SMT282" s="1069"/>
      <c r="SMU282" s="1069"/>
      <c r="SMV282" s="1069"/>
      <c r="SMW282" s="1069"/>
      <c r="SMX282" s="1069"/>
      <c r="SMY282" s="1069"/>
      <c r="SMZ282" s="1069"/>
      <c r="SNA282" s="1069"/>
      <c r="SNB282" s="1069"/>
      <c r="SNC282" s="1069"/>
      <c r="SND282" s="1069"/>
      <c r="SNE282" s="1069"/>
      <c r="SNF282" s="1069"/>
      <c r="SNG282" s="1069"/>
      <c r="SNH282" s="1069"/>
      <c r="SNI282" s="1069"/>
      <c r="SNJ282" s="1069"/>
      <c r="SNK282" s="1069"/>
      <c r="SNL282" s="1069"/>
      <c r="SNM282" s="1069"/>
      <c r="SNN282" s="1069"/>
      <c r="SNO282" s="1069"/>
      <c r="SNP282" s="1069"/>
      <c r="SNQ282" s="1069"/>
      <c r="SNR282" s="1069"/>
      <c r="SNS282" s="1069"/>
      <c r="SNT282" s="1069"/>
      <c r="SNU282" s="1069"/>
      <c r="SNV282" s="1069"/>
      <c r="SNW282" s="1069"/>
      <c r="SNX282" s="1069"/>
      <c r="SNY282" s="1069"/>
      <c r="SNZ282" s="1069"/>
      <c r="SOA282" s="1069"/>
      <c r="SOB282" s="1069"/>
      <c r="SOC282" s="1069"/>
      <c r="SOD282" s="1069"/>
      <c r="SOE282" s="1069"/>
      <c r="SOF282" s="1069"/>
      <c r="SOG282" s="1069"/>
      <c r="SOH282" s="1069"/>
      <c r="SOI282" s="1069"/>
      <c r="SOJ282" s="1069"/>
      <c r="SOK282" s="1069"/>
      <c r="SOL282" s="1069"/>
      <c r="SOM282" s="1069"/>
      <c r="SON282" s="1069"/>
      <c r="SOO282" s="1069"/>
      <c r="SOP282" s="1069"/>
      <c r="SOQ282" s="1069"/>
      <c r="SOR282" s="1069"/>
      <c r="SOS282" s="1069"/>
      <c r="SOT282" s="1069"/>
      <c r="SOU282" s="1069"/>
      <c r="SOV282" s="1069"/>
      <c r="SOW282" s="1069"/>
      <c r="SOX282" s="1069"/>
      <c r="SOY282" s="1069"/>
      <c r="SOZ282" s="1069"/>
      <c r="SPA282" s="1069"/>
      <c r="SPB282" s="1069"/>
      <c r="SPC282" s="1069"/>
      <c r="SPD282" s="1069"/>
      <c r="SPE282" s="1069"/>
      <c r="SPF282" s="1069"/>
      <c r="SPG282" s="1069"/>
      <c r="SPH282" s="1069"/>
      <c r="SPI282" s="1069"/>
      <c r="SPJ282" s="1069"/>
      <c r="SPK282" s="1069"/>
      <c r="SPL282" s="1069"/>
      <c r="SPM282" s="1069"/>
      <c r="SPN282" s="1069"/>
      <c r="SPO282" s="1069"/>
      <c r="SPP282" s="1069"/>
      <c r="SPQ282" s="1069"/>
      <c r="SPR282" s="1069"/>
      <c r="SPS282" s="1069"/>
      <c r="SPT282" s="1069"/>
      <c r="SPU282" s="1069"/>
      <c r="SPV282" s="1069"/>
      <c r="SPW282" s="1069"/>
      <c r="SPX282" s="1069"/>
      <c r="SPY282" s="1069"/>
      <c r="SPZ282" s="1069"/>
      <c r="SQA282" s="1069"/>
      <c r="SQB282" s="1069"/>
      <c r="SQC282" s="1069"/>
      <c r="SQD282" s="1069"/>
      <c r="SQE282" s="1069"/>
      <c r="SQF282" s="1069"/>
      <c r="SQG282" s="1069"/>
      <c r="SQH282" s="1069"/>
      <c r="SQI282" s="1069"/>
      <c r="SQJ282" s="1069"/>
      <c r="SQK282" s="1069"/>
      <c r="SQL282" s="1069"/>
      <c r="SQM282" s="1069"/>
      <c r="SQN282" s="1069"/>
      <c r="SQO282" s="1069"/>
      <c r="SQP282" s="1069"/>
      <c r="SQQ282" s="1069"/>
      <c r="SQR282" s="1069"/>
      <c r="SQS282" s="1069"/>
      <c r="SQT282" s="1069"/>
      <c r="SQU282" s="1069"/>
      <c r="SQV282" s="1069"/>
      <c r="SQW282" s="1069"/>
      <c r="SQX282" s="1069"/>
      <c r="SQY282" s="1069"/>
      <c r="SQZ282" s="1069"/>
      <c r="SRA282" s="1069"/>
      <c r="SRB282" s="1069"/>
      <c r="SRC282" s="1069"/>
      <c r="SRD282" s="1069"/>
      <c r="SRE282" s="1069"/>
      <c r="SRF282" s="1069"/>
      <c r="SRG282" s="1069"/>
      <c r="SRH282" s="1069"/>
      <c r="SRI282" s="1069"/>
      <c r="SRJ282" s="1069"/>
      <c r="SRK282" s="1069"/>
      <c r="SRL282" s="1069"/>
      <c r="SRM282" s="1069"/>
      <c r="SRN282" s="1069"/>
      <c r="SRO282" s="1069"/>
      <c r="SRP282" s="1069"/>
      <c r="SRQ282" s="1069"/>
      <c r="SRR282" s="1069"/>
      <c r="SRS282" s="1069"/>
      <c r="SRT282" s="1069"/>
      <c r="SRU282" s="1069"/>
      <c r="SRV282" s="1069"/>
      <c r="SRW282" s="1069"/>
      <c r="SRX282" s="1069"/>
      <c r="SRY282" s="1069"/>
      <c r="SRZ282" s="1069"/>
      <c r="SSA282" s="1069"/>
      <c r="SSB282" s="1069"/>
      <c r="SSC282" s="1069"/>
      <c r="SSD282" s="1069"/>
      <c r="SSE282" s="1069"/>
      <c r="SSF282" s="1069"/>
      <c r="SSG282" s="1069"/>
      <c r="SSH282" s="1069"/>
      <c r="SSI282" s="1069"/>
      <c r="SSJ282" s="1069"/>
      <c r="SSK282" s="1069"/>
      <c r="SSL282" s="1069"/>
      <c r="SSM282" s="1069"/>
      <c r="SSN282" s="1069"/>
      <c r="SSO282" s="1069"/>
      <c r="SSP282" s="1069"/>
      <c r="SSQ282" s="1069"/>
      <c r="SSR282" s="1069"/>
      <c r="SSS282" s="1069"/>
      <c r="SST282" s="1069"/>
      <c r="SSU282" s="1069"/>
      <c r="SSV282" s="1069"/>
      <c r="SSW282" s="1069"/>
      <c r="SSX282" s="1069"/>
      <c r="SSY282" s="1069"/>
      <c r="SSZ282" s="1069"/>
      <c r="STA282" s="1069"/>
      <c r="STB282" s="1069"/>
      <c r="STC282" s="1069"/>
      <c r="STD282" s="1069"/>
      <c r="STE282" s="1069"/>
      <c r="STF282" s="1069"/>
      <c r="STG282" s="1069"/>
      <c r="STH282" s="1069"/>
      <c r="STI282" s="1069"/>
      <c r="STJ282" s="1069"/>
      <c r="STK282" s="1069"/>
      <c r="STL282" s="1069"/>
      <c r="STM282" s="1069"/>
      <c r="STN282" s="1069"/>
      <c r="STO282" s="1069"/>
      <c r="STP282" s="1069"/>
      <c r="STQ282" s="1069"/>
      <c r="STR282" s="1069"/>
      <c r="STS282" s="1069"/>
      <c r="STT282" s="1069"/>
      <c r="STU282" s="1069"/>
      <c r="STV282" s="1069"/>
      <c r="STW282" s="1069"/>
      <c r="STX282" s="1069"/>
      <c r="STY282" s="1069"/>
      <c r="STZ282" s="1069"/>
      <c r="SUA282" s="1069"/>
      <c r="SUB282" s="1069"/>
      <c r="SUC282" s="1069"/>
      <c r="SUD282" s="1069"/>
      <c r="SUE282" s="1069"/>
      <c r="SUF282" s="1069"/>
      <c r="SUG282" s="1069"/>
      <c r="SUH282" s="1069"/>
      <c r="SUI282" s="1069"/>
      <c r="SUJ282" s="1069"/>
      <c r="SUK282" s="1069"/>
      <c r="SUL282" s="1069"/>
      <c r="SUM282" s="1069"/>
      <c r="SUN282" s="1069"/>
      <c r="SUO282" s="1069"/>
      <c r="SUP282" s="1069"/>
      <c r="SUQ282" s="1069"/>
      <c r="SUR282" s="1069"/>
      <c r="SUS282" s="1069"/>
      <c r="SUT282" s="1069"/>
      <c r="SUU282" s="1069"/>
      <c r="SUV282" s="1069"/>
      <c r="SUW282" s="1069"/>
      <c r="SUX282" s="1069"/>
      <c r="SUY282" s="1069"/>
      <c r="SUZ282" s="1069"/>
      <c r="SVA282" s="1069"/>
      <c r="SVB282" s="1069"/>
      <c r="SVC282" s="1069"/>
      <c r="SVD282" s="1069"/>
      <c r="SVE282" s="1069"/>
      <c r="SVF282" s="1069"/>
      <c r="SVG282" s="1069"/>
      <c r="SVH282" s="1069"/>
      <c r="SVI282" s="1069"/>
      <c r="SVJ282" s="1069"/>
      <c r="SVK282" s="1069"/>
      <c r="SVL282" s="1069"/>
      <c r="SVM282" s="1069"/>
      <c r="SVN282" s="1069"/>
      <c r="SVO282" s="1069"/>
      <c r="SVP282" s="1069"/>
      <c r="SVQ282" s="1069"/>
      <c r="SVR282" s="1069"/>
      <c r="SVS282" s="1069"/>
      <c r="SVT282" s="1069"/>
      <c r="SVU282" s="1069"/>
      <c r="SVV282" s="1069"/>
      <c r="SVW282" s="1069"/>
      <c r="SVX282" s="1069"/>
      <c r="SVY282" s="1069"/>
      <c r="SVZ282" s="1069"/>
      <c r="SWA282" s="1069"/>
      <c r="SWB282" s="1069"/>
      <c r="SWC282" s="1069"/>
      <c r="SWD282" s="1069"/>
      <c r="SWE282" s="1069"/>
      <c r="SWF282" s="1069"/>
      <c r="SWG282" s="1069"/>
      <c r="SWH282" s="1069"/>
      <c r="SWI282" s="1069"/>
      <c r="SWJ282" s="1069"/>
      <c r="SWK282" s="1069"/>
      <c r="SWL282" s="1069"/>
      <c r="SWM282" s="1069"/>
      <c r="SWN282" s="1069"/>
      <c r="SWO282" s="1069"/>
      <c r="SWP282" s="1069"/>
      <c r="SWQ282" s="1069"/>
      <c r="SWR282" s="1069"/>
      <c r="SWS282" s="1069"/>
      <c r="SWT282" s="1069"/>
      <c r="SWU282" s="1069"/>
      <c r="SWV282" s="1069"/>
      <c r="SWW282" s="1069"/>
      <c r="SWX282" s="1069"/>
      <c r="SWY282" s="1069"/>
      <c r="SWZ282" s="1069"/>
      <c r="SXA282" s="1069"/>
      <c r="SXB282" s="1069"/>
      <c r="SXC282" s="1069"/>
      <c r="SXD282" s="1069"/>
      <c r="SXE282" s="1069"/>
      <c r="SXF282" s="1069"/>
      <c r="SXG282" s="1069"/>
      <c r="SXH282" s="1069"/>
      <c r="SXI282" s="1069"/>
      <c r="SXJ282" s="1069"/>
      <c r="SXK282" s="1069"/>
      <c r="SXL282" s="1069"/>
      <c r="SXM282" s="1069"/>
      <c r="SXN282" s="1069"/>
      <c r="SXO282" s="1069"/>
      <c r="SXP282" s="1069"/>
      <c r="SXQ282" s="1069"/>
      <c r="SXR282" s="1069"/>
      <c r="SXS282" s="1069"/>
      <c r="SXT282" s="1069"/>
      <c r="SXU282" s="1069"/>
      <c r="SXV282" s="1069"/>
      <c r="SXW282" s="1069"/>
      <c r="SXX282" s="1069"/>
      <c r="SXY282" s="1069"/>
      <c r="SXZ282" s="1069"/>
      <c r="SYA282" s="1069"/>
      <c r="SYB282" s="1069"/>
      <c r="SYC282" s="1069"/>
      <c r="SYD282" s="1069"/>
      <c r="SYE282" s="1069"/>
      <c r="SYF282" s="1069"/>
      <c r="SYG282" s="1069"/>
      <c r="SYH282" s="1069"/>
      <c r="SYI282" s="1069"/>
      <c r="SYJ282" s="1069"/>
      <c r="SYK282" s="1069"/>
      <c r="SYL282" s="1069"/>
      <c r="SYM282" s="1069"/>
      <c r="SYN282" s="1069"/>
      <c r="SYO282" s="1069"/>
      <c r="SYP282" s="1069"/>
      <c r="SYQ282" s="1069"/>
      <c r="SYR282" s="1069"/>
      <c r="SYS282" s="1069"/>
      <c r="SYT282" s="1069"/>
      <c r="SYU282" s="1069"/>
      <c r="SYV282" s="1069"/>
      <c r="SYW282" s="1069"/>
      <c r="SYX282" s="1069"/>
      <c r="SYY282" s="1069"/>
      <c r="SYZ282" s="1069"/>
      <c r="SZA282" s="1069"/>
      <c r="SZB282" s="1069"/>
      <c r="SZC282" s="1069"/>
      <c r="SZD282" s="1069"/>
      <c r="SZE282" s="1069"/>
      <c r="SZF282" s="1069"/>
      <c r="SZG282" s="1069"/>
      <c r="SZH282" s="1069"/>
      <c r="SZI282" s="1069"/>
      <c r="SZJ282" s="1069"/>
      <c r="SZK282" s="1069"/>
      <c r="SZL282" s="1069"/>
      <c r="SZM282" s="1069"/>
      <c r="SZN282" s="1069"/>
      <c r="SZO282" s="1069"/>
      <c r="SZP282" s="1069"/>
      <c r="SZQ282" s="1069"/>
      <c r="SZR282" s="1069"/>
      <c r="SZS282" s="1069"/>
      <c r="SZT282" s="1069"/>
      <c r="SZU282" s="1069"/>
      <c r="SZV282" s="1069"/>
      <c r="SZW282" s="1069"/>
      <c r="SZX282" s="1069"/>
      <c r="SZY282" s="1069"/>
      <c r="SZZ282" s="1069"/>
      <c r="TAA282" s="1069"/>
      <c r="TAB282" s="1069"/>
      <c r="TAC282" s="1069"/>
      <c r="TAD282" s="1069"/>
      <c r="TAE282" s="1069"/>
      <c r="TAF282" s="1069"/>
      <c r="TAG282" s="1069"/>
      <c r="TAH282" s="1069"/>
      <c r="TAI282" s="1069"/>
      <c r="TAJ282" s="1069"/>
      <c r="TAK282" s="1069"/>
      <c r="TAL282" s="1069"/>
      <c r="TAM282" s="1069"/>
      <c r="TAN282" s="1069"/>
      <c r="TAO282" s="1069"/>
      <c r="TAP282" s="1069"/>
      <c r="TAQ282" s="1069"/>
      <c r="TAR282" s="1069"/>
      <c r="TAS282" s="1069"/>
      <c r="TAT282" s="1069"/>
      <c r="TAU282" s="1069"/>
      <c r="TAV282" s="1069"/>
      <c r="TAW282" s="1069"/>
      <c r="TAX282" s="1069"/>
      <c r="TAY282" s="1069"/>
      <c r="TAZ282" s="1069"/>
      <c r="TBA282" s="1069"/>
      <c r="TBB282" s="1069"/>
      <c r="TBC282" s="1069"/>
      <c r="TBD282" s="1069"/>
      <c r="TBE282" s="1069"/>
      <c r="TBF282" s="1069"/>
      <c r="TBG282" s="1069"/>
      <c r="TBH282" s="1069"/>
      <c r="TBI282" s="1069"/>
      <c r="TBJ282" s="1069"/>
      <c r="TBK282" s="1069"/>
      <c r="TBL282" s="1069"/>
      <c r="TBM282" s="1069"/>
      <c r="TBN282" s="1069"/>
      <c r="TBO282" s="1069"/>
      <c r="TBP282" s="1069"/>
      <c r="TBQ282" s="1069"/>
      <c r="TBR282" s="1069"/>
      <c r="TBS282" s="1069"/>
      <c r="TBT282" s="1069"/>
      <c r="TBU282" s="1069"/>
      <c r="TBV282" s="1069"/>
      <c r="TBW282" s="1069"/>
      <c r="TBX282" s="1069"/>
      <c r="TBY282" s="1069"/>
      <c r="TBZ282" s="1069"/>
      <c r="TCA282" s="1069"/>
      <c r="TCB282" s="1069"/>
      <c r="TCC282" s="1069"/>
      <c r="TCD282" s="1069"/>
      <c r="TCE282" s="1069"/>
      <c r="TCF282" s="1069"/>
      <c r="TCG282" s="1069"/>
      <c r="TCH282" s="1069"/>
      <c r="TCI282" s="1069"/>
      <c r="TCJ282" s="1069"/>
      <c r="TCK282" s="1069"/>
      <c r="TCL282" s="1069"/>
      <c r="TCM282" s="1069"/>
      <c r="TCN282" s="1069"/>
      <c r="TCO282" s="1069"/>
      <c r="TCP282" s="1069"/>
      <c r="TCQ282" s="1069"/>
      <c r="TCR282" s="1069"/>
      <c r="TCS282" s="1069"/>
      <c r="TCT282" s="1069"/>
      <c r="TCU282" s="1069"/>
      <c r="TCV282" s="1069"/>
      <c r="TCW282" s="1069"/>
      <c r="TCX282" s="1069"/>
      <c r="TCY282" s="1069"/>
      <c r="TCZ282" s="1069"/>
      <c r="TDA282" s="1069"/>
      <c r="TDB282" s="1069"/>
      <c r="TDC282" s="1069"/>
      <c r="TDD282" s="1069"/>
      <c r="TDE282" s="1069"/>
      <c r="TDF282" s="1069"/>
      <c r="TDG282" s="1069"/>
      <c r="TDH282" s="1069"/>
      <c r="TDI282" s="1069"/>
      <c r="TDJ282" s="1069"/>
      <c r="TDK282" s="1069"/>
      <c r="TDL282" s="1069"/>
      <c r="TDM282" s="1069"/>
      <c r="TDN282" s="1069"/>
      <c r="TDO282" s="1069"/>
      <c r="TDP282" s="1069"/>
      <c r="TDQ282" s="1069"/>
      <c r="TDR282" s="1069"/>
      <c r="TDS282" s="1069"/>
      <c r="TDT282" s="1069"/>
      <c r="TDU282" s="1069"/>
      <c r="TDV282" s="1069"/>
      <c r="TDW282" s="1069"/>
      <c r="TDX282" s="1069"/>
      <c r="TDY282" s="1069"/>
      <c r="TDZ282" s="1069"/>
      <c r="TEA282" s="1069"/>
      <c r="TEB282" s="1069"/>
      <c r="TEC282" s="1069"/>
      <c r="TED282" s="1069"/>
      <c r="TEE282" s="1069"/>
      <c r="TEF282" s="1069"/>
      <c r="TEG282" s="1069"/>
      <c r="TEH282" s="1069"/>
      <c r="TEI282" s="1069"/>
      <c r="TEJ282" s="1069"/>
      <c r="TEK282" s="1069"/>
      <c r="TEL282" s="1069"/>
      <c r="TEM282" s="1069"/>
      <c r="TEN282" s="1069"/>
      <c r="TEO282" s="1069"/>
      <c r="TEP282" s="1069"/>
      <c r="TEQ282" s="1069"/>
      <c r="TER282" s="1069"/>
      <c r="TES282" s="1069"/>
      <c r="TET282" s="1069"/>
      <c r="TEU282" s="1069"/>
      <c r="TEV282" s="1069"/>
      <c r="TEW282" s="1069"/>
      <c r="TEX282" s="1069"/>
      <c r="TEY282" s="1069"/>
      <c r="TEZ282" s="1069"/>
      <c r="TFA282" s="1069"/>
      <c r="TFB282" s="1069"/>
      <c r="TFC282" s="1069"/>
      <c r="TFD282" s="1069"/>
      <c r="TFE282" s="1069"/>
      <c r="TFF282" s="1069"/>
      <c r="TFG282" s="1069"/>
      <c r="TFH282" s="1069"/>
      <c r="TFI282" s="1069"/>
      <c r="TFJ282" s="1069"/>
      <c r="TFK282" s="1069"/>
      <c r="TFL282" s="1069"/>
      <c r="TFM282" s="1069"/>
      <c r="TFN282" s="1069"/>
      <c r="TFO282" s="1069"/>
      <c r="TFP282" s="1069"/>
      <c r="TFQ282" s="1069"/>
      <c r="TFR282" s="1069"/>
      <c r="TFS282" s="1069"/>
      <c r="TFT282" s="1069"/>
      <c r="TFU282" s="1069"/>
      <c r="TFV282" s="1069"/>
      <c r="TFW282" s="1069"/>
      <c r="TFX282" s="1069"/>
      <c r="TFY282" s="1069"/>
      <c r="TFZ282" s="1069"/>
      <c r="TGA282" s="1069"/>
      <c r="TGB282" s="1069"/>
      <c r="TGC282" s="1069"/>
      <c r="TGD282" s="1069"/>
      <c r="TGE282" s="1069"/>
      <c r="TGF282" s="1069"/>
      <c r="TGG282" s="1069"/>
      <c r="TGH282" s="1069"/>
      <c r="TGI282" s="1069"/>
      <c r="TGJ282" s="1069"/>
      <c r="TGK282" s="1069"/>
      <c r="TGL282" s="1069"/>
      <c r="TGM282" s="1069"/>
      <c r="TGN282" s="1069"/>
      <c r="TGO282" s="1069"/>
      <c r="TGP282" s="1069"/>
      <c r="TGQ282" s="1069"/>
      <c r="TGR282" s="1069"/>
      <c r="TGS282" s="1069"/>
      <c r="TGT282" s="1069"/>
      <c r="TGU282" s="1069"/>
      <c r="TGV282" s="1069"/>
      <c r="TGW282" s="1069"/>
      <c r="TGX282" s="1069"/>
      <c r="TGY282" s="1069"/>
      <c r="TGZ282" s="1069"/>
      <c r="THA282" s="1069"/>
      <c r="THB282" s="1069"/>
      <c r="THC282" s="1069"/>
      <c r="THD282" s="1069"/>
      <c r="THE282" s="1069"/>
      <c r="THF282" s="1069"/>
      <c r="THG282" s="1069"/>
      <c r="THH282" s="1069"/>
      <c r="THI282" s="1069"/>
      <c r="THJ282" s="1069"/>
      <c r="THK282" s="1069"/>
      <c r="THL282" s="1069"/>
      <c r="THM282" s="1069"/>
      <c r="THN282" s="1069"/>
      <c r="THO282" s="1069"/>
      <c r="THP282" s="1069"/>
      <c r="THQ282" s="1069"/>
      <c r="THR282" s="1069"/>
      <c r="THS282" s="1069"/>
      <c r="THT282" s="1069"/>
      <c r="THU282" s="1069"/>
      <c r="THV282" s="1069"/>
      <c r="THW282" s="1069"/>
      <c r="THX282" s="1069"/>
      <c r="THY282" s="1069"/>
      <c r="THZ282" s="1069"/>
      <c r="TIA282" s="1069"/>
      <c r="TIB282" s="1069"/>
      <c r="TIC282" s="1069"/>
      <c r="TID282" s="1069"/>
      <c r="TIE282" s="1069"/>
      <c r="TIF282" s="1069"/>
      <c r="TIG282" s="1069"/>
      <c r="TIH282" s="1069"/>
      <c r="TII282" s="1069"/>
      <c r="TIJ282" s="1069"/>
      <c r="TIK282" s="1069"/>
      <c r="TIL282" s="1069"/>
      <c r="TIM282" s="1069"/>
      <c r="TIN282" s="1069"/>
      <c r="TIO282" s="1069"/>
      <c r="TIP282" s="1069"/>
      <c r="TIQ282" s="1069"/>
      <c r="TIR282" s="1069"/>
      <c r="TIS282" s="1069"/>
      <c r="TIT282" s="1069"/>
      <c r="TIU282" s="1069"/>
      <c r="TIV282" s="1069"/>
      <c r="TIW282" s="1069"/>
      <c r="TIX282" s="1069"/>
      <c r="TIY282" s="1069"/>
      <c r="TIZ282" s="1069"/>
      <c r="TJA282" s="1069"/>
      <c r="TJB282" s="1069"/>
      <c r="TJC282" s="1069"/>
      <c r="TJD282" s="1069"/>
      <c r="TJE282" s="1069"/>
      <c r="TJF282" s="1069"/>
      <c r="TJG282" s="1069"/>
      <c r="TJH282" s="1069"/>
      <c r="TJI282" s="1069"/>
      <c r="TJJ282" s="1069"/>
      <c r="TJK282" s="1069"/>
      <c r="TJL282" s="1069"/>
      <c r="TJM282" s="1069"/>
      <c r="TJN282" s="1069"/>
      <c r="TJO282" s="1069"/>
      <c r="TJP282" s="1069"/>
      <c r="TJQ282" s="1069"/>
      <c r="TJR282" s="1069"/>
      <c r="TJS282" s="1069"/>
      <c r="TJT282" s="1069"/>
      <c r="TJU282" s="1069"/>
      <c r="TJV282" s="1069"/>
      <c r="TJW282" s="1069"/>
      <c r="TJX282" s="1069"/>
      <c r="TJY282" s="1069"/>
      <c r="TJZ282" s="1069"/>
      <c r="TKA282" s="1069"/>
      <c r="TKB282" s="1069"/>
      <c r="TKC282" s="1069"/>
      <c r="TKD282" s="1069"/>
      <c r="TKE282" s="1069"/>
      <c r="TKF282" s="1069"/>
      <c r="TKG282" s="1069"/>
      <c r="TKH282" s="1069"/>
      <c r="TKI282" s="1069"/>
      <c r="TKJ282" s="1069"/>
      <c r="TKK282" s="1069"/>
      <c r="TKL282" s="1069"/>
      <c r="TKM282" s="1069"/>
      <c r="TKN282" s="1069"/>
      <c r="TKO282" s="1069"/>
      <c r="TKP282" s="1069"/>
      <c r="TKQ282" s="1069"/>
      <c r="TKR282" s="1069"/>
      <c r="TKS282" s="1069"/>
      <c r="TKT282" s="1069"/>
      <c r="TKU282" s="1069"/>
      <c r="TKV282" s="1069"/>
      <c r="TKW282" s="1069"/>
      <c r="TKX282" s="1069"/>
      <c r="TKY282" s="1069"/>
      <c r="TKZ282" s="1069"/>
      <c r="TLA282" s="1069"/>
      <c r="TLB282" s="1069"/>
      <c r="TLC282" s="1069"/>
      <c r="TLD282" s="1069"/>
      <c r="TLE282" s="1069"/>
      <c r="TLF282" s="1069"/>
      <c r="TLG282" s="1069"/>
      <c r="TLH282" s="1069"/>
      <c r="TLI282" s="1069"/>
      <c r="TLJ282" s="1069"/>
      <c r="TLK282" s="1069"/>
      <c r="TLL282" s="1069"/>
      <c r="TLM282" s="1069"/>
      <c r="TLN282" s="1069"/>
      <c r="TLO282" s="1069"/>
      <c r="TLP282" s="1069"/>
      <c r="TLQ282" s="1069"/>
      <c r="TLR282" s="1069"/>
      <c r="TLS282" s="1069"/>
      <c r="TLT282" s="1069"/>
      <c r="TLU282" s="1069"/>
      <c r="TLV282" s="1069"/>
      <c r="TLW282" s="1069"/>
      <c r="TLX282" s="1069"/>
      <c r="TLY282" s="1069"/>
      <c r="TLZ282" s="1069"/>
      <c r="TMA282" s="1069"/>
      <c r="TMB282" s="1069"/>
      <c r="TMC282" s="1069"/>
      <c r="TMD282" s="1069"/>
      <c r="TME282" s="1069"/>
      <c r="TMF282" s="1069"/>
      <c r="TMG282" s="1069"/>
      <c r="TMH282" s="1069"/>
      <c r="TMI282" s="1069"/>
      <c r="TMJ282" s="1069"/>
      <c r="TMK282" s="1069"/>
      <c r="TML282" s="1069"/>
      <c r="TMM282" s="1069"/>
      <c r="TMN282" s="1069"/>
      <c r="TMO282" s="1069"/>
      <c r="TMP282" s="1069"/>
      <c r="TMQ282" s="1069"/>
      <c r="TMR282" s="1069"/>
      <c r="TMS282" s="1069"/>
      <c r="TMT282" s="1069"/>
      <c r="TMU282" s="1069"/>
      <c r="TMV282" s="1069"/>
      <c r="TMW282" s="1069"/>
      <c r="TMX282" s="1069"/>
      <c r="TMY282" s="1069"/>
      <c r="TMZ282" s="1069"/>
      <c r="TNA282" s="1069"/>
      <c r="TNB282" s="1069"/>
      <c r="TNC282" s="1069"/>
      <c r="TND282" s="1069"/>
      <c r="TNE282" s="1069"/>
      <c r="TNF282" s="1069"/>
      <c r="TNG282" s="1069"/>
      <c r="TNH282" s="1069"/>
      <c r="TNI282" s="1069"/>
      <c r="TNJ282" s="1069"/>
      <c r="TNK282" s="1069"/>
      <c r="TNL282" s="1069"/>
      <c r="TNM282" s="1069"/>
      <c r="TNN282" s="1069"/>
      <c r="TNO282" s="1069"/>
      <c r="TNP282" s="1069"/>
      <c r="TNQ282" s="1069"/>
      <c r="TNR282" s="1069"/>
      <c r="TNS282" s="1069"/>
      <c r="TNT282" s="1069"/>
      <c r="TNU282" s="1069"/>
      <c r="TNV282" s="1069"/>
      <c r="TNW282" s="1069"/>
      <c r="TNX282" s="1069"/>
      <c r="TNY282" s="1069"/>
      <c r="TNZ282" s="1069"/>
      <c r="TOA282" s="1069"/>
      <c r="TOB282" s="1069"/>
      <c r="TOC282" s="1069"/>
      <c r="TOD282" s="1069"/>
      <c r="TOE282" s="1069"/>
      <c r="TOF282" s="1069"/>
      <c r="TOG282" s="1069"/>
      <c r="TOH282" s="1069"/>
      <c r="TOI282" s="1069"/>
      <c r="TOJ282" s="1069"/>
      <c r="TOK282" s="1069"/>
      <c r="TOL282" s="1069"/>
      <c r="TOM282" s="1069"/>
      <c r="TON282" s="1069"/>
      <c r="TOO282" s="1069"/>
      <c r="TOP282" s="1069"/>
      <c r="TOQ282" s="1069"/>
      <c r="TOR282" s="1069"/>
      <c r="TOS282" s="1069"/>
      <c r="TOT282" s="1069"/>
      <c r="TOU282" s="1069"/>
      <c r="TOV282" s="1069"/>
      <c r="TOW282" s="1069"/>
      <c r="TOX282" s="1069"/>
      <c r="TOY282" s="1069"/>
      <c r="TOZ282" s="1069"/>
      <c r="TPA282" s="1069"/>
      <c r="TPB282" s="1069"/>
      <c r="TPC282" s="1069"/>
      <c r="TPD282" s="1069"/>
      <c r="TPE282" s="1069"/>
      <c r="TPF282" s="1069"/>
      <c r="TPG282" s="1069"/>
      <c r="TPH282" s="1069"/>
      <c r="TPI282" s="1069"/>
      <c r="TPJ282" s="1069"/>
      <c r="TPK282" s="1069"/>
      <c r="TPL282" s="1069"/>
      <c r="TPM282" s="1069"/>
      <c r="TPN282" s="1069"/>
      <c r="TPO282" s="1069"/>
      <c r="TPP282" s="1069"/>
      <c r="TPQ282" s="1069"/>
      <c r="TPR282" s="1069"/>
      <c r="TPS282" s="1069"/>
      <c r="TPT282" s="1069"/>
      <c r="TPU282" s="1069"/>
      <c r="TPV282" s="1069"/>
      <c r="TPW282" s="1069"/>
      <c r="TPX282" s="1069"/>
      <c r="TPY282" s="1069"/>
      <c r="TPZ282" s="1069"/>
      <c r="TQA282" s="1069"/>
      <c r="TQB282" s="1069"/>
      <c r="TQC282" s="1069"/>
      <c r="TQD282" s="1069"/>
      <c r="TQE282" s="1069"/>
      <c r="TQF282" s="1069"/>
      <c r="TQG282" s="1069"/>
      <c r="TQH282" s="1069"/>
      <c r="TQI282" s="1069"/>
      <c r="TQJ282" s="1069"/>
      <c r="TQK282" s="1069"/>
      <c r="TQL282" s="1069"/>
      <c r="TQM282" s="1069"/>
      <c r="TQN282" s="1069"/>
      <c r="TQO282" s="1069"/>
      <c r="TQP282" s="1069"/>
      <c r="TQQ282" s="1069"/>
      <c r="TQR282" s="1069"/>
      <c r="TQS282" s="1069"/>
      <c r="TQT282" s="1069"/>
      <c r="TQU282" s="1069"/>
      <c r="TQV282" s="1069"/>
      <c r="TQW282" s="1069"/>
      <c r="TQX282" s="1069"/>
      <c r="TQY282" s="1069"/>
      <c r="TQZ282" s="1069"/>
      <c r="TRA282" s="1069"/>
      <c r="TRB282" s="1069"/>
      <c r="TRC282" s="1069"/>
      <c r="TRD282" s="1069"/>
      <c r="TRE282" s="1069"/>
      <c r="TRF282" s="1069"/>
      <c r="TRG282" s="1069"/>
      <c r="TRH282" s="1069"/>
      <c r="TRI282" s="1069"/>
      <c r="TRJ282" s="1069"/>
      <c r="TRK282" s="1069"/>
      <c r="TRL282" s="1069"/>
      <c r="TRM282" s="1069"/>
      <c r="TRN282" s="1069"/>
      <c r="TRO282" s="1069"/>
      <c r="TRP282" s="1069"/>
      <c r="TRQ282" s="1069"/>
      <c r="TRR282" s="1069"/>
      <c r="TRS282" s="1069"/>
      <c r="TRT282" s="1069"/>
      <c r="TRU282" s="1069"/>
      <c r="TRV282" s="1069"/>
      <c r="TRW282" s="1069"/>
      <c r="TRX282" s="1069"/>
      <c r="TRY282" s="1069"/>
      <c r="TRZ282" s="1069"/>
      <c r="TSA282" s="1069"/>
      <c r="TSB282" s="1069"/>
      <c r="TSC282" s="1069"/>
      <c r="TSD282" s="1069"/>
      <c r="TSE282" s="1069"/>
      <c r="TSF282" s="1069"/>
      <c r="TSG282" s="1069"/>
      <c r="TSH282" s="1069"/>
      <c r="TSI282" s="1069"/>
      <c r="TSJ282" s="1069"/>
      <c r="TSK282" s="1069"/>
      <c r="TSL282" s="1069"/>
      <c r="TSM282" s="1069"/>
      <c r="TSN282" s="1069"/>
      <c r="TSO282" s="1069"/>
      <c r="TSP282" s="1069"/>
      <c r="TSQ282" s="1069"/>
      <c r="TSR282" s="1069"/>
      <c r="TSS282" s="1069"/>
      <c r="TST282" s="1069"/>
      <c r="TSU282" s="1069"/>
      <c r="TSV282" s="1069"/>
      <c r="TSW282" s="1069"/>
      <c r="TSX282" s="1069"/>
      <c r="TSY282" s="1069"/>
      <c r="TSZ282" s="1069"/>
      <c r="TTA282" s="1069"/>
      <c r="TTB282" s="1069"/>
      <c r="TTC282" s="1069"/>
      <c r="TTD282" s="1069"/>
      <c r="TTE282" s="1069"/>
      <c r="TTF282" s="1069"/>
      <c r="TTG282" s="1069"/>
      <c r="TTH282" s="1069"/>
      <c r="TTI282" s="1069"/>
      <c r="TTJ282" s="1069"/>
      <c r="TTK282" s="1069"/>
      <c r="TTL282" s="1069"/>
      <c r="TTM282" s="1069"/>
      <c r="TTN282" s="1069"/>
      <c r="TTO282" s="1069"/>
      <c r="TTP282" s="1069"/>
      <c r="TTQ282" s="1069"/>
      <c r="TTR282" s="1069"/>
      <c r="TTS282" s="1069"/>
      <c r="TTT282" s="1069"/>
      <c r="TTU282" s="1069"/>
      <c r="TTV282" s="1069"/>
      <c r="TTW282" s="1069"/>
      <c r="TTX282" s="1069"/>
      <c r="TTY282" s="1069"/>
      <c r="TTZ282" s="1069"/>
      <c r="TUA282" s="1069"/>
      <c r="TUB282" s="1069"/>
      <c r="TUC282" s="1069"/>
      <c r="TUD282" s="1069"/>
      <c r="TUE282" s="1069"/>
      <c r="TUF282" s="1069"/>
      <c r="TUG282" s="1069"/>
      <c r="TUH282" s="1069"/>
      <c r="TUI282" s="1069"/>
      <c r="TUJ282" s="1069"/>
      <c r="TUK282" s="1069"/>
      <c r="TUL282" s="1069"/>
      <c r="TUM282" s="1069"/>
      <c r="TUN282" s="1069"/>
      <c r="TUO282" s="1069"/>
      <c r="TUP282" s="1069"/>
      <c r="TUQ282" s="1069"/>
      <c r="TUR282" s="1069"/>
      <c r="TUS282" s="1069"/>
      <c r="TUT282" s="1069"/>
      <c r="TUU282" s="1069"/>
      <c r="TUV282" s="1069"/>
      <c r="TUW282" s="1069"/>
      <c r="TUX282" s="1069"/>
      <c r="TUY282" s="1069"/>
      <c r="TUZ282" s="1069"/>
      <c r="TVA282" s="1069"/>
      <c r="TVB282" s="1069"/>
      <c r="TVC282" s="1069"/>
      <c r="TVD282" s="1069"/>
      <c r="TVE282" s="1069"/>
      <c r="TVF282" s="1069"/>
      <c r="TVG282" s="1069"/>
      <c r="TVH282" s="1069"/>
      <c r="TVI282" s="1069"/>
      <c r="TVJ282" s="1069"/>
      <c r="TVK282" s="1069"/>
      <c r="TVL282" s="1069"/>
      <c r="TVM282" s="1069"/>
      <c r="TVN282" s="1069"/>
      <c r="TVO282" s="1069"/>
      <c r="TVP282" s="1069"/>
      <c r="TVQ282" s="1069"/>
      <c r="TVR282" s="1069"/>
      <c r="TVS282" s="1069"/>
      <c r="TVT282" s="1069"/>
      <c r="TVU282" s="1069"/>
      <c r="TVV282" s="1069"/>
      <c r="TVW282" s="1069"/>
      <c r="TVX282" s="1069"/>
      <c r="TVY282" s="1069"/>
      <c r="TVZ282" s="1069"/>
      <c r="TWA282" s="1069"/>
      <c r="TWB282" s="1069"/>
      <c r="TWC282" s="1069"/>
      <c r="TWD282" s="1069"/>
      <c r="TWE282" s="1069"/>
      <c r="TWF282" s="1069"/>
      <c r="TWG282" s="1069"/>
      <c r="TWH282" s="1069"/>
      <c r="TWI282" s="1069"/>
      <c r="TWJ282" s="1069"/>
      <c r="TWK282" s="1069"/>
      <c r="TWL282" s="1069"/>
      <c r="TWM282" s="1069"/>
      <c r="TWN282" s="1069"/>
      <c r="TWO282" s="1069"/>
      <c r="TWP282" s="1069"/>
      <c r="TWQ282" s="1069"/>
      <c r="TWR282" s="1069"/>
      <c r="TWS282" s="1069"/>
      <c r="TWT282" s="1069"/>
      <c r="TWU282" s="1069"/>
      <c r="TWV282" s="1069"/>
      <c r="TWW282" s="1069"/>
      <c r="TWX282" s="1069"/>
      <c r="TWY282" s="1069"/>
      <c r="TWZ282" s="1069"/>
      <c r="TXA282" s="1069"/>
      <c r="TXB282" s="1069"/>
      <c r="TXC282" s="1069"/>
      <c r="TXD282" s="1069"/>
      <c r="TXE282" s="1069"/>
      <c r="TXF282" s="1069"/>
      <c r="TXG282" s="1069"/>
      <c r="TXH282" s="1069"/>
      <c r="TXI282" s="1069"/>
      <c r="TXJ282" s="1069"/>
      <c r="TXK282" s="1069"/>
      <c r="TXL282" s="1069"/>
      <c r="TXM282" s="1069"/>
      <c r="TXN282" s="1069"/>
      <c r="TXO282" s="1069"/>
      <c r="TXP282" s="1069"/>
      <c r="TXQ282" s="1069"/>
      <c r="TXR282" s="1069"/>
      <c r="TXS282" s="1069"/>
      <c r="TXT282" s="1069"/>
      <c r="TXU282" s="1069"/>
      <c r="TXV282" s="1069"/>
      <c r="TXW282" s="1069"/>
      <c r="TXX282" s="1069"/>
      <c r="TXY282" s="1069"/>
      <c r="TXZ282" s="1069"/>
      <c r="TYA282" s="1069"/>
      <c r="TYB282" s="1069"/>
      <c r="TYC282" s="1069"/>
      <c r="TYD282" s="1069"/>
      <c r="TYE282" s="1069"/>
      <c r="TYF282" s="1069"/>
      <c r="TYG282" s="1069"/>
      <c r="TYH282" s="1069"/>
      <c r="TYI282" s="1069"/>
      <c r="TYJ282" s="1069"/>
      <c r="TYK282" s="1069"/>
      <c r="TYL282" s="1069"/>
      <c r="TYM282" s="1069"/>
      <c r="TYN282" s="1069"/>
      <c r="TYO282" s="1069"/>
      <c r="TYP282" s="1069"/>
      <c r="TYQ282" s="1069"/>
      <c r="TYR282" s="1069"/>
      <c r="TYS282" s="1069"/>
      <c r="TYT282" s="1069"/>
      <c r="TYU282" s="1069"/>
      <c r="TYV282" s="1069"/>
      <c r="TYW282" s="1069"/>
      <c r="TYX282" s="1069"/>
      <c r="TYY282" s="1069"/>
      <c r="TYZ282" s="1069"/>
      <c r="TZA282" s="1069"/>
      <c r="TZB282" s="1069"/>
      <c r="TZC282" s="1069"/>
      <c r="TZD282" s="1069"/>
      <c r="TZE282" s="1069"/>
      <c r="TZF282" s="1069"/>
      <c r="TZG282" s="1069"/>
      <c r="TZH282" s="1069"/>
      <c r="TZI282" s="1069"/>
      <c r="TZJ282" s="1069"/>
      <c r="TZK282" s="1069"/>
      <c r="TZL282" s="1069"/>
      <c r="TZM282" s="1069"/>
      <c r="TZN282" s="1069"/>
      <c r="TZO282" s="1069"/>
      <c r="TZP282" s="1069"/>
      <c r="TZQ282" s="1069"/>
      <c r="TZR282" s="1069"/>
      <c r="TZS282" s="1069"/>
      <c r="TZT282" s="1069"/>
      <c r="TZU282" s="1069"/>
      <c r="TZV282" s="1069"/>
      <c r="TZW282" s="1069"/>
      <c r="TZX282" s="1069"/>
      <c r="TZY282" s="1069"/>
      <c r="TZZ282" s="1069"/>
      <c r="UAA282" s="1069"/>
      <c r="UAB282" s="1069"/>
      <c r="UAC282" s="1069"/>
      <c r="UAD282" s="1069"/>
      <c r="UAE282" s="1069"/>
      <c r="UAF282" s="1069"/>
      <c r="UAG282" s="1069"/>
      <c r="UAH282" s="1069"/>
      <c r="UAI282" s="1069"/>
      <c r="UAJ282" s="1069"/>
      <c r="UAK282" s="1069"/>
      <c r="UAL282" s="1069"/>
      <c r="UAM282" s="1069"/>
      <c r="UAN282" s="1069"/>
      <c r="UAO282" s="1069"/>
      <c r="UAP282" s="1069"/>
      <c r="UAQ282" s="1069"/>
      <c r="UAR282" s="1069"/>
      <c r="UAS282" s="1069"/>
      <c r="UAT282" s="1069"/>
      <c r="UAU282" s="1069"/>
      <c r="UAV282" s="1069"/>
      <c r="UAW282" s="1069"/>
      <c r="UAX282" s="1069"/>
      <c r="UAY282" s="1069"/>
      <c r="UAZ282" s="1069"/>
      <c r="UBA282" s="1069"/>
      <c r="UBB282" s="1069"/>
      <c r="UBC282" s="1069"/>
      <c r="UBD282" s="1069"/>
      <c r="UBE282" s="1069"/>
      <c r="UBF282" s="1069"/>
      <c r="UBG282" s="1069"/>
      <c r="UBH282" s="1069"/>
      <c r="UBI282" s="1069"/>
      <c r="UBJ282" s="1069"/>
      <c r="UBK282" s="1069"/>
      <c r="UBL282" s="1069"/>
      <c r="UBM282" s="1069"/>
      <c r="UBN282" s="1069"/>
      <c r="UBO282" s="1069"/>
      <c r="UBP282" s="1069"/>
      <c r="UBQ282" s="1069"/>
      <c r="UBR282" s="1069"/>
      <c r="UBS282" s="1069"/>
      <c r="UBT282" s="1069"/>
      <c r="UBU282" s="1069"/>
      <c r="UBV282" s="1069"/>
      <c r="UBW282" s="1069"/>
      <c r="UBX282" s="1069"/>
      <c r="UBY282" s="1069"/>
      <c r="UBZ282" s="1069"/>
      <c r="UCA282" s="1069"/>
      <c r="UCB282" s="1069"/>
      <c r="UCC282" s="1069"/>
      <c r="UCD282" s="1069"/>
      <c r="UCE282" s="1069"/>
      <c r="UCF282" s="1069"/>
      <c r="UCG282" s="1069"/>
      <c r="UCH282" s="1069"/>
      <c r="UCI282" s="1069"/>
      <c r="UCJ282" s="1069"/>
      <c r="UCK282" s="1069"/>
      <c r="UCL282" s="1069"/>
      <c r="UCM282" s="1069"/>
      <c r="UCN282" s="1069"/>
      <c r="UCO282" s="1069"/>
      <c r="UCP282" s="1069"/>
      <c r="UCQ282" s="1069"/>
      <c r="UCR282" s="1069"/>
      <c r="UCS282" s="1069"/>
      <c r="UCT282" s="1069"/>
      <c r="UCU282" s="1069"/>
      <c r="UCV282" s="1069"/>
      <c r="UCW282" s="1069"/>
      <c r="UCX282" s="1069"/>
      <c r="UCY282" s="1069"/>
      <c r="UCZ282" s="1069"/>
      <c r="UDA282" s="1069"/>
      <c r="UDB282" s="1069"/>
      <c r="UDC282" s="1069"/>
      <c r="UDD282" s="1069"/>
      <c r="UDE282" s="1069"/>
      <c r="UDF282" s="1069"/>
      <c r="UDG282" s="1069"/>
      <c r="UDH282" s="1069"/>
      <c r="UDI282" s="1069"/>
      <c r="UDJ282" s="1069"/>
      <c r="UDK282" s="1069"/>
      <c r="UDL282" s="1069"/>
      <c r="UDM282" s="1069"/>
      <c r="UDN282" s="1069"/>
      <c r="UDO282" s="1069"/>
      <c r="UDP282" s="1069"/>
      <c r="UDQ282" s="1069"/>
      <c r="UDR282" s="1069"/>
      <c r="UDS282" s="1069"/>
      <c r="UDT282" s="1069"/>
      <c r="UDU282" s="1069"/>
      <c r="UDV282" s="1069"/>
      <c r="UDW282" s="1069"/>
      <c r="UDX282" s="1069"/>
      <c r="UDY282" s="1069"/>
      <c r="UDZ282" s="1069"/>
      <c r="UEA282" s="1069"/>
      <c r="UEB282" s="1069"/>
      <c r="UEC282" s="1069"/>
      <c r="UED282" s="1069"/>
      <c r="UEE282" s="1069"/>
      <c r="UEF282" s="1069"/>
      <c r="UEG282" s="1069"/>
      <c r="UEH282" s="1069"/>
      <c r="UEI282" s="1069"/>
      <c r="UEJ282" s="1069"/>
      <c r="UEK282" s="1069"/>
      <c r="UEL282" s="1069"/>
      <c r="UEM282" s="1069"/>
      <c r="UEN282" s="1069"/>
      <c r="UEO282" s="1069"/>
      <c r="UEP282" s="1069"/>
      <c r="UEQ282" s="1069"/>
      <c r="UER282" s="1069"/>
      <c r="UES282" s="1069"/>
      <c r="UET282" s="1069"/>
      <c r="UEU282" s="1069"/>
      <c r="UEV282" s="1069"/>
      <c r="UEW282" s="1069"/>
      <c r="UEX282" s="1069"/>
      <c r="UEY282" s="1069"/>
      <c r="UEZ282" s="1069"/>
      <c r="UFA282" s="1069"/>
      <c r="UFB282" s="1069"/>
      <c r="UFC282" s="1069"/>
      <c r="UFD282" s="1069"/>
      <c r="UFE282" s="1069"/>
      <c r="UFF282" s="1069"/>
      <c r="UFG282" s="1069"/>
      <c r="UFH282" s="1069"/>
      <c r="UFI282" s="1069"/>
      <c r="UFJ282" s="1069"/>
      <c r="UFK282" s="1069"/>
      <c r="UFL282" s="1069"/>
      <c r="UFM282" s="1069"/>
      <c r="UFN282" s="1069"/>
      <c r="UFO282" s="1069"/>
      <c r="UFP282" s="1069"/>
      <c r="UFQ282" s="1069"/>
      <c r="UFR282" s="1069"/>
      <c r="UFS282" s="1069"/>
      <c r="UFT282" s="1069"/>
      <c r="UFU282" s="1069"/>
      <c r="UFV282" s="1069"/>
      <c r="UFW282" s="1069"/>
      <c r="UFX282" s="1069"/>
      <c r="UFY282" s="1069"/>
      <c r="UFZ282" s="1069"/>
      <c r="UGA282" s="1069"/>
      <c r="UGB282" s="1069"/>
      <c r="UGC282" s="1069"/>
      <c r="UGD282" s="1069"/>
      <c r="UGE282" s="1069"/>
      <c r="UGF282" s="1069"/>
      <c r="UGG282" s="1069"/>
      <c r="UGH282" s="1069"/>
      <c r="UGI282" s="1069"/>
      <c r="UGJ282" s="1069"/>
      <c r="UGK282" s="1069"/>
      <c r="UGL282" s="1069"/>
      <c r="UGM282" s="1069"/>
      <c r="UGN282" s="1069"/>
      <c r="UGO282" s="1069"/>
      <c r="UGP282" s="1069"/>
      <c r="UGQ282" s="1069"/>
      <c r="UGR282" s="1069"/>
      <c r="UGS282" s="1069"/>
      <c r="UGT282" s="1069"/>
      <c r="UGU282" s="1069"/>
      <c r="UGV282" s="1069"/>
      <c r="UGW282" s="1069"/>
      <c r="UGX282" s="1069"/>
      <c r="UGY282" s="1069"/>
      <c r="UGZ282" s="1069"/>
      <c r="UHA282" s="1069"/>
      <c r="UHB282" s="1069"/>
      <c r="UHC282" s="1069"/>
      <c r="UHD282" s="1069"/>
      <c r="UHE282" s="1069"/>
      <c r="UHF282" s="1069"/>
      <c r="UHG282" s="1069"/>
      <c r="UHH282" s="1069"/>
      <c r="UHI282" s="1069"/>
      <c r="UHJ282" s="1069"/>
      <c r="UHK282" s="1069"/>
      <c r="UHL282" s="1069"/>
      <c r="UHM282" s="1069"/>
      <c r="UHN282" s="1069"/>
      <c r="UHO282" s="1069"/>
      <c r="UHP282" s="1069"/>
      <c r="UHQ282" s="1069"/>
      <c r="UHR282" s="1069"/>
      <c r="UHS282" s="1069"/>
      <c r="UHT282" s="1069"/>
      <c r="UHU282" s="1069"/>
      <c r="UHV282" s="1069"/>
      <c r="UHW282" s="1069"/>
      <c r="UHX282" s="1069"/>
      <c r="UHY282" s="1069"/>
      <c r="UHZ282" s="1069"/>
      <c r="UIA282" s="1069"/>
      <c r="UIB282" s="1069"/>
      <c r="UIC282" s="1069"/>
      <c r="UID282" s="1069"/>
      <c r="UIE282" s="1069"/>
      <c r="UIF282" s="1069"/>
      <c r="UIG282" s="1069"/>
      <c r="UIH282" s="1069"/>
      <c r="UII282" s="1069"/>
      <c r="UIJ282" s="1069"/>
      <c r="UIK282" s="1069"/>
      <c r="UIL282" s="1069"/>
      <c r="UIM282" s="1069"/>
      <c r="UIN282" s="1069"/>
      <c r="UIO282" s="1069"/>
      <c r="UIP282" s="1069"/>
      <c r="UIQ282" s="1069"/>
      <c r="UIR282" s="1069"/>
      <c r="UIS282" s="1069"/>
      <c r="UIT282" s="1069"/>
      <c r="UIU282" s="1069"/>
      <c r="UIV282" s="1069"/>
      <c r="UIW282" s="1069"/>
      <c r="UIX282" s="1069"/>
      <c r="UIY282" s="1069"/>
      <c r="UIZ282" s="1069"/>
      <c r="UJA282" s="1069"/>
      <c r="UJB282" s="1069"/>
      <c r="UJC282" s="1069"/>
      <c r="UJD282" s="1069"/>
      <c r="UJE282" s="1069"/>
      <c r="UJF282" s="1069"/>
      <c r="UJG282" s="1069"/>
      <c r="UJH282" s="1069"/>
      <c r="UJI282" s="1069"/>
      <c r="UJJ282" s="1069"/>
      <c r="UJK282" s="1069"/>
      <c r="UJL282" s="1069"/>
      <c r="UJM282" s="1069"/>
      <c r="UJN282" s="1069"/>
      <c r="UJO282" s="1069"/>
      <c r="UJP282" s="1069"/>
      <c r="UJQ282" s="1069"/>
      <c r="UJR282" s="1069"/>
      <c r="UJS282" s="1069"/>
      <c r="UJT282" s="1069"/>
      <c r="UJU282" s="1069"/>
      <c r="UJV282" s="1069"/>
      <c r="UJW282" s="1069"/>
      <c r="UJX282" s="1069"/>
      <c r="UJY282" s="1069"/>
      <c r="UJZ282" s="1069"/>
      <c r="UKA282" s="1069"/>
      <c r="UKB282" s="1069"/>
      <c r="UKC282" s="1069"/>
      <c r="UKD282" s="1069"/>
      <c r="UKE282" s="1069"/>
      <c r="UKF282" s="1069"/>
      <c r="UKG282" s="1069"/>
      <c r="UKH282" s="1069"/>
      <c r="UKI282" s="1069"/>
      <c r="UKJ282" s="1069"/>
      <c r="UKK282" s="1069"/>
      <c r="UKL282" s="1069"/>
      <c r="UKM282" s="1069"/>
      <c r="UKN282" s="1069"/>
      <c r="UKO282" s="1069"/>
      <c r="UKP282" s="1069"/>
      <c r="UKQ282" s="1069"/>
      <c r="UKR282" s="1069"/>
      <c r="UKS282" s="1069"/>
      <c r="UKT282" s="1069"/>
      <c r="UKU282" s="1069"/>
      <c r="UKV282" s="1069"/>
      <c r="UKW282" s="1069"/>
      <c r="UKX282" s="1069"/>
      <c r="UKY282" s="1069"/>
      <c r="UKZ282" s="1069"/>
      <c r="ULA282" s="1069"/>
      <c r="ULB282" s="1069"/>
      <c r="ULC282" s="1069"/>
      <c r="ULD282" s="1069"/>
      <c r="ULE282" s="1069"/>
      <c r="ULF282" s="1069"/>
      <c r="ULG282" s="1069"/>
      <c r="ULH282" s="1069"/>
      <c r="ULI282" s="1069"/>
      <c r="ULJ282" s="1069"/>
      <c r="ULK282" s="1069"/>
      <c r="ULL282" s="1069"/>
      <c r="ULM282" s="1069"/>
      <c r="ULN282" s="1069"/>
      <c r="ULO282" s="1069"/>
      <c r="ULP282" s="1069"/>
      <c r="ULQ282" s="1069"/>
      <c r="ULR282" s="1069"/>
      <c r="ULS282" s="1069"/>
      <c r="ULT282" s="1069"/>
      <c r="ULU282" s="1069"/>
      <c r="ULV282" s="1069"/>
      <c r="ULW282" s="1069"/>
      <c r="ULX282" s="1069"/>
      <c r="ULY282" s="1069"/>
      <c r="ULZ282" s="1069"/>
      <c r="UMA282" s="1069"/>
      <c r="UMB282" s="1069"/>
      <c r="UMC282" s="1069"/>
      <c r="UMD282" s="1069"/>
      <c r="UME282" s="1069"/>
      <c r="UMF282" s="1069"/>
      <c r="UMG282" s="1069"/>
      <c r="UMH282" s="1069"/>
      <c r="UMI282" s="1069"/>
      <c r="UMJ282" s="1069"/>
      <c r="UMK282" s="1069"/>
      <c r="UML282" s="1069"/>
      <c r="UMM282" s="1069"/>
      <c r="UMN282" s="1069"/>
      <c r="UMO282" s="1069"/>
      <c r="UMP282" s="1069"/>
      <c r="UMQ282" s="1069"/>
      <c r="UMR282" s="1069"/>
      <c r="UMS282" s="1069"/>
      <c r="UMT282" s="1069"/>
      <c r="UMU282" s="1069"/>
      <c r="UMV282" s="1069"/>
      <c r="UMW282" s="1069"/>
      <c r="UMX282" s="1069"/>
      <c r="UMY282" s="1069"/>
      <c r="UMZ282" s="1069"/>
      <c r="UNA282" s="1069"/>
      <c r="UNB282" s="1069"/>
      <c r="UNC282" s="1069"/>
      <c r="UND282" s="1069"/>
      <c r="UNE282" s="1069"/>
      <c r="UNF282" s="1069"/>
      <c r="UNG282" s="1069"/>
      <c r="UNH282" s="1069"/>
      <c r="UNI282" s="1069"/>
      <c r="UNJ282" s="1069"/>
      <c r="UNK282" s="1069"/>
      <c r="UNL282" s="1069"/>
      <c r="UNM282" s="1069"/>
      <c r="UNN282" s="1069"/>
      <c r="UNO282" s="1069"/>
      <c r="UNP282" s="1069"/>
      <c r="UNQ282" s="1069"/>
      <c r="UNR282" s="1069"/>
      <c r="UNS282" s="1069"/>
      <c r="UNT282" s="1069"/>
      <c r="UNU282" s="1069"/>
      <c r="UNV282" s="1069"/>
      <c r="UNW282" s="1069"/>
      <c r="UNX282" s="1069"/>
      <c r="UNY282" s="1069"/>
      <c r="UNZ282" s="1069"/>
      <c r="UOA282" s="1069"/>
      <c r="UOB282" s="1069"/>
      <c r="UOC282" s="1069"/>
      <c r="UOD282" s="1069"/>
      <c r="UOE282" s="1069"/>
      <c r="UOF282" s="1069"/>
      <c r="UOG282" s="1069"/>
      <c r="UOH282" s="1069"/>
      <c r="UOI282" s="1069"/>
      <c r="UOJ282" s="1069"/>
      <c r="UOK282" s="1069"/>
      <c r="UOL282" s="1069"/>
      <c r="UOM282" s="1069"/>
      <c r="UON282" s="1069"/>
      <c r="UOO282" s="1069"/>
      <c r="UOP282" s="1069"/>
      <c r="UOQ282" s="1069"/>
      <c r="UOR282" s="1069"/>
      <c r="UOS282" s="1069"/>
      <c r="UOT282" s="1069"/>
      <c r="UOU282" s="1069"/>
      <c r="UOV282" s="1069"/>
      <c r="UOW282" s="1069"/>
      <c r="UOX282" s="1069"/>
      <c r="UOY282" s="1069"/>
      <c r="UOZ282" s="1069"/>
      <c r="UPA282" s="1069"/>
      <c r="UPB282" s="1069"/>
      <c r="UPC282" s="1069"/>
      <c r="UPD282" s="1069"/>
      <c r="UPE282" s="1069"/>
      <c r="UPF282" s="1069"/>
      <c r="UPG282" s="1069"/>
      <c r="UPH282" s="1069"/>
      <c r="UPI282" s="1069"/>
      <c r="UPJ282" s="1069"/>
      <c r="UPK282" s="1069"/>
      <c r="UPL282" s="1069"/>
      <c r="UPM282" s="1069"/>
      <c r="UPN282" s="1069"/>
      <c r="UPO282" s="1069"/>
      <c r="UPP282" s="1069"/>
      <c r="UPQ282" s="1069"/>
      <c r="UPR282" s="1069"/>
      <c r="UPS282" s="1069"/>
      <c r="UPT282" s="1069"/>
      <c r="UPU282" s="1069"/>
      <c r="UPV282" s="1069"/>
      <c r="UPW282" s="1069"/>
      <c r="UPX282" s="1069"/>
      <c r="UPY282" s="1069"/>
      <c r="UPZ282" s="1069"/>
      <c r="UQA282" s="1069"/>
      <c r="UQB282" s="1069"/>
      <c r="UQC282" s="1069"/>
      <c r="UQD282" s="1069"/>
      <c r="UQE282" s="1069"/>
      <c r="UQF282" s="1069"/>
      <c r="UQG282" s="1069"/>
      <c r="UQH282" s="1069"/>
      <c r="UQI282" s="1069"/>
      <c r="UQJ282" s="1069"/>
      <c r="UQK282" s="1069"/>
      <c r="UQL282" s="1069"/>
      <c r="UQM282" s="1069"/>
      <c r="UQN282" s="1069"/>
      <c r="UQO282" s="1069"/>
      <c r="UQP282" s="1069"/>
      <c r="UQQ282" s="1069"/>
      <c r="UQR282" s="1069"/>
      <c r="UQS282" s="1069"/>
      <c r="UQT282" s="1069"/>
      <c r="UQU282" s="1069"/>
      <c r="UQV282" s="1069"/>
      <c r="UQW282" s="1069"/>
      <c r="UQX282" s="1069"/>
      <c r="UQY282" s="1069"/>
      <c r="UQZ282" s="1069"/>
      <c r="URA282" s="1069"/>
      <c r="URB282" s="1069"/>
      <c r="URC282" s="1069"/>
      <c r="URD282" s="1069"/>
      <c r="URE282" s="1069"/>
      <c r="URF282" s="1069"/>
      <c r="URG282" s="1069"/>
      <c r="URH282" s="1069"/>
      <c r="URI282" s="1069"/>
      <c r="URJ282" s="1069"/>
      <c r="URK282" s="1069"/>
      <c r="URL282" s="1069"/>
      <c r="URM282" s="1069"/>
      <c r="URN282" s="1069"/>
      <c r="URO282" s="1069"/>
      <c r="URP282" s="1069"/>
      <c r="URQ282" s="1069"/>
      <c r="URR282" s="1069"/>
      <c r="URS282" s="1069"/>
      <c r="URT282" s="1069"/>
      <c r="URU282" s="1069"/>
      <c r="URV282" s="1069"/>
      <c r="URW282" s="1069"/>
      <c r="URX282" s="1069"/>
      <c r="URY282" s="1069"/>
      <c r="URZ282" s="1069"/>
      <c r="USA282" s="1069"/>
      <c r="USB282" s="1069"/>
      <c r="USC282" s="1069"/>
      <c r="USD282" s="1069"/>
      <c r="USE282" s="1069"/>
      <c r="USF282" s="1069"/>
      <c r="USG282" s="1069"/>
      <c r="USH282" s="1069"/>
      <c r="USI282" s="1069"/>
      <c r="USJ282" s="1069"/>
      <c r="USK282" s="1069"/>
      <c r="USL282" s="1069"/>
      <c r="USM282" s="1069"/>
      <c r="USN282" s="1069"/>
      <c r="USO282" s="1069"/>
      <c r="USP282" s="1069"/>
      <c r="USQ282" s="1069"/>
      <c r="USR282" s="1069"/>
      <c r="USS282" s="1069"/>
      <c r="UST282" s="1069"/>
      <c r="USU282" s="1069"/>
      <c r="USV282" s="1069"/>
      <c r="USW282" s="1069"/>
      <c r="USX282" s="1069"/>
      <c r="USY282" s="1069"/>
      <c r="USZ282" s="1069"/>
      <c r="UTA282" s="1069"/>
      <c r="UTB282" s="1069"/>
      <c r="UTC282" s="1069"/>
      <c r="UTD282" s="1069"/>
      <c r="UTE282" s="1069"/>
      <c r="UTF282" s="1069"/>
      <c r="UTG282" s="1069"/>
      <c r="UTH282" s="1069"/>
      <c r="UTI282" s="1069"/>
      <c r="UTJ282" s="1069"/>
      <c r="UTK282" s="1069"/>
      <c r="UTL282" s="1069"/>
      <c r="UTM282" s="1069"/>
      <c r="UTN282" s="1069"/>
      <c r="UTO282" s="1069"/>
      <c r="UTP282" s="1069"/>
      <c r="UTQ282" s="1069"/>
      <c r="UTR282" s="1069"/>
      <c r="UTS282" s="1069"/>
      <c r="UTT282" s="1069"/>
      <c r="UTU282" s="1069"/>
      <c r="UTV282" s="1069"/>
      <c r="UTW282" s="1069"/>
      <c r="UTX282" s="1069"/>
      <c r="UTY282" s="1069"/>
      <c r="UTZ282" s="1069"/>
      <c r="UUA282" s="1069"/>
      <c r="UUB282" s="1069"/>
      <c r="UUC282" s="1069"/>
      <c r="UUD282" s="1069"/>
      <c r="UUE282" s="1069"/>
      <c r="UUF282" s="1069"/>
      <c r="UUG282" s="1069"/>
      <c r="UUH282" s="1069"/>
      <c r="UUI282" s="1069"/>
      <c r="UUJ282" s="1069"/>
      <c r="UUK282" s="1069"/>
      <c r="UUL282" s="1069"/>
      <c r="UUM282" s="1069"/>
      <c r="UUN282" s="1069"/>
      <c r="UUO282" s="1069"/>
      <c r="UUP282" s="1069"/>
      <c r="UUQ282" s="1069"/>
      <c r="UUR282" s="1069"/>
      <c r="UUS282" s="1069"/>
      <c r="UUT282" s="1069"/>
      <c r="UUU282" s="1069"/>
      <c r="UUV282" s="1069"/>
      <c r="UUW282" s="1069"/>
      <c r="UUX282" s="1069"/>
      <c r="UUY282" s="1069"/>
      <c r="UUZ282" s="1069"/>
      <c r="UVA282" s="1069"/>
      <c r="UVB282" s="1069"/>
      <c r="UVC282" s="1069"/>
      <c r="UVD282" s="1069"/>
      <c r="UVE282" s="1069"/>
      <c r="UVF282" s="1069"/>
      <c r="UVG282" s="1069"/>
      <c r="UVH282" s="1069"/>
      <c r="UVI282" s="1069"/>
      <c r="UVJ282" s="1069"/>
      <c r="UVK282" s="1069"/>
      <c r="UVL282" s="1069"/>
      <c r="UVM282" s="1069"/>
      <c r="UVN282" s="1069"/>
      <c r="UVO282" s="1069"/>
      <c r="UVP282" s="1069"/>
      <c r="UVQ282" s="1069"/>
      <c r="UVR282" s="1069"/>
      <c r="UVS282" s="1069"/>
      <c r="UVT282" s="1069"/>
      <c r="UVU282" s="1069"/>
      <c r="UVV282" s="1069"/>
      <c r="UVW282" s="1069"/>
      <c r="UVX282" s="1069"/>
      <c r="UVY282" s="1069"/>
      <c r="UVZ282" s="1069"/>
      <c r="UWA282" s="1069"/>
      <c r="UWB282" s="1069"/>
      <c r="UWC282" s="1069"/>
      <c r="UWD282" s="1069"/>
      <c r="UWE282" s="1069"/>
      <c r="UWF282" s="1069"/>
      <c r="UWG282" s="1069"/>
      <c r="UWH282" s="1069"/>
      <c r="UWI282" s="1069"/>
      <c r="UWJ282" s="1069"/>
      <c r="UWK282" s="1069"/>
      <c r="UWL282" s="1069"/>
      <c r="UWM282" s="1069"/>
      <c r="UWN282" s="1069"/>
      <c r="UWO282" s="1069"/>
      <c r="UWP282" s="1069"/>
      <c r="UWQ282" s="1069"/>
      <c r="UWR282" s="1069"/>
      <c r="UWS282" s="1069"/>
      <c r="UWT282" s="1069"/>
      <c r="UWU282" s="1069"/>
      <c r="UWV282" s="1069"/>
      <c r="UWW282" s="1069"/>
      <c r="UWX282" s="1069"/>
      <c r="UWY282" s="1069"/>
      <c r="UWZ282" s="1069"/>
      <c r="UXA282" s="1069"/>
      <c r="UXB282" s="1069"/>
      <c r="UXC282" s="1069"/>
      <c r="UXD282" s="1069"/>
      <c r="UXE282" s="1069"/>
      <c r="UXF282" s="1069"/>
      <c r="UXG282" s="1069"/>
      <c r="UXH282" s="1069"/>
      <c r="UXI282" s="1069"/>
      <c r="UXJ282" s="1069"/>
      <c r="UXK282" s="1069"/>
      <c r="UXL282" s="1069"/>
      <c r="UXM282" s="1069"/>
      <c r="UXN282" s="1069"/>
      <c r="UXO282" s="1069"/>
      <c r="UXP282" s="1069"/>
      <c r="UXQ282" s="1069"/>
      <c r="UXR282" s="1069"/>
      <c r="UXS282" s="1069"/>
      <c r="UXT282" s="1069"/>
      <c r="UXU282" s="1069"/>
      <c r="UXV282" s="1069"/>
      <c r="UXW282" s="1069"/>
      <c r="UXX282" s="1069"/>
      <c r="UXY282" s="1069"/>
      <c r="UXZ282" s="1069"/>
      <c r="UYA282" s="1069"/>
      <c r="UYB282" s="1069"/>
      <c r="UYC282" s="1069"/>
      <c r="UYD282" s="1069"/>
      <c r="UYE282" s="1069"/>
      <c r="UYF282" s="1069"/>
      <c r="UYG282" s="1069"/>
      <c r="UYH282" s="1069"/>
      <c r="UYI282" s="1069"/>
      <c r="UYJ282" s="1069"/>
      <c r="UYK282" s="1069"/>
      <c r="UYL282" s="1069"/>
      <c r="UYM282" s="1069"/>
      <c r="UYN282" s="1069"/>
      <c r="UYO282" s="1069"/>
      <c r="UYP282" s="1069"/>
      <c r="UYQ282" s="1069"/>
      <c r="UYR282" s="1069"/>
      <c r="UYS282" s="1069"/>
      <c r="UYT282" s="1069"/>
      <c r="UYU282" s="1069"/>
      <c r="UYV282" s="1069"/>
      <c r="UYW282" s="1069"/>
      <c r="UYX282" s="1069"/>
      <c r="UYY282" s="1069"/>
      <c r="UYZ282" s="1069"/>
      <c r="UZA282" s="1069"/>
      <c r="UZB282" s="1069"/>
      <c r="UZC282" s="1069"/>
      <c r="UZD282" s="1069"/>
      <c r="UZE282" s="1069"/>
      <c r="UZF282" s="1069"/>
      <c r="UZG282" s="1069"/>
      <c r="UZH282" s="1069"/>
      <c r="UZI282" s="1069"/>
      <c r="UZJ282" s="1069"/>
      <c r="UZK282" s="1069"/>
      <c r="UZL282" s="1069"/>
      <c r="UZM282" s="1069"/>
      <c r="UZN282" s="1069"/>
      <c r="UZO282" s="1069"/>
      <c r="UZP282" s="1069"/>
      <c r="UZQ282" s="1069"/>
      <c r="UZR282" s="1069"/>
      <c r="UZS282" s="1069"/>
      <c r="UZT282" s="1069"/>
      <c r="UZU282" s="1069"/>
      <c r="UZV282" s="1069"/>
      <c r="UZW282" s="1069"/>
      <c r="UZX282" s="1069"/>
      <c r="UZY282" s="1069"/>
      <c r="UZZ282" s="1069"/>
      <c r="VAA282" s="1069"/>
      <c r="VAB282" s="1069"/>
      <c r="VAC282" s="1069"/>
      <c r="VAD282" s="1069"/>
      <c r="VAE282" s="1069"/>
      <c r="VAF282" s="1069"/>
      <c r="VAG282" s="1069"/>
      <c r="VAH282" s="1069"/>
      <c r="VAI282" s="1069"/>
      <c r="VAJ282" s="1069"/>
      <c r="VAK282" s="1069"/>
      <c r="VAL282" s="1069"/>
      <c r="VAM282" s="1069"/>
      <c r="VAN282" s="1069"/>
      <c r="VAO282" s="1069"/>
      <c r="VAP282" s="1069"/>
      <c r="VAQ282" s="1069"/>
      <c r="VAR282" s="1069"/>
      <c r="VAS282" s="1069"/>
      <c r="VAT282" s="1069"/>
      <c r="VAU282" s="1069"/>
      <c r="VAV282" s="1069"/>
      <c r="VAW282" s="1069"/>
      <c r="VAX282" s="1069"/>
      <c r="VAY282" s="1069"/>
      <c r="VAZ282" s="1069"/>
      <c r="VBA282" s="1069"/>
      <c r="VBB282" s="1069"/>
      <c r="VBC282" s="1069"/>
      <c r="VBD282" s="1069"/>
      <c r="VBE282" s="1069"/>
      <c r="VBF282" s="1069"/>
      <c r="VBG282" s="1069"/>
      <c r="VBH282" s="1069"/>
      <c r="VBI282" s="1069"/>
      <c r="VBJ282" s="1069"/>
      <c r="VBK282" s="1069"/>
      <c r="VBL282" s="1069"/>
      <c r="VBM282" s="1069"/>
      <c r="VBN282" s="1069"/>
      <c r="VBO282" s="1069"/>
      <c r="VBP282" s="1069"/>
      <c r="VBQ282" s="1069"/>
      <c r="VBR282" s="1069"/>
      <c r="VBS282" s="1069"/>
      <c r="VBT282" s="1069"/>
      <c r="VBU282" s="1069"/>
      <c r="VBV282" s="1069"/>
      <c r="VBW282" s="1069"/>
      <c r="VBX282" s="1069"/>
      <c r="VBY282" s="1069"/>
      <c r="VBZ282" s="1069"/>
      <c r="VCA282" s="1069"/>
      <c r="VCB282" s="1069"/>
      <c r="VCC282" s="1069"/>
      <c r="VCD282" s="1069"/>
      <c r="VCE282" s="1069"/>
      <c r="VCF282" s="1069"/>
      <c r="VCG282" s="1069"/>
      <c r="VCH282" s="1069"/>
      <c r="VCI282" s="1069"/>
      <c r="VCJ282" s="1069"/>
      <c r="VCK282" s="1069"/>
      <c r="VCL282" s="1069"/>
      <c r="VCM282" s="1069"/>
      <c r="VCN282" s="1069"/>
      <c r="VCO282" s="1069"/>
      <c r="VCP282" s="1069"/>
      <c r="VCQ282" s="1069"/>
      <c r="VCR282" s="1069"/>
      <c r="VCS282" s="1069"/>
      <c r="VCT282" s="1069"/>
      <c r="VCU282" s="1069"/>
      <c r="VCV282" s="1069"/>
      <c r="VCW282" s="1069"/>
      <c r="VCX282" s="1069"/>
      <c r="VCY282" s="1069"/>
      <c r="VCZ282" s="1069"/>
      <c r="VDA282" s="1069"/>
      <c r="VDB282" s="1069"/>
      <c r="VDC282" s="1069"/>
      <c r="VDD282" s="1069"/>
      <c r="VDE282" s="1069"/>
      <c r="VDF282" s="1069"/>
      <c r="VDG282" s="1069"/>
      <c r="VDH282" s="1069"/>
      <c r="VDI282" s="1069"/>
      <c r="VDJ282" s="1069"/>
      <c r="VDK282" s="1069"/>
      <c r="VDL282" s="1069"/>
      <c r="VDM282" s="1069"/>
      <c r="VDN282" s="1069"/>
      <c r="VDO282" s="1069"/>
      <c r="VDP282" s="1069"/>
      <c r="VDQ282" s="1069"/>
      <c r="VDR282" s="1069"/>
      <c r="VDS282" s="1069"/>
      <c r="VDT282" s="1069"/>
      <c r="VDU282" s="1069"/>
      <c r="VDV282" s="1069"/>
      <c r="VDW282" s="1069"/>
      <c r="VDX282" s="1069"/>
      <c r="VDY282" s="1069"/>
      <c r="VDZ282" s="1069"/>
      <c r="VEA282" s="1069"/>
      <c r="VEB282" s="1069"/>
      <c r="VEC282" s="1069"/>
      <c r="VED282" s="1069"/>
      <c r="VEE282" s="1069"/>
      <c r="VEF282" s="1069"/>
      <c r="VEG282" s="1069"/>
      <c r="VEH282" s="1069"/>
      <c r="VEI282" s="1069"/>
      <c r="VEJ282" s="1069"/>
      <c r="VEK282" s="1069"/>
      <c r="VEL282" s="1069"/>
      <c r="VEM282" s="1069"/>
      <c r="VEN282" s="1069"/>
      <c r="VEO282" s="1069"/>
      <c r="VEP282" s="1069"/>
      <c r="VEQ282" s="1069"/>
      <c r="VER282" s="1069"/>
      <c r="VES282" s="1069"/>
      <c r="VET282" s="1069"/>
      <c r="VEU282" s="1069"/>
      <c r="VEV282" s="1069"/>
      <c r="VEW282" s="1069"/>
      <c r="VEX282" s="1069"/>
      <c r="VEY282" s="1069"/>
      <c r="VEZ282" s="1069"/>
      <c r="VFA282" s="1069"/>
      <c r="VFB282" s="1069"/>
      <c r="VFC282" s="1069"/>
      <c r="VFD282" s="1069"/>
      <c r="VFE282" s="1069"/>
      <c r="VFF282" s="1069"/>
      <c r="VFG282" s="1069"/>
      <c r="VFH282" s="1069"/>
      <c r="VFI282" s="1069"/>
      <c r="VFJ282" s="1069"/>
      <c r="VFK282" s="1069"/>
      <c r="VFL282" s="1069"/>
      <c r="VFM282" s="1069"/>
      <c r="VFN282" s="1069"/>
      <c r="VFO282" s="1069"/>
      <c r="VFP282" s="1069"/>
      <c r="VFQ282" s="1069"/>
      <c r="VFR282" s="1069"/>
      <c r="VFS282" s="1069"/>
      <c r="VFT282" s="1069"/>
      <c r="VFU282" s="1069"/>
      <c r="VFV282" s="1069"/>
      <c r="VFW282" s="1069"/>
      <c r="VFX282" s="1069"/>
      <c r="VFY282" s="1069"/>
      <c r="VFZ282" s="1069"/>
      <c r="VGA282" s="1069"/>
      <c r="VGB282" s="1069"/>
      <c r="VGC282" s="1069"/>
      <c r="VGD282" s="1069"/>
      <c r="VGE282" s="1069"/>
      <c r="VGF282" s="1069"/>
      <c r="VGG282" s="1069"/>
      <c r="VGH282" s="1069"/>
      <c r="VGI282" s="1069"/>
      <c r="VGJ282" s="1069"/>
      <c r="VGK282" s="1069"/>
      <c r="VGL282" s="1069"/>
      <c r="VGM282" s="1069"/>
      <c r="VGN282" s="1069"/>
      <c r="VGO282" s="1069"/>
      <c r="VGP282" s="1069"/>
      <c r="VGQ282" s="1069"/>
      <c r="VGR282" s="1069"/>
      <c r="VGS282" s="1069"/>
      <c r="VGT282" s="1069"/>
      <c r="VGU282" s="1069"/>
      <c r="VGV282" s="1069"/>
      <c r="VGW282" s="1069"/>
      <c r="VGX282" s="1069"/>
      <c r="VGY282" s="1069"/>
      <c r="VGZ282" s="1069"/>
      <c r="VHA282" s="1069"/>
      <c r="VHB282" s="1069"/>
      <c r="VHC282" s="1069"/>
      <c r="VHD282" s="1069"/>
      <c r="VHE282" s="1069"/>
      <c r="VHF282" s="1069"/>
      <c r="VHG282" s="1069"/>
      <c r="VHH282" s="1069"/>
      <c r="VHI282" s="1069"/>
      <c r="VHJ282" s="1069"/>
      <c r="VHK282" s="1069"/>
      <c r="VHL282" s="1069"/>
      <c r="VHM282" s="1069"/>
      <c r="VHN282" s="1069"/>
      <c r="VHO282" s="1069"/>
      <c r="VHP282" s="1069"/>
      <c r="VHQ282" s="1069"/>
      <c r="VHR282" s="1069"/>
      <c r="VHS282" s="1069"/>
      <c r="VHT282" s="1069"/>
      <c r="VHU282" s="1069"/>
      <c r="VHV282" s="1069"/>
      <c r="VHW282" s="1069"/>
      <c r="VHX282" s="1069"/>
      <c r="VHY282" s="1069"/>
      <c r="VHZ282" s="1069"/>
      <c r="VIA282" s="1069"/>
      <c r="VIB282" s="1069"/>
      <c r="VIC282" s="1069"/>
      <c r="VID282" s="1069"/>
      <c r="VIE282" s="1069"/>
      <c r="VIF282" s="1069"/>
      <c r="VIG282" s="1069"/>
      <c r="VIH282" s="1069"/>
      <c r="VII282" s="1069"/>
      <c r="VIJ282" s="1069"/>
      <c r="VIK282" s="1069"/>
      <c r="VIL282" s="1069"/>
      <c r="VIM282" s="1069"/>
      <c r="VIN282" s="1069"/>
      <c r="VIO282" s="1069"/>
      <c r="VIP282" s="1069"/>
      <c r="VIQ282" s="1069"/>
      <c r="VIR282" s="1069"/>
      <c r="VIS282" s="1069"/>
      <c r="VIT282" s="1069"/>
      <c r="VIU282" s="1069"/>
      <c r="VIV282" s="1069"/>
      <c r="VIW282" s="1069"/>
      <c r="VIX282" s="1069"/>
      <c r="VIY282" s="1069"/>
      <c r="VIZ282" s="1069"/>
      <c r="VJA282" s="1069"/>
      <c r="VJB282" s="1069"/>
      <c r="VJC282" s="1069"/>
      <c r="VJD282" s="1069"/>
      <c r="VJE282" s="1069"/>
      <c r="VJF282" s="1069"/>
      <c r="VJG282" s="1069"/>
      <c r="VJH282" s="1069"/>
      <c r="VJI282" s="1069"/>
      <c r="VJJ282" s="1069"/>
      <c r="VJK282" s="1069"/>
      <c r="VJL282" s="1069"/>
      <c r="VJM282" s="1069"/>
      <c r="VJN282" s="1069"/>
      <c r="VJO282" s="1069"/>
      <c r="VJP282" s="1069"/>
      <c r="VJQ282" s="1069"/>
      <c r="VJR282" s="1069"/>
      <c r="VJS282" s="1069"/>
      <c r="VJT282" s="1069"/>
      <c r="VJU282" s="1069"/>
      <c r="VJV282" s="1069"/>
      <c r="VJW282" s="1069"/>
      <c r="VJX282" s="1069"/>
      <c r="VJY282" s="1069"/>
      <c r="VJZ282" s="1069"/>
      <c r="VKA282" s="1069"/>
      <c r="VKB282" s="1069"/>
      <c r="VKC282" s="1069"/>
      <c r="VKD282" s="1069"/>
      <c r="VKE282" s="1069"/>
      <c r="VKF282" s="1069"/>
      <c r="VKG282" s="1069"/>
      <c r="VKH282" s="1069"/>
      <c r="VKI282" s="1069"/>
      <c r="VKJ282" s="1069"/>
      <c r="VKK282" s="1069"/>
      <c r="VKL282" s="1069"/>
      <c r="VKM282" s="1069"/>
      <c r="VKN282" s="1069"/>
      <c r="VKO282" s="1069"/>
      <c r="VKP282" s="1069"/>
      <c r="VKQ282" s="1069"/>
      <c r="VKR282" s="1069"/>
      <c r="VKS282" s="1069"/>
      <c r="VKT282" s="1069"/>
      <c r="VKU282" s="1069"/>
      <c r="VKV282" s="1069"/>
      <c r="VKW282" s="1069"/>
      <c r="VKX282" s="1069"/>
      <c r="VKY282" s="1069"/>
      <c r="VKZ282" s="1069"/>
      <c r="VLA282" s="1069"/>
      <c r="VLB282" s="1069"/>
      <c r="VLC282" s="1069"/>
      <c r="VLD282" s="1069"/>
      <c r="VLE282" s="1069"/>
      <c r="VLF282" s="1069"/>
      <c r="VLG282" s="1069"/>
      <c r="VLH282" s="1069"/>
      <c r="VLI282" s="1069"/>
      <c r="VLJ282" s="1069"/>
      <c r="VLK282" s="1069"/>
      <c r="VLL282" s="1069"/>
      <c r="VLM282" s="1069"/>
      <c r="VLN282" s="1069"/>
      <c r="VLO282" s="1069"/>
      <c r="VLP282" s="1069"/>
      <c r="VLQ282" s="1069"/>
      <c r="VLR282" s="1069"/>
      <c r="VLS282" s="1069"/>
      <c r="VLT282" s="1069"/>
      <c r="VLU282" s="1069"/>
      <c r="VLV282" s="1069"/>
      <c r="VLW282" s="1069"/>
      <c r="VLX282" s="1069"/>
      <c r="VLY282" s="1069"/>
      <c r="VLZ282" s="1069"/>
      <c r="VMA282" s="1069"/>
      <c r="VMB282" s="1069"/>
      <c r="VMC282" s="1069"/>
      <c r="VMD282" s="1069"/>
      <c r="VME282" s="1069"/>
      <c r="VMF282" s="1069"/>
      <c r="VMG282" s="1069"/>
      <c r="VMH282" s="1069"/>
      <c r="VMI282" s="1069"/>
      <c r="VMJ282" s="1069"/>
      <c r="VMK282" s="1069"/>
      <c r="VML282" s="1069"/>
      <c r="VMM282" s="1069"/>
      <c r="VMN282" s="1069"/>
      <c r="VMO282" s="1069"/>
      <c r="VMP282" s="1069"/>
      <c r="VMQ282" s="1069"/>
      <c r="VMR282" s="1069"/>
      <c r="VMS282" s="1069"/>
      <c r="VMT282" s="1069"/>
      <c r="VMU282" s="1069"/>
      <c r="VMV282" s="1069"/>
      <c r="VMW282" s="1069"/>
      <c r="VMX282" s="1069"/>
      <c r="VMY282" s="1069"/>
      <c r="VMZ282" s="1069"/>
      <c r="VNA282" s="1069"/>
      <c r="VNB282" s="1069"/>
      <c r="VNC282" s="1069"/>
      <c r="VND282" s="1069"/>
      <c r="VNE282" s="1069"/>
      <c r="VNF282" s="1069"/>
      <c r="VNG282" s="1069"/>
      <c r="VNH282" s="1069"/>
      <c r="VNI282" s="1069"/>
      <c r="VNJ282" s="1069"/>
      <c r="VNK282" s="1069"/>
      <c r="VNL282" s="1069"/>
      <c r="VNM282" s="1069"/>
      <c r="VNN282" s="1069"/>
      <c r="VNO282" s="1069"/>
      <c r="VNP282" s="1069"/>
      <c r="VNQ282" s="1069"/>
      <c r="VNR282" s="1069"/>
      <c r="VNS282" s="1069"/>
      <c r="VNT282" s="1069"/>
      <c r="VNU282" s="1069"/>
      <c r="VNV282" s="1069"/>
      <c r="VNW282" s="1069"/>
      <c r="VNX282" s="1069"/>
      <c r="VNY282" s="1069"/>
      <c r="VNZ282" s="1069"/>
      <c r="VOA282" s="1069"/>
      <c r="VOB282" s="1069"/>
      <c r="VOC282" s="1069"/>
      <c r="VOD282" s="1069"/>
      <c r="VOE282" s="1069"/>
      <c r="VOF282" s="1069"/>
      <c r="VOG282" s="1069"/>
      <c r="VOH282" s="1069"/>
      <c r="VOI282" s="1069"/>
      <c r="VOJ282" s="1069"/>
      <c r="VOK282" s="1069"/>
      <c r="VOL282" s="1069"/>
      <c r="VOM282" s="1069"/>
      <c r="VON282" s="1069"/>
      <c r="VOO282" s="1069"/>
      <c r="VOP282" s="1069"/>
      <c r="VOQ282" s="1069"/>
      <c r="VOR282" s="1069"/>
      <c r="VOS282" s="1069"/>
      <c r="VOT282" s="1069"/>
      <c r="VOU282" s="1069"/>
      <c r="VOV282" s="1069"/>
      <c r="VOW282" s="1069"/>
      <c r="VOX282" s="1069"/>
      <c r="VOY282" s="1069"/>
      <c r="VOZ282" s="1069"/>
      <c r="VPA282" s="1069"/>
      <c r="VPB282" s="1069"/>
      <c r="VPC282" s="1069"/>
      <c r="VPD282" s="1069"/>
      <c r="VPE282" s="1069"/>
      <c r="VPF282" s="1069"/>
      <c r="VPG282" s="1069"/>
      <c r="VPH282" s="1069"/>
      <c r="VPI282" s="1069"/>
      <c r="VPJ282" s="1069"/>
      <c r="VPK282" s="1069"/>
      <c r="VPL282" s="1069"/>
      <c r="VPM282" s="1069"/>
      <c r="VPN282" s="1069"/>
      <c r="VPO282" s="1069"/>
      <c r="VPP282" s="1069"/>
      <c r="VPQ282" s="1069"/>
      <c r="VPR282" s="1069"/>
      <c r="VPS282" s="1069"/>
      <c r="VPT282" s="1069"/>
      <c r="VPU282" s="1069"/>
      <c r="VPV282" s="1069"/>
      <c r="VPW282" s="1069"/>
      <c r="VPX282" s="1069"/>
      <c r="VPY282" s="1069"/>
      <c r="VPZ282" s="1069"/>
      <c r="VQA282" s="1069"/>
      <c r="VQB282" s="1069"/>
      <c r="VQC282" s="1069"/>
      <c r="VQD282" s="1069"/>
      <c r="VQE282" s="1069"/>
      <c r="VQF282" s="1069"/>
      <c r="VQG282" s="1069"/>
      <c r="VQH282" s="1069"/>
      <c r="VQI282" s="1069"/>
      <c r="VQJ282" s="1069"/>
      <c r="VQK282" s="1069"/>
      <c r="VQL282" s="1069"/>
      <c r="VQM282" s="1069"/>
      <c r="VQN282" s="1069"/>
      <c r="VQO282" s="1069"/>
      <c r="VQP282" s="1069"/>
      <c r="VQQ282" s="1069"/>
      <c r="VQR282" s="1069"/>
      <c r="VQS282" s="1069"/>
      <c r="VQT282" s="1069"/>
      <c r="VQU282" s="1069"/>
      <c r="VQV282" s="1069"/>
      <c r="VQW282" s="1069"/>
      <c r="VQX282" s="1069"/>
      <c r="VQY282" s="1069"/>
      <c r="VQZ282" s="1069"/>
      <c r="VRA282" s="1069"/>
      <c r="VRB282" s="1069"/>
      <c r="VRC282" s="1069"/>
      <c r="VRD282" s="1069"/>
      <c r="VRE282" s="1069"/>
      <c r="VRF282" s="1069"/>
      <c r="VRG282" s="1069"/>
      <c r="VRH282" s="1069"/>
      <c r="VRI282" s="1069"/>
      <c r="VRJ282" s="1069"/>
      <c r="VRK282" s="1069"/>
      <c r="VRL282" s="1069"/>
      <c r="VRM282" s="1069"/>
      <c r="VRN282" s="1069"/>
      <c r="VRO282" s="1069"/>
      <c r="VRP282" s="1069"/>
      <c r="VRQ282" s="1069"/>
      <c r="VRR282" s="1069"/>
      <c r="VRS282" s="1069"/>
      <c r="VRT282" s="1069"/>
      <c r="VRU282" s="1069"/>
      <c r="VRV282" s="1069"/>
      <c r="VRW282" s="1069"/>
      <c r="VRX282" s="1069"/>
      <c r="VRY282" s="1069"/>
      <c r="VRZ282" s="1069"/>
      <c r="VSA282" s="1069"/>
      <c r="VSB282" s="1069"/>
      <c r="VSC282" s="1069"/>
      <c r="VSD282" s="1069"/>
      <c r="VSE282" s="1069"/>
      <c r="VSF282" s="1069"/>
      <c r="VSG282" s="1069"/>
      <c r="VSH282" s="1069"/>
      <c r="VSI282" s="1069"/>
      <c r="VSJ282" s="1069"/>
      <c r="VSK282" s="1069"/>
      <c r="VSL282" s="1069"/>
      <c r="VSM282" s="1069"/>
      <c r="VSN282" s="1069"/>
      <c r="VSO282" s="1069"/>
      <c r="VSP282" s="1069"/>
      <c r="VSQ282" s="1069"/>
      <c r="VSR282" s="1069"/>
      <c r="VSS282" s="1069"/>
      <c r="VST282" s="1069"/>
      <c r="VSU282" s="1069"/>
      <c r="VSV282" s="1069"/>
      <c r="VSW282" s="1069"/>
      <c r="VSX282" s="1069"/>
      <c r="VSY282" s="1069"/>
      <c r="VSZ282" s="1069"/>
      <c r="VTA282" s="1069"/>
      <c r="VTB282" s="1069"/>
      <c r="VTC282" s="1069"/>
      <c r="VTD282" s="1069"/>
      <c r="VTE282" s="1069"/>
      <c r="VTF282" s="1069"/>
      <c r="VTG282" s="1069"/>
      <c r="VTH282" s="1069"/>
      <c r="VTI282" s="1069"/>
      <c r="VTJ282" s="1069"/>
      <c r="VTK282" s="1069"/>
      <c r="VTL282" s="1069"/>
      <c r="VTM282" s="1069"/>
      <c r="VTN282" s="1069"/>
      <c r="VTO282" s="1069"/>
      <c r="VTP282" s="1069"/>
      <c r="VTQ282" s="1069"/>
      <c r="VTR282" s="1069"/>
      <c r="VTS282" s="1069"/>
      <c r="VTT282" s="1069"/>
      <c r="VTU282" s="1069"/>
      <c r="VTV282" s="1069"/>
      <c r="VTW282" s="1069"/>
      <c r="VTX282" s="1069"/>
      <c r="VTY282" s="1069"/>
      <c r="VTZ282" s="1069"/>
      <c r="VUA282" s="1069"/>
      <c r="VUB282" s="1069"/>
      <c r="VUC282" s="1069"/>
      <c r="VUD282" s="1069"/>
      <c r="VUE282" s="1069"/>
      <c r="VUF282" s="1069"/>
      <c r="VUG282" s="1069"/>
      <c r="VUH282" s="1069"/>
      <c r="VUI282" s="1069"/>
      <c r="VUJ282" s="1069"/>
      <c r="VUK282" s="1069"/>
      <c r="VUL282" s="1069"/>
      <c r="VUM282" s="1069"/>
      <c r="VUN282" s="1069"/>
      <c r="VUO282" s="1069"/>
      <c r="VUP282" s="1069"/>
      <c r="VUQ282" s="1069"/>
      <c r="VUR282" s="1069"/>
      <c r="VUS282" s="1069"/>
      <c r="VUT282" s="1069"/>
      <c r="VUU282" s="1069"/>
      <c r="VUV282" s="1069"/>
      <c r="VUW282" s="1069"/>
      <c r="VUX282" s="1069"/>
      <c r="VUY282" s="1069"/>
      <c r="VUZ282" s="1069"/>
      <c r="VVA282" s="1069"/>
      <c r="VVB282" s="1069"/>
      <c r="VVC282" s="1069"/>
      <c r="VVD282" s="1069"/>
      <c r="VVE282" s="1069"/>
      <c r="VVF282" s="1069"/>
      <c r="VVG282" s="1069"/>
      <c r="VVH282" s="1069"/>
      <c r="VVI282" s="1069"/>
      <c r="VVJ282" s="1069"/>
      <c r="VVK282" s="1069"/>
      <c r="VVL282" s="1069"/>
      <c r="VVM282" s="1069"/>
      <c r="VVN282" s="1069"/>
      <c r="VVO282" s="1069"/>
      <c r="VVP282" s="1069"/>
      <c r="VVQ282" s="1069"/>
      <c r="VVR282" s="1069"/>
      <c r="VVS282" s="1069"/>
      <c r="VVT282" s="1069"/>
      <c r="VVU282" s="1069"/>
      <c r="VVV282" s="1069"/>
      <c r="VVW282" s="1069"/>
      <c r="VVX282" s="1069"/>
      <c r="VVY282" s="1069"/>
      <c r="VVZ282" s="1069"/>
      <c r="VWA282" s="1069"/>
      <c r="VWB282" s="1069"/>
      <c r="VWC282" s="1069"/>
      <c r="VWD282" s="1069"/>
      <c r="VWE282" s="1069"/>
      <c r="VWF282" s="1069"/>
      <c r="VWG282" s="1069"/>
      <c r="VWH282" s="1069"/>
      <c r="VWI282" s="1069"/>
      <c r="VWJ282" s="1069"/>
      <c r="VWK282" s="1069"/>
      <c r="VWL282" s="1069"/>
      <c r="VWM282" s="1069"/>
      <c r="VWN282" s="1069"/>
      <c r="VWO282" s="1069"/>
      <c r="VWP282" s="1069"/>
      <c r="VWQ282" s="1069"/>
      <c r="VWR282" s="1069"/>
      <c r="VWS282" s="1069"/>
      <c r="VWT282" s="1069"/>
      <c r="VWU282" s="1069"/>
      <c r="VWV282" s="1069"/>
      <c r="VWW282" s="1069"/>
      <c r="VWX282" s="1069"/>
      <c r="VWY282" s="1069"/>
      <c r="VWZ282" s="1069"/>
      <c r="VXA282" s="1069"/>
      <c r="VXB282" s="1069"/>
      <c r="VXC282" s="1069"/>
      <c r="VXD282" s="1069"/>
      <c r="VXE282" s="1069"/>
      <c r="VXF282" s="1069"/>
      <c r="VXG282" s="1069"/>
      <c r="VXH282" s="1069"/>
      <c r="VXI282" s="1069"/>
      <c r="VXJ282" s="1069"/>
      <c r="VXK282" s="1069"/>
      <c r="VXL282" s="1069"/>
      <c r="VXM282" s="1069"/>
      <c r="VXN282" s="1069"/>
      <c r="VXO282" s="1069"/>
      <c r="VXP282" s="1069"/>
      <c r="VXQ282" s="1069"/>
      <c r="VXR282" s="1069"/>
      <c r="VXS282" s="1069"/>
      <c r="VXT282" s="1069"/>
      <c r="VXU282" s="1069"/>
      <c r="VXV282" s="1069"/>
      <c r="VXW282" s="1069"/>
      <c r="VXX282" s="1069"/>
      <c r="VXY282" s="1069"/>
      <c r="VXZ282" s="1069"/>
      <c r="VYA282" s="1069"/>
      <c r="VYB282" s="1069"/>
      <c r="VYC282" s="1069"/>
      <c r="VYD282" s="1069"/>
      <c r="VYE282" s="1069"/>
      <c r="VYF282" s="1069"/>
      <c r="VYG282" s="1069"/>
      <c r="VYH282" s="1069"/>
      <c r="VYI282" s="1069"/>
      <c r="VYJ282" s="1069"/>
      <c r="VYK282" s="1069"/>
      <c r="VYL282" s="1069"/>
      <c r="VYM282" s="1069"/>
      <c r="VYN282" s="1069"/>
      <c r="VYO282" s="1069"/>
      <c r="VYP282" s="1069"/>
      <c r="VYQ282" s="1069"/>
      <c r="VYR282" s="1069"/>
      <c r="VYS282" s="1069"/>
      <c r="VYT282" s="1069"/>
      <c r="VYU282" s="1069"/>
      <c r="VYV282" s="1069"/>
      <c r="VYW282" s="1069"/>
      <c r="VYX282" s="1069"/>
      <c r="VYY282" s="1069"/>
      <c r="VYZ282" s="1069"/>
      <c r="VZA282" s="1069"/>
      <c r="VZB282" s="1069"/>
      <c r="VZC282" s="1069"/>
      <c r="VZD282" s="1069"/>
      <c r="VZE282" s="1069"/>
      <c r="VZF282" s="1069"/>
      <c r="VZG282" s="1069"/>
      <c r="VZH282" s="1069"/>
      <c r="VZI282" s="1069"/>
      <c r="VZJ282" s="1069"/>
      <c r="VZK282" s="1069"/>
      <c r="VZL282" s="1069"/>
      <c r="VZM282" s="1069"/>
      <c r="VZN282" s="1069"/>
      <c r="VZO282" s="1069"/>
      <c r="VZP282" s="1069"/>
      <c r="VZQ282" s="1069"/>
      <c r="VZR282" s="1069"/>
      <c r="VZS282" s="1069"/>
      <c r="VZT282" s="1069"/>
      <c r="VZU282" s="1069"/>
      <c r="VZV282" s="1069"/>
      <c r="VZW282" s="1069"/>
      <c r="VZX282" s="1069"/>
      <c r="VZY282" s="1069"/>
      <c r="VZZ282" s="1069"/>
      <c r="WAA282" s="1069"/>
      <c r="WAB282" s="1069"/>
      <c r="WAC282" s="1069"/>
      <c r="WAD282" s="1069"/>
      <c r="WAE282" s="1069"/>
      <c r="WAF282" s="1069"/>
      <c r="WAG282" s="1069"/>
      <c r="WAH282" s="1069"/>
      <c r="WAI282" s="1069"/>
      <c r="WAJ282" s="1069"/>
      <c r="WAK282" s="1069"/>
      <c r="WAL282" s="1069"/>
      <c r="WAM282" s="1069"/>
      <c r="WAN282" s="1069"/>
      <c r="WAO282" s="1069"/>
      <c r="WAP282" s="1069"/>
      <c r="WAQ282" s="1069"/>
      <c r="WAR282" s="1069"/>
      <c r="WAS282" s="1069"/>
      <c r="WAT282" s="1069"/>
      <c r="WAU282" s="1069"/>
      <c r="WAV282" s="1069"/>
      <c r="WAW282" s="1069"/>
      <c r="WAX282" s="1069"/>
      <c r="WAY282" s="1069"/>
      <c r="WAZ282" s="1069"/>
      <c r="WBA282" s="1069"/>
      <c r="WBB282" s="1069"/>
      <c r="WBC282" s="1069"/>
      <c r="WBD282" s="1069"/>
      <c r="WBE282" s="1069"/>
      <c r="WBF282" s="1069"/>
      <c r="WBG282" s="1069"/>
      <c r="WBH282" s="1069"/>
      <c r="WBI282" s="1069"/>
      <c r="WBJ282" s="1069"/>
      <c r="WBK282" s="1069"/>
      <c r="WBL282" s="1069"/>
      <c r="WBM282" s="1069"/>
      <c r="WBN282" s="1069"/>
      <c r="WBO282" s="1069"/>
      <c r="WBP282" s="1069"/>
      <c r="WBQ282" s="1069"/>
      <c r="WBR282" s="1069"/>
      <c r="WBS282" s="1069"/>
      <c r="WBT282" s="1069"/>
      <c r="WBU282" s="1069"/>
      <c r="WBV282" s="1069"/>
      <c r="WBW282" s="1069"/>
      <c r="WBX282" s="1069"/>
      <c r="WBY282" s="1069"/>
      <c r="WBZ282" s="1069"/>
      <c r="WCA282" s="1069"/>
      <c r="WCB282" s="1069"/>
      <c r="WCC282" s="1069"/>
      <c r="WCD282" s="1069"/>
      <c r="WCE282" s="1069"/>
      <c r="WCF282" s="1069"/>
      <c r="WCG282" s="1069"/>
      <c r="WCH282" s="1069"/>
      <c r="WCI282" s="1069"/>
      <c r="WCJ282" s="1069"/>
      <c r="WCK282" s="1069"/>
      <c r="WCL282" s="1069"/>
      <c r="WCM282" s="1069"/>
      <c r="WCN282" s="1069"/>
      <c r="WCO282" s="1069"/>
      <c r="WCP282" s="1069"/>
      <c r="WCQ282" s="1069"/>
      <c r="WCR282" s="1069"/>
      <c r="WCS282" s="1069"/>
      <c r="WCT282" s="1069"/>
      <c r="WCU282" s="1069"/>
      <c r="WCV282" s="1069"/>
      <c r="WCW282" s="1069"/>
      <c r="WCX282" s="1069"/>
      <c r="WCY282" s="1069"/>
      <c r="WCZ282" s="1069"/>
      <c r="WDA282" s="1069"/>
      <c r="WDB282" s="1069"/>
      <c r="WDC282" s="1069"/>
      <c r="WDD282" s="1069"/>
      <c r="WDE282" s="1069"/>
      <c r="WDF282" s="1069"/>
      <c r="WDG282" s="1069"/>
      <c r="WDH282" s="1069"/>
      <c r="WDI282" s="1069"/>
      <c r="WDJ282" s="1069"/>
      <c r="WDK282" s="1069"/>
      <c r="WDL282" s="1069"/>
      <c r="WDM282" s="1069"/>
      <c r="WDN282" s="1069"/>
      <c r="WDO282" s="1069"/>
      <c r="WDP282" s="1069"/>
      <c r="WDQ282" s="1069"/>
      <c r="WDR282" s="1069"/>
      <c r="WDS282" s="1069"/>
      <c r="WDT282" s="1069"/>
      <c r="WDU282" s="1069"/>
      <c r="WDV282" s="1069"/>
      <c r="WDW282" s="1069"/>
      <c r="WDX282" s="1069"/>
      <c r="WDY282" s="1069"/>
      <c r="WDZ282" s="1069"/>
      <c r="WEA282" s="1069"/>
      <c r="WEB282" s="1069"/>
      <c r="WEC282" s="1069"/>
      <c r="WED282" s="1069"/>
      <c r="WEE282" s="1069"/>
      <c r="WEF282" s="1069"/>
      <c r="WEG282" s="1069"/>
      <c r="WEH282" s="1069"/>
      <c r="WEI282" s="1069"/>
      <c r="WEJ282" s="1069"/>
      <c r="WEK282" s="1069"/>
      <c r="WEL282" s="1069"/>
      <c r="WEM282" s="1069"/>
      <c r="WEN282" s="1069"/>
      <c r="WEO282" s="1069"/>
      <c r="WEP282" s="1069"/>
      <c r="WEQ282" s="1069"/>
      <c r="WER282" s="1069"/>
      <c r="WES282" s="1069"/>
      <c r="WET282" s="1069"/>
      <c r="WEU282" s="1069"/>
      <c r="WEV282" s="1069"/>
      <c r="WEW282" s="1069"/>
      <c r="WEX282" s="1069"/>
      <c r="WEY282" s="1069"/>
      <c r="WEZ282" s="1069"/>
      <c r="WFA282" s="1069"/>
      <c r="WFB282" s="1069"/>
      <c r="WFC282" s="1069"/>
      <c r="WFD282" s="1069"/>
      <c r="WFE282" s="1069"/>
      <c r="WFF282" s="1069"/>
      <c r="WFG282" s="1069"/>
      <c r="WFH282" s="1069"/>
      <c r="WFI282" s="1069"/>
      <c r="WFJ282" s="1069"/>
      <c r="WFK282" s="1069"/>
      <c r="WFL282" s="1069"/>
      <c r="WFM282" s="1069"/>
      <c r="WFN282" s="1069"/>
      <c r="WFO282" s="1069"/>
      <c r="WFP282" s="1069"/>
      <c r="WFQ282" s="1069"/>
      <c r="WFR282" s="1069"/>
      <c r="WFS282" s="1069"/>
      <c r="WFT282" s="1069"/>
      <c r="WFU282" s="1069"/>
      <c r="WFV282" s="1069"/>
      <c r="WFW282" s="1069"/>
      <c r="WFX282" s="1069"/>
      <c r="WFY282" s="1069"/>
      <c r="WFZ282" s="1069"/>
      <c r="WGA282" s="1069"/>
      <c r="WGB282" s="1069"/>
      <c r="WGC282" s="1069"/>
      <c r="WGD282" s="1069"/>
      <c r="WGE282" s="1069"/>
      <c r="WGF282" s="1069"/>
      <c r="WGG282" s="1069"/>
      <c r="WGH282" s="1069"/>
      <c r="WGI282" s="1069"/>
      <c r="WGJ282" s="1069"/>
      <c r="WGK282" s="1069"/>
      <c r="WGL282" s="1069"/>
      <c r="WGM282" s="1069"/>
      <c r="WGN282" s="1069"/>
      <c r="WGO282" s="1069"/>
      <c r="WGP282" s="1069"/>
      <c r="WGQ282" s="1069"/>
      <c r="WGR282" s="1069"/>
      <c r="WGS282" s="1069"/>
      <c r="WGT282" s="1069"/>
      <c r="WGU282" s="1069"/>
      <c r="WGV282" s="1069"/>
      <c r="WGW282" s="1069"/>
      <c r="WGX282" s="1069"/>
      <c r="WGY282" s="1069"/>
      <c r="WGZ282" s="1069"/>
      <c r="WHA282" s="1069"/>
      <c r="WHB282" s="1069"/>
      <c r="WHC282" s="1069"/>
      <c r="WHD282" s="1069"/>
      <c r="WHE282" s="1069"/>
      <c r="WHF282" s="1069"/>
      <c r="WHG282" s="1069"/>
      <c r="WHH282" s="1069"/>
      <c r="WHI282" s="1069"/>
      <c r="WHJ282" s="1069"/>
      <c r="WHK282" s="1069"/>
      <c r="WHL282" s="1069"/>
      <c r="WHM282" s="1069"/>
      <c r="WHN282" s="1069"/>
      <c r="WHO282" s="1069"/>
      <c r="WHP282" s="1069"/>
      <c r="WHQ282" s="1069"/>
      <c r="WHR282" s="1069"/>
      <c r="WHS282" s="1069"/>
      <c r="WHT282" s="1069"/>
      <c r="WHU282" s="1069"/>
      <c r="WHV282" s="1069"/>
      <c r="WHW282" s="1069"/>
      <c r="WHX282" s="1069"/>
      <c r="WHY282" s="1069"/>
      <c r="WHZ282" s="1069"/>
      <c r="WIA282" s="1069"/>
      <c r="WIB282" s="1069"/>
      <c r="WIC282" s="1069"/>
      <c r="WID282" s="1069"/>
      <c r="WIE282" s="1069"/>
      <c r="WIF282" s="1069"/>
      <c r="WIG282" s="1069"/>
      <c r="WIH282" s="1069"/>
      <c r="WII282" s="1069"/>
      <c r="WIJ282" s="1069"/>
      <c r="WIK282" s="1069"/>
      <c r="WIL282" s="1069"/>
      <c r="WIM282" s="1069"/>
      <c r="WIN282" s="1069"/>
      <c r="WIO282" s="1069"/>
      <c r="WIP282" s="1069"/>
      <c r="WIQ282" s="1069"/>
      <c r="WIR282" s="1069"/>
      <c r="WIS282" s="1069"/>
      <c r="WIT282" s="1069"/>
      <c r="WIU282" s="1069"/>
      <c r="WIV282" s="1069"/>
      <c r="WIW282" s="1069"/>
      <c r="WIX282" s="1069"/>
      <c r="WIY282" s="1069"/>
      <c r="WIZ282" s="1069"/>
      <c r="WJA282" s="1069"/>
      <c r="WJB282" s="1069"/>
      <c r="WJC282" s="1069"/>
      <c r="WJD282" s="1069"/>
      <c r="WJE282" s="1069"/>
      <c r="WJF282" s="1069"/>
      <c r="WJG282" s="1069"/>
      <c r="WJH282" s="1069"/>
      <c r="WJI282" s="1069"/>
      <c r="WJJ282" s="1069"/>
      <c r="WJK282" s="1069"/>
      <c r="WJL282" s="1069"/>
      <c r="WJM282" s="1069"/>
      <c r="WJN282" s="1069"/>
      <c r="WJO282" s="1069"/>
      <c r="WJP282" s="1069"/>
      <c r="WJQ282" s="1069"/>
      <c r="WJR282" s="1069"/>
      <c r="WJS282" s="1069"/>
      <c r="WJT282" s="1069"/>
      <c r="WJU282" s="1069"/>
      <c r="WJV282" s="1069"/>
      <c r="WJW282" s="1069"/>
      <c r="WJX282" s="1069"/>
      <c r="WJY282" s="1069"/>
      <c r="WJZ282" s="1069"/>
      <c r="WKA282" s="1069"/>
      <c r="WKB282" s="1069"/>
      <c r="WKC282" s="1069"/>
      <c r="WKD282" s="1069"/>
      <c r="WKE282" s="1069"/>
      <c r="WKF282" s="1069"/>
      <c r="WKG282" s="1069"/>
      <c r="WKH282" s="1069"/>
      <c r="WKI282" s="1069"/>
      <c r="WKJ282" s="1069"/>
      <c r="WKK282" s="1069"/>
      <c r="WKL282" s="1069"/>
      <c r="WKM282" s="1069"/>
      <c r="WKN282" s="1069"/>
      <c r="WKO282" s="1069"/>
      <c r="WKP282" s="1069"/>
      <c r="WKQ282" s="1069"/>
      <c r="WKR282" s="1069"/>
      <c r="WKS282" s="1069"/>
      <c r="WKT282" s="1069"/>
      <c r="WKU282" s="1069"/>
      <c r="WKV282" s="1069"/>
      <c r="WKW282" s="1069"/>
      <c r="WKX282" s="1069"/>
      <c r="WKY282" s="1069"/>
      <c r="WKZ282" s="1069"/>
      <c r="WLA282" s="1069"/>
      <c r="WLB282" s="1069"/>
      <c r="WLC282" s="1069"/>
      <c r="WLD282" s="1069"/>
      <c r="WLE282" s="1069"/>
      <c r="WLF282" s="1069"/>
      <c r="WLG282" s="1069"/>
      <c r="WLH282" s="1069"/>
      <c r="WLI282" s="1069"/>
      <c r="WLJ282" s="1069"/>
      <c r="WLK282" s="1069"/>
      <c r="WLL282" s="1069"/>
      <c r="WLM282" s="1069"/>
      <c r="WLN282" s="1069"/>
      <c r="WLO282" s="1069"/>
      <c r="WLP282" s="1069"/>
      <c r="WLQ282" s="1069"/>
      <c r="WLR282" s="1069"/>
      <c r="WLS282" s="1069"/>
      <c r="WLT282" s="1069"/>
      <c r="WLU282" s="1069"/>
      <c r="WLV282" s="1069"/>
      <c r="WLW282" s="1069"/>
      <c r="WLX282" s="1069"/>
      <c r="WLY282" s="1069"/>
      <c r="WLZ282" s="1069"/>
      <c r="WMA282" s="1069"/>
      <c r="WMB282" s="1069"/>
      <c r="WMC282" s="1069"/>
      <c r="WMD282" s="1069"/>
      <c r="WME282" s="1069"/>
      <c r="WMF282" s="1069"/>
      <c r="WMG282" s="1069"/>
      <c r="WMH282" s="1069"/>
      <c r="WMI282" s="1069"/>
      <c r="WMJ282" s="1069"/>
      <c r="WMK282" s="1069"/>
      <c r="WML282" s="1069"/>
      <c r="WMM282" s="1069"/>
      <c r="WMN282" s="1069"/>
      <c r="WMO282" s="1069"/>
      <c r="WMP282" s="1069"/>
      <c r="WMQ282" s="1069"/>
      <c r="WMR282" s="1069"/>
      <c r="WMS282" s="1069"/>
      <c r="WMT282" s="1069"/>
      <c r="WMU282" s="1069"/>
      <c r="WMV282" s="1069"/>
      <c r="WMW282" s="1069"/>
      <c r="WMX282" s="1069"/>
      <c r="WMY282" s="1069"/>
      <c r="WMZ282" s="1069"/>
      <c r="WNA282" s="1069"/>
      <c r="WNB282" s="1069"/>
      <c r="WNC282" s="1069"/>
      <c r="WND282" s="1069"/>
      <c r="WNE282" s="1069"/>
      <c r="WNF282" s="1069"/>
      <c r="WNG282" s="1069"/>
      <c r="WNH282" s="1069"/>
      <c r="WNI282" s="1069"/>
      <c r="WNJ282" s="1069"/>
      <c r="WNK282" s="1069"/>
      <c r="WNL282" s="1069"/>
      <c r="WNM282" s="1069"/>
      <c r="WNN282" s="1069"/>
      <c r="WNO282" s="1069"/>
      <c r="WNP282" s="1069"/>
      <c r="WNQ282" s="1069"/>
      <c r="WNR282" s="1069"/>
      <c r="WNS282" s="1069"/>
      <c r="WNT282" s="1069"/>
      <c r="WNU282" s="1069"/>
      <c r="WNV282" s="1069"/>
      <c r="WNW282" s="1069"/>
      <c r="WNX282" s="1069"/>
      <c r="WNY282" s="1069"/>
      <c r="WNZ282" s="1069"/>
      <c r="WOA282" s="1069"/>
      <c r="WOB282" s="1069"/>
      <c r="WOC282" s="1069"/>
      <c r="WOD282" s="1069"/>
      <c r="WOE282" s="1069"/>
      <c r="WOF282" s="1069"/>
      <c r="WOG282" s="1069"/>
      <c r="WOH282" s="1069"/>
      <c r="WOI282" s="1069"/>
      <c r="WOJ282" s="1069"/>
      <c r="WOK282" s="1069"/>
      <c r="WOL282" s="1069"/>
      <c r="WOM282" s="1069"/>
      <c r="WON282" s="1069"/>
      <c r="WOO282" s="1069"/>
      <c r="WOP282" s="1069"/>
      <c r="WOQ282" s="1069"/>
      <c r="WOR282" s="1069"/>
      <c r="WOS282" s="1069"/>
      <c r="WOT282" s="1069"/>
      <c r="WOU282" s="1069"/>
      <c r="WOV282" s="1069"/>
      <c r="WOW282" s="1069"/>
      <c r="WOX282" s="1069"/>
      <c r="WOY282" s="1069"/>
      <c r="WOZ282" s="1069"/>
      <c r="WPA282" s="1069"/>
      <c r="WPB282" s="1069"/>
      <c r="WPC282" s="1069"/>
      <c r="WPD282" s="1069"/>
      <c r="WPE282" s="1069"/>
      <c r="WPF282" s="1069"/>
      <c r="WPG282" s="1069"/>
      <c r="WPH282" s="1069"/>
      <c r="WPI282" s="1069"/>
      <c r="WPJ282" s="1069"/>
      <c r="WPK282" s="1069"/>
      <c r="WPL282" s="1069"/>
      <c r="WPM282" s="1069"/>
      <c r="WPN282" s="1069"/>
      <c r="WPO282" s="1069"/>
      <c r="WPP282" s="1069"/>
      <c r="WPQ282" s="1069"/>
      <c r="WPR282" s="1069"/>
      <c r="WPS282" s="1069"/>
      <c r="WPT282" s="1069"/>
      <c r="WPU282" s="1069"/>
      <c r="WPV282" s="1069"/>
      <c r="WPW282" s="1069"/>
      <c r="WPX282" s="1069"/>
      <c r="WPY282" s="1069"/>
      <c r="WPZ282" s="1069"/>
      <c r="WQA282" s="1069"/>
      <c r="WQB282" s="1069"/>
      <c r="WQC282" s="1069"/>
      <c r="WQD282" s="1069"/>
      <c r="WQE282" s="1069"/>
      <c r="WQF282" s="1069"/>
      <c r="WQG282" s="1069"/>
      <c r="WQH282" s="1069"/>
      <c r="WQI282" s="1069"/>
      <c r="WQJ282" s="1069"/>
      <c r="WQK282" s="1069"/>
      <c r="WQL282" s="1069"/>
      <c r="WQM282" s="1069"/>
      <c r="WQN282" s="1069"/>
      <c r="WQO282" s="1069"/>
      <c r="WQP282" s="1069"/>
      <c r="WQQ282" s="1069"/>
      <c r="WQR282" s="1069"/>
      <c r="WQS282" s="1069"/>
      <c r="WQT282" s="1069"/>
      <c r="WQU282" s="1069"/>
      <c r="WQV282" s="1069"/>
      <c r="WQW282" s="1069"/>
      <c r="WQX282" s="1069"/>
      <c r="WQY282" s="1069"/>
      <c r="WQZ282" s="1069"/>
      <c r="WRA282" s="1069"/>
      <c r="WRB282" s="1069"/>
      <c r="WRC282" s="1069"/>
      <c r="WRD282" s="1069"/>
      <c r="WRE282" s="1069"/>
      <c r="WRF282" s="1069"/>
      <c r="WRG282" s="1069"/>
      <c r="WRH282" s="1069"/>
      <c r="WRI282" s="1069"/>
      <c r="WRJ282" s="1069"/>
      <c r="WRK282" s="1069"/>
      <c r="WRL282" s="1069"/>
      <c r="WRM282" s="1069"/>
      <c r="WRN282" s="1069"/>
      <c r="WRO282" s="1069"/>
      <c r="WRP282" s="1069"/>
      <c r="WRQ282" s="1069"/>
      <c r="WRR282" s="1069"/>
      <c r="WRS282" s="1069"/>
      <c r="WRT282" s="1069"/>
      <c r="WRU282" s="1069"/>
      <c r="WRV282" s="1069"/>
      <c r="WRW282" s="1069"/>
      <c r="WRX282" s="1069"/>
      <c r="WRY282" s="1069"/>
      <c r="WRZ282" s="1069"/>
      <c r="WSA282" s="1069"/>
      <c r="WSB282" s="1069"/>
      <c r="WSC282" s="1069"/>
      <c r="WSD282" s="1069"/>
      <c r="WSE282" s="1069"/>
      <c r="WSF282" s="1069"/>
      <c r="WSG282" s="1069"/>
      <c r="WSH282" s="1069"/>
      <c r="WSI282" s="1069"/>
      <c r="WSJ282" s="1069"/>
      <c r="WSK282" s="1069"/>
      <c r="WSL282" s="1069"/>
      <c r="WSM282" s="1069"/>
      <c r="WSN282" s="1069"/>
      <c r="WSO282" s="1069"/>
      <c r="WSP282" s="1069"/>
      <c r="WSQ282" s="1069"/>
      <c r="WSR282" s="1069"/>
      <c r="WSS282" s="1069"/>
      <c r="WST282" s="1069"/>
      <c r="WSU282" s="1069"/>
      <c r="WSV282" s="1069"/>
      <c r="WSW282" s="1069"/>
      <c r="WSX282" s="1069"/>
      <c r="WSY282" s="1069"/>
      <c r="WSZ282" s="1069"/>
      <c r="WTA282" s="1069"/>
      <c r="WTB282" s="1069"/>
      <c r="WTC282" s="1069"/>
      <c r="WTD282" s="1069"/>
      <c r="WTE282" s="1069"/>
      <c r="WTF282" s="1069"/>
      <c r="WTG282" s="1069"/>
      <c r="WTH282" s="1069"/>
      <c r="WTI282" s="1069"/>
      <c r="WTJ282" s="1069"/>
      <c r="WTK282" s="1069"/>
      <c r="WTL282" s="1069"/>
      <c r="WTM282" s="1069"/>
      <c r="WTN282" s="1069"/>
      <c r="WTO282" s="1069"/>
      <c r="WTP282" s="1069"/>
      <c r="WTQ282" s="1069"/>
      <c r="WTR282" s="1069"/>
      <c r="WTS282" s="1069"/>
      <c r="WTT282" s="1069"/>
      <c r="WTU282" s="1069"/>
      <c r="WTV282" s="1069"/>
      <c r="WTW282" s="1069"/>
      <c r="WTX282" s="1069"/>
      <c r="WTY282" s="1069"/>
      <c r="WTZ282" s="1069"/>
      <c r="WUA282" s="1069"/>
      <c r="WUB282" s="1069"/>
      <c r="WUC282" s="1069"/>
      <c r="WUD282" s="1069"/>
      <c r="WUE282" s="1069"/>
      <c r="WUF282" s="1069"/>
      <c r="WUG282" s="1069"/>
      <c r="WUH282" s="1069"/>
      <c r="WUI282" s="1069"/>
      <c r="WUJ282" s="1069"/>
      <c r="WUK282" s="1069"/>
      <c r="WUL282" s="1069"/>
      <c r="WUM282" s="1069"/>
      <c r="WUN282" s="1069"/>
      <c r="WUO282" s="1069"/>
      <c r="WUP282" s="1069"/>
      <c r="WUQ282" s="1069"/>
      <c r="WUR282" s="1069"/>
      <c r="WUS282" s="1069"/>
      <c r="WUT282" s="1069"/>
      <c r="WUU282" s="1069"/>
      <c r="WUV282" s="1069"/>
      <c r="WUW282" s="1069"/>
      <c r="WUX282" s="1069"/>
      <c r="WUY282" s="1069"/>
      <c r="WUZ282" s="1069"/>
      <c r="WVA282" s="1069"/>
      <c r="WVB282" s="1069"/>
      <c r="WVC282" s="1069"/>
      <c r="WVD282" s="1069"/>
      <c r="WVE282" s="1069"/>
      <c r="WVF282" s="1069"/>
      <c r="WVG282" s="1069"/>
      <c r="WVH282" s="1069"/>
      <c r="WVI282" s="1069"/>
      <c r="WVJ282" s="1069"/>
      <c r="WVK282" s="1069"/>
      <c r="WVL282" s="1069"/>
      <c r="WVM282" s="1069"/>
      <c r="WVN282" s="1069"/>
      <c r="WVO282" s="1069"/>
      <c r="WVP282" s="1069"/>
      <c r="WVQ282" s="1069"/>
      <c r="WVR282" s="1069"/>
      <c r="WVS282" s="1069"/>
      <c r="WVT282" s="1069"/>
      <c r="WVU282" s="1069"/>
      <c r="WVV282" s="1069"/>
      <c r="WVW282" s="1069"/>
      <c r="WVX282" s="1069"/>
      <c r="WVY282" s="1069"/>
      <c r="WVZ282" s="1069"/>
      <c r="WWA282" s="1069"/>
      <c r="WWB282" s="1069"/>
      <c r="WWC282" s="1069"/>
      <c r="WWD282" s="1069"/>
      <c r="WWE282" s="1069"/>
      <c r="WWF282" s="1069"/>
      <c r="WWG282" s="1069"/>
      <c r="WWH282" s="1069"/>
      <c r="WWI282" s="1069"/>
      <c r="WWJ282" s="1069"/>
      <c r="WWK282" s="1069"/>
      <c r="WWL282" s="1069"/>
      <c r="WWM282" s="1069"/>
      <c r="WWN282" s="1069"/>
      <c r="WWO282" s="1069"/>
      <c r="WWP282" s="1069"/>
      <c r="WWQ282" s="1069"/>
      <c r="WWR282" s="1069"/>
      <c r="WWS282" s="1069"/>
      <c r="WWT282" s="1069"/>
      <c r="WWU282" s="1069"/>
      <c r="WWV282" s="1069"/>
      <c r="WWW282" s="1069"/>
      <c r="WWX282" s="1069"/>
      <c r="WWY282" s="1069"/>
      <c r="WWZ282" s="1069"/>
      <c r="WXA282" s="1069"/>
      <c r="WXB282" s="1069"/>
      <c r="WXC282" s="1069"/>
      <c r="WXD282" s="1069"/>
      <c r="WXE282" s="1069"/>
      <c r="WXF282" s="1069"/>
      <c r="WXG282" s="1069"/>
      <c r="WXH282" s="1069"/>
      <c r="WXI282" s="1069"/>
      <c r="WXJ282" s="1069"/>
      <c r="WXK282" s="1069"/>
      <c r="WXL282" s="1069"/>
      <c r="WXM282" s="1069"/>
      <c r="WXN282" s="1069"/>
      <c r="WXO282" s="1069"/>
      <c r="WXP282" s="1069"/>
      <c r="WXQ282" s="1069"/>
      <c r="WXR282" s="1069"/>
      <c r="WXS282" s="1069"/>
      <c r="WXT282" s="1069"/>
      <c r="WXU282" s="1069"/>
      <c r="WXV282" s="1069"/>
      <c r="WXW282" s="1069"/>
      <c r="WXX282" s="1069"/>
      <c r="WXY282" s="1069"/>
      <c r="WXZ282" s="1069"/>
      <c r="WYA282" s="1069"/>
      <c r="WYB282" s="1069"/>
      <c r="WYC282" s="1069"/>
      <c r="WYD282" s="1069"/>
      <c r="WYE282" s="1069"/>
      <c r="WYF282" s="1069"/>
      <c r="WYG282" s="1069"/>
      <c r="WYH282" s="1069"/>
      <c r="WYI282" s="1069"/>
      <c r="WYJ282" s="1069"/>
      <c r="WYK282" s="1069"/>
      <c r="WYL282" s="1069"/>
      <c r="WYM282" s="1069"/>
      <c r="WYN282" s="1069"/>
      <c r="WYO282" s="1069"/>
      <c r="WYP282" s="1069"/>
      <c r="WYQ282" s="1069"/>
      <c r="WYR282" s="1069"/>
      <c r="WYS282" s="1069"/>
      <c r="WYT282" s="1069"/>
      <c r="WYU282" s="1069"/>
      <c r="WYV282" s="1069"/>
      <c r="WYW282" s="1069"/>
      <c r="WYX282" s="1069"/>
      <c r="WYY282" s="1069"/>
      <c r="WYZ282" s="1069"/>
      <c r="WZA282" s="1069"/>
      <c r="WZB282" s="1069"/>
      <c r="WZC282" s="1069"/>
      <c r="WZD282" s="1069"/>
      <c r="WZE282" s="1069"/>
      <c r="WZF282" s="1069"/>
      <c r="WZG282" s="1069"/>
      <c r="WZH282" s="1069"/>
      <c r="WZI282" s="1069"/>
      <c r="WZJ282" s="1069"/>
      <c r="WZK282" s="1069"/>
      <c r="WZL282" s="1069"/>
      <c r="WZM282" s="1069"/>
      <c r="WZN282" s="1069"/>
      <c r="WZO282" s="1069"/>
      <c r="WZP282" s="1069"/>
      <c r="WZQ282" s="1069"/>
      <c r="WZR282" s="1069"/>
      <c r="WZS282" s="1069"/>
      <c r="WZT282" s="1069"/>
      <c r="WZU282" s="1069"/>
      <c r="WZV282" s="1069"/>
      <c r="WZW282" s="1069"/>
      <c r="WZX282" s="1069"/>
      <c r="WZY282" s="1069"/>
      <c r="WZZ282" s="1069"/>
      <c r="XAA282" s="1069"/>
      <c r="XAB282" s="1069"/>
      <c r="XAC282" s="1069"/>
      <c r="XAD282" s="1069"/>
      <c r="XAE282" s="1069"/>
      <c r="XAF282" s="1069"/>
      <c r="XAG282" s="1069"/>
      <c r="XAH282" s="1069"/>
      <c r="XAI282" s="1069"/>
      <c r="XAJ282" s="1069"/>
      <c r="XAK282" s="1069"/>
      <c r="XAL282" s="1069"/>
      <c r="XAM282" s="1069"/>
      <c r="XAN282" s="1069"/>
      <c r="XAO282" s="1069"/>
      <c r="XAP282" s="1069"/>
      <c r="XAQ282" s="1069"/>
      <c r="XAR282" s="1069"/>
      <c r="XAS282" s="1069"/>
      <c r="XAT282" s="1069"/>
      <c r="XAU282" s="1069"/>
      <c r="XAV282" s="1069"/>
      <c r="XAW282" s="1069"/>
      <c r="XAX282" s="1069"/>
      <c r="XAY282" s="1069"/>
      <c r="XAZ282" s="1069"/>
      <c r="XBA282" s="1069"/>
      <c r="XBB282" s="1069"/>
      <c r="XBC282" s="1069"/>
      <c r="XBD282" s="1069"/>
      <c r="XBE282" s="1069"/>
      <c r="XBF282" s="1069"/>
      <c r="XBG282" s="1069"/>
      <c r="XBH282" s="1069"/>
      <c r="XBI282" s="1069"/>
      <c r="XBJ282" s="1069"/>
      <c r="XBK282" s="1069"/>
      <c r="XBL282" s="1069"/>
      <c r="XBM282" s="1069"/>
      <c r="XBN282" s="1069"/>
      <c r="XBO282" s="1069"/>
      <c r="XBP282" s="1069"/>
      <c r="XBQ282" s="1069"/>
      <c r="XBR282" s="1069"/>
      <c r="XBS282" s="1069"/>
      <c r="XBT282" s="1069"/>
      <c r="XBU282" s="1069"/>
      <c r="XBV282" s="1069"/>
      <c r="XBW282" s="1069"/>
      <c r="XBX282" s="1069"/>
      <c r="XBY282" s="1069"/>
      <c r="XBZ282" s="1069"/>
      <c r="XCA282" s="1069"/>
      <c r="XCB282" s="1069"/>
      <c r="XCC282" s="1069"/>
      <c r="XCD282" s="1069"/>
      <c r="XCE282" s="1069"/>
      <c r="XCF282" s="1069"/>
      <c r="XCG282" s="1069"/>
      <c r="XCH282" s="1069"/>
      <c r="XCI282" s="1069"/>
      <c r="XCJ282" s="1069"/>
      <c r="XCK282" s="1069"/>
      <c r="XCL282" s="1069"/>
      <c r="XCM282" s="1069"/>
      <c r="XCN282" s="1069"/>
      <c r="XCO282" s="1069"/>
      <c r="XCP282" s="1069"/>
      <c r="XCQ282" s="1069"/>
      <c r="XCR282" s="1069"/>
      <c r="XCS282" s="1069"/>
      <c r="XCT282" s="1069"/>
      <c r="XCU282" s="1069"/>
      <c r="XCV282" s="1069"/>
      <c r="XCW282" s="1069"/>
      <c r="XCX282" s="1069"/>
      <c r="XCY282" s="1069"/>
      <c r="XCZ282" s="1069"/>
      <c r="XDA282" s="1069"/>
      <c r="XDB282" s="1069"/>
      <c r="XDC282" s="1069"/>
      <c r="XDD282" s="1069"/>
      <c r="XDE282" s="1069"/>
      <c r="XDF282" s="1069"/>
      <c r="XDG282" s="1069"/>
      <c r="XDH282" s="1069"/>
      <c r="XDI282" s="1069"/>
      <c r="XDJ282" s="1069"/>
      <c r="XDK282" s="1069"/>
      <c r="XDL282" s="1069"/>
      <c r="XDM282" s="1069"/>
      <c r="XDN282" s="1069"/>
      <c r="XDO282" s="1069"/>
      <c r="XDP282" s="1069"/>
      <c r="XDQ282" s="1069"/>
      <c r="XDR282" s="1069"/>
      <c r="XDS282" s="1069"/>
      <c r="XDT282" s="1069"/>
      <c r="XDU282" s="1069"/>
      <c r="XDV282" s="1069"/>
      <c r="XDW282" s="1069"/>
      <c r="XDX282" s="1069"/>
      <c r="XDY282" s="1069"/>
      <c r="XDZ282" s="1069"/>
      <c r="XEA282" s="1069"/>
      <c r="XEB282" s="1069"/>
      <c r="XEC282" s="1069"/>
    </row>
    <row r="283" spans="1:16357" s="1069" customFormat="1" ht="12.75" hidden="1" customHeight="1" outlineLevel="1" x14ac:dyDescent="0.35">
      <c r="A283" s="521" t="s">
        <v>708</v>
      </c>
      <c r="B283" s="50"/>
      <c r="C283" s="826"/>
      <c r="D283" s="827"/>
      <c r="E283" s="827"/>
      <c r="F283" s="828"/>
      <c r="G283" s="50"/>
      <c r="H283" s="826"/>
      <c r="I283" s="827"/>
      <c r="J283" s="827"/>
      <c r="K283" s="827"/>
      <c r="L283" s="50"/>
      <c r="M283" s="827"/>
      <c r="N283" s="827"/>
      <c r="O283" s="827"/>
      <c r="P283" s="827"/>
      <c r="Q283" s="50"/>
      <c r="R283" s="46"/>
      <c r="S283" s="46"/>
      <c r="T283" s="46"/>
      <c r="U283" s="47"/>
      <c r="V283" s="50"/>
      <c r="W283" s="46"/>
      <c r="X283" s="46"/>
      <c r="Y283" s="46"/>
      <c r="Z283" s="47"/>
      <c r="AA283" s="52"/>
      <c r="AB283" s="82"/>
      <c r="AC283" s="46"/>
      <c r="AD283" s="46"/>
      <c r="AE283" s="46"/>
      <c r="AF283" s="50"/>
      <c r="AG283" s="46"/>
      <c r="AH283" s="46"/>
      <c r="AI283" s="46"/>
      <c r="AJ283" s="46"/>
      <c r="AK283" s="50"/>
      <c r="AL283" s="46"/>
      <c r="AM283" s="46"/>
      <c r="AN283" s="46"/>
      <c r="AO283" s="46"/>
      <c r="AP283" s="50"/>
      <c r="AQ283" s="46"/>
      <c r="AR283" s="46"/>
      <c r="AS283" s="46"/>
      <c r="AT283" s="46"/>
      <c r="AU283" s="81"/>
      <c r="AV283" s="49"/>
      <c r="AW283" s="46"/>
      <c r="AX283" s="46"/>
      <c r="AY283" s="46"/>
      <c r="AZ283" s="46"/>
      <c r="BA283" s="50"/>
      <c r="BB283" s="46"/>
      <c r="BC283" s="46"/>
      <c r="BD283" s="46"/>
      <c r="BE283" s="46"/>
      <c r="BF283" s="50"/>
      <c r="BG283" s="46"/>
      <c r="BH283" s="46"/>
      <c r="BI283" s="46"/>
      <c r="BJ283" s="46"/>
      <c r="BK283" s="50"/>
      <c r="BL283" s="852">
        <v>55.598000000000013</v>
      </c>
      <c r="BM283" s="852">
        <v>69.577999999999975</v>
      </c>
      <c r="BN283" s="852">
        <v>62.350999999999999</v>
      </c>
      <c r="BO283" s="852">
        <v>64.911000000000001</v>
      </c>
      <c r="BP283" s="50">
        <v>252.4380000000001</v>
      </c>
      <c r="BQ283" s="852">
        <v>58.353000000000009</v>
      </c>
      <c r="BR283" s="852">
        <v>73.362000000000023</v>
      </c>
      <c r="BS283" s="852">
        <v>76.656000000000006</v>
      </c>
      <c r="BT283" s="852">
        <v>72.003625927131509</v>
      </c>
      <c r="BU283" s="50">
        <v>280.37462592713132</v>
      </c>
      <c r="BV283" s="1309">
        <v>62.036194016113313</v>
      </c>
      <c r="BW283" s="1309">
        <v>76.794875099653211</v>
      </c>
      <c r="BX283" s="1309">
        <v>75.731826673090154</v>
      </c>
      <c r="BY283" s="1309">
        <v>81.344017953439561</v>
      </c>
      <c r="BZ283" s="50">
        <v>295.90691374229641</v>
      </c>
      <c r="CA283" s="852">
        <v>62.036194016113313</v>
      </c>
      <c r="CB283" s="852">
        <v>76.794875099653211</v>
      </c>
      <c r="CC283" s="852">
        <v>75.731826673090154</v>
      </c>
      <c r="CD283" s="852">
        <v>81.344017953439561</v>
      </c>
      <c r="CE283" s="50">
        <v>295.90691374229641</v>
      </c>
      <c r="CF283" s="852">
        <v>65.596270878993153</v>
      </c>
      <c r="CG283" s="852">
        <v>81.129321908334589</v>
      </c>
      <c r="CH283" s="852">
        <v>80.0154877612311</v>
      </c>
      <c r="CI283" s="852">
        <v>79.826446385750842</v>
      </c>
      <c r="CJ283" s="50">
        <v>306.56752693430985</v>
      </c>
      <c r="CK283" s="852">
        <v>68.596148863688768</v>
      </c>
      <c r="CL283" s="852">
        <v>81.360007105239674</v>
      </c>
      <c r="CM283" s="852">
        <v>78.506847559631069</v>
      </c>
      <c r="CN283" s="852">
        <v>82.273163010054986</v>
      </c>
      <c r="CO283" s="50">
        <v>310.73616653861473</v>
      </c>
      <c r="CP283" s="852">
        <v>72.316370740625302</v>
      </c>
      <c r="CQ283" s="852">
        <v>85.638612169760108</v>
      </c>
      <c r="CR283" s="852">
        <v>82.647739205596508</v>
      </c>
      <c r="CS283" s="852">
        <v>86.596159515679915</v>
      </c>
      <c r="CT283" s="50">
        <v>327.19888163166161</v>
      </c>
      <c r="CU283" s="852">
        <v>76.855057485751672</v>
      </c>
      <c r="CV283" s="852">
        <v>90.929583822329846</v>
      </c>
      <c r="CW283" s="852">
        <v>87.717217583284196</v>
      </c>
      <c r="CX283" s="852">
        <v>91.840793750052285</v>
      </c>
      <c r="CY283" s="50">
        <v>347.34265264141823</v>
      </c>
      <c r="CZ283" s="852">
        <v>81.499935499139156</v>
      </c>
      <c r="DA283" s="852">
        <v>96.283982837645908</v>
      </c>
      <c r="DB283" s="852">
        <v>92.796357622642859</v>
      </c>
      <c r="DC283" s="852">
        <v>97.04148858403164</v>
      </c>
      <c r="DD283" s="50">
        <v>367.62176454345945</v>
      </c>
      <c r="DE283" s="852">
        <v>86.060186719844296</v>
      </c>
      <c r="DF283" s="852">
        <v>101.52837924392747</v>
      </c>
      <c r="DG283" s="852">
        <v>97.767764819236277</v>
      </c>
      <c r="DH283" s="852">
        <v>102.01635138261406</v>
      </c>
      <c r="DI283" s="50">
        <v>387.37268216562234</v>
      </c>
      <c r="DJ283" s="852">
        <v>90.322686993417278</v>
      </c>
      <c r="DK283" s="852">
        <v>106.46988998357938</v>
      </c>
      <c r="DL283" s="852">
        <v>102.55614715212334</v>
      </c>
      <c r="DM283" s="852">
        <v>107.02010590459656</v>
      </c>
      <c r="DN283" s="50">
        <v>406.36883003371668</v>
      </c>
      <c r="DO283" s="852"/>
      <c r="DP283" s="852"/>
      <c r="DQ283" s="852"/>
      <c r="DR283" s="852"/>
      <c r="DS283" s="50"/>
      <c r="DT283" s="46"/>
      <c r="DU283" s="46"/>
      <c r="DV283" s="46"/>
      <c r="DW283" s="46"/>
      <c r="DX283" s="50"/>
      <c r="DY283" s="46"/>
      <c r="DZ283" s="46"/>
      <c r="EA283" s="46"/>
      <c r="EB283" s="46"/>
      <c r="EC283" s="50"/>
      <c r="ED283" s="46"/>
      <c r="EE283" s="37"/>
      <c r="EF283" s="286"/>
      <c r="EG283" s="25"/>
      <c r="EH283" s="25"/>
      <c r="EI283" s="25"/>
      <c r="EJ283" s="25"/>
      <c r="EK283" s="25"/>
      <c r="EL283" s="25"/>
      <c r="EM283" s="25"/>
      <c r="EN283" s="25"/>
      <c r="EO283" s="25"/>
      <c r="EP283" s="25"/>
      <c r="EQ283" s="25"/>
      <c r="ER283" s="25"/>
      <c r="ES283" s="25"/>
      <c r="ET283" s="25"/>
      <c r="EU283" s="25"/>
      <c r="EX283" s="25"/>
      <c r="EY283" s="294"/>
      <c r="EZ283" s="985"/>
      <c r="FA283" s="985"/>
      <c r="FB283" s="294"/>
      <c r="FC283" s="985"/>
      <c r="FD283" s="25"/>
      <c r="FE283"/>
      <c r="FF283"/>
      <c r="FG283"/>
      <c r="FH283"/>
      <c r="FI283"/>
      <c r="FJ283"/>
    </row>
    <row r="284" spans="1:16357" ht="12.75" hidden="1" customHeight="1" outlineLevel="1" x14ac:dyDescent="0.35">
      <c r="A284" s="17"/>
      <c r="B284" s="85"/>
      <c r="C284" s="89"/>
      <c r="D284" s="90"/>
      <c r="E284" s="90"/>
      <c r="F284" s="92"/>
      <c r="G284" s="85"/>
      <c r="H284" s="89"/>
      <c r="I284" s="90"/>
      <c r="J284" s="90"/>
      <c r="K284" s="90"/>
      <c r="L284" s="85"/>
      <c r="M284" s="90"/>
      <c r="N284" s="90"/>
      <c r="O284" s="90"/>
      <c r="P284" s="90"/>
      <c r="Q284" s="85"/>
      <c r="R284" s="38"/>
      <c r="S284" s="38"/>
      <c r="T284" s="38"/>
      <c r="U284" s="39"/>
      <c r="V284" s="85"/>
      <c r="W284" s="38"/>
      <c r="X284" s="38"/>
      <c r="Y284" s="38"/>
      <c r="Z284" s="39"/>
      <c r="AA284" s="54"/>
      <c r="AB284" s="87"/>
      <c r="AC284" s="38"/>
      <c r="AD284" s="38"/>
      <c r="AE284" s="38"/>
      <c r="AF284" s="85"/>
      <c r="AG284" s="38"/>
      <c r="AH284" s="38"/>
      <c r="AI284" s="38"/>
      <c r="AJ284" s="38"/>
      <c r="AK284" s="85"/>
      <c r="AL284" s="38"/>
      <c r="AM284" s="38"/>
      <c r="AN284" s="38"/>
      <c r="AO284" s="38"/>
      <c r="AP284" s="85"/>
      <c r="AQ284" s="38"/>
      <c r="AR284" s="38"/>
      <c r="AS284" s="38"/>
      <c r="AT284" s="38"/>
      <c r="AU284" s="86"/>
      <c r="AV284" s="45"/>
      <c r="AW284" s="38"/>
      <c r="AX284" s="38"/>
      <c r="AY284" s="38"/>
      <c r="AZ284" s="38"/>
      <c r="BA284" s="85"/>
      <c r="BB284" s="38"/>
      <c r="BC284" s="38"/>
      <c r="BD284" s="38"/>
      <c r="BE284" s="38"/>
      <c r="BF284" s="85"/>
      <c r="BG284" s="38"/>
      <c r="BH284" s="38"/>
      <c r="BI284" s="38"/>
      <c r="BJ284" s="38"/>
      <c r="BK284" s="85"/>
      <c r="BL284" s="440"/>
      <c r="BM284" s="38"/>
      <c r="BN284" s="38"/>
      <c r="BO284" s="38"/>
      <c r="BP284" s="85"/>
      <c r="BQ284" s="440"/>
      <c r="BR284" s="38"/>
      <c r="BS284" s="38"/>
      <c r="BT284" s="38"/>
      <c r="BU284" s="85"/>
      <c r="BV284" s="1300"/>
      <c r="BW284" s="1070"/>
      <c r="BX284" s="1070"/>
      <c r="BY284" s="1070"/>
      <c r="BZ284" s="85"/>
      <c r="CA284" s="440"/>
      <c r="CB284" s="38"/>
      <c r="CC284" s="38"/>
      <c r="CD284" s="38"/>
      <c r="CE284" s="85"/>
      <c r="CF284" s="440"/>
      <c r="CG284" s="38"/>
      <c r="CH284" s="38"/>
      <c r="CI284" s="38"/>
      <c r="CJ284" s="85"/>
      <c r="CK284" s="440"/>
      <c r="CL284" s="38"/>
      <c r="CM284" s="38"/>
      <c r="CN284" s="38"/>
      <c r="CO284" s="85"/>
      <c r="CP284" s="440"/>
      <c r="CQ284" s="38"/>
      <c r="CR284" s="38"/>
      <c r="CS284" s="38"/>
      <c r="CT284" s="85"/>
      <c r="CU284" s="440"/>
      <c r="CV284" s="38"/>
      <c r="CW284" s="38"/>
      <c r="CX284" s="38"/>
      <c r="CY284" s="85"/>
      <c r="CZ284" s="440"/>
      <c r="DA284" s="38"/>
      <c r="DB284" s="38"/>
      <c r="DC284" s="38"/>
      <c r="DD284" s="85"/>
      <c r="DE284" s="440"/>
      <c r="DF284" s="38"/>
      <c r="DG284" s="38"/>
      <c r="DH284" s="38"/>
      <c r="DI284" s="85"/>
      <c r="DJ284" s="440"/>
      <c r="DK284" s="38"/>
      <c r="DL284" s="38"/>
      <c r="DM284" s="38"/>
      <c r="DN284" s="85"/>
      <c r="DO284" s="440"/>
      <c r="DP284" s="38"/>
      <c r="DQ284" s="38"/>
      <c r="DR284" s="38"/>
      <c r="DS284" s="85"/>
      <c r="DT284" s="38"/>
      <c r="DU284" s="38"/>
      <c r="DV284" s="38"/>
      <c r="DW284" s="38"/>
      <c r="DX284" s="85"/>
      <c r="DY284" s="38"/>
      <c r="DZ284" s="38"/>
      <c r="EA284" s="38"/>
      <c r="EB284" s="38"/>
      <c r="EC284" s="85"/>
      <c r="ED284" s="46"/>
      <c r="EE284" s="37"/>
      <c r="EF284" s="286"/>
      <c r="EG284" s="25"/>
      <c r="EH284" s="25"/>
      <c r="EI284" s="25"/>
      <c r="EJ284" s="25"/>
      <c r="EK284" s="25"/>
      <c r="EL284" s="25"/>
      <c r="EM284" s="25"/>
      <c r="EN284" s="25"/>
      <c r="EO284" s="25"/>
      <c r="EP284" s="25"/>
      <c r="EQ284" s="25"/>
      <c r="ER284" s="25"/>
      <c r="ES284" s="25"/>
      <c r="ET284" s="25"/>
      <c r="EU284" s="25"/>
      <c r="EX284" s="25"/>
      <c r="EY284" s="294"/>
      <c r="EZ284" s="985"/>
      <c r="FA284" s="985"/>
      <c r="FB284" s="294"/>
      <c r="FC284" s="985"/>
      <c r="FD284" s="25"/>
      <c r="FK284" s="1069"/>
      <c r="FL284" s="1069"/>
      <c r="FM284" s="1069"/>
      <c r="FN284" s="1069"/>
      <c r="FO284" s="1069"/>
      <c r="FP284" s="1069"/>
      <c r="FQ284" s="1069"/>
      <c r="FR284" s="1069"/>
      <c r="FS284" s="1069"/>
      <c r="FT284" s="1069"/>
      <c r="FU284" s="1069"/>
      <c r="FV284" s="1069"/>
      <c r="FW284" s="1069"/>
      <c r="FX284" s="1069"/>
      <c r="FY284" s="1069"/>
      <c r="FZ284" s="1069"/>
      <c r="GA284" s="1069"/>
      <c r="GB284" s="1069"/>
      <c r="GC284" s="1069"/>
      <c r="GD284" s="1069"/>
      <c r="GE284" s="1069"/>
      <c r="GF284" s="1069"/>
      <c r="GG284" s="1069"/>
      <c r="GH284" s="1069"/>
      <c r="GI284" s="1069"/>
      <c r="GJ284" s="1069"/>
      <c r="GK284" s="1069"/>
      <c r="GL284" s="1069"/>
      <c r="GM284" s="1069"/>
      <c r="GN284" s="1069"/>
      <c r="GO284" s="1069"/>
      <c r="GP284" s="1069"/>
      <c r="GQ284" s="1069"/>
      <c r="GR284" s="1069"/>
      <c r="GS284" s="1069"/>
      <c r="GT284" s="1069"/>
      <c r="GU284" s="1069"/>
      <c r="GV284" s="1069"/>
      <c r="GW284" s="1069"/>
      <c r="GX284" s="1069"/>
      <c r="GY284" s="1069"/>
      <c r="GZ284" s="1069"/>
      <c r="HA284" s="1069"/>
      <c r="HB284" s="1069"/>
      <c r="HC284" s="1069"/>
      <c r="HD284" s="1069"/>
      <c r="HE284" s="1069"/>
      <c r="HF284" s="1069"/>
      <c r="HG284" s="1069"/>
      <c r="HH284" s="1069"/>
      <c r="HI284" s="1069"/>
      <c r="HJ284" s="1069"/>
      <c r="HK284" s="1069"/>
      <c r="HL284" s="1069"/>
      <c r="HM284" s="1069"/>
      <c r="HN284" s="1069"/>
      <c r="HO284" s="1069"/>
      <c r="HP284" s="1069"/>
      <c r="HQ284" s="1069"/>
      <c r="HR284" s="1069"/>
      <c r="HS284" s="1069"/>
      <c r="HT284" s="1069"/>
      <c r="HU284" s="1069"/>
      <c r="HV284" s="1069"/>
      <c r="HW284" s="1069"/>
      <c r="HX284" s="1069"/>
      <c r="HY284" s="1069"/>
      <c r="HZ284" s="1069"/>
      <c r="IA284" s="1069"/>
      <c r="IB284" s="1069"/>
      <c r="IC284" s="1069"/>
      <c r="ID284" s="1069"/>
      <c r="IE284" s="1069"/>
      <c r="IF284" s="1069"/>
      <c r="IG284" s="1069"/>
      <c r="IH284" s="1069"/>
      <c r="II284" s="1069"/>
      <c r="IJ284" s="1069"/>
      <c r="IK284" s="1069"/>
      <c r="IL284" s="1069"/>
      <c r="IM284" s="1069"/>
      <c r="IN284" s="1069"/>
      <c r="IO284" s="1069"/>
      <c r="IP284" s="1069"/>
      <c r="IQ284" s="1069"/>
      <c r="IR284" s="1069"/>
      <c r="IS284" s="1069"/>
      <c r="IT284" s="1069"/>
      <c r="IU284" s="1069"/>
      <c r="IV284" s="1069"/>
      <c r="IW284" s="1069"/>
      <c r="IX284" s="1069"/>
      <c r="IY284" s="1069"/>
      <c r="IZ284" s="1069"/>
      <c r="JA284" s="1069"/>
      <c r="JB284" s="1069"/>
      <c r="JC284" s="1069"/>
      <c r="JD284" s="1069"/>
      <c r="JE284" s="1069"/>
      <c r="JF284" s="1069"/>
      <c r="JG284" s="1069"/>
      <c r="JH284" s="1069"/>
      <c r="JI284" s="1069"/>
      <c r="JJ284" s="1069"/>
      <c r="JK284" s="1069"/>
      <c r="JL284" s="1069"/>
      <c r="JM284" s="1069"/>
      <c r="JN284" s="1069"/>
      <c r="JO284" s="1069"/>
      <c r="JP284" s="1069"/>
      <c r="JQ284" s="1069"/>
      <c r="JR284" s="1069"/>
      <c r="JS284" s="1069"/>
      <c r="JT284" s="1069"/>
      <c r="JU284" s="1069"/>
      <c r="JV284" s="1069"/>
      <c r="JW284" s="1069"/>
      <c r="JX284" s="1069"/>
      <c r="JY284" s="1069"/>
      <c r="JZ284" s="1069"/>
      <c r="KA284" s="1069"/>
      <c r="KB284" s="1069"/>
      <c r="KC284" s="1069"/>
      <c r="KD284" s="1069"/>
      <c r="KE284" s="1069"/>
      <c r="KF284" s="1069"/>
      <c r="KG284" s="1069"/>
      <c r="KH284" s="1069"/>
      <c r="KI284" s="1069"/>
      <c r="KJ284" s="1069"/>
      <c r="KK284" s="1069"/>
      <c r="KL284" s="1069"/>
      <c r="KM284" s="1069"/>
      <c r="KN284" s="1069"/>
      <c r="KO284" s="1069"/>
      <c r="KP284" s="1069"/>
      <c r="KQ284" s="1069"/>
      <c r="KR284" s="1069"/>
      <c r="KS284" s="1069"/>
      <c r="KT284" s="1069"/>
      <c r="KU284" s="1069"/>
      <c r="KV284" s="1069"/>
      <c r="KW284" s="1069"/>
      <c r="KX284" s="1069"/>
      <c r="KY284" s="1069"/>
      <c r="KZ284" s="1069"/>
      <c r="LA284" s="1069"/>
      <c r="LB284" s="1069"/>
      <c r="LC284" s="1069"/>
      <c r="LD284" s="1069"/>
      <c r="LE284" s="1069"/>
      <c r="LF284" s="1069"/>
      <c r="LG284" s="1069"/>
      <c r="LH284" s="1069"/>
      <c r="LI284" s="1069"/>
      <c r="LJ284" s="1069"/>
      <c r="LK284" s="1069"/>
      <c r="LL284" s="1069"/>
      <c r="LM284" s="1069"/>
      <c r="LN284" s="1069"/>
      <c r="LO284" s="1069"/>
      <c r="LP284" s="1069"/>
      <c r="LQ284" s="1069"/>
      <c r="LR284" s="1069"/>
      <c r="LS284" s="1069"/>
      <c r="LT284" s="1069"/>
      <c r="LU284" s="1069"/>
      <c r="LV284" s="1069"/>
      <c r="LW284" s="1069"/>
      <c r="LX284" s="1069"/>
      <c r="LY284" s="1069"/>
      <c r="LZ284" s="1069"/>
      <c r="MA284" s="1069"/>
      <c r="MB284" s="1069"/>
      <c r="MC284" s="1069"/>
      <c r="MD284" s="1069"/>
      <c r="ME284" s="1069"/>
      <c r="MF284" s="1069"/>
      <c r="MG284" s="1069"/>
      <c r="MH284" s="1069"/>
      <c r="MI284" s="1069"/>
      <c r="MJ284" s="1069"/>
      <c r="MK284" s="1069"/>
      <c r="ML284" s="1069"/>
      <c r="MM284" s="1069"/>
      <c r="MN284" s="1069"/>
      <c r="MO284" s="1069"/>
      <c r="MP284" s="1069"/>
      <c r="MQ284" s="1069"/>
      <c r="MR284" s="1069"/>
      <c r="MS284" s="1069"/>
      <c r="MT284" s="1069"/>
      <c r="MU284" s="1069"/>
      <c r="MV284" s="1069"/>
      <c r="MW284" s="1069"/>
      <c r="MX284" s="1069"/>
      <c r="MY284" s="1069"/>
      <c r="MZ284" s="1069"/>
      <c r="NA284" s="1069"/>
      <c r="NB284" s="1069"/>
      <c r="NC284" s="1069"/>
      <c r="ND284" s="1069"/>
      <c r="NE284" s="1069"/>
      <c r="NF284" s="1069"/>
      <c r="NG284" s="1069"/>
      <c r="NH284" s="1069"/>
      <c r="NI284" s="1069"/>
      <c r="NJ284" s="1069"/>
      <c r="NK284" s="1069"/>
      <c r="NL284" s="1069"/>
      <c r="NM284" s="1069"/>
      <c r="NN284" s="1069"/>
      <c r="NO284" s="1069"/>
      <c r="NP284" s="1069"/>
      <c r="NQ284" s="1069"/>
      <c r="NR284" s="1069"/>
      <c r="NS284" s="1069"/>
      <c r="NT284" s="1069"/>
      <c r="NU284" s="1069"/>
      <c r="NV284" s="1069"/>
      <c r="NW284" s="1069"/>
      <c r="NX284" s="1069"/>
      <c r="NY284" s="1069"/>
      <c r="NZ284" s="1069"/>
      <c r="OA284" s="1069"/>
      <c r="OB284" s="1069"/>
      <c r="OC284" s="1069"/>
      <c r="OD284" s="1069"/>
      <c r="OE284" s="1069"/>
      <c r="OF284" s="1069"/>
      <c r="OG284" s="1069"/>
      <c r="OH284" s="1069"/>
      <c r="OI284" s="1069"/>
      <c r="OJ284" s="1069"/>
      <c r="OK284" s="1069"/>
      <c r="OL284" s="1069"/>
      <c r="OM284" s="1069"/>
      <c r="ON284" s="1069"/>
      <c r="OO284" s="1069"/>
      <c r="OP284" s="1069"/>
      <c r="OQ284" s="1069"/>
      <c r="OR284" s="1069"/>
      <c r="OS284" s="1069"/>
      <c r="OT284" s="1069"/>
      <c r="OU284" s="1069"/>
      <c r="OV284" s="1069"/>
      <c r="OW284" s="1069"/>
      <c r="OX284" s="1069"/>
      <c r="OY284" s="1069"/>
      <c r="OZ284" s="1069"/>
      <c r="PA284" s="1069"/>
      <c r="PB284" s="1069"/>
      <c r="PC284" s="1069"/>
      <c r="PD284" s="1069"/>
      <c r="PE284" s="1069"/>
      <c r="PF284" s="1069"/>
      <c r="PG284" s="1069"/>
      <c r="PH284" s="1069"/>
      <c r="PI284" s="1069"/>
      <c r="PJ284" s="1069"/>
      <c r="PK284" s="1069"/>
      <c r="PL284" s="1069"/>
      <c r="PM284" s="1069"/>
      <c r="PN284" s="1069"/>
      <c r="PO284" s="1069"/>
      <c r="PP284" s="1069"/>
      <c r="PQ284" s="1069"/>
      <c r="PR284" s="1069"/>
      <c r="PS284" s="1069"/>
      <c r="PT284" s="1069"/>
      <c r="PU284" s="1069"/>
      <c r="PV284" s="1069"/>
      <c r="PW284" s="1069"/>
      <c r="PX284" s="1069"/>
      <c r="PY284" s="1069"/>
      <c r="PZ284" s="1069"/>
      <c r="QA284" s="1069"/>
      <c r="QB284" s="1069"/>
      <c r="QC284" s="1069"/>
      <c r="QD284" s="1069"/>
      <c r="QE284" s="1069"/>
      <c r="QF284" s="1069"/>
      <c r="QG284" s="1069"/>
      <c r="QH284" s="1069"/>
      <c r="QI284" s="1069"/>
      <c r="QJ284" s="1069"/>
      <c r="QK284" s="1069"/>
      <c r="QL284" s="1069"/>
      <c r="QM284" s="1069"/>
      <c r="QN284" s="1069"/>
      <c r="QO284" s="1069"/>
      <c r="QP284" s="1069"/>
      <c r="QQ284" s="1069"/>
      <c r="QR284" s="1069"/>
      <c r="QS284" s="1069"/>
      <c r="QT284" s="1069"/>
      <c r="QU284" s="1069"/>
      <c r="QV284" s="1069"/>
      <c r="QW284" s="1069"/>
      <c r="QX284" s="1069"/>
      <c r="QY284" s="1069"/>
      <c r="QZ284" s="1069"/>
      <c r="RA284" s="1069"/>
      <c r="RB284" s="1069"/>
      <c r="RC284" s="1069"/>
      <c r="RD284" s="1069"/>
      <c r="RE284" s="1069"/>
      <c r="RF284" s="1069"/>
      <c r="RG284" s="1069"/>
      <c r="RH284" s="1069"/>
      <c r="RI284" s="1069"/>
      <c r="RJ284" s="1069"/>
      <c r="RK284" s="1069"/>
      <c r="RL284" s="1069"/>
      <c r="RM284" s="1069"/>
      <c r="RN284" s="1069"/>
      <c r="RO284" s="1069"/>
      <c r="RP284" s="1069"/>
      <c r="RQ284" s="1069"/>
      <c r="RR284" s="1069"/>
      <c r="RS284" s="1069"/>
      <c r="RT284" s="1069"/>
      <c r="RU284" s="1069"/>
      <c r="RV284" s="1069"/>
      <c r="RW284" s="1069"/>
      <c r="RX284" s="1069"/>
      <c r="RY284" s="1069"/>
      <c r="RZ284" s="1069"/>
      <c r="SA284" s="1069"/>
      <c r="SB284" s="1069"/>
      <c r="SC284" s="1069"/>
      <c r="SD284" s="1069"/>
      <c r="SE284" s="1069"/>
      <c r="SF284" s="1069"/>
      <c r="SG284" s="1069"/>
      <c r="SH284" s="1069"/>
      <c r="SI284" s="1069"/>
      <c r="SJ284" s="1069"/>
      <c r="SK284" s="1069"/>
      <c r="SL284" s="1069"/>
      <c r="SM284" s="1069"/>
      <c r="SN284" s="1069"/>
      <c r="SO284" s="1069"/>
      <c r="SP284" s="1069"/>
      <c r="SQ284" s="1069"/>
      <c r="SR284" s="1069"/>
      <c r="SS284" s="1069"/>
      <c r="ST284" s="1069"/>
      <c r="SU284" s="1069"/>
      <c r="SV284" s="1069"/>
      <c r="SW284" s="1069"/>
      <c r="SX284" s="1069"/>
      <c r="SY284" s="1069"/>
      <c r="SZ284" s="1069"/>
      <c r="TA284" s="1069"/>
      <c r="TB284" s="1069"/>
      <c r="TC284" s="1069"/>
      <c r="TD284" s="1069"/>
      <c r="TE284" s="1069"/>
      <c r="TF284" s="1069"/>
      <c r="TG284" s="1069"/>
      <c r="TH284" s="1069"/>
      <c r="TI284" s="1069"/>
      <c r="TJ284" s="1069"/>
      <c r="TK284" s="1069"/>
      <c r="TL284" s="1069"/>
      <c r="TM284" s="1069"/>
      <c r="TN284" s="1069"/>
      <c r="TO284" s="1069"/>
      <c r="TP284" s="1069"/>
      <c r="TQ284" s="1069"/>
      <c r="TR284" s="1069"/>
      <c r="TS284" s="1069"/>
      <c r="TT284" s="1069"/>
      <c r="TU284" s="1069"/>
      <c r="TV284" s="1069"/>
      <c r="TW284" s="1069"/>
      <c r="TX284" s="1069"/>
      <c r="TY284" s="1069"/>
      <c r="TZ284" s="1069"/>
      <c r="UA284" s="1069"/>
      <c r="UB284" s="1069"/>
      <c r="UC284" s="1069"/>
      <c r="UD284" s="1069"/>
      <c r="UE284" s="1069"/>
      <c r="UF284" s="1069"/>
      <c r="UG284" s="1069"/>
      <c r="UH284" s="1069"/>
      <c r="UI284" s="1069"/>
      <c r="UJ284" s="1069"/>
      <c r="UK284" s="1069"/>
      <c r="UL284" s="1069"/>
      <c r="UM284" s="1069"/>
      <c r="UN284" s="1069"/>
      <c r="UO284" s="1069"/>
      <c r="UP284" s="1069"/>
      <c r="UQ284" s="1069"/>
      <c r="UR284" s="1069"/>
      <c r="US284" s="1069"/>
      <c r="UT284" s="1069"/>
      <c r="UU284" s="1069"/>
      <c r="UV284" s="1069"/>
      <c r="UW284" s="1069"/>
      <c r="UX284" s="1069"/>
      <c r="UY284" s="1069"/>
      <c r="UZ284" s="1069"/>
      <c r="VA284" s="1069"/>
      <c r="VB284" s="1069"/>
      <c r="VC284" s="1069"/>
      <c r="VD284" s="1069"/>
      <c r="VE284" s="1069"/>
      <c r="VF284" s="1069"/>
      <c r="VG284" s="1069"/>
      <c r="VH284" s="1069"/>
      <c r="VI284" s="1069"/>
      <c r="VJ284" s="1069"/>
      <c r="VK284" s="1069"/>
      <c r="VL284" s="1069"/>
      <c r="VM284" s="1069"/>
      <c r="VN284" s="1069"/>
      <c r="VO284" s="1069"/>
      <c r="VP284" s="1069"/>
      <c r="VQ284" s="1069"/>
      <c r="VR284" s="1069"/>
      <c r="VS284" s="1069"/>
      <c r="VT284" s="1069"/>
      <c r="VU284" s="1069"/>
      <c r="VV284" s="1069"/>
      <c r="VW284" s="1069"/>
      <c r="VX284" s="1069"/>
      <c r="VY284" s="1069"/>
      <c r="VZ284" s="1069"/>
      <c r="WA284" s="1069"/>
      <c r="WB284" s="1069"/>
      <c r="WC284" s="1069"/>
      <c r="WD284" s="1069"/>
      <c r="WE284" s="1069"/>
      <c r="WF284" s="1069"/>
      <c r="WG284" s="1069"/>
      <c r="WH284" s="1069"/>
      <c r="WI284" s="1069"/>
      <c r="WJ284" s="1069"/>
      <c r="WK284" s="1069"/>
      <c r="WL284" s="1069"/>
      <c r="WM284" s="1069"/>
      <c r="WN284" s="1069"/>
      <c r="WO284" s="1069"/>
      <c r="WP284" s="1069"/>
      <c r="WQ284" s="1069"/>
      <c r="WR284" s="1069"/>
      <c r="WS284" s="1069"/>
      <c r="WT284" s="1069"/>
      <c r="WU284" s="1069"/>
      <c r="WV284" s="1069"/>
      <c r="WW284" s="1069"/>
      <c r="WX284" s="1069"/>
      <c r="WY284" s="1069"/>
      <c r="WZ284" s="1069"/>
      <c r="XA284" s="1069"/>
      <c r="XB284" s="1069"/>
      <c r="XC284" s="1069"/>
      <c r="XD284" s="1069"/>
      <c r="XE284" s="1069"/>
      <c r="XF284" s="1069"/>
      <c r="XG284" s="1069"/>
      <c r="XH284" s="1069"/>
      <c r="XI284" s="1069"/>
      <c r="XJ284" s="1069"/>
      <c r="XK284" s="1069"/>
      <c r="XL284" s="1069"/>
      <c r="XM284" s="1069"/>
      <c r="XN284" s="1069"/>
      <c r="XO284" s="1069"/>
      <c r="XP284" s="1069"/>
      <c r="XQ284" s="1069"/>
      <c r="XR284" s="1069"/>
      <c r="XS284" s="1069"/>
      <c r="XT284" s="1069"/>
      <c r="XU284" s="1069"/>
      <c r="XV284" s="1069"/>
      <c r="XW284" s="1069"/>
      <c r="XX284" s="1069"/>
      <c r="XY284" s="1069"/>
      <c r="XZ284" s="1069"/>
      <c r="YA284" s="1069"/>
      <c r="YB284" s="1069"/>
      <c r="YC284" s="1069"/>
      <c r="YD284" s="1069"/>
      <c r="YE284" s="1069"/>
      <c r="YF284" s="1069"/>
      <c r="YG284" s="1069"/>
      <c r="YH284" s="1069"/>
      <c r="YI284" s="1069"/>
      <c r="YJ284" s="1069"/>
      <c r="YK284" s="1069"/>
      <c r="YL284" s="1069"/>
      <c r="YM284" s="1069"/>
      <c r="YN284" s="1069"/>
      <c r="YO284" s="1069"/>
      <c r="YP284" s="1069"/>
      <c r="YQ284" s="1069"/>
      <c r="YR284" s="1069"/>
      <c r="YS284" s="1069"/>
      <c r="YT284" s="1069"/>
      <c r="YU284" s="1069"/>
      <c r="YV284" s="1069"/>
      <c r="YW284" s="1069"/>
      <c r="YX284" s="1069"/>
      <c r="YY284" s="1069"/>
      <c r="YZ284" s="1069"/>
      <c r="ZA284" s="1069"/>
      <c r="ZB284" s="1069"/>
      <c r="ZC284" s="1069"/>
      <c r="ZD284" s="1069"/>
      <c r="ZE284" s="1069"/>
      <c r="ZF284" s="1069"/>
      <c r="ZG284" s="1069"/>
      <c r="ZH284" s="1069"/>
      <c r="ZI284" s="1069"/>
      <c r="ZJ284" s="1069"/>
      <c r="ZK284" s="1069"/>
      <c r="ZL284" s="1069"/>
      <c r="ZM284" s="1069"/>
      <c r="ZN284" s="1069"/>
      <c r="ZO284" s="1069"/>
      <c r="ZP284" s="1069"/>
      <c r="ZQ284" s="1069"/>
      <c r="ZR284" s="1069"/>
      <c r="ZS284" s="1069"/>
      <c r="ZT284" s="1069"/>
      <c r="ZU284" s="1069"/>
      <c r="ZV284" s="1069"/>
      <c r="ZW284" s="1069"/>
      <c r="ZX284" s="1069"/>
      <c r="ZY284" s="1069"/>
      <c r="ZZ284" s="1069"/>
      <c r="AAA284" s="1069"/>
      <c r="AAB284" s="1069"/>
      <c r="AAC284" s="1069"/>
      <c r="AAD284" s="1069"/>
      <c r="AAE284" s="1069"/>
      <c r="AAF284" s="1069"/>
      <c r="AAG284" s="1069"/>
      <c r="AAH284" s="1069"/>
      <c r="AAI284" s="1069"/>
      <c r="AAJ284" s="1069"/>
      <c r="AAK284" s="1069"/>
      <c r="AAL284" s="1069"/>
      <c r="AAM284" s="1069"/>
      <c r="AAN284" s="1069"/>
      <c r="AAO284" s="1069"/>
      <c r="AAP284" s="1069"/>
      <c r="AAQ284" s="1069"/>
      <c r="AAR284" s="1069"/>
      <c r="AAS284" s="1069"/>
      <c r="AAT284" s="1069"/>
      <c r="AAU284" s="1069"/>
      <c r="AAV284" s="1069"/>
      <c r="AAW284" s="1069"/>
      <c r="AAX284" s="1069"/>
      <c r="AAY284" s="1069"/>
      <c r="AAZ284" s="1069"/>
      <c r="ABA284" s="1069"/>
      <c r="ABB284" s="1069"/>
      <c r="ABC284" s="1069"/>
      <c r="ABD284" s="1069"/>
      <c r="ABE284" s="1069"/>
      <c r="ABF284" s="1069"/>
      <c r="ABG284" s="1069"/>
      <c r="ABH284" s="1069"/>
      <c r="ABI284" s="1069"/>
      <c r="ABJ284" s="1069"/>
      <c r="ABK284" s="1069"/>
      <c r="ABL284" s="1069"/>
      <c r="ABM284" s="1069"/>
      <c r="ABN284" s="1069"/>
      <c r="ABO284" s="1069"/>
      <c r="ABP284" s="1069"/>
      <c r="ABQ284" s="1069"/>
      <c r="ABR284" s="1069"/>
      <c r="ABS284" s="1069"/>
      <c r="ABT284" s="1069"/>
      <c r="ABU284" s="1069"/>
      <c r="ABV284" s="1069"/>
      <c r="ABW284" s="1069"/>
      <c r="ABX284" s="1069"/>
      <c r="ABY284" s="1069"/>
      <c r="ABZ284" s="1069"/>
      <c r="ACA284" s="1069"/>
      <c r="ACB284" s="1069"/>
      <c r="ACC284" s="1069"/>
      <c r="ACD284" s="1069"/>
      <c r="ACE284" s="1069"/>
      <c r="ACF284" s="1069"/>
      <c r="ACG284" s="1069"/>
      <c r="ACH284" s="1069"/>
      <c r="ACI284" s="1069"/>
      <c r="ACJ284" s="1069"/>
      <c r="ACK284" s="1069"/>
      <c r="ACL284" s="1069"/>
      <c r="ACM284" s="1069"/>
      <c r="ACN284" s="1069"/>
      <c r="ACO284" s="1069"/>
      <c r="ACP284" s="1069"/>
      <c r="ACQ284" s="1069"/>
      <c r="ACR284" s="1069"/>
      <c r="ACS284" s="1069"/>
      <c r="ACT284" s="1069"/>
      <c r="ACU284" s="1069"/>
      <c r="ACV284" s="1069"/>
      <c r="ACW284" s="1069"/>
      <c r="ACX284" s="1069"/>
      <c r="ACY284" s="1069"/>
      <c r="ACZ284" s="1069"/>
      <c r="ADA284" s="1069"/>
      <c r="ADB284" s="1069"/>
      <c r="ADC284" s="1069"/>
      <c r="ADD284" s="1069"/>
      <c r="ADE284" s="1069"/>
      <c r="ADF284" s="1069"/>
      <c r="ADG284" s="1069"/>
      <c r="ADH284" s="1069"/>
      <c r="ADI284" s="1069"/>
      <c r="ADJ284" s="1069"/>
      <c r="ADK284" s="1069"/>
      <c r="ADL284" s="1069"/>
      <c r="ADM284" s="1069"/>
      <c r="ADN284" s="1069"/>
      <c r="ADO284" s="1069"/>
      <c r="ADP284" s="1069"/>
      <c r="ADQ284" s="1069"/>
      <c r="ADR284" s="1069"/>
      <c r="ADS284" s="1069"/>
      <c r="ADT284" s="1069"/>
      <c r="ADU284" s="1069"/>
      <c r="ADV284" s="1069"/>
      <c r="ADW284" s="1069"/>
      <c r="ADX284" s="1069"/>
      <c r="ADY284" s="1069"/>
      <c r="ADZ284" s="1069"/>
      <c r="AEA284" s="1069"/>
      <c r="AEB284" s="1069"/>
      <c r="AEC284" s="1069"/>
      <c r="AED284" s="1069"/>
      <c r="AEE284" s="1069"/>
      <c r="AEF284" s="1069"/>
      <c r="AEG284" s="1069"/>
      <c r="AEH284" s="1069"/>
      <c r="AEI284" s="1069"/>
      <c r="AEJ284" s="1069"/>
      <c r="AEK284" s="1069"/>
      <c r="AEL284" s="1069"/>
      <c r="AEM284" s="1069"/>
      <c r="AEN284" s="1069"/>
      <c r="AEO284" s="1069"/>
      <c r="AEP284" s="1069"/>
      <c r="AEQ284" s="1069"/>
      <c r="AER284" s="1069"/>
      <c r="AES284" s="1069"/>
      <c r="AET284" s="1069"/>
      <c r="AEU284" s="1069"/>
      <c r="AEV284" s="1069"/>
      <c r="AEW284" s="1069"/>
      <c r="AEX284" s="1069"/>
      <c r="AEY284" s="1069"/>
      <c r="AEZ284" s="1069"/>
      <c r="AFA284" s="1069"/>
      <c r="AFB284" s="1069"/>
      <c r="AFC284" s="1069"/>
      <c r="AFD284" s="1069"/>
      <c r="AFE284" s="1069"/>
      <c r="AFF284" s="1069"/>
      <c r="AFG284" s="1069"/>
      <c r="AFH284" s="1069"/>
      <c r="AFI284" s="1069"/>
      <c r="AFJ284" s="1069"/>
      <c r="AFK284" s="1069"/>
      <c r="AFL284" s="1069"/>
      <c r="AFM284" s="1069"/>
      <c r="AFN284" s="1069"/>
      <c r="AFO284" s="1069"/>
      <c r="AFP284" s="1069"/>
      <c r="AFQ284" s="1069"/>
      <c r="AFR284" s="1069"/>
      <c r="AFS284" s="1069"/>
      <c r="AFT284" s="1069"/>
      <c r="AFU284" s="1069"/>
      <c r="AFV284" s="1069"/>
      <c r="AFW284" s="1069"/>
      <c r="AFX284" s="1069"/>
      <c r="AFY284" s="1069"/>
      <c r="AFZ284" s="1069"/>
      <c r="AGA284" s="1069"/>
      <c r="AGB284" s="1069"/>
      <c r="AGC284" s="1069"/>
      <c r="AGD284" s="1069"/>
      <c r="AGE284" s="1069"/>
      <c r="AGF284" s="1069"/>
      <c r="AGG284" s="1069"/>
      <c r="AGH284" s="1069"/>
      <c r="AGI284" s="1069"/>
      <c r="AGJ284" s="1069"/>
      <c r="AGK284" s="1069"/>
      <c r="AGL284" s="1069"/>
      <c r="AGM284" s="1069"/>
      <c r="AGN284" s="1069"/>
      <c r="AGO284" s="1069"/>
      <c r="AGP284" s="1069"/>
      <c r="AGQ284" s="1069"/>
      <c r="AGR284" s="1069"/>
      <c r="AGS284" s="1069"/>
      <c r="AGT284" s="1069"/>
      <c r="AGU284" s="1069"/>
      <c r="AGV284" s="1069"/>
      <c r="AGW284" s="1069"/>
      <c r="AGX284" s="1069"/>
      <c r="AGY284" s="1069"/>
      <c r="AGZ284" s="1069"/>
      <c r="AHA284" s="1069"/>
      <c r="AHB284" s="1069"/>
      <c r="AHC284" s="1069"/>
      <c r="AHD284" s="1069"/>
      <c r="AHE284" s="1069"/>
      <c r="AHF284" s="1069"/>
      <c r="AHG284" s="1069"/>
      <c r="AHH284" s="1069"/>
      <c r="AHI284" s="1069"/>
      <c r="AHJ284" s="1069"/>
      <c r="AHK284" s="1069"/>
      <c r="AHL284" s="1069"/>
      <c r="AHM284" s="1069"/>
      <c r="AHN284" s="1069"/>
      <c r="AHO284" s="1069"/>
      <c r="AHP284" s="1069"/>
      <c r="AHQ284" s="1069"/>
      <c r="AHR284" s="1069"/>
      <c r="AHS284" s="1069"/>
      <c r="AHT284" s="1069"/>
      <c r="AHU284" s="1069"/>
      <c r="AHV284" s="1069"/>
      <c r="AHW284" s="1069"/>
      <c r="AHX284" s="1069"/>
      <c r="AHY284" s="1069"/>
      <c r="AHZ284" s="1069"/>
      <c r="AIA284" s="1069"/>
      <c r="AIB284" s="1069"/>
      <c r="AIC284" s="1069"/>
      <c r="AID284" s="1069"/>
      <c r="AIE284" s="1069"/>
      <c r="AIF284" s="1069"/>
      <c r="AIG284" s="1069"/>
      <c r="AIH284" s="1069"/>
      <c r="AII284" s="1069"/>
      <c r="AIJ284" s="1069"/>
      <c r="AIK284" s="1069"/>
      <c r="AIL284" s="1069"/>
      <c r="AIM284" s="1069"/>
      <c r="AIN284" s="1069"/>
      <c r="AIO284" s="1069"/>
      <c r="AIP284" s="1069"/>
      <c r="AIQ284" s="1069"/>
      <c r="AIR284" s="1069"/>
      <c r="AIS284" s="1069"/>
      <c r="AIT284" s="1069"/>
      <c r="AIU284" s="1069"/>
      <c r="AIV284" s="1069"/>
      <c r="AIW284" s="1069"/>
      <c r="AIX284" s="1069"/>
      <c r="AIY284" s="1069"/>
      <c r="AIZ284" s="1069"/>
      <c r="AJA284" s="1069"/>
      <c r="AJB284" s="1069"/>
      <c r="AJC284" s="1069"/>
      <c r="AJD284" s="1069"/>
      <c r="AJE284" s="1069"/>
      <c r="AJF284" s="1069"/>
      <c r="AJG284" s="1069"/>
      <c r="AJH284" s="1069"/>
      <c r="AJI284" s="1069"/>
      <c r="AJJ284" s="1069"/>
      <c r="AJK284" s="1069"/>
      <c r="AJL284" s="1069"/>
      <c r="AJM284" s="1069"/>
      <c r="AJN284" s="1069"/>
      <c r="AJO284" s="1069"/>
      <c r="AJP284" s="1069"/>
      <c r="AJQ284" s="1069"/>
      <c r="AJR284" s="1069"/>
      <c r="AJS284" s="1069"/>
      <c r="AJT284" s="1069"/>
      <c r="AJU284" s="1069"/>
      <c r="AJV284" s="1069"/>
      <c r="AJW284" s="1069"/>
      <c r="AJX284" s="1069"/>
      <c r="AJY284" s="1069"/>
      <c r="AJZ284" s="1069"/>
      <c r="AKA284" s="1069"/>
      <c r="AKB284" s="1069"/>
      <c r="AKC284" s="1069"/>
      <c r="AKD284" s="1069"/>
      <c r="AKE284" s="1069"/>
      <c r="AKF284" s="1069"/>
      <c r="AKG284" s="1069"/>
      <c r="AKH284" s="1069"/>
      <c r="AKI284" s="1069"/>
      <c r="AKJ284" s="1069"/>
      <c r="AKK284" s="1069"/>
      <c r="AKL284" s="1069"/>
      <c r="AKM284" s="1069"/>
      <c r="AKN284" s="1069"/>
      <c r="AKO284" s="1069"/>
      <c r="AKP284" s="1069"/>
      <c r="AKQ284" s="1069"/>
      <c r="AKR284" s="1069"/>
      <c r="AKS284" s="1069"/>
      <c r="AKT284" s="1069"/>
      <c r="AKU284" s="1069"/>
      <c r="AKV284" s="1069"/>
      <c r="AKW284" s="1069"/>
      <c r="AKX284" s="1069"/>
      <c r="AKY284" s="1069"/>
      <c r="AKZ284" s="1069"/>
      <c r="ALA284" s="1069"/>
      <c r="ALB284" s="1069"/>
      <c r="ALC284" s="1069"/>
      <c r="ALD284" s="1069"/>
      <c r="ALE284" s="1069"/>
      <c r="ALF284" s="1069"/>
      <c r="ALG284" s="1069"/>
      <c r="ALH284" s="1069"/>
      <c r="ALI284" s="1069"/>
      <c r="ALJ284" s="1069"/>
      <c r="ALK284" s="1069"/>
      <c r="ALL284" s="1069"/>
      <c r="ALM284" s="1069"/>
      <c r="ALN284" s="1069"/>
      <c r="ALO284" s="1069"/>
      <c r="ALP284" s="1069"/>
      <c r="ALQ284" s="1069"/>
      <c r="ALR284" s="1069"/>
      <c r="ALS284" s="1069"/>
      <c r="ALT284" s="1069"/>
      <c r="ALU284" s="1069"/>
      <c r="ALV284" s="1069"/>
      <c r="ALW284" s="1069"/>
      <c r="ALX284" s="1069"/>
      <c r="ALY284" s="1069"/>
      <c r="ALZ284" s="1069"/>
      <c r="AMA284" s="1069"/>
      <c r="AMB284" s="1069"/>
      <c r="AMC284" s="1069"/>
      <c r="AMD284" s="1069"/>
      <c r="AME284" s="1069"/>
      <c r="AMF284" s="1069"/>
      <c r="AMG284" s="1069"/>
      <c r="AMH284" s="1069"/>
      <c r="AMI284" s="1069"/>
      <c r="AMJ284" s="1069"/>
      <c r="AMK284" s="1069"/>
      <c r="AML284" s="1069"/>
      <c r="AMM284" s="1069"/>
      <c r="AMN284" s="1069"/>
      <c r="AMO284" s="1069"/>
      <c r="AMP284" s="1069"/>
      <c r="AMQ284" s="1069"/>
      <c r="AMR284" s="1069"/>
      <c r="AMS284" s="1069"/>
      <c r="AMT284" s="1069"/>
      <c r="AMU284" s="1069"/>
      <c r="AMV284" s="1069"/>
      <c r="AMW284" s="1069"/>
      <c r="AMX284" s="1069"/>
      <c r="AMY284" s="1069"/>
      <c r="AMZ284" s="1069"/>
      <c r="ANA284" s="1069"/>
      <c r="ANB284" s="1069"/>
      <c r="ANC284" s="1069"/>
      <c r="AND284" s="1069"/>
      <c r="ANE284" s="1069"/>
      <c r="ANF284" s="1069"/>
      <c r="ANG284" s="1069"/>
      <c r="ANH284" s="1069"/>
      <c r="ANI284" s="1069"/>
      <c r="ANJ284" s="1069"/>
      <c r="ANK284" s="1069"/>
      <c r="ANL284" s="1069"/>
      <c r="ANM284" s="1069"/>
      <c r="ANN284" s="1069"/>
      <c r="ANO284" s="1069"/>
      <c r="ANP284" s="1069"/>
      <c r="ANQ284" s="1069"/>
      <c r="ANR284" s="1069"/>
      <c r="ANS284" s="1069"/>
      <c r="ANT284" s="1069"/>
      <c r="ANU284" s="1069"/>
      <c r="ANV284" s="1069"/>
      <c r="ANW284" s="1069"/>
      <c r="ANX284" s="1069"/>
      <c r="ANY284" s="1069"/>
      <c r="ANZ284" s="1069"/>
      <c r="AOA284" s="1069"/>
      <c r="AOB284" s="1069"/>
      <c r="AOC284" s="1069"/>
      <c r="AOD284" s="1069"/>
      <c r="AOE284" s="1069"/>
      <c r="AOF284" s="1069"/>
      <c r="AOG284" s="1069"/>
      <c r="AOH284" s="1069"/>
      <c r="AOI284" s="1069"/>
      <c r="AOJ284" s="1069"/>
      <c r="AOK284" s="1069"/>
      <c r="AOL284" s="1069"/>
      <c r="AOM284" s="1069"/>
      <c r="AON284" s="1069"/>
      <c r="AOO284" s="1069"/>
      <c r="AOP284" s="1069"/>
      <c r="AOQ284" s="1069"/>
      <c r="AOR284" s="1069"/>
      <c r="AOS284" s="1069"/>
      <c r="AOT284" s="1069"/>
      <c r="AOU284" s="1069"/>
      <c r="AOV284" s="1069"/>
      <c r="AOW284" s="1069"/>
      <c r="AOX284" s="1069"/>
      <c r="AOY284" s="1069"/>
      <c r="AOZ284" s="1069"/>
      <c r="APA284" s="1069"/>
      <c r="APB284" s="1069"/>
      <c r="APC284" s="1069"/>
      <c r="APD284" s="1069"/>
      <c r="APE284" s="1069"/>
      <c r="APF284" s="1069"/>
      <c r="APG284" s="1069"/>
      <c r="APH284" s="1069"/>
      <c r="API284" s="1069"/>
      <c r="APJ284" s="1069"/>
      <c r="APK284" s="1069"/>
      <c r="APL284" s="1069"/>
      <c r="APM284" s="1069"/>
      <c r="APN284" s="1069"/>
      <c r="APO284" s="1069"/>
      <c r="APP284" s="1069"/>
      <c r="APQ284" s="1069"/>
      <c r="APR284" s="1069"/>
      <c r="APS284" s="1069"/>
      <c r="APT284" s="1069"/>
      <c r="APU284" s="1069"/>
      <c r="APV284" s="1069"/>
      <c r="APW284" s="1069"/>
      <c r="APX284" s="1069"/>
      <c r="APY284" s="1069"/>
      <c r="APZ284" s="1069"/>
      <c r="AQA284" s="1069"/>
      <c r="AQB284" s="1069"/>
      <c r="AQC284" s="1069"/>
      <c r="AQD284" s="1069"/>
      <c r="AQE284" s="1069"/>
      <c r="AQF284" s="1069"/>
      <c r="AQG284" s="1069"/>
      <c r="AQH284" s="1069"/>
      <c r="AQI284" s="1069"/>
      <c r="AQJ284" s="1069"/>
      <c r="AQK284" s="1069"/>
      <c r="AQL284" s="1069"/>
      <c r="AQM284" s="1069"/>
      <c r="AQN284" s="1069"/>
      <c r="AQO284" s="1069"/>
      <c r="AQP284" s="1069"/>
      <c r="AQQ284" s="1069"/>
      <c r="AQR284" s="1069"/>
      <c r="AQS284" s="1069"/>
      <c r="AQT284" s="1069"/>
      <c r="AQU284" s="1069"/>
      <c r="AQV284" s="1069"/>
      <c r="AQW284" s="1069"/>
      <c r="AQX284" s="1069"/>
      <c r="AQY284" s="1069"/>
      <c r="AQZ284" s="1069"/>
      <c r="ARA284" s="1069"/>
      <c r="ARB284" s="1069"/>
      <c r="ARC284" s="1069"/>
      <c r="ARD284" s="1069"/>
      <c r="ARE284" s="1069"/>
      <c r="ARF284" s="1069"/>
      <c r="ARG284" s="1069"/>
      <c r="ARH284" s="1069"/>
      <c r="ARI284" s="1069"/>
      <c r="ARJ284" s="1069"/>
      <c r="ARK284" s="1069"/>
      <c r="ARL284" s="1069"/>
      <c r="ARM284" s="1069"/>
      <c r="ARN284" s="1069"/>
      <c r="ARO284" s="1069"/>
      <c r="ARP284" s="1069"/>
      <c r="ARQ284" s="1069"/>
      <c r="ARR284" s="1069"/>
      <c r="ARS284" s="1069"/>
      <c r="ART284" s="1069"/>
      <c r="ARU284" s="1069"/>
      <c r="ARV284" s="1069"/>
      <c r="ARW284" s="1069"/>
      <c r="ARX284" s="1069"/>
      <c r="ARY284" s="1069"/>
      <c r="ARZ284" s="1069"/>
      <c r="ASA284" s="1069"/>
      <c r="ASB284" s="1069"/>
      <c r="ASC284" s="1069"/>
      <c r="ASD284" s="1069"/>
      <c r="ASE284" s="1069"/>
      <c r="ASF284" s="1069"/>
      <c r="ASG284" s="1069"/>
      <c r="ASH284" s="1069"/>
      <c r="ASI284" s="1069"/>
      <c r="ASJ284" s="1069"/>
      <c r="ASK284" s="1069"/>
      <c r="ASL284" s="1069"/>
      <c r="ASM284" s="1069"/>
      <c r="ASN284" s="1069"/>
      <c r="ASO284" s="1069"/>
      <c r="ASP284" s="1069"/>
      <c r="ASQ284" s="1069"/>
      <c r="ASR284" s="1069"/>
      <c r="ASS284" s="1069"/>
      <c r="AST284" s="1069"/>
      <c r="ASU284" s="1069"/>
      <c r="ASV284" s="1069"/>
      <c r="ASW284" s="1069"/>
      <c r="ASX284" s="1069"/>
      <c r="ASY284" s="1069"/>
      <c r="ASZ284" s="1069"/>
      <c r="ATA284" s="1069"/>
      <c r="ATB284" s="1069"/>
      <c r="ATC284" s="1069"/>
      <c r="ATD284" s="1069"/>
      <c r="ATE284" s="1069"/>
      <c r="ATF284" s="1069"/>
      <c r="ATG284" s="1069"/>
      <c r="ATH284" s="1069"/>
      <c r="ATI284" s="1069"/>
      <c r="ATJ284" s="1069"/>
      <c r="ATK284" s="1069"/>
      <c r="ATL284" s="1069"/>
      <c r="ATM284" s="1069"/>
      <c r="ATN284" s="1069"/>
      <c r="ATO284" s="1069"/>
      <c r="ATP284" s="1069"/>
      <c r="ATQ284" s="1069"/>
      <c r="ATR284" s="1069"/>
      <c r="ATS284" s="1069"/>
      <c r="ATT284" s="1069"/>
      <c r="ATU284" s="1069"/>
      <c r="ATV284" s="1069"/>
      <c r="ATW284" s="1069"/>
      <c r="ATX284" s="1069"/>
      <c r="ATY284" s="1069"/>
      <c r="ATZ284" s="1069"/>
      <c r="AUA284" s="1069"/>
      <c r="AUB284" s="1069"/>
      <c r="AUC284" s="1069"/>
      <c r="AUD284" s="1069"/>
      <c r="AUE284" s="1069"/>
      <c r="AUF284" s="1069"/>
      <c r="AUG284" s="1069"/>
      <c r="AUH284" s="1069"/>
      <c r="AUI284" s="1069"/>
      <c r="AUJ284" s="1069"/>
      <c r="AUK284" s="1069"/>
      <c r="AUL284" s="1069"/>
      <c r="AUM284" s="1069"/>
      <c r="AUN284" s="1069"/>
      <c r="AUO284" s="1069"/>
      <c r="AUP284" s="1069"/>
      <c r="AUQ284" s="1069"/>
      <c r="AUR284" s="1069"/>
      <c r="AUS284" s="1069"/>
      <c r="AUT284" s="1069"/>
      <c r="AUU284" s="1069"/>
      <c r="AUV284" s="1069"/>
      <c r="AUW284" s="1069"/>
      <c r="AUX284" s="1069"/>
      <c r="AUY284" s="1069"/>
      <c r="AUZ284" s="1069"/>
      <c r="AVA284" s="1069"/>
      <c r="AVB284" s="1069"/>
      <c r="AVC284" s="1069"/>
      <c r="AVD284" s="1069"/>
      <c r="AVE284" s="1069"/>
      <c r="AVF284" s="1069"/>
      <c r="AVG284" s="1069"/>
      <c r="AVH284" s="1069"/>
      <c r="AVI284" s="1069"/>
      <c r="AVJ284" s="1069"/>
      <c r="AVK284" s="1069"/>
      <c r="AVL284" s="1069"/>
      <c r="AVM284" s="1069"/>
      <c r="AVN284" s="1069"/>
      <c r="AVO284" s="1069"/>
      <c r="AVP284" s="1069"/>
      <c r="AVQ284" s="1069"/>
      <c r="AVR284" s="1069"/>
      <c r="AVS284" s="1069"/>
      <c r="AVT284" s="1069"/>
      <c r="AVU284" s="1069"/>
      <c r="AVV284" s="1069"/>
      <c r="AVW284" s="1069"/>
      <c r="AVX284" s="1069"/>
      <c r="AVY284" s="1069"/>
      <c r="AVZ284" s="1069"/>
      <c r="AWA284" s="1069"/>
      <c r="AWB284" s="1069"/>
      <c r="AWC284" s="1069"/>
      <c r="AWD284" s="1069"/>
      <c r="AWE284" s="1069"/>
      <c r="AWF284" s="1069"/>
      <c r="AWG284" s="1069"/>
      <c r="AWH284" s="1069"/>
      <c r="AWI284" s="1069"/>
      <c r="AWJ284" s="1069"/>
      <c r="AWK284" s="1069"/>
      <c r="AWL284" s="1069"/>
      <c r="AWM284" s="1069"/>
      <c r="AWN284" s="1069"/>
      <c r="AWO284" s="1069"/>
      <c r="AWP284" s="1069"/>
      <c r="AWQ284" s="1069"/>
      <c r="AWR284" s="1069"/>
      <c r="AWS284" s="1069"/>
      <c r="AWT284" s="1069"/>
      <c r="AWU284" s="1069"/>
      <c r="AWV284" s="1069"/>
      <c r="AWW284" s="1069"/>
      <c r="AWX284" s="1069"/>
      <c r="AWY284" s="1069"/>
      <c r="AWZ284" s="1069"/>
      <c r="AXA284" s="1069"/>
      <c r="AXB284" s="1069"/>
      <c r="AXC284" s="1069"/>
      <c r="AXD284" s="1069"/>
      <c r="AXE284" s="1069"/>
      <c r="AXF284" s="1069"/>
      <c r="AXG284" s="1069"/>
      <c r="AXH284" s="1069"/>
      <c r="AXI284" s="1069"/>
      <c r="AXJ284" s="1069"/>
      <c r="AXK284" s="1069"/>
      <c r="AXL284" s="1069"/>
      <c r="AXM284" s="1069"/>
      <c r="AXN284" s="1069"/>
      <c r="AXO284" s="1069"/>
      <c r="AXP284" s="1069"/>
      <c r="AXQ284" s="1069"/>
      <c r="AXR284" s="1069"/>
      <c r="AXS284" s="1069"/>
      <c r="AXT284" s="1069"/>
      <c r="AXU284" s="1069"/>
      <c r="AXV284" s="1069"/>
      <c r="AXW284" s="1069"/>
      <c r="AXX284" s="1069"/>
      <c r="AXY284" s="1069"/>
      <c r="AXZ284" s="1069"/>
      <c r="AYA284" s="1069"/>
      <c r="AYB284" s="1069"/>
      <c r="AYC284" s="1069"/>
      <c r="AYD284" s="1069"/>
      <c r="AYE284" s="1069"/>
      <c r="AYF284" s="1069"/>
      <c r="AYG284" s="1069"/>
      <c r="AYH284" s="1069"/>
      <c r="AYI284" s="1069"/>
      <c r="AYJ284" s="1069"/>
      <c r="AYK284" s="1069"/>
      <c r="AYL284" s="1069"/>
      <c r="AYM284" s="1069"/>
      <c r="AYN284" s="1069"/>
      <c r="AYO284" s="1069"/>
      <c r="AYP284" s="1069"/>
      <c r="AYQ284" s="1069"/>
      <c r="AYR284" s="1069"/>
      <c r="AYS284" s="1069"/>
      <c r="AYT284" s="1069"/>
      <c r="AYU284" s="1069"/>
      <c r="AYV284" s="1069"/>
      <c r="AYW284" s="1069"/>
      <c r="AYX284" s="1069"/>
      <c r="AYY284" s="1069"/>
      <c r="AYZ284" s="1069"/>
      <c r="AZA284" s="1069"/>
      <c r="AZB284" s="1069"/>
      <c r="AZC284" s="1069"/>
      <c r="AZD284" s="1069"/>
      <c r="AZE284" s="1069"/>
      <c r="AZF284" s="1069"/>
      <c r="AZG284" s="1069"/>
      <c r="AZH284" s="1069"/>
      <c r="AZI284" s="1069"/>
      <c r="AZJ284" s="1069"/>
      <c r="AZK284" s="1069"/>
      <c r="AZL284" s="1069"/>
      <c r="AZM284" s="1069"/>
      <c r="AZN284" s="1069"/>
      <c r="AZO284" s="1069"/>
      <c r="AZP284" s="1069"/>
      <c r="AZQ284" s="1069"/>
      <c r="AZR284" s="1069"/>
      <c r="AZS284" s="1069"/>
      <c r="AZT284" s="1069"/>
      <c r="AZU284" s="1069"/>
      <c r="AZV284" s="1069"/>
      <c r="AZW284" s="1069"/>
      <c r="AZX284" s="1069"/>
      <c r="AZY284" s="1069"/>
      <c r="AZZ284" s="1069"/>
      <c r="BAA284" s="1069"/>
      <c r="BAB284" s="1069"/>
      <c r="BAC284" s="1069"/>
      <c r="BAD284" s="1069"/>
      <c r="BAE284" s="1069"/>
      <c r="BAF284" s="1069"/>
      <c r="BAG284" s="1069"/>
      <c r="BAH284" s="1069"/>
      <c r="BAI284" s="1069"/>
      <c r="BAJ284" s="1069"/>
      <c r="BAK284" s="1069"/>
      <c r="BAL284" s="1069"/>
      <c r="BAM284" s="1069"/>
      <c r="BAN284" s="1069"/>
      <c r="BAO284" s="1069"/>
      <c r="BAP284" s="1069"/>
      <c r="BAQ284" s="1069"/>
      <c r="BAR284" s="1069"/>
      <c r="BAS284" s="1069"/>
      <c r="BAT284" s="1069"/>
      <c r="BAU284" s="1069"/>
      <c r="BAV284" s="1069"/>
      <c r="BAW284" s="1069"/>
      <c r="BAX284" s="1069"/>
      <c r="BAY284" s="1069"/>
      <c r="BAZ284" s="1069"/>
      <c r="BBA284" s="1069"/>
      <c r="BBB284" s="1069"/>
      <c r="BBC284" s="1069"/>
      <c r="BBD284" s="1069"/>
      <c r="BBE284" s="1069"/>
      <c r="BBF284" s="1069"/>
      <c r="BBG284" s="1069"/>
      <c r="BBH284" s="1069"/>
      <c r="BBI284" s="1069"/>
      <c r="BBJ284" s="1069"/>
      <c r="BBK284" s="1069"/>
      <c r="BBL284" s="1069"/>
      <c r="BBM284" s="1069"/>
      <c r="BBN284" s="1069"/>
      <c r="BBO284" s="1069"/>
      <c r="BBP284" s="1069"/>
      <c r="BBQ284" s="1069"/>
      <c r="BBR284" s="1069"/>
      <c r="BBS284" s="1069"/>
      <c r="BBT284" s="1069"/>
      <c r="BBU284" s="1069"/>
      <c r="BBV284" s="1069"/>
      <c r="BBW284" s="1069"/>
      <c r="BBX284" s="1069"/>
      <c r="BBY284" s="1069"/>
      <c r="BBZ284" s="1069"/>
      <c r="BCA284" s="1069"/>
      <c r="BCB284" s="1069"/>
      <c r="BCC284" s="1069"/>
      <c r="BCD284" s="1069"/>
      <c r="BCE284" s="1069"/>
      <c r="BCF284" s="1069"/>
      <c r="BCG284" s="1069"/>
      <c r="BCH284" s="1069"/>
      <c r="BCI284" s="1069"/>
      <c r="BCJ284" s="1069"/>
      <c r="BCK284" s="1069"/>
      <c r="BCL284" s="1069"/>
      <c r="BCM284" s="1069"/>
      <c r="BCN284" s="1069"/>
      <c r="BCO284" s="1069"/>
      <c r="BCP284" s="1069"/>
      <c r="BCQ284" s="1069"/>
      <c r="BCR284" s="1069"/>
      <c r="BCS284" s="1069"/>
      <c r="BCT284" s="1069"/>
      <c r="BCU284" s="1069"/>
      <c r="BCV284" s="1069"/>
      <c r="BCW284" s="1069"/>
      <c r="BCX284" s="1069"/>
      <c r="BCY284" s="1069"/>
      <c r="BCZ284" s="1069"/>
      <c r="BDA284" s="1069"/>
      <c r="BDB284" s="1069"/>
      <c r="BDC284" s="1069"/>
      <c r="BDD284" s="1069"/>
      <c r="BDE284" s="1069"/>
      <c r="BDF284" s="1069"/>
      <c r="BDG284" s="1069"/>
      <c r="BDH284" s="1069"/>
      <c r="BDI284" s="1069"/>
      <c r="BDJ284" s="1069"/>
      <c r="BDK284" s="1069"/>
      <c r="BDL284" s="1069"/>
      <c r="BDM284" s="1069"/>
      <c r="BDN284" s="1069"/>
      <c r="BDO284" s="1069"/>
      <c r="BDP284" s="1069"/>
      <c r="BDQ284" s="1069"/>
      <c r="BDR284" s="1069"/>
      <c r="BDS284" s="1069"/>
      <c r="BDT284" s="1069"/>
      <c r="BDU284" s="1069"/>
      <c r="BDV284" s="1069"/>
      <c r="BDW284" s="1069"/>
      <c r="BDX284" s="1069"/>
      <c r="BDY284" s="1069"/>
      <c r="BDZ284" s="1069"/>
      <c r="BEA284" s="1069"/>
      <c r="BEB284" s="1069"/>
      <c r="BEC284" s="1069"/>
      <c r="BED284" s="1069"/>
      <c r="BEE284" s="1069"/>
      <c r="BEF284" s="1069"/>
      <c r="BEG284" s="1069"/>
      <c r="BEH284" s="1069"/>
      <c r="BEI284" s="1069"/>
      <c r="BEJ284" s="1069"/>
      <c r="BEK284" s="1069"/>
      <c r="BEL284" s="1069"/>
      <c r="BEM284" s="1069"/>
      <c r="BEN284" s="1069"/>
      <c r="BEO284" s="1069"/>
      <c r="BEP284" s="1069"/>
      <c r="BEQ284" s="1069"/>
      <c r="BER284" s="1069"/>
      <c r="BES284" s="1069"/>
      <c r="BET284" s="1069"/>
      <c r="BEU284" s="1069"/>
      <c r="BEV284" s="1069"/>
      <c r="BEW284" s="1069"/>
      <c r="BEX284" s="1069"/>
      <c r="BEY284" s="1069"/>
      <c r="BEZ284" s="1069"/>
      <c r="BFA284" s="1069"/>
      <c r="BFB284" s="1069"/>
      <c r="BFC284" s="1069"/>
      <c r="BFD284" s="1069"/>
      <c r="BFE284" s="1069"/>
      <c r="BFF284" s="1069"/>
      <c r="BFG284" s="1069"/>
      <c r="BFH284" s="1069"/>
      <c r="BFI284" s="1069"/>
      <c r="BFJ284" s="1069"/>
      <c r="BFK284" s="1069"/>
      <c r="BFL284" s="1069"/>
      <c r="BFM284" s="1069"/>
      <c r="BFN284" s="1069"/>
      <c r="BFO284" s="1069"/>
      <c r="BFP284" s="1069"/>
      <c r="BFQ284" s="1069"/>
      <c r="BFR284" s="1069"/>
      <c r="BFS284" s="1069"/>
      <c r="BFT284" s="1069"/>
      <c r="BFU284" s="1069"/>
      <c r="BFV284" s="1069"/>
      <c r="BFW284" s="1069"/>
      <c r="BFX284" s="1069"/>
      <c r="BFY284" s="1069"/>
      <c r="BFZ284" s="1069"/>
      <c r="BGA284" s="1069"/>
      <c r="BGB284" s="1069"/>
      <c r="BGC284" s="1069"/>
      <c r="BGD284" s="1069"/>
      <c r="BGE284" s="1069"/>
      <c r="BGF284" s="1069"/>
      <c r="BGG284" s="1069"/>
      <c r="BGH284" s="1069"/>
      <c r="BGI284" s="1069"/>
      <c r="BGJ284" s="1069"/>
      <c r="BGK284" s="1069"/>
      <c r="BGL284" s="1069"/>
      <c r="BGM284" s="1069"/>
      <c r="BGN284" s="1069"/>
      <c r="BGO284" s="1069"/>
      <c r="BGP284" s="1069"/>
      <c r="BGQ284" s="1069"/>
      <c r="BGR284" s="1069"/>
      <c r="BGS284" s="1069"/>
      <c r="BGT284" s="1069"/>
      <c r="BGU284" s="1069"/>
      <c r="BGV284" s="1069"/>
      <c r="BGW284" s="1069"/>
      <c r="BGX284" s="1069"/>
      <c r="BGY284" s="1069"/>
      <c r="BGZ284" s="1069"/>
      <c r="BHA284" s="1069"/>
      <c r="BHB284" s="1069"/>
      <c r="BHC284" s="1069"/>
      <c r="BHD284" s="1069"/>
      <c r="BHE284" s="1069"/>
      <c r="BHF284" s="1069"/>
      <c r="BHG284" s="1069"/>
      <c r="BHH284" s="1069"/>
      <c r="BHI284" s="1069"/>
      <c r="BHJ284" s="1069"/>
      <c r="BHK284" s="1069"/>
      <c r="BHL284" s="1069"/>
      <c r="BHM284" s="1069"/>
      <c r="BHN284" s="1069"/>
      <c r="BHO284" s="1069"/>
      <c r="BHP284" s="1069"/>
      <c r="BHQ284" s="1069"/>
      <c r="BHR284" s="1069"/>
      <c r="BHS284" s="1069"/>
      <c r="BHT284" s="1069"/>
      <c r="BHU284" s="1069"/>
      <c r="BHV284" s="1069"/>
      <c r="BHW284" s="1069"/>
      <c r="BHX284" s="1069"/>
      <c r="BHY284" s="1069"/>
      <c r="BHZ284" s="1069"/>
      <c r="BIA284" s="1069"/>
      <c r="BIB284" s="1069"/>
      <c r="BIC284" s="1069"/>
      <c r="BID284" s="1069"/>
      <c r="BIE284" s="1069"/>
      <c r="BIF284" s="1069"/>
      <c r="BIG284" s="1069"/>
      <c r="BIH284" s="1069"/>
      <c r="BII284" s="1069"/>
      <c r="BIJ284" s="1069"/>
      <c r="BIK284" s="1069"/>
      <c r="BIL284" s="1069"/>
      <c r="BIM284" s="1069"/>
      <c r="BIN284" s="1069"/>
      <c r="BIO284" s="1069"/>
      <c r="BIP284" s="1069"/>
      <c r="BIQ284" s="1069"/>
      <c r="BIR284" s="1069"/>
      <c r="BIS284" s="1069"/>
      <c r="BIT284" s="1069"/>
      <c r="BIU284" s="1069"/>
      <c r="BIV284" s="1069"/>
      <c r="BIW284" s="1069"/>
      <c r="BIX284" s="1069"/>
      <c r="BIY284" s="1069"/>
      <c r="BIZ284" s="1069"/>
      <c r="BJA284" s="1069"/>
      <c r="BJB284" s="1069"/>
      <c r="BJC284" s="1069"/>
      <c r="BJD284" s="1069"/>
      <c r="BJE284" s="1069"/>
      <c r="BJF284" s="1069"/>
      <c r="BJG284" s="1069"/>
      <c r="BJH284" s="1069"/>
      <c r="BJI284" s="1069"/>
      <c r="BJJ284" s="1069"/>
      <c r="BJK284" s="1069"/>
      <c r="BJL284" s="1069"/>
      <c r="BJM284" s="1069"/>
      <c r="BJN284" s="1069"/>
      <c r="BJO284" s="1069"/>
      <c r="BJP284" s="1069"/>
      <c r="BJQ284" s="1069"/>
      <c r="BJR284" s="1069"/>
      <c r="BJS284" s="1069"/>
      <c r="BJT284" s="1069"/>
      <c r="BJU284" s="1069"/>
      <c r="BJV284" s="1069"/>
      <c r="BJW284" s="1069"/>
      <c r="BJX284" s="1069"/>
      <c r="BJY284" s="1069"/>
      <c r="BJZ284" s="1069"/>
      <c r="BKA284" s="1069"/>
      <c r="BKB284" s="1069"/>
      <c r="BKC284" s="1069"/>
      <c r="BKD284" s="1069"/>
      <c r="BKE284" s="1069"/>
      <c r="BKF284" s="1069"/>
      <c r="BKG284" s="1069"/>
      <c r="BKH284" s="1069"/>
      <c r="BKI284" s="1069"/>
      <c r="BKJ284" s="1069"/>
      <c r="BKK284" s="1069"/>
      <c r="BKL284" s="1069"/>
      <c r="BKM284" s="1069"/>
      <c r="BKN284" s="1069"/>
      <c r="BKO284" s="1069"/>
      <c r="BKP284" s="1069"/>
      <c r="BKQ284" s="1069"/>
      <c r="BKR284" s="1069"/>
      <c r="BKS284" s="1069"/>
      <c r="BKT284" s="1069"/>
      <c r="BKU284" s="1069"/>
      <c r="BKV284" s="1069"/>
      <c r="BKW284" s="1069"/>
      <c r="BKX284" s="1069"/>
      <c r="BKY284" s="1069"/>
      <c r="BKZ284" s="1069"/>
      <c r="BLA284" s="1069"/>
      <c r="BLB284" s="1069"/>
      <c r="BLC284" s="1069"/>
      <c r="BLD284" s="1069"/>
      <c r="BLE284" s="1069"/>
      <c r="BLF284" s="1069"/>
      <c r="BLG284" s="1069"/>
      <c r="BLH284" s="1069"/>
      <c r="BLI284" s="1069"/>
      <c r="BLJ284" s="1069"/>
      <c r="BLK284" s="1069"/>
      <c r="BLL284" s="1069"/>
      <c r="BLM284" s="1069"/>
      <c r="BLN284" s="1069"/>
      <c r="BLO284" s="1069"/>
      <c r="BLP284" s="1069"/>
      <c r="BLQ284" s="1069"/>
      <c r="BLR284" s="1069"/>
      <c r="BLS284" s="1069"/>
      <c r="BLT284" s="1069"/>
      <c r="BLU284" s="1069"/>
      <c r="BLV284" s="1069"/>
      <c r="BLW284" s="1069"/>
      <c r="BLX284" s="1069"/>
      <c r="BLY284" s="1069"/>
      <c r="BLZ284" s="1069"/>
      <c r="BMA284" s="1069"/>
      <c r="BMB284" s="1069"/>
      <c r="BMC284" s="1069"/>
      <c r="BMD284" s="1069"/>
      <c r="BME284" s="1069"/>
      <c r="BMF284" s="1069"/>
      <c r="BMG284" s="1069"/>
      <c r="BMH284" s="1069"/>
      <c r="BMI284" s="1069"/>
      <c r="BMJ284" s="1069"/>
      <c r="BMK284" s="1069"/>
      <c r="BML284" s="1069"/>
      <c r="BMM284" s="1069"/>
      <c r="BMN284" s="1069"/>
      <c r="BMO284" s="1069"/>
      <c r="BMP284" s="1069"/>
      <c r="BMQ284" s="1069"/>
      <c r="BMR284" s="1069"/>
      <c r="BMS284" s="1069"/>
      <c r="BMT284" s="1069"/>
      <c r="BMU284" s="1069"/>
      <c r="BMV284" s="1069"/>
      <c r="BMW284" s="1069"/>
      <c r="BMX284" s="1069"/>
      <c r="BMY284" s="1069"/>
      <c r="BMZ284" s="1069"/>
      <c r="BNA284" s="1069"/>
      <c r="BNB284" s="1069"/>
      <c r="BNC284" s="1069"/>
      <c r="BND284" s="1069"/>
      <c r="BNE284" s="1069"/>
      <c r="BNF284" s="1069"/>
      <c r="BNG284" s="1069"/>
      <c r="BNH284" s="1069"/>
      <c r="BNI284" s="1069"/>
      <c r="BNJ284" s="1069"/>
      <c r="BNK284" s="1069"/>
      <c r="BNL284" s="1069"/>
      <c r="BNM284" s="1069"/>
      <c r="BNN284" s="1069"/>
      <c r="BNO284" s="1069"/>
      <c r="BNP284" s="1069"/>
      <c r="BNQ284" s="1069"/>
      <c r="BNR284" s="1069"/>
      <c r="BNS284" s="1069"/>
      <c r="BNT284" s="1069"/>
      <c r="BNU284" s="1069"/>
      <c r="BNV284" s="1069"/>
      <c r="BNW284" s="1069"/>
      <c r="BNX284" s="1069"/>
      <c r="BNY284" s="1069"/>
      <c r="BNZ284" s="1069"/>
      <c r="BOA284" s="1069"/>
      <c r="BOB284" s="1069"/>
      <c r="BOC284" s="1069"/>
      <c r="BOD284" s="1069"/>
      <c r="BOE284" s="1069"/>
      <c r="BOF284" s="1069"/>
      <c r="BOG284" s="1069"/>
      <c r="BOH284" s="1069"/>
      <c r="BOI284" s="1069"/>
      <c r="BOJ284" s="1069"/>
      <c r="BOK284" s="1069"/>
      <c r="BOL284" s="1069"/>
      <c r="BOM284" s="1069"/>
      <c r="BON284" s="1069"/>
      <c r="BOO284" s="1069"/>
      <c r="BOP284" s="1069"/>
      <c r="BOQ284" s="1069"/>
      <c r="BOR284" s="1069"/>
      <c r="BOS284" s="1069"/>
      <c r="BOT284" s="1069"/>
      <c r="BOU284" s="1069"/>
      <c r="BOV284" s="1069"/>
      <c r="BOW284" s="1069"/>
      <c r="BOX284" s="1069"/>
      <c r="BOY284" s="1069"/>
      <c r="BOZ284" s="1069"/>
      <c r="BPA284" s="1069"/>
      <c r="BPB284" s="1069"/>
      <c r="BPC284" s="1069"/>
      <c r="BPD284" s="1069"/>
      <c r="BPE284" s="1069"/>
      <c r="BPF284" s="1069"/>
      <c r="BPG284" s="1069"/>
      <c r="BPH284" s="1069"/>
      <c r="BPI284" s="1069"/>
      <c r="BPJ284" s="1069"/>
      <c r="BPK284" s="1069"/>
      <c r="BPL284" s="1069"/>
      <c r="BPM284" s="1069"/>
      <c r="BPN284" s="1069"/>
      <c r="BPO284" s="1069"/>
      <c r="BPP284" s="1069"/>
      <c r="BPQ284" s="1069"/>
      <c r="BPR284" s="1069"/>
      <c r="BPS284" s="1069"/>
      <c r="BPT284" s="1069"/>
      <c r="BPU284" s="1069"/>
      <c r="BPV284" s="1069"/>
      <c r="BPW284" s="1069"/>
      <c r="BPX284" s="1069"/>
      <c r="BPY284" s="1069"/>
      <c r="BPZ284" s="1069"/>
      <c r="BQA284" s="1069"/>
      <c r="BQB284" s="1069"/>
      <c r="BQC284" s="1069"/>
      <c r="BQD284" s="1069"/>
      <c r="BQE284" s="1069"/>
      <c r="BQF284" s="1069"/>
      <c r="BQG284" s="1069"/>
      <c r="BQH284" s="1069"/>
      <c r="BQI284" s="1069"/>
      <c r="BQJ284" s="1069"/>
      <c r="BQK284" s="1069"/>
      <c r="BQL284" s="1069"/>
      <c r="BQM284" s="1069"/>
      <c r="BQN284" s="1069"/>
      <c r="BQO284" s="1069"/>
      <c r="BQP284" s="1069"/>
      <c r="BQQ284" s="1069"/>
      <c r="BQR284" s="1069"/>
      <c r="BQS284" s="1069"/>
      <c r="BQT284" s="1069"/>
      <c r="BQU284" s="1069"/>
      <c r="BQV284" s="1069"/>
      <c r="BQW284" s="1069"/>
      <c r="BQX284" s="1069"/>
      <c r="BQY284" s="1069"/>
      <c r="BQZ284" s="1069"/>
      <c r="BRA284" s="1069"/>
      <c r="BRB284" s="1069"/>
      <c r="BRC284" s="1069"/>
      <c r="BRD284" s="1069"/>
      <c r="BRE284" s="1069"/>
      <c r="BRF284" s="1069"/>
      <c r="BRG284" s="1069"/>
      <c r="BRH284" s="1069"/>
      <c r="BRI284" s="1069"/>
      <c r="BRJ284" s="1069"/>
      <c r="BRK284" s="1069"/>
      <c r="BRL284" s="1069"/>
      <c r="BRM284" s="1069"/>
      <c r="BRN284" s="1069"/>
      <c r="BRO284" s="1069"/>
      <c r="BRP284" s="1069"/>
      <c r="BRQ284" s="1069"/>
      <c r="BRR284" s="1069"/>
      <c r="BRS284" s="1069"/>
      <c r="BRT284" s="1069"/>
      <c r="BRU284" s="1069"/>
      <c r="BRV284" s="1069"/>
      <c r="BRW284" s="1069"/>
      <c r="BRX284" s="1069"/>
      <c r="BRY284" s="1069"/>
      <c r="BRZ284" s="1069"/>
      <c r="BSA284" s="1069"/>
      <c r="BSB284" s="1069"/>
      <c r="BSC284" s="1069"/>
      <c r="BSD284" s="1069"/>
      <c r="BSE284" s="1069"/>
      <c r="BSF284" s="1069"/>
      <c r="BSG284" s="1069"/>
      <c r="BSH284" s="1069"/>
      <c r="BSI284" s="1069"/>
      <c r="BSJ284" s="1069"/>
      <c r="BSK284" s="1069"/>
      <c r="BSL284" s="1069"/>
      <c r="BSM284" s="1069"/>
      <c r="BSN284" s="1069"/>
      <c r="BSO284" s="1069"/>
      <c r="BSP284" s="1069"/>
      <c r="BSQ284" s="1069"/>
      <c r="BSR284" s="1069"/>
      <c r="BSS284" s="1069"/>
      <c r="BST284" s="1069"/>
      <c r="BSU284" s="1069"/>
      <c r="BSV284" s="1069"/>
      <c r="BSW284" s="1069"/>
      <c r="BSX284" s="1069"/>
      <c r="BSY284" s="1069"/>
      <c r="BSZ284" s="1069"/>
      <c r="BTA284" s="1069"/>
      <c r="BTB284" s="1069"/>
      <c r="BTC284" s="1069"/>
      <c r="BTD284" s="1069"/>
      <c r="BTE284" s="1069"/>
      <c r="BTF284" s="1069"/>
      <c r="BTG284" s="1069"/>
      <c r="BTH284" s="1069"/>
      <c r="BTI284" s="1069"/>
      <c r="BTJ284" s="1069"/>
      <c r="BTK284" s="1069"/>
      <c r="BTL284" s="1069"/>
      <c r="BTM284" s="1069"/>
      <c r="BTN284" s="1069"/>
      <c r="BTO284" s="1069"/>
      <c r="BTP284" s="1069"/>
      <c r="BTQ284" s="1069"/>
      <c r="BTR284" s="1069"/>
      <c r="BTS284" s="1069"/>
      <c r="BTT284" s="1069"/>
      <c r="BTU284" s="1069"/>
      <c r="BTV284" s="1069"/>
      <c r="BTW284" s="1069"/>
      <c r="BTX284" s="1069"/>
      <c r="BTY284" s="1069"/>
      <c r="BTZ284" s="1069"/>
      <c r="BUA284" s="1069"/>
      <c r="BUB284" s="1069"/>
      <c r="BUC284" s="1069"/>
      <c r="BUD284" s="1069"/>
      <c r="BUE284" s="1069"/>
      <c r="BUF284" s="1069"/>
      <c r="BUG284" s="1069"/>
      <c r="BUH284" s="1069"/>
      <c r="BUI284" s="1069"/>
      <c r="BUJ284" s="1069"/>
      <c r="BUK284" s="1069"/>
      <c r="BUL284" s="1069"/>
      <c r="BUM284" s="1069"/>
      <c r="BUN284" s="1069"/>
      <c r="BUO284" s="1069"/>
      <c r="BUP284" s="1069"/>
      <c r="BUQ284" s="1069"/>
      <c r="BUR284" s="1069"/>
      <c r="BUS284" s="1069"/>
      <c r="BUT284" s="1069"/>
      <c r="BUU284" s="1069"/>
      <c r="BUV284" s="1069"/>
      <c r="BUW284" s="1069"/>
      <c r="BUX284" s="1069"/>
      <c r="BUY284" s="1069"/>
      <c r="BUZ284" s="1069"/>
      <c r="BVA284" s="1069"/>
      <c r="BVB284" s="1069"/>
      <c r="BVC284" s="1069"/>
      <c r="BVD284" s="1069"/>
      <c r="BVE284" s="1069"/>
      <c r="BVF284" s="1069"/>
      <c r="BVG284" s="1069"/>
      <c r="BVH284" s="1069"/>
      <c r="BVI284" s="1069"/>
      <c r="BVJ284" s="1069"/>
      <c r="BVK284" s="1069"/>
      <c r="BVL284" s="1069"/>
      <c r="BVM284" s="1069"/>
      <c r="BVN284" s="1069"/>
      <c r="BVO284" s="1069"/>
      <c r="BVP284" s="1069"/>
      <c r="BVQ284" s="1069"/>
      <c r="BVR284" s="1069"/>
      <c r="BVS284" s="1069"/>
      <c r="BVT284" s="1069"/>
      <c r="BVU284" s="1069"/>
      <c r="BVV284" s="1069"/>
      <c r="BVW284" s="1069"/>
      <c r="BVX284" s="1069"/>
      <c r="BVY284" s="1069"/>
      <c r="BVZ284" s="1069"/>
      <c r="BWA284" s="1069"/>
      <c r="BWB284" s="1069"/>
      <c r="BWC284" s="1069"/>
      <c r="BWD284" s="1069"/>
      <c r="BWE284" s="1069"/>
      <c r="BWF284" s="1069"/>
      <c r="BWG284" s="1069"/>
      <c r="BWH284" s="1069"/>
      <c r="BWI284" s="1069"/>
      <c r="BWJ284" s="1069"/>
      <c r="BWK284" s="1069"/>
      <c r="BWL284" s="1069"/>
      <c r="BWM284" s="1069"/>
      <c r="BWN284" s="1069"/>
      <c r="BWO284" s="1069"/>
      <c r="BWP284" s="1069"/>
      <c r="BWQ284" s="1069"/>
      <c r="BWR284" s="1069"/>
      <c r="BWS284" s="1069"/>
      <c r="BWT284" s="1069"/>
      <c r="BWU284" s="1069"/>
      <c r="BWV284" s="1069"/>
      <c r="BWW284" s="1069"/>
      <c r="BWX284" s="1069"/>
      <c r="BWY284" s="1069"/>
      <c r="BWZ284" s="1069"/>
      <c r="BXA284" s="1069"/>
      <c r="BXB284" s="1069"/>
      <c r="BXC284" s="1069"/>
      <c r="BXD284" s="1069"/>
      <c r="BXE284" s="1069"/>
      <c r="BXF284" s="1069"/>
      <c r="BXG284" s="1069"/>
      <c r="BXH284" s="1069"/>
      <c r="BXI284" s="1069"/>
      <c r="BXJ284" s="1069"/>
      <c r="BXK284" s="1069"/>
      <c r="BXL284" s="1069"/>
      <c r="BXM284" s="1069"/>
      <c r="BXN284" s="1069"/>
      <c r="BXO284" s="1069"/>
      <c r="BXP284" s="1069"/>
      <c r="BXQ284" s="1069"/>
      <c r="BXR284" s="1069"/>
      <c r="BXS284" s="1069"/>
      <c r="BXT284" s="1069"/>
      <c r="BXU284" s="1069"/>
      <c r="BXV284" s="1069"/>
      <c r="BXW284" s="1069"/>
      <c r="BXX284" s="1069"/>
      <c r="BXY284" s="1069"/>
      <c r="BXZ284" s="1069"/>
      <c r="BYA284" s="1069"/>
      <c r="BYB284" s="1069"/>
      <c r="BYC284" s="1069"/>
      <c r="BYD284" s="1069"/>
      <c r="BYE284" s="1069"/>
      <c r="BYF284" s="1069"/>
      <c r="BYG284" s="1069"/>
      <c r="BYH284" s="1069"/>
      <c r="BYI284" s="1069"/>
      <c r="BYJ284" s="1069"/>
      <c r="BYK284" s="1069"/>
      <c r="BYL284" s="1069"/>
      <c r="BYM284" s="1069"/>
      <c r="BYN284" s="1069"/>
      <c r="BYO284" s="1069"/>
      <c r="BYP284" s="1069"/>
      <c r="BYQ284" s="1069"/>
      <c r="BYR284" s="1069"/>
      <c r="BYS284" s="1069"/>
      <c r="BYT284" s="1069"/>
      <c r="BYU284" s="1069"/>
      <c r="BYV284" s="1069"/>
      <c r="BYW284" s="1069"/>
      <c r="BYX284" s="1069"/>
      <c r="BYY284" s="1069"/>
      <c r="BYZ284" s="1069"/>
      <c r="BZA284" s="1069"/>
      <c r="BZB284" s="1069"/>
      <c r="BZC284" s="1069"/>
      <c r="BZD284" s="1069"/>
      <c r="BZE284" s="1069"/>
      <c r="BZF284" s="1069"/>
      <c r="BZG284" s="1069"/>
      <c r="BZH284" s="1069"/>
      <c r="BZI284" s="1069"/>
      <c r="BZJ284" s="1069"/>
      <c r="BZK284" s="1069"/>
      <c r="BZL284" s="1069"/>
      <c r="BZM284" s="1069"/>
      <c r="BZN284" s="1069"/>
      <c r="BZO284" s="1069"/>
      <c r="BZP284" s="1069"/>
      <c r="BZQ284" s="1069"/>
      <c r="BZR284" s="1069"/>
      <c r="BZS284" s="1069"/>
      <c r="BZT284" s="1069"/>
      <c r="BZU284" s="1069"/>
      <c r="BZV284" s="1069"/>
      <c r="BZW284" s="1069"/>
      <c r="BZX284" s="1069"/>
      <c r="BZY284" s="1069"/>
      <c r="BZZ284" s="1069"/>
      <c r="CAA284" s="1069"/>
      <c r="CAB284" s="1069"/>
      <c r="CAC284" s="1069"/>
      <c r="CAD284" s="1069"/>
      <c r="CAE284" s="1069"/>
      <c r="CAF284" s="1069"/>
      <c r="CAG284" s="1069"/>
      <c r="CAH284" s="1069"/>
      <c r="CAI284" s="1069"/>
      <c r="CAJ284" s="1069"/>
      <c r="CAK284" s="1069"/>
      <c r="CAL284" s="1069"/>
      <c r="CAM284" s="1069"/>
      <c r="CAN284" s="1069"/>
      <c r="CAO284" s="1069"/>
      <c r="CAP284" s="1069"/>
      <c r="CAQ284" s="1069"/>
      <c r="CAR284" s="1069"/>
      <c r="CAS284" s="1069"/>
      <c r="CAT284" s="1069"/>
      <c r="CAU284" s="1069"/>
      <c r="CAV284" s="1069"/>
      <c r="CAW284" s="1069"/>
      <c r="CAX284" s="1069"/>
      <c r="CAY284" s="1069"/>
      <c r="CAZ284" s="1069"/>
      <c r="CBA284" s="1069"/>
      <c r="CBB284" s="1069"/>
      <c r="CBC284" s="1069"/>
      <c r="CBD284" s="1069"/>
      <c r="CBE284" s="1069"/>
      <c r="CBF284" s="1069"/>
      <c r="CBG284" s="1069"/>
      <c r="CBH284" s="1069"/>
      <c r="CBI284" s="1069"/>
      <c r="CBJ284" s="1069"/>
      <c r="CBK284" s="1069"/>
      <c r="CBL284" s="1069"/>
      <c r="CBM284" s="1069"/>
      <c r="CBN284" s="1069"/>
      <c r="CBO284" s="1069"/>
      <c r="CBP284" s="1069"/>
      <c r="CBQ284" s="1069"/>
      <c r="CBR284" s="1069"/>
      <c r="CBS284" s="1069"/>
      <c r="CBT284" s="1069"/>
      <c r="CBU284" s="1069"/>
      <c r="CBV284" s="1069"/>
      <c r="CBW284" s="1069"/>
      <c r="CBX284" s="1069"/>
      <c r="CBY284" s="1069"/>
      <c r="CBZ284" s="1069"/>
      <c r="CCA284" s="1069"/>
      <c r="CCB284" s="1069"/>
      <c r="CCC284" s="1069"/>
      <c r="CCD284" s="1069"/>
      <c r="CCE284" s="1069"/>
      <c r="CCF284" s="1069"/>
      <c r="CCG284" s="1069"/>
      <c r="CCH284" s="1069"/>
      <c r="CCI284" s="1069"/>
      <c r="CCJ284" s="1069"/>
      <c r="CCK284" s="1069"/>
      <c r="CCL284" s="1069"/>
      <c r="CCM284" s="1069"/>
      <c r="CCN284" s="1069"/>
      <c r="CCO284" s="1069"/>
      <c r="CCP284" s="1069"/>
      <c r="CCQ284" s="1069"/>
      <c r="CCR284" s="1069"/>
      <c r="CCS284" s="1069"/>
      <c r="CCT284" s="1069"/>
      <c r="CCU284" s="1069"/>
      <c r="CCV284" s="1069"/>
      <c r="CCW284" s="1069"/>
      <c r="CCX284" s="1069"/>
      <c r="CCY284" s="1069"/>
      <c r="CCZ284" s="1069"/>
      <c r="CDA284" s="1069"/>
      <c r="CDB284" s="1069"/>
      <c r="CDC284" s="1069"/>
      <c r="CDD284" s="1069"/>
      <c r="CDE284" s="1069"/>
      <c r="CDF284" s="1069"/>
      <c r="CDG284" s="1069"/>
      <c r="CDH284" s="1069"/>
      <c r="CDI284" s="1069"/>
      <c r="CDJ284" s="1069"/>
      <c r="CDK284" s="1069"/>
      <c r="CDL284" s="1069"/>
      <c r="CDM284" s="1069"/>
      <c r="CDN284" s="1069"/>
      <c r="CDO284" s="1069"/>
      <c r="CDP284" s="1069"/>
      <c r="CDQ284" s="1069"/>
      <c r="CDR284" s="1069"/>
      <c r="CDS284" s="1069"/>
      <c r="CDT284" s="1069"/>
      <c r="CDU284" s="1069"/>
      <c r="CDV284" s="1069"/>
      <c r="CDW284" s="1069"/>
      <c r="CDX284" s="1069"/>
      <c r="CDY284" s="1069"/>
      <c r="CDZ284" s="1069"/>
      <c r="CEA284" s="1069"/>
      <c r="CEB284" s="1069"/>
      <c r="CEC284" s="1069"/>
      <c r="CED284" s="1069"/>
      <c r="CEE284" s="1069"/>
      <c r="CEF284" s="1069"/>
      <c r="CEG284" s="1069"/>
      <c r="CEH284" s="1069"/>
      <c r="CEI284" s="1069"/>
      <c r="CEJ284" s="1069"/>
      <c r="CEK284" s="1069"/>
      <c r="CEL284" s="1069"/>
      <c r="CEM284" s="1069"/>
      <c r="CEN284" s="1069"/>
      <c r="CEO284" s="1069"/>
      <c r="CEP284" s="1069"/>
      <c r="CEQ284" s="1069"/>
      <c r="CER284" s="1069"/>
      <c r="CES284" s="1069"/>
      <c r="CET284" s="1069"/>
      <c r="CEU284" s="1069"/>
      <c r="CEV284" s="1069"/>
      <c r="CEW284" s="1069"/>
      <c r="CEX284" s="1069"/>
      <c r="CEY284" s="1069"/>
      <c r="CEZ284" s="1069"/>
      <c r="CFA284" s="1069"/>
      <c r="CFB284" s="1069"/>
      <c r="CFC284" s="1069"/>
      <c r="CFD284" s="1069"/>
      <c r="CFE284" s="1069"/>
      <c r="CFF284" s="1069"/>
      <c r="CFG284" s="1069"/>
      <c r="CFH284" s="1069"/>
      <c r="CFI284" s="1069"/>
      <c r="CFJ284" s="1069"/>
      <c r="CFK284" s="1069"/>
      <c r="CFL284" s="1069"/>
      <c r="CFM284" s="1069"/>
      <c r="CFN284" s="1069"/>
      <c r="CFO284" s="1069"/>
      <c r="CFP284" s="1069"/>
      <c r="CFQ284" s="1069"/>
      <c r="CFR284" s="1069"/>
      <c r="CFS284" s="1069"/>
      <c r="CFT284" s="1069"/>
      <c r="CFU284" s="1069"/>
      <c r="CFV284" s="1069"/>
      <c r="CFW284" s="1069"/>
      <c r="CFX284" s="1069"/>
      <c r="CFY284" s="1069"/>
      <c r="CFZ284" s="1069"/>
      <c r="CGA284" s="1069"/>
      <c r="CGB284" s="1069"/>
      <c r="CGC284" s="1069"/>
      <c r="CGD284" s="1069"/>
      <c r="CGE284" s="1069"/>
      <c r="CGF284" s="1069"/>
      <c r="CGG284" s="1069"/>
      <c r="CGH284" s="1069"/>
      <c r="CGI284" s="1069"/>
      <c r="CGJ284" s="1069"/>
      <c r="CGK284" s="1069"/>
      <c r="CGL284" s="1069"/>
      <c r="CGM284" s="1069"/>
      <c r="CGN284" s="1069"/>
      <c r="CGO284" s="1069"/>
      <c r="CGP284" s="1069"/>
      <c r="CGQ284" s="1069"/>
      <c r="CGR284" s="1069"/>
      <c r="CGS284" s="1069"/>
      <c r="CGT284" s="1069"/>
      <c r="CGU284" s="1069"/>
      <c r="CGV284" s="1069"/>
      <c r="CGW284" s="1069"/>
      <c r="CGX284" s="1069"/>
      <c r="CGY284" s="1069"/>
      <c r="CGZ284" s="1069"/>
      <c r="CHA284" s="1069"/>
      <c r="CHB284" s="1069"/>
      <c r="CHC284" s="1069"/>
      <c r="CHD284" s="1069"/>
      <c r="CHE284" s="1069"/>
      <c r="CHF284" s="1069"/>
      <c r="CHG284" s="1069"/>
      <c r="CHH284" s="1069"/>
      <c r="CHI284" s="1069"/>
      <c r="CHJ284" s="1069"/>
      <c r="CHK284" s="1069"/>
      <c r="CHL284" s="1069"/>
      <c r="CHM284" s="1069"/>
      <c r="CHN284" s="1069"/>
      <c r="CHO284" s="1069"/>
      <c r="CHP284" s="1069"/>
      <c r="CHQ284" s="1069"/>
      <c r="CHR284" s="1069"/>
      <c r="CHS284" s="1069"/>
      <c r="CHT284" s="1069"/>
      <c r="CHU284" s="1069"/>
      <c r="CHV284" s="1069"/>
      <c r="CHW284" s="1069"/>
      <c r="CHX284" s="1069"/>
      <c r="CHY284" s="1069"/>
      <c r="CHZ284" s="1069"/>
      <c r="CIA284" s="1069"/>
      <c r="CIB284" s="1069"/>
      <c r="CIC284" s="1069"/>
      <c r="CID284" s="1069"/>
      <c r="CIE284" s="1069"/>
      <c r="CIF284" s="1069"/>
      <c r="CIG284" s="1069"/>
      <c r="CIH284" s="1069"/>
      <c r="CII284" s="1069"/>
      <c r="CIJ284" s="1069"/>
      <c r="CIK284" s="1069"/>
      <c r="CIL284" s="1069"/>
      <c r="CIM284" s="1069"/>
      <c r="CIN284" s="1069"/>
      <c r="CIO284" s="1069"/>
      <c r="CIP284" s="1069"/>
      <c r="CIQ284" s="1069"/>
      <c r="CIR284" s="1069"/>
      <c r="CIS284" s="1069"/>
      <c r="CIT284" s="1069"/>
      <c r="CIU284" s="1069"/>
      <c r="CIV284" s="1069"/>
      <c r="CIW284" s="1069"/>
      <c r="CIX284" s="1069"/>
      <c r="CIY284" s="1069"/>
      <c r="CIZ284" s="1069"/>
      <c r="CJA284" s="1069"/>
      <c r="CJB284" s="1069"/>
      <c r="CJC284" s="1069"/>
      <c r="CJD284" s="1069"/>
      <c r="CJE284" s="1069"/>
      <c r="CJF284" s="1069"/>
      <c r="CJG284" s="1069"/>
      <c r="CJH284" s="1069"/>
      <c r="CJI284" s="1069"/>
      <c r="CJJ284" s="1069"/>
      <c r="CJK284" s="1069"/>
      <c r="CJL284" s="1069"/>
      <c r="CJM284" s="1069"/>
      <c r="CJN284" s="1069"/>
      <c r="CJO284" s="1069"/>
      <c r="CJP284" s="1069"/>
      <c r="CJQ284" s="1069"/>
      <c r="CJR284" s="1069"/>
      <c r="CJS284" s="1069"/>
      <c r="CJT284" s="1069"/>
      <c r="CJU284" s="1069"/>
      <c r="CJV284" s="1069"/>
      <c r="CJW284" s="1069"/>
      <c r="CJX284" s="1069"/>
      <c r="CJY284" s="1069"/>
      <c r="CJZ284" s="1069"/>
      <c r="CKA284" s="1069"/>
      <c r="CKB284" s="1069"/>
      <c r="CKC284" s="1069"/>
      <c r="CKD284" s="1069"/>
      <c r="CKE284" s="1069"/>
      <c r="CKF284" s="1069"/>
      <c r="CKG284" s="1069"/>
      <c r="CKH284" s="1069"/>
      <c r="CKI284" s="1069"/>
      <c r="CKJ284" s="1069"/>
      <c r="CKK284" s="1069"/>
      <c r="CKL284" s="1069"/>
      <c r="CKM284" s="1069"/>
      <c r="CKN284" s="1069"/>
      <c r="CKO284" s="1069"/>
      <c r="CKP284" s="1069"/>
      <c r="CKQ284" s="1069"/>
      <c r="CKR284" s="1069"/>
      <c r="CKS284" s="1069"/>
      <c r="CKT284" s="1069"/>
      <c r="CKU284" s="1069"/>
      <c r="CKV284" s="1069"/>
      <c r="CKW284" s="1069"/>
      <c r="CKX284" s="1069"/>
      <c r="CKY284" s="1069"/>
      <c r="CKZ284" s="1069"/>
      <c r="CLA284" s="1069"/>
      <c r="CLB284" s="1069"/>
      <c r="CLC284" s="1069"/>
      <c r="CLD284" s="1069"/>
      <c r="CLE284" s="1069"/>
      <c r="CLF284" s="1069"/>
      <c r="CLG284" s="1069"/>
      <c r="CLH284" s="1069"/>
      <c r="CLI284" s="1069"/>
      <c r="CLJ284" s="1069"/>
      <c r="CLK284" s="1069"/>
      <c r="CLL284" s="1069"/>
      <c r="CLM284" s="1069"/>
      <c r="CLN284" s="1069"/>
      <c r="CLO284" s="1069"/>
      <c r="CLP284" s="1069"/>
      <c r="CLQ284" s="1069"/>
      <c r="CLR284" s="1069"/>
      <c r="CLS284" s="1069"/>
      <c r="CLT284" s="1069"/>
      <c r="CLU284" s="1069"/>
      <c r="CLV284" s="1069"/>
      <c r="CLW284" s="1069"/>
      <c r="CLX284" s="1069"/>
      <c r="CLY284" s="1069"/>
      <c r="CLZ284" s="1069"/>
      <c r="CMA284" s="1069"/>
      <c r="CMB284" s="1069"/>
      <c r="CMC284" s="1069"/>
      <c r="CMD284" s="1069"/>
      <c r="CME284" s="1069"/>
      <c r="CMF284" s="1069"/>
      <c r="CMG284" s="1069"/>
      <c r="CMH284" s="1069"/>
      <c r="CMI284" s="1069"/>
      <c r="CMJ284" s="1069"/>
      <c r="CMK284" s="1069"/>
      <c r="CML284" s="1069"/>
      <c r="CMM284" s="1069"/>
      <c r="CMN284" s="1069"/>
      <c r="CMO284" s="1069"/>
      <c r="CMP284" s="1069"/>
      <c r="CMQ284" s="1069"/>
      <c r="CMR284" s="1069"/>
      <c r="CMS284" s="1069"/>
      <c r="CMT284" s="1069"/>
      <c r="CMU284" s="1069"/>
      <c r="CMV284" s="1069"/>
      <c r="CMW284" s="1069"/>
      <c r="CMX284" s="1069"/>
      <c r="CMY284" s="1069"/>
      <c r="CMZ284" s="1069"/>
      <c r="CNA284" s="1069"/>
      <c r="CNB284" s="1069"/>
      <c r="CNC284" s="1069"/>
      <c r="CND284" s="1069"/>
      <c r="CNE284" s="1069"/>
      <c r="CNF284" s="1069"/>
      <c r="CNG284" s="1069"/>
      <c r="CNH284" s="1069"/>
      <c r="CNI284" s="1069"/>
      <c r="CNJ284" s="1069"/>
      <c r="CNK284" s="1069"/>
      <c r="CNL284" s="1069"/>
      <c r="CNM284" s="1069"/>
      <c r="CNN284" s="1069"/>
      <c r="CNO284" s="1069"/>
      <c r="CNP284" s="1069"/>
      <c r="CNQ284" s="1069"/>
      <c r="CNR284" s="1069"/>
      <c r="CNS284" s="1069"/>
      <c r="CNT284" s="1069"/>
      <c r="CNU284" s="1069"/>
      <c r="CNV284" s="1069"/>
      <c r="CNW284" s="1069"/>
      <c r="CNX284" s="1069"/>
      <c r="CNY284" s="1069"/>
      <c r="CNZ284" s="1069"/>
      <c r="COA284" s="1069"/>
      <c r="COB284" s="1069"/>
      <c r="COC284" s="1069"/>
      <c r="COD284" s="1069"/>
      <c r="COE284" s="1069"/>
      <c r="COF284" s="1069"/>
      <c r="COG284" s="1069"/>
      <c r="COH284" s="1069"/>
      <c r="COI284" s="1069"/>
      <c r="COJ284" s="1069"/>
      <c r="COK284" s="1069"/>
      <c r="COL284" s="1069"/>
      <c r="COM284" s="1069"/>
      <c r="CON284" s="1069"/>
      <c r="COO284" s="1069"/>
      <c r="COP284" s="1069"/>
      <c r="COQ284" s="1069"/>
      <c r="COR284" s="1069"/>
      <c r="COS284" s="1069"/>
      <c r="COT284" s="1069"/>
      <c r="COU284" s="1069"/>
      <c r="COV284" s="1069"/>
      <c r="COW284" s="1069"/>
      <c r="COX284" s="1069"/>
      <c r="COY284" s="1069"/>
      <c r="COZ284" s="1069"/>
      <c r="CPA284" s="1069"/>
      <c r="CPB284" s="1069"/>
      <c r="CPC284" s="1069"/>
      <c r="CPD284" s="1069"/>
      <c r="CPE284" s="1069"/>
      <c r="CPF284" s="1069"/>
      <c r="CPG284" s="1069"/>
      <c r="CPH284" s="1069"/>
      <c r="CPI284" s="1069"/>
      <c r="CPJ284" s="1069"/>
      <c r="CPK284" s="1069"/>
      <c r="CPL284" s="1069"/>
      <c r="CPM284" s="1069"/>
      <c r="CPN284" s="1069"/>
      <c r="CPO284" s="1069"/>
      <c r="CPP284" s="1069"/>
      <c r="CPQ284" s="1069"/>
      <c r="CPR284" s="1069"/>
      <c r="CPS284" s="1069"/>
      <c r="CPT284" s="1069"/>
      <c r="CPU284" s="1069"/>
      <c r="CPV284" s="1069"/>
      <c r="CPW284" s="1069"/>
      <c r="CPX284" s="1069"/>
      <c r="CPY284" s="1069"/>
      <c r="CPZ284" s="1069"/>
      <c r="CQA284" s="1069"/>
      <c r="CQB284" s="1069"/>
      <c r="CQC284" s="1069"/>
      <c r="CQD284" s="1069"/>
      <c r="CQE284" s="1069"/>
      <c r="CQF284" s="1069"/>
      <c r="CQG284" s="1069"/>
      <c r="CQH284" s="1069"/>
      <c r="CQI284" s="1069"/>
      <c r="CQJ284" s="1069"/>
      <c r="CQK284" s="1069"/>
      <c r="CQL284" s="1069"/>
      <c r="CQM284" s="1069"/>
      <c r="CQN284" s="1069"/>
      <c r="CQO284" s="1069"/>
      <c r="CQP284" s="1069"/>
      <c r="CQQ284" s="1069"/>
      <c r="CQR284" s="1069"/>
      <c r="CQS284" s="1069"/>
      <c r="CQT284" s="1069"/>
      <c r="CQU284" s="1069"/>
      <c r="CQV284" s="1069"/>
      <c r="CQW284" s="1069"/>
      <c r="CQX284" s="1069"/>
      <c r="CQY284" s="1069"/>
      <c r="CQZ284" s="1069"/>
      <c r="CRA284" s="1069"/>
      <c r="CRB284" s="1069"/>
      <c r="CRC284" s="1069"/>
      <c r="CRD284" s="1069"/>
      <c r="CRE284" s="1069"/>
      <c r="CRF284" s="1069"/>
      <c r="CRG284" s="1069"/>
      <c r="CRH284" s="1069"/>
      <c r="CRI284" s="1069"/>
      <c r="CRJ284" s="1069"/>
      <c r="CRK284" s="1069"/>
      <c r="CRL284" s="1069"/>
      <c r="CRM284" s="1069"/>
      <c r="CRN284" s="1069"/>
      <c r="CRO284" s="1069"/>
      <c r="CRP284" s="1069"/>
      <c r="CRQ284" s="1069"/>
      <c r="CRR284" s="1069"/>
      <c r="CRS284" s="1069"/>
      <c r="CRT284" s="1069"/>
      <c r="CRU284" s="1069"/>
      <c r="CRV284" s="1069"/>
      <c r="CRW284" s="1069"/>
      <c r="CRX284" s="1069"/>
      <c r="CRY284" s="1069"/>
      <c r="CRZ284" s="1069"/>
      <c r="CSA284" s="1069"/>
      <c r="CSB284" s="1069"/>
      <c r="CSC284" s="1069"/>
      <c r="CSD284" s="1069"/>
      <c r="CSE284" s="1069"/>
      <c r="CSF284" s="1069"/>
      <c r="CSG284" s="1069"/>
      <c r="CSH284" s="1069"/>
      <c r="CSI284" s="1069"/>
      <c r="CSJ284" s="1069"/>
      <c r="CSK284" s="1069"/>
      <c r="CSL284" s="1069"/>
      <c r="CSM284" s="1069"/>
      <c r="CSN284" s="1069"/>
      <c r="CSO284" s="1069"/>
      <c r="CSP284" s="1069"/>
      <c r="CSQ284" s="1069"/>
      <c r="CSR284" s="1069"/>
      <c r="CSS284" s="1069"/>
      <c r="CST284" s="1069"/>
      <c r="CSU284" s="1069"/>
      <c r="CSV284" s="1069"/>
      <c r="CSW284" s="1069"/>
      <c r="CSX284" s="1069"/>
      <c r="CSY284" s="1069"/>
      <c r="CSZ284" s="1069"/>
      <c r="CTA284" s="1069"/>
      <c r="CTB284" s="1069"/>
      <c r="CTC284" s="1069"/>
      <c r="CTD284" s="1069"/>
      <c r="CTE284" s="1069"/>
      <c r="CTF284" s="1069"/>
      <c r="CTG284" s="1069"/>
      <c r="CTH284" s="1069"/>
      <c r="CTI284" s="1069"/>
      <c r="CTJ284" s="1069"/>
      <c r="CTK284" s="1069"/>
      <c r="CTL284" s="1069"/>
      <c r="CTM284" s="1069"/>
      <c r="CTN284" s="1069"/>
      <c r="CTO284" s="1069"/>
      <c r="CTP284" s="1069"/>
      <c r="CTQ284" s="1069"/>
      <c r="CTR284" s="1069"/>
      <c r="CTS284" s="1069"/>
      <c r="CTT284" s="1069"/>
      <c r="CTU284" s="1069"/>
      <c r="CTV284" s="1069"/>
      <c r="CTW284" s="1069"/>
      <c r="CTX284" s="1069"/>
      <c r="CTY284" s="1069"/>
      <c r="CTZ284" s="1069"/>
      <c r="CUA284" s="1069"/>
      <c r="CUB284" s="1069"/>
      <c r="CUC284" s="1069"/>
      <c r="CUD284" s="1069"/>
      <c r="CUE284" s="1069"/>
      <c r="CUF284" s="1069"/>
      <c r="CUG284" s="1069"/>
      <c r="CUH284" s="1069"/>
      <c r="CUI284" s="1069"/>
      <c r="CUJ284" s="1069"/>
      <c r="CUK284" s="1069"/>
      <c r="CUL284" s="1069"/>
      <c r="CUM284" s="1069"/>
      <c r="CUN284" s="1069"/>
      <c r="CUO284" s="1069"/>
      <c r="CUP284" s="1069"/>
      <c r="CUQ284" s="1069"/>
      <c r="CUR284" s="1069"/>
      <c r="CUS284" s="1069"/>
      <c r="CUT284" s="1069"/>
      <c r="CUU284" s="1069"/>
      <c r="CUV284" s="1069"/>
      <c r="CUW284" s="1069"/>
      <c r="CUX284" s="1069"/>
      <c r="CUY284" s="1069"/>
      <c r="CUZ284" s="1069"/>
      <c r="CVA284" s="1069"/>
      <c r="CVB284" s="1069"/>
      <c r="CVC284" s="1069"/>
      <c r="CVD284" s="1069"/>
      <c r="CVE284" s="1069"/>
      <c r="CVF284" s="1069"/>
      <c r="CVG284" s="1069"/>
      <c r="CVH284" s="1069"/>
      <c r="CVI284" s="1069"/>
      <c r="CVJ284" s="1069"/>
      <c r="CVK284" s="1069"/>
      <c r="CVL284" s="1069"/>
      <c r="CVM284" s="1069"/>
      <c r="CVN284" s="1069"/>
      <c r="CVO284" s="1069"/>
      <c r="CVP284" s="1069"/>
      <c r="CVQ284" s="1069"/>
      <c r="CVR284" s="1069"/>
      <c r="CVS284" s="1069"/>
      <c r="CVT284" s="1069"/>
      <c r="CVU284" s="1069"/>
      <c r="CVV284" s="1069"/>
      <c r="CVW284" s="1069"/>
      <c r="CVX284" s="1069"/>
      <c r="CVY284" s="1069"/>
      <c r="CVZ284" s="1069"/>
      <c r="CWA284" s="1069"/>
      <c r="CWB284" s="1069"/>
      <c r="CWC284" s="1069"/>
      <c r="CWD284" s="1069"/>
      <c r="CWE284" s="1069"/>
      <c r="CWF284" s="1069"/>
      <c r="CWG284" s="1069"/>
      <c r="CWH284" s="1069"/>
      <c r="CWI284" s="1069"/>
      <c r="CWJ284" s="1069"/>
      <c r="CWK284" s="1069"/>
      <c r="CWL284" s="1069"/>
      <c r="CWM284" s="1069"/>
      <c r="CWN284" s="1069"/>
      <c r="CWO284" s="1069"/>
      <c r="CWP284" s="1069"/>
      <c r="CWQ284" s="1069"/>
      <c r="CWR284" s="1069"/>
      <c r="CWS284" s="1069"/>
      <c r="CWT284" s="1069"/>
      <c r="CWU284" s="1069"/>
      <c r="CWV284" s="1069"/>
      <c r="CWW284" s="1069"/>
      <c r="CWX284" s="1069"/>
      <c r="CWY284" s="1069"/>
      <c r="CWZ284" s="1069"/>
      <c r="CXA284" s="1069"/>
      <c r="CXB284" s="1069"/>
      <c r="CXC284" s="1069"/>
      <c r="CXD284" s="1069"/>
      <c r="CXE284" s="1069"/>
      <c r="CXF284" s="1069"/>
      <c r="CXG284" s="1069"/>
      <c r="CXH284" s="1069"/>
      <c r="CXI284" s="1069"/>
      <c r="CXJ284" s="1069"/>
      <c r="CXK284" s="1069"/>
      <c r="CXL284" s="1069"/>
      <c r="CXM284" s="1069"/>
      <c r="CXN284" s="1069"/>
      <c r="CXO284" s="1069"/>
      <c r="CXP284" s="1069"/>
      <c r="CXQ284" s="1069"/>
      <c r="CXR284" s="1069"/>
      <c r="CXS284" s="1069"/>
      <c r="CXT284" s="1069"/>
      <c r="CXU284" s="1069"/>
      <c r="CXV284" s="1069"/>
      <c r="CXW284" s="1069"/>
      <c r="CXX284" s="1069"/>
      <c r="CXY284" s="1069"/>
      <c r="CXZ284" s="1069"/>
      <c r="CYA284" s="1069"/>
      <c r="CYB284" s="1069"/>
      <c r="CYC284" s="1069"/>
      <c r="CYD284" s="1069"/>
      <c r="CYE284" s="1069"/>
      <c r="CYF284" s="1069"/>
      <c r="CYG284" s="1069"/>
      <c r="CYH284" s="1069"/>
      <c r="CYI284" s="1069"/>
      <c r="CYJ284" s="1069"/>
      <c r="CYK284" s="1069"/>
      <c r="CYL284" s="1069"/>
      <c r="CYM284" s="1069"/>
      <c r="CYN284" s="1069"/>
      <c r="CYO284" s="1069"/>
      <c r="CYP284" s="1069"/>
      <c r="CYQ284" s="1069"/>
      <c r="CYR284" s="1069"/>
      <c r="CYS284" s="1069"/>
      <c r="CYT284" s="1069"/>
      <c r="CYU284" s="1069"/>
      <c r="CYV284" s="1069"/>
      <c r="CYW284" s="1069"/>
      <c r="CYX284" s="1069"/>
      <c r="CYY284" s="1069"/>
      <c r="CYZ284" s="1069"/>
      <c r="CZA284" s="1069"/>
      <c r="CZB284" s="1069"/>
      <c r="CZC284" s="1069"/>
      <c r="CZD284" s="1069"/>
      <c r="CZE284" s="1069"/>
      <c r="CZF284" s="1069"/>
      <c r="CZG284" s="1069"/>
      <c r="CZH284" s="1069"/>
      <c r="CZI284" s="1069"/>
      <c r="CZJ284" s="1069"/>
      <c r="CZK284" s="1069"/>
      <c r="CZL284" s="1069"/>
      <c r="CZM284" s="1069"/>
      <c r="CZN284" s="1069"/>
      <c r="CZO284" s="1069"/>
      <c r="CZP284" s="1069"/>
      <c r="CZQ284" s="1069"/>
      <c r="CZR284" s="1069"/>
      <c r="CZS284" s="1069"/>
      <c r="CZT284" s="1069"/>
      <c r="CZU284" s="1069"/>
      <c r="CZV284" s="1069"/>
      <c r="CZW284" s="1069"/>
      <c r="CZX284" s="1069"/>
      <c r="CZY284" s="1069"/>
      <c r="CZZ284" s="1069"/>
      <c r="DAA284" s="1069"/>
      <c r="DAB284" s="1069"/>
      <c r="DAC284" s="1069"/>
      <c r="DAD284" s="1069"/>
      <c r="DAE284" s="1069"/>
      <c r="DAF284" s="1069"/>
      <c r="DAG284" s="1069"/>
      <c r="DAH284" s="1069"/>
      <c r="DAI284" s="1069"/>
      <c r="DAJ284" s="1069"/>
      <c r="DAK284" s="1069"/>
      <c r="DAL284" s="1069"/>
      <c r="DAM284" s="1069"/>
      <c r="DAN284" s="1069"/>
      <c r="DAO284" s="1069"/>
      <c r="DAP284" s="1069"/>
      <c r="DAQ284" s="1069"/>
      <c r="DAR284" s="1069"/>
      <c r="DAS284" s="1069"/>
      <c r="DAT284" s="1069"/>
      <c r="DAU284" s="1069"/>
      <c r="DAV284" s="1069"/>
      <c r="DAW284" s="1069"/>
      <c r="DAX284" s="1069"/>
      <c r="DAY284" s="1069"/>
      <c r="DAZ284" s="1069"/>
      <c r="DBA284" s="1069"/>
      <c r="DBB284" s="1069"/>
      <c r="DBC284" s="1069"/>
      <c r="DBD284" s="1069"/>
      <c r="DBE284" s="1069"/>
      <c r="DBF284" s="1069"/>
      <c r="DBG284" s="1069"/>
      <c r="DBH284" s="1069"/>
      <c r="DBI284" s="1069"/>
      <c r="DBJ284" s="1069"/>
      <c r="DBK284" s="1069"/>
      <c r="DBL284" s="1069"/>
      <c r="DBM284" s="1069"/>
      <c r="DBN284" s="1069"/>
      <c r="DBO284" s="1069"/>
      <c r="DBP284" s="1069"/>
      <c r="DBQ284" s="1069"/>
      <c r="DBR284" s="1069"/>
      <c r="DBS284" s="1069"/>
      <c r="DBT284" s="1069"/>
      <c r="DBU284" s="1069"/>
      <c r="DBV284" s="1069"/>
      <c r="DBW284" s="1069"/>
      <c r="DBX284" s="1069"/>
      <c r="DBY284" s="1069"/>
      <c r="DBZ284" s="1069"/>
      <c r="DCA284" s="1069"/>
      <c r="DCB284" s="1069"/>
      <c r="DCC284" s="1069"/>
      <c r="DCD284" s="1069"/>
      <c r="DCE284" s="1069"/>
      <c r="DCF284" s="1069"/>
      <c r="DCG284" s="1069"/>
      <c r="DCH284" s="1069"/>
      <c r="DCI284" s="1069"/>
      <c r="DCJ284" s="1069"/>
      <c r="DCK284" s="1069"/>
      <c r="DCL284" s="1069"/>
      <c r="DCM284" s="1069"/>
      <c r="DCN284" s="1069"/>
      <c r="DCO284" s="1069"/>
      <c r="DCP284" s="1069"/>
      <c r="DCQ284" s="1069"/>
      <c r="DCR284" s="1069"/>
      <c r="DCS284" s="1069"/>
      <c r="DCT284" s="1069"/>
      <c r="DCU284" s="1069"/>
      <c r="DCV284" s="1069"/>
      <c r="DCW284" s="1069"/>
      <c r="DCX284" s="1069"/>
      <c r="DCY284" s="1069"/>
      <c r="DCZ284" s="1069"/>
      <c r="DDA284" s="1069"/>
      <c r="DDB284" s="1069"/>
      <c r="DDC284" s="1069"/>
      <c r="DDD284" s="1069"/>
      <c r="DDE284" s="1069"/>
      <c r="DDF284" s="1069"/>
      <c r="DDG284" s="1069"/>
      <c r="DDH284" s="1069"/>
      <c r="DDI284" s="1069"/>
      <c r="DDJ284" s="1069"/>
      <c r="DDK284" s="1069"/>
      <c r="DDL284" s="1069"/>
      <c r="DDM284" s="1069"/>
      <c r="DDN284" s="1069"/>
      <c r="DDO284" s="1069"/>
      <c r="DDP284" s="1069"/>
      <c r="DDQ284" s="1069"/>
      <c r="DDR284" s="1069"/>
      <c r="DDS284" s="1069"/>
      <c r="DDT284" s="1069"/>
      <c r="DDU284" s="1069"/>
      <c r="DDV284" s="1069"/>
      <c r="DDW284" s="1069"/>
      <c r="DDX284" s="1069"/>
      <c r="DDY284" s="1069"/>
      <c r="DDZ284" s="1069"/>
      <c r="DEA284" s="1069"/>
      <c r="DEB284" s="1069"/>
      <c r="DEC284" s="1069"/>
      <c r="DED284" s="1069"/>
      <c r="DEE284" s="1069"/>
      <c r="DEF284" s="1069"/>
      <c r="DEG284" s="1069"/>
      <c r="DEH284" s="1069"/>
      <c r="DEI284" s="1069"/>
      <c r="DEJ284" s="1069"/>
      <c r="DEK284" s="1069"/>
      <c r="DEL284" s="1069"/>
      <c r="DEM284" s="1069"/>
      <c r="DEN284" s="1069"/>
      <c r="DEO284" s="1069"/>
      <c r="DEP284" s="1069"/>
      <c r="DEQ284" s="1069"/>
      <c r="DER284" s="1069"/>
      <c r="DES284" s="1069"/>
      <c r="DET284" s="1069"/>
      <c r="DEU284" s="1069"/>
      <c r="DEV284" s="1069"/>
      <c r="DEW284" s="1069"/>
      <c r="DEX284" s="1069"/>
      <c r="DEY284" s="1069"/>
      <c r="DEZ284" s="1069"/>
      <c r="DFA284" s="1069"/>
      <c r="DFB284" s="1069"/>
      <c r="DFC284" s="1069"/>
      <c r="DFD284" s="1069"/>
      <c r="DFE284" s="1069"/>
      <c r="DFF284" s="1069"/>
      <c r="DFG284" s="1069"/>
      <c r="DFH284" s="1069"/>
      <c r="DFI284" s="1069"/>
      <c r="DFJ284" s="1069"/>
      <c r="DFK284" s="1069"/>
      <c r="DFL284" s="1069"/>
      <c r="DFM284" s="1069"/>
      <c r="DFN284" s="1069"/>
      <c r="DFO284" s="1069"/>
      <c r="DFP284" s="1069"/>
      <c r="DFQ284" s="1069"/>
      <c r="DFR284" s="1069"/>
      <c r="DFS284" s="1069"/>
      <c r="DFT284" s="1069"/>
      <c r="DFU284" s="1069"/>
      <c r="DFV284" s="1069"/>
      <c r="DFW284" s="1069"/>
      <c r="DFX284" s="1069"/>
      <c r="DFY284" s="1069"/>
      <c r="DFZ284" s="1069"/>
      <c r="DGA284" s="1069"/>
      <c r="DGB284" s="1069"/>
      <c r="DGC284" s="1069"/>
      <c r="DGD284" s="1069"/>
      <c r="DGE284" s="1069"/>
      <c r="DGF284" s="1069"/>
      <c r="DGG284" s="1069"/>
      <c r="DGH284" s="1069"/>
      <c r="DGI284" s="1069"/>
      <c r="DGJ284" s="1069"/>
      <c r="DGK284" s="1069"/>
      <c r="DGL284" s="1069"/>
      <c r="DGM284" s="1069"/>
      <c r="DGN284" s="1069"/>
      <c r="DGO284" s="1069"/>
      <c r="DGP284" s="1069"/>
      <c r="DGQ284" s="1069"/>
      <c r="DGR284" s="1069"/>
      <c r="DGS284" s="1069"/>
      <c r="DGT284" s="1069"/>
      <c r="DGU284" s="1069"/>
      <c r="DGV284" s="1069"/>
      <c r="DGW284" s="1069"/>
      <c r="DGX284" s="1069"/>
      <c r="DGY284" s="1069"/>
      <c r="DGZ284" s="1069"/>
      <c r="DHA284" s="1069"/>
      <c r="DHB284" s="1069"/>
      <c r="DHC284" s="1069"/>
      <c r="DHD284" s="1069"/>
      <c r="DHE284" s="1069"/>
      <c r="DHF284" s="1069"/>
      <c r="DHG284" s="1069"/>
      <c r="DHH284" s="1069"/>
      <c r="DHI284" s="1069"/>
      <c r="DHJ284" s="1069"/>
      <c r="DHK284" s="1069"/>
      <c r="DHL284" s="1069"/>
      <c r="DHM284" s="1069"/>
      <c r="DHN284" s="1069"/>
      <c r="DHO284" s="1069"/>
      <c r="DHP284" s="1069"/>
      <c r="DHQ284" s="1069"/>
      <c r="DHR284" s="1069"/>
      <c r="DHS284" s="1069"/>
      <c r="DHT284" s="1069"/>
      <c r="DHU284" s="1069"/>
      <c r="DHV284" s="1069"/>
      <c r="DHW284" s="1069"/>
      <c r="DHX284" s="1069"/>
      <c r="DHY284" s="1069"/>
      <c r="DHZ284" s="1069"/>
      <c r="DIA284" s="1069"/>
      <c r="DIB284" s="1069"/>
      <c r="DIC284" s="1069"/>
      <c r="DID284" s="1069"/>
      <c r="DIE284" s="1069"/>
      <c r="DIF284" s="1069"/>
      <c r="DIG284" s="1069"/>
      <c r="DIH284" s="1069"/>
      <c r="DII284" s="1069"/>
      <c r="DIJ284" s="1069"/>
      <c r="DIK284" s="1069"/>
      <c r="DIL284" s="1069"/>
      <c r="DIM284" s="1069"/>
      <c r="DIN284" s="1069"/>
      <c r="DIO284" s="1069"/>
      <c r="DIP284" s="1069"/>
      <c r="DIQ284" s="1069"/>
      <c r="DIR284" s="1069"/>
      <c r="DIS284" s="1069"/>
      <c r="DIT284" s="1069"/>
      <c r="DIU284" s="1069"/>
      <c r="DIV284" s="1069"/>
      <c r="DIW284" s="1069"/>
      <c r="DIX284" s="1069"/>
      <c r="DIY284" s="1069"/>
      <c r="DIZ284" s="1069"/>
      <c r="DJA284" s="1069"/>
      <c r="DJB284" s="1069"/>
      <c r="DJC284" s="1069"/>
      <c r="DJD284" s="1069"/>
      <c r="DJE284" s="1069"/>
      <c r="DJF284" s="1069"/>
      <c r="DJG284" s="1069"/>
      <c r="DJH284" s="1069"/>
      <c r="DJI284" s="1069"/>
      <c r="DJJ284" s="1069"/>
      <c r="DJK284" s="1069"/>
      <c r="DJL284" s="1069"/>
      <c r="DJM284" s="1069"/>
      <c r="DJN284" s="1069"/>
      <c r="DJO284" s="1069"/>
      <c r="DJP284" s="1069"/>
      <c r="DJQ284" s="1069"/>
      <c r="DJR284" s="1069"/>
      <c r="DJS284" s="1069"/>
      <c r="DJT284" s="1069"/>
      <c r="DJU284" s="1069"/>
      <c r="DJV284" s="1069"/>
      <c r="DJW284" s="1069"/>
      <c r="DJX284" s="1069"/>
      <c r="DJY284" s="1069"/>
      <c r="DJZ284" s="1069"/>
      <c r="DKA284" s="1069"/>
      <c r="DKB284" s="1069"/>
      <c r="DKC284" s="1069"/>
      <c r="DKD284" s="1069"/>
      <c r="DKE284" s="1069"/>
      <c r="DKF284" s="1069"/>
      <c r="DKG284" s="1069"/>
      <c r="DKH284" s="1069"/>
      <c r="DKI284" s="1069"/>
      <c r="DKJ284" s="1069"/>
      <c r="DKK284" s="1069"/>
      <c r="DKL284" s="1069"/>
      <c r="DKM284" s="1069"/>
      <c r="DKN284" s="1069"/>
      <c r="DKO284" s="1069"/>
      <c r="DKP284" s="1069"/>
      <c r="DKQ284" s="1069"/>
      <c r="DKR284" s="1069"/>
      <c r="DKS284" s="1069"/>
      <c r="DKT284" s="1069"/>
      <c r="DKU284" s="1069"/>
      <c r="DKV284" s="1069"/>
      <c r="DKW284" s="1069"/>
      <c r="DKX284" s="1069"/>
      <c r="DKY284" s="1069"/>
      <c r="DKZ284" s="1069"/>
      <c r="DLA284" s="1069"/>
      <c r="DLB284" s="1069"/>
      <c r="DLC284" s="1069"/>
      <c r="DLD284" s="1069"/>
      <c r="DLE284" s="1069"/>
      <c r="DLF284" s="1069"/>
      <c r="DLG284" s="1069"/>
      <c r="DLH284" s="1069"/>
      <c r="DLI284" s="1069"/>
      <c r="DLJ284" s="1069"/>
      <c r="DLK284" s="1069"/>
      <c r="DLL284" s="1069"/>
      <c r="DLM284" s="1069"/>
      <c r="DLN284" s="1069"/>
      <c r="DLO284" s="1069"/>
      <c r="DLP284" s="1069"/>
      <c r="DLQ284" s="1069"/>
      <c r="DLR284" s="1069"/>
      <c r="DLS284" s="1069"/>
      <c r="DLT284" s="1069"/>
      <c r="DLU284" s="1069"/>
      <c r="DLV284" s="1069"/>
      <c r="DLW284" s="1069"/>
      <c r="DLX284" s="1069"/>
      <c r="DLY284" s="1069"/>
      <c r="DLZ284" s="1069"/>
      <c r="DMA284" s="1069"/>
      <c r="DMB284" s="1069"/>
      <c r="DMC284" s="1069"/>
      <c r="DMD284" s="1069"/>
      <c r="DME284" s="1069"/>
      <c r="DMF284" s="1069"/>
      <c r="DMG284" s="1069"/>
      <c r="DMH284" s="1069"/>
      <c r="DMI284" s="1069"/>
      <c r="DMJ284" s="1069"/>
      <c r="DMK284" s="1069"/>
      <c r="DML284" s="1069"/>
      <c r="DMM284" s="1069"/>
      <c r="DMN284" s="1069"/>
      <c r="DMO284" s="1069"/>
      <c r="DMP284" s="1069"/>
      <c r="DMQ284" s="1069"/>
      <c r="DMR284" s="1069"/>
      <c r="DMS284" s="1069"/>
      <c r="DMT284" s="1069"/>
      <c r="DMU284" s="1069"/>
      <c r="DMV284" s="1069"/>
      <c r="DMW284" s="1069"/>
      <c r="DMX284" s="1069"/>
      <c r="DMY284" s="1069"/>
      <c r="DMZ284" s="1069"/>
      <c r="DNA284" s="1069"/>
      <c r="DNB284" s="1069"/>
      <c r="DNC284" s="1069"/>
      <c r="DND284" s="1069"/>
      <c r="DNE284" s="1069"/>
      <c r="DNF284" s="1069"/>
      <c r="DNG284" s="1069"/>
      <c r="DNH284" s="1069"/>
      <c r="DNI284" s="1069"/>
      <c r="DNJ284" s="1069"/>
      <c r="DNK284" s="1069"/>
      <c r="DNL284" s="1069"/>
      <c r="DNM284" s="1069"/>
      <c r="DNN284" s="1069"/>
      <c r="DNO284" s="1069"/>
      <c r="DNP284" s="1069"/>
      <c r="DNQ284" s="1069"/>
      <c r="DNR284" s="1069"/>
      <c r="DNS284" s="1069"/>
      <c r="DNT284" s="1069"/>
      <c r="DNU284" s="1069"/>
      <c r="DNV284" s="1069"/>
      <c r="DNW284" s="1069"/>
      <c r="DNX284" s="1069"/>
      <c r="DNY284" s="1069"/>
      <c r="DNZ284" s="1069"/>
      <c r="DOA284" s="1069"/>
      <c r="DOB284" s="1069"/>
      <c r="DOC284" s="1069"/>
      <c r="DOD284" s="1069"/>
      <c r="DOE284" s="1069"/>
      <c r="DOF284" s="1069"/>
      <c r="DOG284" s="1069"/>
      <c r="DOH284" s="1069"/>
      <c r="DOI284" s="1069"/>
      <c r="DOJ284" s="1069"/>
      <c r="DOK284" s="1069"/>
      <c r="DOL284" s="1069"/>
      <c r="DOM284" s="1069"/>
      <c r="DON284" s="1069"/>
      <c r="DOO284" s="1069"/>
      <c r="DOP284" s="1069"/>
      <c r="DOQ284" s="1069"/>
      <c r="DOR284" s="1069"/>
      <c r="DOS284" s="1069"/>
      <c r="DOT284" s="1069"/>
      <c r="DOU284" s="1069"/>
      <c r="DOV284" s="1069"/>
      <c r="DOW284" s="1069"/>
      <c r="DOX284" s="1069"/>
      <c r="DOY284" s="1069"/>
      <c r="DOZ284" s="1069"/>
      <c r="DPA284" s="1069"/>
      <c r="DPB284" s="1069"/>
      <c r="DPC284" s="1069"/>
      <c r="DPD284" s="1069"/>
      <c r="DPE284" s="1069"/>
      <c r="DPF284" s="1069"/>
      <c r="DPG284" s="1069"/>
      <c r="DPH284" s="1069"/>
      <c r="DPI284" s="1069"/>
      <c r="DPJ284" s="1069"/>
      <c r="DPK284" s="1069"/>
      <c r="DPL284" s="1069"/>
      <c r="DPM284" s="1069"/>
      <c r="DPN284" s="1069"/>
      <c r="DPO284" s="1069"/>
      <c r="DPP284" s="1069"/>
      <c r="DPQ284" s="1069"/>
      <c r="DPR284" s="1069"/>
      <c r="DPS284" s="1069"/>
      <c r="DPT284" s="1069"/>
      <c r="DPU284" s="1069"/>
      <c r="DPV284" s="1069"/>
      <c r="DPW284" s="1069"/>
      <c r="DPX284" s="1069"/>
      <c r="DPY284" s="1069"/>
      <c r="DPZ284" s="1069"/>
      <c r="DQA284" s="1069"/>
      <c r="DQB284" s="1069"/>
      <c r="DQC284" s="1069"/>
      <c r="DQD284" s="1069"/>
      <c r="DQE284" s="1069"/>
      <c r="DQF284" s="1069"/>
      <c r="DQG284" s="1069"/>
      <c r="DQH284" s="1069"/>
      <c r="DQI284" s="1069"/>
      <c r="DQJ284" s="1069"/>
      <c r="DQK284" s="1069"/>
      <c r="DQL284" s="1069"/>
      <c r="DQM284" s="1069"/>
      <c r="DQN284" s="1069"/>
      <c r="DQO284" s="1069"/>
      <c r="DQP284" s="1069"/>
      <c r="DQQ284" s="1069"/>
      <c r="DQR284" s="1069"/>
      <c r="DQS284" s="1069"/>
      <c r="DQT284" s="1069"/>
      <c r="DQU284" s="1069"/>
      <c r="DQV284" s="1069"/>
      <c r="DQW284" s="1069"/>
      <c r="DQX284" s="1069"/>
      <c r="DQY284" s="1069"/>
      <c r="DQZ284" s="1069"/>
      <c r="DRA284" s="1069"/>
      <c r="DRB284" s="1069"/>
      <c r="DRC284" s="1069"/>
      <c r="DRD284" s="1069"/>
      <c r="DRE284" s="1069"/>
      <c r="DRF284" s="1069"/>
      <c r="DRG284" s="1069"/>
      <c r="DRH284" s="1069"/>
      <c r="DRI284" s="1069"/>
      <c r="DRJ284" s="1069"/>
      <c r="DRK284" s="1069"/>
      <c r="DRL284" s="1069"/>
      <c r="DRM284" s="1069"/>
      <c r="DRN284" s="1069"/>
      <c r="DRO284" s="1069"/>
      <c r="DRP284" s="1069"/>
      <c r="DRQ284" s="1069"/>
      <c r="DRR284" s="1069"/>
      <c r="DRS284" s="1069"/>
      <c r="DRT284" s="1069"/>
      <c r="DRU284" s="1069"/>
      <c r="DRV284" s="1069"/>
      <c r="DRW284" s="1069"/>
      <c r="DRX284" s="1069"/>
      <c r="DRY284" s="1069"/>
      <c r="DRZ284" s="1069"/>
      <c r="DSA284" s="1069"/>
      <c r="DSB284" s="1069"/>
      <c r="DSC284" s="1069"/>
      <c r="DSD284" s="1069"/>
      <c r="DSE284" s="1069"/>
      <c r="DSF284" s="1069"/>
      <c r="DSG284" s="1069"/>
      <c r="DSH284" s="1069"/>
      <c r="DSI284" s="1069"/>
      <c r="DSJ284" s="1069"/>
      <c r="DSK284" s="1069"/>
      <c r="DSL284" s="1069"/>
      <c r="DSM284" s="1069"/>
      <c r="DSN284" s="1069"/>
      <c r="DSO284" s="1069"/>
      <c r="DSP284" s="1069"/>
      <c r="DSQ284" s="1069"/>
      <c r="DSR284" s="1069"/>
      <c r="DSS284" s="1069"/>
      <c r="DST284" s="1069"/>
      <c r="DSU284" s="1069"/>
      <c r="DSV284" s="1069"/>
      <c r="DSW284" s="1069"/>
      <c r="DSX284" s="1069"/>
      <c r="DSY284" s="1069"/>
      <c r="DSZ284" s="1069"/>
      <c r="DTA284" s="1069"/>
      <c r="DTB284" s="1069"/>
      <c r="DTC284" s="1069"/>
      <c r="DTD284" s="1069"/>
      <c r="DTE284" s="1069"/>
      <c r="DTF284" s="1069"/>
      <c r="DTG284" s="1069"/>
      <c r="DTH284" s="1069"/>
      <c r="DTI284" s="1069"/>
      <c r="DTJ284" s="1069"/>
      <c r="DTK284" s="1069"/>
      <c r="DTL284" s="1069"/>
      <c r="DTM284" s="1069"/>
      <c r="DTN284" s="1069"/>
      <c r="DTO284" s="1069"/>
      <c r="DTP284" s="1069"/>
      <c r="DTQ284" s="1069"/>
      <c r="DTR284" s="1069"/>
      <c r="DTS284" s="1069"/>
      <c r="DTT284" s="1069"/>
      <c r="DTU284" s="1069"/>
      <c r="DTV284" s="1069"/>
      <c r="DTW284" s="1069"/>
      <c r="DTX284" s="1069"/>
      <c r="DTY284" s="1069"/>
      <c r="DTZ284" s="1069"/>
      <c r="DUA284" s="1069"/>
      <c r="DUB284" s="1069"/>
      <c r="DUC284" s="1069"/>
      <c r="DUD284" s="1069"/>
      <c r="DUE284" s="1069"/>
      <c r="DUF284" s="1069"/>
      <c r="DUG284" s="1069"/>
      <c r="DUH284" s="1069"/>
      <c r="DUI284" s="1069"/>
      <c r="DUJ284" s="1069"/>
      <c r="DUK284" s="1069"/>
      <c r="DUL284" s="1069"/>
      <c r="DUM284" s="1069"/>
      <c r="DUN284" s="1069"/>
      <c r="DUO284" s="1069"/>
      <c r="DUP284" s="1069"/>
      <c r="DUQ284" s="1069"/>
      <c r="DUR284" s="1069"/>
      <c r="DUS284" s="1069"/>
      <c r="DUT284" s="1069"/>
      <c r="DUU284" s="1069"/>
      <c r="DUV284" s="1069"/>
      <c r="DUW284" s="1069"/>
      <c r="DUX284" s="1069"/>
      <c r="DUY284" s="1069"/>
      <c r="DUZ284" s="1069"/>
      <c r="DVA284" s="1069"/>
      <c r="DVB284" s="1069"/>
      <c r="DVC284" s="1069"/>
      <c r="DVD284" s="1069"/>
      <c r="DVE284" s="1069"/>
      <c r="DVF284" s="1069"/>
      <c r="DVG284" s="1069"/>
      <c r="DVH284" s="1069"/>
      <c r="DVI284" s="1069"/>
      <c r="DVJ284" s="1069"/>
      <c r="DVK284" s="1069"/>
      <c r="DVL284" s="1069"/>
      <c r="DVM284" s="1069"/>
      <c r="DVN284" s="1069"/>
      <c r="DVO284" s="1069"/>
      <c r="DVP284" s="1069"/>
      <c r="DVQ284" s="1069"/>
      <c r="DVR284" s="1069"/>
      <c r="DVS284" s="1069"/>
      <c r="DVT284" s="1069"/>
      <c r="DVU284" s="1069"/>
      <c r="DVV284" s="1069"/>
      <c r="DVW284" s="1069"/>
      <c r="DVX284" s="1069"/>
      <c r="DVY284" s="1069"/>
      <c r="DVZ284" s="1069"/>
      <c r="DWA284" s="1069"/>
      <c r="DWB284" s="1069"/>
      <c r="DWC284" s="1069"/>
      <c r="DWD284" s="1069"/>
      <c r="DWE284" s="1069"/>
      <c r="DWF284" s="1069"/>
      <c r="DWG284" s="1069"/>
      <c r="DWH284" s="1069"/>
      <c r="DWI284" s="1069"/>
      <c r="DWJ284" s="1069"/>
      <c r="DWK284" s="1069"/>
      <c r="DWL284" s="1069"/>
      <c r="DWM284" s="1069"/>
      <c r="DWN284" s="1069"/>
      <c r="DWO284" s="1069"/>
      <c r="DWP284" s="1069"/>
      <c r="DWQ284" s="1069"/>
      <c r="DWR284" s="1069"/>
      <c r="DWS284" s="1069"/>
      <c r="DWT284" s="1069"/>
      <c r="DWU284" s="1069"/>
      <c r="DWV284" s="1069"/>
      <c r="DWW284" s="1069"/>
      <c r="DWX284" s="1069"/>
      <c r="DWY284" s="1069"/>
      <c r="DWZ284" s="1069"/>
      <c r="DXA284" s="1069"/>
      <c r="DXB284" s="1069"/>
      <c r="DXC284" s="1069"/>
      <c r="DXD284" s="1069"/>
      <c r="DXE284" s="1069"/>
      <c r="DXF284" s="1069"/>
      <c r="DXG284" s="1069"/>
      <c r="DXH284" s="1069"/>
      <c r="DXI284" s="1069"/>
      <c r="DXJ284" s="1069"/>
      <c r="DXK284" s="1069"/>
      <c r="DXL284" s="1069"/>
      <c r="DXM284" s="1069"/>
      <c r="DXN284" s="1069"/>
      <c r="DXO284" s="1069"/>
      <c r="DXP284" s="1069"/>
      <c r="DXQ284" s="1069"/>
      <c r="DXR284" s="1069"/>
      <c r="DXS284" s="1069"/>
      <c r="DXT284" s="1069"/>
      <c r="DXU284" s="1069"/>
      <c r="DXV284" s="1069"/>
      <c r="DXW284" s="1069"/>
      <c r="DXX284" s="1069"/>
      <c r="DXY284" s="1069"/>
      <c r="DXZ284" s="1069"/>
      <c r="DYA284" s="1069"/>
      <c r="DYB284" s="1069"/>
      <c r="DYC284" s="1069"/>
      <c r="DYD284" s="1069"/>
      <c r="DYE284" s="1069"/>
      <c r="DYF284" s="1069"/>
      <c r="DYG284" s="1069"/>
      <c r="DYH284" s="1069"/>
      <c r="DYI284" s="1069"/>
      <c r="DYJ284" s="1069"/>
      <c r="DYK284" s="1069"/>
      <c r="DYL284" s="1069"/>
      <c r="DYM284" s="1069"/>
      <c r="DYN284" s="1069"/>
      <c r="DYO284" s="1069"/>
      <c r="DYP284" s="1069"/>
      <c r="DYQ284" s="1069"/>
      <c r="DYR284" s="1069"/>
      <c r="DYS284" s="1069"/>
      <c r="DYT284" s="1069"/>
      <c r="DYU284" s="1069"/>
      <c r="DYV284" s="1069"/>
      <c r="DYW284" s="1069"/>
      <c r="DYX284" s="1069"/>
      <c r="DYY284" s="1069"/>
      <c r="DYZ284" s="1069"/>
      <c r="DZA284" s="1069"/>
      <c r="DZB284" s="1069"/>
      <c r="DZC284" s="1069"/>
      <c r="DZD284" s="1069"/>
      <c r="DZE284" s="1069"/>
      <c r="DZF284" s="1069"/>
      <c r="DZG284" s="1069"/>
      <c r="DZH284" s="1069"/>
      <c r="DZI284" s="1069"/>
      <c r="DZJ284" s="1069"/>
      <c r="DZK284" s="1069"/>
      <c r="DZL284" s="1069"/>
      <c r="DZM284" s="1069"/>
      <c r="DZN284" s="1069"/>
      <c r="DZO284" s="1069"/>
      <c r="DZP284" s="1069"/>
      <c r="DZQ284" s="1069"/>
      <c r="DZR284" s="1069"/>
      <c r="DZS284" s="1069"/>
      <c r="DZT284" s="1069"/>
      <c r="DZU284" s="1069"/>
      <c r="DZV284" s="1069"/>
      <c r="DZW284" s="1069"/>
      <c r="DZX284" s="1069"/>
      <c r="DZY284" s="1069"/>
      <c r="DZZ284" s="1069"/>
      <c r="EAA284" s="1069"/>
      <c r="EAB284" s="1069"/>
      <c r="EAC284" s="1069"/>
      <c r="EAD284" s="1069"/>
      <c r="EAE284" s="1069"/>
      <c r="EAF284" s="1069"/>
      <c r="EAG284" s="1069"/>
      <c r="EAH284" s="1069"/>
      <c r="EAI284" s="1069"/>
      <c r="EAJ284" s="1069"/>
      <c r="EAK284" s="1069"/>
      <c r="EAL284" s="1069"/>
      <c r="EAM284" s="1069"/>
      <c r="EAN284" s="1069"/>
      <c r="EAO284" s="1069"/>
      <c r="EAP284" s="1069"/>
      <c r="EAQ284" s="1069"/>
      <c r="EAR284" s="1069"/>
      <c r="EAS284" s="1069"/>
      <c r="EAT284" s="1069"/>
      <c r="EAU284" s="1069"/>
      <c r="EAV284" s="1069"/>
      <c r="EAW284" s="1069"/>
      <c r="EAX284" s="1069"/>
      <c r="EAY284" s="1069"/>
      <c r="EAZ284" s="1069"/>
      <c r="EBA284" s="1069"/>
      <c r="EBB284" s="1069"/>
      <c r="EBC284" s="1069"/>
      <c r="EBD284" s="1069"/>
      <c r="EBE284" s="1069"/>
      <c r="EBF284" s="1069"/>
      <c r="EBG284" s="1069"/>
      <c r="EBH284" s="1069"/>
      <c r="EBI284" s="1069"/>
      <c r="EBJ284" s="1069"/>
      <c r="EBK284" s="1069"/>
      <c r="EBL284" s="1069"/>
      <c r="EBM284" s="1069"/>
      <c r="EBN284" s="1069"/>
      <c r="EBO284" s="1069"/>
      <c r="EBP284" s="1069"/>
      <c r="EBQ284" s="1069"/>
      <c r="EBR284" s="1069"/>
      <c r="EBS284" s="1069"/>
      <c r="EBT284" s="1069"/>
      <c r="EBU284" s="1069"/>
      <c r="EBV284" s="1069"/>
      <c r="EBW284" s="1069"/>
      <c r="EBX284" s="1069"/>
      <c r="EBY284" s="1069"/>
      <c r="EBZ284" s="1069"/>
      <c r="ECA284" s="1069"/>
      <c r="ECB284" s="1069"/>
      <c r="ECC284" s="1069"/>
      <c r="ECD284" s="1069"/>
      <c r="ECE284" s="1069"/>
      <c r="ECF284" s="1069"/>
      <c r="ECG284" s="1069"/>
      <c r="ECH284" s="1069"/>
      <c r="ECI284" s="1069"/>
      <c r="ECJ284" s="1069"/>
      <c r="ECK284" s="1069"/>
      <c r="ECL284" s="1069"/>
      <c r="ECM284" s="1069"/>
      <c r="ECN284" s="1069"/>
      <c r="ECO284" s="1069"/>
      <c r="ECP284" s="1069"/>
      <c r="ECQ284" s="1069"/>
      <c r="ECR284" s="1069"/>
      <c r="ECS284" s="1069"/>
      <c r="ECT284" s="1069"/>
      <c r="ECU284" s="1069"/>
      <c r="ECV284" s="1069"/>
      <c r="ECW284" s="1069"/>
      <c r="ECX284" s="1069"/>
      <c r="ECY284" s="1069"/>
      <c r="ECZ284" s="1069"/>
      <c r="EDA284" s="1069"/>
      <c r="EDB284" s="1069"/>
      <c r="EDC284" s="1069"/>
      <c r="EDD284" s="1069"/>
      <c r="EDE284" s="1069"/>
      <c r="EDF284" s="1069"/>
      <c r="EDG284" s="1069"/>
      <c r="EDH284" s="1069"/>
      <c r="EDI284" s="1069"/>
      <c r="EDJ284" s="1069"/>
      <c r="EDK284" s="1069"/>
      <c r="EDL284" s="1069"/>
      <c r="EDM284" s="1069"/>
      <c r="EDN284" s="1069"/>
      <c r="EDO284" s="1069"/>
      <c r="EDP284" s="1069"/>
      <c r="EDQ284" s="1069"/>
      <c r="EDR284" s="1069"/>
      <c r="EDS284" s="1069"/>
      <c r="EDT284" s="1069"/>
      <c r="EDU284" s="1069"/>
      <c r="EDV284" s="1069"/>
      <c r="EDW284" s="1069"/>
      <c r="EDX284" s="1069"/>
      <c r="EDY284" s="1069"/>
      <c r="EDZ284" s="1069"/>
      <c r="EEA284" s="1069"/>
      <c r="EEB284" s="1069"/>
      <c r="EEC284" s="1069"/>
      <c r="EED284" s="1069"/>
      <c r="EEE284" s="1069"/>
      <c r="EEF284" s="1069"/>
      <c r="EEG284" s="1069"/>
      <c r="EEH284" s="1069"/>
      <c r="EEI284" s="1069"/>
      <c r="EEJ284" s="1069"/>
      <c r="EEK284" s="1069"/>
      <c r="EEL284" s="1069"/>
      <c r="EEM284" s="1069"/>
      <c r="EEN284" s="1069"/>
      <c r="EEO284" s="1069"/>
      <c r="EEP284" s="1069"/>
      <c r="EEQ284" s="1069"/>
      <c r="EER284" s="1069"/>
      <c r="EES284" s="1069"/>
      <c r="EET284" s="1069"/>
      <c r="EEU284" s="1069"/>
      <c r="EEV284" s="1069"/>
      <c r="EEW284" s="1069"/>
      <c r="EEX284" s="1069"/>
      <c r="EEY284" s="1069"/>
      <c r="EEZ284" s="1069"/>
      <c r="EFA284" s="1069"/>
      <c r="EFB284" s="1069"/>
      <c r="EFC284" s="1069"/>
      <c r="EFD284" s="1069"/>
      <c r="EFE284" s="1069"/>
      <c r="EFF284" s="1069"/>
      <c r="EFG284" s="1069"/>
      <c r="EFH284" s="1069"/>
      <c r="EFI284" s="1069"/>
      <c r="EFJ284" s="1069"/>
      <c r="EFK284" s="1069"/>
      <c r="EFL284" s="1069"/>
      <c r="EFM284" s="1069"/>
      <c r="EFN284" s="1069"/>
      <c r="EFO284" s="1069"/>
      <c r="EFP284" s="1069"/>
      <c r="EFQ284" s="1069"/>
      <c r="EFR284" s="1069"/>
      <c r="EFS284" s="1069"/>
      <c r="EFT284" s="1069"/>
      <c r="EFU284" s="1069"/>
      <c r="EFV284" s="1069"/>
      <c r="EFW284" s="1069"/>
      <c r="EFX284" s="1069"/>
      <c r="EFY284" s="1069"/>
      <c r="EFZ284" s="1069"/>
      <c r="EGA284" s="1069"/>
      <c r="EGB284" s="1069"/>
      <c r="EGC284" s="1069"/>
      <c r="EGD284" s="1069"/>
      <c r="EGE284" s="1069"/>
      <c r="EGF284" s="1069"/>
      <c r="EGG284" s="1069"/>
      <c r="EGH284" s="1069"/>
      <c r="EGI284" s="1069"/>
      <c r="EGJ284" s="1069"/>
      <c r="EGK284" s="1069"/>
      <c r="EGL284" s="1069"/>
      <c r="EGM284" s="1069"/>
      <c r="EGN284" s="1069"/>
      <c r="EGO284" s="1069"/>
      <c r="EGP284" s="1069"/>
      <c r="EGQ284" s="1069"/>
      <c r="EGR284" s="1069"/>
      <c r="EGS284" s="1069"/>
      <c r="EGT284" s="1069"/>
      <c r="EGU284" s="1069"/>
      <c r="EGV284" s="1069"/>
      <c r="EGW284" s="1069"/>
      <c r="EGX284" s="1069"/>
      <c r="EGY284" s="1069"/>
      <c r="EGZ284" s="1069"/>
      <c r="EHA284" s="1069"/>
      <c r="EHB284" s="1069"/>
      <c r="EHC284" s="1069"/>
      <c r="EHD284" s="1069"/>
      <c r="EHE284" s="1069"/>
      <c r="EHF284" s="1069"/>
      <c r="EHG284" s="1069"/>
      <c r="EHH284" s="1069"/>
      <c r="EHI284" s="1069"/>
      <c r="EHJ284" s="1069"/>
      <c r="EHK284" s="1069"/>
      <c r="EHL284" s="1069"/>
      <c r="EHM284" s="1069"/>
      <c r="EHN284" s="1069"/>
      <c r="EHO284" s="1069"/>
      <c r="EHP284" s="1069"/>
      <c r="EHQ284" s="1069"/>
      <c r="EHR284" s="1069"/>
      <c r="EHS284" s="1069"/>
      <c r="EHT284" s="1069"/>
      <c r="EHU284" s="1069"/>
      <c r="EHV284" s="1069"/>
      <c r="EHW284" s="1069"/>
      <c r="EHX284" s="1069"/>
      <c r="EHY284" s="1069"/>
      <c r="EHZ284" s="1069"/>
      <c r="EIA284" s="1069"/>
      <c r="EIB284" s="1069"/>
      <c r="EIC284" s="1069"/>
      <c r="EID284" s="1069"/>
      <c r="EIE284" s="1069"/>
      <c r="EIF284" s="1069"/>
      <c r="EIG284" s="1069"/>
      <c r="EIH284" s="1069"/>
      <c r="EII284" s="1069"/>
      <c r="EIJ284" s="1069"/>
      <c r="EIK284" s="1069"/>
      <c r="EIL284" s="1069"/>
      <c r="EIM284" s="1069"/>
      <c r="EIN284" s="1069"/>
      <c r="EIO284" s="1069"/>
      <c r="EIP284" s="1069"/>
      <c r="EIQ284" s="1069"/>
      <c r="EIR284" s="1069"/>
      <c r="EIS284" s="1069"/>
      <c r="EIT284" s="1069"/>
      <c r="EIU284" s="1069"/>
      <c r="EIV284" s="1069"/>
      <c r="EIW284" s="1069"/>
      <c r="EIX284" s="1069"/>
      <c r="EIY284" s="1069"/>
      <c r="EIZ284" s="1069"/>
      <c r="EJA284" s="1069"/>
      <c r="EJB284" s="1069"/>
      <c r="EJC284" s="1069"/>
      <c r="EJD284" s="1069"/>
      <c r="EJE284" s="1069"/>
      <c r="EJF284" s="1069"/>
      <c r="EJG284" s="1069"/>
      <c r="EJH284" s="1069"/>
      <c r="EJI284" s="1069"/>
      <c r="EJJ284" s="1069"/>
      <c r="EJK284" s="1069"/>
      <c r="EJL284" s="1069"/>
      <c r="EJM284" s="1069"/>
      <c r="EJN284" s="1069"/>
      <c r="EJO284" s="1069"/>
      <c r="EJP284" s="1069"/>
      <c r="EJQ284" s="1069"/>
      <c r="EJR284" s="1069"/>
      <c r="EJS284" s="1069"/>
      <c r="EJT284" s="1069"/>
      <c r="EJU284" s="1069"/>
      <c r="EJV284" s="1069"/>
      <c r="EJW284" s="1069"/>
      <c r="EJX284" s="1069"/>
      <c r="EJY284" s="1069"/>
      <c r="EJZ284" s="1069"/>
      <c r="EKA284" s="1069"/>
      <c r="EKB284" s="1069"/>
      <c r="EKC284" s="1069"/>
      <c r="EKD284" s="1069"/>
      <c r="EKE284" s="1069"/>
      <c r="EKF284" s="1069"/>
      <c r="EKG284" s="1069"/>
      <c r="EKH284" s="1069"/>
      <c r="EKI284" s="1069"/>
      <c r="EKJ284" s="1069"/>
      <c r="EKK284" s="1069"/>
      <c r="EKL284" s="1069"/>
      <c r="EKM284" s="1069"/>
      <c r="EKN284" s="1069"/>
      <c r="EKO284" s="1069"/>
      <c r="EKP284" s="1069"/>
      <c r="EKQ284" s="1069"/>
      <c r="EKR284" s="1069"/>
      <c r="EKS284" s="1069"/>
      <c r="EKT284" s="1069"/>
      <c r="EKU284" s="1069"/>
      <c r="EKV284" s="1069"/>
      <c r="EKW284" s="1069"/>
      <c r="EKX284" s="1069"/>
      <c r="EKY284" s="1069"/>
      <c r="EKZ284" s="1069"/>
      <c r="ELA284" s="1069"/>
      <c r="ELB284" s="1069"/>
      <c r="ELC284" s="1069"/>
      <c r="ELD284" s="1069"/>
      <c r="ELE284" s="1069"/>
      <c r="ELF284" s="1069"/>
      <c r="ELG284" s="1069"/>
      <c r="ELH284" s="1069"/>
      <c r="ELI284" s="1069"/>
      <c r="ELJ284" s="1069"/>
      <c r="ELK284" s="1069"/>
      <c r="ELL284" s="1069"/>
      <c r="ELM284" s="1069"/>
      <c r="ELN284" s="1069"/>
      <c r="ELO284" s="1069"/>
      <c r="ELP284" s="1069"/>
      <c r="ELQ284" s="1069"/>
      <c r="ELR284" s="1069"/>
      <c r="ELS284" s="1069"/>
      <c r="ELT284" s="1069"/>
      <c r="ELU284" s="1069"/>
      <c r="ELV284" s="1069"/>
      <c r="ELW284" s="1069"/>
      <c r="ELX284" s="1069"/>
      <c r="ELY284" s="1069"/>
      <c r="ELZ284" s="1069"/>
      <c r="EMA284" s="1069"/>
      <c r="EMB284" s="1069"/>
      <c r="EMC284" s="1069"/>
      <c r="EMD284" s="1069"/>
      <c r="EME284" s="1069"/>
      <c r="EMF284" s="1069"/>
      <c r="EMG284" s="1069"/>
      <c r="EMH284" s="1069"/>
      <c r="EMI284" s="1069"/>
      <c r="EMJ284" s="1069"/>
      <c r="EMK284" s="1069"/>
      <c r="EML284" s="1069"/>
      <c r="EMM284" s="1069"/>
      <c r="EMN284" s="1069"/>
      <c r="EMO284" s="1069"/>
      <c r="EMP284" s="1069"/>
      <c r="EMQ284" s="1069"/>
      <c r="EMR284" s="1069"/>
      <c r="EMS284" s="1069"/>
      <c r="EMT284" s="1069"/>
      <c r="EMU284" s="1069"/>
      <c r="EMV284" s="1069"/>
      <c r="EMW284" s="1069"/>
      <c r="EMX284" s="1069"/>
      <c r="EMY284" s="1069"/>
      <c r="EMZ284" s="1069"/>
      <c r="ENA284" s="1069"/>
      <c r="ENB284" s="1069"/>
      <c r="ENC284" s="1069"/>
      <c r="END284" s="1069"/>
      <c r="ENE284" s="1069"/>
      <c r="ENF284" s="1069"/>
      <c r="ENG284" s="1069"/>
      <c r="ENH284" s="1069"/>
      <c r="ENI284" s="1069"/>
      <c r="ENJ284" s="1069"/>
      <c r="ENK284" s="1069"/>
      <c r="ENL284" s="1069"/>
      <c r="ENM284" s="1069"/>
      <c r="ENN284" s="1069"/>
      <c r="ENO284" s="1069"/>
      <c r="ENP284" s="1069"/>
      <c r="ENQ284" s="1069"/>
      <c r="ENR284" s="1069"/>
      <c r="ENS284" s="1069"/>
      <c r="ENT284" s="1069"/>
      <c r="ENU284" s="1069"/>
      <c r="ENV284" s="1069"/>
      <c r="ENW284" s="1069"/>
      <c r="ENX284" s="1069"/>
      <c r="ENY284" s="1069"/>
      <c r="ENZ284" s="1069"/>
      <c r="EOA284" s="1069"/>
      <c r="EOB284" s="1069"/>
      <c r="EOC284" s="1069"/>
      <c r="EOD284" s="1069"/>
      <c r="EOE284" s="1069"/>
      <c r="EOF284" s="1069"/>
      <c r="EOG284" s="1069"/>
      <c r="EOH284" s="1069"/>
      <c r="EOI284" s="1069"/>
      <c r="EOJ284" s="1069"/>
      <c r="EOK284" s="1069"/>
      <c r="EOL284" s="1069"/>
      <c r="EOM284" s="1069"/>
      <c r="EON284" s="1069"/>
      <c r="EOO284" s="1069"/>
      <c r="EOP284" s="1069"/>
      <c r="EOQ284" s="1069"/>
      <c r="EOR284" s="1069"/>
      <c r="EOS284" s="1069"/>
      <c r="EOT284" s="1069"/>
      <c r="EOU284" s="1069"/>
      <c r="EOV284" s="1069"/>
      <c r="EOW284" s="1069"/>
      <c r="EOX284" s="1069"/>
      <c r="EOY284" s="1069"/>
      <c r="EOZ284" s="1069"/>
      <c r="EPA284" s="1069"/>
      <c r="EPB284" s="1069"/>
      <c r="EPC284" s="1069"/>
      <c r="EPD284" s="1069"/>
      <c r="EPE284" s="1069"/>
      <c r="EPF284" s="1069"/>
      <c r="EPG284" s="1069"/>
      <c r="EPH284" s="1069"/>
      <c r="EPI284" s="1069"/>
      <c r="EPJ284" s="1069"/>
      <c r="EPK284" s="1069"/>
      <c r="EPL284" s="1069"/>
      <c r="EPM284" s="1069"/>
      <c r="EPN284" s="1069"/>
      <c r="EPO284" s="1069"/>
      <c r="EPP284" s="1069"/>
      <c r="EPQ284" s="1069"/>
      <c r="EPR284" s="1069"/>
      <c r="EPS284" s="1069"/>
      <c r="EPT284" s="1069"/>
      <c r="EPU284" s="1069"/>
      <c r="EPV284" s="1069"/>
      <c r="EPW284" s="1069"/>
      <c r="EPX284" s="1069"/>
      <c r="EPY284" s="1069"/>
      <c r="EPZ284" s="1069"/>
      <c r="EQA284" s="1069"/>
      <c r="EQB284" s="1069"/>
      <c r="EQC284" s="1069"/>
      <c r="EQD284" s="1069"/>
      <c r="EQE284" s="1069"/>
      <c r="EQF284" s="1069"/>
      <c r="EQG284" s="1069"/>
      <c r="EQH284" s="1069"/>
      <c r="EQI284" s="1069"/>
      <c r="EQJ284" s="1069"/>
      <c r="EQK284" s="1069"/>
      <c r="EQL284" s="1069"/>
      <c r="EQM284" s="1069"/>
      <c r="EQN284" s="1069"/>
      <c r="EQO284" s="1069"/>
      <c r="EQP284" s="1069"/>
      <c r="EQQ284" s="1069"/>
      <c r="EQR284" s="1069"/>
      <c r="EQS284" s="1069"/>
      <c r="EQT284" s="1069"/>
      <c r="EQU284" s="1069"/>
      <c r="EQV284" s="1069"/>
      <c r="EQW284" s="1069"/>
      <c r="EQX284" s="1069"/>
      <c r="EQY284" s="1069"/>
      <c r="EQZ284" s="1069"/>
      <c r="ERA284" s="1069"/>
      <c r="ERB284" s="1069"/>
      <c r="ERC284" s="1069"/>
      <c r="ERD284" s="1069"/>
      <c r="ERE284" s="1069"/>
      <c r="ERF284" s="1069"/>
      <c r="ERG284" s="1069"/>
      <c r="ERH284" s="1069"/>
      <c r="ERI284" s="1069"/>
      <c r="ERJ284" s="1069"/>
      <c r="ERK284" s="1069"/>
      <c r="ERL284" s="1069"/>
      <c r="ERM284" s="1069"/>
      <c r="ERN284" s="1069"/>
      <c r="ERO284" s="1069"/>
      <c r="ERP284" s="1069"/>
      <c r="ERQ284" s="1069"/>
      <c r="ERR284" s="1069"/>
      <c r="ERS284" s="1069"/>
      <c r="ERT284" s="1069"/>
      <c r="ERU284" s="1069"/>
      <c r="ERV284" s="1069"/>
      <c r="ERW284" s="1069"/>
      <c r="ERX284" s="1069"/>
      <c r="ERY284" s="1069"/>
      <c r="ERZ284" s="1069"/>
      <c r="ESA284" s="1069"/>
      <c r="ESB284" s="1069"/>
      <c r="ESC284" s="1069"/>
      <c r="ESD284" s="1069"/>
      <c r="ESE284" s="1069"/>
      <c r="ESF284" s="1069"/>
      <c r="ESG284" s="1069"/>
      <c r="ESH284" s="1069"/>
      <c r="ESI284" s="1069"/>
      <c r="ESJ284" s="1069"/>
      <c r="ESK284" s="1069"/>
      <c r="ESL284" s="1069"/>
      <c r="ESM284" s="1069"/>
      <c r="ESN284" s="1069"/>
      <c r="ESO284" s="1069"/>
      <c r="ESP284" s="1069"/>
      <c r="ESQ284" s="1069"/>
      <c r="ESR284" s="1069"/>
      <c r="ESS284" s="1069"/>
      <c r="EST284" s="1069"/>
      <c r="ESU284" s="1069"/>
      <c r="ESV284" s="1069"/>
      <c r="ESW284" s="1069"/>
      <c r="ESX284" s="1069"/>
      <c r="ESY284" s="1069"/>
      <c r="ESZ284" s="1069"/>
      <c r="ETA284" s="1069"/>
      <c r="ETB284" s="1069"/>
      <c r="ETC284" s="1069"/>
      <c r="ETD284" s="1069"/>
      <c r="ETE284" s="1069"/>
      <c r="ETF284" s="1069"/>
      <c r="ETG284" s="1069"/>
      <c r="ETH284" s="1069"/>
      <c r="ETI284" s="1069"/>
      <c r="ETJ284" s="1069"/>
      <c r="ETK284" s="1069"/>
      <c r="ETL284" s="1069"/>
      <c r="ETM284" s="1069"/>
      <c r="ETN284" s="1069"/>
      <c r="ETO284" s="1069"/>
      <c r="ETP284" s="1069"/>
      <c r="ETQ284" s="1069"/>
      <c r="ETR284" s="1069"/>
      <c r="ETS284" s="1069"/>
      <c r="ETT284" s="1069"/>
      <c r="ETU284" s="1069"/>
      <c r="ETV284" s="1069"/>
      <c r="ETW284" s="1069"/>
      <c r="ETX284" s="1069"/>
      <c r="ETY284" s="1069"/>
      <c r="ETZ284" s="1069"/>
      <c r="EUA284" s="1069"/>
      <c r="EUB284" s="1069"/>
      <c r="EUC284" s="1069"/>
      <c r="EUD284" s="1069"/>
      <c r="EUE284" s="1069"/>
      <c r="EUF284" s="1069"/>
      <c r="EUG284" s="1069"/>
      <c r="EUH284" s="1069"/>
      <c r="EUI284" s="1069"/>
      <c r="EUJ284" s="1069"/>
      <c r="EUK284" s="1069"/>
      <c r="EUL284" s="1069"/>
      <c r="EUM284" s="1069"/>
      <c r="EUN284" s="1069"/>
      <c r="EUO284" s="1069"/>
      <c r="EUP284" s="1069"/>
      <c r="EUQ284" s="1069"/>
      <c r="EUR284" s="1069"/>
      <c r="EUS284" s="1069"/>
      <c r="EUT284" s="1069"/>
      <c r="EUU284" s="1069"/>
      <c r="EUV284" s="1069"/>
      <c r="EUW284" s="1069"/>
      <c r="EUX284" s="1069"/>
      <c r="EUY284" s="1069"/>
      <c r="EUZ284" s="1069"/>
      <c r="EVA284" s="1069"/>
      <c r="EVB284" s="1069"/>
      <c r="EVC284" s="1069"/>
      <c r="EVD284" s="1069"/>
      <c r="EVE284" s="1069"/>
      <c r="EVF284" s="1069"/>
      <c r="EVG284" s="1069"/>
      <c r="EVH284" s="1069"/>
      <c r="EVI284" s="1069"/>
      <c r="EVJ284" s="1069"/>
      <c r="EVK284" s="1069"/>
      <c r="EVL284" s="1069"/>
      <c r="EVM284" s="1069"/>
      <c r="EVN284" s="1069"/>
      <c r="EVO284" s="1069"/>
      <c r="EVP284" s="1069"/>
      <c r="EVQ284" s="1069"/>
      <c r="EVR284" s="1069"/>
      <c r="EVS284" s="1069"/>
      <c r="EVT284" s="1069"/>
      <c r="EVU284" s="1069"/>
      <c r="EVV284" s="1069"/>
      <c r="EVW284" s="1069"/>
      <c r="EVX284" s="1069"/>
      <c r="EVY284" s="1069"/>
      <c r="EVZ284" s="1069"/>
      <c r="EWA284" s="1069"/>
      <c r="EWB284" s="1069"/>
      <c r="EWC284" s="1069"/>
      <c r="EWD284" s="1069"/>
      <c r="EWE284" s="1069"/>
      <c r="EWF284" s="1069"/>
      <c r="EWG284" s="1069"/>
      <c r="EWH284" s="1069"/>
      <c r="EWI284" s="1069"/>
      <c r="EWJ284" s="1069"/>
      <c r="EWK284" s="1069"/>
      <c r="EWL284" s="1069"/>
      <c r="EWM284" s="1069"/>
      <c r="EWN284" s="1069"/>
      <c r="EWO284" s="1069"/>
      <c r="EWP284" s="1069"/>
      <c r="EWQ284" s="1069"/>
      <c r="EWR284" s="1069"/>
      <c r="EWS284" s="1069"/>
      <c r="EWT284" s="1069"/>
      <c r="EWU284" s="1069"/>
      <c r="EWV284" s="1069"/>
      <c r="EWW284" s="1069"/>
      <c r="EWX284" s="1069"/>
      <c r="EWY284" s="1069"/>
      <c r="EWZ284" s="1069"/>
      <c r="EXA284" s="1069"/>
      <c r="EXB284" s="1069"/>
      <c r="EXC284" s="1069"/>
      <c r="EXD284" s="1069"/>
      <c r="EXE284" s="1069"/>
      <c r="EXF284" s="1069"/>
      <c r="EXG284" s="1069"/>
      <c r="EXH284" s="1069"/>
      <c r="EXI284" s="1069"/>
      <c r="EXJ284" s="1069"/>
      <c r="EXK284" s="1069"/>
      <c r="EXL284" s="1069"/>
      <c r="EXM284" s="1069"/>
      <c r="EXN284" s="1069"/>
      <c r="EXO284" s="1069"/>
      <c r="EXP284" s="1069"/>
      <c r="EXQ284" s="1069"/>
      <c r="EXR284" s="1069"/>
      <c r="EXS284" s="1069"/>
      <c r="EXT284" s="1069"/>
      <c r="EXU284" s="1069"/>
      <c r="EXV284" s="1069"/>
      <c r="EXW284" s="1069"/>
      <c r="EXX284" s="1069"/>
      <c r="EXY284" s="1069"/>
      <c r="EXZ284" s="1069"/>
      <c r="EYA284" s="1069"/>
      <c r="EYB284" s="1069"/>
      <c r="EYC284" s="1069"/>
      <c r="EYD284" s="1069"/>
      <c r="EYE284" s="1069"/>
      <c r="EYF284" s="1069"/>
      <c r="EYG284" s="1069"/>
      <c r="EYH284" s="1069"/>
      <c r="EYI284" s="1069"/>
      <c r="EYJ284" s="1069"/>
      <c r="EYK284" s="1069"/>
      <c r="EYL284" s="1069"/>
      <c r="EYM284" s="1069"/>
      <c r="EYN284" s="1069"/>
      <c r="EYO284" s="1069"/>
      <c r="EYP284" s="1069"/>
      <c r="EYQ284" s="1069"/>
      <c r="EYR284" s="1069"/>
      <c r="EYS284" s="1069"/>
      <c r="EYT284" s="1069"/>
      <c r="EYU284" s="1069"/>
      <c r="EYV284" s="1069"/>
      <c r="EYW284" s="1069"/>
      <c r="EYX284" s="1069"/>
      <c r="EYY284" s="1069"/>
      <c r="EYZ284" s="1069"/>
      <c r="EZA284" s="1069"/>
      <c r="EZB284" s="1069"/>
      <c r="EZC284" s="1069"/>
      <c r="EZD284" s="1069"/>
      <c r="EZE284" s="1069"/>
      <c r="EZF284" s="1069"/>
      <c r="EZG284" s="1069"/>
      <c r="EZH284" s="1069"/>
      <c r="EZI284" s="1069"/>
      <c r="EZJ284" s="1069"/>
      <c r="EZK284" s="1069"/>
      <c r="EZL284" s="1069"/>
      <c r="EZM284" s="1069"/>
      <c r="EZN284" s="1069"/>
      <c r="EZO284" s="1069"/>
      <c r="EZP284" s="1069"/>
      <c r="EZQ284" s="1069"/>
      <c r="EZR284" s="1069"/>
      <c r="EZS284" s="1069"/>
      <c r="EZT284" s="1069"/>
      <c r="EZU284" s="1069"/>
      <c r="EZV284" s="1069"/>
      <c r="EZW284" s="1069"/>
      <c r="EZX284" s="1069"/>
      <c r="EZY284" s="1069"/>
      <c r="EZZ284" s="1069"/>
      <c r="FAA284" s="1069"/>
      <c r="FAB284" s="1069"/>
      <c r="FAC284" s="1069"/>
      <c r="FAD284" s="1069"/>
      <c r="FAE284" s="1069"/>
      <c r="FAF284" s="1069"/>
      <c r="FAG284" s="1069"/>
      <c r="FAH284" s="1069"/>
      <c r="FAI284" s="1069"/>
      <c r="FAJ284" s="1069"/>
      <c r="FAK284" s="1069"/>
      <c r="FAL284" s="1069"/>
      <c r="FAM284" s="1069"/>
      <c r="FAN284" s="1069"/>
      <c r="FAO284" s="1069"/>
      <c r="FAP284" s="1069"/>
      <c r="FAQ284" s="1069"/>
      <c r="FAR284" s="1069"/>
      <c r="FAS284" s="1069"/>
      <c r="FAT284" s="1069"/>
      <c r="FAU284" s="1069"/>
      <c r="FAV284" s="1069"/>
      <c r="FAW284" s="1069"/>
      <c r="FAX284" s="1069"/>
      <c r="FAY284" s="1069"/>
      <c r="FAZ284" s="1069"/>
      <c r="FBA284" s="1069"/>
      <c r="FBB284" s="1069"/>
      <c r="FBC284" s="1069"/>
      <c r="FBD284" s="1069"/>
      <c r="FBE284" s="1069"/>
      <c r="FBF284" s="1069"/>
      <c r="FBG284" s="1069"/>
      <c r="FBH284" s="1069"/>
      <c r="FBI284" s="1069"/>
      <c r="FBJ284" s="1069"/>
      <c r="FBK284" s="1069"/>
      <c r="FBL284" s="1069"/>
      <c r="FBM284" s="1069"/>
      <c r="FBN284" s="1069"/>
      <c r="FBO284" s="1069"/>
      <c r="FBP284" s="1069"/>
      <c r="FBQ284" s="1069"/>
      <c r="FBR284" s="1069"/>
      <c r="FBS284" s="1069"/>
      <c r="FBT284" s="1069"/>
      <c r="FBU284" s="1069"/>
      <c r="FBV284" s="1069"/>
      <c r="FBW284" s="1069"/>
      <c r="FBX284" s="1069"/>
      <c r="FBY284" s="1069"/>
      <c r="FBZ284" s="1069"/>
      <c r="FCA284" s="1069"/>
      <c r="FCB284" s="1069"/>
      <c r="FCC284" s="1069"/>
      <c r="FCD284" s="1069"/>
      <c r="FCE284" s="1069"/>
      <c r="FCF284" s="1069"/>
      <c r="FCG284" s="1069"/>
      <c r="FCH284" s="1069"/>
      <c r="FCI284" s="1069"/>
      <c r="FCJ284" s="1069"/>
      <c r="FCK284" s="1069"/>
      <c r="FCL284" s="1069"/>
      <c r="FCM284" s="1069"/>
      <c r="FCN284" s="1069"/>
      <c r="FCO284" s="1069"/>
      <c r="FCP284" s="1069"/>
      <c r="FCQ284" s="1069"/>
      <c r="FCR284" s="1069"/>
      <c r="FCS284" s="1069"/>
      <c r="FCT284" s="1069"/>
      <c r="FCU284" s="1069"/>
      <c r="FCV284" s="1069"/>
      <c r="FCW284" s="1069"/>
      <c r="FCX284" s="1069"/>
      <c r="FCY284" s="1069"/>
      <c r="FCZ284" s="1069"/>
      <c r="FDA284" s="1069"/>
      <c r="FDB284" s="1069"/>
      <c r="FDC284" s="1069"/>
      <c r="FDD284" s="1069"/>
      <c r="FDE284" s="1069"/>
      <c r="FDF284" s="1069"/>
      <c r="FDG284" s="1069"/>
      <c r="FDH284" s="1069"/>
      <c r="FDI284" s="1069"/>
      <c r="FDJ284" s="1069"/>
      <c r="FDK284" s="1069"/>
      <c r="FDL284" s="1069"/>
      <c r="FDM284" s="1069"/>
      <c r="FDN284" s="1069"/>
      <c r="FDO284" s="1069"/>
      <c r="FDP284" s="1069"/>
      <c r="FDQ284" s="1069"/>
      <c r="FDR284" s="1069"/>
      <c r="FDS284" s="1069"/>
      <c r="FDT284" s="1069"/>
      <c r="FDU284" s="1069"/>
      <c r="FDV284" s="1069"/>
      <c r="FDW284" s="1069"/>
      <c r="FDX284" s="1069"/>
      <c r="FDY284" s="1069"/>
      <c r="FDZ284" s="1069"/>
      <c r="FEA284" s="1069"/>
      <c r="FEB284" s="1069"/>
      <c r="FEC284" s="1069"/>
      <c r="FED284" s="1069"/>
      <c r="FEE284" s="1069"/>
      <c r="FEF284" s="1069"/>
      <c r="FEG284" s="1069"/>
      <c r="FEH284" s="1069"/>
      <c r="FEI284" s="1069"/>
      <c r="FEJ284" s="1069"/>
      <c r="FEK284" s="1069"/>
      <c r="FEL284" s="1069"/>
      <c r="FEM284" s="1069"/>
      <c r="FEN284" s="1069"/>
      <c r="FEO284" s="1069"/>
      <c r="FEP284" s="1069"/>
      <c r="FEQ284" s="1069"/>
      <c r="FER284" s="1069"/>
      <c r="FES284" s="1069"/>
      <c r="FET284" s="1069"/>
      <c r="FEU284" s="1069"/>
      <c r="FEV284" s="1069"/>
      <c r="FEW284" s="1069"/>
      <c r="FEX284" s="1069"/>
      <c r="FEY284" s="1069"/>
      <c r="FEZ284" s="1069"/>
      <c r="FFA284" s="1069"/>
      <c r="FFB284" s="1069"/>
      <c r="FFC284" s="1069"/>
      <c r="FFD284" s="1069"/>
      <c r="FFE284" s="1069"/>
      <c r="FFF284" s="1069"/>
      <c r="FFG284" s="1069"/>
      <c r="FFH284" s="1069"/>
      <c r="FFI284" s="1069"/>
      <c r="FFJ284" s="1069"/>
      <c r="FFK284" s="1069"/>
      <c r="FFL284" s="1069"/>
      <c r="FFM284" s="1069"/>
      <c r="FFN284" s="1069"/>
      <c r="FFO284" s="1069"/>
      <c r="FFP284" s="1069"/>
      <c r="FFQ284" s="1069"/>
      <c r="FFR284" s="1069"/>
      <c r="FFS284" s="1069"/>
      <c r="FFT284" s="1069"/>
      <c r="FFU284" s="1069"/>
      <c r="FFV284" s="1069"/>
      <c r="FFW284" s="1069"/>
      <c r="FFX284" s="1069"/>
      <c r="FFY284" s="1069"/>
      <c r="FFZ284" s="1069"/>
      <c r="FGA284" s="1069"/>
      <c r="FGB284" s="1069"/>
      <c r="FGC284" s="1069"/>
      <c r="FGD284" s="1069"/>
      <c r="FGE284" s="1069"/>
      <c r="FGF284" s="1069"/>
      <c r="FGG284" s="1069"/>
      <c r="FGH284" s="1069"/>
      <c r="FGI284" s="1069"/>
      <c r="FGJ284" s="1069"/>
      <c r="FGK284" s="1069"/>
      <c r="FGL284" s="1069"/>
      <c r="FGM284" s="1069"/>
      <c r="FGN284" s="1069"/>
      <c r="FGO284" s="1069"/>
      <c r="FGP284" s="1069"/>
      <c r="FGQ284" s="1069"/>
      <c r="FGR284" s="1069"/>
      <c r="FGS284" s="1069"/>
      <c r="FGT284" s="1069"/>
      <c r="FGU284" s="1069"/>
      <c r="FGV284" s="1069"/>
      <c r="FGW284" s="1069"/>
      <c r="FGX284" s="1069"/>
      <c r="FGY284" s="1069"/>
      <c r="FGZ284" s="1069"/>
      <c r="FHA284" s="1069"/>
      <c r="FHB284" s="1069"/>
      <c r="FHC284" s="1069"/>
      <c r="FHD284" s="1069"/>
      <c r="FHE284" s="1069"/>
      <c r="FHF284" s="1069"/>
      <c r="FHG284" s="1069"/>
      <c r="FHH284" s="1069"/>
      <c r="FHI284" s="1069"/>
      <c r="FHJ284" s="1069"/>
      <c r="FHK284" s="1069"/>
      <c r="FHL284" s="1069"/>
      <c r="FHM284" s="1069"/>
      <c r="FHN284" s="1069"/>
      <c r="FHO284" s="1069"/>
      <c r="FHP284" s="1069"/>
      <c r="FHQ284" s="1069"/>
      <c r="FHR284" s="1069"/>
      <c r="FHS284" s="1069"/>
      <c r="FHT284" s="1069"/>
      <c r="FHU284" s="1069"/>
      <c r="FHV284" s="1069"/>
      <c r="FHW284" s="1069"/>
      <c r="FHX284" s="1069"/>
      <c r="FHY284" s="1069"/>
      <c r="FHZ284" s="1069"/>
      <c r="FIA284" s="1069"/>
      <c r="FIB284" s="1069"/>
      <c r="FIC284" s="1069"/>
      <c r="FID284" s="1069"/>
      <c r="FIE284" s="1069"/>
      <c r="FIF284" s="1069"/>
      <c r="FIG284" s="1069"/>
      <c r="FIH284" s="1069"/>
      <c r="FII284" s="1069"/>
      <c r="FIJ284" s="1069"/>
      <c r="FIK284" s="1069"/>
      <c r="FIL284" s="1069"/>
      <c r="FIM284" s="1069"/>
      <c r="FIN284" s="1069"/>
      <c r="FIO284" s="1069"/>
      <c r="FIP284" s="1069"/>
      <c r="FIQ284" s="1069"/>
      <c r="FIR284" s="1069"/>
      <c r="FIS284" s="1069"/>
      <c r="FIT284" s="1069"/>
      <c r="FIU284" s="1069"/>
      <c r="FIV284" s="1069"/>
      <c r="FIW284" s="1069"/>
      <c r="FIX284" s="1069"/>
      <c r="FIY284" s="1069"/>
      <c r="FIZ284" s="1069"/>
      <c r="FJA284" s="1069"/>
      <c r="FJB284" s="1069"/>
      <c r="FJC284" s="1069"/>
      <c r="FJD284" s="1069"/>
      <c r="FJE284" s="1069"/>
      <c r="FJF284" s="1069"/>
      <c r="FJG284" s="1069"/>
      <c r="FJH284" s="1069"/>
      <c r="FJI284" s="1069"/>
      <c r="FJJ284" s="1069"/>
      <c r="FJK284" s="1069"/>
      <c r="FJL284" s="1069"/>
      <c r="FJM284" s="1069"/>
      <c r="FJN284" s="1069"/>
      <c r="FJO284" s="1069"/>
      <c r="FJP284" s="1069"/>
      <c r="FJQ284" s="1069"/>
      <c r="FJR284" s="1069"/>
      <c r="FJS284" s="1069"/>
      <c r="FJT284" s="1069"/>
      <c r="FJU284" s="1069"/>
      <c r="FJV284" s="1069"/>
      <c r="FJW284" s="1069"/>
      <c r="FJX284" s="1069"/>
      <c r="FJY284" s="1069"/>
      <c r="FJZ284" s="1069"/>
      <c r="FKA284" s="1069"/>
      <c r="FKB284" s="1069"/>
      <c r="FKC284" s="1069"/>
      <c r="FKD284" s="1069"/>
      <c r="FKE284" s="1069"/>
      <c r="FKF284" s="1069"/>
      <c r="FKG284" s="1069"/>
      <c r="FKH284" s="1069"/>
      <c r="FKI284" s="1069"/>
      <c r="FKJ284" s="1069"/>
      <c r="FKK284" s="1069"/>
      <c r="FKL284" s="1069"/>
      <c r="FKM284" s="1069"/>
      <c r="FKN284" s="1069"/>
      <c r="FKO284" s="1069"/>
      <c r="FKP284" s="1069"/>
      <c r="FKQ284" s="1069"/>
      <c r="FKR284" s="1069"/>
      <c r="FKS284" s="1069"/>
      <c r="FKT284" s="1069"/>
      <c r="FKU284" s="1069"/>
      <c r="FKV284" s="1069"/>
      <c r="FKW284" s="1069"/>
      <c r="FKX284" s="1069"/>
      <c r="FKY284" s="1069"/>
      <c r="FKZ284" s="1069"/>
      <c r="FLA284" s="1069"/>
      <c r="FLB284" s="1069"/>
      <c r="FLC284" s="1069"/>
      <c r="FLD284" s="1069"/>
      <c r="FLE284" s="1069"/>
      <c r="FLF284" s="1069"/>
      <c r="FLG284" s="1069"/>
      <c r="FLH284" s="1069"/>
      <c r="FLI284" s="1069"/>
      <c r="FLJ284" s="1069"/>
      <c r="FLK284" s="1069"/>
      <c r="FLL284" s="1069"/>
      <c r="FLM284" s="1069"/>
      <c r="FLN284" s="1069"/>
      <c r="FLO284" s="1069"/>
      <c r="FLP284" s="1069"/>
      <c r="FLQ284" s="1069"/>
      <c r="FLR284" s="1069"/>
      <c r="FLS284" s="1069"/>
      <c r="FLT284" s="1069"/>
      <c r="FLU284" s="1069"/>
      <c r="FLV284" s="1069"/>
      <c r="FLW284" s="1069"/>
      <c r="FLX284" s="1069"/>
      <c r="FLY284" s="1069"/>
      <c r="FLZ284" s="1069"/>
      <c r="FMA284" s="1069"/>
      <c r="FMB284" s="1069"/>
      <c r="FMC284" s="1069"/>
      <c r="FMD284" s="1069"/>
      <c r="FME284" s="1069"/>
      <c r="FMF284" s="1069"/>
      <c r="FMG284" s="1069"/>
      <c r="FMH284" s="1069"/>
      <c r="FMI284" s="1069"/>
      <c r="FMJ284" s="1069"/>
      <c r="FMK284" s="1069"/>
      <c r="FML284" s="1069"/>
      <c r="FMM284" s="1069"/>
      <c r="FMN284" s="1069"/>
      <c r="FMO284" s="1069"/>
      <c r="FMP284" s="1069"/>
      <c r="FMQ284" s="1069"/>
      <c r="FMR284" s="1069"/>
      <c r="FMS284" s="1069"/>
      <c r="FMT284" s="1069"/>
      <c r="FMU284" s="1069"/>
      <c r="FMV284" s="1069"/>
      <c r="FMW284" s="1069"/>
      <c r="FMX284" s="1069"/>
      <c r="FMY284" s="1069"/>
      <c r="FMZ284" s="1069"/>
      <c r="FNA284" s="1069"/>
      <c r="FNB284" s="1069"/>
      <c r="FNC284" s="1069"/>
      <c r="FND284" s="1069"/>
      <c r="FNE284" s="1069"/>
      <c r="FNF284" s="1069"/>
      <c r="FNG284" s="1069"/>
      <c r="FNH284" s="1069"/>
      <c r="FNI284" s="1069"/>
      <c r="FNJ284" s="1069"/>
      <c r="FNK284" s="1069"/>
      <c r="FNL284" s="1069"/>
      <c r="FNM284" s="1069"/>
      <c r="FNN284" s="1069"/>
      <c r="FNO284" s="1069"/>
      <c r="FNP284" s="1069"/>
      <c r="FNQ284" s="1069"/>
      <c r="FNR284" s="1069"/>
      <c r="FNS284" s="1069"/>
      <c r="FNT284" s="1069"/>
      <c r="FNU284" s="1069"/>
      <c r="FNV284" s="1069"/>
      <c r="FNW284" s="1069"/>
      <c r="FNX284" s="1069"/>
      <c r="FNY284" s="1069"/>
      <c r="FNZ284" s="1069"/>
      <c r="FOA284" s="1069"/>
      <c r="FOB284" s="1069"/>
      <c r="FOC284" s="1069"/>
      <c r="FOD284" s="1069"/>
      <c r="FOE284" s="1069"/>
      <c r="FOF284" s="1069"/>
      <c r="FOG284" s="1069"/>
      <c r="FOH284" s="1069"/>
      <c r="FOI284" s="1069"/>
      <c r="FOJ284" s="1069"/>
      <c r="FOK284" s="1069"/>
      <c r="FOL284" s="1069"/>
      <c r="FOM284" s="1069"/>
      <c r="FON284" s="1069"/>
      <c r="FOO284" s="1069"/>
      <c r="FOP284" s="1069"/>
      <c r="FOQ284" s="1069"/>
      <c r="FOR284" s="1069"/>
      <c r="FOS284" s="1069"/>
      <c r="FOT284" s="1069"/>
      <c r="FOU284" s="1069"/>
      <c r="FOV284" s="1069"/>
      <c r="FOW284" s="1069"/>
      <c r="FOX284" s="1069"/>
      <c r="FOY284" s="1069"/>
      <c r="FOZ284" s="1069"/>
      <c r="FPA284" s="1069"/>
      <c r="FPB284" s="1069"/>
      <c r="FPC284" s="1069"/>
      <c r="FPD284" s="1069"/>
      <c r="FPE284" s="1069"/>
      <c r="FPF284" s="1069"/>
      <c r="FPG284" s="1069"/>
      <c r="FPH284" s="1069"/>
      <c r="FPI284" s="1069"/>
      <c r="FPJ284" s="1069"/>
      <c r="FPK284" s="1069"/>
      <c r="FPL284" s="1069"/>
      <c r="FPM284" s="1069"/>
      <c r="FPN284" s="1069"/>
      <c r="FPO284" s="1069"/>
      <c r="FPP284" s="1069"/>
      <c r="FPQ284" s="1069"/>
      <c r="FPR284" s="1069"/>
      <c r="FPS284" s="1069"/>
      <c r="FPT284" s="1069"/>
      <c r="FPU284" s="1069"/>
      <c r="FPV284" s="1069"/>
      <c r="FPW284" s="1069"/>
      <c r="FPX284" s="1069"/>
      <c r="FPY284" s="1069"/>
      <c r="FPZ284" s="1069"/>
      <c r="FQA284" s="1069"/>
      <c r="FQB284" s="1069"/>
      <c r="FQC284" s="1069"/>
      <c r="FQD284" s="1069"/>
      <c r="FQE284" s="1069"/>
      <c r="FQF284" s="1069"/>
      <c r="FQG284" s="1069"/>
      <c r="FQH284" s="1069"/>
      <c r="FQI284" s="1069"/>
      <c r="FQJ284" s="1069"/>
      <c r="FQK284" s="1069"/>
      <c r="FQL284" s="1069"/>
      <c r="FQM284" s="1069"/>
      <c r="FQN284" s="1069"/>
      <c r="FQO284" s="1069"/>
      <c r="FQP284" s="1069"/>
      <c r="FQQ284" s="1069"/>
      <c r="FQR284" s="1069"/>
      <c r="FQS284" s="1069"/>
      <c r="FQT284" s="1069"/>
      <c r="FQU284" s="1069"/>
      <c r="FQV284" s="1069"/>
      <c r="FQW284" s="1069"/>
      <c r="FQX284" s="1069"/>
      <c r="FQY284" s="1069"/>
      <c r="FQZ284" s="1069"/>
      <c r="FRA284" s="1069"/>
      <c r="FRB284" s="1069"/>
      <c r="FRC284" s="1069"/>
      <c r="FRD284" s="1069"/>
      <c r="FRE284" s="1069"/>
      <c r="FRF284" s="1069"/>
      <c r="FRG284" s="1069"/>
      <c r="FRH284" s="1069"/>
      <c r="FRI284" s="1069"/>
      <c r="FRJ284" s="1069"/>
      <c r="FRK284" s="1069"/>
      <c r="FRL284" s="1069"/>
      <c r="FRM284" s="1069"/>
      <c r="FRN284" s="1069"/>
      <c r="FRO284" s="1069"/>
      <c r="FRP284" s="1069"/>
      <c r="FRQ284" s="1069"/>
      <c r="FRR284" s="1069"/>
      <c r="FRS284" s="1069"/>
      <c r="FRT284" s="1069"/>
      <c r="FRU284" s="1069"/>
      <c r="FRV284" s="1069"/>
      <c r="FRW284" s="1069"/>
      <c r="FRX284" s="1069"/>
      <c r="FRY284" s="1069"/>
      <c r="FRZ284" s="1069"/>
      <c r="FSA284" s="1069"/>
      <c r="FSB284" s="1069"/>
      <c r="FSC284" s="1069"/>
      <c r="FSD284" s="1069"/>
      <c r="FSE284" s="1069"/>
      <c r="FSF284" s="1069"/>
      <c r="FSG284" s="1069"/>
      <c r="FSH284" s="1069"/>
      <c r="FSI284" s="1069"/>
      <c r="FSJ284" s="1069"/>
      <c r="FSK284" s="1069"/>
      <c r="FSL284" s="1069"/>
      <c r="FSM284" s="1069"/>
      <c r="FSN284" s="1069"/>
      <c r="FSO284" s="1069"/>
      <c r="FSP284" s="1069"/>
      <c r="FSQ284" s="1069"/>
      <c r="FSR284" s="1069"/>
      <c r="FSS284" s="1069"/>
      <c r="FST284" s="1069"/>
      <c r="FSU284" s="1069"/>
      <c r="FSV284" s="1069"/>
      <c r="FSW284" s="1069"/>
      <c r="FSX284" s="1069"/>
      <c r="FSY284" s="1069"/>
      <c r="FSZ284" s="1069"/>
      <c r="FTA284" s="1069"/>
      <c r="FTB284" s="1069"/>
      <c r="FTC284" s="1069"/>
      <c r="FTD284" s="1069"/>
      <c r="FTE284" s="1069"/>
      <c r="FTF284" s="1069"/>
      <c r="FTG284" s="1069"/>
      <c r="FTH284" s="1069"/>
      <c r="FTI284" s="1069"/>
      <c r="FTJ284" s="1069"/>
      <c r="FTK284" s="1069"/>
      <c r="FTL284" s="1069"/>
      <c r="FTM284" s="1069"/>
      <c r="FTN284" s="1069"/>
      <c r="FTO284" s="1069"/>
      <c r="FTP284" s="1069"/>
      <c r="FTQ284" s="1069"/>
      <c r="FTR284" s="1069"/>
      <c r="FTS284" s="1069"/>
      <c r="FTT284" s="1069"/>
      <c r="FTU284" s="1069"/>
      <c r="FTV284" s="1069"/>
      <c r="FTW284" s="1069"/>
      <c r="FTX284" s="1069"/>
      <c r="FTY284" s="1069"/>
      <c r="FTZ284" s="1069"/>
      <c r="FUA284" s="1069"/>
      <c r="FUB284" s="1069"/>
      <c r="FUC284" s="1069"/>
      <c r="FUD284" s="1069"/>
      <c r="FUE284" s="1069"/>
      <c r="FUF284" s="1069"/>
      <c r="FUG284" s="1069"/>
      <c r="FUH284" s="1069"/>
      <c r="FUI284" s="1069"/>
      <c r="FUJ284" s="1069"/>
      <c r="FUK284" s="1069"/>
      <c r="FUL284" s="1069"/>
      <c r="FUM284" s="1069"/>
      <c r="FUN284" s="1069"/>
      <c r="FUO284" s="1069"/>
      <c r="FUP284" s="1069"/>
      <c r="FUQ284" s="1069"/>
      <c r="FUR284" s="1069"/>
      <c r="FUS284" s="1069"/>
      <c r="FUT284" s="1069"/>
      <c r="FUU284" s="1069"/>
      <c r="FUV284" s="1069"/>
      <c r="FUW284" s="1069"/>
      <c r="FUX284" s="1069"/>
      <c r="FUY284" s="1069"/>
      <c r="FUZ284" s="1069"/>
      <c r="FVA284" s="1069"/>
      <c r="FVB284" s="1069"/>
      <c r="FVC284" s="1069"/>
      <c r="FVD284" s="1069"/>
      <c r="FVE284" s="1069"/>
      <c r="FVF284" s="1069"/>
      <c r="FVG284" s="1069"/>
      <c r="FVH284" s="1069"/>
      <c r="FVI284" s="1069"/>
      <c r="FVJ284" s="1069"/>
      <c r="FVK284" s="1069"/>
      <c r="FVL284" s="1069"/>
      <c r="FVM284" s="1069"/>
      <c r="FVN284" s="1069"/>
      <c r="FVO284" s="1069"/>
      <c r="FVP284" s="1069"/>
      <c r="FVQ284" s="1069"/>
      <c r="FVR284" s="1069"/>
      <c r="FVS284" s="1069"/>
      <c r="FVT284" s="1069"/>
      <c r="FVU284" s="1069"/>
      <c r="FVV284" s="1069"/>
      <c r="FVW284" s="1069"/>
      <c r="FVX284" s="1069"/>
      <c r="FVY284" s="1069"/>
      <c r="FVZ284" s="1069"/>
      <c r="FWA284" s="1069"/>
      <c r="FWB284" s="1069"/>
      <c r="FWC284" s="1069"/>
      <c r="FWD284" s="1069"/>
      <c r="FWE284" s="1069"/>
      <c r="FWF284" s="1069"/>
      <c r="FWG284" s="1069"/>
      <c r="FWH284" s="1069"/>
      <c r="FWI284" s="1069"/>
      <c r="FWJ284" s="1069"/>
      <c r="FWK284" s="1069"/>
      <c r="FWL284" s="1069"/>
      <c r="FWM284" s="1069"/>
      <c r="FWN284" s="1069"/>
      <c r="FWO284" s="1069"/>
      <c r="FWP284" s="1069"/>
      <c r="FWQ284" s="1069"/>
      <c r="FWR284" s="1069"/>
      <c r="FWS284" s="1069"/>
      <c r="FWT284" s="1069"/>
      <c r="FWU284" s="1069"/>
      <c r="FWV284" s="1069"/>
      <c r="FWW284" s="1069"/>
      <c r="FWX284" s="1069"/>
      <c r="FWY284" s="1069"/>
      <c r="FWZ284" s="1069"/>
      <c r="FXA284" s="1069"/>
      <c r="FXB284" s="1069"/>
      <c r="FXC284" s="1069"/>
      <c r="FXD284" s="1069"/>
      <c r="FXE284" s="1069"/>
      <c r="FXF284" s="1069"/>
      <c r="FXG284" s="1069"/>
      <c r="FXH284" s="1069"/>
      <c r="FXI284" s="1069"/>
      <c r="FXJ284" s="1069"/>
      <c r="FXK284" s="1069"/>
      <c r="FXL284" s="1069"/>
      <c r="FXM284" s="1069"/>
      <c r="FXN284" s="1069"/>
      <c r="FXO284" s="1069"/>
      <c r="FXP284" s="1069"/>
      <c r="FXQ284" s="1069"/>
      <c r="FXR284" s="1069"/>
      <c r="FXS284" s="1069"/>
      <c r="FXT284" s="1069"/>
      <c r="FXU284" s="1069"/>
      <c r="FXV284" s="1069"/>
      <c r="FXW284" s="1069"/>
      <c r="FXX284" s="1069"/>
      <c r="FXY284" s="1069"/>
      <c r="FXZ284" s="1069"/>
      <c r="FYA284" s="1069"/>
      <c r="FYB284" s="1069"/>
      <c r="FYC284" s="1069"/>
      <c r="FYD284" s="1069"/>
      <c r="FYE284" s="1069"/>
      <c r="FYF284" s="1069"/>
      <c r="FYG284" s="1069"/>
      <c r="FYH284" s="1069"/>
      <c r="FYI284" s="1069"/>
      <c r="FYJ284" s="1069"/>
      <c r="FYK284" s="1069"/>
      <c r="FYL284" s="1069"/>
      <c r="FYM284" s="1069"/>
      <c r="FYN284" s="1069"/>
      <c r="FYO284" s="1069"/>
      <c r="FYP284" s="1069"/>
      <c r="FYQ284" s="1069"/>
      <c r="FYR284" s="1069"/>
      <c r="FYS284" s="1069"/>
      <c r="FYT284" s="1069"/>
      <c r="FYU284" s="1069"/>
      <c r="FYV284" s="1069"/>
      <c r="FYW284" s="1069"/>
      <c r="FYX284" s="1069"/>
      <c r="FYY284" s="1069"/>
      <c r="FYZ284" s="1069"/>
      <c r="FZA284" s="1069"/>
      <c r="FZB284" s="1069"/>
      <c r="FZC284" s="1069"/>
      <c r="FZD284" s="1069"/>
      <c r="FZE284" s="1069"/>
      <c r="FZF284" s="1069"/>
      <c r="FZG284" s="1069"/>
      <c r="FZH284" s="1069"/>
      <c r="FZI284" s="1069"/>
      <c r="FZJ284" s="1069"/>
      <c r="FZK284" s="1069"/>
      <c r="FZL284" s="1069"/>
      <c r="FZM284" s="1069"/>
      <c r="FZN284" s="1069"/>
      <c r="FZO284" s="1069"/>
      <c r="FZP284" s="1069"/>
      <c r="FZQ284" s="1069"/>
      <c r="FZR284" s="1069"/>
      <c r="FZS284" s="1069"/>
      <c r="FZT284" s="1069"/>
      <c r="FZU284" s="1069"/>
      <c r="FZV284" s="1069"/>
      <c r="FZW284" s="1069"/>
      <c r="FZX284" s="1069"/>
      <c r="FZY284" s="1069"/>
      <c r="FZZ284" s="1069"/>
      <c r="GAA284" s="1069"/>
      <c r="GAB284" s="1069"/>
      <c r="GAC284" s="1069"/>
      <c r="GAD284" s="1069"/>
      <c r="GAE284" s="1069"/>
      <c r="GAF284" s="1069"/>
      <c r="GAG284" s="1069"/>
      <c r="GAH284" s="1069"/>
      <c r="GAI284" s="1069"/>
      <c r="GAJ284" s="1069"/>
      <c r="GAK284" s="1069"/>
      <c r="GAL284" s="1069"/>
      <c r="GAM284" s="1069"/>
      <c r="GAN284" s="1069"/>
      <c r="GAO284" s="1069"/>
      <c r="GAP284" s="1069"/>
      <c r="GAQ284" s="1069"/>
      <c r="GAR284" s="1069"/>
      <c r="GAS284" s="1069"/>
      <c r="GAT284" s="1069"/>
      <c r="GAU284" s="1069"/>
      <c r="GAV284" s="1069"/>
      <c r="GAW284" s="1069"/>
      <c r="GAX284" s="1069"/>
      <c r="GAY284" s="1069"/>
      <c r="GAZ284" s="1069"/>
      <c r="GBA284" s="1069"/>
      <c r="GBB284" s="1069"/>
      <c r="GBC284" s="1069"/>
      <c r="GBD284" s="1069"/>
      <c r="GBE284" s="1069"/>
      <c r="GBF284" s="1069"/>
      <c r="GBG284" s="1069"/>
      <c r="GBH284" s="1069"/>
      <c r="GBI284" s="1069"/>
      <c r="GBJ284" s="1069"/>
      <c r="GBK284" s="1069"/>
      <c r="GBL284" s="1069"/>
      <c r="GBM284" s="1069"/>
      <c r="GBN284" s="1069"/>
      <c r="GBO284" s="1069"/>
      <c r="GBP284" s="1069"/>
      <c r="GBQ284" s="1069"/>
      <c r="GBR284" s="1069"/>
      <c r="GBS284" s="1069"/>
      <c r="GBT284" s="1069"/>
      <c r="GBU284" s="1069"/>
      <c r="GBV284" s="1069"/>
      <c r="GBW284" s="1069"/>
      <c r="GBX284" s="1069"/>
      <c r="GBY284" s="1069"/>
      <c r="GBZ284" s="1069"/>
      <c r="GCA284" s="1069"/>
      <c r="GCB284" s="1069"/>
      <c r="GCC284" s="1069"/>
      <c r="GCD284" s="1069"/>
      <c r="GCE284" s="1069"/>
      <c r="GCF284" s="1069"/>
      <c r="GCG284" s="1069"/>
      <c r="GCH284" s="1069"/>
      <c r="GCI284" s="1069"/>
      <c r="GCJ284" s="1069"/>
      <c r="GCK284" s="1069"/>
      <c r="GCL284" s="1069"/>
      <c r="GCM284" s="1069"/>
      <c r="GCN284" s="1069"/>
      <c r="GCO284" s="1069"/>
      <c r="GCP284" s="1069"/>
      <c r="GCQ284" s="1069"/>
      <c r="GCR284" s="1069"/>
      <c r="GCS284" s="1069"/>
      <c r="GCT284" s="1069"/>
      <c r="GCU284" s="1069"/>
      <c r="GCV284" s="1069"/>
      <c r="GCW284" s="1069"/>
      <c r="GCX284" s="1069"/>
      <c r="GCY284" s="1069"/>
      <c r="GCZ284" s="1069"/>
      <c r="GDA284" s="1069"/>
      <c r="GDB284" s="1069"/>
      <c r="GDC284" s="1069"/>
      <c r="GDD284" s="1069"/>
      <c r="GDE284" s="1069"/>
      <c r="GDF284" s="1069"/>
      <c r="GDG284" s="1069"/>
      <c r="GDH284" s="1069"/>
      <c r="GDI284" s="1069"/>
      <c r="GDJ284" s="1069"/>
      <c r="GDK284" s="1069"/>
      <c r="GDL284" s="1069"/>
      <c r="GDM284" s="1069"/>
      <c r="GDN284" s="1069"/>
      <c r="GDO284" s="1069"/>
      <c r="GDP284" s="1069"/>
      <c r="GDQ284" s="1069"/>
      <c r="GDR284" s="1069"/>
      <c r="GDS284" s="1069"/>
      <c r="GDT284" s="1069"/>
      <c r="GDU284" s="1069"/>
      <c r="GDV284" s="1069"/>
      <c r="GDW284" s="1069"/>
      <c r="GDX284" s="1069"/>
      <c r="GDY284" s="1069"/>
      <c r="GDZ284" s="1069"/>
      <c r="GEA284" s="1069"/>
      <c r="GEB284" s="1069"/>
      <c r="GEC284" s="1069"/>
      <c r="GED284" s="1069"/>
      <c r="GEE284" s="1069"/>
      <c r="GEF284" s="1069"/>
      <c r="GEG284" s="1069"/>
      <c r="GEH284" s="1069"/>
      <c r="GEI284" s="1069"/>
      <c r="GEJ284" s="1069"/>
      <c r="GEK284" s="1069"/>
      <c r="GEL284" s="1069"/>
      <c r="GEM284" s="1069"/>
      <c r="GEN284" s="1069"/>
      <c r="GEO284" s="1069"/>
      <c r="GEP284" s="1069"/>
      <c r="GEQ284" s="1069"/>
      <c r="GER284" s="1069"/>
      <c r="GES284" s="1069"/>
      <c r="GET284" s="1069"/>
      <c r="GEU284" s="1069"/>
      <c r="GEV284" s="1069"/>
      <c r="GEW284" s="1069"/>
      <c r="GEX284" s="1069"/>
      <c r="GEY284" s="1069"/>
      <c r="GEZ284" s="1069"/>
      <c r="GFA284" s="1069"/>
      <c r="GFB284" s="1069"/>
      <c r="GFC284" s="1069"/>
      <c r="GFD284" s="1069"/>
      <c r="GFE284" s="1069"/>
      <c r="GFF284" s="1069"/>
      <c r="GFG284" s="1069"/>
      <c r="GFH284" s="1069"/>
      <c r="GFI284" s="1069"/>
      <c r="GFJ284" s="1069"/>
      <c r="GFK284" s="1069"/>
      <c r="GFL284" s="1069"/>
      <c r="GFM284" s="1069"/>
      <c r="GFN284" s="1069"/>
      <c r="GFO284" s="1069"/>
      <c r="GFP284" s="1069"/>
      <c r="GFQ284" s="1069"/>
      <c r="GFR284" s="1069"/>
      <c r="GFS284" s="1069"/>
      <c r="GFT284" s="1069"/>
      <c r="GFU284" s="1069"/>
      <c r="GFV284" s="1069"/>
      <c r="GFW284" s="1069"/>
      <c r="GFX284" s="1069"/>
      <c r="GFY284" s="1069"/>
      <c r="GFZ284" s="1069"/>
      <c r="GGA284" s="1069"/>
      <c r="GGB284" s="1069"/>
      <c r="GGC284" s="1069"/>
      <c r="GGD284" s="1069"/>
      <c r="GGE284" s="1069"/>
      <c r="GGF284" s="1069"/>
      <c r="GGG284" s="1069"/>
      <c r="GGH284" s="1069"/>
      <c r="GGI284" s="1069"/>
      <c r="GGJ284" s="1069"/>
      <c r="GGK284" s="1069"/>
      <c r="GGL284" s="1069"/>
      <c r="GGM284" s="1069"/>
      <c r="GGN284" s="1069"/>
      <c r="GGO284" s="1069"/>
      <c r="GGP284" s="1069"/>
      <c r="GGQ284" s="1069"/>
      <c r="GGR284" s="1069"/>
      <c r="GGS284" s="1069"/>
      <c r="GGT284" s="1069"/>
      <c r="GGU284" s="1069"/>
      <c r="GGV284" s="1069"/>
      <c r="GGW284" s="1069"/>
      <c r="GGX284" s="1069"/>
      <c r="GGY284" s="1069"/>
      <c r="GGZ284" s="1069"/>
      <c r="GHA284" s="1069"/>
      <c r="GHB284" s="1069"/>
      <c r="GHC284" s="1069"/>
      <c r="GHD284" s="1069"/>
      <c r="GHE284" s="1069"/>
      <c r="GHF284" s="1069"/>
      <c r="GHG284" s="1069"/>
      <c r="GHH284" s="1069"/>
      <c r="GHI284" s="1069"/>
      <c r="GHJ284" s="1069"/>
      <c r="GHK284" s="1069"/>
      <c r="GHL284" s="1069"/>
      <c r="GHM284" s="1069"/>
      <c r="GHN284" s="1069"/>
      <c r="GHO284" s="1069"/>
      <c r="GHP284" s="1069"/>
      <c r="GHQ284" s="1069"/>
      <c r="GHR284" s="1069"/>
      <c r="GHS284" s="1069"/>
      <c r="GHT284" s="1069"/>
      <c r="GHU284" s="1069"/>
      <c r="GHV284" s="1069"/>
      <c r="GHW284" s="1069"/>
      <c r="GHX284" s="1069"/>
      <c r="GHY284" s="1069"/>
      <c r="GHZ284" s="1069"/>
      <c r="GIA284" s="1069"/>
      <c r="GIB284" s="1069"/>
      <c r="GIC284" s="1069"/>
      <c r="GID284" s="1069"/>
      <c r="GIE284" s="1069"/>
      <c r="GIF284" s="1069"/>
      <c r="GIG284" s="1069"/>
      <c r="GIH284" s="1069"/>
      <c r="GII284" s="1069"/>
      <c r="GIJ284" s="1069"/>
      <c r="GIK284" s="1069"/>
      <c r="GIL284" s="1069"/>
      <c r="GIM284" s="1069"/>
      <c r="GIN284" s="1069"/>
      <c r="GIO284" s="1069"/>
      <c r="GIP284" s="1069"/>
      <c r="GIQ284" s="1069"/>
      <c r="GIR284" s="1069"/>
      <c r="GIS284" s="1069"/>
      <c r="GIT284" s="1069"/>
      <c r="GIU284" s="1069"/>
      <c r="GIV284" s="1069"/>
      <c r="GIW284" s="1069"/>
      <c r="GIX284" s="1069"/>
      <c r="GIY284" s="1069"/>
      <c r="GIZ284" s="1069"/>
      <c r="GJA284" s="1069"/>
      <c r="GJB284" s="1069"/>
      <c r="GJC284" s="1069"/>
      <c r="GJD284" s="1069"/>
      <c r="GJE284" s="1069"/>
      <c r="GJF284" s="1069"/>
      <c r="GJG284" s="1069"/>
      <c r="GJH284" s="1069"/>
      <c r="GJI284" s="1069"/>
      <c r="GJJ284" s="1069"/>
      <c r="GJK284" s="1069"/>
      <c r="GJL284" s="1069"/>
      <c r="GJM284" s="1069"/>
      <c r="GJN284" s="1069"/>
      <c r="GJO284" s="1069"/>
      <c r="GJP284" s="1069"/>
      <c r="GJQ284" s="1069"/>
      <c r="GJR284" s="1069"/>
      <c r="GJS284" s="1069"/>
      <c r="GJT284" s="1069"/>
      <c r="GJU284" s="1069"/>
      <c r="GJV284" s="1069"/>
      <c r="GJW284" s="1069"/>
      <c r="GJX284" s="1069"/>
      <c r="GJY284" s="1069"/>
      <c r="GJZ284" s="1069"/>
      <c r="GKA284" s="1069"/>
      <c r="GKB284" s="1069"/>
      <c r="GKC284" s="1069"/>
      <c r="GKD284" s="1069"/>
      <c r="GKE284" s="1069"/>
      <c r="GKF284" s="1069"/>
      <c r="GKG284" s="1069"/>
      <c r="GKH284" s="1069"/>
      <c r="GKI284" s="1069"/>
      <c r="GKJ284" s="1069"/>
      <c r="GKK284" s="1069"/>
      <c r="GKL284" s="1069"/>
      <c r="GKM284" s="1069"/>
      <c r="GKN284" s="1069"/>
      <c r="GKO284" s="1069"/>
      <c r="GKP284" s="1069"/>
      <c r="GKQ284" s="1069"/>
      <c r="GKR284" s="1069"/>
      <c r="GKS284" s="1069"/>
      <c r="GKT284" s="1069"/>
      <c r="GKU284" s="1069"/>
      <c r="GKV284" s="1069"/>
      <c r="GKW284" s="1069"/>
      <c r="GKX284" s="1069"/>
      <c r="GKY284" s="1069"/>
      <c r="GKZ284" s="1069"/>
      <c r="GLA284" s="1069"/>
      <c r="GLB284" s="1069"/>
      <c r="GLC284" s="1069"/>
      <c r="GLD284" s="1069"/>
      <c r="GLE284" s="1069"/>
      <c r="GLF284" s="1069"/>
      <c r="GLG284" s="1069"/>
      <c r="GLH284" s="1069"/>
      <c r="GLI284" s="1069"/>
      <c r="GLJ284" s="1069"/>
      <c r="GLK284" s="1069"/>
      <c r="GLL284" s="1069"/>
      <c r="GLM284" s="1069"/>
      <c r="GLN284" s="1069"/>
      <c r="GLO284" s="1069"/>
      <c r="GLP284" s="1069"/>
      <c r="GLQ284" s="1069"/>
      <c r="GLR284" s="1069"/>
      <c r="GLS284" s="1069"/>
      <c r="GLT284" s="1069"/>
      <c r="GLU284" s="1069"/>
      <c r="GLV284" s="1069"/>
      <c r="GLW284" s="1069"/>
      <c r="GLX284" s="1069"/>
      <c r="GLY284" s="1069"/>
      <c r="GLZ284" s="1069"/>
      <c r="GMA284" s="1069"/>
      <c r="GMB284" s="1069"/>
      <c r="GMC284" s="1069"/>
      <c r="GMD284" s="1069"/>
      <c r="GME284" s="1069"/>
      <c r="GMF284" s="1069"/>
      <c r="GMG284" s="1069"/>
      <c r="GMH284" s="1069"/>
      <c r="GMI284" s="1069"/>
      <c r="GMJ284" s="1069"/>
      <c r="GMK284" s="1069"/>
      <c r="GML284" s="1069"/>
      <c r="GMM284" s="1069"/>
      <c r="GMN284" s="1069"/>
      <c r="GMO284" s="1069"/>
      <c r="GMP284" s="1069"/>
      <c r="GMQ284" s="1069"/>
      <c r="GMR284" s="1069"/>
      <c r="GMS284" s="1069"/>
      <c r="GMT284" s="1069"/>
      <c r="GMU284" s="1069"/>
      <c r="GMV284" s="1069"/>
      <c r="GMW284" s="1069"/>
      <c r="GMX284" s="1069"/>
      <c r="GMY284" s="1069"/>
      <c r="GMZ284" s="1069"/>
      <c r="GNA284" s="1069"/>
      <c r="GNB284" s="1069"/>
      <c r="GNC284" s="1069"/>
      <c r="GND284" s="1069"/>
      <c r="GNE284" s="1069"/>
      <c r="GNF284" s="1069"/>
      <c r="GNG284" s="1069"/>
      <c r="GNH284" s="1069"/>
      <c r="GNI284" s="1069"/>
      <c r="GNJ284" s="1069"/>
      <c r="GNK284" s="1069"/>
      <c r="GNL284" s="1069"/>
      <c r="GNM284" s="1069"/>
      <c r="GNN284" s="1069"/>
      <c r="GNO284" s="1069"/>
      <c r="GNP284" s="1069"/>
      <c r="GNQ284" s="1069"/>
      <c r="GNR284" s="1069"/>
      <c r="GNS284" s="1069"/>
      <c r="GNT284" s="1069"/>
      <c r="GNU284" s="1069"/>
      <c r="GNV284" s="1069"/>
      <c r="GNW284" s="1069"/>
      <c r="GNX284" s="1069"/>
      <c r="GNY284" s="1069"/>
      <c r="GNZ284" s="1069"/>
      <c r="GOA284" s="1069"/>
      <c r="GOB284" s="1069"/>
      <c r="GOC284" s="1069"/>
      <c r="GOD284" s="1069"/>
      <c r="GOE284" s="1069"/>
      <c r="GOF284" s="1069"/>
      <c r="GOG284" s="1069"/>
      <c r="GOH284" s="1069"/>
      <c r="GOI284" s="1069"/>
      <c r="GOJ284" s="1069"/>
      <c r="GOK284" s="1069"/>
      <c r="GOL284" s="1069"/>
      <c r="GOM284" s="1069"/>
      <c r="GON284" s="1069"/>
      <c r="GOO284" s="1069"/>
      <c r="GOP284" s="1069"/>
      <c r="GOQ284" s="1069"/>
      <c r="GOR284" s="1069"/>
      <c r="GOS284" s="1069"/>
      <c r="GOT284" s="1069"/>
      <c r="GOU284" s="1069"/>
      <c r="GOV284" s="1069"/>
      <c r="GOW284" s="1069"/>
      <c r="GOX284" s="1069"/>
      <c r="GOY284" s="1069"/>
      <c r="GOZ284" s="1069"/>
      <c r="GPA284" s="1069"/>
      <c r="GPB284" s="1069"/>
      <c r="GPC284" s="1069"/>
      <c r="GPD284" s="1069"/>
      <c r="GPE284" s="1069"/>
      <c r="GPF284" s="1069"/>
      <c r="GPG284" s="1069"/>
      <c r="GPH284" s="1069"/>
      <c r="GPI284" s="1069"/>
      <c r="GPJ284" s="1069"/>
      <c r="GPK284" s="1069"/>
      <c r="GPL284" s="1069"/>
      <c r="GPM284" s="1069"/>
      <c r="GPN284" s="1069"/>
      <c r="GPO284" s="1069"/>
      <c r="GPP284" s="1069"/>
      <c r="GPQ284" s="1069"/>
      <c r="GPR284" s="1069"/>
      <c r="GPS284" s="1069"/>
      <c r="GPT284" s="1069"/>
      <c r="GPU284" s="1069"/>
      <c r="GPV284" s="1069"/>
      <c r="GPW284" s="1069"/>
      <c r="GPX284" s="1069"/>
      <c r="GPY284" s="1069"/>
      <c r="GPZ284" s="1069"/>
      <c r="GQA284" s="1069"/>
      <c r="GQB284" s="1069"/>
      <c r="GQC284" s="1069"/>
      <c r="GQD284" s="1069"/>
      <c r="GQE284" s="1069"/>
      <c r="GQF284" s="1069"/>
      <c r="GQG284" s="1069"/>
      <c r="GQH284" s="1069"/>
      <c r="GQI284" s="1069"/>
      <c r="GQJ284" s="1069"/>
      <c r="GQK284" s="1069"/>
      <c r="GQL284" s="1069"/>
      <c r="GQM284" s="1069"/>
      <c r="GQN284" s="1069"/>
      <c r="GQO284" s="1069"/>
      <c r="GQP284" s="1069"/>
      <c r="GQQ284" s="1069"/>
      <c r="GQR284" s="1069"/>
      <c r="GQS284" s="1069"/>
      <c r="GQT284" s="1069"/>
      <c r="GQU284" s="1069"/>
      <c r="GQV284" s="1069"/>
      <c r="GQW284" s="1069"/>
      <c r="GQX284" s="1069"/>
      <c r="GQY284" s="1069"/>
      <c r="GQZ284" s="1069"/>
      <c r="GRA284" s="1069"/>
      <c r="GRB284" s="1069"/>
      <c r="GRC284" s="1069"/>
      <c r="GRD284" s="1069"/>
      <c r="GRE284" s="1069"/>
      <c r="GRF284" s="1069"/>
      <c r="GRG284" s="1069"/>
      <c r="GRH284" s="1069"/>
      <c r="GRI284" s="1069"/>
      <c r="GRJ284" s="1069"/>
      <c r="GRK284" s="1069"/>
      <c r="GRL284" s="1069"/>
      <c r="GRM284" s="1069"/>
      <c r="GRN284" s="1069"/>
      <c r="GRO284" s="1069"/>
      <c r="GRP284" s="1069"/>
      <c r="GRQ284" s="1069"/>
      <c r="GRR284" s="1069"/>
      <c r="GRS284" s="1069"/>
      <c r="GRT284" s="1069"/>
      <c r="GRU284" s="1069"/>
      <c r="GRV284" s="1069"/>
      <c r="GRW284" s="1069"/>
      <c r="GRX284" s="1069"/>
      <c r="GRY284" s="1069"/>
      <c r="GRZ284" s="1069"/>
      <c r="GSA284" s="1069"/>
      <c r="GSB284" s="1069"/>
      <c r="GSC284" s="1069"/>
      <c r="GSD284" s="1069"/>
      <c r="GSE284" s="1069"/>
      <c r="GSF284" s="1069"/>
      <c r="GSG284" s="1069"/>
      <c r="GSH284" s="1069"/>
      <c r="GSI284" s="1069"/>
      <c r="GSJ284" s="1069"/>
      <c r="GSK284" s="1069"/>
      <c r="GSL284" s="1069"/>
      <c r="GSM284" s="1069"/>
      <c r="GSN284" s="1069"/>
      <c r="GSO284" s="1069"/>
      <c r="GSP284" s="1069"/>
      <c r="GSQ284" s="1069"/>
      <c r="GSR284" s="1069"/>
      <c r="GSS284" s="1069"/>
      <c r="GST284" s="1069"/>
      <c r="GSU284" s="1069"/>
      <c r="GSV284" s="1069"/>
      <c r="GSW284" s="1069"/>
      <c r="GSX284" s="1069"/>
      <c r="GSY284" s="1069"/>
      <c r="GSZ284" s="1069"/>
      <c r="GTA284" s="1069"/>
      <c r="GTB284" s="1069"/>
      <c r="GTC284" s="1069"/>
      <c r="GTD284" s="1069"/>
      <c r="GTE284" s="1069"/>
      <c r="GTF284" s="1069"/>
      <c r="GTG284" s="1069"/>
      <c r="GTH284" s="1069"/>
      <c r="GTI284" s="1069"/>
      <c r="GTJ284" s="1069"/>
      <c r="GTK284" s="1069"/>
      <c r="GTL284" s="1069"/>
      <c r="GTM284" s="1069"/>
      <c r="GTN284" s="1069"/>
      <c r="GTO284" s="1069"/>
      <c r="GTP284" s="1069"/>
      <c r="GTQ284" s="1069"/>
      <c r="GTR284" s="1069"/>
      <c r="GTS284" s="1069"/>
      <c r="GTT284" s="1069"/>
      <c r="GTU284" s="1069"/>
      <c r="GTV284" s="1069"/>
      <c r="GTW284" s="1069"/>
      <c r="GTX284" s="1069"/>
      <c r="GTY284" s="1069"/>
      <c r="GTZ284" s="1069"/>
      <c r="GUA284" s="1069"/>
      <c r="GUB284" s="1069"/>
      <c r="GUC284" s="1069"/>
      <c r="GUD284" s="1069"/>
      <c r="GUE284" s="1069"/>
      <c r="GUF284" s="1069"/>
      <c r="GUG284" s="1069"/>
      <c r="GUH284" s="1069"/>
      <c r="GUI284" s="1069"/>
      <c r="GUJ284" s="1069"/>
      <c r="GUK284" s="1069"/>
      <c r="GUL284" s="1069"/>
      <c r="GUM284" s="1069"/>
      <c r="GUN284" s="1069"/>
      <c r="GUO284" s="1069"/>
      <c r="GUP284" s="1069"/>
      <c r="GUQ284" s="1069"/>
      <c r="GUR284" s="1069"/>
      <c r="GUS284" s="1069"/>
      <c r="GUT284" s="1069"/>
      <c r="GUU284" s="1069"/>
      <c r="GUV284" s="1069"/>
      <c r="GUW284" s="1069"/>
      <c r="GUX284" s="1069"/>
      <c r="GUY284" s="1069"/>
      <c r="GUZ284" s="1069"/>
      <c r="GVA284" s="1069"/>
      <c r="GVB284" s="1069"/>
      <c r="GVC284" s="1069"/>
      <c r="GVD284" s="1069"/>
      <c r="GVE284" s="1069"/>
      <c r="GVF284" s="1069"/>
      <c r="GVG284" s="1069"/>
      <c r="GVH284" s="1069"/>
      <c r="GVI284" s="1069"/>
      <c r="GVJ284" s="1069"/>
      <c r="GVK284" s="1069"/>
      <c r="GVL284" s="1069"/>
      <c r="GVM284" s="1069"/>
      <c r="GVN284" s="1069"/>
      <c r="GVO284" s="1069"/>
      <c r="GVP284" s="1069"/>
      <c r="GVQ284" s="1069"/>
      <c r="GVR284" s="1069"/>
      <c r="GVS284" s="1069"/>
      <c r="GVT284" s="1069"/>
      <c r="GVU284" s="1069"/>
      <c r="GVV284" s="1069"/>
      <c r="GVW284" s="1069"/>
      <c r="GVX284" s="1069"/>
      <c r="GVY284" s="1069"/>
      <c r="GVZ284" s="1069"/>
      <c r="GWA284" s="1069"/>
      <c r="GWB284" s="1069"/>
      <c r="GWC284" s="1069"/>
      <c r="GWD284" s="1069"/>
      <c r="GWE284" s="1069"/>
      <c r="GWF284" s="1069"/>
      <c r="GWG284" s="1069"/>
      <c r="GWH284" s="1069"/>
      <c r="GWI284" s="1069"/>
      <c r="GWJ284" s="1069"/>
      <c r="GWK284" s="1069"/>
      <c r="GWL284" s="1069"/>
      <c r="GWM284" s="1069"/>
      <c r="GWN284" s="1069"/>
      <c r="GWO284" s="1069"/>
      <c r="GWP284" s="1069"/>
      <c r="GWQ284" s="1069"/>
      <c r="GWR284" s="1069"/>
      <c r="GWS284" s="1069"/>
      <c r="GWT284" s="1069"/>
      <c r="GWU284" s="1069"/>
      <c r="GWV284" s="1069"/>
      <c r="GWW284" s="1069"/>
      <c r="GWX284" s="1069"/>
      <c r="GWY284" s="1069"/>
      <c r="GWZ284" s="1069"/>
      <c r="GXA284" s="1069"/>
      <c r="GXB284" s="1069"/>
      <c r="GXC284" s="1069"/>
      <c r="GXD284" s="1069"/>
      <c r="GXE284" s="1069"/>
      <c r="GXF284" s="1069"/>
      <c r="GXG284" s="1069"/>
      <c r="GXH284" s="1069"/>
      <c r="GXI284" s="1069"/>
      <c r="GXJ284" s="1069"/>
      <c r="GXK284" s="1069"/>
      <c r="GXL284" s="1069"/>
      <c r="GXM284" s="1069"/>
      <c r="GXN284" s="1069"/>
      <c r="GXO284" s="1069"/>
      <c r="GXP284" s="1069"/>
      <c r="GXQ284" s="1069"/>
      <c r="GXR284" s="1069"/>
      <c r="GXS284" s="1069"/>
      <c r="GXT284" s="1069"/>
      <c r="GXU284" s="1069"/>
      <c r="GXV284" s="1069"/>
      <c r="GXW284" s="1069"/>
      <c r="GXX284" s="1069"/>
      <c r="GXY284" s="1069"/>
      <c r="GXZ284" s="1069"/>
      <c r="GYA284" s="1069"/>
      <c r="GYB284" s="1069"/>
      <c r="GYC284" s="1069"/>
      <c r="GYD284" s="1069"/>
      <c r="GYE284" s="1069"/>
      <c r="GYF284" s="1069"/>
      <c r="GYG284" s="1069"/>
      <c r="GYH284" s="1069"/>
      <c r="GYI284" s="1069"/>
      <c r="GYJ284" s="1069"/>
      <c r="GYK284" s="1069"/>
      <c r="GYL284" s="1069"/>
      <c r="GYM284" s="1069"/>
      <c r="GYN284" s="1069"/>
      <c r="GYO284" s="1069"/>
      <c r="GYP284" s="1069"/>
      <c r="GYQ284" s="1069"/>
      <c r="GYR284" s="1069"/>
      <c r="GYS284" s="1069"/>
      <c r="GYT284" s="1069"/>
      <c r="GYU284" s="1069"/>
      <c r="GYV284" s="1069"/>
      <c r="GYW284" s="1069"/>
      <c r="GYX284" s="1069"/>
      <c r="GYY284" s="1069"/>
      <c r="GYZ284" s="1069"/>
      <c r="GZA284" s="1069"/>
      <c r="GZB284" s="1069"/>
      <c r="GZC284" s="1069"/>
      <c r="GZD284" s="1069"/>
      <c r="GZE284" s="1069"/>
      <c r="GZF284" s="1069"/>
      <c r="GZG284" s="1069"/>
      <c r="GZH284" s="1069"/>
      <c r="GZI284" s="1069"/>
      <c r="GZJ284" s="1069"/>
      <c r="GZK284" s="1069"/>
      <c r="GZL284" s="1069"/>
      <c r="GZM284" s="1069"/>
      <c r="GZN284" s="1069"/>
      <c r="GZO284" s="1069"/>
      <c r="GZP284" s="1069"/>
      <c r="GZQ284" s="1069"/>
      <c r="GZR284" s="1069"/>
      <c r="GZS284" s="1069"/>
      <c r="GZT284" s="1069"/>
      <c r="GZU284" s="1069"/>
      <c r="GZV284" s="1069"/>
      <c r="GZW284" s="1069"/>
      <c r="GZX284" s="1069"/>
      <c r="GZY284" s="1069"/>
      <c r="GZZ284" s="1069"/>
      <c r="HAA284" s="1069"/>
      <c r="HAB284" s="1069"/>
      <c r="HAC284" s="1069"/>
      <c r="HAD284" s="1069"/>
      <c r="HAE284" s="1069"/>
      <c r="HAF284" s="1069"/>
      <c r="HAG284" s="1069"/>
      <c r="HAH284" s="1069"/>
      <c r="HAI284" s="1069"/>
      <c r="HAJ284" s="1069"/>
      <c r="HAK284" s="1069"/>
      <c r="HAL284" s="1069"/>
      <c r="HAM284" s="1069"/>
      <c r="HAN284" s="1069"/>
      <c r="HAO284" s="1069"/>
      <c r="HAP284" s="1069"/>
      <c r="HAQ284" s="1069"/>
      <c r="HAR284" s="1069"/>
      <c r="HAS284" s="1069"/>
      <c r="HAT284" s="1069"/>
      <c r="HAU284" s="1069"/>
      <c r="HAV284" s="1069"/>
      <c r="HAW284" s="1069"/>
      <c r="HAX284" s="1069"/>
      <c r="HAY284" s="1069"/>
      <c r="HAZ284" s="1069"/>
      <c r="HBA284" s="1069"/>
      <c r="HBB284" s="1069"/>
      <c r="HBC284" s="1069"/>
      <c r="HBD284" s="1069"/>
      <c r="HBE284" s="1069"/>
      <c r="HBF284" s="1069"/>
      <c r="HBG284" s="1069"/>
      <c r="HBH284" s="1069"/>
      <c r="HBI284" s="1069"/>
      <c r="HBJ284" s="1069"/>
      <c r="HBK284" s="1069"/>
      <c r="HBL284" s="1069"/>
      <c r="HBM284" s="1069"/>
      <c r="HBN284" s="1069"/>
      <c r="HBO284" s="1069"/>
      <c r="HBP284" s="1069"/>
      <c r="HBQ284" s="1069"/>
      <c r="HBR284" s="1069"/>
      <c r="HBS284" s="1069"/>
      <c r="HBT284" s="1069"/>
      <c r="HBU284" s="1069"/>
      <c r="HBV284" s="1069"/>
      <c r="HBW284" s="1069"/>
      <c r="HBX284" s="1069"/>
      <c r="HBY284" s="1069"/>
      <c r="HBZ284" s="1069"/>
      <c r="HCA284" s="1069"/>
      <c r="HCB284" s="1069"/>
      <c r="HCC284" s="1069"/>
      <c r="HCD284" s="1069"/>
      <c r="HCE284" s="1069"/>
      <c r="HCF284" s="1069"/>
      <c r="HCG284" s="1069"/>
      <c r="HCH284" s="1069"/>
      <c r="HCI284" s="1069"/>
      <c r="HCJ284" s="1069"/>
      <c r="HCK284" s="1069"/>
      <c r="HCL284" s="1069"/>
      <c r="HCM284" s="1069"/>
      <c r="HCN284" s="1069"/>
      <c r="HCO284" s="1069"/>
      <c r="HCP284" s="1069"/>
      <c r="HCQ284" s="1069"/>
      <c r="HCR284" s="1069"/>
      <c r="HCS284" s="1069"/>
      <c r="HCT284" s="1069"/>
      <c r="HCU284" s="1069"/>
      <c r="HCV284" s="1069"/>
      <c r="HCW284" s="1069"/>
      <c r="HCX284" s="1069"/>
      <c r="HCY284" s="1069"/>
      <c r="HCZ284" s="1069"/>
      <c r="HDA284" s="1069"/>
      <c r="HDB284" s="1069"/>
      <c r="HDC284" s="1069"/>
      <c r="HDD284" s="1069"/>
      <c r="HDE284" s="1069"/>
      <c r="HDF284" s="1069"/>
      <c r="HDG284" s="1069"/>
      <c r="HDH284" s="1069"/>
      <c r="HDI284" s="1069"/>
      <c r="HDJ284" s="1069"/>
      <c r="HDK284" s="1069"/>
      <c r="HDL284" s="1069"/>
      <c r="HDM284" s="1069"/>
      <c r="HDN284" s="1069"/>
      <c r="HDO284" s="1069"/>
      <c r="HDP284" s="1069"/>
      <c r="HDQ284" s="1069"/>
      <c r="HDR284" s="1069"/>
      <c r="HDS284" s="1069"/>
      <c r="HDT284" s="1069"/>
      <c r="HDU284" s="1069"/>
      <c r="HDV284" s="1069"/>
      <c r="HDW284" s="1069"/>
      <c r="HDX284" s="1069"/>
      <c r="HDY284" s="1069"/>
      <c r="HDZ284" s="1069"/>
      <c r="HEA284" s="1069"/>
      <c r="HEB284" s="1069"/>
      <c r="HEC284" s="1069"/>
      <c r="HED284" s="1069"/>
      <c r="HEE284" s="1069"/>
      <c r="HEF284" s="1069"/>
      <c r="HEG284" s="1069"/>
      <c r="HEH284" s="1069"/>
      <c r="HEI284" s="1069"/>
      <c r="HEJ284" s="1069"/>
      <c r="HEK284" s="1069"/>
      <c r="HEL284" s="1069"/>
      <c r="HEM284" s="1069"/>
      <c r="HEN284" s="1069"/>
      <c r="HEO284" s="1069"/>
      <c r="HEP284" s="1069"/>
      <c r="HEQ284" s="1069"/>
      <c r="HER284" s="1069"/>
      <c r="HES284" s="1069"/>
      <c r="HET284" s="1069"/>
      <c r="HEU284" s="1069"/>
      <c r="HEV284" s="1069"/>
      <c r="HEW284" s="1069"/>
      <c r="HEX284" s="1069"/>
      <c r="HEY284" s="1069"/>
      <c r="HEZ284" s="1069"/>
      <c r="HFA284" s="1069"/>
      <c r="HFB284" s="1069"/>
      <c r="HFC284" s="1069"/>
      <c r="HFD284" s="1069"/>
      <c r="HFE284" s="1069"/>
      <c r="HFF284" s="1069"/>
      <c r="HFG284" s="1069"/>
      <c r="HFH284" s="1069"/>
      <c r="HFI284" s="1069"/>
      <c r="HFJ284" s="1069"/>
      <c r="HFK284" s="1069"/>
      <c r="HFL284" s="1069"/>
      <c r="HFM284" s="1069"/>
      <c r="HFN284" s="1069"/>
      <c r="HFO284" s="1069"/>
      <c r="HFP284" s="1069"/>
      <c r="HFQ284" s="1069"/>
      <c r="HFR284" s="1069"/>
      <c r="HFS284" s="1069"/>
      <c r="HFT284" s="1069"/>
      <c r="HFU284" s="1069"/>
      <c r="HFV284" s="1069"/>
      <c r="HFW284" s="1069"/>
      <c r="HFX284" s="1069"/>
      <c r="HFY284" s="1069"/>
      <c r="HFZ284" s="1069"/>
      <c r="HGA284" s="1069"/>
      <c r="HGB284" s="1069"/>
      <c r="HGC284" s="1069"/>
      <c r="HGD284" s="1069"/>
      <c r="HGE284" s="1069"/>
      <c r="HGF284" s="1069"/>
      <c r="HGG284" s="1069"/>
      <c r="HGH284" s="1069"/>
      <c r="HGI284" s="1069"/>
      <c r="HGJ284" s="1069"/>
      <c r="HGK284" s="1069"/>
      <c r="HGL284" s="1069"/>
      <c r="HGM284" s="1069"/>
      <c r="HGN284" s="1069"/>
      <c r="HGO284" s="1069"/>
      <c r="HGP284" s="1069"/>
      <c r="HGQ284" s="1069"/>
      <c r="HGR284" s="1069"/>
      <c r="HGS284" s="1069"/>
      <c r="HGT284" s="1069"/>
      <c r="HGU284" s="1069"/>
      <c r="HGV284" s="1069"/>
      <c r="HGW284" s="1069"/>
      <c r="HGX284" s="1069"/>
      <c r="HGY284" s="1069"/>
      <c r="HGZ284" s="1069"/>
      <c r="HHA284" s="1069"/>
      <c r="HHB284" s="1069"/>
      <c r="HHC284" s="1069"/>
      <c r="HHD284" s="1069"/>
      <c r="HHE284" s="1069"/>
      <c r="HHF284" s="1069"/>
      <c r="HHG284" s="1069"/>
      <c r="HHH284" s="1069"/>
      <c r="HHI284" s="1069"/>
      <c r="HHJ284" s="1069"/>
      <c r="HHK284" s="1069"/>
      <c r="HHL284" s="1069"/>
      <c r="HHM284" s="1069"/>
      <c r="HHN284" s="1069"/>
      <c r="HHO284" s="1069"/>
      <c r="HHP284" s="1069"/>
      <c r="HHQ284" s="1069"/>
      <c r="HHR284" s="1069"/>
      <c r="HHS284" s="1069"/>
      <c r="HHT284" s="1069"/>
      <c r="HHU284" s="1069"/>
      <c r="HHV284" s="1069"/>
      <c r="HHW284" s="1069"/>
      <c r="HHX284" s="1069"/>
      <c r="HHY284" s="1069"/>
      <c r="HHZ284" s="1069"/>
      <c r="HIA284" s="1069"/>
      <c r="HIB284" s="1069"/>
      <c r="HIC284" s="1069"/>
      <c r="HID284" s="1069"/>
      <c r="HIE284" s="1069"/>
      <c r="HIF284" s="1069"/>
      <c r="HIG284" s="1069"/>
      <c r="HIH284" s="1069"/>
      <c r="HII284" s="1069"/>
      <c r="HIJ284" s="1069"/>
      <c r="HIK284" s="1069"/>
      <c r="HIL284" s="1069"/>
      <c r="HIM284" s="1069"/>
      <c r="HIN284" s="1069"/>
      <c r="HIO284" s="1069"/>
      <c r="HIP284" s="1069"/>
      <c r="HIQ284" s="1069"/>
      <c r="HIR284" s="1069"/>
      <c r="HIS284" s="1069"/>
      <c r="HIT284" s="1069"/>
      <c r="HIU284" s="1069"/>
      <c r="HIV284" s="1069"/>
      <c r="HIW284" s="1069"/>
      <c r="HIX284" s="1069"/>
      <c r="HIY284" s="1069"/>
      <c r="HIZ284" s="1069"/>
      <c r="HJA284" s="1069"/>
      <c r="HJB284" s="1069"/>
      <c r="HJC284" s="1069"/>
      <c r="HJD284" s="1069"/>
      <c r="HJE284" s="1069"/>
      <c r="HJF284" s="1069"/>
      <c r="HJG284" s="1069"/>
      <c r="HJH284" s="1069"/>
      <c r="HJI284" s="1069"/>
      <c r="HJJ284" s="1069"/>
      <c r="HJK284" s="1069"/>
      <c r="HJL284" s="1069"/>
      <c r="HJM284" s="1069"/>
      <c r="HJN284" s="1069"/>
      <c r="HJO284" s="1069"/>
      <c r="HJP284" s="1069"/>
      <c r="HJQ284" s="1069"/>
      <c r="HJR284" s="1069"/>
      <c r="HJS284" s="1069"/>
      <c r="HJT284" s="1069"/>
      <c r="HJU284" s="1069"/>
      <c r="HJV284" s="1069"/>
      <c r="HJW284" s="1069"/>
      <c r="HJX284" s="1069"/>
      <c r="HJY284" s="1069"/>
      <c r="HJZ284" s="1069"/>
      <c r="HKA284" s="1069"/>
      <c r="HKB284" s="1069"/>
      <c r="HKC284" s="1069"/>
      <c r="HKD284" s="1069"/>
      <c r="HKE284" s="1069"/>
      <c r="HKF284" s="1069"/>
      <c r="HKG284" s="1069"/>
      <c r="HKH284" s="1069"/>
      <c r="HKI284" s="1069"/>
      <c r="HKJ284" s="1069"/>
      <c r="HKK284" s="1069"/>
      <c r="HKL284" s="1069"/>
      <c r="HKM284" s="1069"/>
      <c r="HKN284" s="1069"/>
      <c r="HKO284" s="1069"/>
      <c r="HKP284" s="1069"/>
      <c r="HKQ284" s="1069"/>
      <c r="HKR284" s="1069"/>
      <c r="HKS284" s="1069"/>
      <c r="HKT284" s="1069"/>
      <c r="HKU284" s="1069"/>
      <c r="HKV284" s="1069"/>
      <c r="HKW284" s="1069"/>
      <c r="HKX284" s="1069"/>
      <c r="HKY284" s="1069"/>
      <c r="HKZ284" s="1069"/>
      <c r="HLA284" s="1069"/>
      <c r="HLB284" s="1069"/>
      <c r="HLC284" s="1069"/>
      <c r="HLD284" s="1069"/>
      <c r="HLE284" s="1069"/>
      <c r="HLF284" s="1069"/>
      <c r="HLG284" s="1069"/>
      <c r="HLH284" s="1069"/>
      <c r="HLI284" s="1069"/>
      <c r="HLJ284" s="1069"/>
      <c r="HLK284" s="1069"/>
      <c r="HLL284" s="1069"/>
      <c r="HLM284" s="1069"/>
      <c r="HLN284" s="1069"/>
      <c r="HLO284" s="1069"/>
      <c r="HLP284" s="1069"/>
      <c r="HLQ284" s="1069"/>
      <c r="HLR284" s="1069"/>
      <c r="HLS284" s="1069"/>
      <c r="HLT284" s="1069"/>
      <c r="HLU284" s="1069"/>
      <c r="HLV284" s="1069"/>
      <c r="HLW284" s="1069"/>
      <c r="HLX284" s="1069"/>
      <c r="HLY284" s="1069"/>
      <c r="HLZ284" s="1069"/>
      <c r="HMA284" s="1069"/>
      <c r="HMB284" s="1069"/>
      <c r="HMC284" s="1069"/>
      <c r="HMD284" s="1069"/>
      <c r="HME284" s="1069"/>
      <c r="HMF284" s="1069"/>
      <c r="HMG284" s="1069"/>
      <c r="HMH284" s="1069"/>
      <c r="HMI284" s="1069"/>
      <c r="HMJ284" s="1069"/>
      <c r="HMK284" s="1069"/>
      <c r="HML284" s="1069"/>
      <c r="HMM284" s="1069"/>
      <c r="HMN284" s="1069"/>
      <c r="HMO284" s="1069"/>
      <c r="HMP284" s="1069"/>
      <c r="HMQ284" s="1069"/>
      <c r="HMR284" s="1069"/>
      <c r="HMS284" s="1069"/>
      <c r="HMT284" s="1069"/>
      <c r="HMU284" s="1069"/>
      <c r="HMV284" s="1069"/>
      <c r="HMW284" s="1069"/>
      <c r="HMX284" s="1069"/>
      <c r="HMY284" s="1069"/>
      <c r="HMZ284" s="1069"/>
      <c r="HNA284" s="1069"/>
      <c r="HNB284" s="1069"/>
      <c r="HNC284" s="1069"/>
      <c r="HND284" s="1069"/>
      <c r="HNE284" s="1069"/>
      <c r="HNF284" s="1069"/>
      <c r="HNG284" s="1069"/>
      <c r="HNH284" s="1069"/>
      <c r="HNI284" s="1069"/>
      <c r="HNJ284" s="1069"/>
      <c r="HNK284" s="1069"/>
      <c r="HNL284" s="1069"/>
      <c r="HNM284" s="1069"/>
      <c r="HNN284" s="1069"/>
      <c r="HNO284" s="1069"/>
      <c r="HNP284" s="1069"/>
      <c r="HNQ284" s="1069"/>
      <c r="HNR284" s="1069"/>
      <c r="HNS284" s="1069"/>
      <c r="HNT284" s="1069"/>
      <c r="HNU284" s="1069"/>
      <c r="HNV284" s="1069"/>
      <c r="HNW284" s="1069"/>
      <c r="HNX284" s="1069"/>
      <c r="HNY284" s="1069"/>
      <c r="HNZ284" s="1069"/>
      <c r="HOA284" s="1069"/>
      <c r="HOB284" s="1069"/>
      <c r="HOC284" s="1069"/>
      <c r="HOD284" s="1069"/>
      <c r="HOE284" s="1069"/>
      <c r="HOF284" s="1069"/>
      <c r="HOG284" s="1069"/>
      <c r="HOH284" s="1069"/>
      <c r="HOI284" s="1069"/>
      <c r="HOJ284" s="1069"/>
      <c r="HOK284" s="1069"/>
      <c r="HOL284" s="1069"/>
      <c r="HOM284" s="1069"/>
      <c r="HON284" s="1069"/>
      <c r="HOO284" s="1069"/>
      <c r="HOP284" s="1069"/>
      <c r="HOQ284" s="1069"/>
      <c r="HOR284" s="1069"/>
      <c r="HOS284" s="1069"/>
      <c r="HOT284" s="1069"/>
      <c r="HOU284" s="1069"/>
      <c r="HOV284" s="1069"/>
      <c r="HOW284" s="1069"/>
      <c r="HOX284" s="1069"/>
      <c r="HOY284" s="1069"/>
      <c r="HOZ284" s="1069"/>
      <c r="HPA284" s="1069"/>
      <c r="HPB284" s="1069"/>
      <c r="HPC284" s="1069"/>
      <c r="HPD284" s="1069"/>
      <c r="HPE284" s="1069"/>
      <c r="HPF284" s="1069"/>
      <c r="HPG284" s="1069"/>
      <c r="HPH284" s="1069"/>
      <c r="HPI284" s="1069"/>
      <c r="HPJ284" s="1069"/>
      <c r="HPK284" s="1069"/>
      <c r="HPL284" s="1069"/>
      <c r="HPM284" s="1069"/>
      <c r="HPN284" s="1069"/>
      <c r="HPO284" s="1069"/>
      <c r="HPP284" s="1069"/>
      <c r="HPQ284" s="1069"/>
      <c r="HPR284" s="1069"/>
      <c r="HPS284" s="1069"/>
      <c r="HPT284" s="1069"/>
      <c r="HPU284" s="1069"/>
      <c r="HPV284" s="1069"/>
      <c r="HPW284" s="1069"/>
      <c r="HPX284" s="1069"/>
      <c r="HPY284" s="1069"/>
      <c r="HPZ284" s="1069"/>
      <c r="HQA284" s="1069"/>
      <c r="HQB284" s="1069"/>
      <c r="HQC284" s="1069"/>
      <c r="HQD284" s="1069"/>
      <c r="HQE284" s="1069"/>
      <c r="HQF284" s="1069"/>
      <c r="HQG284" s="1069"/>
      <c r="HQH284" s="1069"/>
      <c r="HQI284" s="1069"/>
      <c r="HQJ284" s="1069"/>
      <c r="HQK284" s="1069"/>
      <c r="HQL284" s="1069"/>
      <c r="HQM284" s="1069"/>
      <c r="HQN284" s="1069"/>
      <c r="HQO284" s="1069"/>
      <c r="HQP284" s="1069"/>
      <c r="HQQ284" s="1069"/>
      <c r="HQR284" s="1069"/>
      <c r="HQS284" s="1069"/>
      <c r="HQT284" s="1069"/>
      <c r="HQU284" s="1069"/>
      <c r="HQV284" s="1069"/>
      <c r="HQW284" s="1069"/>
      <c r="HQX284" s="1069"/>
      <c r="HQY284" s="1069"/>
      <c r="HQZ284" s="1069"/>
      <c r="HRA284" s="1069"/>
      <c r="HRB284" s="1069"/>
      <c r="HRC284" s="1069"/>
      <c r="HRD284" s="1069"/>
      <c r="HRE284" s="1069"/>
      <c r="HRF284" s="1069"/>
      <c r="HRG284" s="1069"/>
      <c r="HRH284" s="1069"/>
      <c r="HRI284" s="1069"/>
      <c r="HRJ284" s="1069"/>
      <c r="HRK284" s="1069"/>
      <c r="HRL284" s="1069"/>
      <c r="HRM284" s="1069"/>
      <c r="HRN284" s="1069"/>
      <c r="HRO284" s="1069"/>
      <c r="HRP284" s="1069"/>
      <c r="HRQ284" s="1069"/>
      <c r="HRR284" s="1069"/>
      <c r="HRS284" s="1069"/>
      <c r="HRT284" s="1069"/>
      <c r="HRU284" s="1069"/>
      <c r="HRV284" s="1069"/>
      <c r="HRW284" s="1069"/>
      <c r="HRX284" s="1069"/>
      <c r="HRY284" s="1069"/>
      <c r="HRZ284" s="1069"/>
      <c r="HSA284" s="1069"/>
      <c r="HSB284" s="1069"/>
      <c r="HSC284" s="1069"/>
      <c r="HSD284" s="1069"/>
      <c r="HSE284" s="1069"/>
      <c r="HSF284" s="1069"/>
      <c r="HSG284" s="1069"/>
      <c r="HSH284" s="1069"/>
      <c r="HSI284" s="1069"/>
      <c r="HSJ284" s="1069"/>
      <c r="HSK284" s="1069"/>
      <c r="HSL284" s="1069"/>
      <c r="HSM284" s="1069"/>
      <c r="HSN284" s="1069"/>
      <c r="HSO284" s="1069"/>
      <c r="HSP284" s="1069"/>
      <c r="HSQ284" s="1069"/>
      <c r="HSR284" s="1069"/>
      <c r="HSS284" s="1069"/>
      <c r="HST284" s="1069"/>
      <c r="HSU284" s="1069"/>
      <c r="HSV284" s="1069"/>
      <c r="HSW284" s="1069"/>
      <c r="HSX284" s="1069"/>
      <c r="HSY284" s="1069"/>
      <c r="HSZ284" s="1069"/>
      <c r="HTA284" s="1069"/>
      <c r="HTB284" s="1069"/>
      <c r="HTC284" s="1069"/>
      <c r="HTD284" s="1069"/>
      <c r="HTE284" s="1069"/>
      <c r="HTF284" s="1069"/>
      <c r="HTG284" s="1069"/>
      <c r="HTH284" s="1069"/>
      <c r="HTI284" s="1069"/>
      <c r="HTJ284" s="1069"/>
      <c r="HTK284" s="1069"/>
      <c r="HTL284" s="1069"/>
      <c r="HTM284" s="1069"/>
      <c r="HTN284" s="1069"/>
      <c r="HTO284" s="1069"/>
      <c r="HTP284" s="1069"/>
      <c r="HTQ284" s="1069"/>
      <c r="HTR284" s="1069"/>
      <c r="HTS284" s="1069"/>
      <c r="HTT284" s="1069"/>
      <c r="HTU284" s="1069"/>
      <c r="HTV284" s="1069"/>
      <c r="HTW284" s="1069"/>
      <c r="HTX284" s="1069"/>
      <c r="HTY284" s="1069"/>
      <c r="HTZ284" s="1069"/>
      <c r="HUA284" s="1069"/>
      <c r="HUB284" s="1069"/>
      <c r="HUC284" s="1069"/>
      <c r="HUD284" s="1069"/>
      <c r="HUE284" s="1069"/>
      <c r="HUF284" s="1069"/>
      <c r="HUG284" s="1069"/>
      <c r="HUH284" s="1069"/>
      <c r="HUI284" s="1069"/>
      <c r="HUJ284" s="1069"/>
      <c r="HUK284" s="1069"/>
      <c r="HUL284" s="1069"/>
      <c r="HUM284" s="1069"/>
      <c r="HUN284" s="1069"/>
      <c r="HUO284" s="1069"/>
      <c r="HUP284" s="1069"/>
      <c r="HUQ284" s="1069"/>
      <c r="HUR284" s="1069"/>
      <c r="HUS284" s="1069"/>
      <c r="HUT284" s="1069"/>
      <c r="HUU284" s="1069"/>
      <c r="HUV284" s="1069"/>
      <c r="HUW284" s="1069"/>
      <c r="HUX284" s="1069"/>
      <c r="HUY284" s="1069"/>
      <c r="HUZ284" s="1069"/>
      <c r="HVA284" s="1069"/>
      <c r="HVB284" s="1069"/>
      <c r="HVC284" s="1069"/>
      <c r="HVD284" s="1069"/>
      <c r="HVE284" s="1069"/>
      <c r="HVF284" s="1069"/>
      <c r="HVG284" s="1069"/>
      <c r="HVH284" s="1069"/>
      <c r="HVI284" s="1069"/>
      <c r="HVJ284" s="1069"/>
      <c r="HVK284" s="1069"/>
      <c r="HVL284" s="1069"/>
      <c r="HVM284" s="1069"/>
      <c r="HVN284" s="1069"/>
      <c r="HVO284" s="1069"/>
      <c r="HVP284" s="1069"/>
      <c r="HVQ284" s="1069"/>
      <c r="HVR284" s="1069"/>
      <c r="HVS284" s="1069"/>
      <c r="HVT284" s="1069"/>
      <c r="HVU284" s="1069"/>
      <c r="HVV284" s="1069"/>
      <c r="HVW284" s="1069"/>
      <c r="HVX284" s="1069"/>
      <c r="HVY284" s="1069"/>
      <c r="HVZ284" s="1069"/>
      <c r="HWA284" s="1069"/>
      <c r="HWB284" s="1069"/>
      <c r="HWC284" s="1069"/>
      <c r="HWD284" s="1069"/>
      <c r="HWE284" s="1069"/>
      <c r="HWF284" s="1069"/>
      <c r="HWG284" s="1069"/>
      <c r="HWH284" s="1069"/>
      <c r="HWI284" s="1069"/>
      <c r="HWJ284" s="1069"/>
      <c r="HWK284" s="1069"/>
      <c r="HWL284" s="1069"/>
      <c r="HWM284" s="1069"/>
      <c r="HWN284" s="1069"/>
      <c r="HWO284" s="1069"/>
      <c r="HWP284" s="1069"/>
      <c r="HWQ284" s="1069"/>
      <c r="HWR284" s="1069"/>
      <c r="HWS284" s="1069"/>
      <c r="HWT284" s="1069"/>
      <c r="HWU284" s="1069"/>
      <c r="HWV284" s="1069"/>
      <c r="HWW284" s="1069"/>
      <c r="HWX284" s="1069"/>
      <c r="HWY284" s="1069"/>
      <c r="HWZ284" s="1069"/>
      <c r="HXA284" s="1069"/>
      <c r="HXB284" s="1069"/>
      <c r="HXC284" s="1069"/>
      <c r="HXD284" s="1069"/>
      <c r="HXE284" s="1069"/>
      <c r="HXF284" s="1069"/>
      <c r="HXG284" s="1069"/>
      <c r="HXH284" s="1069"/>
      <c r="HXI284" s="1069"/>
      <c r="HXJ284" s="1069"/>
      <c r="HXK284" s="1069"/>
      <c r="HXL284" s="1069"/>
      <c r="HXM284" s="1069"/>
      <c r="HXN284" s="1069"/>
      <c r="HXO284" s="1069"/>
      <c r="HXP284" s="1069"/>
      <c r="HXQ284" s="1069"/>
      <c r="HXR284" s="1069"/>
      <c r="HXS284" s="1069"/>
      <c r="HXT284" s="1069"/>
      <c r="HXU284" s="1069"/>
      <c r="HXV284" s="1069"/>
      <c r="HXW284" s="1069"/>
      <c r="HXX284" s="1069"/>
      <c r="HXY284" s="1069"/>
      <c r="HXZ284" s="1069"/>
      <c r="HYA284" s="1069"/>
      <c r="HYB284" s="1069"/>
      <c r="HYC284" s="1069"/>
      <c r="HYD284" s="1069"/>
      <c r="HYE284" s="1069"/>
      <c r="HYF284" s="1069"/>
      <c r="HYG284" s="1069"/>
      <c r="HYH284" s="1069"/>
      <c r="HYI284" s="1069"/>
      <c r="HYJ284" s="1069"/>
      <c r="HYK284" s="1069"/>
      <c r="HYL284" s="1069"/>
      <c r="HYM284" s="1069"/>
      <c r="HYN284" s="1069"/>
      <c r="HYO284" s="1069"/>
      <c r="HYP284" s="1069"/>
      <c r="HYQ284" s="1069"/>
      <c r="HYR284" s="1069"/>
      <c r="HYS284" s="1069"/>
      <c r="HYT284" s="1069"/>
      <c r="HYU284" s="1069"/>
      <c r="HYV284" s="1069"/>
      <c r="HYW284" s="1069"/>
      <c r="HYX284" s="1069"/>
      <c r="HYY284" s="1069"/>
      <c r="HYZ284" s="1069"/>
      <c r="HZA284" s="1069"/>
      <c r="HZB284" s="1069"/>
      <c r="HZC284" s="1069"/>
      <c r="HZD284" s="1069"/>
      <c r="HZE284" s="1069"/>
      <c r="HZF284" s="1069"/>
      <c r="HZG284" s="1069"/>
      <c r="HZH284" s="1069"/>
      <c r="HZI284" s="1069"/>
      <c r="HZJ284" s="1069"/>
      <c r="HZK284" s="1069"/>
      <c r="HZL284" s="1069"/>
      <c r="HZM284" s="1069"/>
      <c r="HZN284" s="1069"/>
      <c r="HZO284" s="1069"/>
      <c r="HZP284" s="1069"/>
      <c r="HZQ284" s="1069"/>
      <c r="HZR284" s="1069"/>
      <c r="HZS284" s="1069"/>
      <c r="HZT284" s="1069"/>
      <c r="HZU284" s="1069"/>
      <c r="HZV284" s="1069"/>
      <c r="HZW284" s="1069"/>
      <c r="HZX284" s="1069"/>
      <c r="HZY284" s="1069"/>
      <c r="HZZ284" s="1069"/>
      <c r="IAA284" s="1069"/>
      <c r="IAB284" s="1069"/>
      <c r="IAC284" s="1069"/>
      <c r="IAD284" s="1069"/>
      <c r="IAE284" s="1069"/>
      <c r="IAF284" s="1069"/>
      <c r="IAG284" s="1069"/>
      <c r="IAH284" s="1069"/>
      <c r="IAI284" s="1069"/>
      <c r="IAJ284" s="1069"/>
      <c r="IAK284" s="1069"/>
      <c r="IAL284" s="1069"/>
      <c r="IAM284" s="1069"/>
      <c r="IAN284" s="1069"/>
      <c r="IAO284" s="1069"/>
      <c r="IAP284" s="1069"/>
      <c r="IAQ284" s="1069"/>
      <c r="IAR284" s="1069"/>
      <c r="IAS284" s="1069"/>
      <c r="IAT284" s="1069"/>
      <c r="IAU284" s="1069"/>
      <c r="IAV284" s="1069"/>
      <c r="IAW284" s="1069"/>
      <c r="IAX284" s="1069"/>
      <c r="IAY284" s="1069"/>
      <c r="IAZ284" s="1069"/>
      <c r="IBA284" s="1069"/>
      <c r="IBB284" s="1069"/>
      <c r="IBC284" s="1069"/>
      <c r="IBD284" s="1069"/>
      <c r="IBE284" s="1069"/>
      <c r="IBF284" s="1069"/>
      <c r="IBG284" s="1069"/>
      <c r="IBH284" s="1069"/>
      <c r="IBI284" s="1069"/>
      <c r="IBJ284" s="1069"/>
      <c r="IBK284" s="1069"/>
      <c r="IBL284" s="1069"/>
      <c r="IBM284" s="1069"/>
      <c r="IBN284" s="1069"/>
      <c r="IBO284" s="1069"/>
      <c r="IBP284" s="1069"/>
      <c r="IBQ284" s="1069"/>
      <c r="IBR284" s="1069"/>
      <c r="IBS284" s="1069"/>
      <c r="IBT284" s="1069"/>
      <c r="IBU284" s="1069"/>
      <c r="IBV284" s="1069"/>
      <c r="IBW284" s="1069"/>
      <c r="IBX284" s="1069"/>
      <c r="IBY284" s="1069"/>
      <c r="IBZ284" s="1069"/>
      <c r="ICA284" s="1069"/>
      <c r="ICB284" s="1069"/>
      <c r="ICC284" s="1069"/>
      <c r="ICD284" s="1069"/>
      <c r="ICE284" s="1069"/>
      <c r="ICF284" s="1069"/>
      <c r="ICG284" s="1069"/>
      <c r="ICH284" s="1069"/>
      <c r="ICI284" s="1069"/>
      <c r="ICJ284" s="1069"/>
      <c r="ICK284" s="1069"/>
      <c r="ICL284" s="1069"/>
      <c r="ICM284" s="1069"/>
      <c r="ICN284" s="1069"/>
      <c r="ICO284" s="1069"/>
      <c r="ICP284" s="1069"/>
      <c r="ICQ284" s="1069"/>
      <c r="ICR284" s="1069"/>
      <c r="ICS284" s="1069"/>
      <c r="ICT284" s="1069"/>
      <c r="ICU284" s="1069"/>
      <c r="ICV284" s="1069"/>
      <c r="ICW284" s="1069"/>
      <c r="ICX284" s="1069"/>
      <c r="ICY284" s="1069"/>
      <c r="ICZ284" s="1069"/>
      <c r="IDA284" s="1069"/>
      <c r="IDB284" s="1069"/>
      <c r="IDC284" s="1069"/>
      <c r="IDD284" s="1069"/>
      <c r="IDE284" s="1069"/>
      <c r="IDF284" s="1069"/>
      <c r="IDG284" s="1069"/>
      <c r="IDH284" s="1069"/>
      <c r="IDI284" s="1069"/>
      <c r="IDJ284" s="1069"/>
      <c r="IDK284" s="1069"/>
      <c r="IDL284" s="1069"/>
      <c r="IDM284" s="1069"/>
      <c r="IDN284" s="1069"/>
      <c r="IDO284" s="1069"/>
      <c r="IDP284" s="1069"/>
      <c r="IDQ284" s="1069"/>
      <c r="IDR284" s="1069"/>
      <c r="IDS284" s="1069"/>
      <c r="IDT284" s="1069"/>
      <c r="IDU284" s="1069"/>
      <c r="IDV284" s="1069"/>
      <c r="IDW284" s="1069"/>
      <c r="IDX284" s="1069"/>
      <c r="IDY284" s="1069"/>
      <c r="IDZ284" s="1069"/>
      <c r="IEA284" s="1069"/>
      <c r="IEB284" s="1069"/>
      <c r="IEC284" s="1069"/>
      <c r="IED284" s="1069"/>
      <c r="IEE284" s="1069"/>
      <c r="IEF284" s="1069"/>
      <c r="IEG284" s="1069"/>
      <c r="IEH284" s="1069"/>
      <c r="IEI284" s="1069"/>
      <c r="IEJ284" s="1069"/>
      <c r="IEK284" s="1069"/>
      <c r="IEL284" s="1069"/>
      <c r="IEM284" s="1069"/>
      <c r="IEN284" s="1069"/>
      <c r="IEO284" s="1069"/>
      <c r="IEP284" s="1069"/>
      <c r="IEQ284" s="1069"/>
      <c r="IER284" s="1069"/>
      <c r="IES284" s="1069"/>
      <c r="IET284" s="1069"/>
      <c r="IEU284" s="1069"/>
      <c r="IEV284" s="1069"/>
      <c r="IEW284" s="1069"/>
      <c r="IEX284" s="1069"/>
      <c r="IEY284" s="1069"/>
      <c r="IEZ284" s="1069"/>
      <c r="IFA284" s="1069"/>
      <c r="IFB284" s="1069"/>
      <c r="IFC284" s="1069"/>
      <c r="IFD284" s="1069"/>
      <c r="IFE284" s="1069"/>
      <c r="IFF284" s="1069"/>
      <c r="IFG284" s="1069"/>
      <c r="IFH284" s="1069"/>
      <c r="IFI284" s="1069"/>
      <c r="IFJ284" s="1069"/>
      <c r="IFK284" s="1069"/>
      <c r="IFL284" s="1069"/>
      <c r="IFM284" s="1069"/>
      <c r="IFN284" s="1069"/>
      <c r="IFO284" s="1069"/>
      <c r="IFP284" s="1069"/>
      <c r="IFQ284" s="1069"/>
      <c r="IFR284" s="1069"/>
      <c r="IFS284" s="1069"/>
      <c r="IFT284" s="1069"/>
      <c r="IFU284" s="1069"/>
      <c r="IFV284" s="1069"/>
      <c r="IFW284" s="1069"/>
      <c r="IFX284" s="1069"/>
      <c r="IFY284" s="1069"/>
      <c r="IFZ284" s="1069"/>
      <c r="IGA284" s="1069"/>
      <c r="IGB284" s="1069"/>
      <c r="IGC284" s="1069"/>
      <c r="IGD284" s="1069"/>
      <c r="IGE284" s="1069"/>
      <c r="IGF284" s="1069"/>
      <c r="IGG284" s="1069"/>
      <c r="IGH284" s="1069"/>
      <c r="IGI284" s="1069"/>
      <c r="IGJ284" s="1069"/>
      <c r="IGK284" s="1069"/>
      <c r="IGL284" s="1069"/>
      <c r="IGM284" s="1069"/>
      <c r="IGN284" s="1069"/>
      <c r="IGO284" s="1069"/>
      <c r="IGP284" s="1069"/>
      <c r="IGQ284" s="1069"/>
      <c r="IGR284" s="1069"/>
      <c r="IGS284" s="1069"/>
      <c r="IGT284" s="1069"/>
      <c r="IGU284" s="1069"/>
      <c r="IGV284" s="1069"/>
      <c r="IGW284" s="1069"/>
      <c r="IGX284" s="1069"/>
      <c r="IGY284" s="1069"/>
      <c r="IGZ284" s="1069"/>
      <c r="IHA284" s="1069"/>
      <c r="IHB284" s="1069"/>
      <c r="IHC284" s="1069"/>
      <c r="IHD284" s="1069"/>
      <c r="IHE284" s="1069"/>
      <c r="IHF284" s="1069"/>
      <c r="IHG284" s="1069"/>
      <c r="IHH284" s="1069"/>
      <c r="IHI284" s="1069"/>
      <c r="IHJ284" s="1069"/>
      <c r="IHK284" s="1069"/>
      <c r="IHL284" s="1069"/>
      <c r="IHM284" s="1069"/>
      <c r="IHN284" s="1069"/>
      <c r="IHO284" s="1069"/>
      <c r="IHP284" s="1069"/>
      <c r="IHQ284" s="1069"/>
      <c r="IHR284" s="1069"/>
      <c r="IHS284" s="1069"/>
      <c r="IHT284" s="1069"/>
      <c r="IHU284" s="1069"/>
      <c r="IHV284" s="1069"/>
      <c r="IHW284" s="1069"/>
      <c r="IHX284" s="1069"/>
      <c r="IHY284" s="1069"/>
      <c r="IHZ284" s="1069"/>
      <c r="IIA284" s="1069"/>
      <c r="IIB284" s="1069"/>
      <c r="IIC284" s="1069"/>
      <c r="IID284" s="1069"/>
      <c r="IIE284" s="1069"/>
      <c r="IIF284" s="1069"/>
      <c r="IIG284" s="1069"/>
      <c r="IIH284" s="1069"/>
      <c r="III284" s="1069"/>
      <c r="IIJ284" s="1069"/>
      <c r="IIK284" s="1069"/>
      <c r="IIL284" s="1069"/>
      <c r="IIM284" s="1069"/>
      <c r="IIN284" s="1069"/>
      <c r="IIO284" s="1069"/>
      <c r="IIP284" s="1069"/>
      <c r="IIQ284" s="1069"/>
      <c r="IIR284" s="1069"/>
      <c r="IIS284" s="1069"/>
      <c r="IIT284" s="1069"/>
      <c r="IIU284" s="1069"/>
      <c r="IIV284" s="1069"/>
      <c r="IIW284" s="1069"/>
      <c r="IIX284" s="1069"/>
      <c r="IIY284" s="1069"/>
      <c r="IIZ284" s="1069"/>
      <c r="IJA284" s="1069"/>
      <c r="IJB284" s="1069"/>
      <c r="IJC284" s="1069"/>
      <c r="IJD284" s="1069"/>
      <c r="IJE284" s="1069"/>
      <c r="IJF284" s="1069"/>
      <c r="IJG284" s="1069"/>
      <c r="IJH284" s="1069"/>
      <c r="IJI284" s="1069"/>
      <c r="IJJ284" s="1069"/>
      <c r="IJK284" s="1069"/>
      <c r="IJL284" s="1069"/>
      <c r="IJM284" s="1069"/>
      <c r="IJN284" s="1069"/>
      <c r="IJO284" s="1069"/>
      <c r="IJP284" s="1069"/>
      <c r="IJQ284" s="1069"/>
      <c r="IJR284" s="1069"/>
      <c r="IJS284" s="1069"/>
      <c r="IJT284" s="1069"/>
      <c r="IJU284" s="1069"/>
      <c r="IJV284" s="1069"/>
      <c r="IJW284" s="1069"/>
      <c r="IJX284" s="1069"/>
      <c r="IJY284" s="1069"/>
      <c r="IJZ284" s="1069"/>
      <c r="IKA284" s="1069"/>
      <c r="IKB284" s="1069"/>
      <c r="IKC284" s="1069"/>
      <c r="IKD284" s="1069"/>
      <c r="IKE284" s="1069"/>
      <c r="IKF284" s="1069"/>
      <c r="IKG284" s="1069"/>
      <c r="IKH284" s="1069"/>
      <c r="IKI284" s="1069"/>
      <c r="IKJ284" s="1069"/>
      <c r="IKK284" s="1069"/>
      <c r="IKL284" s="1069"/>
      <c r="IKM284" s="1069"/>
      <c r="IKN284" s="1069"/>
      <c r="IKO284" s="1069"/>
      <c r="IKP284" s="1069"/>
      <c r="IKQ284" s="1069"/>
      <c r="IKR284" s="1069"/>
      <c r="IKS284" s="1069"/>
      <c r="IKT284" s="1069"/>
      <c r="IKU284" s="1069"/>
      <c r="IKV284" s="1069"/>
      <c r="IKW284" s="1069"/>
      <c r="IKX284" s="1069"/>
      <c r="IKY284" s="1069"/>
      <c r="IKZ284" s="1069"/>
      <c r="ILA284" s="1069"/>
      <c r="ILB284" s="1069"/>
      <c r="ILC284" s="1069"/>
      <c r="ILD284" s="1069"/>
      <c r="ILE284" s="1069"/>
      <c r="ILF284" s="1069"/>
      <c r="ILG284" s="1069"/>
      <c r="ILH284" s="1069"/>
      <c r="ILI284" s="1069"/>
      <c r="ILJ284" s="1069"/>
      <c r="ILK284" s="1069"/>
      <c r="ILL284" s="1069"/>
      <c r="ILM284" s="1069"/>
      <c r="ILN284" s="1069"/>
      <c r="ILO284" s="1069"/>
      <c r="ILP284" s="1069"/>
      <c r="ILQ284" s="1069"/>
      <c r="ILR284" s="1069"/>
      <c r="ILS284" s="1069"/>
      <c r="ILT284" s="1069"/>
      <c r="ILU284" s="1069"/>
      <c r="ILV284" s="1069"/>
      <c r="ILW284" s="1069"/>
      <c r="ILX284" s="1069"/>
      <c r="ILY284" s="1069"/>
      <c r="ILZ284" s="1069"/>
      <c r="IMA284" s="1069"/>
      <c r="IMB284" s="1069"/>
      <c r="IMC284" s="1069"/>
      <c r="IMD284" s="1069"/>
      <c r="IME284" s="1069"/>
      <c r="IMF284" s="1069"/>
      <c r="IMG284" s="1069"/>
      <c r="IMH284" s="1069"/>
      <c r="IMI284" s="1069"/>
      <c r="IMJ284" s="1069"/>
      <c r="IMK284" s="1069"/>
      <c r="IML284" s="1069"/>
      <c r="IMM284" s="1069"/>
      <c r="IMN284" s="1069"/>
      <c r="IMO284" s="1069"/>
      <c r="IMP284" s="1069"/>
      <c r="IMQ284" s="1069"/>
      <c r="IMR284" s="1069"/>
      <c r="IMS284" s="1069"/>
      <c r="IMT284" s="1069"/>
      <c r="IMU284" s="1069"/>
      <c r="IMV284" s="1069"/>
      <c r="IMW284" s="1069"/>
      <c r="IMX284" s="1069"/>
      <c r="IMY284" s="1069"/>
      <c r="IMZ284" s="1069"/>
      <c r="INA284" s="1069"/>
      <c r="INB284" s="1069"/>
      <c r="INC284" s="1069"/>
      <c r="IND284" s="1069"/>
      <c r="INE284" s="1069"/>
      <c r="INF284" s="1069"/>
      <c r="ING284" s="1069"/>
      <c r="INH284" s="1069"/>
      <c r="INI284" s="1069"/>
      <c r="INJ284" s="1069"/>
      <c r="INK284" s="1069"/>
      <c r="INL284" s="1069"/>
      <c r="INM284" s="1069"/>
      <c r="INN284" s="1069"/>
      <c r="INO284" s="1069"/>
      <c r="INP284" s="1069"/>
      <c r="INQ284" s="1069"/>
      <c r="INR284" s="1069"/>
      <c r="INS284" s="1069"/>
      <c r="INT284" s="1069"/>
      <c r="INU284" s="1069"/>
      <c r="INV284" s="1069"/>
      <c r="INW284" s="1069"/>
      <c r="INX284" s="1069"/>
      <c r="INY284" s="1069"/>
      <c r="INZ284" s="1069"/>
      <c r="IOA284" s="1069"/>
      <c r="IOB284" s="1069"/>
      <c r="IOC284" s="1069"/>
      <c r="IOD284" s="1069"/>
      <c r="IOE284" s="1069"/>
      <c r="IOF284" s="1069"/>
      <c r="IOG284" s="1069"/>
      <c r="IOH284" s="1069"/>
      <c r="IOI284" s="1069"/>
      <c r="IOJ284" s="1069"/>
      <c r="IOK284" s="1069"/>
      <c r="IOL284" s="1069"/>
      <c r="IOM284" s="1069"/>
      <c r="ION284" s="1069"/>
      <c r="IOO284" s="1069"/>
      <c r="IOP284" s="1069"/>
      <c r="IOQ284" s="1069"/>
      <c r="IOR284" s="1069"/>
      <c r="IOS284" s="1069"/>
      <c r="IOT284" s="1069"/>
      <c r="IOU284" s="1069"/>
      <c r="IOV284" s="1069"/>
      <c r="IOW284" s="1069"/>
      <c r="IOX284" s="1069"/>
      <c r="IOY284" s="1069"/>
      <c r="IOZ284" s="1069"/>
      <c r="IPA284" s="1069"/>
      <c r="IPB284" s="1069"/>
      <c r="IPC284" s="1069"/>
      <c r="IPD284" s="1069"/>
      <c r="IPE284" s="1069"/>
      <c r="IPF284" s="1069"/>
      <c r="IPG284" s="1069"/>
      <c r="IPH284" s="1069"/>
      <c r="IPI284" s="1069"/>
      <c r="IPJ284" s="1069"/>
      <c r="IPK284" s="1069"/>
      <c r="IPL284" s="1069"/>
      <c r="IPM284" s="1069"/>
      <c r="IPN284" s="1069"/>
      <c r="IPO284" s="1069"/>
      <c r="IPP284" s="1069"/>
      <c r="IPQ284" s="1069"/>
      <c r="IPR284" s="1069"/>
      <c r="IPS284" s="1069"/>
      <c r="IPT284" s="1069"/>
      <c r="IPU284" s="1069"/>
      <c r="IPV284" s="1069"/>
      <c r="IPW284" s="1069"/>
      <c r="IPX284" s="1069"/>
      <c r="IPY284" s="1069"/>
      <c r="IPZ284" s="1069"/>
      <c r="IQA284" s="1069"/>
      <c r="IQB284" s="1069"/>
      <c r="IQC284" s="1069"/>
      <c r="IQD284" s="1069"/>
      <c r="IQE284" s="1069"/>
      <c r="IQF284" s="1069"/>
      <c r="IQG284" s="1069"/>
      <c r="IQH284" s="1069"/>
      <c r="IQI284" s="1069"/>
      <c r="IQJ284" s="1069"/>
      <c r="IQK284" s="1069"/>
      <c r="IQL284" s="1069"/>
      <c r="IQM284" s="1069"/>
      <c r="IQN284" s="1069"/>
      <c r="IQO284" s="1069"/>
      <c r="IQP284" s="1069"/>
      <c r="IQQ284" s="1069"/>
      <c r="IQR284" s="1069"/>
      <c r="IQS284" s="1069"/>
      <c r="IQT284" s="1069"/>
      <c r="IQU284" s="1069"/>
      <c r="IQV284" s="1069"/>
      <c r="IQW284" s="1069"/>
      <c r="IQX284" s="1069"/>
      <c r="IQY284" s="1069"/>
      <c r="IQZ284" s="1069"/>
      <c r="IRA284" s="1069"/>
      <c r="IRB284" s="1069"/>
      <c r="IRC284" s="1069"/>
      <c r="IRD284" s="1069"/>
      <c r="IRE284" s="1069"/>
      <c r="IRF284" s="1069"/>
      <c r="IRG284" s="1069"/>
      <c r="IRH284" s="1069"/>
      <c r="IRI284" s="1069"/>
      <c r="IRJ284" s="1069"/>
      <c r="IRK284" s="1069"/>
      <c r="IRL284" s="1069"/>
      <c r="IRM284" s="1069"/>
      <c r="IRN284" s="1069"/>
      <c r="IRO284" s="1069"/>
      <c r="IRP284" s="1069"/>
      <c r="IRQ284" s="1069"/>
      <c r="IRR284" s="1069"/>
      <c r="IRS284" s="1069"/>
      <c r="IRT284" s="1069"/>
      <c r="IRU284" s="1069"/>
      <c r="IRV284" s="1069"/>
      <c r="IRW284" s="1069"/>
      <c r="IRX284" s="1069"/>
      <c r="IRY284" s="1069"/>
      <c r="IRZ284" s="1069"/>
      <c r="ISA284" s="1069"/>
      <c r="ISB284" s="1069"/>
      <c r="ISC284" s="1069"/>
      <c r="ISD284" s="1069"/>
      <c r="ISE284" s="1069"/>
      <c r="ISF284" s="1069"/>
      <c r="ISG284" s="1069"/>
      <c r="ISH284" s="1069"/>
      <c r="ISI284" s="1069"/>
      <c r="ISJ284" s="1069"/>
      <c r="ISK284" s="1069"/>
      <c r="ISL284" s="1069"/>
      <c r="ISM284" s="1069"/>
      <c r="ISN284" s="1069"/>
      <c r="ISO284" s="1069"/>
      <c r="ISP284" s="1069"/>
      <c r="ISQ284" s="1069"/>
      <c r="ISR284" s="1069"/>
      <c r="ISS284" s="1069"/>
      <c r="IST284" s="1069"/>
      <c r="ISU284" s="1069"/>
      <c r="ISV284" s="1069"/>
      <c r="ISW284" s="1069"/>
      <c r="ISX284" s="1069"/>
      <c r="ISY284" s="1069"/>
      <c r="ISZ284" s="1069"/>
      <c r="ITA284" s="1069"/>
      <c r="ITB284" s="1069"/>
      <c r="ITC284" s="1069"/>
      <c r="ITD284" s="1069"/>
      <c r="ITE284" s="1069"/>
      <c r="ITF284" s="1069"/>
      <c r="ITG284" s="1069"/>
      <c r="ITH284" s="1069"/>
      <c r="ITI284" s="1069"/>
      <c r="ITJ284" s="1069"/>
      <c r="ITK284" s="1069"/>
      <c r="ITL284" s="1069"/>
      <c r="ITM284" s="1069"/>
      <c r="ITN284" s="1069"/>
      <c r="ITO284" s="1069"/>
      <c r="ITP284" s="1069"/>
      <c r="ITQ284" s="1069"/>
      <c r="ITR284" s="1069"/>
      <c r="ITS284" s="1069"/>
      <c r="ITT284" s="1069"/>
      <c r="ITU284" s="1069"/>
      <c r="ITV284" s="1069"/>
      <c r="ITW284" s="1069"/>
      <c r="ITX284" s="1069"/>
      <c r="ITY284" s="1069"/>
      <c r="ITZ284" s="1069"/>
      <c r="IUA284" s="1069"/>
      <c r="IUB284" s="1069"/>
      <c r="IUC284" s="1069"/>
      <c r="IUD284" s="1069"/>
      <c r="IUE284" s="1069"/>
      <c r="IUF284" s="1069"/>
      <c r="IUG284" s="1069"/>
      <c r="IUH284" s="1069"/>
      <c r="IUI284" s="1069"/>
      <c r="IUJ284" s="1069"/>
      <c r="IUK284" s="1069"/>
      <c r="IUL284" s="1069"/>
      <c r="IUM284" s="1069"/>
      <c r="IUN284" s="1069"/>
      <c r="IUO284" s="1069"/>
      <c r="IUP284" s="1069"/>
      <c r="IUQ284" s="1069"/>
      <c r="IUR284" s="1069"/>
      <c r="IUS284" s="1069"/>
      <c r="IUT284" s="1069"/>
      <c r="IUU284" s="1069"/>
      <c r="IUV284" s="1069"/>
      <c r="IUW284" s="1069"/>
      <c r="IUX284" s="1069"/>
      <c r="IUY284" s="1069"/>
      <c r="IUZ284" s="1069"/>
      <c r="IVA284" s="1069"/>
      <c r="IVB284" s="1069"/>
      <c r="IVC284" s="1069"/>
      <c r="IVD284" s="1069"/>
      <c r="IVE284" s="1069"/>
      <c r="IVF284" s="1069"/>
      <c r="IVG284" s="1069"/>
      <c r="IVH284" s="1069"/>
      <c r="IVI284" s="1069"/>
      <c r="IVJ284" s="1069"/>
      <c r="IVK284" s="1069"/>
      <c r="IVL284" s="1069"/>
      <c r="IVM284" s="1069"/>
      <c r="IVN284" s="1069"/>
      <c r="IVO284" s="1069"/>
      <c r="IVP284" s="1069"/>
      <c r="IVQ284" s="1069"/>
      <c r="IVR284" s="1069"/>
      <c r="IVS284" s="1069"/>
      <c r="IVT284" s="1069"/>
      <c r="IVU284" s="1069"/>
      <c r="IVV284" s="1069"/>
      <c r="IVW284" s="1069"/>
      <c r="IVX284" s="1069"/>
      <c r="IVY284" s="1069"/>
      <c r="IVZ284" s="1069"/>
      <c r="IWA284" s="1069"/>
      <c r="IWB284" s="1069"/>
      <c r="IWC284" s="1069"/>
      <c r="IWD284" s="1069"/>
      <c r="IWE284" s="1069"/>
      <c r="IWF284" s="1069"/>
      <c r="IWG284" s="1069"/>
      <c r="IWH284" s="1069"/>
      <c r="IWI284" s="1069"/>
      <c r="IWJ284" s="1069"/>
      <c r="IWK284" s="1069"/>
      <c r="IWL284" s="1069"/>
      <c r="IWM284" s="1069"/>
      <c r="IWN284" s="1069"/>
      <c r="IWO284" s="1069"/>
      <c r="IWP284" s="1069"/>
      <c r="IWQ284" s="1069"/>
      <c r="IWR284" s="1069"/>
      <c r="IWS284" s="1069"/>
      <c r="IWT284" s="1069"/>
      <c r="IWU284" s="1069"/>
      <c r="IWV284" s="1069"/>
      <c r="IWW284" s="1069"/>
      <c r="IWX284" s="1069"/>
      <c r="IWY284" s="1069"/>
      <c r="IWZ284" s="1069"/>
      <c r="IXA284" s="1069"/>
      <c r="IXB284" s="1069"/>
      <c r="IXC284" s="1069"/>
      <c r="IXD284" s="1069"/>
      <c r="IXE284" s="1069"/>
      <c r="IXF284" s="1069"/>
      <c r="IXG284" s="1069"/>
      <c r="IXH284" s="1069"/>
      <c r="IXI284" s="1069"/>
      <c r="IXJ284" s="1069"/>
      <c r="IXK284" s="1069"/>
      <c r="IXL284" s="1069"/>
      <c r="IXM284" s="1069"/>
      <c r="IXN284" s="1069"/>
      <c r="IXO284" s="1069"/>
      <c r="IXP284" s="1069"/>
      <c r="IXQ284" s="1069"/>
      <c r="IXR284" s="1069"/>
      <c r="IXS284" s="1069"/>
      <c r="IXT284" s="1069"/>
      <c r="IXU284" s="1069"/>
      <c r="IXV284" s="1069"/>
      <c r="IXW284" s="1069"/>
      <c r="IXX284" s="1069"/>
      <c r="IXY284" s="1069"/>
      <c r="IXZ284" s="1069"/>
      <c r="IYA284" s="1069"/>
      <c r="IYB284" s="1069"/>
      <c r="IYC284" s="1069"/>
      <c r="IYD284" s="1069"/>
      <c r="IYE284" s="1069"/>
      <c r="IYF284" s="1069"/>
      <c r="IYG284" s="1069"/>
      <c r="IYH284" s="1069"/>
      <c r="IYI284" s="1069"/>
      <c r="IYJ284" s="1069"/>
      <c r="IYK284" s="1069"/>
      <c r="IYL284" s="1069"/>
      <c r="IYM284" s="1069"/>
      <c r="IYN284" s="1069"/>
      <c r="IYO284" s="1069"/>
      <c r="IYP284" s="1069"/>
      <c r="IYQ284" s="1069"/>
      <c r="IYR284" s="1069"/>
      <c r="IYS284" s="1069"/>
      <c r="IYT284" s="1069"/>
      <c r="IYU284" s="1069"/>
      <c r="IYV284" s="1069"/>
      <c r="IYW284" s="1069"/>
      <c r="IYX284" s="1069"/>
      <c r="IYY284" s="1069"/>
      <c r="IYZ284" s="1069"/>
      <c r="IZA284" s="1069"/>
      <c r="IZB284" s="1069"/>
      <c r="IZC284" s="1069"/>
      <c r="IZD284" s="1069"/>
      <c r="IZE284" s="1069"/>
      <c r="IZF284" s="1069"/>
      <c r="IZG284" s="1069"/>
      <c r="IZH284" s="1069"/>
      <c r="IZI284" s="1069"/>
      <c r="IZJ284" s="1069"/>
      <c r="IZK284" s="1069"/>
      <c r="IZL284" s="1069"/>
      <c r="IZM284" s="1069"/>
      <c r="IZN284" s="1069"/>
      <c r="IZO284" s="1069"/>
      <c r="IZP284" s="1069"/>
      <c r="IZQ284" s="1069"/>
      <c r="IZR284" s="1069"/>
      <c r="IZS284" s="1069"/>
      <c r="IZT284" s="1069"/>
      <c r="IZU284" s="1069"/>
      <c r="IZV284" s="1069"/>
      <c r="IZW284" s="1069"/>
      <c r="IZX284" s="1069"/>
      <c r="IZY284" s="1069"/>
      <c r="IZZ284" s="1069"/>
      <c r="JAA284" s="1069"/>
      <c r="JAB284" s="1069"/>
      <c r="JAC284" s="1069"/>
      <c r="JAD284" s="1069"/>
      <c r="JAE284" s="1069"/>
      <c r="JAF284" s="1069"/>
      <c r="JAG284" s="1069"/>
      <c r="JAH284" s="1069"/>
      <c r="JAI284" s="1069"/>
      <c r="JAJ284" s="1069"/>
      <c r="JAK284" s="1069"/>
      <c r="JAL284" s="1069"/>
      <c r="JAM284" s="1069"/>
      <c r="JAN284" s="1069"/>
      <c r="JAO284" s="1069"/>
      <c r="JAP284" s="1069"/>
      <c r="JAQ284" s="1069"/>
      <c r="JAR284" s="1069"/>
      <c r="JAS284" s="1069"/>
      <c r="JAT284" s="1069"/>
      <c r="JAU284" s="1069"/>
      <c r="JAV284" s="1069"/>
      <c r="JAW284" s="1069"/>
      <c r="JAX284" s="1069"/>
      <c r="JAY284" s="1069"/>
      <c r="JAZ284" s="1069"/>
      <c r="JBA284" s="1069"/>
      <c r="JBB284" s="1069"/>
      <c r="JBC284" s="1069"/>
      <c r="JBD284" s="1069"/>
      <c r="JBE284" s="1069"/>
      <c r="JBF284" s="1069"/>
      <c r="JBG284" s="1069"/>
      <c r="JBH284" s="1069"/>
      <c r="JBI284" s="1069"/>
      <c r="JBJ284" s="1069"/>
      <c r="JBK284" s="1069"/>
      <c r="JBL284" s="1069"/>
      <c r="JBM284" s="1069"/>
      <c r="JBN284" s="1069"/>
      <c r="JBO284" s="1069"/>
      <c r="JBP284" s="1069"/>
      <c r="JBQ284" s="1069"/>
      <c r="JBR284" s="1069"/>
      <c r="JBS284" s="1069"/>
      <c r="JBT284" s="1069"/>
      <c r="JBU284" s="1069"/>
      <c r="JBV284" s="1069"/>
      <c r="JBW284" s="1069"/>
      <c r="JBX284" s="1069"/>
      <c r="JBY284" s="1069"/>
      <c r="JBZ284" s="1069"/>
      <c r="JCA284" s="1069"/>
      <c r="JCB284" s="1069"/>
      <c r="JCC284" s="1069"/>
      <c r="JCD284" s="1069"/>
      <c r="JCE284" s="1069"/>
      <c r="JCF284" s="1069"/>
      <c r="JCG284" s="1069"/>
      <c r="JCH284" s="1069"/>
      <c r="JCI284" s="1069"/>
      <c r="JCJ284" s="1069"/>
      <c r="JCK284" s="1069"/>
      <c r="JCL284" s="1069"/>
      <c r="JCM284" s="1069"/>
      <c r="JCN284" s="1069"/>
      <c r="JCO284" s="1069"/>
      <c r="JCP284" s="1069"/>
      <c r="JCQ284" s="1069"/>
      <c r="JCR284" s="1069"/>
      <c r="JCS284" s="1069"/>
      <c r="JCT284" s="1069"/>
      <c r="JCU284" s="1069"/>
      <c r="JCV284" s="1069"/>
      <c r="JCW284" s="1069"/>
      <c r="JCX284" s="1069"/>
      <c r="JCY284" s="1069"/>
      <c r="JCZ284" s="1069"/>
      <c r="JDA284" s="1069"/>
      <c r="JDB284" s="1069"/>
      <c r="JDC284" s="1069"/>
      <c r="JDD284" s="1069"/>
      <c r="JDE284" s="1069"/>
      <c r="JDF284" s="1069"/>
      <c r="JDG284" s="1069"/>
      <c r="JDH284" s="1069"/>
      <c r="JDI284" s="1069"/>
      <c r="JDJ284" s="1069"/>
      <c r="JDK284" s="1069"/>
      <c r="JDL284" s="1069"/>
      <c r="JDM284" s="1069"/>
      <c r="JDN284" s="1069"/>
      <c r="JDO284" s="1069"/>
      <c r="JDP284" s="1069"/>
      <c r="JDQ284" s="1069"/>
      <c r="JDR284" s="1069"/>
      <c r="JDS284" s="1069"/>
      <c r="JDT284" s="1069"/>
      <c r="JDU284" s="1069"/>
      <c r="JDV284" s="1069"/>
      <c r="JDW284" s="1069"/>
      <c r="JDX284" s="1069"/>
      <c r="JDY284" s="1069"/>
      <c r="JDZ284" s="1069"/>
      <c r="JEA284" s="1069"/>
      <c r="JEB284" s="1069"/>
      <c r="JEC284" s="1069"/>
      <c r="JED284" s="1069"/>
      <c r="JEE284" s="1069"/>
      <c r="JEF284" s="1069"/>
      <c r="JEG284" s="1069"/>
      <c r="JEH284" s="1069"/>
      <c r="JEI284" s="1069"/>
      <c r="JEJ284" s="1069"/>
      <c r="JEK284" s="1069"/>
      <c r="JEL284" s="1069"/>
      <c r="JEM284" s="1069"/>
      <c r="JEN284" s="1069"/>
      <c r="JEO284" s="1069"/>
      <c r="JEP284" s="1069"/>
      <c r="JEQ284" s="1069"/>
      <c r="JER284" s="1069"/>
      <c r="JES284" s="1069"/>
      <c r="JET284" s="1069"/>
      <c r="JEU284" s="1069"/>
      <c r="JEV284" s="1069"/>
      <c r="JEW284" s="1069"/>
      <c r="JEX284" s="1069"/>
      <c r="JEY284" s="1069"/>
      <c r="JEZ284" s="1069"/>
      <c r="JFA284" s="1069"/>
      <c r="JFB284" s="1069"/>
      <c r="JFC284" s="1069"/>
      <c r="JFD284" s="1069"/>
      <c r="JFE284" s="1069"/>
      <c r="JFF284" s="1069"/>
      <c r="JFG284" s="1069"/>
      <c r="JFH284" s="1069"/>
      <c r="JFI284" s="1069"/>
      <c r="JFJ284" s="1069"/>
      <c r="JFK284" s="1069"/>
      <c r="JFL284" s="1069"/>
      <c r="JFM284" s="1069"/>
      <c r="JFN284" s="1069"/>
      <c r="JFO284" s="1069"/>
      <c r="JFP284" s="1069"/>
      <c r="JFQ284" s="1069"/>
      <c r="JFR284" s="1069"/>
      <c r="JFS284" s="1069"/>
      <c r="JFT284" s="1069"/>
      <c r="JFU284" s="1069"/>
      <c r="JFV284" s="1069"/>
      <c r="JFW284" s="1069"/>
      <c r="JFX284" s="1069"/>
      <c r="JFY284" s="1069"/>
      <c r="JFZ284" s="1069"/>
      <c r="JGA284" s="1069"/>
      <c r="JGB284" s="1069"/>
      <c r="JGC284" s="1069"/>
      <c r="JGD284" s="1069"/>
      <c r="JGE284" s="1069"/>
      <c r="JGF284" s="1069"/>
      <c r="JGG284" s="1069"/>
      <c r="JGH284" s="1069"/>
      <c r="JGI284" s="1069"/>
      <c r="JGJ284" s="1069"/>
      <c r="JGK284" s="1069"/>
      <c r="JGL284" s="1069"/>
      <c r="JGM284" s="1069"/>
      <c r="JGN284" s="1069"/>
      <c r="JGO284" s="1069"/>
      <c r="JGP284" s="1069"/>
      <c r="JGQ284" s="1069"/>
      <c r="JGR284" s="1069"/>
      <c r="JGS284" s="1069"/>
      <c r="JGT284" s="1069"/>
      <c r="JGU284" s="1069"/>
      <c r="JGV284" s="1069"/>
      <c r="JGW284" s="1069"/>
      <c r="JGX284" s="1069"/>
      <c r="JGY284" s="1069"/>
      <c r="JGZ284" s="1069"/>
      <c r="JHA284" s="1069"/>
      <c r="JHB284" s="1069"/>
      <c r="JHC284" s="1069"/>
      <c r="JHD284" s="1069"/>
      <c r="JHE284" s="1069"/>
      <c r="JHF284" s="1069"/>
      <c r="JHG284" s="1069"/>
      <c r="JHH284" s="1069"/>
      <c r="JHI284" s="1069"/>
      <c r="JHJ284" s="1069"/>
      <c r="JHK284" s="1069"/>
      <c r="JHL284" s="1069"/>
      <c r="JHM284" s="1069"/>
      <c r="JHN284" s="1069"/>
      <c r="JHO284" s="1069"/>
      <c r="JHP284" s="1069"/>
      <c r="JHQ284" s="1069"/>
      <c r="JHR284" s="1069"/>
      <c r="JHS284" s="1069"/>
      <c r="JHT284" s="1069"/>
      <c r="JHU284" s="1069"/>
      <c r="JHV284" s="1069"/>
      <c r="JHW284" s="1069"/>
      <c r="JHX284" s="1069"/>
      <c r="JHY284" s="1069"/>
      <c r="JHZ284" s="1069"/>
      <c r="JIA284" s="1069"/>
      <c r="JIB284" s="1069"/>
      <c r="JIC284" s="1069"/>
      <c r="JID284" s="1069"/>
      <c r="JIE284" s="1069"/>
      <c r="JIF284" s="1069"/>
      <c r="JIG284" s="1069"/>
      <c r="JIH284" s="1069"/>
      <c r="JII284" s="1069"/>
      <c r="JIJ284" s="1069"/>
      <c r="JIK284" s="1069"/>
      <c r="JIL284" s="1069"/>
      <c r="JIM284" s="1069"/>
      <c r="JIN284" s="1069"/>
      <c r="JIO284" s="1069"/>
      <c r="JIP284" s="1069"/>
      <c r="JIQ284" s="1069"/>
      <c r="JIR284" s="1069"/>
      <c r="JIS284" s="1069"/>
      <c r="JIT284" s="1069"/>
      <c r="JIU284" s="1069"/>
      <c r="JIV284" s="1069"/>
      <c r="JIW284" s="1069"/>
      <c r="JIX284" s="1069"/>
      <c r="JIY284" s="1069"/>
      <c r="JIZ284" s="1069"/>
      <c r="JJA284" s="1069"/>
      <c r="JJB284" s="1069"/>
      <c r="JJC284" s="1069"/>
      <c r="JJD284" s="1069"/>
      <c r="JJE284" s="1069"/>
      <c r="JJF284" s="1069"/>
      <c r="JJG284" s="1069"/>
      <c r="JJH284" s="1069"/>
      <c r="JJI284" s="1069"/>
      <c r="JJJ284" s="1069"/>
      <c r="JJK284" s="1069"/>
      <c r="JJL284" s="1069"/>
      <c r="JJM284" s="1069"/>
      <c r="JJN284" s="1069"/>
      <c r="JJO284" s="1069"/>
      <c r="JJP284" s="1069"/>
      <c r="JJQ284" s="1069"/>
      <c r="JJR284" s="1069"/>
      <c r="JJS284" s="1069"/>
      <c r="JJT284" s="1069"/>
      <c r="JJU284" s="1069"/>
      <c r="JJV284" s="1069"/>
      <c r="JJW284" s="1069"/>
      <c r="JJX284" s="1069"/>
      <c r="JJY284" s="1069"/>
      <c r="JJZ284" s="1069"/>
      <c r="JKA284" s="1069"/>
      <c r="JKB284" s="1069"/>
      <c r="JKC284" s="1069"/>
      <c r="JKD284" s="1069"/>
      <c r="JKE284" s="1069"/>
      <c r="JKF284" s="1069"/>
      <c r="JKG284" s="1069"/>
      <c r="JKH284" s="1069"/>
      <c r="JKI284" s="1069"/>
      <c r="JKJ284" s="1069"/>
      <c r="JKK284" s="1069"/>
      <c r="JKL284" s="1069"/>
      <c r="JKM284" s="1069"/>
      <c r="JKN284" s="1069"/>
      <c r="JKO284" s="1069"/>
      <c r="JKP284" s="1069"/>
      <c r="JKQ284" s="1069"/>
      <c r="JKR284" s="1069"/>
      <c r="JKS284" s="1069"/>
      <c r="JKT284" s="1069"/>
      <c r="JKU284" s="1069"/>
      <c r="JKV284" s="1069"/>
      <c r="JKW284" s="1069"/>
      <c r="JKX284" s="1069"/>
      <c r="JKY284" s="1069"/>
      <c r="JKZ284" s="1069"/>
      <c r="JLA284" s="1069"/>
      <c r="JLB284" s="1069"/>
      <c r="JLC284" s="1069"/>
      <c r="JLD284" s="1069"/>
      <c r="JLE284" s="1069"/>
      <c r="JLF284" s="1069"/>
      <c r="JLG284" s="1069"/>
      <c r="JLH284" s="1069"/>
      <c r="JLI284" s="1069"/>
      <c r="JLJ284" s="1069"/>
      <c r="JLK284" s="1069"/>
      <c r="JLL284" s="1069"/>
      <c r="JLM284" s="1069"/>
      <c r="JLN284" s="1069"/>
      <c r="JLO284" s="1069"/>
      <c r="JLP284" s="1069"/>
      <c r="JLQ284" s="1069"/>
      <c r="JLR284" s="1069"/>
      <c r="JLS284" s="1069"/>
      <c r="JLT284" s="1069"/>
      <c r="JLU284" s="1069"/>
      <c r="JLV284" s="1069"/>
      <c r="JLW284" s="1069"/>
      <c r="JLX284" s="1069"/>
      <c r="JLY284" s="1069"/>
      <c r="JLZ284" s="1069"/>
      <c r="JMA284" s="1069"/>
      <c r="JMB284" s="1069"/>
      <c r="JMC284" s="1069"/>
      <c r="JMD284" s="1069"/>
      <c r="JME284" s="1069"/>
      <c r="JMF284" s="1069"/>
      <c r="JMG284" s="1069"/>
      <c r="JMH284" s="1069"/>
      <c r="JMI284" s="1069"/>
      <c r="JMJ284" s="1069"/>
      <c r="JMK284" s="1069"/>
      <c r="JML284" s="1069"/>
      <c r="JMM284" s="1069"/>
      <c r="JMN284" s="1069"/>
      <c r="JMO284" s="1069"/>
      <c r="JMP284" s="1069"/>
      <c r="JMQ284" s="1069"/>
      <c r="JMR284" s="1069"/>
      <c r="JMS284" s="1069"/>
      <c r="JMT284" s="1069"/>
      <c r="JMU284" s="1069"/>
      <c r="JMV284" s="1069"/>
      <c r="JMW284" s="1069"/>
      <c r="JMX284" s="1069"/>
      <c r="JMY284" s="1069"/>
      <c r="JMZ284" s="1069"/>
      <c r="JNA284" s="1069"/>
      <c r="JNB284" s="1069"/>
      <c r="JNC284" s="1069"/>
      <c r="JND284" s="1069"/>
      <c r="JNE284" s="1069"/>
      <c r="JNF284" s="1069"/>
      <c r="JNG284" s="1069"/>
      <c r="JNH284" s="1069"/>
      <c r="JNI284" s="1069"/>
      <c r="JNJ284" s="1069"/>
      <c r="JNK284" s="1069"/>
      <c r="JNL284" s="1069"/>
      <c r="JNM284" s="1069"/>
      <c r="JNN284" s="1069"/>
      <c r="JNO284" s="1069"/>
      <c r="JNP284" s="1069"/>
      <c r="JNQ284" s="1069"/>
      <c r="JNR284" s="1069"/>
      <c r="JNS284" s="1069"/>
      <c r="JNT284" s="1069"/>
      <c r="JNU284" s="1069"/>
      <c r="JNV284" s="1069"/>
      <c r="JNW284" s="1069"/>
      <c r="JNX284" s="1069"/>
      <c r="JNY284" s="1069"/>
      <c r="JNZ284" s="1069"/>
      <c r="JOA284" s="1069"/>
      <c r="JOB284" s="1069"/>
      <c r="JOC284" s="1069"/>
      <c r="JOD284" s="1069"/>
      <c r="JOE284" s="1069"/>
      <c r="JOF284" s="1069"/>
      <c r="JOG284" s="1069"/>
      <c r="JOH284" s="1069"/>
      <c r="JOI284" s="1069"/>
      <c r="JOJ284" s="1069"/>
      <c r="JOK284" s="1069"/>
      <c r="JOL284" s="1069"/>
      <c r="JOM284" s="1069"/>
      <c r="JON284" s="1069"/>
      <c r="JOO284" s="1069"/>
      <c r="JOP284" s="1069"/>
      <c r="JOQ284" s="1069"/>
      <c r="JOR284" s="1069"/>
      <c r="JOS284" s="1069"/>
      <c r="JOT284" s="1069"/>
      <c r="JOU284" s="1069"/>
      <c r="JOV284" s="1069"/>
      <c r="JOW284" s="1069"/>
      <c r="JOX284" s="1069"/>
      <c r="JOY284" s="1069"/>
      <c r="JOZ284" s="1069"/>
      <c r="JPA284" s="1069"/>
      <c r="JPB284" s="1069"/>
      <c r="JPC284" s="1069"/>
      <c r="JPD284" s="1069"/>
      <c r="JPE284" s="1069"/>
      <c r="JPF284" s="1069"/>
      <c r="JPG284" s="1069"/>
      <c r="JPH284" s="1069"/>
      <c r="JPI284" s="1069"/>
      <c r="JPJ284" s="1069"/>
      <c r="JPK284" s="1069"/>
      <c r="JPL284" s="1069"/>
      <c r="JPM284" s="1069"/>
      <c r="JPN284" s="1069"/>
      <c r="JPO284" s="1069"/>
      <c r="JPP284" s="1069"/>
      <c r="JPQ284" s="1069"/>
      <c r="JPR284" s="1069"/>
      <c r="JPS284" s="1069"/>
      <c r="JPT284" s="1069"/>
      <c r="JPU284" s="1069"/>
      <c r="JPV284" s="1069"/>
      <c r="JPW284" s="1069"/>
      <c r="JPX284" s="1069"/>
      <c r="JPY284" s="1069"/>
      <c r="JPZ284" s="1069"/>
      <c r="JQA284" s="1069"/>
      <c r="JQB284" s="1069"/>
      <c r="JQC284" s="1069"/>
      <c r="JQD284" s="1069"/>
      <c r="JQE284" s="1069"/>
      <c r="JQF284" s="1069"/>
      <c r="JQG284" s="1069"/>
      <c r="JQH284" s="1069"/>
      <c r="JQI284" s="1069"/>
      <c r="JQJ284" s="1069"/>
      <c r="JQK284" s="1069"/>
      <c r="JQL284" s="1069"/>
      <c r="JQM284" s="1069"/>
      <c r="JQN284" s="1069"/>
      <c r="JQO284" s="1069"/>
      <c r="JQP284" s="1069"/>
      <c r="JQQ284" s="1069"/>
      <c r="JQR284" s="1069"/>
      <c r="JQS284" s="1069"/>
      <c r="JQT284" s="1069"/>
      <c r="JQU284" s="1069"/>
      <c r="JQV284" s="1069"/>
      <c r="JQW284" s="1069"/>
      <c r="JQX284" s="1069"/>
      <c r="JQY284" s="1069"/>
      <c r="JQZ284" s="1069"/>
      <c r="JRA284" s="1069"/>
      <c r="JRB284" s="1069"/>
      <c r="JRC284" s="1069"/>
      <c r="JRD284" s="1069"/>
      <c r="JRE284" s="1069"/>
      <c r="JRF284" s="1069"/>
      <c r="JRG284" s="1069"/>
      <c r="JRH284" s="1069"/>
      <c r="JRI284" s="1069"/>
      <c r="JRJ284" s="1069"/>
      <c r="JRK284" s="1069"/>
      <c r="JRL284" s="1069"/>
      <c r="JRM284" s="1069"/>
      <c r="JRN284" s="1069"/>
      <c r="JRO284" s="1069"/>
      <c r="JRP284" s="1069"/>
      <c r="JRQ284" s="1069"/>
      <c r="JRR284" s="1069"/>
      <c r="JRS284" s="1069"/>
      <c r="JRT284" s="1069"/>
      <c r="JRU284" s="1069"/>
      <c r="JRV284" s="1069"/>
      <c r="JRW284" s="1069"/>
      <c r="JRX284" s="1069"/>
      <c r="JRY284" s="1069"/>
      <c r="JRZ284" s="1069"/>
      <c r="JSA284" s="1069"/>
      <c r="JSB284" s="1069"/>
      <c r="JSC284" s="1069"/>
      <c r="JSD284" s="1069"/>
      <c r="JSE284" s="1069"/>
      <c r="JSF284" s="1069"/>
      <c r="JSG284" s="1069"/>
      <c r="JSH284" s="1069"/>
      <c r="JSI284" s="1069"/>
      <c r="JSJ284" s="1069"/>
      <c r="JSK284" s="1069"/>
      <c r="JSL284" s="1069"/>
      <c r="JSM284" s="1069"/>
      <c r="JSN284" s="1069"/>
      <c r="JSO284" s="1069"/>
      <c r="JSP284" s="1069"/>
      <c r="JSQ284" s="1069"/>
      <c r="JSR284" s="1069"/>
      <c r="JSS284" s="1069"/>
      <c r="JST284" s="1069"/>
      <c r="JSU284" s="1069"/>
      <c r="JSV284" s="1069"/>
      <c r="JSW284" s="1069"/>
      <c r="JSX284" s="1069"/>
      <c r="JSY284" s="1069"/>
      <c r="JSZ284" s="1069"/>
      <c r="JTA284" s="1069"/>
      <c r="JTB284" s="1069"/>
      <c r="JTC284" s="1069"/>
      <c r="JTD284" s="1069"/>
      <c r="JTE284" s="1069"/>
      <c r="JTF284" s="1069"/>
      <c r="JTG284" s="1069"/>
      <c r="JTH284" s="1069"/>
      <c r="JTI284" s="1069"/>
      <c r="JTJ284" s="1069"/>
      <c r="JTK284" s="1069"/>
      <c r="JTL284" s="1069"/>
      <c r="JTM284" s="1069"/>
      <c r="JTN284" s="1069"/>
      <c r="JTO284" s="1069"/>
      <c r="JTP284" s="1069"/>
      <c r="JTQ284" s="1069"/>
      <c r="JTR284" s="1069"/>
      <c r="JTS284" s="1069"/>
      <c r="JTT284" s="1069"/>
      <c r="JTU284" s="1069"/>
      <c r="JTV284" s="1069"/>
      <c r="JTW284" s="1069"/>
      <c r="JTX284" s="1069"/>
      <c r="JTY284" s="1069"/>
      <c r="JTZ284" s="1069"/>
      <c r="JUA284" s="1069"/>
      <c r="JUB284" s="1069"/>
      <c r="JUC284" s="1069"/>
      <c r="JUD284" s="1069"/>
      <c r="JUE284" s="1069"/>
      <c r="JUF284" s="1069"/>
      <c r="JUG284" s="1069"/>
      <c r="JUH284" s="1069"/>
      <c r="JUI284" s="1069"/>
      <c r="JUJ284" s="1069"/>
      <c r="JUK284" s="1069"/>
      <c r="JUL284" s="1069"/>
      <c r="JUM284" s="1069"/>
      <c r="JUN284" s="1069"/>
      <c r="JUO284" s="1069"/>
      <c r="JUP284" s="1069"/>
      <c r="JUQ284" s="1069"/>
      <c r="JUR284" s="1069"/>
      <c r="JUS284" s="1069"/>
      <c r="JUT284" s="1069"/>
      <c r="JUU284" s="1069"/>
      <c r="JUV284" s="1069"/>
      <c r="JUW284" s="1069"/>
      <c r="JUX284" s="1069"/>
      <c r="JUY284" s="1069"/>
      <c r="JUZ284" s="1069"/>
      <c r="JVA284" s="1069"/>
      <c r="JVB284" s="1069"/>
      <c r="JVC284" s="1069"/>
      <c r="JVD284" s="1069"/>
      <c r="JVE284" s="1069"/>
      <c r="JVF284" s="1069"/>
      <c r="JVG284" s="1069"/>
      <c r="JVH284" s="1069"/>
      <c r="JVI284" s="1069"/>
      <c r="JVJ284" s="1069"/>
      <c r="JVK284" s="1069"/>
      <c r="JVL284" s="1069"/>
      <c r="JVM284" s="1069"/>
      <c r="JVN284" s="1069"/>
      <c r="JVO284" s="1069"/>
      <c r="JVP284" s="1069"/>
      <c r="JVQ284" s="1069"/>
      <c r="JVR284" s="1069"/>
      <c r="JVS284" s="1069"/>
      <c r="JVT284" s="1069"/>
      <c r="JVU284" s="1069"/>
      <c r="JVV284" s="1069"/>
      <c r="JVW284" s="1069"/>
      <c r="JVX284" s="1069"/>
      <c r="JVY284" s="1069"/>
      <c r="JVZ284" s="1069"/>
      <c r="JWA284" s="1069"/>
      <c r="JWB284" s="1069"/>
      <c r="JWC284" s="1069"/>
      <c r="JWD284" s="1069"/>
      <c r="JWE284" s="1069"/>
      <c r="JWF284" s="1069"/>
      <c r="JWG284" s="1069"/>
      <c r="JWH284" s="1069"/>
      <c r="JWI284" s="1069"/>
      <c r="JWJ284" s="1069"/>
      <c r="JWK284" s="1069"/>
      <c r="JWL284" s="1069"/>
      <c r="JWM284" s="1069"/>
      <c r="JWN284" s="1069"/>
      <c r="JWO284" s="1069"/>
      <c r="JWP284" s="1069"/>
      <c r="JWQ284" s="1069"/>
      <c r="JWR284" s="1069"/>
      <c r="JWS284" s="1069"/>
      <c r="JWT284" s="1069"/>
      <c r="JWU284" s="1069"/>
      <c r="JWV284" s="1069"/>
      <c r="JWW284" s="1069"/>
      <c r="JWX284" s="1069"/>
      <c r="JWY284" s="1069"/>
      <c r="JWZ284" s="1069"/>
      <c r="JXA284" s="1069"/>
      <c r="JXB284" s="1069"/>
      <c r="JXC284" s="1069"/>
      <c r="JXD284" s="1069"/>
      <c r="JXE284" s="1069"/>
      <c r="JXF284" s="1069"/>
      <c r="JXG284" s="1069"/>
      <c r="JXH284" s="1069"/>
      <c r="JXI284" s="1069"/>
      <c r="JXJ284" s="1069"/>
      <c r="JXK284" s="1069"/>
      <c r="JXL284" s="1069"/>
      <c r="JXM284" s="1069"/>
      <c r="JXN284" s="1069"/>
      <c r="JXO284" s="1069"/>
      <c r="JXP284" s="1069"/>
      <c r="JXQ284" s="1069"/>
      <c r="JXR284" s="1069"/>
      <c r="JXS284" s="1069"/>
      <c r="JXT284" s="1069"/>
      <c r="JXU284" s="1069"/>
      <c r="JXV284" s="1069"/>
      <c r="JXW284" s="1069"/>
      <c r="JXX284" s="1069"/>
      <c r="JXY284" s="1069"/>
      <c r="JXZ284" s="1069"/>
      <c r="JYA284" s="1069"/>
      <c r="JYB284" s="1069"/>
      <c r="JYC284" s="1069"/>
      <c r="JYD284" s="1069"/>
      <c r="JYE284" s="1069"/>
      <c r="JYF284" s="1069"/>
      <c r="JYG284" s="1069"/>
      <c r="JYH284" s="1069"/>
      <c r="JYI284" s="1069"/>
      <c r="JYJ284" s="1069"/>
      <c r="JYK284" s="1069"/>
      <c r="JYL284" s="1069"/>
      <c r="JYM284" s="1069"/>
      <c r="JYN284" s="1069"/>
      <c r="JYO284" s="1069"/>
      <c r="JYP284" s="1069"/>
      <c r="JYQ284" s="1069"/>
      <c r="JYR284" s="1069"/>
      <c r="JYS284" s="1069"/>
      <c r="JYT284" s="1069"/>
      <c r="JYU284" s="1069"/>
      <c r="JYV284" s="1069"/>
      <c r="JYW284" s="1069"/>
      <c r="JYX284" s="1069"/>
      <c r="JYY284" s="1069"/>
      <c r="JYZ284" s="1069"/>
      <c r="JZA284" s="1069"/>
      <c r="JZB284" s="1069"/>
      <c r="JZC284" s="1069"/>
      <c r="JZD284" s="1069"/>
      <c r="JZE284" s="1069"/>
      <c r="JZF284" s="1069"/>
      <c r="JZG284" s="1069"/>
      <c r="JZH284" s="1069"/>
      <c r="JZI284" s="1069"/>
      <c r="JZJ284" s="1069"/>
      <c r="JZK284" s="1069"/>
      <c r="JZL284" s="1069"/>
      <c r="JZM284" s="1069"/>
      <c r="JZN284" s="1069"/>
      <c r="JZO284" s="1069"/>
      <c r="JZP284" s="1069"/>
      <c r="JZQ284" s="1069"/>
      <c r="JZR284" s="1069"/>
      <c r="JZS284" s="1069"/>
      <c r="JZT284" s="1069"/>
      <c r="JZU284" s="1069"/>
      <c r="JZV284" s="1069"/>
      <c r="JZW284" s="1069"/>
      <c r="JZX284" s="1069"/>
      <c r="JZY284" s="1069"/>
      <c r="JZZ284" s="1069"/>
      <c r="KAA284" s="1069"/>
      <c r="KAB284" s="1069"/>
      <c r="KAC284" s="1069"/>
      <c r="KAD284" s="1069"/>
      <c r="KAE284" s="1069"/>
      <c r="KAF284" s="1069"/>
      <c r="KAG284" s="1069"/>
      <c r="KAH284" s="1069"/>
      <c r="KAI284" s="1069"/>
      <c r="KAJ284" s="1069"/>
      <c r="KAK284" s="1069"/>
      <c r="KAL284" s="1069"/>
      <c r="KAM284" s="1069"/>
      <c r="KAN284" s="1069"/>
      <c r="KAO284" s="1069"/>
      <c r="KAP284" s="1069"/>
      <c r="KAQ284" s="1069"/>
      <c r="KAR284" s="1069"/>
      <c r="KAS284" s="1069"/>
      <c r="KAT284" s="1069"/>
      <c r="KAU284" s="1069"/>
      <c r="KAV284" s="1069"/>
      <c r="KAW284" s="1069"/>
      <c r="KAX284" s="1069"/>
      <c r="KAY284" s="1069"/>
      <c r="KAZ284" s="1069"/>
      <c r="KBA284" s="1069"/>
      <c r="KBB284" s="1069"/>
      <c r="KBC284" s="1069"/>
      <c r="KBD284" s="1069"/>
      <c r="KBE284" s="1069"/>
      <c r="KBF284" s="1069"/>
      <c r="KBG284" s="1069"/>
      <c r="KBH284" s="1069"/>
      <c r="KBI284" s="1069"/>
      <c r="KBJ284" s="1069"/>
      <c r="KBK284" s="1069"/>
      <c r="KBL284" s="1069"/>
      <c r="KBM284" s="1069"/>
      <c r="KBN284" s="1069"/>
      <c r="KBO284" s="1069"/>
      <c r="KBP284" s="1069"/>
      <c r="KBQ284" s="1069"/>
      <c r="KBR284" s="1069"/>
      <c r="KBS284" s="1069"/>
      <c r="KBT284" s="1069"/>
      <c r="KBU284" s="1069"/>
      <c r="KBV284" s="1069"/>
      <c r="KBW284" s="1069"/>
      <c r="KBX284" s="1069"/>
      <c r="KBY284" s="1069"/>
      <c r="KBZ284" s="1069"/>
      <c r="KCA284" s="1069"/>
      <c r="KCB284" s="1069"/>
      <c r="KCC284" s="1069"/>
      <c r="KCD284" s="1069"/>
      <c r="KCE284" s="1069"/>
      <c r="KCF284" s="1069"/>
      <c r="KCG284" s="1069"/>
      <c r="KCH284" s="1069"/>
      <c r="KCI284" s="1069"/>
      <c r="KCJ284" s="1069"/>
      <c r="KCK284" s="1069"/>
      <c r="KCL284" s="1069"/>
      <c r="KCM284" s="1069"/>
      <c r="KCN284" s="1069"/>
      <c r="KCO284" s="1069"/>
      <c r="KCP284" s="1069"/>
      <c r="KCQ284" s="1069"/>
      <c r="KCR284" s="1069"/>
      <c r="KCS284" s="1069"/>
      <c r="KCT284" s="1069"/>
      <c r="KCU284" s="1069"/>
      <c r="KCV284" s="1069"/>
      <c r="KCW284" s="1069"/>
      <c r="KCX284" s="1069"/>
      <c r="KCY284" s="1069"/>
      <c r="KCZ284" s="1069"/>
      <c r="KDA284" s="1069"/>
      <c r="KDB284" s="1069"/>
      <c r="KDC284" s="1069"/>
      <c r="KDD284" s="1069"/>
      <c r="KDE284" s="1069"/>
      <c r="KDF284" s="1069"/>
      <c r="KDG284" s="1069"/>
      <c r="KDH284" s="1069"/>
      <c r="KDI284" s="1069"/>
      <c r="KDJ284" s="1069"/>
      <c r="KDK284" s="1069"/>
      <c r="KDL284" s="1069"/>
      <c r="KDM284" s="1069"/>
      <c r="KDN284" s="1069"/>
      <c r="KDO284" s="1069"/>
      <c r="KDP284" s="1069"/>
      <c r="KDQ284" s="1069"/>
      <c r="KDR284" s="1069"/>
      <c r="KDS284" s="1069"/>
      <c r="KDT284" s="1069"/>
      <c r="KDU284" s="1069"/>
      <c r="KDV284" s="1069"/>
      <c r="KDW284" s="1069"/>
      <c r="KDX284" s="1069"/>
      <c r="KDY284" s="1069"/>
      <c r="KDZ284" s="1069"/>
      <c r="KEA284" s="1069"/>
      <c r="KEB284" s="1069"/>
      <c r="KEC284" s="1069"/>
      <c r="KED284" s="1069"/>
      <c r="KEE284" s="1069"/>
      <c r="KEF284" s="1069"/>
      <c r="KEG284" s="1069"/>
      <c r="KEH284" s="1069"/>
      <c r="KEI284" s="1069"/>
      <c r="KEJ284" s="1069"/>
      <c r="KEK284" s="1069"/>
      <c r="KEL284" s="1069"/>
      <c r="KEM284" s="1069"/>
      <c r="KEN284" s="1069"/>
      <c r="KEO284" s="1069"/>
      <c r="KEP284" s="1069"/>
      <c r="KEQ284" s="1069"/>
      <c r="KER284" s="1069"/>
      <c r="KES284" s="1069"/>
      <c r="KET284" s="1069"/>
      <c r="KEU284" s="1069"/>
      <c r="KEV284" s="1069"/>
      <c r="KEW284" s="1069"/>
      <c r="KEX284" s="1069"/>
      <c r="KEY284" s="1069"/>
      <c r="KEZ284" s="1069"/>
      <c r="KFA284" s="1069"/>
      <c r="KFB284" s="1069"/>
      <c r="KFC284" s="1069"/>
      <c r="KFD284" s="1069"/>
      <c r="KFE284" s="1069"/>
      <c r="KFF284" s="1069"/>
      <c r="KFG284" s="1069"/>
      <c r="KFH284" s="1069"/>
      <c r="KFI284" s="1069"/>
      <c r="KFJ284" s="1069"/>
      <c r="KFK284" s="1069"/>
      <c r="KFL284" s="1069"/>
      <c r="KFM284" s="1069"/>
      <c r="KFN284" s="1069"/>
      <c r="KFO284" s="1069"/>
      <c r="KFP284" s="1069"/>
      <c r="KFQ284" s="1069"/>
      <c r="KFR284" s="1069"/>
      <c r="KFS284" s="1069"/>
      <c r="KFT284" s="1069"/>
      <c r="KFU284" s="1069"/>
      <c r="KFV284" s="1069"/>
      <c r="KFW284" s="1069"/>
      <c r="KFX284" s="1069"/>
      <c r="KFY284" s="1069"/>
      <c r="KFZ284" s="1069"/>
      <c r="KGA284" s="1069"/>
      <c r="KGB284" s="1069"/>
      <c r="KGC284" s="1069"/>
      <c r="KGD284" s="1069"/>
      <c r="KGE284" s="1069"/>
      <c r="KGF284" s="1069"/>
      <c r="KGG284" s="1069"/>
      <c r="KGH284" s="1069"/>
      <c r="KGI284" s="1069"/>
      <c r="KGJ284" s="1069"/>
      <c r="KGK284" s="1069"/>
      <c r="KGL284" s="1069"/>
      <c r="KGM284" s="1069"/>
      <c r="KGN284" s="1069"/>
      <c r="KGO284" s="1069"/>
      <c r="KGP284" s="1069"/>
      <c r="KGQ284" s="1069"/>
      <c r="KGR284" s="1069"/>
      <c r="KGS284" s="1069"/>
      <c r="KGT284" s="1069"/>
      <c r="KGU284" s="1069"/>
      <c r="KGV284" s="1069"/>
      <c r="KGW284" s="1069"/>
      <c r="KGX284" s="1069"/>
      <c r="KGY284" s="1069"/>
      <c r="KGZ284" s="1069"/>
      <c r="KHA284" s="1069"/>
      <c r="KHB284" s="1069"/>
      <c r="KHC284" s="1069"/>
      <c r="KHD284" s="1069"/>
      <c r="KHE284" s="1069"/>
      <c r="KHF284" s="1069"/>
      <c r="KHG284" s="1069"/>
      <c r="KHH284" s="1069"/>
      <c r="KHI284" s="1069"/>
      <c r="KHJ284" s="1069"/>
      <c r="KHK284" s="1069"/>
      <c r="KHL284" s="1069"/>
      <c r="KHM284" s="1069"/>
      <c r="KHN284" s="1069"/>
      <c r="KHO284" s="1069"/>
      <c r="KHP284" s="1069"/>
      <c r="KHQ284" s="1069"/>
      <c r="KHR284" s="1069"/>
      <c r="KHS284" s="1069"/>
      <c r="KHT284" s="1069"/>
      <c r="KHU284" s="1069"/>
      <c r="KHV284" s="1069"/>
      <c r="KHW284" s="1069"/>
      <c r="KHX284" s="1069"/>
      <c r="KHY284" s="1069"/>
      <c r="KHZ284" s="1069"/>
      <c r="KIA284" s="1069"/>
      <c r="KIB284" s="1069"/>
      <c r="KIC284" s="1069"/>
      <c r="KID284" s="1069"/>
      <c r="KIE284" s="1069"/>
      <c r="KIF284" s="1069"/>
      <c r="KIG284" s="1069"/>
      <c r="KIH284" s="1069"/>
      <c r="KII284" s="1069"/>
      <c r="KIJ284" s="1069"/>
      <c r="KIK284" s="1069"/>
      <c r="KIL284" s="1069"/>
      <c r="KIM284" s="1069"/>
      <c r="KIN284" s="1069"/>
      <c r="KIO284" s="1069"/>
      <c r="KIP284" s="1069"/>
      <c r="KIQ284" s="1069"/>
      <c r="KIR284" s="1069"/>
      <c r="KIS284" s="1069"/>
      <c r="KIT284" s="1069"/>
      <c r="KIU284" s="1069"/>
      <c r="KIV284" s="1069"/>
      <c r="KIW284" s="1069"/>
      <c r="KIX284" s="1069"/>
      <c r="KIY284" s="1069"/>
      <c r="KIZ284" s="1069"/>
      <c r="KJA284" s="1069"/>
      <c r="KJB284" s="1069"/>
      <c r="KJC284" s="1069"/>
      <c r="KJD284" s="1069"/>
      <c r="KJE284" s="1069"/>
      <c r="KJF284" s="1069"/>
      <c r="KJG284" s="1069"/>
      <c r="KJH284" s="1069"/>
      <c r="KJI284" s="1069"/>
      <c r="KJJ284" s="1069"/>
      <c r="KJK284" s="1069"/>
      <c r="KJL284" s="1069"/>
      <c r="KJM284" s="1069"/>
      <c r="KJN284" s="1069"/>
      <c r="KJO284" s="1069"/>
      <c r="KJP284" s="1069"/>
      <c r="KJQ284" s="1069"/>
      <c r="KJR284" s="1069"/>
      <c r="KJS284" s="1069"/>
      <c r="KJT284" s="1069"/>
      <c r="KJU284" s="1069"/>
      <c r="KJV284" s="1069"/>
      <c r="KJW284" s="1069"/>
      <c r="KJX284" s="1069"/>
      <c r="KJY284" s="1069"/>
      <c r="KJZ284" s="1069"/>
      <c r="KKA284" s="1069"/>
      <c r="KKB284" s="1069"/>
      <c r="KKC284" s="1069"/>
      <c r="KKD284" s="1069"/>
      <c r="KKE284" s="1069"/>
      <c r="KKF284" s="1069"/>
      <c r="KKG284" s="1069"/>
      <c r="KKH284" s="1069"/>
      <c r="KKI284" s="1069"/>
      <c r="KKJ284" s="1069"/>
      <c r="KKK284" s="1069"/>
      <c r="KKL284" s="1069"/>
      <c r="KKM284" s="1069"/>
      <c r="KKN284" s="1069"/>
      <c r="KKO284" s="1069"/>
      <c r="KKP284" s="1069"/>
      <c r="KKQ284" s="1069"/>
      <c r="KKR284" s="1069"/>
      <c r="KKS284" s="1069"/>
      <c r="KKT284" s="1069"/>
      <c r="KKU284" s="1069"/>
      <c r="KKV284" s="1069"/>
      <c r="KKW284" s="1069"/>
      <c r="KKX284" s="1069"/>
      <c r="KKY284" s="1069"/>
      <c r="KKZ284" s="1069"/>
      <c r="KLA284" s="1069"/>
      <c r="KLB284" s="1069"/>
      <c r="KLC284" s="1069"/>
      <c r="KLD284" s="1069"/>
      <c r="KLE284" s="1069"/>
      <c r="KLF284" s="1069"/>
      <c r="KLG284" s="1069"/>
      <c r="KLH284" s="1069"/>
      <c r="KLI284" s="1069"/>
      <c r="KLJ284" s="1069"/>
      <c r="KLK284" s="1069"/>
      <c r="KLL284" s="1069"/>
      <c r="KLM284" s="1069"/>
      <c r="KLN284" s="1069"/>
      <c r="KLO284" s="1069"/>
      <c r="KLP284" s="1069"/>
      <c r="KLQ284" s="1069"/>
      <c r="KLR284" s="1069"/>
      <c r="KLS284" s="1069"/>
      <c r="KLT284" s="1069"/>
      <c r="KLU284" s="1069"/>
      <c r="KLV284" s="1069"/>
      <c r="KLW284" s="1069"/>
      <c r="KLX284" s="1069"/>
      <c r="KLY284" s="1069"/>
      <c r="KLZ284" s="1069"/>
      <c r="KMA284" s="1069"/>
      <c r="KMB284" s="1069"/>
      <c r="KMC284" s="1069"/>
      <c r="KMD284" s="1069"/>
      <c r="KME284" s="1069"/>
      <c r="KMF284" s="1069"/>
      <c r="KMG284" s="1069"/>
      <c r="KMH284" s="1069"/>
      <c r="KMI284" s="1069"/>
      <c r="KMJ284" s="1069"/>
      <c r="KMK284" s="1069"/>
      <c r="KML284" s="1069"/>
      <c r="KMM284" s="1069"/>
      <c r="KMN284" s="1069"/>
      <c r="KMO284" s="1069"/>
      <c r="KMP284" s="1069"/>
      <c r="KMQ284" s="1069"/>
      <c r="KMR284" s="1069"/>
      <c r="KMS284" s="1069"/>
      <c r="KMT284" s="1069"/>
      <c r="KMU284" s="1069"/>
      <c r="KMV284" s="1069"/>
      <c r="KMW284" s="1069"/>
      <c r="KMX284" s="1069"/>
      <c r="KMY284" s="1069"/>
      <c r="KMZ284" s="1069"/>
      <c r="KNA284" s="1069"/>
      <c r="KNB284" s="1069"/>
      <c r="KNC284" s="1069"/>
      <c r="KND284" s="1069"/>
      <c r="KNE284" s="1069"/>
      <c r="KNF284" s="1069"/>
      <c r="KNG284" s="1069"/>
      <c r="KNH284" s="1069"/>
      <c r="KNI284" s="1069"/>
      <c r="KNJ284" s="1069"/>
      <c r="KNK284" s="1069"/>
      <c r="KNL284" s="1069"/>
      <c r="KNM284" s="1069"/>
      <c r="KNN284" s="1069"/>
      <c r="KNO284" s="1069"/>
      <c r="KNP284" s="1069"/>
      <c r="KNQ284" s="1069"/>
      <c r="KNR284" s="1069"/>
      <c r="KNS284" s="1069"/>
      <c r="KNT284" s="1069"/>
      <c r="KNU284" s="1069"/>
      <c r="KNV284" s="1069"/>
      <c r="KNW284" s="1069"/>
      <c r="KNX284" s="1069"/>
      <c r="KNY284" s="1069"/>
      <c r="KNZ284" s="1069"/>
      <c r="KOA284" s="1069"/>
      <c r="KOB284" s="1069"/>
      <c r="KOC284" s="1069"/>
      <c r="KOD284" s="1069"/>
      <c r="KOE284" s="1069"/>
      <c r="KOF284" s="1069"/>
      <c r="KOG284" s="1069"/>
      <c r="KOH284" s="1069"/>
      <c r="KOI284" s="1069"/>
      <c r="KOJ284" s="1069"/>
      <c r="KOK284" s="1069"/>
      <c r="KOL284" s="1069"/>
      <c r="KOM284" s="1069"/>
      <c r="KON284" s="1069"/>
      <c r="KOO284" s="1069"/>
      <c r="KOP284" s="1069"/>
      <c r="KOQ284" s="1069"/>
      <c r="KOR284" s="1069"/>
      <c r="KOS284" s="1069"/>
      <c r="KOT284" s="1069"/>
      <c r="KOU284" s="1069"/>
      <c r="KOV284" s="1069"/>
      <c r="KOW284" s="1069"/>
      <c r="KOX284" s="1069"/>
      <c r="KOY284" s="1069"/>
      <c r="KOZ284" s="1069"/>
      <c r="KPA284" s="1069"/>
      <c r="KPB284" s="1069"/>
      <c r="KPC284" s="1069"/>
      <c r="KPD284" s="1069"/>
      <c r="KPE284" s="1069"/>
      <c r="KPF284" s="1069"/>
      <c r="KPG284" s="1069"/>
      <c r="KPH284" s="1069"/>
      <c r="KPI284" s="1069"/>
      <c r="KPJ284" s="1069"/>
      <c r="KPK284" s="1069"/>
      <c r="KPL284" s="1069"/>
      <c r="KPM284" s="1069"/>
      <c r="KPN284" s="1069"/>
      <c r="KPO284" s="1069"/>
      <c r="KPP284" s="1069"/>
      <c r="KPQ284" s="1069"/>
      <c r="KPR284" s="1069"/>
      <c r="KPS284" s="1069"/>
      <c r="KPT284" s="1069"/>
      <c r="KPU284" s="1069"/>
      <c r="KPV284" s="1069"/>
      <c r="KPW284" s="1069"/>
      <c r="KPX284" s="1069"/>
      <c r="KPY284" s="1069"/>
      <c r="KPZ284" s="1069"/>
      <c r="KQA284" s="1069"/>
      <c r="KQB284" s="1069"/>
      <c r="KQC284" s="1069"/>
      <c r="KQD284" s="1069"/>
      <c r="KQE284" s="1069"/>
      <c r="KQF284" s="1069"/>
      <c r="KQG284" s="1069"/>
      <c r="KQH284" s="1069"/>
      <c r="KQI284" s="1069"/>
      <c r="KQJ284" s="1069"/>
      <c r="KQK284" s="1069"/>
      <c r="KQL284" s="1069"/>
      <c r="KQM284" s="1069"/>
      <c r="KQN284" s="1069"/>
      <c r="KQO284" s="1069"/>
      <c r="KQP284" s="1069"/>
      <c r="KQQ284" s="1069"/>
      <c r="KQR284" s="1069"/>
      <c r="KQS284" s="1069"/>
      <c r="KQT284" s="1069"/>
      <c r="KQU284" s="1069"/>
      <c r="KQV284" s="1069"/>
      <c r="KQW284" s="1069"/>
      <c r="KQX284" s="1069"/>
      <c r="KQY284" s="1069"/>
      <c r="KQZ284" s="1069"/>
      <c r="KRA284" s="1069"/>
      <c r="KRB284" s="1069"/>
      <c r="KRC284" s="1069"/>
      <c r="KRD284" s="1069"/>
      <c r="KRE284" s="1069"/>
      <c r="KRF284" s="1069"/>
      <c r="KRG284" s="1069"/>
      <c r="KRH284" s="1069"/>
      <c r="KRI284" s="1069"/>
      <c r="KRJ284" s="1069"/>
      <c r="KRK284" s="1069"/>
      <c r="KRL284" s="1069"/>
      <c r="KRM284" s="1069"/>
      <c r="KRN284" s="1069"/>
      <c r="KRO284" s="1069"/>
      <c r="KRP284" s="1069"/>
      <c r="KRQ284" s="1069"/>
      <c r="KRR284" s="1069"/>
      <c r="KRS284" s="1069"/>
      <c r="KRT284" s="1069"/>
      <c r="KRU284" s="1069"/>
      <c r="KRV284" s="1069"/>
      <c r="KRW284" s="1069"/>
      <c r="KRX284" s="1069"/>
      <c r="KRY284" s="1069"/>
      <c r="KRZ284" s="1069"/>
      <c r="KSA284" s="1069"/>
      <c r="KSB284" s="1069"/>
      <c r="KSC284" s="1069"/>
      <c r="KSD284" s="1069"/>
      <c r="KSE284" s="1069"/>
      <c r="KSF284" s="1069"/>
      <c r="KSG284" s="1069"/>
      <c r="KSH284" s="1069"/>
      <c r="KSI284" s="1069"/>
      <c r="KSJ284" s="1069"/>
      <c r="KSK284" s="1069"/>
      <c r="KSL284" s="1069"/>
      <c r="KSM284" s="1069"/>
      <c r="KSN284" s="1069"/>
      <c r="KSO284" s="1069"/>
      <c r="KSP284" s="1069"/>
      <c r="KSQ284" s="1069"/>
      <c r="KSR284" s="1069"/>
      <c r="KSS284" s="1069"/>
      <c r="KST284" s="1069"/>
      <c r="KSU284" s="1069"/>
      <c r="KSV284" s="1069"/>
      <c r="KSW284" s="1069"/>
      <c r="KSX284" s="1069"/>
      <c r="KSY284" s="1069"/>
      <c r="KSZ284" s="1069"/>
      <c r="KTA284" s="1069"/>
      <c r="KTB284" s="1069"/>
      <c r="KTC284" s="1069"/>
      <c r="KTD284" s="1069"/>
      <c r="KTE284" s="1069"/>
      <c r="KTF284" s="1069"/>
      <c r="KTG284" s="1069"/>
      <c r="KTH284" s="1069"/>
      <c r="KTI284" s="1069"/>
      <c r="KTJ284" s="1069"/>
      <c r="KTK284" s="1069"/>
      <c r="KTL284" s="1069"/>
      <c r="KTM284" s="1069"/>
      <c r="KTN284" s="1069"/>
      <c r="KTO284" s="1069"/>
      <c r="KTP284" s="1069"/>
      <c r="KTQ284" s="1069"/>
      <c r="KTR284" s="1069"/>
      <c r="KTS284" s="1069"/>
      <c r="KTT284" s="1069"/>
      <c r="KTU284" s="1069"/>
      <c r="KTV284" s="1069"/>
      <c r="KTW284" s="1069"/>
      <c r="KTX284" s="1069"/>
      <c r="KTY284" s="1069"/>
      <c r="KTZ284" s="1069"/>
      <c r="KUA284" s="1069"/>
      <c r="KUB284" s="1069"/>
      <c r="KUC284" s="1069"/>
      <c r="KUD284" s="1069"/>
      <c r="KUE284" s="1069"/>
      <c r="KUF284" s="1069"/>
      <c r="KUG284" s="1069"/>
      <c r="KUH284" s="1069"/>
      <c r="KUI284" s="1069"/>
      <c r="KUJ284" s="1069"/>
      <c r="KUK284" s="1069"/>
      <c r="KUL284" s="1069"/>
      <c r="KUM284" s="1069"/>
      <c r="KUN284" s="1069"/>
      <c r="KUO284" s="1069"/>
      <c r="KUP284" s="1069"/>
      <c r="KUQ284" s="1069"/>
      <c r="KUR284" s="1069"/>
      <c r="KUS284" s="1069"/>
      <c r="KUT284" s="1069"/>
      <c r="KUU284" s="1069"/>
      <c r="KUV284" s="1069"/>
      <c r="KUW284" s="1069"/>
      <c r="KUX284" s="1069"/>
      <c r="KUY284" s="1069"/>
      <c r="KUZ284" s="1069"/>
      <c r="KVA284" s="1069"/>
      <c r="KVB284" s="1069"/>
      <c r="KVC284" s="1069"/>
      <c r="KVD284" s="1069"/>
      <c r="KVE284" s="1069"/>
      <c r="KVF284" s="1069"/>
      <c r="KVG284" s="1069"/>
      <c r="KVH284" s="1069"/>
      <c r="KVI284" s="1069"/>
      <c r="KVJ284" s="1069"/>
      <c r="KVK284" s="1069"/>
      <c r="KVL284" s="1069"/>
      <c r="KVM284" s="1069"/>
      <c r="KVN284" s="1069"/>
      <c r="KVO284" s="1069"/>
      <c r="KVP284" s="1069"/>
      <c r="KVQ284" s="1069"/>
      <c r="KVR284" s="1069"/>
      <c r="KVS284" s="1069"/>
      <c r="KVT284" s="1069"/>
      <c r="KVU284" s="1069"/>
      <c r="KVV284" s="1069"/>
      <c r="KVW284" s="1069"/>
      <c r="KVX284" s="1069"/>
      <c r="KVY284" s="1069"/>
      <c r="KVZ284" s="1069"/>
      <c r="KWA284" s="1069"/>
      <c r="KWB284" s="1069"/>
      <c r="KWC284" s="1069"/>
      <c r="KWD284" s="1069"/>
      <c r="KWE284" s="1069"/>
      <c r="KWF284" s="1069"/>
      <c r="KWG284" s="1069"/>
      <c r="KWH284" s="1069"/>
      <c r="KWI284" s="1069"/>
      <c r="KWJ284" s="1069"/>
      <c r="KWK284" s="1069"/>
      <c r="KWL284" s="1069"/>
      <c r="KWM284" s="1069"/>
      <c r="KWN284" s="1069"/>
      <c r="KWO284" s="1069"/>
      <c r="KWP284" s="1069"/>
      <c r="KWQ284" s="1069"/>
      <c r="KWR284" s="1069"/>
      <c r="KWS284" s="1069"/>
      <c r="KWT284" s="1069"/>
      <c r="KWU284" s="1069"/>
      <c r="KWV284" s="1069"/>
      <c r="KWW284" s="1069"/>
      <c r="KWX284" s="1069"/>
      <c r="KWY284" s="1069"/>
      <c r="KWZ284" s="1069"/>
      <c r="KXA284" s="1069"/>
      <c r="KXB284" s="1069"/>
      <c r="KXC284" s="1069"/>
      <c r="KXD284" s="1069"/>
      <c r="KXE284" s="1069"/>
      <c r="KXF284" s="1069"/>
      <c r="KXG284" s="1069"/>
      <c r="KXH284" s="1069"/>
      <c r="KXI284" s="1069"/>
      <c r="KXJ284" s="1069"/>
      <c r="KXK284" s="1069"/>
      <c r="KXL284" s="1069"/>
      <c r="KXM284" s="1069"/>
      <c r="KXN284" s="1069"/>
      <c r="KXO284" s="1069"/>
      <c r="KXP284" s="1069"/>
      <c r="KXQ284" s="1069"/>
      <c r="KXR284" s="1069"/>
      <c r="KXS284" s="1069"/>
      <c r="KXT284" s="1069"/>
      <c r="KXU284" s="1069"/>
      <c r="KXV284" s="1069"/>
      <c r="KXW284" s="1069"/>
      <c r="KXX284" s="1069"/>
      <c r="KXY284" s="1069"/>
      <c r="KXZ284" s="1069"/>
      <c r="KYA284" s="1069"/>
      <c r="KYB284" s="1069"/>
      <c r="KYC284" s="1069"/>
      <c r="KYD284" s="1069"/>
      <c r="KYE284" s="1069"/>
      <c r="KYF284" s="1069"/>
      <c r="KYG284" s="1069"/>
      <c r="KYH284" s="1069"/>
      <c r="KYI284" s="1069"/>
      <c r="KYJ284" s="1069"/>
      <c r="KYK284" s="1069"/>
      <c r="KYL284" s="1069"/>
      <c r="KYM284" s="1069"/>
      <c r="KYN284" s="1069"/>
      <c r="KYO284" s="1069"/>
      <c r="KYP284" s="1069"/>
      <c r="KYQ284" s="1069"/>
      <c r="KYR284" s="1069"/>
      <c r="KYS284" s="1069"/>
      <c r="KYT284" s="1069"/>
      <c r="KYU284" s="1069"/>
      <c r="KYV284" s="1069"/>
      <c r="KYW284" s="1069"/>
      <c r="KYX284" s="1069"/>
      <c r="KYY284" s="1069"/>
      <c r="KYZ284" s="1069"/>
      <c r="KZA284" s="1069"/>
      <c r="KZB284" s="1069"/>
      <c r="KZC284" s="1069"/>
      <c r="KZD284" s="1069"/>
      <c r="KZE284" s="1069"/>
      <c r="KZF284" s="1069"/>
      <c r="KZG284" s="1069"/>
      <c r="KZH284" s="1069"/>
      <c r="KZI284" s="1069"/>
      <c r="KZJ284" s="1069"/>
      <c r="KZK284" s="1069"/>
      <c r="KZL284" s="1069"/>
      <c r="KZM284" s="1069"/>
      <c r="KZN284" s="1069"/>
      <c r="KZO284" s="1069"/>
      <c r="KZP284" s="1069"/>
      <c r="KZQ284" s="1069"/>
      <c r="KZR284" s="1069"/>
      <c r="KZS284" s="1069"/>
      <c r="KZT284" s="1069"/>
      <c r="KZU284" s="1069"/>
      <c r="KZV284" s="1069"/>
      <c r="KZW284" s="1069"/>
      <c r="KZX284" s="1069"/>
      <c r="KZY284" s="1069"/>
      <c r="KZZ284" s="1069"/>
      <c r="LAA284" s="1069"/>
      <c r="LAB284" s="1069"/>
      <c r="LAC284" s="1069"/>
      <c r="LAD284" s="1069"/>
      <c r="LAE284" s="1069"/>
      <c r="LAF284" s="1069"/>
      <c r="LAG284" s="1069"/>
      <c r="LAH284" s="1069"/>
      <c r="LAI284" s="1069"/>
      <c r="LAJ284" s="1069"/>
      <c r="LAK284" s="1069"/>
      <c r="LAL284" s="1069"/>
      <c r="LAM284" s="1069"/>
      <c r="LAN284" s="1069"/>
      <c r="LAO284" s="1069"/>
      <c r="LAP284" s="1069"/>
      <c r="LAQ284" s="1069"/>
      <c r="LAR284" s="1069"/>
      <c r="LAS284" s="1069"/>
      <c r="LAT284" s="1069"/>
      <c r="LAU284" s="1069"/>
      <c r="LAV284" s="1069"/>
      <c r="LAW284" s="1069"/>
      <c r="LAX284" s="1069"/>
      <c r="LAY284" s="1069"/>
      <c r="LAZ284" s="1069"/>
      <c r="LBA284" s="1069"/>
      <c r="LBB284" s="1069"/>
      <c r="LBC284" s="1069"/>
      <c r="LBD284" s="1069"/>
      <c r="LBE284" s="1069"/>
      <c r="LBF284" s="1069"/>
      <c r="LBG284" s="1069"/>
      <c r="LBH284" s="1069"/>
      <c r="LBI284" s="1069"/>
      <c r="LBJ284" s="1069"/>
      <c r="LBK284" s="1069"/>
      <c r="LBL284" s="1069"/>
      <c r="LBM284" s="1069"/>
      <c r="LBN284" s="1069"/>
      <c r="LBO284" s="1069"/>
      <c r="LBP284" s="1069"/>
      <c r="LBQ284" s="1069"/>
      <c r="LBR284" s="1069"/>
      <c r="LBS284" s="1069"/>
      <c r="LBT284" s="1069"/>
      <c r="LBU284" s="1069"/>
      <c r="LBV284" s="1069"/>
      <c r="LBW284" s="1069"/>
      <c r="LBX284" s="1069"/>
      <c r="LBY284" s="1069"/>
      <c r="LBZ284" s="1069"/>
      <c r="LCA284" s="1069"/>
      <c r="LCB284" s="1069"/>
      <c r="LCC284" s="1069"/>
      <c r="LCD284" s="1069"/>
      <c r="LCE284" s="1069"/>
      <c r="LCF284" s="1069"/>
      <c r="LCG284" s="1069"/>
      <c r="LCH284" s="1069"/>
      <c r="LCI284" s="1069"/>
      <c r="LCJ284" s="1069"/>
      <c r="LCK284" s="1069"/>
      <c r="LCL284" s="1069"/>
      <c r="LCM284" s="1069"/>
      <c r="LCN284" s="1069"/>
      <c r="LCO284" s="1069"/>
      <c r="LCP284" s="1069"/>
      <c r="LCQ284" s="1069"/>
      <c r="LCR284" s="1069"/>
      <c r="LCS284" s="1069"/>
      <c r="LCT284" s="1069"/>
      <c r="LCU284" s="1069"/>
      <c r="LCV284" s="1069"/>
      <c r="LCW284" s="1069"/>
      <c r="LCX284" s="1069"/>
      <c r="LCY284" s="1069"/>
      <c r="LCZ284" s="1069"/>
      <c r="LDA284" s="1069"/>
      <c r="LDB284" s="1069"/>
      <c r="LDC284" s="1069"/>
      <c r="LDD284" s="1069"/>
      <c r="LDE284" s="1069"/>
      <c r="LDF284" s="1069"/>
      <c r="LDG284" s="1069"/>
      <c r="LDH284" s="1069"/>
      <c r="LDI284" s="1069"/>
      <c r="LDJ284" s="1069"/>
      <c r="LDK284" s="1069"/>
      <c r="LDL284" s="1069"/>
      <c r="LDM284" s="1069"/>
      <c r="LDN284" s="1069"/>
      <c r="LDO284" s="1069"/>
      <c r="LDP284" s="1069"/>
      <c r="LDQ284" s="1069"/>
      <c r="LDR284" s="1069"/>
      <c r="LDS284" s="1069"/>
      <c r="LDT284" s="1069"/>
      <c r="LDU284" s="1069"/>
      <c r="LDV284" s="1069"/>
      <c r="LDW284" s="1069"/>
      <c r="LDX284" s="1069"/>
      <c r="LDY284" s="1069"/>
      <c r="LDZ284" s="1069"/>
      <c r="LEA284" s="1069"/>
      <c r="LEB284" s="1069"/>
      <c r="LEC284" s="1069"/>
      <c r="LED284" s="1069"/>
      <c r="LEE284" s="1069"/>
      <c r="LEF284" s="1069"/>
      <c r="LEG284" s="1069"/>
      <c r="LEH284" s="1069"/>
      <c r="LEI284" s="1069"/>
      <c r="LEJ284" s="1069"/>
      <c r="LEK284" s="1069"/>
      <c r="LEL284" s="1069"/>
      <c r="LEM284" s="1069"/>
      <c r="LEN284" s="1069"/>
      <c r="LEO284" s="1069"/>
      <c r="LEP284" s="1069"/>
      <c r="LEQ284" s="1069"/>
      <c r="LER284" s="1069"/>
      <c r="LES284" s="1069"/>
      <c r="LET284" s="1069"/>
      <c r="LEU284" s="1069"/>
      <c r="LEV284" s="1069"/>
      <c r="LEW284" s="1069"/>
      <c r="LEX284" s="1069"/>
      <c r="LEY284" s="1069"/>
      <c r="LEZ284" s="1069"/>
      <c r="LFA284" s="1069"/>
      <c r="LFB284" s="1069"/>
      <c r="LFC284" s="1069"/>
      <c r="LFD284" s="1069"/>
      <c r="LFE284" s="1069"/>
      <c r="LFF284" s="1069"/>
      <c r="LFG284" s="1069"/>
      <c r="LFH284" s="1069"/>
      <c r="LFI284" s="1069"/>
      <c r="LFJ284" s="1069"/>
      <c r="LFK284" s="1069"/>
      <c r="LFL284" s="1069"/>
      <c r="LFM284" s="1069"/>
      <c r="LFN284" s="1069"/>
      <c r="LFO284" s="1069"/>
      <c r="LFP284" s="1069"/>
      <c r="LFQ284" s="1069"/>
      <c r="LFR284" s="1069"/>
      <c r="LFS284" s="1069"/>
      <c r="LFT284" s="1069"/>
      <c r="LFU284" s="1069"/>
      <c r="LFV284" s="1069"/>
      <c r="LFW284" s="1069"/>
      <c r="LFX284" s="1069"/>
      <c r="LFY284" s="1069"/>
      <c r="LFZ284" s="1069"/>
      <c r="LGA284" s="1069"/>
      <c r="LGB284" s="1069"/>
      <c r="LGC284" s="1069"/>
      <c r="LGD284" s="1069"/>
      <c r="LGE284" s="1069"/>
      <c r="LGF284" s="1069"/>
      <c r="LGG284" s="1069"/>
      <c r="LGH284" s="1069"/>
      <c r="LGI284" s="1069"/>
      <c r="LGJ284" s="1069"/>
      <c r="LGK284" s="1069"/>
      <c r="LGL284" s="1069"/>
      <c r="LGM284" s="1069"/>
      <c r="LGN284" s="1069"/>
      <c r="LGO284" s="1069"/>
      <c r="LGP284" s="1069"/>
      <c r="LGQ284" s="1069"/>
      <c r="LGR284" s="1069"/>
      <c r="LGS284" s="1069"/>
      <c r="LGT284" s="1069"/>
      <c r="LGU284" s="1069"/>
      <c r="LGV284" s="1069"/>
      <c r="LGW284" s="1069"/>
      <c r="LGX284" s="1069"/>
      <c r="LGY284" s="1069"/>
      <c r="LGZ284" s="1069"/>
      <c r="LHA284" s="1069"/>
      <c r="LHB284" s="1069"/>
      <c r="LHC284" s="1069"/>
      <c r="LHD284" s="1069"/>
      <c r="LHE284" s="1069"/>
      <c r="LHF284" s="1069"/>
      <c r="LHG284" s="1069"/>
      <c r="LHH284" s="1069"/>
      <c r="LHI284" s="1069"/>
      <c r="LHJ284" s="1069"/>
      <c r="LHK284" s="1069"/>
      <c r="LHL284" s="1069"/>
      <c r="LHM284" s="1069"/>
      <c r="LHN284" s="1069"/>
      <c r="LHO284" s="1069"/>
      <c r="LHP284" s="1069"/>
      <c r="LHQ284" s="1069"/>
      <c r="LHR284" s="1069"/>
      <c r="LHS284" s="1069"/>
      <c r="LHT284" s="1069"/>
      <c r="LHU284" s="1069"/>
      <c r="LHV284" s="1069"/>
      <c r="LHW284" s="1069"/>
      <c r="LHX284" s="1069"/>
      <c r="LHY284" s="1069"/>
      <c r="LHZ284" s="1069"/>
      <c r="LIA284" s="1069"/>
      <c r="LIB284" s="1069"/>
      <c r="LIC284" s="1069"/>
      <c r="LID284" s="1069"/>
      <c r="LIE284" s="1069"/>
      <c r="LIF284" s="1069"/>
      <c r="LIG284" s="1069"/>
      <c r="LIH284" s="1069"/>
      <c r="LII284" s="1069"/>
      <c r="LIJ284" s="1069"/>
      <c r="LIK284" s="1069"/>
      <c r="LIL284" s="1069"/>
      <c r="LIM284" s="1069"/>
      <c r="LIN284" s="1069"/>
      <c r="LIO284" s="1069"/>
      <c r="LIP284" s="1069"/>
      <c r="LIQ284" s="1069"/>
      <c r="LIR284" s="1069"/>
      <c r="LIS284" s="1069"/>
      <c r="LIT284" s="1069"/>
      <c r="LIU284" s="1069"/>
      <c r="LIV284" s="1069"/>
      <c r="LIW284" s="1069"/>
      <c r="LIX284" s="1069"/>
      <c r="LIY284" s="1069"/>
      <c r="LIZ284" s="1069"/>
      <c r="LJA284" s="1069"/>
      <c r="LJB284" s="1069"/>
      <c r="LJC284" s="1069"/>
      <c r="LJD284" s="1069"/>
      <c r="LJE284" s="1069"/>
      <c r="LJF284" s="1069"/>
      <c r="LJG284" s="1069"/>
      <c r="LJH284" s="1069"/>
      <c r="LJI284" s="1069"/>
      <c r="LJJ284" s="1069"/>
      <c r="LJK284" s="1069"/>
      <c r="LJL284" s="1069"/>
      <c r="LJM284" s="1069"/>
      <c r="LJN284" s="1069"/>
      <c r="LJO284" s="1069"/>
      <c r="LJP284" s="1069"/>
      <c r="LJQ284" s="1069"/>
      <c r="LJR284" s="1069"/>
      <c r="LJS284" s="1069"/>
      <c r="LJT284" s="1069"/>
      <c r="LJU284" s="1069"/>
      <c r="LJV284" s="1069"/>
      <c r="LJW284" s="1069"/>
      <c r="LJX284" s="1069"/>
      <c r="LJY284" s="1069"/>
      <c r="LJZ284" s="1069"/>
      <c r="LKA284" s="1069"/>
      <c r="LKB284" s="1069"/>
      <c r="LKC284" s="1069"/>
      <c r="LKD284" s="1069"/>
      <c r="LKE284" s="1069"/>
      <c r="LKF284" s="1069"/>
      <c r="LKG284" s="1069"/>
      <c r="LKH284" s="1069"/>
      <c r="LKI284" s="1069"/>
      <c r="LKJ284" s="1069"/>
      <c r="LKK284" s="1069"/>
      <c r="LKL284" s="1069"/>
      <c r="LKM284" s="1069"/>
      <c r="LKN284" s="1069"/>
      <c r="LKO284" s="1069"/>
      <c r="LKP284" s="1069"/>
      <c r="LKQ284" s="1069"/>
      <c r="LKR284" s="1069"/>
      <c r="LKS284" s="1069"/>
      <c r="LKT284" s="1069"/>
      <c r="LKU284" s="1069"/>
      <c r="LKV284" s="1069"/>
      <c r="LKW284" s="1069"/>
      <c r="LKX284" s="1069"/>
      <c r="LKY284" s="1069"/>
      <c r="LKZ284" s="1069"/>
      <c r="LLA284" s="1069"/>
      <c r="LLB284" s="1069"/>
      <c r="LLC284" s="1069"/>
      <c r="LLD284" s="1069"/>
      <c r="LLE284" s="1069"/>
      <c r="LLF284" s="1069"/>
      <c r="LLG284" s="1069"/>
      <c r="LLH284" s="1069"/>
      <c r="LLI284" s="1069"/>
      <c r="LLJ284" s="1069"/>
      <c r="LLK284" s="1069"/>
      <c r="LLL284" s="1069"/>
      <c r="LLM284" s="1069"/>
      <c r="LLN284" s="1069"/>
      <c r="LLO284" s="1069"/>
      <c r="LLP284" s="1069"/>
      <c r="LLQ284" s="1069"/>
      <c r="LLR284" s="1069"/>
      <c r="LLS284" s="1069"/>
      <c r="LLT284" s="1069"/>
      <c r="LLU284" s="1069"/>
      <c r="LLV284" s="1069"/>
      <c r="LLW284" s="1069"/>
      <c r="LLX284" s="1069"/>
      <c r="LLY284" s="1069"/>
      <c r="LLZ284" s="1069"/>
      <c r="LMA284" s="1069"/>
      <c r="LMB284" s="1069"/>
      <c r="LMC284" s="1069"/>
      <c r="LMD284" s="1069"/>
      <c r="LME284" s="1069"/>
      <c r="LMF284" s="1069"/>
      <c r="LMG284" s="1069"/>
      <c r="LMH284" s="1069"/>
      <c r="LMI284" s="1069"/>
      <c r="LMJ284" s="1069"/>
      <c r="LMK284" s="1069"/>
      <c r="LML284" s="1069"/>
      <c r="LMM284" s="1069"/>
      <c r="LMN284" s="1069"/>
      <c r="LMO284" s="1069"/>
      <c r="LMP284" s="1069"/>
      <c r="LMQ284" s="1069"/>
      <c r="LMR284" s="1069"/>
      <c r="LMS284" s="1069"/>
      <c r="LMT284" s="1069"/>
      <c r="LMU284" s="1069"/>
      <c r="LMV284" s="1069"/>
      <c r="LMW284" s="1069"/>
      <c r="LMX284" s="1069"/>
      <c r="LMY284" s="1069"/>
      <c r="LMZ284" s="1069"/>
      <c r="LNA284" s="1069"/>
      <c r="LNB284" s="1069"/>
      <c r="LNC284" s="1069"/>
      <c r="LND284" s="1069"/>
      <c r="LNE284" s="1069"/>
      <c r="LNF284" s="1069"/>
      <c r="LNG284" s="1069"/>
      <c r="LNH284" s="1069"/>
      <c r="LNI284" s="1069"/>
      <c r="LNJ284" s="1069"/>
      <c r="LNK284" s="1069"/>
      <c r="LNL284" s="1069"/>
      <c r="LNM284" s="1069"/>
      <c r="LNN284" s="1069"/>
      <c r="LNO284" s="1069"/>
      <c r="LNP284" s="1069"/>
      <c r="LNQ284" s="1069"/>
      <c r="LNR284" s="1069"/>
      <c r="LNS284" s="1069"/>
      <c r="LNT284" s="1069"/>
      <c r="LNU284" s="1069"/>
      <c r="LNV284" s="1069"/>
      <c r="LNW284" s="1069"/>
      <c r="LNX284" s="1069"/>
      <c r="LNY284" s="1069"/>
      <c r="LNZ284" s="1069"/>
      <c r="LOA284" s="1069"/>
      <c r="LOB284" s="1069"/>
      <c r="LOC284" s="1069"/>
      <c r="LOD284" s="1069"/>
      <c r="LOE284" s="1069"/>
      <c r="LOF284" s="1069"/>
      <c r="LOG284" s="1069"/>
      <c r="LOH284" s="1069"/>
      <c r="LOI284" s="1069"/>
      <c r="LOJ284" s="1069"/>
      <c r="LOK284" s="1069"/>
      <c r="LOL284" s="1069"/>
      <c r="LOM284" s="1069"/>
      <c r="LON284" s="1069"/>
      <c r="LOO284" s="1069"/>
      <c r="LOP284" s="1069"/>
      <c r="LOQ284" s="1069"/>
      <c r="LOR284" s="1069"/>
      <c r="LOS284" s="1069"/>
      <c r="LOT284" s="1069"/>
      <c r="LOU284" s="1069"/>
      <c r="LOV284" s="1069"/>
      <c r="LOW284" s="1069"/>
      <c r="LOX284" s="1069"/>
      <c r="LOY284" s="1069"/>
      <c r="LOZ284" s="1069"/>
      <c r="LPA284" s="1069"/>
      <c r="LPB284" s="1069"/>
      <c r="LPC284" s="1069"/>
      <c r="LPD284" s="1069"/>
      <c r="LPE284" s="1069"/>
      <c r="LPF284" s="1069"/>
      <c r="LPG284" s="1069"/>
      <c r="LPH284" s="1069"/>
      <c r="LPI284" s="1069"/>
      <c r="LPJ284" s="1069"/>
      <c r="LPK284" s="1069"/>
      <c r="LPL284" s="1069"/>
      <c r="LPM284" s="1069"/>
      <c r="LPN284" s="1069"/>
      <c r="LPO284" s="1069"/>
      <c r="LPP284" s="1069"/>
      <c r="LPQ284" s="1069"/>
      <c r="LPR284" s="1069"/>
      <c r="LPS284" s="1069"/>
      <c r="LPT284" s="1069"/>
      <c r="LPU284" s="1069"/>
      <c r="LPV284" s="1069"/>
      <c r="LPW284" s="1069"/>
      <c r="LPX284" s="1069"/>
      <c r="LPY284" s="1069"/>
      <c r="LPZ284" s="1069"/>
      <c r="LQA284" s="1069"/>
      <c r="LQB284" s="1069"/>
      <c r="LQC284" s="1069"/>
      <c r="LQD284" s="1069"/>
      <c r="LQE284" s="1069"/>
      <c r="LQF284" s="1069"/>
      <c r="LQG284" s="1069"/>
      <c r="LQH284" s="1069"/>
      <c r="LQI284" s="1069"/>
      <c r="LQJ284" s="1069"/>
      <c r="LQK284" s="1069"/>
      <c r="LQL284" s="1069"/>
      <c r="LQM284" s="1069"/>
      <c r="LQN284" s="1069"/>
      <c r="LQO284" s="1069"/>
      <c r="LQP284" s="1069"/>
      <c r="LQQ284" s="1069"/>
      <c r="LQR284" s="1069"/>
      <c r="LQS284" s="1069"/>
      <c r="LQT284" s="1069"/>
      <c r="LQU284" s="1069"/>
      <c r="LQV284" s="1069"/>
      <c r="LQW284" s="1069"/>
      <c r="LQX284" s="1069"/>
      <c r="LQY284" s="1069"/>
      <c r="LQZ284" s="1069"/>
      <c r="LRA284" s="1069"/>
      <c r="LRB284" s="1069"/>
      <c r="LRC284" s="1069"/>
      <c r="LRD284" s="1069"/>
      <c r="LRE284" s="1069"/>
      <c r="LRF284" s="1069"/>
      <c r="LRG284" s="1069"/>
      <c r="LRH284" s="1069"/>
      <c r="LRI284" s="1069"/>
      <c r="LRJ284" s="1069"/>
      <c r="LRK284" s="1069"/>
      <c r="LRL284" s="1069"/>
      <c r="LRM284" s="1069"/>
      <c r="LRN284" s="1069"/>
      <c r="LRO284" s="1069"/>
      <c r="LRP284" s="1069"/>
      <c r="LRQ284" s="1069"/>
      <c r="LRR284" s="1069"/>
      <c r="LRS284" s="1069"/>
      <c r="LRT284" s="1069"/>
      <c r="LRU284" s="1069"/>
      <c r="LRV284" s="1069"/>
      <c r="LRW284" s="1069"/>
      <c r="LRX284" s="1069"/>
      <c r="LRY284" s="1069"/>
      <c r="LRZ284" s="1069"/>
      <c r="LSA284" s="1069"/>
      <c r="LSB284" s="1069"/>
      <c r="LSC284" s="1069"/>
      <c r="LSD284" s="1069"/>
      <c r="LSE284" s="1069"/>
      <c r="LSF284" s="1069"/>
      <c r="LSG284" s="1069"/>
      <c r="LSH284" s="1069"/>
      <c r="LSI284" s="1069"/>
      <c r="LSJ284" s="1069"/>
      <c r="LSK284" s="1069"/>
      <c r="LSL284" s="1069"/>
      <c r="LSM284" s="1069"/>
      <c r="LSN284" s="1069"/>
      <c r="LSO284" s="1069"/>
      <c r="LSP284" s="1069"/>
      <c r="LSQ284" s="1069"/>
      <c r="LSR284" s="1069"/>
      <c r="LSS284" s="1069"/>
      <c r="LST284" s="1069"/>
      <c r="LSU284" s="1069"/>
      <c r="LSV284" s="1069"/>
      <c r="LSW284" s="1069"/>
      <c r="LSX284" s="1069"/>
      <c r="LSY284" s="1069"/>
      <c r="LSZ284" s="1069"/>
      <c r="LTA284" s="1069"/>
      <c r="LTB284" s="1069"/>
      <c r="LTC284" s="1069"/>
      <c r="LTD284" s="1069"/>
      <c r="LTE284" s="1069"/>
      <c r="LTF284" s="1069"/>
      <c r="LTG284" s="1069"/>
      <c r="LTH284" s="1069"/>
      <c r="LTI284" s="1069"/>
      <c r="LTJ284" s="1069"/>
      <c r="LTK284" s="1069"/>
      <c r="LTL284" s="1069"/>
      <c r="LTM284" s="1069"/>
      <c r="LTN284" s="1069"/>
      <c r="LTO284" s="1069"/>
      <c r="LTP284" s="1069"/>
      <c r="LTQ284" s="1069"/>
      <c r="LTR284" s="1069"/>
      <c r="LTS284" s="1069"/>
      <c r="LTT284" s="1069"/>
      <c r="LTU284" s="1069"/>
      <c r="LTV284" s="1069"/>
      <c r="LTW284" s="1069"/>
      <c r="LTX284" s="1069"/>
      <c r="LTY284" s="1069"/>
      <c r="LTZ284" s="1069"/>
      <c r="LUA284" s="1069"/>
      <c r="LUB284" s="1069"/>
      <c r="LUC284" s="1069"/>
      <c r="LUD284" s="1069"/>
      <c r="LUE284" s="1069"/>
      <c r="LUF284" s="1069"/>
      <c r="LUG284" s="1069"/>
      <c r="LUH284" s="1069"/>
      <c r="LUI284" s="1069"/>
      <c r="LUJ284" s="1069"/>
      <c r="LUK284" s="1069"/>
      <c r="LUL284" s="1069"/>
      <c r="LUM284" s="1069"/>
      <c r="LUN284" s="1069"/>
      <c r="LUO284" s="1069"/>
      <c r="LUP284" s="1069"/>
      <c r="LUQ284" s="1069"/>
      <c r="LUR284" s="1069"/>
      <c r="LUS284" s="1069"/>
      <c r="LUT284" s="1069"/>
      <c r="LUU284" s="1069"/>
      <c r="LUV284" s="1069"/>
      <c r="LUW284" s="1069"/>
      <c r="LUX284" s="1069"/>
      <c r="LUY284" s="1069"/>
      <c r="LUZ284" s="1069"/>
      <c r="LVA284" s="1069"/>
      <c r="LVB284" s="1069"/>
      <c r="LVC284" s="1069"/>
      <c r="LVD284" s="1069"/>
      <c r="LVE284" s="1069"/>
      <c r="LVF284" s="1069"/>
      <c r="LVG284" s="1069"/>
      <c r="LVH284" s="1069"/>
      <c r="LVI284" s="1069"/>
      <c r="LVJ284" s="1069"/>
      <c r="LVK284" s="1069"/>
      <c r="LVL284" s="1069"/>
      <c r="LVM284" s="1069"/>
      <c r="LVN284" s="1069"/>
      <c r="LVO284" s="1069"/>
      <c r="LVP284" s="1069"/>
      <c r="LVQ284" s="1069"/>
      <c r="LVR284" s="1069"/>
      <c r="LVS284" s="1069"/>
      <c r="LVT284" s="1069"/>
      <c r="LVU284" s="1069"/>
      <c r="LVV284" s="1069"/>
      <c r="LVW284" s="1069"/>
      <c r="LVX284" s="1069"/>
      <c r="LVY284" s="1069"/>
      <c r="LVZ284" s="1069"/>
      <c r="LWA284" s="1069"/>
      <c r="LWB284" s="1069"/>
      <c r="LWC284" s="1069"/>
      <c r="LWD284" s="1069"/>
      <c r="LWE284" s="1069"/>
      <c r="LWF284" s="1069"/>
      <c r="LWG284" s="1069"/>
      <c r="LWH284" s="1069"/>
      <c r="LWI284" s="1069"/>
      <c r="LWJ284" s="1069"/>
      <c r="LWK284" s="1069"/>
      <c r="LWL284" s="1069"/>
      <c r="LWM284" s="1069"/>
      <c r="LWN284" s="1069"/>
      <c r="LWO284" s="1069"/>
      <c r="LWP284" s="1069"/>
      <c r="LWQ284" s="1069"/>
      <c r="LWR284" s="1069"/>
      <c r="LWS284" s="1069"/>
      <c r="LWT284" s="1069"/>
      <c r="LWU284" s="1069"/>
      <c r="LWV284" s="1069"/>
      <c r="LWW284" s="1069"/>
      <c r="LWX284" s="1069"/>
      <c r="LWY284" s="1069"/>
      <c r="LWZ284" s="1069"/>
      <c r="LXA284" s="1069"/>
      <c r="LXB284" s="1069"/>
      <c r="LXC284" s="1069"/>
      <c r="LXD284" s="1069"/>
      <c r="LXE284" s="1069"/>
      <c r="LXF284" s="1069"/>
      <c r="LXG284" s="1069"/>
      <c r="LXH284" s="1069"/>
      <c r="LXI284" s="1069"/>
      <c r="LXJ284" s="1069"/>
      <c r="LXK284" s="1069"/>
      <c r="LXL284" s="1069"/>
      <c r="LXM284" s="1069"/>
      <c r="LXN284" s="1069"/>
      <c r="LXO284" s="1069"/>
      <c r="LXP284" s="1069"/>
      <c r="LXQ284" s="1069"/>
      <c r="LXR284" s="1069"/>
      <c r="LXS284" s="1069"/>
      <c r="LXT284" s="1069"/>
      <c r="LXU284" s="1069"/>
      <c r="LXV284" s="1069"/>
      <c r="LXW284" s="1069"/>
      <c r="LXX284" s="1069"/>
      <c r="LXY284" s="1069"/>
      <c r="LXZ284" s="1069"/>
      <c r="LYA284" s="1069"/>
      <c r="LYB284" s="1069"/>
      <c r="LYC284" s="1069"/>
      <c r="LYD284" s="1069"/>
      <c r="LYE284" s="1069"/>
      <c r="LYF284" s="1069"/>
      <c r="LYG284" s="1069"/>
      <c r="LYH284" s="1069"/>
      <c r="LYI284" s="1069"/>
      <c r="LYJ284" s="1069"/>
      <c r="LYK284" s="1069"/>
      <c r="LYL284" s="1069"/>
      <c r="LYM284" s="1069"/>
      <c r="LYN284" s="1069"/>
      <c r="LYO284" s="1069"/>
      <c r="LYP284" s="1069"/>
      <c r="LYQ284" s="1069"/>
      <c r="LYR284" s="1069"/>
      <c r="LYS284" s="1069"/>
      <c r="LYT284" s="1069"/>
      <c r="LYU284" s="1069"/>
      <c r="LYV284" s="1069"/>
      <c r="LYW284" s="1069"/>
      <c r="LYX284" s="1069"/>
      <c r="LYY284" s="1069"/>
      <c r="LYZ284" s="1069"/>
      <c r="LZA284" s="1069"/>
      <c r="LZB284" s="1069"/>
      <c r="LZC284" s="1069"/>
      <c r="LZD284" s="1069"/>
      <c r="LZE284" s="1069"/>
      <c r="LZF284" s="1069"/>
      <c r="LZG284" s="1069"/>
      <c r="LZH284" s="1069"/>
      <c r="LZI284" s="1069"/>
      <c r="LZJ284" s="1069"/>
      <c r="LZK284" s="1069"/>
      <c r="LZL284" s="1069"/>
      <c r="LZM284" s="1069"/>
      <c r="LZN284" s="1069"/>
      <c r="LZO284" s="1069"/>
      <c r="LZP284" s="1069"/>
      <c r="LZQ284" s="1069"/>
      <c r="LZR284" s="1069"/>
      <c r="LZS284" s="1069"/>
      <c r="LZT284" s="1069"/>
      <c r="LZU284" s="1069"/>
      <c r="LZV284" s="1069"/>
      <c r="LZW284" s="1069"/>
      <c r="LZX284" s="1069"/>
      <c r="LZY284" s="1069"/>
      <c r="LZZ284" s="1069"/>
      <c r="MAA284" s="1069"/>
      <c r="MAB284" s="1069"/>
      <c r="MAC284" s="1069"/>
      <c r="MAD284" s="1069"/>
      <c r="MAE284" s="1069"/>
      <c r="MAF284" s="1069"/>
      <c r="MAG284" s="1069"/>
      <c r="MAH284" s="1069"/>
      <c r="MAI284" s="1069"/>
      <c r="MAJ284" s="1069"/>
      <c r="MAK284" s="1069"/>
      <c r="MAL284" s="1069"/>
      <c r="MAM284" s="1069"/>
      <c r="MAN284" s="1069"/>
      <c r="MAO284" s="1069"/>
      <c r="MAP284" s="1069"/>
      <c r="MAQ284" s="1069"/>
      <c r="MAR284" s="1069"/>
      <c r="MAS284" s="1069"/>
      <c r="MAT284" s="1069"/>
      <c r="MAU284" s="1069"/>
      <c r="MAV284" s="1069"/>
      <c r="MAW284" s="1069"/>
      <c r="MAX284" s="1069"/>
      <c r="MAY284" s="1069"/>
      <c r="MAZ284" s="1069"/>
      <c r="MBA284" s="1069"/>
      <c r="MBB284" s="1069"/>
      <c r="MBC284" s="1069"/>
      <c r="MBD284" s="1069"/>
      <c r="MBE284" s="1069"/>
      <c r="MBF284" s="1069"/>
      <c r="MBG284" s="1069"/>
      <c r="MBH284" s="1069"/>
      <c r="MBI284" s="1069"/>
      <c r="MBJ284" s="1069"/>
      <c r="MBK284" s="1069"/>
      <c r="MBL284" s="1069"/>
      <c r="MBM284" s="1069"/>
      <c r="MBN284" s="1069"/>
      <c r="MBO284" s="1069"/>
      <c r="MBP284" s="1069"/>
      <c r="MBQ284" s="1069"/>
      <c r="MBR284" s="1069"/>
      <c r="MBS284" s="1069"/>
      <c r="MBT284" s="1069"/>
      <c r="MBU284" s="1069"/>
      <c r="MBV284" s="1069"/>
      <c r="MBW284" s="1069"/>
      <c r="MBX284" s="1069"/>
      <c r="MBY284" s="1069"/>
      <c r="MBZ284" s="1069"/>
      <c r="MCA284" s="1069"/>
      <c r="MCB284" s="1069"/>
      <c r="MCC284" s="1069"/>
      <c r="MCD284" s="1069"/>
      <c r="MCE284" s="1069"/>
      <c r="MCF284" s="1069"/>
      <c r="MCG284" s="1069"/>
      <c r="MCH284" s="1069"/>
      <c r="MCI284" s="1069"/>
      <c r="MCJ284" s="1069"/>
      <c r="MCK284" s="1069"/>
      <c r="MCL284" s="1069"/>
      <c r="MCM284" s="1069"/>
      <c r="MCN284" s="1069"/>
      <c r="MCO284" s="1069"/>
      <c r="MCP284" s="1069"/>
      <c r="MCQ284" s="1069"/>
      <c r="MCR284" s="1069"/>
      <c r="MCS284" s="1069"/>
      <c r="MCT284" s="1069"/>
      <c r="MCU284" s="1069"/>
      <c r="MCV284" s="1069"/>
      <c r="MCW284" s="1069"/>
      <c r="MCX284" s="1069"/>
      <c r="MCY284" s="1069"/>
      <c r="MCZ284" s="1069"/>
      <c r="MDA284" s="1069"/>
      <c r="MDB284" s="1069"/>
      <c r="MDC284" s="1069"/>
      <c r="MDD284" s="1069"/>
      <c r="MDE284" s="1069"/>
      <c r="MDF284" s="1069"/>
      <c r="MDG284" s="1069"/>
      <c r="MDH284" s="1069"/>
      <c r="MDI284" s="1069"/>
      <c r="MDJ284" s="1069"/>
      <c r="MDK284" s="1069"/>
      <c r="MDL284" s="1069"/>
      <c r="MDM284" s="1069"/>
      <c r="MDN284" s="1069"/>
      <c r="MDO284" s="1069"/>
      <c r="MDP284" s="1069"/>
      <c r="MDQ284" s="1069"/>
      <c r="MDR284" s="1069"/>
      <c r="MDS284" s="1069"/>
      <c r="MDT284" s="1069"/>
      <c r="MDU284" s="1069"/>
      <c r="MDV284" s="1069"/>
      <c r="MDW284" s="1069"/>
      <c r="MDX284" s="1069"/>
      <c r="MDY284" s="1069"/>
      <c r="MDZ284" s="1069"/>
      <c r="MEA284" s="1069"/>
      <c r="MEB284" s="1069"/>
      <c r="MEC284" s="1069"/>
      <c r="MED284" s="1069"/>
      <c r="MEE284" s="1069"/>
      <c r="MEF284" s="1069"/>
      <c r="MEG284" s="1069"/>
      <c r="MEH284" s="1069"/>
      <c r="MEI284" s="1069"/>
      <c r="MEJ284" s="1069"/>
      <c r="MEK284" s="1069"/>
      <c r="MEL284" s="1069"/>
      <c r="MEM284" s="1069"/>
      <c r="MEN284" s="1069"/>
      <c r="MEO284" s="1069"/>
      <c r="MEP284" s="1069"/>
      <c r="MEQ284" s="1069"/>
      <c r="MER284" s="1069"/>
      <c r="MES284" s="1069"/>
      <c r="MET284" s="1069"/>
      <c r="MEU284" s="1069"/>
      <c r="MEV284" s="1069"/>
      <c r="MEW284" s="1069"/>
      <c r="MEX284" s="1069"/>
      <c r="MEY284" s="1069"/>
      <c r="MEZ284" s="1069"/>
      <c r="MFA284" s="1069"/>
      <c r="MFB284" s="1069"/>
      <c r="MFC284" s="1069"/>
      <c r="MFD284" s="1069"/>
      <c r="MFE284" s="1069"/>
      <c r="MFF284" s="1069"/>
      <c r="MFG284" s="1069"/>
      <c r="MFH284" s="1069"/>
      <c r="MFI284" s="1069"/>
      <c r="MFJ284" s="1069"/>
      <c r="MFK284" s="1069"/>
      <c r="MFL284" s="1069"/>
      <c r="MFM284" s="1069"/>
      <c r="MFN284" s="1069"/>
      <c r="MFO284" s="1069"/>
      <c r="MFP284" s="1069"/>
      <c r="MFQ284" s="1069"/>
      <c r="MFR284" s="1069"/>
      <c r="MFS284" s="1069"/>
      <c r="MFT284" s="1069"/>
      <c r="MFU284" s="1069"/>
      <c r="MFV284" s="1069"/>
      <c r="MFW284" s="1069"/>
      <c r="MFX284" s="1069"/>
      <c r="MFY284" s="1069"/>
      <c r="MFZ284" s="1069"/>
      <c r="MGA284" s="1069"/>
      <c r="MGB284" s="1069"/>
      <c r="MGC284" s="1069"/>
      <c r="MGD284" s="1069"/>
      <c r="MGE284" s="1069"/>
      <c r="MGF284" s="1069"/>
      <c r="MGG284" s="1069"/>
      <c r="MGH284" s="1069"/>
      <c r="MGI284" s="1069"/>
      <c r="MGJ284" s="1069"/>
      <c r="MGK284" s="1069"/>
      <c r="MGL284" s="1069"/>
      <c r="MGM284" s="1069"/>
      <c r="MGN284" s="1069"/>
      <c r="MGO284" s="1069"/>
      <c r="MGP284" s="1069"/>
      <c r="MGQ284" s="1069"/>
      <c r="MGR284" s="1069"/>
      <c r="MGS284" s="1069"/>
      <c r="MGT284" s="1069"/>
      <c r="MGU284" s="1069"/>
      <c r="MGV284" s="1069"/>
      <c r="MGW284" s="1069"/>
      <c r="MGX284" s="1069"/>
      <c r="MGY284" s="1069"/>
      <c r="MGZ284" s="1069"/>
      <c r="MHA284" s="1069"/>
      <c r="MHB284" s="1069"/>
      <c r="MHC284" s="1069"/>
      <c r="MHD284" s="1069"/>
      <c r="MHE284" s="1069"/>
      <c r="MHF284" s="1069"/>
      <c r="MHG284" s="1069"/>
      <c r="MHH284" s="1069"/>
      <c r="MHI284" s="1069"/>
      <c r="MHJ284" s="1069"/>
      <c r="MHK284" s="1069"/>
      <c r="MHL284" s="1069"/>
      <c r="MHM284" s="1069"/>
      <c r="MHN284" s="1069"/>
      <c r="MHO284" s="1069"/>
      <c r="MHP284" s="1069"/>
      <c r="MHQ284" s="1069"/>
      <c r="MHR284" s="1069"/>
      <c r="MHS284" s="1069"/>
      <c r="MHT284" s="1069"/>
      <c r="MHU284" s="1069"/>
      <c r="MHV284" s="1069"/>
      <c r="MHW284" s="1069"/>
      <c r="MHX284" s="1069"/>
      <c r="MHY284" s="1069"/>
      <c r="MHZ284" s="1069"/>
      <c r="MIA284" s="1069"/>
      <c r="MIB284" s="1069"/>
      <c r="MIC284" s="1069"/>
      <c r="MID284" s="1069"/>
      <c r="MIE284" s="1069"/>
      <c r="MIF284" s="1069"/>
      <c r="MIG284" s="1069"/>
      <c r="MIH284" s="1069"/>
      <c r="MII284" s="1069"/>
      <c r="MIJ284" s="1069"/>
      <c r="MIK284" s="1069"/>
      <c r="MIL284" s="1069"/>
      <c r="MIM284" s="1069"/>
      <c r="MIN284" s="1069"/>
      <c r="MIO284" s="1069"/>
      <c r="MIP284" s="1069"/>
      <c r="MIQ284" s="1069"/>
      <c r="MIR284" s="1069"/>
      <c r="MIS284" s="1069"/>
      <c r="MIT284" s="1069"/>
      <c r="MIU284" s="1069"/>
      <c r="MIV284" s="1069"/>
      <c r="MIW284" s="1069"/>
      <c r="MIX284" s="1069"/>
      <c r="MIY284" s="1069"/>
      <c r="MIZ284" s="1069"/>
      <c r="MJA284" s="1069"/>
      <c r="MJB284" s="1069"/>
      <c r="MJC284" s="1069"/>
      <c r="MJD284" s="1069"/>
      <c r="MJE284" s="1069"/>
      <c r="MJF284" s="1069"/>
      <c r="MJG284" s="1069"/>
      <c r="MJH284" s="1069"/>
      <c r="MJI284" s="1069"/>
      <c r="MJJ284" s="1069"/>
      <c r="MJK284" s="1069"/>
      <c r="MJL284" s="1069"/>
      <c r="MJM284" s="1069"/>
      <c r="MJN284" s="1069"/>
      <c r="MJO284" s="1069"/>
      <c r="MJP284" s="1069"/>
      <c r="MJQ284" s="1069"/>
      <c r="MJR284" s="1069"/>
      <c r="MJS284" s="1069"/>
      <c r="MJT284" s="1069"/>
      <c r="MJU284" s="1069"/>
      <c r="MJV284" s="1069"/>
      <c r="MJW284" s="1069"/>
      <c r="MJX284" s="1069"/>
      <c r="MJY284" s="1069"/>
      <c r="MJZ284" s="1069"/>
      <c r="MKA284" s="1069"/>
      <c r="MKB284" s="1069"/>
      <c r="MKC284" s="1069"/>
      <c r="MKD284" s="1069"/>
      <c r="MKE284" s="1069"/>
      <c r="MKF284" s="1069"/>
      <c r="MKG284" s="1069"/>
      <c r="MKH284" s="1069"/>
      <c r="MKI284" s="1069"/>
      <c r="MKJ284" s="1069"/>
      <c r="MKK284" s="1069"/>
      <c r="MKL284" s="1069"/>
      <c r="MKM284" s="1069"/>
      <c r="MKN284" s="1069"/>
      <c r="MKO284" s="1069"/>
      <c r="MKP284" s="1069"/>
      <c r="MKQ284" s="1069"/>
      <c r="MKR284" s="1069"/>
      <c r="MKS284" s="1069"/>
      <c r="MKT284" s="1069"/>
      <c r="MKU284" s="1069"/>
      <c r="MKV284" s="1069"/>
      <c r="MKW284" s="1069"/>
      <c r="MKX284" s="1069"/>
      <c r="MKY284" s="1069"/>
      <c r="MKZ284" s="1069"/>
      <c r="MLA284" s="1069"/>
      <c r="MLB284" s="1069"/>
      <c r="MLC284" s="1069"/>
      <c r="MLD284" s="1069"/>
      <c r="MLE284" s="1069"/>
      <c r="MLF284" s="1069"/>
      <c r="MLG284" s="1069"/>
      <c r="MLH284" s="1069"/>
      <c r="MLI284" s="1069"/>
      <c r="MLJ284" s="1069"/>
      <c r="MLK284" s="1069"/>
      <c r="MLL284" s="1069"/>
      <c r="MLM284" s="1069"/>
      <c r="MLN284" s="1069"/>
      <c r="MLO284" s="1069"/>
      <c r="MLP284" s="1069"/>
      <c r="MLQ284" s="1069"/>
      <c r="MLR284" s="1069"/>
      <c r="MLS284" s="1069"/>
      <c r="MLT284" s="1069"/>
      <c r="MLU284" s="1069"/>
      <c r="MLV284" s="1069"/>
      <c r="MLW284" s="1069"/>
      <c r="MLX284" s="1069"/>
      <c r="MLY284" s="1069"/>
      <c r="MLZ284" s="1069"/>
      <c r="MMA284" s="1069"/>
      <c r="MMB284" s="1069"/>
      <c r="MMC284" s="1069"/>
      <c r="MMD284" s="1069"/>
      <c r="MME284" s="1069"/>
      <c r="MMF284" s="1069"/>
      <c r="MMG284" s="1069"/>
      <c r="MMH284" s="1069"/>
      <c r="MMI284" s="1069"/>
      <c r="MMJ284" s="1069"/>
      <c r="MMK284" s="1069"/>
      <c r="MML284" s="1069"/>
      <c r="MMM284" s="1069"/>
      <c r="MMN284" s="1069"/>
      <c r="MMO284" s="1069"/>
      <c r="MMP284" s="1069"/>
      <c r="MMQ284" s="1069"/>
      <c r="MMR284" s="1069"/>
      <c r="MMS284" s="1069"/>
      <c r="MMT284" s="1069"/>
      <c r="MMU284" s="1069"/>
      <c r="MMV284" s="1069"/>
      <c r="MMW284" s="1069"/>
      <c r="MMX284" s="1069"/>
      <c r="MMY284" s="1069"/>
      <c r="MMZ284" s="1069"/>
      <c r="MNA284" s="1069"/>
      <c r="MNB284" s="1069"/>
      <c r="MNC284" s="1069"/>
      <c r="MND284" s="1069"/>
      <c r="MNE284" s="1069"/>
      <c r="MNF284" s="1069"/>
      <c r="MNG284" s="1069"/>
      <c r="MNH284" s="1069"/>
      <c r="MNI284" s="1069"/>
      <c r="MNJ284" s="1069"/>
      <c r="MNK284" s="1069"/>
      <c r="MNL284" s="1069"/>
      <c r="MNM284" s="1069"/>
      <c r="MNN284" s="1069"/>
      <c r="MNO284" s="1069"/>
      <c r="MNP284" s="1069"/>
      <c r="MNQ284" s="1069"/>
      <c r="MNR284" s="1069"/>
      <c r="MNS284" s="1069"/>
      <c r="MNT284" s="1069"/>
      <c r="MNU284" s="1069"/>
      <c r="MNV284" s="1069"/>
      <c r="MNW284" s="1069"/>
      <c r="MNX284" s="1069"/>
      <c r="MNY284" s="1069"/>
      <c r="MNZ284" s="1069"/>
      <c r="MOA284" s="1069"/>
      <c r="MOB284" s="1069"/>
      <c r="MOC284" s="1069"/>
      <c r="MOD284" s="1069"/>
      <c r="MOE284" s="1069"/>
      <c r="MOF284" s="1069"/>
      <c r="MOG284" s="1069"/>
      <c r="MOH284" s="1069"/>
      <c r="MOI284" s="1069"/>
      <c r="MOJ284" s="1069"/>
      <c r="MOK284" s="1069"/>
      <c r="MOL284" s="1069"/>
      <c r="MOM284" s="1069"/>
      <c r="MON284" s="1069"/>
      <c r="MOO284" s="1069"/>
      <c r="MOP284" s="1069"/>
      <c r="MOQ284" s="1069"/>
      <c r="MOR284" s="1069"/>
      <c r="MOS284" s="1069"/>
      <c r="MOT284" s="1069"/>
      <c r="MOU284" s="1069"/>
      <c r="MOV284" s="1069"/>
      <c r="MOW284" s="1069"/>
      <c r="MOX284" s="1069"/>
      <c r="MOY284" s="1069"/>
      <c r="MOZ284" s="1069"/>
      <c r="MPA284" s="1069"/>
      <c r="MPB284" s="1069"/>
      <c r="MPC284" s="1069"/>
      <c r="MPD284" s="1069"/>
      <c r="MPE284" s="1069"/>
      <c r="MPF284" s="1069"/>
      <c r="MPG284" s="1069"/>
      <c r="MPH284" s="1069"/>
      <c r="MPI284" s="1069"/>
      <c r="MPJ284" s="1069"/>
      <c r="MPK284" s="1069"/>
      <c r="MPL284" s="1069"/>
      <c r="MPM284" s="1069"/>
      <c r="MPN284" s="1069"/>
      <c r="MPO284" s="1069"/>
      <c r="MPP284" s="1069"/>
      <c r="MPQ284" s="1069"/>
      <c r="MPR284" s="1069"/>
      <c r="MPS284" s="1069"/>
      <c r="MPT284" s="1069"/>
      <c r="MPU284" s="1069"/>
      <c r="MPV284" s="1069"/>
      <c r="MPW284" s="1069"/>
      <c r="MPX284" s="1069"/>
      <c r="MPY284" s="1069"/>
      <c r="MPZ284" s="1069"/>
      <c r="MQA284" s="1069"/>
      <c r="MQB284" s="1069"/>
      <c r="MQC284" s="1069"/>
      <c r="MQD284" s="1069"/>
      <c r="MQE284" s="1069"/>
      <c r="MQF284" s="1069"/>
      <c r="MQG284" s="1069"/>
      <c r="MQH284" s="1069"/>
      <c r="MQI284" s="1069"/>
      <c r="MQJ284" s="1069"/>
      <c r="MQK284" s="1069"/>
      <c r="MQL284" s="1069"/>
      <c r="MQM284" s="1069"/>
      <c r="MQN284" s="1069"/>
      <c r="MQO284" s="1069"/>
      <c r="MQP284" s="1069"/>
      <c r="MQQ284" s="1069"/>
      <c r="MQR284" s="1069"/>
      <c r="MQS284" s="1069"/>
      <c r="MQT284" s="1069"/>
      <c r="MQU284" s="1069"/>
      <c r="MQV284" s="1069"/>
      <c r="MQW284" s="1069"/>
      <c r="MQX284" s="1069"/>
      <c r="MQY284" s="1069"/>
      <c r="MQZ284" s="1069"/>
      <c r="MRA284" s="1069"/>
      <c r="MRB284" s="1069"/>
      <c r="MRC284" s="1069"/>
      <c r="MRD284" s="1069"/>
      <c r="MRE284" s="1069"/>
      <c r="MRF284" s="1069"/>
      <c r="MRG284" s="1069"/>
      <c r="MRH284" s="1069"/>
      <c r="MRI284" s="1069"/>
      <c r="MRJ284" s="1069"/>
      <c r="MRK284" s="1069"/>
      <c r="MRL284" s="1069"/>
      <c r="MRM284" s="1069"/>
      <c r="MRN284" s="1069"/>
      <c r="MRO284" s="1069"/>
      <c r="MRP284" s="1069"/>
      <c r="MRQ284" s="1069"/>
      <c r="MRR284" s="1069"/>
      <c r="MRS284" s="1069"/>
      <c r="MRT284" s="1069"/>
      <c r="MRU284" s="1069"/>
      <c r="MRV284" s="1069"/>
      <c r="MRW284" s="1069"/>
      <c r="MRX284" s="1069"/>
      <c r="MRY284" s="1069"/>
      <c r="MRZ284" s="1069"/>
      <c r="MSA284" s="1069"/>
      <c r="MSB284" s="1069"/>
      <c r="MSC284" s="1069"/>
      <c r="MSD284" s="1069"/>
      <c r="MSE284" s="1069"/>
      <c r="MSF284" s="1069"/>
      <c r="MSG284" s="1069"/>
      <c r="MSH284" s="1069"/>
      <c r="MSI284" s="1069"/>
      <c r="MSJ284" s="1069"/>
      <c r="MSK284" s="1069"/>
      <c r="MSL284" s="1069"/>
      <c r="MSM284" s="1069"/>
      <c r="MSN284" s="1069"/>
      <c r="MSO284" s="1069"/>
      <c r="MSP284" s="1069"/>
      <c r="MSQ284" s="1069"/>
      <c r="MSR284" s="1069"/>
      <c r="MSS284" s="1069"/>
      <c r="MST284" s="1069"/>
      <c r="MSU284" s="1069"/>
      <c r="MSV284" s="1069"/>
      <c r="MSW284" s="1069"/>
      <c r="MSX284" s="1069"/>
      <c r="MSY284" s="1069"/>
      <c r="MSZ284" s="1069"/>
      <c r="MTA284" s="1069"/>
      <c r="MTB284" s="1069"/>
      <c r="MTC284" s="1069"/>
      <c r="MTD284" s="1069"/>
      <c r="MTE284" s="1069"/>
      <c r="MTF284" s="1069"/>
      <c r="MTG284" s="1069"/>
      <c r="MTH284" s="1069"/>
      <c r="MTI284" s="1069"/>
      <c r="MTJ284" s="1069"/>
      <c r="MTK284" s="1069"/>
      <c r="MTL284" s="1069"/>
      <c r="MTM284" s="1069"/>
      <c r="MTN284" s="1069"/>
      <c r="MTO284" s="1069"/>
      <c r="MTP284" s="1069"/>
      <c r="MTQ284" s="1069"/>
      <c r="MTR284" s="1069"/>
      <c r="MTS284" s="1069"/>
      <c r="MTT284" s="1069"/>
      <c r="MTU284" s="1069"/>
      <c r="MTV284" s="1069"/>
      <c r="MTW284" s="1069"/>
      <c r="MTX284" s="1069"/>
      <c r="MTY284" s="1069"/>
      <c r="MTZ284" s="1069"/>
      <c r="MUA284" s="1069"/>
      <c r="MUB284" s="1069"/>
      <c r="MUC284" s="1069"/>
      <c r="MUD284" s="1069"/>
      <c r="MUE284" s="1069"/>
      <c r="MUF284" s="1069"/>
      <c r="MUG284" s="1069"/>
      <c r="MUH284" s="1069"/>
      <c r="MUI284" s="1069"/>
      <c r="MUJ284" s="1069"/>
      <c r="MUK284" s="1069"/>
      <c r="MUL284" s="1069"/>
      <c r="MUM284" s="1069"/>
      <c r="MUN284" s="1069"/>
      <c r="MUO284" s="1069"/>
      <c r="MUP284" s="1069"/>
      <c r="MUQ284" s="1069"/>
      <c r="MUR284" s="1069"/>
      <c r="MUS284" s="1069"/>
      <c r="MUT284" s="1069"/>
      <c r="MUU284" s="1069"/>
      <c r="MUV284" s="1069"/>
      <c r="MUW284" s="1069"/>
      <c r="MUX284" s="1069"/>
      <c r="MUY284" s="1069"/>
      <c r="MUZ284" s="1069"/>
      <c r="MVA284" s="1069"/>
      <c r="MVB284" s="1069"/>
      <c r="MVC284" s="1069"/>
      <c r="MVD284" s="1069"/>
      <c r="MVE284" s="1069"/>
      <c r="MVF284" s="1069"/>
      <c r="MVG284" s="1069"/>
      <c r="MVH284" s="1069"/>
      <c r="MVI284" s="1069"/>
      <c r="MVJ284" s="1069"/>
      <c r="MVK284" s="1069"/>
      <c r="MVL284" s="1069"/>
      <c r="MVM284" s="1069"/>
      <c r="MVN284" s="1069"/>
      <c r="MVO284" s="1069"/>
      <c r="MVP284" s="1069"/>
      <c r="MVQ284" s="1069"/>
      <c r="MVR284" s="1069"/>
      <c r="MVS284" s="1069"/>
      <c r="MVT284" s="1069"/>
      <c r="MVU284" s="1069"/>
      <c r="MVV284" s="1069"/>
      <c r="MVW284" s="1069"/>
      <c r="MVX284" s="1069"/>
      <c r="MVY284" s="1069"/>
      <c r="MVZ284" s="1069"/>
      <c r="MWA284" s="1069"/>
      <c r="MWB284" s="1069"/>
      <c r="MWC284" s="1069"/>
      <c r="MWD284" s="1069"/>
      <c r="MWE284" s="1069"/>
      <c r="MWF284" s="1069"/>
      <c r="MWG284" s="1069"/>
      <c r="MWH284" s="1069"/>
      <c r="MWI284" s="1069"/>
      <c r="MWJ284" s="1069"/>
      <c r="MWK284" s="1069"/>
      <c r="MWL284" s="1069"/>
      <c r="MWM284" s="1069"/>
      <c r="MWN284" s="1069"/>
      <c r="MWO284" s="1069"/>
      <c r="MWP284" s="1069"/>
      <c r="MWQ284" s="1069"/>
      <c r="MWR284" s="1069"/>
      <c r="MWS284" s="1069"/>
      <c r="MWT284" s="1069"/>
      <c r="MWU284" s="1069"/>
      <c r="MWV284" s="1069"/>
      <c r="MWW284" s="1069"/>
      <c r="MWX284" s="1069"/>
      <c r="MWY284" s="1069"/>
      <c r="MWZ284" s="1069"/>
      <c r="MXA284" s="1069"/>
      <c r="MXB284" s="1069"/>
      <c r="MXC284" s="1069"/>
      <c r="MXD284" s="1069"/>
      <c r="MXE284" s="1069"/>
      <c r="MXF284" s="1069"/>
      <c r="MXG284" s="1069"/>
      <c r="MXH284" s="1069"/>
      <c r="MXI284" s="1069"/>
      <c r="MXJ284" s="1069"/>
      <c r="MXK284" s="1069"/>
      <c r="MXL284" s="1069"/>
      <c r="MXM284" s="1069"/>
      <c r="MXN284" s="1069"/>
      <c r="MXO284" s="1069"/>
      <c r="MXP284" s="1069"/>
      <c r="MXQ284" s="1069"/>
      <c r="MXR284" s="1069"/>
      <c r="MXS284" s="1069"/>
      <c r="MXT284" s="1069"/>
      <c r="MXU284" s="1069"/>
      <c r="MXV284" s="1069"/>
      <c r="MXW284" s="1069"/>
      <c r="MXX284" s="1069"/>
      <c r="MXY284" s="1069"/>
      <c r="MXZ284" s="1069"/>
      <c r="MYA284" s="1069"/>
      <c r="MYB284" s="1069"/>
      <c r="MYC284" s="1069"/>
      <c r="MYD284" s="1069"/>
      <c r="MYE284" s="1069"/>
      <c r="MYF284" s="1069"/>
      <c r="MYG284" s="1069"/>
      <c r="MYH284" s="1069"/>
      <c r="MYI284" s="1069"/>
      <c r="MYJ284" s="1069"/>
      <c r="MYK284" s="1069"/>
      <c r="MYL284" s="1069"/>
      <c r="MYM284" s="1069"/>
      <c r="MYN284" s="1069"/>
      <c r="MYO284" s="1069"/>
      <c r="MYP284" s="1069"/>
      <c r="MYQ284" s="1069"/>
      <c r="MYR284" s="1069"/>
      <c r="MYS284" s="1069"/>
      <c r="MYT284" s="1069"/>
      <c r="MYU284" s="1069"/>
      <c r="MYV284" s="1069"/>
      <c r="MYW284" s="1069"/>
      <c r="MYX284" s="1069"/>
      <c r="MYY284" s="1069"/>
      <c r="MYZ284" s="1069"/>
      <c r="MZA284" s="1069"/>
      <c r="MZB284" s="1069"/>
      <c r="MZC284" s="1069"/>
      <c r="MZD284" s="1069"/>
      <c r="MZE284" s="1069"/>
      <c r="MZF284" s="1069"/>
      <c r="MZG284" s="1069"/>
      <c r="MZH284" s="1069"/>
      <c r="MZI284" s="1069"/>
      <c r="MZJ284" s="1069"/>
      <c r="MZK284" s="1069"/>
      <c r="MZL284" s="1069"/>
      <c r="MZM284" s="1069"/>
      <c r="MZN284" s="1069"/>
      <c r="MZO284" s="1069"/>
      <c r="MZP284" s="1069"/>
      <c r="MZQ284" s="1069"/>
      <c r="MZR284" s="1069"/>
      <c r="MZS284" s="1069"/>
      <c r="MZT284" s="1069"/>
      <c r="MZU284" s="1069"/>
      <c r="MZV284" s="1069"/>
      <c r="MZW284" s="1069"/>
      <c r="MZX284" s="1069"/>
      <c r="MZY284" s="1069"/>
      <c r="MZZ284" s="1069"/>
      <c r="NAA284" s="1069"/>
      <c r="NAB284" s="1069"/>
      <c r="NAC284" s="1069"/>
      <c r="NAD284" s="1069"/>
      <c r="NAE284" s="1069"/>
      <c r="NAF284" s="1069"/>
      <c r="NAG284" s="1069"/>
      <c r="NAH284" s="1069"/>
      <c r="NAI284" s="1069"/>
      <c r="NAJ284" s="1069"/>
      <c r="NAK284" s="1069"/>
      <c r="NAL284" s="1069"/>
      <c r="NAM284" s="1069"/>
      <c r="NAN284" s="1069"/>
      <c r="NAO284" s="1069"/>
      <c r="NAP284" s="1069"/>
      <c r="NAQ284" s="1069"/>
      <c r="NAR284" s="1069"/>
      <c r="NAS284" s="1069"/>
      <c r="NAT284" s="1069"/>
      <c r="NAU284" s="1069"/>
      <c r="NAV284" s="1069"/>
      <c r="NAW284" s="1069"/>
      <c r="NAX284" s="1069"/>
      <c r="NAY284" s="1069"/>
      <c r="NAZ284" s="1069"/>
      <c r="NBA284" s="1069"/>
      <c r="NBB284" s="1069"/>
      <c r="NBC284" s="1069"/>
      <c r="NBD284" s="1069"/>
      <c r="NBE284" s="1069"/>
      <c r="NBF284" s="1069"/>
      <c r="NBG284" s="1069"/>
      <c r="NBH284" s="1069"/>
      <c r="NBI284" s="1069"/>
      <c r="NBJ284" s="1069"/>
      <c r="NBK284" s="1069"/>
      <c r="NBL284" s="1069"/>
      <c r="NBM284" s="1069"/>
      <c r="NBN284" s="1069"/>
      <c r="NBO284" s="1069"/>
      <c r="NBP284" s="1069"/>
      <c r="NBQ284" s="1069"/>
      <c r="NBR284" s="1069"/>
      <c r="NBS284" s="1069"/>
      <c r="NBT284" s="1069"/>
      <c r="NBU284" s="1069"/>
      <c r="NBV284" s="1069"/>
      <c r="NBW284" s="1069"/>
      <c r="NBX284" s="1069"/>
      <c r="NBY284" s="1069"/>
      <c r="NBZ284" s="1069"/>
      <c r="NCA284" s="1069"/>
      <c r="NCB284" s="1069"/>
      <c r="NCC284" s="1069"/>
      <c r="NCD284" s="1069"/>
      <c r="NCE284" s="1069"/>
      <c r="NCF284" s="1069"/>
      <c r="NCG284" s="1069"/>
      <c r="NCH284" s="1069"/>
      <c r="NCI284" s="1069"/>
      <c r="NCJ284" s="1069"/>
      <c r="NCK284" s="1069"/>
      <c r="NCL284" s="1069"/>
      <c r="NCM284" s="1069"/>
      <c r="NCN284" s="1069"/>
      <c r="NCO284" s="1069"/>
      <c r="NCP284" s="1069"/>
      <c r="NCQ284" s="1069"/>
      <c r="NCR284" s="1069"/>
      <c r="NCS284" s="1069"/>
      <c r="NCT284" s="1069"/>
      <c r="NCU284" s="1069"/>
      <c r="NCV284" s="1069"/>
      <c r="NCW284" s="1069"/>
      <c r="NCX284" s="1069"/>
      <c r="NCY284" s="1069"/>
      <c r="NCZ284" s="1069"/>
      <c r="NDA284" s="1069"/>
      <c r="NDB284" s="1069"/>
      <c r="NDC284" s="1069"/>
      <c r="NDD284" s="1069"/>
      <c r="NDE284" s="1069"/>
      <c r="NDF284" s="1069"/>
      <c r="NDG284" s="1069"/>
      <c r="NDH284" s="1069"/>
      <c r="NDI284" s="1069"/>
      <c r="NDJ284" s="1069"/>
      <c r="NDK284" s="1069"/>
      <c r="NDL284" s="1069"/>
      <c r="NDM284" s="1069"/>
      <c r="NDN284" s="1069"/>
      <c r="NDO284" s="1069"/>
      <c r="NDP284" s="1069"/>
      <c r="NDQ284" s="1069"/>
      <c r="NDR284" s="1069"/>
      <c r="NDS284" s="1069"/>
      <c r="NDT284" s="1069"/>
      <c r="NDU284" s="1069"/>
      <c r="NDV284" s="1069"/>
      <c r="NDW284" s="1069"/>
      <c r="NDX284" s="1069"/>
      <c r="NDY284" s="1069"/>
      <c r="NDZ284" s="1069"/>
      <c r="NEA284" s="1069"/>
      <c r="NEB284" s="1069"/>
      <c r="NEC284" s="1069"/>
      <c r="NED284" s="1069"/>
      <c r="NEE284" s="1069"/>
      <c r="NEF284" s="1069"/>
      <c r="NEG284" s="1069"/>
      <c r="NEH284" s="1069"/>
      <c r="NEI284" s="1069"/>
      <c r="NEJ284" s="1069"/>
      <c r="NEK284" s="1069"/>
      <c r="NEL284" s="1069"/>
      <c r="NEM284" s="1069"/>
      <c r="NEN284" s="1069"/>
      <c r="NEO284" s="1069"/>
      <c r="NEP284" s="1069"/>
      <c r="NEQ284" s="1069"/>
      <c r="NER284" s="1069"/>
      <c r="NES284" s="1069"/>
      <c r="NET284" s="1069"/>
      <c r="NEU284" s="1069"/>
      <c r="NEV284" s="1069"/>
      <c r="NEW284" s="1069"/>
      <c r="NEX284" s="1069"/>
      <c r="NEY284" s="1069"/>
      <c r="NEZ284" s="1069"/>
      <c r="NFA284" s="1069"/>
      <c r="NFB284" s="1069"/>
      <c r="NFC284" s="1069"/>
      <c r="NFD284" s="1069"/>
      <c r="NFE284" s="1069"/>
      <c r="NFF284" s="1069"/>
      <c r="NFG284" s="1069"/>
      <c r="NFH284" s="1069"/>
      <c r="NFI284" s="1069"/>
      <c r="NFJ284" s="1069"/>
      <c r="NFK284" s="1069"/>
      <c r="NFL284" s="1069"/>
      <c r="NFM284" s="1069"/>
      <c r="NFN284" s="1069"/>
      <c r="NFO284" s="1069"/>
      <c r="NFP284" s="1069"/>
      <c r="NFQ284" s="1069"/>
      <c r="NFR284" s="1069"/>
      <c r="NFS284" s="1069"/>
      <c r="NFT284" s="1069"/>
      <c r="NFU284" s="1069"/>
      <c r="NFV284" s="1069"/>
      <c r="NFW284" s="1069"/>
      <c r="NFX284" s="1069"/>
      <c r="NFY284" s="1069"/>
      <c r="NFZ284" s="1069"/>
      <c r="NGA284" s="1069"/>
      <c r="NGB284" s="1069"/>
      <c r="NGC284" s="1069"/>
      <c r="NGD284" s="1069"/>
      <c r="NGE284" s="1069"/>
      <c r="NGF284" s="1069"/>
      <c r="NGG284" s="1069"/>
      <c r="NGH284" s="1069"/>
      <c r="NGI284" s="1069"/>
      <c r="NGJ284" s="1069"/>
      <c r="NGK284" s="1069"/>
      <c r="NGL284" s="1069"/>
      <c r="NGM284" s="1069"/>
      <c r="NGN284" s="1069"/>
      <c r="NGO284" s="1069"/>
      <c r="NGP284" s="1069"/>
      <c r="NGQ284" s="1069"/>
      <c r="NGR284" s="1069"/>
      <c r="NGS284" s="1069"/>
      <c r="NGT284" s="1069"/>
      <c r="NGU284" s="1069"/>
      <c r="NGV284" s="1069"/>
      <c r="NGW284" s="1069"/>
      <c r="NGX284" s="1069"/>
      <c r="NGY284" s="1069"/>
      <c r="NGZ284" s="1069"/>
      <c r="NHA284" s="1069"/>
      <c r="NHB284" s="1069"/>
      <c r="NHC284" s="1069"/>
      <c r="NHD284" s="1069"/>
      <c r="NHE284" s="1069"/>
      <c r="NHF284" s="1069"/>
      <c r="NHG284" s="1069"/>
      <c r="NHH284" s="1069"/>
      <c r="NHI284" s="1069"/>
      <c r="NHJ284" s="1069"/>
      <c r="NHK284" s="1069"/>
      <c r="NHL284" s="1069"/>
      <c r="NHM284" s="1069"/>
      <c r="NHN284" s="1069"/>
      <c r="NHO284" s="1069"/>
      <c r="NHP284" s="1069"/>
      <c r="NHQ284" s="1069"/>
      <c r="NHR284" s="1069"/>
      <c r="NHS284" s="1069"/>
      <c r="NHT284" s="1069"/>
      <c r="NHU284" s="1069"/>
      <c r="NHV284" s="1069"/>
      <c r="NHW284" s="1069"/>
      <c r="NHX284" s="1069"/>
      <c r="NHY284" s="1069"/>
      <c r="NHZ284" s="1069"/>
      <c r="NIA284" s="1069"/>
      <c r="NIB284" s="1069"/>
      <c r="NIC284" s="1069"/>
      <c r="NID284" s="1069"/>
      <c r="NIE284" s="1069"/>
      <c r="NIF284" s="1069"/>
      <c r="NIG284" s="1069"/>
      <c r="NIH284" s="1069"/>
      <c r="NII284" s="1069"/>
      <c r="NIJ284" s="1069"/>
      <c r="NIK284" s="1069"/>
      <c r="NIL284" s="1069"/>
      <c r="NIM284" s="1069"/>
      <c r="NIN284" s="1069"/>
      <c r="NIO284" s="1069"/>
      <c r="NIP284" s="1069"/>
      <c r="NIQ284" s="1069"/>
      <c r="NIR284" s="1069"/>
      <c r="NIS284" s="1069"/>
      <c r="NIT284" s="1069"/>
      <c r="NIU284" s="1069"/>
      <c r="NIV284" s="1069"/>
      <c r="NIW284" s="1069"/>
      <c r="NIX284" s="1069"/>
      <c r="NIY284" s="1069"/>
      <c r="NIZ284" s="1069"/>
      <c r="NJA284" s="1069"/>
      <c r="NJB284" s="1069"/>
      <c r="NJC284" s="1069"/>
      <c r="NJD284" s="1069"/>
      <c r="NJE284" s="1069"/>
      <c r="NJF284" s="1069"/>
      <c r="NJG284" s="1069"/>
      <c r="NJH284" s="1069"/>
      <c r="NJI284" s="1069"/>
      <c r="NJJ284" s="1069"/>
      <c r="NJK284" s="1069"/>
      <c r="NJL284" s="1069"/>
      <c r="NJM284" s="1069"/>
      <c r="NJN284" s="1069"/>
      <c r="NJO284" s="1069"/>
      <c r="NJP284" s="1069"/>
      <c r="NJQ284" s="1069"/>
      <c r="NJR284" s="1069"/>
      <c r="NJS284" s="1069"/>
      <c r="NJT284" s="1069"/>
      <c r="NJU284" s="1069"/>
      <c r="NJV284" s="1069"/>
      <c r="NJW284" s="1069"/>
      <c r="NJX284" s="1069"/>
      <c r="NJY284" s="1069"/>
      <c r="NJZ284" s="1069"/>
      <c r="NKA284" s="1069"/>
      <c r="NKB284" s="1069"/>
      <c r="NKC284" s="1069"/>
      <c r="NKD284" s="1069"/>
      <c r="NKE284" s="1069"/>
      <c r="NKF284" s="1069"/>
      <c r="NKG284" s="1069"/>
      <c r="NKH284" s="1069"/>
      <c r="NKI284" s="1069"/>
      <c r="NKJ284" s="1069"/>
      <c r="NKK284" s="1069"/>
      <c r="NKL284" s="1069"/>
      <c r="NKM284" s="1069"/>
      <c r="NKN284" s="1069"/>
      <c r="NKO284" s="1069"/>
      <c r="NKP284" s="1069"/>
      <c r="NKQ284" s="1069"/>
      <c r="NKR284" s="1069"/>
      <c r="NKS284" s="1069"/>
      <c r="NKT284" s="1069"/>
      <c r="NKU284" s="1069"/>
      <c r="NKV284" s="1069"/>
      <c r="NKW284" s="1069"/>
      <c r="NKX284" s="1069"/>
      <c r="NKY284" s="1069"/>
      <c r="NKZ284" s="1069"/>
      <c r="NLA284" s="1069"/>
      <c r="NLB284" s="1069"/>
      <c r="NLC284" s="1069"/>
      <c r="NLD284" s="1069"/>
      <c r="NLE284" s="1069"/>
      <c r="NLF284" s="1069"/>
      <c r="NLG284" s="1069"/>
      <c r="NLH284" s="1069"/>
      <c r="NLI284" s="1069"/>
      <c r="NLJ284" s="1069"/>
      <c r="NLK284" s="1069"/>
      <c r="NLL284" s="1069"/>
      <c r="NLM284" s="1069"/>
      <c r="NLN284" s="1069"/>
      <c r="NLO284" s="1069"/>
      <c r="NLP284" s="1069"/>
      <c r="NLQ284" s="1069"/>
      <c r="NLR284" s="1069"/>
      <c r="NLS284" s="1069"/>
      <c r="NLT284" s="1069"/>
      <c r="NLU284" s="1069"/>
      <c r="NLV284" s="1069"/>
      <c r="NLW284" s="1069"/>
      <c r="NLX284" s="1069"/>
      <c r="NLY284" s="1069"/>
      <c r="NLZ284" s="1069"/>
      <c r="NMA284" s="1069"/>
      <c r="NMB284" s="1069"/>
      <c r="NMC284" s="1069"/>
      <c r="NMD284" s="1069"/>
      <c r="NME284" s="1069"/>
      <c r="NMF284" s="1069"/>
      <c r="NMG284" s="1069"/>
      <c r="NMH284" s="1069"/>
      <c r="NMI284" s="1069"/>
      <c r="NMJ284" s="1069"/>
      <c r="NMK284" s="1069"/>
      <c r="NML284" s="1069"/>
      <c r="NMM284" s="1069"/>
      <c r="NMN284" s="1069"/>
      <c r="NMO284" s="1069"/>
      <c r="NMP284" s="1069"/>
      <c r="NMQ284" s="1069"/>
      <c r="NMR284" s="1069"/>
      <c r="NMS284" s="1069"/>
      <c r="NMT284" s="1069"/>
      <c r="NMU284" s="1069"/>
      <c r="NMV284" s="1069"/>
      <c r="NMW284" s="1069"/>
      <c r="NMX284" s="1069"/>
      <c r="NMY284" s="1069"/>
      <c r="NMZ284" s="1069"/>
      <c r="NNA284" s="1069"/>
      <c r="NNB284" s="1069"/>
      <c r="NNC284" s="1069"/>
      <c r="NND284" s="1069"/>
      <c r="NNE284" s="1069"/>
      <c r="NNF284" s="1069"/>
      <c r="NNG284" s="1069"/>
      <c r="NNH284" s="1069"/>
      <c r="NNI284" s="1069"/>
      <c r="NNJ284" s="1069"/>
      <c r="NNK284" s="1069"/>
      <c r="NNL284" s="1069"/>
      <c r="NNM284" s="1069"/>
      <c r="NNN284" s="1069"/>
      <c r="NNO284" s="1069"/>
      <c r="NNP284" s="1069"/>
      <c r="NNQ284" s="1069"/>
      <c r="NNR284" s="1069"/>
      <c r="NNS284" s="1069"/>
      <c r="NNT284" s="1069"/>
      <c r="NNU284" s="1069"/>
      <c r="NNV284" s="1069"/>
      <c r="NNW284" s="1069"/>
      <c r="NNX284" s="1069"/>
      <c r="NNY284" s="1069"/>
      <c r="NNZ284" s="1069"/>
      <c r="NOA284" s="1069"/>
      <c r="NOB284" s="1069"/>
      <c r="NOC284" s="1069"/>
      <c r="NOD284" s="1069"/>
      <c r="NOE284" s="1069"/>
      <c r="NOF284" s="1069"/>
      <c r="NOG284" s="1069"/>
      <c r="NOH284" s="1069"/>
      <c r="NOI284" s="1069"/>
      <c r="NOJ284" s="1069"/>
      <c r="NOK284" s="1069"/>
      <c r="NOL284" s="1069"/>
      <c r="NOM284" s="1069"/>
      <c r="NON284" s="1069"/>
      <c r="NOO284" s="1069"/>
      <c r="NOP284" s="1069"/>
      <c r="NOQ284" s="1069"/>
      <c r="NOR284" s="1069"/>
      <c r="NOS284" s="1069"/>
      <c r="NOT284" s="1069"/>
      <c r="NOU284" s="1069"/>
      <c r="NOV284" s="1069"/>
      <c r="NOW284" s="1069"/>
      <c r="NOX284" s="1069"/>
      <c r="NOY284" s="1069"/>
      <c r="NOZ284" s="1069"/>
      <c r="NPA284" s="1069"/>
      <c r="NPB284" s="1069"/>
      <c r="NPC284" s="1069"/>
      <c r="NPD284" s="1069"/>
      <c r="NPE284" s="1069"/>
      <c r="NPF284" s="1069"/>
      <c r="NPG284" s="1069"/>
      <c r="NPH284" s="1069"/>
      <c r="NPI284" s="1069"/>
      <c r="NPJ284" s="1069"/>
      <c r="NPK284" s="1069"/>
      <c r="NPL284" s="1069"/>
      <c r="NPM284" s="1069"/>
      <c r="NPN284" s="1069"/>
      <c r="NPO284" s="1069"/>
      <c r="NPP284" s="1069"/>
      <c r="NPQ284" s="1069"/>
      <c r="NPR284" s="1069"/>
      <c r="NPS284" s="1069"/>
      <c r="NPT284" s="1069"/>
      <c r="NPU284" s="1069"/>
      <c r="NPV284" s="1069"/>
      <c r="NPW284" s="1069"/>
      <c r="NPX284" s="1069"/>
      <c r="NPY284" s="1069"/>
      <c r="NPZ284" s="1069"/>
      <c r="NQA284" s="1069"/>
      <c r="NQB284" s="1069"/>
      <c r="NQC284" s="1069"/>
      <c r="NQD284" s="1069"/>
      <c r="NQE284" s="1069"/>
      <c r="NQF284" s="1069"/>
      <c r="NQG284" s="1069"/>
      <c r="NQH284" s="1069"/>
      <c r="NQI284" s="1069"/>
      <c r="NQJ284" s="1069"/>
      <c r="NQK284" s="1069"/>
      <c r="NQL284" s="1069"/>
      <c r="NQM284" s="1069"/>
      <c r="NQN284" s="1069"/>
      <c r="NQO284" s="1069"/>
      <c r="NQP284" s="1069"/>
      <c r="NQQ284" s="1069"/>
      <c r="NQR284" s="1069"/>
      <c r="NQS284" s="1069"/>
      <c r="NQT284" s="1069"/>
      <c r="NQU284" s="1069"/>
      <c r="NQV284" s="1069"/>
      <c r="NQW284" s="1069"/>
      <c r="NQX284" s="1069"/>
      <c r="NQY284" s="1069"/>
      <c r="NQZ284" s="1069"/>
      <c r="NRA284" s="1069"/>
      <c r="NRB284" s="1069"/>
      <c r="NRC284" s="1069"/>
      <c r="NRD284" s="1069"/>
      <c r="NRE284" s="1069"/>
      <c r="NRF284" s="1069"/>
      <c r="NRG284" s="1069"/>
      <c r="NRH284" s="1069"/>
      <c r="NRI284" s="1069"/>
      <c r="NRJ284" s="1069"/>
      <c r="NRK284" s="1069"/>
      <c r="NRL284" s="1069"/>
      <c r="NRM284" s="1069"/>
      <c r="NRN284" s="1069"/>
      <c r="NRO284" s="1069"/>
      <c r="NRP284" s="1069"/>
      <c r="NRQ284" s="1069"/>
      <c r="NRR284" s="1069"/>
      <c r="NRS284" s="1069"/>
      <c r="NRT284" s="1069"/>
      <c r="NRU284" s="1069"/>
      <c r="NRV284" s="1069"/>
      <c r="NRW284" s="1069"/>
      <c r="NRX284" s="1069"/>
      <c r="NRY284" s="1069"/>
      <c r="NRZ284" s="1069"/>
      <c r="NSA284" s="1069"/>
      <c r="NSB284" s="1069"/>
      <c r="NSC284" s="1069"/>
      <c r="NSD284" s="1069"/>
      <c r="NSE284" s="1069"/>
      <c r="NSF284" s="1069"/>
      <c r="NSG284" s="1069"/>
      <c r="NSH284" s="1069"/>
      <c r="NSI284" s="1069"/>
      <c r="NSJ284" s="1069"/>
      <c r="NSK284" s="1069"/>
      <c r="NSL284" s="1069"/>
      <c r="NSM284" s="1069"/>
      <c r="NSN284" s="1069"/>
      <c r="NSO284" s="1069"/>
      <c r="NSP284" s="1069"/>
      <c r="NSQ284" s="1069"/>
      <c r="NSR284" s="1069"/>
      <c r="NSS284" s="1069"/>
      <c r="NST284" s="1069"/>
      <c r="NSU284" s="1069"/>
      <c r="NSV284" s="1069"/>
      <c r="NSW284" s="1069"/>
      <c r="NSX284" s="1069"/>
      <c r="NSY284" s="1069"/>
      <c r="NSZ284" s="1069"/>
      <c r="NTA284" s="1069"/>
      <c r="NTB284" s="1069"/>
      <c r="NTC284" s="1069"/>
      <c r="NTD284" s="1069"/>
      <c r="NTE284" s="1069"/>
      <c r="NTF284" s="1069"/>
      <c r="NTG284" s="1069"/>
      <c r="NTH284" s="1069"/>
      <c r="NTI284" s="1069"/>
      <c r="NTJ284" s="1069"/>
      <c r="NTK284" s="1069"/>
      <c r="NTL284" s="1069"/>
      <c r="NTM284" s="1069"/>
      <c r="NTN284" s="1069"/>
      <c r="NTO284" s="1069"/>
      <c r="NTP284" s="1069"/>
      <c r="NTQ284" s="1069"/>
      <c r="NTR284" s="1069"/>
      <c r="NTS284" s="1069"/>
      <c r="NTT284" s="1069"/>
      <c r="NTU284" s="1069"/>
      <c r="NTV284" s="1069"/>
      <c r="NTW284" s="1069"/>
      <c r="NTX284" s="1069"/>
      <c r="NTY284" s="1069"/>
      <c r="NTZ284" s="1069"/>
      <c r="NUA284" s="1069"/>
      <c r="NUB284" s="1069"/>
      <c r="NUC284" s="1069"/>
      <c r="NUD284" s="1069"/>
      <c r="NUE284" s="1069"/>
      <c r="NUF284" s="1069"/>
      <c r="NUG284" s="1069"/>
      <c r="NUH284" s="1069"/>
      <c r="NUI284" s="1069"/>
      <c r="NUJ284" s="1069"/>
      <c r="NUK284" s="1069"/>
      <c r="NUL284" s="1069"/>
      <c r="NUM284" s="1069"/>
      <c r="NUN284" s="1069"/>
      <c r="NUO284" s="1069"/>
      <c r="NUP284" s="1069"/>
      <c r="NUQ284" s="1069"/>
      <c r="NUR284" s="1069"/>
      <c r="NUS284" s="1069"/>
      <c r="NUT284" s="1069"/>
      <c r="NUU284" s="1069"/>
      <c r="NUV284" s="1069"/>
      <c r="NUW284" s="1069"/>
      <c r="NUX284" s="1069"/>
      <c r="NUY284" s="1069"/>
      <c r="NUZ284" s="1069"/>
      <c r="NVA284" s="1069"/>
      <c r="NVB284" s="1069"/>
      <c r="NVC284" s="1069"/>
      <c r="NVD284" s="1069"/>
      <c r="NVE284" s="1069"/>
      <c r="NVF284" s="1069"/>
      <c r="NVG284" s="1069"/>
      <c r="NVH284" s="1069"/>
      <c r="NVI284" s="1069"/>
      <c r="NVJ284" s="1069"/>
      <c r="NVK284" s="1069"/>
      <c r="NVL284" s="1069"/>
      <c r="NVM284" s="1069"/>
      <c r="NVN284" s="1069"/>
      <c r="NVO284" s="1069"/>
      <c r="NVP284" s="1069"/>
      <c r="NVQ284" s="1069"/>
      <c r="NVR284" s="1069"/>
      <c r="NVS284" s="1069"/>
      <c r="NVT284" s="1069"/>
      <c r="NVU284" s="1069"/>
      <c r="NVV284" s="1069"/>
      <c r="NVW284" s="1069"/>
      <c r="NVX284" s="1069"/>
      <c r="NVY284" s="1069"/>
      <c r="NVZ284" s="1069"/>
      <c r="NWA284" s="1069"/>
      <c r="NWB284" s="1069"/>
      <c r="NWC284" s="1069"/>
      <c r="NWD284" s="1069"/>
      <c r="NWE284" s="1069"/>
      <c r="NWF284" s="1069"/>
      <c r="NWG284" s="1069"/>
      <c r="NWH284" s="1069"/>
      <c r="NWI284" s="1069"/>
      <c r="NWJ284" s="1069"/>
      <c r="NWK284" s="1069"/>
      <c r="NWL284" s="1069"/>
      <c r="NWM284" s="1069"/>
      <c r="NWN284" s="1069"/>
      <c r="NWO284" s="1069"/>
      <c r="NWP284" s="1069"/>
      <c r="NWQ284" s="1069"/>
      <c r="NWR284" s="1069"/>
      <c r="NWS284" s="1069"/>
      <c r="NWT284" s="1069"/>
      <c r="NWU284" s="1069"/>
      <c r="NWV284" s="1069"/>
      <c r="NWW284" s="1069"/>
      <c r="NWX284" s="1069"/>
      <c r="NWY284" s="1069"/>
      <c r="NWZ284" s="1069"/>
      <c r="NXA284" s="1069"/>
      <c r="NXB284" s="1069"/>
      <c r="NXC284" s="1069"/>
      <c r="NXD284" s="1069"/>
      <c r="NXE284" s="1069"/>
      <c r="NXF284" s="1069"/>
      <c r="NXG284" s="1069"/>
      <c r="NXH284" s="1069"/>
      <c r="NXI284" s="1069"/>
      <c r="NXJ284" s="1069"/>
      <c r="NXK284" s="1069"/>
      <c r="NXL284" s="1069"/>
      <c r="NXM284" s="1069"/>
      <c r="NXN284" s="1069"/>
      <c r="NXO284" s="1069"/>
      <c r="NXP284" s="1069"/>
      <c r="NXQ284" s="1069"/>
      <c r="NXR284" s="1069"/>
      <c r="NXS284" s="1069"/>
      <c r="NXT284" s="1069"/>
      <c r="NXU284" s="1069"/>
      <c r="NXV284" s="1069"/>
      <c r="NXW284" s="1069"/>
      <c r="NXX284" s="1069"/>
      <c r="NXY284" s="1069"/>
      <c r="NXZ284" s="1069"/>
      <c r="NYA284" s="1069"/>
      <c r="NYB284" s="1069"/>
      <c r="NYC284" s="1069"/>
      <c r="NYD284" s="1069"/>
      <c r="NYE284" s="1069"/>
      <c r="NYF284" s="1069"/>
      <c r="NYG284" s="1069"/>
      <c r="NYH284" s="1069"/>
      <c r="NYI284" s="1069"/>
      <c r="NYJ284" s="1069"/>
      <c r="NYK284" s="1069"/>
      <c r="NYL284" s="1069"/>
      <c r="NYM284" s="1069"/>
      <c r="NYN284" s="1069"/>
      <c r="NYO284" s="1069"/>
      <c r="NYP284" s="1069"/>
      <c r="NYQ284" s="1069"/>
      <c r="NYR284" s="1069"/>
      <c r="NYS284" s="1069"/>
      <c r="NYT284" s="1069"/>
      <c r="NYU284" s="1069"/>
      <c r="NYV284" s="1069"/>
      <c r="NYW284" s="1069"/>
      <c r="NYX284" s="1069"/>
      <c r="NYY284" s="1069"/>
      <c r="NYZ284" s="1069"/>
      <c r="NZA284" s="1069"/>
      <c r="NZB284" s="1069"/>
      <c r="NZC284" s="1069"/>
      <c r="NZD284" s="1069"/>
      <c r="NZE284" s="1069"/>
      <c r="NZF284" s="1069"/>
      <c r="NZG284" s="1069"/>
      <c r="NZH284" s="1069"/>
      <c r="NZI284" s="1069"/>
      <c r="NZJ284" s="1069"/>
      <c r="NZK284" s="1069"/>
      <c r="NZL284" s="1069"/>
      <c r="NZM284" s="1069"/>
      <c r="NZN284" s="1069"/>
      <c r="NZO284" s="1069"/>
      <c r="NZP284" s="1069"/>
      <c r="NZQ284" s="1069"/>
      <c r="NZR284" s="1069"/>
      <c r="NZS284" s="1069"/>
      <c r="NZT284" s="1069"/>
      <c r="NZU284" s="1069"/>
      <c r="NZV284" s="1069"/>
      <c r="NZW284" s="1069"/>
      <c r="NZX284" s="1069"/>
      <c r="NZY284" s="1069"/>
      <c r="NZZ284" s="1069"/>
      <c r="OAA284" s="1069"/>
      <c r="OAB284" s="1069"/>
      <c r="OAC284" s="1069"/>
      <c r="OAD284" s="1069"/>
      <c r="OAE284" s="1069"/>
      <c r="OAF284" s="1069"/>
      <c r="OAG284" s="1069"/>
      <c r="OAH284" s="1069"/>
      <c r="OAI284" s="1069"/>
      <c r="OAJ284" s="1069"/>
      <c r="OAK284" s="1069"/>
      <c r="OAL284" s="1069"/>
      <c r="OAM284" s="1069"/>
      <c r="OAN284" s="1069"/>
      <c r="OAO284" s="1069"/>
      <c r="OAP284" s="1069"/>
      <c r="OAQ284" s="1069"/>
      <c r="OAR284" s="1069"/>
      <c r="OAS284" s="1069"/>
      <c r="OAT284" s="1069"/>
      <c r="OAU284" s="1069"/>
      <c r="OAV284" s="1069"/>
      <c r="OAW284" s="1069"/>
      <c r="OAX284" s="1069"/>
      <c r="OAY284" s="1069"/>
      <c r="OAZ284" s="1069"/>
      <c r="OBA284" s="1069"/>
      <c r="OBB284" s="1069"/>
      <c r="OBC284" s="1069"/>
      <c r="OBD284" s="1069"/>
      <c r="OBE284" s="1069"/>
      <c r="OBF284" s="1069"/>
      <c r="OBG284" s="1069"/>
      <c r="OBH284" s="1069"/>
      <c r="OBI284" s="1069"/>
      <c r="OBJ284" s="1069"/>
      <c r="OBK284" s="1069"/>
      <c r="OBL284" s="1069"/>
      <c r="OBM284" s="1069"/>
      <c r="OBN284" s="1069"/>
      <c r="OBO284" s="1069"/>
      <c r="OBP284" s="1069"/>
      <c r="OBQ284" s="1069"/>
      <c r="OBR284" s="1069"/>
      <c r="OBS284" s="1069"/>
      <c r="OBT284" s="1069"/>
      <c r="OBU284" s="1069"/>
      <c r="OBV284" s="1069"/>
      <c r="OBW284" s="1069"/>
      <c r="OBX284" s="1069"/>
      <c r="OBY284" s="1069"/>
      <c r="OBZ284" s="1069"/>
      <c r="OCA284" s="1069"/>
      <c r="OCB284" s="1069"/>
      <c r="OCC284" s="1069"/>
      <c r="OCD284" s="1069"/>
      <c r="OCE284" s="1069"/>
      <c r="OCF284" s="1069"/>
      <c r="OCG284" s="1069"/>
      <c r="OCH284" s="1069"/>
      <c r="OCI284" s="1069"/>
      <c r="OCJ284" s="1069"/>
      <c r="OCK284" s="1069"/>
      <c r="OCL284" s="1069"/>
      <c r="OCM284" s="1069"/>
      <c r="OCN284" s="1069"/>
      <c r="OCO284" s="1069"/>
      <c r="OCP284" s="1069"/>
      <c r="OCQ284" s="1069"/>
      <c r="OCR284" s="1069"/>
      <c r="OCS284" s="1069"/>
      <c r="OCT284" s="1069"/>
      <c r="OCU284" s="1069"/>
      <c r="OCV284" s="1069"/>
      <c r="OCW284" s="1069"/>
      <c r="OCX284" s="1069"/>
      <c r="OCY284" s="1069"/>
      <c r="OCZ284" s="1069"/>
      <c r="ODA284" s="1069"/>
      <c r="ODB284" s="1069"/>
      <c r="ODC284" s="1069"/>
      <c r="ODD284" s="1069"/>
      <c r="ODE284" s="1069"/>
      <c r="ODF284" s="1069"/>
      <c r="ODG284" s="1069"/>
      <c r="ODH284" s="1069"/>
      <c r="ODI284" s="1069"/>
      <c r="ODJ284" s="1069"/>
      <c r="ODK284" s="1069"/>
      <c r="ODL284" s="1069"/>
      <c r="ODM284" s="1069"/>
      <c r="ODN284" s="1069"/>
      <c r="ODO284" s="1069"/>
      <c r="ODP284" s="1069"/>
      <c r="ODQ284" s="1069"/>
      <c r="ODR284" s="1069"/>
      <c r="ODS284" s="1069"/>
      <c r="ODT284" s="1069"/>
      <c r="ODU284" s="1069"/>
      <c r="ODV284" s="1069"/>
      <c r="ODW284" s="1069"/>
      <c r="ODX284" s="1069"/>
      <c r="ODY284" s="1069"/>
      <c r="ODZ284" s="1069"/>
      <c r="OEA284" s="1069"/>
      <c r="OEB284" s="1069"/>
      <c r="OEC284" s="1069"/>
      <c r="OED284" s="1069"/>
      <c r="OEE284" s="1069"/>
      <c r="OEF284" s="1069"/>
      <c r="OEG284" s="1069"/>
      <c r="OEH284" s="1069"/>
      <c r="OEI284" s="1069"/>
      <c r="OEJ284" s="1069"/>
      <c r="OEK284" s="1069"/>
      <c r="OEL284" s="1069"/>
      <c r="OEM284" s="1069"/>
      <c r="OEN284" s="1069"/>
      <c r="OEO284" s="1069"/>
      <c r="OEP284" s="1069"/>
      <c r="OEQ284" s="1069"/>
      <c r="OER284" s="1069"/>
      <c r="OES284" s="1069"/>
      <c r="OET284" s="1069"/>
      <c r="OEU284" s="1069"/>
      <c r="OEV284" s="1069"/>
      <c r="OEW284" s="1069"/>
      <c r="OEX284" s="1069"/>
      <c r="OEY284" s="1069"/>
      <c r="OEZ284" s="1069"/>
      <c r="OFA284" s="1069"/>
      <c r="OFB284" s="1069"/>
      <c r="OFC284" s="1069"/>
      <c r="OFD284" s="1069"/>
      <c r="OFE284" s="1069"/>
      <c r="OFF284" s="1069"/>
      <c r="OFG284" s="1069"/>
      <c r="OFH284" s="1069"/>
      <c r="OFI284" s="1069"/>
      <c r="OFJ284" s="1069"/>
      <c r="OFK284" s="1069"/>
      <c r="OFL284" s="1069"/>
      <c r="OFM284" s="1069"/>
      <c r="OFN284" s="1069"/>
      <c r="OFO284" s="1069"/>
      <c r="OFP284" s="1069"/>
      <c r="OFQ284" s="1069"/>
      <c r="OFR284" s="1069"/>
      <c r="OFS284" s="1069"/>
      <c r="OFT284" s="1069"/>
      <c r="OFU284" s="1069"/>
      <c r="OFV284" s="1069"/>
      <c r="OFW284" s="1069"/>
      <c r="OFX284" s="1069"/>
      <c r="OFY284" s="1069"/>
      <c r="OFZ284" s="1069"/>
      <c r="OGA284" s="1069"/>
      <c r="OGB284" s="1069"/>
      <c r="OGC284" s="1069"/>
      <c r="OGD284" s="1069"/>
      <c r="OGE284" s="1069"/>
      <c r="OGF284" s="1069"/>
      <c r="OGG284" s="1069"/>
      <c r="OGH284" s="1069"/>
      <c r="OGI284" s="1069"/>
      <c r="OGJ284" s="1069"/>
      <c r="OGK284" s="1069"/>
      <c r="OGL284" s="1069"/>
      <c r="OGM284" s="1069"/>
      <c r="OGN284" s="1069"/>
      <c r="OGO284" s="1069"/>
      <c r="OGP284" s="1069"/>
      <c r="OGQ284" s="1069"/>
      <c r="OGR284" s="1069"/>
      <c r="OGS284" s="1069"/>
      <c r="OGT284" s="1069"/>
      <c r="OGU284" s="1069"/>
      <c r="OGV284" s="1069"/>
      <c r="OGW284" s="1069"/>
      <c r="OGX284" s="1069"/>
      <c r="OGY284" s="1069"/>
      <c r="OGZ284" s="1069"/>
      <c r="OHA284" s="1069"/>
      <c r="OHB284" s="1069"/>
      <c r="OHC284" s="1069"/>
      <c r="OHD284" s="1069"/>
      <c r="OHE284" s="1069"/>
      <c r="OHF284" s="1069"/>
      <c r="OHG284" s="1069"/>
      <c r="OHH284" s="1069"/>
      <c r="OHI284" s="1069"/>
      <c r="OHJ284" s="1069"/>
      <c r="OHK284" s="1069"/>
      <c r="OHL284" s="1069"/>
      <c r="OHM284" s="1069"/>
      <c r="OHN284" s="1069"/>
      <c r="OHO284" s="1069"/>
      <c r="OHP284" s="1069"/>
      <c r="OHQ284" s="1069"/>
      <c r="OHR284" s="1069"/>
      <c r="OHS284" s="1069"/>
      <c r="OHT284" s="1069"/>
      <c r="OHU284" s="1069"/>
      <c r="OHV284" s="1069"/>
      <c r="OHW284" s="1069"/>
      <c r="OHX284" s="1069"/>
      <c r="OHY284" s="1069"/>
      <c r="OHZ284" s="1069"/>
      <c r="OIA284" s="1069"/>
      <c r="OIB284" s="1069"/>
      <c r="OIC284" s="1069"/>
      <c r="OID284" s="1069"/>
      <c r="OIE284" s="1069"/>
      <c r="OIF284" s="1069"/>
      <c r="OIG284" s="1069"/>
      <c r="OIH284" s="1069"/>
      <c r="OII284" s="1069"/>
      <c r="OIJ284" s="1069"/>
      <c r="OIK284" s="1069"/>
      <c r="OIL284" s="1069"/>
      <c r="OIM284" s="1069"/>
      <c r="OIN284" s="1069"/>
      <c r="OIO284" s="1069"/>
      <c r="OIP284" s="1069"/>
      <c r="OIQ284" s="1069"/>
      <c r="OIR284" s="1069"/>
      <c r="OIS284" s="1069"/>
      <c r="OIT284" s="1069"/>
      <c r="OIU284" s="1069"/>
      <c r="OIV284" s="1069"/>
      <c r="OIW284" s="1069"/>
      <c r="OIX284" s="1069"/>
      <c r="OIY284" s="1069"/>
      <c r="OIZ284" s="1069"/>
      <c r="OJA284" s="1069"/>
      <c r="OJB284" s="1069"/>
      <c r="OJC284" s="1069"/>
      <c r="OJD284" s="1069"/>
      <c r="OJE284" s="1069"/>
      <c r="OJF284" s="1069"/>
      <c r="OJG284" s="1069"/>
      <c r="OJH284" s="1069"/>
      <c r="OJI284" s="1069"/>
      <c r="OJJ284" s="1069"/>
      <c r="OJK284" s="1069"/>
      <c r="OJL284" s="1069"/>
      <c r="OJM284" s="1069"/>
      <c r="OJN284" s="1069"/>
      <c r="OJO284" s="1069"/>
      <c r="OJP284" s="1069"/>
      <c r="OJQ284" s="1069"/>
      <c r="OJR284" s="1069"/>
      <c r="OJS284" s="1069"/>
      <c r="OJT284" s="1069"/>
      <c r="OJU284" s="1069"/>
      <c r="OJV284" s="1069"/>
      <c r="OJW284" s="1069"/>
      <c r="OJX284" s="1069"/>
      <c r="OJY284" s="1069"/>
      <c r="OJZ284" s="1069"/>
      <c r="OKA284" s="1069"/>
      <c r="OKB284" s="1069"/>
      <c r="OKC284" s="1069"/>
      <c r="OKD284" s="1069"/>
      <c r="OKE284" s="1069"/>
      <c r="OKF284" s="1069"/>
      <c r="OKG284" s="1069"/>
      <c r="OKH284" s="1069"/>
      <c r="OKI284" s="1069"/>
      <c r="OKJ284" s="1069"/>
      <c r="OKK284" s="1069"/>
      <c r="OKL284" s="1069"/>
      <c r="OKM284" s="1069"/>
      <c r="OKN284" s="1069"/>
      <c r="OKO284" s="1069"/>
      <c r="OKP284" s="1069"/>
      <c r="OKQ284" s="1069"/>
      <c r="OKR284" s="1069"/>
      <c r="OKS284" s="1069"/>
      <c r="OKT284" s="1069"/>
      <c r="OKU284" s="1069"/>
      <c r="OKV284" s="1069"/>
      <c r="OKW284" s="1069"/>
      <c r="OKX284" s="1069"/>
      <c r="OKY284" s="1069"/>
      <c r="OKZ284" s="1069"/>
      <c r="OLA284" s="1069"/>
      <c r="OLB284" s="1069"/>
      <c r="OLC284" s="1069"/>
      <c r="OLD284" s="1069"/>
      <c r="OLE284" s="1069"/>
      <c r="OLF284" s="1069"/>
      <c r="OLG284" s="1069"/>
      <c r="OLH284" s="1069"/>
      <c r="OLI284" s="1069"/>
      <c r="OLJ284" s="1069"/>
      <c r="OLK284" s="1069"/>
      <c r="OLL284" s="1069"/>
      <c r="OLM284" s="1069"/>
      <c r="OLN284" s="1069"/>
      <c r="OLO284" s="1069"/>
      <c r="OLP284" s="1069"/>
      <c r="OLQ284" s="1069"/>
      <c r="OLR284" s="1069"/>
      <c r="OLS284" s="1069"/>
      <c r="OLT284" s="1069"/>
      <c r="OLU284" s="1069"/>
      <c r="OLV284" s="1069"/>
      <c r="OLW284" s="1069"/>
      <c r="OLX284" s="1069"/>
      <c r="OLY284" s="1069"/>
      <c r="OLZ284" s="1069"/>
      <c r="OMA284" s="1069"/>
      <c r="OMB284" s="1069"/>
      <c r="OMC284" s="1069"/>
      <c r="OMD284" s="1069"/>
      <c r="OME284" s="1069"/>
      <c r="OMF284" s="1069"/>
      <c r="OMG284" s="1069"/>
      <c r="OMH284" s="1069"/>
      <c r="OMI284" s="1069"/>
      <c r="OMJ284" s="1069"/>
      <c r="OMK284" s="1069"/>
      <c r="OML284" s="1069"/>
      <c r="OMM284" s="1069"/>
      <c r="OMN284" s="1069"/>
      <c r="OMO284" s="1069"/>
      <c r="OMP284" s="1069"/>
      <c r="OMQ284" s="1069"/>
      <c r="OMR284" s="1069"/>
      <c r="OMS284" s="1069"/>
      <c r="OMT284" s="1069"/>
      <c r="OMU284" s="1069"/>
      <c r="OMV284" s="1069"/>
      <c r="OMW284" s="1069"/>
      <c r="OMX284" s="1069"/>
      <c r="OMY284" s="1069"/>
      <c r="OMZ284" s="1069"/>
      <c r="ONA284" s="1069"/>
      <c r="ONB284" s="1069"/>
      <c r="ONC284" s="1069"/>
      <c r="OND284" s="1069"/>
      <c r="ONE284" s="1069"/>
      <c r="ONF284" s="1069"/>
      <c r="ONG284" s="1069"/>
      <c r="ONH284" s="1069"/>
      <c r="ONI284" s="1069"/>
      <c r="ONJ284" s="1069"/>
      <c r="ONK284" s="1069"/>
      <c r="ONL284" s="1069"/>
      <c r="ONM284" s="1069"/>
      <c r="ONN284" s="1069"/>
      <c r="ONO284" s="1069"/>
      <c r="ONP284" s="1069"/>
      <c r="ONQ284" s="1069"/>
      <c r="ONR284" s="1069"/>
      <c r="ONS284" s="1069"/>
      <c r="ONT284" s="1069"/>
      <c r="ONU284" s="1069"/>
      <c r="ONV284" s="1069"/>
      <c r="ONW284" s="1069"/>
      <c r="ONX284" s="1069"/>
      <c r="ONY284" s="1069"/>
      <c r="ONZ284" s="1069"/>
      <c r="OOA284" s="1069"/>
      <c r="OOB284" s="1069"/>
      <c r="OOC284" s="1069"/>
      <c r="OOD284" s="1069"/>
      <c r="OOE284" s="1069"/>
      <c r="OOF284" s="1069"/>
      <c r="OOG284" s="1069"/>
      <c r="OOH284" s="1069"/>
      <c r="OOI284" s="1069"/>
      <c r="OOJ284" s="1069"/>
      <c r="OOK284" s="1069"/>
      <c r="OOL284" s="1069"/>
      <c r="OOM284" s="1069"/>
      <c r="OON284" s="1069"/>
      <c r="OOO284" s="1069"/>
      <c r="OOP284" s="1069"/>
      <c r="OOQ284" s="1069"/>
      <c r="OOR284" s="1069"/>
      <c r="OOS284" s="1069"/>
      <c r="OOT284" s="1069"/>
      <c r="OOU284" s="1069"/>
      <c r="OOV284" s="1069"/>
      <c r="OOW284" s="1069"/>
      <c r="OOX284" s="1069"/>
      <c r="OOY284" s="1069"/>
      <c r="OOZ284" s="1069"/>
      <c r="OPA284" s="1069"/>
      <c r="OPB284" s="1069"/>
      <c r="OPC284" s="1069"/>
      <c r="OPD284" s="1069"/>
      <c r="OPE284" s="1069"/>
      <c r="OPF284" s="1069"/>
      <c r="OPG284" s="1069"/>
      <c r="OPH284" s="1069"/>
      <c r="OPI284" s="1069"/>
      <c r="OPJ284" s="1069"/>
      <c r="OPK284" s="1069"/>
      <c r="OPL284" s="1069"/>
      <c r="OPM284" s="1069"/>
      <c r="OPN284" s="1069"/>
      <c r="OPO284" s="1069"/>
      <c r="OPP284" s="1069"/>
      <c r="OPQ284" s="1069"/>
      <c r="OPR284" s="1069"/>
      <c r="OPS284" s="1069"/>
      <c r="OPT284" s="1069"/>
      <c r="OPU284" s="1069"/>
      <c r="OPV284" s="1069"/>
      <c r="OPW284" s="1069"/>
      <c r="OPX284" s="1069"/>
      <c r="OPY284" s="1069"/>
      <c r="OPZ284" s="1069"/>
      <c r="OQA284" s="1069"/>
      <c r="OQB284" s="1069"/>
      <c r="OQC284" s="1069"/>
      <c r="OQD284" s="1069"/>
      <c r="OQE284" s="1069"/>
      <c r="OQF284" s="1069"/>
      <c r="OQG284" s="1069"/>
      <c r="OQH284" s="1069"/>
      <c r="OQI284" s="1069"/>
      <c r="OQJ284" s="1069"/>
      <c r="OQK284" s="1069"/>
      <c r="OQL284" s="1069"/>
      <c r="OQM284" s="1069"/>
      <c r="OQN284" s="1069"/>
      <c r="OQO284" s="1069"/>
      <c r="OQP284" s="1069"/>
      <c r="OQQ284" s="1069"/>
      <c r="OQR284" s="1069"/>
      <c r="OQS284" s="1069"/>
      <c r="OQT284" s="1069"/>
      <c r="OQU284" s="1069"/>
      <c r="OQV284" s="1069"/>
      <c r="OQW284" s="1069"/>
      <c r="OQX284" s="1069"/>
      <c r="OQY284" s="1069"/>
      <c r="OQZ284" s="1069"/>
      <c r="ORA284" s="1069"/>
      <c r="ORB284" s="1069"/>
      <c r="ORC284" s="1069"/>
      <c r="ORD284" s="1069"/>
      <c r="ORE284" s="1069"/>
      <c r="ORF284" s="1069"/>
      <c r="ORG284" s="1069"/>
      <c r="ORH284" s="1069"/>
      <c r="ORI284" s="1069"/>
      <c r="ORJ284" s="1069"/>
      <c r="ORK284" s="1069"/>
      <c r="ORL284" s="1069"/>
      <c r="ORM284" s="1069"/>
      <c r="ORN284" s="1069"/>
      <c r="ORO284" s="1069"/>
      <c r="ORP284" s="1069"/>
      <c r="ORQ284" s="1069"/>
      <c r="ORR284" s="1069"/>
      <c r="ORS284" s="1069"/>
      <c r="ORT284" s="1069"/>
      <c r="ORU284" s="1069"/>
      <c r="ORV284" s="1069"/>
      <c r="ORW284" s="1069"/>
      <c r="ORX284" s="1069"/>
      <c r="ORY284" s="1069"/>
      <c r="ORZ284" s="1069"/>
      <c r="OSA284" s="1069"/>
      <c r="OSB284" s="1069"/>
      <c r="OSC284" s="1069"/>
      <c r="OSD284" s="1069"/>
      <c r="OSE284" s="1069"/>
      <c r="OSF284" s="1069"/>
      <c r="OSG284" s="1069"/>
      <c r="OSH284" s="1069"/>
      <c r="OSI284" s="1069"/>
      <c r="OSJ284" s="1069"/>
      <c r="OSK284" s="1069"/>
      <c r="OSL284" s="1069"/>
      <c r="OSM284" s="1069"/>
      <c r="OSN284" s="1069"/>
      <c r="OSO284" s="1069"/>
      <c r="OSP284" s="1069"/>
      <c r="OSQ284" s="1069"/>
      <c r="OSR284" s="1069"/>
      <c r="OSS284" s="1069"/>
      <c r="OST284" s="1069"/>
      <c r="OSU284" s="1069"/>
      <c r="OSV284" s="1069"/>
      <c r="OSW284" s="1069"/>
      <c r="OSX284" s="1069"/>
      <c r="OSY284" s="1069"/>
      <c r="OSZ284" s="1069"/>
      <c r="OTA284" s="1069"/>
      <c r="OTB284" s="1069"/>
      <c r="OTC284" s="1069"/>
      <c r="OTD284" s="1069"/>
      <c r="OTE284" s="1069"/>
      <c r="OTF284" s="1069"/>
      <c r="OTG284" s="1069"/>
      <c r="OTH284" s="1069"/>
      <c r="OTI284" s="1069"/>
      <c r="OTJ284" s="1069"/>
      <c r="OTK284" s="1069"/>
      <c r="OTL284" s="1069"/>
      <c r="OTM284" s="1069"/>
      <c r="OTN284" s="1069"/>
      <c r="OTO284" s="1069"/>
      <c r="OTP284" s="1069"/>
      <c r="OTQ284" s="1069"/>
      <c r="OTR284" s="1069"/>
      <c r="OTS284" s="1069"/>
      <c r="OTT284" s="1069"/>
      <c r="OTU284" s="1069"/>
      <c r="OTV284" s="1069"/>
      <c r="OTW284" s="1069"/>
      <c r="OTX284" s="1069"/>
      <c r="OTY284" s="1069"/>
      <c r="OTZ284" s="1069"/>
      <c r="OUA284" s="1069"/>
      <c r="OUB284" s="1069"/>
      <c r="OUC284" s="1069"/>
      <c r="OUD284" s="1069"/>
      <c r="OUE284" s="1069"/>
      <c r="OUF284" s="1069"/>
      <c r="OUG284" s="1069"/>
      <c r="OUH284" s="1069"/>
      <c r="OUI284" s="1069"/>
      <c r="OUJ284" s="1069"/>
      <c r="OUK284" s="1069"/>
      <c r="OUL284" s="1069"/>
      <c r="OUM284" s="1069"/>
      <c r="OUN284" s="1069"/>
      <c r="OUO284" s="1069"/>
      <c r="OUP284" s="1069"/>
      <c r="OUQ284" s="1069"/>
      <c r="OUR284" s="1069"/>
      <c r="OUS284" s="1069"/>
      <c r="OUT284" s="1069"/>
      <c r="OUU284" s="1069"/>
      <c r="OUV284" s="1069"/>
      <c r="OUW284" s="1069"/>
      <c r="OUX284" s="1069"/>
      <c r="OUY284" s="1069"/>
      <c r="OUZ284" s="1069"/>
      <c r="OVA284" s="1069"/>
      <c r="OVB284" s="1069"/>
      <c r="OVC284" s="1069"/>
      <c r="OVD284" s="1069"/>
      <c r="OVE284" s="1069"/>
      <c r="OVF284" s="1069"/>
      <c r="OVG284" s="1069"/>
      <c r="OVH284" s="1069"/>
      <c r="OVI284" s="1069"/>
      <c r="OVJ284" s="1069"/>
      <c r="OVK284" s="1069"/>
      <c r="OVL284" s="1069"/>
      <c r="OVM284" s="1069"/>
      <c r="OVN284" s="1069"/>
      <c r="OVO284" s="1069"/>
      <c r="OVP284" s="1069"/>
      <c r="OVQ284" s="1069"/>
      <c r="OVR284" s="1069"/>
      <c r="OVS284" s="1069"/>
      <c r="OVT284" s="1069"/>
      <c r="OVU284" s="1069"/>
      <c r="OVV284" s="1069"/>
      <c r="OVW284" s="1069"/>
      <c r="OVX284" s="1069"/>
      <c r="OVY284" s="1069"/>
      <c r="OVZ284" s="1069"/>
      <c r="OWA284" s="1069"/>
      <c r="OWB284" s="1069"/>
      <c r="OWC284" s="1069"/>
      <c r="OWD284" s="1069"/>
      <c r="OWE284" s="1069"/>
      <c r="OWF284" s="1069"/>
      <c r="OWG284" s="1069"/>
      <c r="OWH284" s="1069"/>
      <c r="OWI284" s="1069"/>
      <c r="OWJ284" s="1069"/>
      <c r="OWK284" s="1069"/>
      <c r="OWL284" s="1069"/>
      <c r="OWM284" s="1069"/>
      <c r="OWN284" s="1069"/>
      <c r="OWO284" s="1069"/>
      <c r="OWP284" s="1069"/>
      <c r="OWQ284" s="1069"/>
      <c r="OWR284" s="1069"/>
      <c r="OWS284" s="1069"/>
      <c r="OWT284" s="1069"/>
      <c r="OWU284" s="1069"/>
      <c r="OWV284" s="1069"/>
      <c r="OWW284" s="1069"/>
      <c r="OWX284" s="1069"/>
      <c r="OWY284" s="1069"/>
      <c r="OWZ284" s="1069"/>
      <c r="OXA284" s="1069"/>
      <c r="OXB284" s="1069"/>
      <c r="OXC284" s="1069"/>
      <c r="OXD284" s="1069"/>
      <c r="OXE284" s="1069"/>
      <c r="OXF284" s="1069"/>
      <c r="OXG284" s="1069"/>
      <c r="OXH284" s="1069"/>
      <c r="OXI284" s="1069"/>
      <c r="OXJ284" s="1069"/>
      <c r="OXK284" s="1069"/>
      <c r="OXL284" s="1069"/>
      <c r="OXM284" s="1069"/>
      <c r="OXN284" s="1069"/>
      <c r="OXO284" s="1069"/>
      <c r="OXP284" s="1069"/>
      <c r="OXQ284" s="1069"/>
      <c r="OXR284" s="1069"/>
      <c r="OXS284" s="1069"/>
      <c r="OXT284" s="1069"/>
      <c r="OXU284" s="1069"/>
      <c r="OXV284" s="1069"/>
      <c r="OXW284" s="1069"/>
      <c r="OXX284" s="1069"/>
      <c r="OXY284" s="1069"/>
      <c r="OXZ284" s="1069"/>
      <c r="OYA284" s="1069"/>
      <c r="OYB284" s="1069"/>
      <c r="OYC284" s="1069"/>
      <c r="OYD284" s="1069"/>
      <c r="OYE284" s="1069"/>
      <c r="OYF284" s="1069"/>
      <c r="OYG284" s="1069"/>
      <c r="OYH284" s="1069"/>
      <c r="OYI284" s="1069"/>
      <c r="OYJ284" s="1069"/>
      <c r="OYK284" s="1069"/>
      <c r="OYL284" s="1069"/>
      <c r="OYM284" s="1069"/>
      <c r="OYN284" s="1069"/>
      <c r="OYO284" s="1069"/>
      <c r="OYP284" s="1069"/>
      <c r="OYQ284" s="1069"/>
      <c r="OYR284" s="1069"/>
      <c r="OYS284" s="1069"/>
      <c r="OYT284" s="1069"/>
      <c r="OYU284" s="1069"/>
      <c r="OYV284" s="1069"/>
      <c r="OYW284" s="1069"/>
      <c r="OYX284" s="1069"/>
      <c r="OYY284" s="1069"/>
      <c r="OYZ284" s="1069"/>
      <c r="OZA284" s="1069"/>
      <c r="OZB284" s="1069"/>
      <c r="OZC284" s="1069"/>
      <c r="OZD284" s="1069"/>
      <c r="OZE284" s="1069"/>
      <c r="OZF284" s="1069"/>
      <c r="OZG284" s="1069"/>
      <c r="OZH284" s="1069"/>
      <c r="OZI284" s="1069"/>
      <c r="OZJ284" s="1069"/>
      <c r="OZK284" s="1069"/>
      <c r="OZL284" s="1069"/>
      <c r="OZM284" s="1069"/>
      <c r="OZN284" s="1069"/>
      <c r="OZO284" s="1069"/>
      <c r="OZP284" s="1069"/>
      <c r="OZQ284" s="1069"/>
      <c r="OZR284" s="1069"/>
      <c r="OZS284" s="1069"/>
      <c r="OZT284" s="1069"/>
      <c r="OZU284" s="1069"/>
      <c r="OZV284" s="1069"/>
      <c r="OZW284" s="1069"/>
      <c r="OZX284" s="1069"/>
      <c r="OZY284" s="1069"/>
      <c r="OZZ284" s="1069"/>
      <c r="PAA284" s="1069"/>
      <c r="PAB284" s="1069"/>
      <c r="PAC284" s="1069"/>
      <c r="PAD284" s="1069"/>
      <c r="PAE284" s="1069"/>
      <c r="PAF284" s="1069"/>
      <c r="PAG284" s="1069"/>
      <c r="PAH284" s="1069"/>
      <c r="PAI284" s="1069"/>
      <c r="PAJ284" s="1069"/>
      <c r="PAK284" s="1069"/>
      <c r="PAL284" s="1069"/>
      <c r="PAM284" s="1069"/>
      <c r="PAN284" s="1069"/>
      <c r="PAO284" s="1069"/>
      <c r="PAP284" s="1069"/>
      <c r="PAQ284" s="1069"/>
      <c r="PAR284" s="1069"/>
      <c r="PAS284" s="1069"/>
      <c r="PAT284" s="1069"/>
      <c r="PAU284" s="1069"/>
      <c r="PAV284" s="1069"/>
      <c r="PAW284" s="1069"/>
      <c r="PAX284" s="1069"/>
      <c r="PAY284" s="1069"/>
      <c r="PAZ284" s="1069"/>
      <c r="PBA284" s="1069"/>
      <c r="PBB284" s="1069"/>
      <c r="PBC284" s="1069"/>
      <c r="PBD284" s="1069"/>
      <c r="PBE284" s="1069"/>
      <c r="PBF284" s="1069"/>
      <c r="PBG284" s="1069"/>
      <c r="PBH284" s="1069"/>
      <c r="PBI284" s="1069"/>
      <c r="PBJ284" s="1069"/>
      <c r="PBK284" s="1069"/>
      <c r="PBL284" s="1069"/>
      <c r="PBM284" s="1069"/>
      <c r="PBN284" s="1069"/>
      <c r="PBO284" s="1069"/>
      <c r="PBP284" s="1069"/>
      <c r="PBQ284" s="1069"/>
      <c r="PBR284" s="1069"/>
      <c r="PBS284" s="1069"/>
      <c r="PBT284" s="1069"/>
      <c r="PBU284" s="1069"/>
      <c r="PBV284" s="1069"/>
      <c r="PBW284" s="1069"/>
      <c r="PBX284" s="1069"/>
      <c r="PBY284" s="1069"/>
      <c r="PBZ284" s="1069"/>
      <c r="PCA284" s="1069"/>
      <c r="PCB284" s="1069"/>
      <c r="PCC284" s="1069"/>
      <c r="PCD284" s="1069"/>
      <c r="PCE284" s="1069"/>
      <c r="PCF284" s="1069"/>
      <c r="PCG284" s="1069"/>
      <c r="PCH284" s="1069"/>
      <c r="PCI284" s="1069"/>
      <c r="PCJ284" s="1069"/>
      <c r="PCK284" s="1069"/>
      <c r="PCL284" s="1069"/>
      <c r="PCM284" s="1069"/>
      <c r="PCN284" s="1069"/>
      <c r="PCO284" s="1069"/>
      <c r="PCP284" s="1069"/>
      <c r="PCQ284" s="1069"/>
      <c r="PCR284" s="1069"/>
      <c r="PCS284" s="1069"/>
      <c r="PCT284" s="1069"/>
      <c r="PCU284" s="1069"/>
      <c r="PCV284" s="1069"/>
      <c r="PCW284" s="1069"/>
      <c r="PCX284" s="1069"/>
      <c r="PCY284" s="1069"/>
      <c r="PCZ284" s="1069"/>
      <c r="PDA284" s="1069"/>
      <c r="PDB284" s="1069"/>
      <c r="PDC284" s="1069"/>
      <c r="PDD284" s="1069"/>
      <c r="PDE284" s="1069"/>
      <c r="PDF284" s="1069"/>
      <c r="PDG284" s="1069"/>
      <c r="PDH284" s="1069"/>
      <c r="PDI284" s="1069"/>
      <c r="PDJ284" s="1069"/>
      <c r="PDK284" s="1069"/>
      <c r="PDL284" s="1069"/>
      <c r="PDM284" s="1069"/>
      <c r="PDN284" s="1069"/>
      <c r="PDO284" s="1069"/>
      <c r="PDP284" s="1069"/>
      <c r="PDQ284" s="1069"/>
      <c r="PDR284" s="1069"/>
      <c r="PDS284" s="1069"/>
      <c r="PDT284" s="1069"/>
      <c r="PDU284" s="1069"/>
      <c r="PDV284" s="1069"/>
      <c r="PDW284" s="1069"/>
      <c r="PDX284" s="1069"/>
      <c r="PDY284" s="1069"/>
      <c r="PDZ284" s="1069"/>
      <c r="PEA284" s="1069"/>
      <c r="PEB284" s="1069"/>
      <c r="PEC284" s="1069"/>
      <c r="PED284" s="1069"/>
      <c r="PEE284" s="1069"/>
      <c r="PEF284" s="1069"/>
      <c r="PEG284" s="1069"/>
      <c r="PEH284" s="1069"/>
      <c r="PEI284" s="1069"/>
      <c r="PEJ284" s="1069"/>
      <c r="PEK284" s="1069"/>
      <c r="PEL284" s="1069"/>
      <c r="PEM284" s="1069"/>
      <c r="PEN284" s="1069"/>
      <c r="PEO284" s="1069"/>
      <c r="PEP284" s="1069"/>
      <c r="PEQ284" s="1069"/>
      <c r="PER284" s="1069"/>
      <c r="PES284" s="1069"/>
      <c r="PET284" s="1069"/>
      <c r="PEU284" s="1069"/>
      <c r="PEV284" s="1069"/>
      <c r="PEW284" s="1069"/>
      <c r="PEX284" s="1069"/>
      <c r="PEY284" s="1069"/>
      <c r="PEZ284" s="1069"/>
      <c r="PFA284" s="1069"/>
      <c r="PFB284" s="1069"/>
      <c r="PFC284" s="1069"/>
      <c r="PFD284" s="1069"/>
      <c r="PFE284" s="1069"/>
      <c r="PFF284" s="1069"/>
      <c r="PFG284" s="1069"/>
      <c r="PFH284" s="1069"/>
      <c r="PFI284" s="1069"/>
      <c r="PFJ284" s="1069"/>
      <c r="PFK284" s="1069"/>
      <c r="PFL284" s="1069"/>
      <c r="PFM284" s="1069"/>
      <c r="PFN284" s="1069"/>
      <c r="PFO284" s="1069"/>
      <c r="PFP284" s="1069"/>
      <c r="PFQ284" s="1069"/>
      <c r="PFR284" s="1069"/>
      <c r="PFS284" s="1069"/>
      <c r="PFT284" s="1069"/>
      <c r="PFU284" s="1069"/>
      <c r="PFV284" s="1069"/>
      <c r="PFW284" s="1069"/>
      <c r="PFX284" s="1069"/>
      <c r="PFY284" s="1069"/>
      <c r="PFZ284" s="1069"/>
      <c r="PGA284" s="1069"/>
      <c r="PGB284" s="1069"/>
      <c r="PGC284" s="1069"/>
      <c r="PGD284" s="1069"/>
      <c r="PGE284" s="1069"/>
      <c r="PGF284" s="1069"/>
      <c r="PGG284" s="1069"/>
      <c r="PGH284" s="1069"/>
      <c r="PGI284" s="1069"/>
      <c r="PGJ284" s="1069"/>
      <c r="PGK284" s="1069"/>
      <c r="PGL284" s="1069"/>
      <c r="PGM284" s="1069"/>
      <c r="PGN284" s="1069"/>
      <c r="PGO284" s="1069"/>
      <c r="PGP284" s="1069"/>
      <c r="PGQ284" s="1069"/>
      <c r="PGR284" s="1069"/>
      <c r="PGS284" s="1069"/>
      <c r="PGT284" s="1069"/>
      <c r="PGU284" s="1069"/>
      <c r="PGV284" s="1069"/>
      <c r="PGW284" s="1069"/>
      <c r="PGX284" s="1069"/>
      <c r="PGY284" s="1069"/>
      <c r="PGZ284" s="1069"/>
      <c r="PHA284" s="1069"/>
      <c r="PHB284" s="1069"/>
      <c r="PHC284" s="1069"/>
      <c r="PHD284" s="1069"/>
      <c r="PHE284" s="1069"/>
      <c r="PHF284" s="1069"/>
      <c r="PHG284" s="1069"/>
      <c r="PHH284" s="1069"/>
      <c r="PHI284" s="1069"/>
      <c r="PHJ284" s="1069"/>
      <c r="PHK284" s="1069"/>
      <c r="PHL284" s="1069"/>
      <c r="PHM284" s="1069"/>
      <c r="PHN284" s="1069"/>
      <c r="PHO284" s="1069"/>
      <c r="PHP284" s="1069"/>
      <c r="PHQ284" s="1069"/>
      <c r="PHR284" s="1069"/>
      <c r="PHS284" s="1069"/>
      <c r="PHT284" s="1069"/>
      <c r="PHU284" s="1069"/>
      <c r="PHV284" s="1069"/>
      <c r="PHW284" s="1069"/>
      <c r="PHX284" s="1069"/>
      <c r="PHY284" s="1069"/>
      <c r="PHZ284" s="1069"/>
      <c r="PIA284" s="1069"/>
      <c r="PIB284" s="1069"/>
      <c r="PIC284" s="1069"/>
      <c r="PID284" s="1069"/>
      <c r="PIE284" s="1069"/>
      <c r="PIF284" s="1069"/>
      <c r="PIG284" s="1069"/>
      <c r="PIH284" s="1069"/>
      <c r="PII284" s="1069"/>
      <c r="PIJ284" s="1069"/>
      <c r="PIK284" s="1069"/>
      <c r="PIL284" s="1069"/>
      <c r="PIM284" s="1069"/>
      <c r="PIN284" s="1069"/>
      <c r="PIO284" s="1069"/>
      <c r="PIP284" s="1069"/>
      <c r="PIQ284" s="1069"/>
      <c r="PIR284" s="1069"/>
      <c r="PIS284" s="1069"/>
      <c r="PIT284" s="1069"/>
      <c r="PIU284" s="1069"/>
      <c r="PIV284" s="1069"/>
      <c r="PIW284" s="1069"/>
      <c r="PIX284" s="1069"/>
      <c r="PIY284" s="1069"/>
      <c r="PIZ284" s="1069"/>
      <c r="PJA284" s="1069"/>
      <c r="PJB284" s="1069"/>
      <c r="PJC284" s="1069"/>
      <c r="PJD284" s="1069"/>
      <c r="PJE284" s="1069"/>
      <c r="PJF284" s="1069"/>
      <c r="PJG284" s="1069"/>
      <c r="PJH284" s="1069"/>
      <c r="PJI284" s="1069"/>
      <c r="PJJ284" s="1069"/>
      <c r="PJK284" s="1069"/>
      <c r="PJL284" s="1069"/>
      <c r="PJM284" s="1069"/>
      <c r="PJN284" s="1069"/>
      <c r="PJO284" s="1069"/>
      <c r="PJP284" s="1069"/>
      <c r="PJQ284" s="1069"/>
      <c r="PJR284" s="1069"/>
      <c r="PJS284" s="1069"/>
      <c r="PJT284" s="1069"/>
      <c r="PJU284" s="1069"/>
      <c r="PJV284" s="1069"/>
      <c r="PJW284" s="1069"/>
      <c r="PJX284" s="1069"/>
      <c r="PJY284" s="1069"/>
      <c r="PJZ284" s="1069"/>
      <c r="PKA284" s="1069"/>
      <c r="PKB284" s="1069"/>
      <c r="PKC284" s="1069"/>
      <c r="PKD284" s="1069"/>
      <c r="PKE284" s="1069"/>
      <c r="PKF284" s="1069"/>
      <c r="PKG284" s="1069"/>
      <c r="PKH284" s="1069"/>
      <c r="PKI284" s="1069"/>
      <c r="PKJ284" s="1069"/>
      <c r="PKK284" s="1069"/>
      <c r="PKL284" s="1069"/>
      <c r="PKM284" s="1069"/>
      <c r="PKN284" s="1069"/>
      <c r="PKO284" s="1069"/>
      <c r="PKP284" s="1069"/>
      <c r="PKQ284" s="1069"/>
      <c r="PKR284" s="1069"/>
      <c r="PKS284" s="1069"/>
      <c r="PKT284" s="1069"/>
      <c r="PKU284" s="1069"/>
      <c r="PKV284" s="1069"/>
      <c r="PKW284" s="1069"/>
      <c r="PKX284" s="1069"/>
      <c r="PKY284" s="1069"/>
      <c r="PKZ284" s="1069"/>
      <c r="PLA284" s="1069"/>
      <c r="PLB284" s="1069"/>
      <c r="PLC284" s="1069"/>
      <c r="PLD284" s="1069"/>
      <c r="PLE284" s="1069"/>
      <c r="PLF284" s="1069"/>
      <c r="PLG284" s="1069"/>
      <c r="PLH284" s="1069"/>
      <c r="PLI284" s="1069"/>
      <c r="PLJ284" s="1069"/>
      <c r="PLK284" s="1069"/>
      <c r="PLL284" s="1069"/>
      <c r="PLM284" s="1069"/>
      <c r="PLN284" s="1069"/>
      <c r="PLO284" s="1069"/>
      <c r="PLP284" s="1069"/>
      <c r="PLQ284" s="1069"/>
      <c r="PLR284" s="1069"/>
      <c r="PLS284" s="1069"/>
      <c r="PLT284" s="1069"/>
      <c r="PLU284" s="1069"/>
      <c r="PLV284" s="1069"/>
      <c r="PLW284" s="1069"/>
      <c r="PLX284" s="1069"/>
      <c r="PLY284" s="1069"/>
      <c r="PLZ284" s="1069"/>
      <c r="PMA284" s="1069"/>
      <c r="PMB284" s="1069"/>
      <c r="PMC284" s="1069"/>
      <c r="PMD284" s="1069"/>
      <c r="PME284" s="1069"/>
      <c r="PMF284" s="1069"/>
      <c r="PMG284" s="1069"/>
      <c r="PMH284" s="1069"/>
      <c r="PMI284" s="1069"/>
      <c r="PMJ284" s="1069"/>
      <c r="PMK284" s="1069"/>
      <c r="PML284" s="1069"/>
      <c r="PMM284" s="1069"/>
      <c r="PMN284" s="1069"/>
      <c r="PMO284" s="1069"/>
      <c r="PMP284" s="1069"/>
      <c r="PMQ284" s="1069"/>
      <c r="PMR284" s="1069"/>
      <c r="PMS284" s="1069"/>
      <c r="PMT284" s="1069"/>
      <c r="PMU284" s="1069"/>
      <c r="PMV284" s="1069"/>
      <c r="PMW284" s="1069"/>
      <c r="PMX284" s="1069"/>
      <c r="PMY284" s="1069"/>
      <c r="PMZ284" s="1069"/>
      <c r="PNA284" s="1069"/>
      <c r="PNB284" s="1069"/>
      <c r="PNC284" s="1069"/>
      <c r="PND284" s="1069"/>
      <c r="PNE284" s="1069"/>
      <c r="PNF284" s="1069"/>
      <c r="PNG284" s="1069"/>
      <c r="PNH284" s="1069"/>
      <c r="PNI284" s="1069"/>
      <c r="PNJ284" s="1069"/>
      <c r="PNK284" s="1069"/>
      <c r="PNL284" s="1069"/>
      <c r="PNM284" s="1069"/>
      <c r="PNN284" s="1069"/>
      <c r="PNO284" s="1069"/>
      <c r="PNP284" s="1069"/>
      <c r="PNQ284" s="1069"/>
      <c r="PNR284" s="1069"/>
      <c r="PNS284" s="1069"/>
      <c r="PNT284" s="1069"/>
      <c r="PNU284" s="1069"/>
      <c r="PNV284" s="1069"/>
      <c r="PNW284" s="1069"/>
      <c r="PNX284" s="1069"/>
      <c r="PNY284" s="1069"/>
      <c r="PNZ284" s="1069"/>
      <c r="POA284" s="1069"/>
      <c r="POB284" s="1069"/>
      <c r="POC284" s="1069"/>
      <c r="POD284" s="1069"/>
      <c r="POE284" s="1069"/>
      <c r="POF284" s="1069"/>
      <c r="POG284" s="1069"/>
      <c r="POH284" s="1069"/>
      <c r="POI284" s="1069"/>
      <c r="POJ284" s="1069"/>
      <c r="POK284" s="1069"/>
      <c r="POL284" s="1069"/>
      <c r="POM284" s="1069"/>
      <c r="PON284" s="1069"/>
      <c r="POO284" s="1069"/>
      <c r="POP284" s="1069"/>
      <c r="POQ284" s="1069"/>
      <c r="POR284" s="1069"/>
      <c r="POS284" s="1069"/>
      <c r="POT284" s="1069"/>
      <c r="POU284" s="1069"/>
      <c r="POV284" s="1069"/>
      <c r="POW284" s="1069"/>
      <c r="POX284" s="1069"/>
      <c r="POY284" s="1069"/>
      <c r="POZ284" s="1069"/>
      <c r="PPA284" s="1069"/>
      <c r="PPB284" s="1069"/>
      <c r="PPC284" s="1069"/>
      <c r="PPD284" s="1069"/>
      <c r="PPE284" s="1069"/>
      <c r="PPF284" s="1069"/>
      <c r="PPG284" s="1069"/>
      <c r="PPH284" s="1069"/>
      <c r="PPI284" s="1069"/>
      <c r="PPJ284" s="1069"/>
      <c r="PPK284" s="1069"/>
      <c r="PPL284" s="1069"/>
      <c r="PPM284" s="1069"/>
      <c r="PPN284" s="1069"/>
      <c r="PPO284" s="1069"/>
      <c r="PPP284" s="1069"/>
      <c r="PPQ284" s="1069"/>
      <c r="PPR284" s="1069"/>
      <c r="PPS284" s="1069"/>
      <c r="PPT284" s="1069"/>
      <c r="PPU284" s="1069"/>
      <c r="PPV284" s="1069"/>
      <c r="PPW284" s="1069"/>
      <c r="PPX284" s="1069"/>
      <c r="PPY284" s="1069"/>
      <c r="PPZ284" s="1069"/>
      <c r="PQA284" s="1069"/>
      <c r="PQB284" s="1069"/>
      <c r="PQC284" s="1069"/>
      <c r="PQD284" s="1069"/>
      <c r="PQE284" s="1069"/>
      <c r="PQF284" s="1069"/>
      <c r="PQG284" s="1069"/>
      <c r="PQH284" s="1069"/>
      <c r="PQI284" s="1069"/>
      <c r="PQJ284" s="1069"/>
      <c r="PQK284" s="1069"/>
      <c r="PQL284" s="1069"/>
      <c r="PQM284" s="1069"/>
      <c r="PQN284" s="1069"/>
      <c r="PQO284" s="1069"/>
      <c r="PQP284" s="1069"/>
      <c r="PQQ284" s="1069"/>
      <c r="PQR284" s="1069"/>
      <c r="PQS284" s="1069"/>
      <c r="PQT284" s="1069"/>
      <c r="PQU284" s="1069"/>
      <c r="PQV284" s="1069"/>
      <c r="PQW284" s="1069"/>
      <c r="PQX284" s="1069"/>
      <c r="PQY284" s="1069"/>
      <c r="PQZ284" s="1069"/>
      <c r="PRA284" s="1069"/>
      <c r="PRB284" s="1069"/>
      <c r="PRC284" s="1069"/>
      <c r="PRD284" s="1069"/>
      <c r="PRE284" s="1069"/>
      <c r="PRF284" s="1069"/>
      <c r="PRG284" s="1069"/>
      <c r="PRH284" s="1069"/>
      <c r="PRI284" s="1069"/>
      <c r="PRJ284" s="1069"/>
      <c r="PRK284" s="1069"/>
      <c r="PRL284" s="1069"/>
      <c r="PRM284" s="1069"/>
      <c r="PRN284" s="1069"/>
      <c r="PRO284" s="1069"/>
      <c r="PRP284" s="1069"/>
      <c r="PRQ284" s="1069"/>
      <c r="PRR284" s="1069"/>
      <c r="PRS284" s="1069"/>
      <c r="PRT284" s="1069"/>
      <c r="PRU284" s="1069"/>
      <c r="PRV284" s="1069"/>
      <c r="PRW284" s="1069"/>
      <c r="PRX284" s="1069"/>
      <c r="PRY284" s="1069"/>
      <c r="PRZ284" s="1069"/>
      <c r="PSA284" s="1069"/>
      <c r="PSB284" s="1069"/>
      <c r="PSC284" s="1069"/>
      <c r="PSD284" s="1069"/>
      <c r="PSE284" s="1069"/>
      <c r="PSF284" s="1069"/>
      <c r="PSG284" s="1069"/>
      <c r="PSH284" s="1069"/>
      <c r="PSI284" s="1069"/>
      <c r="PSJ284" s="1069"/>
      <c r="PSK284" s="1069"/>
      <c r="PSL284" s="1069"/>
      <c r="PSM284" s="1069"/>
      <c r="PSN284" s="1069"/>
      <c r="PSO284" s="1069"/>
      <c r="PSP284" s="1069"/>
      <c r="PSQ284" s="1069"/>
      <c r="PSR284" s="1069"/>
      <c r="PSS284" s="1069"/>
      <c r="PST284" s="1069"/>
      <c r="PSU284" s="1069"/>
      <c r="PSV284" s="1069"/>
      <c r="PSW284" s="1069"/>
      <c r="PSX284" s="1069"/>
      <c r="PSY284" s="1069"/>
      <c r="PSZ284" s="1069"/>
      <c r="PTA284" s="1069"/>
      <c r="PTB284" s="1069"/>
      <c r="PTC284" s="1069"/>
      <c r="PTD284" s="1069"/>
      <c r="PTE284" s="1069"/>
      <c r="PTF284" s="1069"/>
      <c r="PTG284" s="1069"/>
      <c r="PTH284" s="1069"/>
      <c r="PTI284" s="1069"/>
      <c r="PTJ284" s="1069"/>
      <c r="PTK284" s="1069"/>
      <c r="PTL284" s="1069"/>
      <c r="PTM284" s="1069"/>
      <c r="PTN284" s="1069"/>
      <c r="PTO284" s="1069"/>
      <c r="PTP284" s="1069"/>
      <c r="PTQ284" s="1069"/>
      <c r="PTR284" s="1069"/>
      <c r="PTS284" s="1069"/>
      <c r="PTT284" s="1069"/>
      <c r="PTU284" s="1069"/>
      <c r="PTV284" s="1069"/>
      <c r="PTW284" s="1069"/>
      <c r="PTX284" s="1069"/>
      <c r="PTY284" s="1069"/>
      <c r="PTZ284" s="1069"/>
      <c r="PUA284" s="1069"/>
      <c r="PUB284" s="1069"/>
      <c r="PUC284" s="1069"/>
      <c r="PUD284" s="1069"/>
      <c r="PUE284" s="1069"/>
      <c r="PUF284" s="1069"/>
      <c r="PUG284" s="1069"/>
      <c r="PUH284" s="1069"/>
      <c r="PUI284" s="1069"/>
      <c r="PUJ284" s="1069"/>
      <c r="PUK284" s="1069"/>
      <c r="PUL284" s="1069"/>
      <c r="PUM284" s="1069"/>
      <c r="PUN284" s="1069"/>
      <c r="PUO284" s="1069"/>
      <c r="PUP284" s="1069"/>
      <c r="PUQ284" s="1069"/>
      <c r="PUR284" s="1069"/>
      <c r="PUS284" s="1069"/>
      <c r="PUT284" s="1069"/>
      <c r="PUU284" s="1069"/>
      <c r="PUV284" s="1069"/>
      <c r="PUW284" s="1069"/>
      <c r="PUX284" s="1069"/>
      <c r="PUY284" s="1069"/>
      <c r="PUZ284" s="1069"/>
      <c r="PVA284" s="1069"/>
      <c r="PVB284" s="1069"/>
      <c r="PVC284" s="1069"/>
      <c r="PVD284" s="1069"/>
      <c r="PVE284" s="1069"/>
      <c r="PVF284" s="1069"/>
      <c r="PVG284" s="1069"/>
      <c r="PVH284" s="1069"/>
      <c r="PVI284" s="1069"/>
      <c r="PVJ284" s="1069"/>
      <c r="PVK284" s="1069"/>
      <c r="PVL284" s="1069"/>
      <c r="PVM284" s="1069"/>
      <c r="PVN284" s="1069"/>
      <c r="PVO284" s="1069"/>
      <c r="PVP284" s="1069"/>
      <c r="PVQ284" s="1069"/>
      <c r="PVR284" s="1069"/>
      <c r="PVS284" s="1069"/>
      <c r="PVT284" s="1069"/>
      <c r="PVU284" s="1069"/>
      <c r="PVV284" s="1069"/>
      <c r="PVW284" s="1069"/>
      <c r="PVX284" s="1069"/>
      <c r="PVY284" s="1069"/>
      <c r="PVZ284" s="1069"/>
      <c r="PWA284" s="1069"/>
      <c r="PWB284" s="1069"/>
      <c r="PWC284" s="1069"/>
      <c r="PWD284" s="1069"/>
      <c r="PWE284" s="1069"/>
      <c r="PWF284" s="1069"/>
      <c r="PWG284" s="1069"/>
      <c r="PWH284" s="1069"/>
      <c r="PWI284" s="1069"/>
      <c r="PWJ284" s="1069"/>
      <c r="PWK284" s="1069"/>
      <c r="PWL284" s="1069"/>
      <c r="PWM284" s="1069"/>
      <c r="PWN284" s="1069"/>
      <c r="PWO284" s="1069"/>
      <c r="PWP284" s="1069"/>
      <c r="PWQ284" s="1069"/>
      <c r="PWR284" s="1069"/>
      <c r="PWS284" s="1069"/>
      <c r="PWT284" s="1069"/>
      <c r="PWU284" s="1069"/>
      <c r="PWV284" s="1069"/>
      <c r="PWW284" s="1069"/>
      <c r="PWX284" s="1069"/>
      <c r="PWY284" s="1069"/>
      <c r="PWZ284" s="1069"/>
      <c r="PXA284" s="1069"/>
      <c r="PXB284" s="1069"/>
      <c r="PXC284" s="1069"/>
      <c r="PXD284" s="1069"/>
      <c r="PXE284" s="1069"/>
      <c r="PXF284" s="1069"/>
      <c r="PXG284" s="1069"/>
      <c r="PXH284" s="1069"/>
      <c r="PXI284" s="1069"/>
      <c r="PXJ284" s="1069"/>
      <c r="PXK284" s="1069"/>
      <c r="PXL284" s="1069"/>
      <c r="PXM284" s="1069"/>
      <c r="PXN284" s="1069"/>
      <c r="PXO284" s="1069"/>
      <c r="PXP284" s="1069"/>
      <c r="PXQ284" s="1069"/>
      <c r="PXR284" s="1069"/>
      <c r="PXS284" s="1069"/>
      <c r="PXT284" s="1069"/>
      <c r="PXU284" s="1069"/>
      <c r="PXV284" s="1069"/>
      <c r="PXW284" s="1069"/>
      <c r="PXX284" s="1069"/>
      <c r="PXY284" s="1069"/>
      <c r="PXZ284" s="1069"/>
      <c r="PYA284" s="1069"/>
      <c r="PYB284" s="1069"/>
      <c r="PYC284" s="1069"/>
      <c r="PYD284" s="1069"/>
      <c r="PYE284" s="1069"/>
      <c r="PYF284" s="1069"/>
      <c r="PYG284" s="1069"/>
      <c r="PYH284" s="1069"/>
      <c r="PYI284" s="1069"/>
      <c r="PYJ284" s="1069"/>
      <c r="PYK284" s="1069"/>
      <c r="PYL284" s="1069"/>
      <c r="PYM284" s="1069"/>
      <c r="PYN284" s="1069"/>
      <c r="PYO284" s="1069"/>
      <c r="PYP284" s="1069"/>
      <c r="PYQ284" s="1069"/>
      <c r="PYR284" s="1069"/>
      <c r="PYS284" s="1069"/>
      <c r="PYT284" s="1069"/>
      <c r="PYU284" s="1069"/>
      <c r="PYV284" s="1069"/>
      <c r="PYW284" s="1069"/>
      <c r="PYX284" s="1069"/>
      <c r="PYY284" s="1069"/>
      <c r="PYZ284" s="1069"/>
      <c r="PZA284" s="1069"/>
      <c r="PZB284" s="1069"/>
      <c r="PZC284" s="1069"/>
      <c r="PZD284" s="1069"/>
      <c r="PZE284" s="1069"/>
      <c r="PZF284" s="1069"/>
      <c r="PZG284" s="1069"/>
      <c r="PZH284" s="1069"/>
      <c r="PZI284" s="1069"/>
      <c r="PZJ284" s="1069"/>
      <c r="PZK284" s="1069"/>
      <c r="PZL284" s="1069"/>
      <c r="PZM284" s="1069"/>
      <c r="PZN284" s="1069"/>
      <c r="PZO284" s="1069"/>
      <c r="PZP284" s="1069"/>
      <c r="PZQ284" s="1069"/>
      <c r="PZR284" s="1069"/>
      <c r="PZS284" s="1069"/>
      <c r="PZT284" s="1069"/>
      <c r="PZU284" s="1069"/>
      <c r="PZV284" s="1069"/>
      <c r="PZW284" s="1069"/>
      <c r="PZX284" s="1069"/>
      <c r="PZY284" s="1069"/>
      <c r="PZZ284" s="1069"/>
      <c r="QAA284" s="1069"/>
      <c r="QAB284" s="1069"/>
      <c r="QAC284" s="1069"/>
      <c r="QAD284" s="1069"/>
      <c r="QAE284" s="1069"/>
      <c r="QAF284" s="1069"/>
      <c r="QAG284" s="1069"/>
      <c r="QAH284" s="1069"/>
      <c r="QAI284" s="1069"/>
      <c r="QAJ284" s="1069"/>
      <c r="QAK284" s="1069"/>
      <c r="QAL284" s="1069"/>
      <c r="QAM284" s="1069"/>
      <c r="QAN284" s="1069"/>
      <c r="QAO284" s="1069"/>
      <c r="QAP284" s="1069"/>
      <c r="QAQ284" s="1069"/>
      <c r="QAR284" s="1069"/>
      <c r="QAS284" s="1069"/>
      <c r="QAT284" s="1069"/>
      <c r="QAU284" s="1069"/>
      <c r="QAV284" s="1069"/>
      <c r="QAW284" s="1069"/>
      <c r="QAX284" s="1069"/>
      <c r="QAY284" s="1069"/>
      <c r="QAZ284" s="1069"/>
      <c r="QBA284" s="1069"/>
      <c r="QBB284" s="1069"/>
      <c r="QBC284" s="1069"/>
      <c r="QBD284" s="1069"/>
      <c r="QBE284" s="1069"/>
      <c r="QBF284" s="1069"/>
      <c r="QBG284" s="1069"/>
      <c r="QBH284" s="1069"/>
      <c r="QBI284" s="1069"/>
      <c r="QBJ284" s="1069"/>
      <c r="QBK284" s="1069"/>
      <c r="QBL284" s="1069"/>
      <c r="QBM284" s="1069"/>
      <c r="QBN284" s="1069"/>
      <c r="QBO284" s="1069"/>
      <c r="QBP284" s="1069"/>
      <c r="QBQ284" s="1069"/>
      <c r="QBR284" s="1069"/>
      <c r="QBS284" s="1069"/>
      <c r="QBT284" s="1069"/>
      <c r="QBU284" s="1069"/>
      <c r="QBV284" s="1069"/>
      <c r="QBW284" s="1069"/>
      <c r="QBX284" s="1069"/>
      <c r="QBY284" s="1069"/>
      <c r="QBZ284" s="1069"/>
      <c r="QCA284" s="1069"/>
      <c r="QCB284" s="1069"/>
      <c r="QCC284" s="1069"/>
      <c r="QCD284" s="1069"/>
      <c r="QCE284" s="1069"/>
      <c r="QCF284" s="1069"/>
      <c r="QCG284" s="1069"/>
      <c r="QCH284" s="1069"/>
      <c r="QCI284" s="1069"/>
      <c r="QCJ284" s="1069"/>
      <c r="QCK284" s="1069"/>
      <c r="QCL284" s="1069"/>
      <c r="QCM284" s="1069"/>
      <c r="QCN284" s="1069"/>
      <c r="QCO284" s="1069"/>
      <c r="QCP284" s="1069"/>
      <c r="QCQ284" s="1069"/>
      <c r="QCR284" s="1069"/>
      <c r="QCS284" s="1069"/>
      <c r="QCT284" s="1069"/>
      <c r="QCU284" s="1069"/>
      <c r="QCV284" s="1069"/>
      <c r="QCW284" s="1069"/>
      <c r="QCX284" s="1069"/>
      <c r="QCY284" s="1069"/>
      <c r="QCZ284" s="1069"/>
      <c r="QDA284" s="1069"/>
      <c r="QDB284" s="1069"/>
      <c r="QDC284" s="1069"/>
      <c r="QDD284" s="1069"/>
      <c r="QDE284" s="1069"/>
      <c r="QDF284" s="1069"/>
      <c r="QDG284" s="1069"/>
      <c r="QDH284" s="1069"/>
      <c r="QDI284" s="1069"/>
      <c r="QDJ284" s="1069"/>
      <c r="QDK284" s="1069"/>
      <c r="QDL284" s="1069"/>
      <c r="QDM284" s="1069"/>
      <c r="QDN284" s="1069"/>
      <c r="QDO284" s="1069"/>
      <c r="QDP284" s="1069"/>
      <c r="QDQ284" s="1069"/>
      <c r="QDR284" s="1069"/>
      <c r="QDS284" s="1069"/>
      <c r="QDT284" s="1069"/>
      <c r="QDU284" s="1069"/>
      <c r="QDV284" s="1069"/>
      <c r="QDW284" s="1069"/>
      <c r="QDX284" s="1069"/>
      <c r="QDY284" s="1069"/>
      <c r="QDZ284" s="1069"/>
      <c r="QEA284" s="1069"/>
      <c r="QEB284" s="1069"/>
      <c r="QEC284" s="1069"/>
      <c r="QED284" s="1069"/>
      <c r="QEE284" s="1069"/>
      <c r="QEF284" s="1069"/>
      <c r="QEG284" s="1069"/>
      <c r="QEH284" s="1069"/>
      <c r="QEI284" s="1069"/>
      <c r="QEJ284" s="1069"/>
      <c r="QEK284" s="1069"/>
      <c r="QEL284" s="1069"/>
      <c r="QEM284" s="1069"/>
      <c r="QEN284" s="1069"/>
      <c r="QEO284" s="1069"/>
      <c r="QEP284" s="1069"/>
      <c r="QEQ284" s="1069"/>
      <c r="QER284" s="1069"/>
      <c r="QES284" s="1069"/>
      <c r="QET284" s="1069"/>
      <c r="QEU284" s="1069"/>
      <c r="QEV284" s="1069"/>
      <c r="QEW284" s="1069"/>
      <c r="QEX284" s="1069"/>
      <c r="QEY284" s="1069"/>
      <c r="QEZ284" s="1069"/>
      <c r="QFA284" s="1069"/>
      <c r="QFB284" s="1069"/>
      <c r="QFC284" s="1069"/>
      <c r="QFD284" s="1069"/>
      <c r="QFE284" s="1069"/>
      <c r="QFF284" s="1069"/>
      <c r="QFG284" s="1069"/>
      <c r="QFH284" s="1069"/>
      <c r="QFI284" s="1069"/>
      <c r="QFJ284" s="1069"/>
      <c r="QFK284" s="1069"/>
      <c r="QFL284" s="1069"/>
      <c r="QFM284" s="1069"/>
      <c r="QFN284" s="1069"/>
      <c r="QFO284" s="1069"/>
      <c r="QFP284" s="1069"/>
      <c r="QFQ284" s="1069"/>
      <c r="QFR284" s="1069"/>
      <c r="QFS284" s="1069"/>
      <c r="QFT284" s="1069"/>
      <c r="QFU284" s="1069"/>
      <c r="QFV284" s="1069"/>
      <c r="QFW284" s="1069"/>
      <c r="QFX284" s="1069"/>
      <c r="QFY284" s="1069"/>
      <c r="QFZ284" s="1069"/>
      <c r="QGA284" s="1069"/>
      <c r="QGB284" s="1069"/>
      <c r="QGC284" s="1069"/>
      <c r="QGD284" s="1069"/>
      <c r="QGE284" s="1069"/>
      <c r="QGF284" s="1069"/>
      <c r="QGG284" s="1069"/>
      <c r="QGH284" s="1069"/>
      <c r="QGI284" s="1069"/>
      <c r="QGJ284" s="1069"/>
      <c r="QGK284" s="1069"/>
      <c r="QGL284" s="1069"/>
      <c r="QGM284" s="1069"/>
      <c r="QGN284" s="1069"/>
      <c r="QGO284" s="1069"/>
      <c r="QGP284" s="1069"/>
      <c r="QGQ284" s="1069"/>
      <c r="QGR284" s="1069"/>
      <c r="QGS284" s="1069"/>
      <c r="QGT284" s="1069"/>
      <c r="QGU284" s="1069"/>
      <c r="QGV284" s="1069"/>
      <c r="QGW284" s="1069"/>
      <c r="QGX284" s="1069"/>
      <c r="QGY284" s="1069"/>
      <c r="QGZ284" s="1069"/>
      <c r="QHA284" s="1069"/>
      <c r="QHB284" s="1069"/>
      <c r="QHC284" s="1069"/>
      <c r="QHD284" s="1069"/>
      <c r="QHE284" s="1069"/>
      <c r="QHF284" s="1069"/>
      <c r="QHG284" s="1069"/>
      <c r="QHH284" s="1069"/>
      <c r="QHI284" s="1069"/>
      <c r="QHJ284" s="1069"/>
      <c r="QHK284" s="1069"/>
      <c r="QHL284" s="1069"/>
      <c r="QHM284" s="1069"/>
      <c r="QHN284" s="1069"/>
      <c r="QHO284" s="1069"/>
      <c r="QHP284" s="1069"/>
      <c r="QHQ284" s="1069"/>
      <c r="QHR284" s="1069"/>
      <c r="QHS284" s="1069"/>
      <c r="QHT284" s="1069"/>
      <c r="QHU284" s="1069"/>
      <c r="QHV284" s="1069"/>
      <c r="QHW284" s="1069"/>
      <c r="QHX284" s="1069"/>
      <c r="QHY284" s="1069"/>
      <c r="QHZ284" s="1069"/>
      <c r="QIA284" s="1069"/>
      <c r="QIB284" s="1069"/>
      <c r="QIC284" s="1069"/>
      <c r="QID284" s="1069"/>
      <c r="QIE284" s="1069"/>
      <c r="QIF284" s="1069"/>
      <c r="QIG284" s="1069"/>
      <c r="QIH284" s="1069"/>
      <c r="QII284" s="1069"/>
      <c r="QIJ284" s="1069"/>
      <c r="QIK284" s="1069"/>
      <c r="QIL284" s="1069"/>
      <c r="QIM284" s="1069"/>
      <c r="QIN284" s="1069"/>
      <c r="QIO284" s="1069"/>
      <c r="QIP284" s="1069"/>
      <c r="QIQ284" s="1069"/>
      <c r="QIR284" s="1069"/>
      <c r="QIS284" s="1069"/>
      <c r="QIT284" s="1069"/>
      <c r="QIU284" s="1069"/>
      <c r="QIV284" s="1069"/>
      <c r="QIW284" s="1069"/>
      <c r="QIX284" s="1069"/>
      <c r="QIY284" s="1069"/>
      <c r="QIZ284" s="1069"/>
      <c r="QJA284" s="1069"/>
      <c r="QJB284" s="1069"/>
      <c r="QJC284" s="1069"/>
      <c r="QJD284" s="1069"/>
      <c r="QJE284" s="1069"/>
      <c r="QJF284" s="1069"/>
      <c r="QJG284" s="1069"/>
      <c r="QJH284" s="1069"/>
      <c r="QJI284" s="1069"/>
      <c r="QJJ284" s="1069"/>
      <c r="QJK284" s="1069"/>
      <c r="QJL284" s="1069"/>
      <c r="QJM284" s="1069"/>
      <c r="QJN284" s="1069"/>
      <c r="QJO284" s="1069"/>
      <c r="QJP284" s="1069"/>
      <c r="QJQ284" s="1069"/>
      <c r="QJR284" s="1069"/>
      <c r="QJS284" s="1069"/>
      <c r="QJT284" s="1069"/>
      <c r="QJU284" s="1069"/>
      <c r="QJV284" s="1069"/>
      <c r="QJW284" s="1069"/>
      <c r="QJX284" s="1069"/>
      <c r="QJY284" s="1069"/>
      <c r="QJZ284" s="1069"/>
      <c r="QKA284" s="1069"/>
      <c r="QKB284" s="1069"/>
      <c r="QKC284" s="1069"/>
      <c r="QKD284" s="1069"/>
      <c r="QKE284" s="1069"/>
      <c r="QKF284" s="1069"/>
      <c r="QKG284" s="1069"/>
      <c r="QKH284" s="1069"/>
      <c r="QKI284" s="1069"/>
      <c r="QKJ284" s="1069"/>
      <c r="QKK284" s="1069"/>
      <c r="QKL284" s="1069"/>
      <c r="QKM284" s="1069"/>
      <c r="QKN284" s="1069"/>
      <c r="QKO284" s="1069"/>
      <c r="QKP284" s="1069"/>
      <c r="QKQ284" s="1069"/>
      <c r="QKR284" s="1069"/>
      <c r="QKS284" s="1069"/>
      <c r="QKT284" s="1069"/>
      <c r="QKU284" s="1069"/>
      <c r="QKV284" s="1069"/>
      <c r="QKW284" s="1069"/>
      <c r="QKX284" s="1069"/>
      <c r="QKY284" s="1069"/>
      <c r="QKZ284" s="1069"/>
      <c r="QLA284" s="1069"/>
      <c r="QLB284" s="1069"/>
      <c r="QLC284" s="1069"/>
      <c r="QLD284" s="1069"/>
      <c r="QLE284" s="1069"/>
      <c r="QLF284" s="1069"/>
      <c r="QLG284" s="1069"/>
      <c r="QLH284" s="1069"/>
      <c r="QLI284" s="1069"/>
      <c r="QLJ284" s="1069"/>
      <c r="QLK284" s="1069"/>
      <c r="QLL284" s="1069"/>
      <c r="QLM284" s="1069"/>
      <c r="QLN284" s="1069"/>
      <c r="QLO284" s="1069"/>
      <c r="QLP284" s="1069"/>
      <c r="QLQ284" s="1069"/>
      <c r="QLR284" s="1069"/>
      <c r="QLS284" s="1069"/>
      <c r="QLT284" s="1069"/>
      <c r="QLU284" s="1069"/>
      <c r="QLV284" s="1069"/>
      <c r="QLW284" s="1069"/>
      <c r="QLX284" s="1069"/>
      <c r="QLY284" s="1069"/>
      <c r="QLZ284" s="1069"/>
      <c r="QMA284" s="1069"/>
      <c r="QMB284" s="1069"/>
      <c r="QMC284" s="1069"/>
      <c r="QMD284" s="1069"/>
      <c r="QME284" s="1069"/>
      <c r="QMF284" s="1069"/>
      <c r="QMG284" s="1069"/>
      <c r="QMH284" s="1069"/>
      <c r="QMI284" s="1069"/>
      <c r="QMJ284" s="1069"/>
      <c r="QMK284" s="1069"/>
      <c r="QML284" s="1069"/>
      <c r="QMM284" s="1069"/>
      <c r="QMN284" s="1069"/>
      <c r="QMO284" s="1069"/>
      <c r="QMP284" s="1069"/>
      <c r="QMQ284" s="1069"/>
      <c r="QMR284" s="1069"/>
      <c r="QMS284" s="1069"/>
      <c r="QMT284" s="1069"/>
      <c r="QMU284" s="1069"/>
      <c r="QMV284" s="1069"/>
      <c r="QMW284" s="1069"/>
      <c r="QMX284" s="1069"/>
      <c r="QMY284" s="1069"/>
      <c r="QMZ284" s="1069"/>
      <c r="QNA284" s="1069"/>
      <c r="QNB284" s="1069"/>
      <c r="QNC284" s="1069"/>
      <c r="QND284" s="1069"/>
      <c r="QNE284" s="1069"/>
      <c r="QNF284" s="1069"/>
      <c r="QNG284" s="1069"/>
      <c r="QNH284" s="1069"/>
      <c r="QNI284" s="1069"/>
      <c r="QNJ284" s="1069"/>
      <c r="QNK284" s="1069"/>
      <c r="QNL284" s="1069"/>
      <c r="QNM284" s="1069"/>
      <c r="QNN284" s="1069"/>
      <c r="QNO284" s="1069"/>
      <c r="QNP284" s="1069"/>
      <c r="QNQ284" s="1069"/>
      <c r="QNR284" s="1069"/>
      <c r="QNS284" s="1069"/>
      <c r="QNT284" s="1069"/>
      <c r="QNU284" s="1069"/>
      <c r="QNV284" s="1069"/>
      <c r="QNW284" s="1069"/>
      <c r="QNX284" s="1069"/>
      <c r="QNY284" s="1069"/>
      <c r="QNZ284" s="1069"/>
      <c r="QOA284" s="1069"/>
      <c r="QOB284" s="1069"/>
      <c r="QOC284" s="1069"/>
      <c r="QOD284" s="1069"/>
      <c r="QOE284" s="1069"/>
      <c r="QOF284" s="1069"/>
      <c r="QOG284" s="1069"/>
      <c r="QOH284" s="1069"/>
      <c r="QOI284" s="1069"/>
      <c r="QOJ284" s="1069"/>
      <c r="QOK284" s="1069"/>
      <c r="QOL284" s="1069"/>
      <c r="QOM284" s="1069"/>
      <c r="QON284" s="1069"/>
      <c r="QOO284" s="1069"/>
      <c r="QOP284" s="1069"/>
      <c r="QOQ284" s="1069"/>
      <c r="QOR284" s="1069"/>
      <c r="QOS284" s="1069"/>
      <c r="QOT284" s="1069"/>
      <c r="QOU284" s="1069"/>
      <c r="QOV284" s="1069"/>
      <c r="QOW284" s="1069"/>
      <c r="QOX284" s="1069"/>
      <c r="QOY284" s="1069"/>
      <c r="QOZ284" s="1069"/>
      <c r="QPA284" s="1069"/>
      <c r="QPB284" s="1069"/>
      <c r="QPC284" s="1069"/>
      <c r="QPD284" s="1069"/>
      <c r="QPE284" s="1069"/>
      <c r="QPF284" s="1069"/>
      <c r="QPG284" s="1069"/>
      <c r="QPH284" s="1069"/>
      <c r="QPI284" s="1069"/>
      <c r="QPJ284" s="1069"/>
      <c r="QPK284" s="1069"/>
      <c r="QPL284" s="1069"/>
      <c r="QPM284" s="1069"/>
      <c r="QPN284" s="1069"/>
      <c r="QPO284" s="1069"/>
      <c r="QPP284" s="1069"/>
      <c r="QPQ284" s="1069"/>
      <c r="QPR284" s="1069"/>
      <c r="QPS284" s="1069"/>
      <c r="QPT284" s="1069"/>
      <c r="QPU284" s="1069"/>
      <c r="QPV284" s="1069"/>
      <c r="QPW284" s="1069"/>
      <c r="QPX284" s="1069"/>
      <c r="QPY284" s="1069"/>
      <c r="QPZ284" s="1069"/>
      <c r="QQA284" s="1069"/>
      <c r="QQB284" s="1069"/>
      <c r="QQC284" s="1069"/>
      <c r="QQD284" s="1069"/>
      <c r="QQE284" s="1069"/>
      <c r="QQF284" s="1069"/>
      <c r="QQG284" s="1069"/>
      <c r="QQH284" s="1069"/>
      <c r="QQI284" s="1069"/>
      <c r="QQJ284" s="1069"/>
      <c r="QQK284" s="1069"/>
      <c r="QQL284" s="1069"/>
      <c r="QQM284" s="1069"/>
      <c r="QQN284" s="1069"/>
      <c r="QQO284" s="1069"/>
      <c r="QQP284" s="1069"/>
      <c r="QQQ284" s="1069"/>
      <c r="QQR284" s="1069"/>
      <c r="QQS284" s="1069"/>
      <c r="QQT284" s="1069"/>
      <c r="QQU284" s="1069"/>
      <c r="QQV284" s="1069"/>
      <c r="QQW284" s="1069"/>
      <c r="QQX284" s="1069"/>
      <c r="QQY284" s="1069"/>
      <c r="QQZ284" s="1069"/>
      <c r="QRA284" s="1069"/>
      <c r="QRB284" s="1069"/>
      <c r="QRC284" s="1069"/>
      <c r="QRD284" s="1069"/>
      <c r="QRE284" s="1069"/>
      <c r="QRF284" s="1069"/>
      <c r="QRG284" s="1069"/>
      <c r="QRH284" s="1069"/>
      <c r="QRI284" s="1069"/>
      <c r="QRJ284" s="1069"/>
      <c r="QRK284" s="1069"/>
      <c r="QRL284" s="1069"/>
      <c r="QRM284" s="1069"/>
      <c r="QRN284" s="1069"/>
      <c r="QRO284" s="1069"/>
      <c r="QRP284" s="1069"/>
      <c r="QRQ284" s="1069"/>
      <c r="QRR284" s="1069"/>
      <c r="QRS284" s="1069"/>
      <c r="QRT284" s="1069"/>
      <c r="QRU284" s="1069"/>
      <c r="QRV284" s="1069"/>
      <c r="QRW284" s="1069"/>
      <c r="QRX284" s="1069"/>
      <c r="QRY284" s="1069"/>
      <c r="QRZ284" s="1069"/>
      <c r="QSA284" s="1069"/>
      <c r="QSB284" s="1069"/>
      <c r="QSC284" s="1069"/>
      <c r="QSD284" s="1069"/>
      <c r="QSE284" s="1069"/>
      <c r="QSF284" s="1069"/>
      <c r="QSG284" s="1069"/>
      <c r="QSH284" s="1069"/>
      <c r="QSI284" s="1069"/>
      <c r="QSJ284" s="1069"/>
      <c r="QSK284" s="1069"/>
      <c r="QSL284" s="1069"/>
      <c r="QSM284" s="1069"/>
      <c r="QSN284" s="1069"/>
      <c r="QSO284" s="1069"/>
      <c r="QSP284" s="1069"/>
      <c r="QSQ284" s="1069"/>
      <c r="QSR284" s="1069"/>
      <c r="QSS284" s="1069"/>
      <c r="QST284" s="1069"/>
      <c r="QSU284" s="1069"/>
      <c r="QSV284" s="1069"/>
      <c r="QSW284" s="1069"/>
      <c r="QSX284" s="1069"/>
      <c r="QSY284" s="1069"/>
      <c r="QSZ284" s="1069"/>
      <c r="QTA284" s="1069"/>
      <c r="QTB284" s="1069"/>
      <c r="QTC284" s="1069"/>
      <c r="QTD284" s="1069"/>
      <c r="QTE284" s="1069"/>
      <c r="QTF284" s="1069"/>
      <c r="QTG284" s="1069"/>
      <c r="QTH284" s="1069"/>
      <c r="QTI284" s="1069"/>
      <c r="QTJ284" s="1069"/>
      <c r="QTK284" s="1069"/>
      <c r="QTL284" s="1069"/>
      <c r="QTM284" s="1069"/>
      <c r="QTN284" s="1069"/>
      <c r="QTO284" s="1069"/>
      <c r="QTP284" s="1069"/>
      <c r="QTQ284" s="1069"/>
      <c r="QTR284" s="1069"/>
      <c r="QTS284" s="1069"/>
      <c r="QTT284" s="1069"/>
      <c r="QTU284" s="1069"/>
      <c r="QTV284" s="1069"/>
      <c r="QTW284" s="1069"/>
      <c r="QTX284" s="1069"/>
      <c r="QTY284" s="1069"/>
      <c r="QTZ284" s="1069"/>
      <c r="QUA284" s="1069"/>
      <c r="QUB284" s="1069"/>
      <c r="QUC284" s="1069"/>
      <c r="QUD284" s="1069"/>
      <c r="QUE284" s="1069"/>
      <c r="QUF284" s="1069"/>
      <c r="QUG284" s="1069"/>
      <c r="QUH284" s="1069"/>
      <c r="QUI284" s="1069"/>
      <c r="QUJ284" s="1069"/>
      <c r="QUK284" s="1069"/>
      <c r="QUL284" s="1069"/>
      <c r="QUM284" s="1069"/>
      <c r="QUN284" s="1069"/>
      <c r="QUO284" s="1069"/>
      <c r="QUP284" s="1069"/>
      <c r="QUQ284" s="1069"/>
      <c r="QUR284" s="1069"/>
      <c r="QUS284" s="1069"/>
      <c r="QUT284" s="1069"/>
      <c r="QUU284" s="1069"/>
      <c r="QUV284" s="1069"/>
      <c r="QUW284" s="1069"/>
      <c r="QUX284" s="1069"/>
      <c r="QUY284" s="1069"/>
      <c r="QUZ284" s="1069"/>
      <c r="QVA284" s="1069"/>
      <c r="QVB284" s="1069"/>
      <c r="QVC284" s="1069"/>
      <c r="QVD284" s="1069"/>
      <c r="QVE284" s="1069"/>
      <c r="QVF284" s="1069"/>
      <c r="QVG284" s="1069"/>
      <c r="QVH284" s="1069"/>
      <c r="QVI284" s="1069"/>
      <c r="QVJ284" s="1069"/>
      <c r="QVK284" s="1069"/>
      <c r="QVL284" s="1069"/>
      <c r="QVM284" s="1069"/>
      <c r="QVN284" s="1069"/>
      <c r="QVO284" s="1069"/>
      <c r="QVP284" s="1069"/>
      <c r="QVQ284" s="1069"/>
      <c r="QVR284" s="1069"/>
      <c r="QVS284" s="1069"/>
      <c r="QVT284" s="1069"/>
      <c r="QVU284" s="1069"/>
      <c r="QVV284" s="1069"/>
      <c r="QVW284" s="1069"/>
      <c r="QVX284" s="1069"/>
      <c r="QVY284" s="1069"/>
      <c r="QVZ284" s="1069"/>
      <c r="QWA284" s="1069"/>
      <c r="QWB284" s="1069"/>
      <c r="QWC284" s="1069"/>
      <c r="QWD284" s="1069"/>
      <c r="QWE284" s="1069"/>
      <c r="QWF284" s="1069"/>
      <c r="QWG284" s="1069"/>
      <c r="QWH284" s="1069"/>
      <c r="QWI284" s="1069"/>
      <c r="QWJ284" s="1069"/>
      <c r="QWK284" s="1069"/>
      <c r="QWL284" s="1069"/>
      <c r="QWM284" s="1069"/>
      <c r="QWN284" s="1069"/>
      <c r="QWO284" s="1069"/>
      <c r="QWP284" s="1069"/>
      <c r="QWQ284" s="1069"/>
      <c r="QWR284" s="1069"/>
      <c r="QWS284" s="1069"/>
      <c r="QWT284" s="1069"/>
      <c r="QWU284" s="1069"/>
      <c r="QWV284" s="1069"/>
      <c r="QWW284" s="1069"/>
      <c r="QWX284" s="1069"/>
      <c r="QWY284" s="1069"/>
      <c r="QWZ284" s="1069"/>
      <c r="QXA284" s="1069"/>
      <c r="QXB284" s="1069"/>
      <c r="QXC284" s="1069"/>
      <c r="QXD284" s="1069"/>
      <c r="QXE284" s="1069"/>
      <c r="QXF284" s="1069"/>
      <c r="QXG284" s="1069"/>
      <c r="QXH284" s="1069"/>
      <c r="QXI284" s="1069"/>
      <c r="QXJ284" s="1069"/>
      <c r="QXK284" s="1069"/>
      <c r="QXL284" s="1069"/>
      <c r="QXM284" s="1069"/>
      <c r="QXN284" s="1069"/>
      <c r="QXO284" s="1069"/>
      <c r="QXP284" s="1069"/>
      <c r="QXQ284" s="1069"/>
      <c r="QXR284" s="1069"/>
      <c r="QXS284" s="1069"/>
      <c r="QXT284" s="1069"/>
      <c r="QXU284" s="1069"/>
      <c r="QXV284" s="1069"/>
      <c r="QXW284" s="1069"/>
      <c r="QXX284" s="1069"/>
      <c r="QXY284" s="1069"/>
      <c r="QXZ284" s="1069"/>
      <c r="QYA284" s="1069"/>
      <c r="QYB284" s="1069"/>
      <c r="QYC284" s="1069"/>
      <c r="QYD284" s="1069"/>
      <c r="QYE284" s="1069"/>
      <c r="QYF284" s="1069"/>
      <c r="QYG284" s="1069"/>
      <c r="QYH284" s="1069"/>
      <c r="QYI284" s="1069"/>
      <c r="QYJ284" s="1069"/>
      <c r="QYK284" s="1069"/>
      <c r="QYL284" s="1069"/>
      <c r="QYM284" s="1069"/>
      <c r="QYN284" s="1069"/>
      <c r="QYO284" s="1069"/>
      <c r="QYP284" s="1069"/>
      <c r="QYQ284" s="1069"/>
      <c r="QYR284" s="1069"/>
      <c r="QYS284" s="1069"/>
      <c r="QYT284" s="1069"/>
      <c r="QYU284" s="1069"/>
      <c r="QYV284" s="1069"/>
      <c r="QYW284" s="1069"/>
      <c r="QYX284" s="1069"/>
      <c r="QYY284" s="1069"/>
      <c r="QYZ284" s="1069"/>
      <c r="QZA284" s="1069"/>
      <c r="QZB284" s="1069"/>
      <c r="QZC284" s="1069"/>
      <c r="QZD284" s="1069"/>
      <c r="QZE284" s="1069"/>
      <c r="QZF284" s="1069"/>
      <c r="QZG284" s="1069"/>
      <c r="QZH284" s="1069"/>
      <c r="QZI284" s="1069"/>
      <c r="QZJ284" s="1069"/>
      <c r="QZK284" s="1069"/>
      <c r="QZL284" s="1069"/>
      <c r="QZM284" s="1069"/>
      <c r="QZN284" s="1069"/>
      <c r="QZO284" s="1069"/>
      <c r="QZP284" s="1069"/>
      <c r="QZQ284" s="1069"/>
      <c r="QZR284" s="1069"/>
      <c r="QZS284" s="1069"/>
      <c r="QZT284" s="1069"/>
      <c r="QZU284" s="1069"/>
      <c r="QZV284" s="1069"/>
      <c r="QZW284" s="1069"/>
      <c r="QZX284" s="1069"/>
      <c r="QZY284" s="1069"/>
      <c r="QZZ284" s="1069"/>
      <c r="RAA284" s="1069"/>
      <c r="RAB284" s="1069"/>
      <c r="RAC284" s="1069"/>
      <c r="RAD284" s="1069"/>
      <c r="RAE284" s="1069"/>
      <c r="RAF284" s="1069"/>
      <c r="RAG284" s="1069"/>
      <c r="RAH284" s="1069"/>
      <c r="RAI284" s="1069"/>
      <c r="RAJ284" s="1069"/>
      <c r="RAK284" s="1069"/>
      <c r="RAL284" s="1069"/>
      <c r="RAM284" s="1069"/>
      <c r="RAN284" s="1069"/>
      <c r="RAO284" s="1069"/>
      <c r="RAP284" s="1069"/>
      <c r="RAQ284" s="1069"/>
      <c r="RAR284" s="1069"/>
      <c r="RAS284" s="1069"/>
      <c r="RAT284" s="1069"/>
      <c r="RAU284" s="1069"/>
      <c r="RAV284" s="1069"/>
      <c r="RAW284" s="1069"/>
      <c r="RAX284" s="1069"/>
      <c r="RAY284" s="1069"/>
      <c r="RAZ284" s="1069"/>
      <c r="RBA284" s="1069"/>
      <c r="RBB284" s="1069"/>
      <c r="RBC284" s="1069"/>
      <c r="RBD284" s="1069"/>
      <c r="RBE284" s="1069"/>
      <c r="RBF284" s="1069"/>
      <c r="RBG284" s="1069"/>
      <c r="RBH284" s="1069"/>
      <c r="RBI284" s="1069"/>
      <c r="RBJ284" s="1069"/>
      <c r="RBK284" s="1069"/>
      <c r="RBL284" s="1069"/>
      <c r="RBM284" s="1069"/>
      <c r="RBN284" s="1069"/>
      <c r="RBO284" s="1069"/>
      <c r="RBP284" s="1069"/>
      <c r="RBQ284" s="1069"/>
      <c r="RBR284" s="1069"/>
      <c r="RBS284" s="1069"/>
      <c r="RBT284" s="1069"/>
      <c r="RBU284" s="1069"/>
      <c r="RBV284" s="1069"/>
      <c r="RBW284" s="1069"/>
      <c r="RBX284" s="1069"/>
      <c r="RBY284" s="1069"/>
      <c r="RBZ284" s="1069"/>
      <c r="RCA284" s="1069"/>
      <c r="RCB284" s="1069"/>
      <c r="RCC284" s="1069"/>
      <c r="RCD284" s="1069"/>
      <c r="RCE284" s="1069"/>
      <c r="RCF284" s="1069"/>
      <c r="RCG284" s="1069"/>
      <c r="RCH284" s="1069"/>
      <c r="RCI284" s="1069"/>
      <c r="RCJ284" s="1069"/>
      <c r="RCK284" s="1069"/>
      <c r="RCL284" s="1069"/>
      <c r="RCM284" s="1069"/>
      <c r="RCN284" s="1069"/>
      <c r="RCO284" s="1069"/>
      <c r="RCP284" s="1069"/>
      <c r="RCQ284" s="1069"/>
      <c r="RCR284" s="1069"/>
      <c r="RCS284" s="1069"/>
      <c r="RCT284" s="1069"/>
      <c r="RCU284" s="1069"/>
      <c r="RCV284" s="1069"/>
      <c r="RCW284" s="1069"/>
      <c r="RCX284" s="1069"/>
      <c r="RCY284" s="1069"/>
      <c r="RCZ284" s="1069"/>
      <c r="RDA284" s="1069"/>
      <c r="RDB284" s="1069"/>
      <c r="RDC284" s="1069"/>
      <c r="RDD284" s="1069"/>
      <c r="RDE284" s="1069"/>
      <c r="RDF284" s="1069"/>
      <c r="RDG284" s="1069"/>
      <c r="RDH284" s="1069"/>
      <c r="RDI284" s="1069"/>
      <c r="RDJ284" s="1069"/>
      <c r="RDK284" s="1069"/>
      <c r="RDL284" s="1069"/>
      <c r="RDM284" s="1069"/>
      <c r="RDN284" s="1069"/>
      <c r="RDO284" s="1069"/>
      <c r="RDP284" s="1069"/>
      <c r="RDQ284" s="1069"/>
      <c r="RDR284" s="1069"/>
      <c r="RDS284" s="1069"/>
      <c r="RDT284" s="1069"/>
      <c r="RDU284" s="1069"/>
      <c r="RDV284" s="1069"/>
      <c r="RDW284" s="1069"/>
      <c r="RDX284" s="1069"/>
      <c r="RDY284" s="1069"/>
      <c r="RDZ284" s="1069"/>
      <c r="REA284" s="1069"/>
      <c r="REB284" s="1069"/>
      <c r="REC284" s="1069"/>
      <c r="RED284" s="1069"/>
      <c r="REE284" s="1069"/>
      <c r="REF284" s="1069"/>
      <c r="REG284" s="1069"/>
      <c r="REH284" s="1069"/>
      <c r="REI284" s="1069"/>
      <c r="REJ284" s="1069"/>
      <c r="REK284" s="1069"/>
      <c r="REL284" s="1069"/>
      <c r="REM284" s="1069"/>
      <c r="REN284" s="1069"/>
      <c r="REO284" s="1069"/>
      <c r="REP284" s="1069"/>
      <c r="REQ284" s="1069"/>
      <c r="RER284" s="1069"/>
      <c r="RES284" s="1069"/>
      <c r="RET284" s="1069"/>
      <c r="REU284" s="1069"/>
      <c r="REV284" s="1069"/>
      <c r="REW284" s="1069"/>
      <c r="REX284" s="1069"/>
      <c r="REY284" s="1069"/>
      <c r="REZ284" s="1069"/>
      <c r="RFA284" s="1069"/>
      <c r="RFB284" s="1069"/>
      <c r="RFC284" s="1069"/>
      <c r="RFD284" s="1069"/>
      <c r="RFE284" s="1069"/>
      <c r="RFF284" s="1069"/>
      <c r="RFG284" s="1069"/>
      <c r="RFH284" s="1069"/>
      <c r="RFI284" s="1069"/>
      <c r="RFJ284" s="1069"/>
      <c r="RFK284" s="1069"/>
      <c r="RFL284" s="1069"/>
      <c r="RFM284" s="1069"/>
      <c r="RFN284" s="1069"/>
      <c r="RFO284" s="1069"/>
      <c r="RFP284" s="1069"/>
      <c r="RFQ284" s="1069"/>
      <c r="RFR284" s="1069"/>
      <c r="RFS284" s="1069"/>
      <c r="RFT284" s="1069"/>
      <c r="RFU284" s="1069"/>
      <c r="RFV284" s="1069"/>
      <c r="RFW284" s="1069"/>
      <c r="RFX284" s="1069"/>
      <c r="RFY284" s="1069"/>
      <c r="RFZ284" s="1069"/>
      <c r="RGA284" s="1069"/>
      <c r="RGB284" s="1069"/>
      <c r="RGC284" s="1069"/>
      <c r="RGD284" s="1069"/>
      <c r="RGE284" s="1069"/>
      <c r="RGF284" s="1069"/>
      <c r="RGG284" s="1069"/>
      <c r="RGH284" s="1069"/>
      <c r="RGI284" s="1069"/>
      <c r="RGJ284" s="1069"/>
      <c r="RGK284" s="1069"/>
      <c r="RGL284" s="1069"/>
      <c r="RGM284" s="1069"/>
      <c r="RGN284" s="1069"/>
      <c r="RGO284" s="1069"/>
      <c r="RGP284" s="1069"/>
      <c r="RGQ284" s="1069"/>
      <c r="RGR284" s="1069"/>
      <c r="RGS284" s="1069"/>
      <c r="RGT284" s="1069"/>
      <c r="RGU284" s="1069"/>
      <c r="RGV284" s="1069"/>
      <c r="RGW284" s="1069"/>
      <c r="RGX284" s="1069"/>
      <c r="RGY284" s="1069"/>
      <c r="RGZ284" s="1069"/>
      <c r="RHA284" s="1069"/>
      <c r="RHB284" s="1069"/>
      <c r="RHC284" s="1069"/>
      <c r="RHD284" s="1069"/>
      <c r="RHE284" s="1069"/>
      <c r="RHF284" s="1069"/>
      <c r="RHG284" s="1069"/>
      <c r="RHH284" s="1069"/>
      <c r="RHI284" s="1069"/>
      <c r="RHJ284" s="1069"/>
      <c r="RHK284" s="1069"/>
      <c r="RHL284" s="1069"/>
      <c r="RHM284" s="1069"/>
      <c r="RHN284" s="1069"/>
      <c r="RHO284" s="1069"/>
      <c r="RHP284" s="1069"/>
      <c r="RHQ284" s="1069"/>
      <c r="RHR284" s="1069"/>
      <c r="RHS284" s="1069"/>
      <c r="RHT284" s="1069"/>
      <c r="RHU284" s="1069"/>
      <c r="RHV284" s="1069"/>
      <c r="RHW284" s="1069"/>
      <c r="RHX284" s="1069"/>
      <c r="RHY284" s="1069"/>
      <c r="RHZ284" s="1069"/>
      <c r="RIA284" s="1069"/>
      <c r="RIB284" s="1069"/>
      <c r="RIC284" s="1069"/>
      <c r="RID284" s="1069"/>
      <c r="RIE284" s="1069"/>
      <c r="RIF284" s="1069"/>
      <c r="RIG284" s="1069"/>
      <c r="RIH284" s="1069"/>
      <c r="RII284" s="1069"/>
      <c r="RIJ284" s="1069"/>
      <c r="RIK284" s="1069"/>
      <c r="RIL284" s="1069"/>
      <c r="RIM284" s="1069"/>
      <c r="RIN284" s="1069"/>
      <c r="RIO284" s="1069"/>
      <c r="RIP284" s="1069"/>
      <c r="RIQ284" s="1069"/>
      <c r="RIR284" s="1069"/>
      <c r="RIS284" s="1069"/>
      <c r="RIT284" s="1069"/>
      <c r="RIU284" s="1069"/>
      <c r="RIV284" s="1069"/>
      <c r="RIW284" s="1069"/>
      <c r="RIX284" s="1069"/>
      <c r="RIY284" s="1069"/>
      <c r="RIZ284" s="1069"/>
      <c r="RJA284" s="1069"/>
      <c r="RJB284" s="1069"/>
      <c r="RJC284" s="1069"/>
      <c r="RJD284" s="1069"/>
      <c r="RJE284" s="1069"/>
      <c r="RJF284" s="1069"/>
      <c r="RJG284" s="1069"/>
      <c r="RJH284" s="1069"/>
      <c r="RJI284" s="1069"/>
      <c r="RJJ284" s="1069"/>
      <c r="RJK284" s="1069"/>
      <c r="RJL284" s="1069"/>
      <c r="RJM284" s="1069"/>
      <c r="RJN284" s="1069"/>
      <c r="RJO284" s="1069"/>
      <c r="RJP284" s="1069"/>
      <c r="RJQ284" s="1069"/>
      <c r="RJR284" s="1069"/>
      <c r="RJS284" s="1069"/>
      <c r="RJT284" s="1069"/>
      <c r="RJU284" s="1069"/>
      <c r="RJV284" s="1069"/>
      <c r="RJW284" s="1069"/>
      <c r="RJX284" s="1069"/>
      <c r="RJY284" s="1069"/>
      <c r="RJZ284" s="1069"/>
      <c r="RKA284" s="1069"/>
      <c r="RKB284" s="1069"/>
      <c r="RKC284" s="1069"/>
      <c r="RKD284" s="1069"/>
      <c r="RKE284" s="1069"/>
      <c r="RKF284" s="1069"/>
      <c r="RKG284" s="1069"/>
      <c r="RKH284" s="1069"/>
      <c r="RKI284" s="1069"/>
      <c r="RKJ284" s="1069"/>
      <c r="RKK284" s="1069"/>
      <c r="RKL284" s="1069"/>
      <c r="RKM284" s="1069"/>
      <c r="RKN284" s="1069"/>
      <c r="RKO284" s="1069"/>
      <c r="RKP284" s="1069"/>
      <c r="RKQ284" s="1069"/>
      <c r="RKR284" s="1069"/>
      <c r="RKS284" s="1069"/>
      <c r="RKT284" s="1069"/>
      <c r="RKU284" s="1069"/>
      <c r="RKV284" s="1069"/>
      <c r="RKW284" s="1069"/>
      <c r="RKX284" s="1069"/>
      <c r="RKY284" s="1069"/>
      <c r="RKZ284" s="1069"/>
      <c r="RLA284" s="1069"/>
      <c r="RLB284" s="1069"/>
      <c r="RLC284" s="1069"/>
      <c r="RLD284" s="1069"/>
      <c r="RLE284" s="1069"/>
      <c r="RLF284" s="1069"/>
      <c r="RLG284" s="1069"/>
      <c r="RLH284" s="1069"/>
      <c r="RLI284" s="1069"/>
      <c r="RLJ284" s="1069"/>
      <c r="RLK284" s="1069"/>
      <c r="RLL284" s="1069"/>
      <c r="RLM284" s="1069"/>
      <c r="RLN284" s="1069"/>
      <c r="RLO284" s="1069"/>
      <c r="RLP284" s="1069"/>
      <c r="RLQ284" s="1069"/>
      <c r="RLR284" s="1069"/>
      <c r="RLS284" s="1069"/>
      <c r="RLT284" s="1069"/>
      <c r="RLU284" s="1069"/>
      <c r="RLV284" s="1069"/>
      <c r="RLW284" s="1069"/>
      <c r="RLX284" s="1069"/>
      <c r="RLY284" s="1069"/>
      <c r="RLZ284" s="1069"/>
      <c r="RMA284" s="1069"/>
      <c r="RMB284" s="1069"/>
      <c r="RMC284" s="1069"/>
      <c r="RMD284" s="1069"/>
      <c r="RME284" s="1069"/>
      <c r="RMF284" s="1069"/>
      <c r="RMG284" s="1069"/>
      <c r="RMH284" s="1069"/>
      <c r="RMI284" s="1069"/>
      <c r="RMJ284" s="1069"/>
      <c r="RMK284" s="1069"/>
      <c r="RML284" s="1069"/>
      <c r="RMM284" s="1069"/>
      <c r="RMN284" s="1069"/>
      <c r="RMO284" s="1069"/>
      <c r="RMP284" s="1069"/>
      <c r="RMQ284" s="1069"/>
      <c r="RMR284" s="1069"/>
      <c r="RMS284" s="1069"/>
      <c r="RMT284" s="1069"/>
      <c r="RMU284" s="1069"/>
      <c r="RMV284" s="1069"/>
      <c r="RMW284" s="1069"/>
      <c r="RMX284" s="1069"/>
      <c r="RMY284" s="1069"/>
      <c r="RMZ284" s="1069"/>
      <c r="RNA284" s="1069"/>
      <c r="RNB284" s="1069"/>
      <c r="RNC284" s="1069"/>
      <c r="RND284" s="1069"/>
      <c r="RNE284" s="1069"/>
      <c r="RNF284" s="1069"/>
      <c r="RNG284" s="1069"/>
      <c r="RNH284" s="1069"/>
      <c r="RNI284" s="1069"/>
      <c r="RNJ284" s="1069"/>
      <c r="RNK284" s="1069"/>
      <c r="RNL284" s="1069"/>
      <c r="RNM284" s="1069"/>
      <c r="RNN284" s="1069"/>
      <c r="RNO284" s="1069"/>
      <c r="RNP284" s="1069"/>
      <c r="RNQ284" s="1069"/>
      <c r="RNR284" s="1069"/>
      <c r="RNS284" s="1069"/>
      <c r="RNT284" s="1069"/>
      <c r="RNU284" s="1069"/>
      <c r="RNV284" s="1069"/>
      <c r="RNW284" s="1069"/>
      <c r="RNX284" s="1069"/>
      <c r="RNY284" s="1069"/>
      <c r="RNZ284" s="1069"/>
      <c r="ROA284" s="1069"/>
      <c r="ROB284" s="1069"/>
      <c r="ROC284" s="1069"/>
      <c r="ROD284" s="1069"/>
      <c r="ROE284" s="1069"/>
      <c r="ROF284" s="1069"/>
      <c r="ROG284" s="1069"/>
      <c r="ROH284" s="1069"/>
      <c r="ROI284" s="1069"/>
      <c r="ROJ284" s="1069"/>
      <c r="ROK284" s="1069"/>
      <c r="ROL284" s="1069"/>
      <c r="ROM284" s="1069"/>
      <c r="RON284" s="1069"/>
      <c r="ROO284" s="1069"/>
      <c r="ROP284" s="1069"/>
      <c r="ROQ284" s="1069"/>
      <c r="ROR284" s="1069"/>
      <c r="ROS284" s="1069"/>
      <c r="ROT284" s="1069"/>
      <c r="ROU284" s="1069"/>
      <c r="ROV284" s="1069"/>
      <c r="ROW284" s="1069"/>
      <c r="ROX284" s="1069"/>
      <c r="ROY284" s="1069"/>
      <c r="ROZ284" s="1069"/>
      <c r="RPA284" s="1069"/>
      <c r="RPB284" s="1069"/>
      <c r="RPC284" s="1069"/>
      <c r="RPD284" s="1069"/>
      <c r="RPE284" s="1069"/>
      <c r="RPF284" s="1069"/>
      <c r="RPG284" s="1069"/>
      <c r="RPH284" s="1069"/>
      <c r="RPI284" s="1069"/>
      <c r="RPJ284" s="1069"/>
      <c r="RPK284" s="1069"/>
      <c r="RPL284" s="1069"/>
      <c r="RPM284" s="1069"/>
      <c r="RPN284" s="1069"/>
      <c r="RPO284" s="1069"/>
      <c r="RPP284" s="1069"/>
      <c r="RPQ284" s="1069"/>
      <c r="RPR284" s="1069"/>
      <c r="RPS284" s="1069"/>
      <c r="RPT284" s="1069"/>
      <c r="RPU284" s="1069"/>
      <c r="RPV284" s="1069"/>
      <c r="RPW284" s="1069"/>
      <c r="RPX284" s="1069"/>
      <c r="RPY284" s="1069"/>
      <c r="RPZ284" s="1069"/>
      <c r="RQA284" s="1069"/>
      <c r="RQB284" s="1069"/>
      <c r="RQC284" s="1069"/>
      <c r="RQD284" s="1069"/>
      <c r="RQE284" s="1069"/>
      <c r="RQF284" s="1069"/>
      <c r="RQG284" s="1069"/>
      <c r="RQH284" s="1069"/>
      <c r="RQI284" s="1069"/>
      <c r="RQJ284" s="1069"/>
      <c r="RQK284" s="1069"/>
      <c r="RQL284" s="1069"/>
      <c r="RQM284" s="1069"/>
      <c r="RQN284" s="1069"/>
      <c r="RQO284" s="1069"/>
      <c r="RQP284" s="1069"/>
      <c r="RQQ284" s="1069"/>
      <c r="RQR284" s="1069"/>
      <c r="RQS284" s="1069"/>
      <c r="RQT284" s="1069"/>
      <c r="RQU284" s="1069"/>
      <c r="RQV284" s="1069"/>
      <c r="RQW284" s="1069"/>
      <c r="RQX284" s="1069"/>
      <c r="RQY284" s="1069"/>
      <c r="RQZ284" s="1069"/>
      <c r="RRA284" s="1069"/>
      <c r="RRB284" s="1069"/>
      <c r="RRC284" s="1069"/>
      <c r="RRD284" s="1069"/>
      <c r="RRE284" s="1069"/>
      <c r="RRF284" s="1069"/>
      <c r="RRG284" s="1069"/>
      <c r="RRH284" s="1069"/>
      <c r="RRI284" s="1069"/>
      <c r="RRJ284" s="1069"/>
      <c r="RRK284" s="1069"/>
      <c r="RRL284" s="1069"/>
      <c r="RRM284" s="1069"/>
      <c r="RRN284" s="1069"/>
      <c r="RRO284" s="1069"/>
      <c r="RRP284" s="1069"/>
      <c r="RRQ284" s="1069"/>
      <c r="RRR284" s="1069"/>
      <c r="RRS284" s="1069"/>
      <c r="RRT284" s="1069"/>
      <c r="RRU284" s="1069"/>
      <c r="RRV284" s="1069"/>
      <c r="RRW284" s="1069"/>
      <c r="RRX284" s="1069"/>
      <c r="RRY284" s="1069"/>
      <c r="RRZ284" s="1069"/>
      <c r="RSA284" s="1069"/>
      <c r="RSB284" s="1069"/>
      <c r="RSC284" s="1069"/>
      <c r="RSD284" s="1069"/>
      <c r="RSE284" s="1069"/>
      <c r="RSF284" s="1069"/>
      <c r="RSG284" s="1069"/>
      <c r="RSH284" s="1069"/>
      <c r="RSI284" s="1069"/>
      <c r="RSJ284" s="1069"/>
      <c r="RSK284" s="1069"/>
      <c r="RSL284" s="1069"/>
      <c r="RSM284" s="1069"/>
      <c r="RSN284" s="1069"/>
      <c r="RSO284" s="1069"/>
      <c r="RSP284" s="1069"/>
      <c r="RSQ284" s="1069"/>
      <c r="RSR284" s="1069"/>
      <c r="RSS284" s="1069"/>
      <c r="RST284" s="1069"/>
      <c r="RSU284" s="1069"/>
      <c r="RSV284" s="1069"/>
      <c r="RSW284" s="1069"/>
      <c r="RSX284" s="1069"/>
      <c r="RSY284" s="1069"/>
      <c r="RSZ284" s="1069"/>
      <c r="RTA284" s="1069"/>
      <c r="RTB284" s="1069"/>
      <c r="RTC284" s="1069"/>
      <c r="RTD284" s="1069"/>
      <c r="RTE284" s="1069"/>
      <c r="RTF284" s="1069"/>
      <c r="RTG284" s="1069"/>
      <c r="RTH284" s="1069"/>
      <c r="RTI284" s="1069"/>
      <c r="RTJ284" s="1069"/>
      <c r="RTK284" s="1069"/>
      <c r="RTL284" s="1069"/>
      <c r="RTM284" s="1069"/>
      <c r="RTN284" s="1069"/>
      <c r="RTO284" s="1069"/>
      <c r="RTP284" s="1069"/>
      <c r="RTQ284" s="1069"/>
      <c r="RTR284" s="1069"/>
      <c r="RTS284" s="1069"/>
      <c r="RTT284" s="1069"/>
      <c r="RTU284" s="1069"/>
      <c r="RTV284" s="1069"/>
      <c r="RTW284" s="1069"/>
      <c r="RTX284" s="1069"/>
      <c r="RTY284" s="1069"/>
      <c r="RTZ284" s="1069"/>
      <c r="RUA284" s="1069"/>
      <c r="RUB284" s="1069"/>
      <c r="RUC284" s="1069"/>
      <c r="RUD284" s="1069"/>
      <c r="RUE284" s="1069"/>
      <c r="RUF284" s="1069"/>
      <c r="RUG284" s="1069"/>
      <c r="RUH284" s="1069"/>
      <c r="RUI284" s="1069"/>
      <c r="RUJ284" s="1069"/>
      <c r="RUK284" s="1069"/>
      <c r="RUL284" s="1069"/>
      <c r="RUM284" s="1069"/>
      <c r="RUN284" s="1069"/>
      <c r="RUO284" s="1069"/>
      <c r="RUP284" s="1069"/>
      <c r="RUQ284" s="1069"/>
      <c r="RUR284" s="1069"/>
      <c r="RUS284" s="1069"/>
      <c r="RUT284" s="1069"/>
      <c r="RUU284" s="1069"/>
      <c r="RUV284" s="1069"/>
      <c r="RUW284" s="1069"/>
      <c r="RUX284" s="1069"/>
      <c r="RUY284" s="1069"/>
      <c r="RUZ284" s="1069"/>
      <c r="RVA284" s="1069"/>
      <c r="RVB284" s="1069"/>
      <c r="RVC284" s="1069"/>
      <c r="RVD284" s="1069"/>
      <c r="RVE284" s="1069"/>
      <c r="RVF284" s="1069"/>
      <c r="RVG284" s="1069"/>
      <c r="RVH284" s="1069"/>
      <c r="RVI284" s="1069"/>
      <c r="RVJ284" s="1069"/>
      <c r="RVK284" s="1069"/>
      <c r="RVL284" s="1069"/>
      <c r="RVM284" s="1069"/>
      <c r="RVN284" s="1069"/>
      <c r="RVO284" s="1069"/>
      <c r="RVP284" s="1069"/>
      <c r="RVQ284" s="1069"/>
      <c r="RVR284" s="1069"/>
      <c r="RVS284" s="1069"/>
      <c r="RVT284" s="1069"/>
      <c r="RVU284" s="1069"/>
      <c r="RVV284" s="1069"/>
      <c r="RVW284" s="1069"/>
      <c r="RVX284" s="1069"/>
      <c r="RVY284" s="1069"/>
      <c r="RVZ284" s="1069"/>
      <c r="RWA284" s="1069"/>
      <c r="RWB284" s="1069"/>
      <c r="RWC284" s="1069"/>
      <c r="RWD284" s="1069"/>
      <c r="RWE284" s="1069"/>
      <c r="RWF284" s="1069"/>
      <c r="RWG284" s="1069"/>
      <c r="RWH284" s="1069"/>
      <c r="RWI284" s="1069"/>
      <c r="RWJ284" s="1069"/>
      <c r="RWK284" s="1069"/>
      <c r="RWL284" s="1069"/>
      <c r="RWM284" s="1069"/>
      <c r="RWN284" s="1069"/>
      <c r="RWO284" s="1069"/>
      <c r="RWP284" s="1069"/>
      <c r="RWQ284" s="1069"/>
      <c r="RWR284" s="1069"/>
      <c r="RWS284" s="1069"/>
      <c r="RWT284" s="1069"/>
      <c r="RWU284" s="1069"/>
      <c r="RWV284" s="1069"/>
      <c r="RWW284" s="1069"/>
      <c r="RWX284" s="1069"/>
      <c r="RWY284" s="1069"/>
      <c r="RWZ284" s="1069"/>
      <c r="RXA284" s="1069"/>
      <c r="RXB284" s="1069"/>
      <c r="RXC284" s="1069"/>
      <c r="RXD284" s="1069"/>
      <c r="RXE284" s="1069"/>
      <c r="RXF284" s="1069"/>
      <c r="RXG284" s="1069"/>
      <c r="RXH284" s="1069"/>
      <c r="RXI284" s="1069"/>
      <c r="RXJ284" s="1069"/>
      <c r="RXK284" s="1069"/>
      <c r="RXL284" s="1069"/>
      <c r="RXM284" s="1069"/>
      <c r="RXN284" s="1069"/>
      <c r="RXO284" s="1069"/>
      <c r="RXP284" s="1069"/>
      <c r="RXQ284" s="1069"/>
      <c r="RXR284" s="1069"/>
      <c r="RXS284" s="1069"/>
      <c r="RXT284" s="1069"/>
      <c r="RXU284" s="1069"/>
      <c r="RXV284" s="1069"/>
      <c r="RXW284" s="1069"/>
      <c r="RXX284" s="1069"/>
      <c r="RXY284" s="1069"/>
      <c r="RXZ284" s="1069"/>
      <c r="RYA284" s="1069"/>
      <c r="RYB284" s="1069"/>
      <c r="RYC284" s="1069"/>
      <c r="RYD284" s="1069"/>
      <c r="RYE284" s="1069"/>
      <c r="RYF284" s="1069"/>
      <c r="RYG284" s="1069"/>
      <c r="RYH284" s="1069"/>
      <c r="RYI284" s="1069"/>
      <c r="RYJ284" s="1069"/>
      <c r="RYK284" s="1069"/>
      <c r="RYL284" s="1069"/>
      <c r="RYM284" s="1069"/>
      <c r="RYN284" s="1069"/>
      <c r="RYO284" s="1069"/>
      <c r="RYP284" s="1069"/>
      <c r="RYQ284" s="1069"/>
      <c r="RYR284" s="1069"/>
      <c r="RYS284" s="1069"/>
      <c r="RYT284" s="1069"/>
      <c r="RYU284" s="1069"/>
      <c r="RYV284" s="1069"/>
      <c r="RYW284" s="1069"/>
      <c r="RYX284" s="1069"/>
      <c r="RYY284" s="1069"/>
      <c r="RYZ284" s="1069"/>
      <c r="RZA284" s="1069"/>
      <c r="RZB284" s="1069"/>
      <c r="RZC284" s="1069"/>
      <c r="RZD284" s="1069"/>
      <c r="RZE284" s="1069"/>
      <c r="RZF284" s="1069"/>
      <c r="RZG284" s="1069"/>
      <c r="RZH284" s="1069"/>
      <c r="RZI284" s="1069"/>
      <c r="RZJ284" s="1069"/>
      <c r="RZK284" s="1069"/>
      <c r="RZL284" s="1069"/>
      <c r="RZM284" s="1069"/>
      <c r="RZN284" s="1069"/>
      <c r="RZO284" s="1069"/>
      <c r="RZP284" s="1069"/>
      <c r="RZQ284" s="1069"/>
      <c r="RZR284" s="1069"/>
      <c r="RZS284" s="1069"/>
      <c r="RZT284" s="1069"/>
      <c r="RZU284" s="1069"/>
      <c r="RZV284" s="1069"/>
      <c r="RZW284" s="1069"/>
      <c r="RZX284" s="1069"/>
      <c r="RZY284" s="1069"/>
      <c r="RZZ284" s="1069"/>
      <c r="SAA284" s="1069"/>
      <c r="SAB284" s="1069"/>
      <c r="SAC284" s="1069"/>
      <c r="SAD284" s="1069"/>
      <c r="SAE284" s="1069"/>
      <c r="SAF284" s="1069"/>
      <c r="SAG284" s="1069"/>
      <c r="SAH284" s="1069"/>
      <c r="SAI284" s="1069"/>
      <c r="SAJ284" s="1069"/>
      <c r="SAK284" s="1069"/>
      <c r="SAL284" s="1069"/>
      <c r="SAM284" s="1069"/>
      <c r="SAN284" s="1069"/>
      <c r="SAO284" s="1069"/>
      <c r="SAP284" s="1069"/>
      <c r="SAQ284" s="1069"/>
      <c r="SAR284" s="1069"/>
      <c r="SAS284" s="1069"/>
      <c r="SAT284" s="1069"/>
      <c r="SAU284" s="1069"/>
      <c r="SAV284" s="1069"/>
      <c r="SAW284" s="1069"/>
      <c r="SAX284" s="1069"/>
      <c r="SAY284" s="1069"/>
      <c r="SAZ284" s="1069"/>
      <c r="SBA284" s="1069"/>
      <c r="SBB284" s="1069"/>
      <c r="SBC284" s="1069"/>
      <c r="SBD284" s="1069"/>
      <c r="SBE284" s="1069"/>
      <c r="SBF284" s="1069"/>
      <c r="SBG284" s="1069"/>
      <c r="SBH284" s="1069"/>
      <c r="SBI284" s="1069"/>
      <c r="SBJ284" s="1069"/>
      <c r="SBK284" s="1069"/>
      <c r="SBL284" s="1069"/>
      <c r="SBM284" s="1069"/>
      <c r="SBN284" s="1069"/>
      <c r="SBO284" s="1069"/>
      <c r="SBP284" s="1069"/>
      <c r="SBQ284" s="1069"/>
      <c r="SBR284" s="1069"/>
      <c r="SBS284" s="1069"/>
      <c r="SBT284" s="1069"/>
      <c r="SBU284" s="1069"/>
      <c r="SBV284" s="1069"/>
      <c r="SBW284" s="1069"/>
      <c r="SBX284" s="1069"/>
      <c r="SBY284" s="1069"/>
      <c r="SBZ284" s="1069"/>
      <c r="SCA284" s="1069"/>
      <c r="SCB284" s="1069"/>
      <c r="SCC284" s="1069"/>
      <c r="SCD284" s="1069"/>
      <c r="SCE284" s="1069"/>
      <c r="SCF284" s="1069"/>
      <c r="SCG284" s="1069"/>
      <c r="SCH284" s="1069"/>
      <c r="SCI284" s="1069"/>
      <c r="SCJ284" s="1069"/>
      <c r="SCK284" s="1069"/>
      <c r="SCL284" s="1069"/>
      <c r="SCM284" s="1069"/>
      <c r="SCN284" s="1069"/>
      <c r="SCO284" s="1069"/>
      <c r="SCP284" s="1069"/>
      <c r="SCQ284" s="1069"/>
      <c r="SCR284" s="1069"/>
      <c r="SCS284" s="1069"/>
      <c r="SCT284" s="1069"/>
      <c r="SCU284" s="1069"/>
      <c r="SCV284" s="1069"/>
      <c r="SCW284" s="1069"/>
      <c r="SCX284" s="1069"/>
      <c r="SCY284" s="1069"/>
      <c r="SCZ284" s="1069"/>
      <c r="SDA284" s="1069"/>
      <c r="SDB284" s="1069"/>
      <c r="SDC284" s="1069"/>
      <c r="SDD284" s="1069"/>
      <c r="SDE284" s="1069"/>
      <c r="SDF284" s="1069"/>
      <c r="SDG284" s="1069"/>
      <c r="SDH284" s="1069"/>
      <c r="SDI284" s="1069"/>
      <c r="SDJ284" s="1069"/>
      <c r="SDK284" s="1069"/>
      <c r="SDL284" s="1069"/>
      <c r="SDM284" s="1069"/>
      <c r="SDN284" s="1069"/>
      <c r="SDO284" s="1069"/>
      <c r="SDP284" s="1069"/>
      <c r="SDQ284" s="1069"/>
      <c r="SDR284" s="1069"/>
      <c r="SDS284" s="1069"/>
      <c r="SDT284" s="1069"/>
      <c r="SDU284" s="1069"/>
      <c r="SDV284" s="1069"/>
      <c r="SDW284" s="1069"/>
      <c r="SDX284" s="1069"/>
      <c r="SDY284" s="1069"/>
      <c r="SDZ284" s="1069"/>
      <c r="SEA284" s="1069"/>
      <c r="SEB284" s="1069"/>
      <c r="SEC284" s="1069"/>
      <c r="SED284" s="1069"/>
      <c r="SEE284" s="1069"/>
      <c r="SEF284" s="1069"/>
      <c r="SEG284" s="1069"/>
      <c r="SEH284" s="1069"/>
      <c r="SEI284" s="1069"/>
      <c r="SEJ284" s="1069"/>
      <c r="SEK284" s="1069"/>
      <c r="SEL284" s="1069"/>
      <c r="SEM284" s="1069"/>
      <c r="SEN284" s="1069"/>
      <c r="SEO284" s="1069"/>
      <c r="SEP284" s="1069"/>
      <c r="SEQ284" s="1069"/>
      <c r="SER284" s="1069"/>
      <c r="SES284" s="1069"/>
      <c r="SET284" s="1069"/>
      <c r="SEU284" s="1069"/>
      <c r="SEV284" s="1069"/>
      <c r="SEW284" s="1069"/>
      <c r="SEX284" s="1069"/>
      <c r="SEY284" s="1069"/>
      <c r="SEZ284" s="1069"/>
      <c r="SFA284" s="1069"/>
      <c r="SFB284" s="1069"/>
      <c r="SFC284" s="1069"/>
      <c r="SFD284" s="1069"/>
      <c r="SFE284" s="1069"/>
      <c r="SFF284" s="1069"/>
      <c r="SFG284" s="1069"/>
      <c r="SFH284" s="1069"/>
      <c r="SFI284" s="1069"/>
      <c r="SFJ284" s="1069"/>
      <c r="SFK284" s="1069"/>
      <c r="SFL284" s="1069"/>
      <c r="SFM284" s="1069"/>
      <c r="SFN284" s="1069"/>
      <c r="SFO284" s="1069"/>
      <c r="SFP284" s="1069"/>
      <c r="SFQ284" s="1069"/>
      <c r="SFR284" s="1069"/>
      <c r="SFS284" s="1069"/>
      <c r="SFT284" s="1069"/>
      <c r="SFU284" s="1069"/>
      <c r="SFV284" s="1069"/>
      <c r="SFW284" s="1069"/>
      <c r="SFX284" s="1069"/>
      <c r="SFY284" s="1069"/>
      <c r="SFZ284" s="1069"/>
      <c r="SGA284" s="1069"/>
      <c r="SGB284" s="1069"/>
      <c r="SGC284" s="1069"/>
      <c r="SGD284" s="1069"/>
      <c r="SGE284" s="1069"/>
      <c r="SGF284" s="1069"/>
      <c r="SGG284" s="1069"/>
      <c r="SGH284" s="1069"/>
      <c r="SGI284" s="1069"/>
      <c r="SGJ284" s="1069"/>
      <c r="SGK284" s="1069"/>
      <c r="SGL284" s="1069"/>
      <c r="SGM284" s="1069"/>
      <c r="SGN284" s="1069"/>
      <c r="SGO284" s="1069"/>
      <c r="SGP284" s="1069"/>
      <c r="SGQ284" s="1069"/>
      <c r="SGR284" s="1069"/>
      <c r="SGS284" s="1069"/>
      <c r="SGT284" s="1069"/>
      <c r="SGU284" s="1069"/>
      <c r="SGV284" s="1069"/>
      <c r="SGW284" s="1069"/>
      <c r="SGX284" s="1069"/>
      <c r="SGY284" s="1069"/>
      <c r="SGZ284" s="1069"/>
      <c r="SHA284" s="1069"/>
      <c r="SHB284" s="1069"/>
      <c r="SHC284" s="1069"/>
      <c r="SHD284" s="1069"/>
      <c r="SHE284" s="1069"/>
      <c r="SHF284" s="1069"/>
      <c r="SHG284" s="1069"/>
      <c r="SHH284" s="1069"/>
      <c r="SHI284" s="1069"/>
      <c r="SHJ284" s="1069"/>
      <c r="SHK284" s="1069"/>
      <c r="SHL284" s="1069"/>
      <c r="SHM284" s="1069"/>
      <c r="SHN284" s="1069"/>
      <c r="SHO284" s="1069"/>
      <c r="SHP284" s="1069"/>
      <c r="SHQ284" s="1069"/>
      <c r="SHR284" s="1069"/>
      <c r="SHS284" s="1069"/>
      <c r="SHT284" s="1069"/>
      <c r="SHU284" s="1069"/>
      <c r="SHV284" s="1069"/>
      <c r="SHW284" s="1069"/>
      <c r="SHX284" s="1069"/>
      <c r="SHY284" s="1069"/>
      <c r="SHZ284" s="1069"/>
      <c r="SIA284" s="1069"/>
      <c r="SIB284" s="1069"/>
      <c r="SIC284" s="1069"/>
      <c r="SID284" s="1069"/>
      <c r="SIE284" s="1069"/>
      <c r="SIF284" s="1069"/>
      <c r="SIG284" s="1069"/>
      <c r="SIH284" s="1069"/>
      <c r="SII284" s="1069"/>
      <c r="SIJ284" s="1069"/>
      <c r="SIK284" s="1069"/>
      <c r="SIL284" s="1069"/>
      <c r="SIM284" s="1069"/>
      <c r="SIN284" s="1069"/>
      <c r="SIO284" s="1069"/>
      <c r="SIP284" s="1069"/>
      <c r="SIQ284" s="1069"/>
      <c r="SIR284" s="1069"/>
      <c r="SIS284" s="1069"/>
      <c r="SIT284" s="1069"/>
      <c r="SIU284" s="1069"/>
      <c r="SIV284" s="1069"/>
      <c r="SIW284" s="1069"/>
      <c r="SIX284" s="1069"/>
      <c r="SIY284" s="1069"/>
      <c r="SIZ284" s="1069"/>
      <c r="SJA284" s="1069"/>
      <c r="SJB284" s="1069"/>
      <c r="SJC284" s="1069"/>
      <c r="SJD284" s="1069"/>
      <c r="SJE284" s="1069"/>
      <c r="SJF284" s="1069"/>
      <c r="SJG284" s="1069"/>
      <c r="SJH284" s="1069"/>
      <c r="SJI284" s="1069"/>
      <c r="SJJ284" s="1069"/>
      <c r="SJK284" s="1069"/>
      <c r="SJL284" s="1069"/>
      <c r="SJM284" s="1069"/>
      <c r="SJN284" s="1069"/>
      <c r="SJO284" s="1069"/>
      <c r="SJP284" s="1069"/>
      <c r="SJQ284" s="1069"/>
      <c r="SJR284" s="1069"/>
      <c r="SJS284" s="1069"/>
      <c r="SJT284" s="1069"/>
      <c r="SJU284" s="1069"/>
      <c r="SJV284" s="1069"/>
      <c r="SJW284" s="1069"/>
      <c r="SJX284" s="1069"/>
      <c r="SJY284" s="1069"/>
      <c r="SJZ284" s="1069"/>
      <c r="SKA284" s="1069"/>
      <c r="SKB284" s="1069"/>
      <c r="SKC284" s="1069"/>
      <c r="SKD284" s="1069"/>
      <c r="SKE284" s="1069"/>
      <c r="SKF284" s="1069"/>
      <c r="SKG284" s="1069"/>
      <c r="SKH284" s="1069"/>
      <c r="SKI284" s="1069"/>
      <c r="SKJ284" s="1069"/>
      <c r="SKK284" s="1069"/>
      <c r="SKL284" s="1069"/>
      <c r="SKM284" s="1069"/>
      <c r="SKN284" s="1069"/>
      <c r="SKO284" s="1069"/>
      <c r="SKP284" s="1069"/>
      <c r="SKQ284" s="1069"/>
      <c r="SKR284" s="1069"/>
      <c r="SKS284" s="1069"/>
      <c r="SKT284" s="1069"/>
      <c r="SKU284" s="1069"/>
      <c r="SKV284" s="1069"/>
      <c r="SKW284" s="1069"/>
      <c r="SKX284" s="1069"/>
      <c r="SKY284" s="1069"/>
      <c r="SKZ284" s="1069"/>
      <c r="SLA284" s="1069"/>
      <c r="SLB284" s="1069"/>
      <c r="SLC284" s="1069"/>
      <c r="SLD284" s="1069"/>
      <c r="SLE284" s="1069"/>
      <c r="SLF284" s="1069"/>
      <c r="SLG284" s="1069"/>
      <c r="SLH284" s="1069"/>
      <c r="SLI284" s="1069"/>
      <c r="SLJ284" s="1069"/>
      <c r="SLK284" s="1069"/>
      <c r="SLL284" s="1069"/>
      <c r="SLM284" s="1069"/>
      <c r="SLN284" s="1069"/>
      <c r="SLO284" s="1069"/>
      <c r="SLP284" s="1069"/>
      <c r="SLQ284" s="1069"/>
      <c r="SLR284" s="1069"/>
      <c r="SLS284" s="1069"/>
      <c r="SLT284" s="1069"/>
      <c r="SLU284" s="1069"/>
      <c r="SLV284" s="1069"/>
      <c r="SLW284" s="1069"/>
      <c r="SLX284" s="1069"/>
      <c r="SLY284" s="1069"/>
      <c r="SLZ284" s="1069"/>
      <c r="SMA284" s="1069"/>
      <c r="SMB284" s="1069"/>
      <c r="SMC284" s="1069"/>
      <c r="SMD284" s="1069"/>
      <c r="SME284" s="1069"/>
      <c r="SMF284" s="1069"/>
      <c r="SMG284" s="1069"/>
      <c r="SMH284" s="1069"/>
      <c r="SMI284" s="1069"/>
      <c r="SMJ284" s="1069"/>
      <c r="SMK284" s="1069"/>
      <c r="SML284" s="1069"/>
      <c r="SMM284" s="1069"/>
      <c r="SMN284" s="1069"/>
      <c r="SMO284" s="1069"/>
      <c r="SMP284" s="1069"/>
      <c r="SMQ284" s="1069"/>
      <c r="SMR284" s="1069"/>
      <c r="SMS284" s="1069"/>
      <c r="SMT284" s="1069"/>
      <c r="SMU284" s="1069"/>
      <c r="SMV284" s="1069"/>
      <c r="SMW284" s="1069"/>
      <c r="SMX284" s="1069"/>
      <c r="SMY284" s="1069"/>
      <c r="SMZ284" s="1069"/>
      <c r="SNA284" s="1069"/>
      <c r="SNB284" s="1069"/>
      <c r="SNC284" s="1069"/>
      <c r="SND284" s="1069"/>
      <c r="SNE284" s="1069"/>
      <c r="SNF284" s="1069"/>
      <c r="SNG284" s="1069"/>
      <c r="SNH284" s="1069"/>
      <c r="SNI284" s="1069"/>
      <c r="SNJ284" s="1069"/>
      <c r="SNK284" s="1069"/>
      <c r="SNL284" s="1069"/>
      <c r="SNM284" s="1069"/>
      <c r="SNN284" s="1069"/>
      <c r="SNO284" s="1069"/>
      <c r="SNP284" s="1069"/>
      <c r="SNQ284" s="1069"/>
      <c r="SNR284" s="1069"/>
      <c r="SNS284" s="1069"/>
      <c r="SNT284" s="1069"/>
      <c r="SNU284" s="1069"/>
      <c r="SNV284" s="1069"/>
      <c r="SNW284" s="1069"/>
      <c r="SNX284" s="1069"/>
      <c r="SNY284" s="1069"/>
      <c r="SNZ284" s="1069"/>
      <c r="SOA284" s="1069"/>
      <c r="SOB284" s="1069"/>
      <c r="SOC284" s="1069"/>
      <c r="SOD284" s="1069"/>
      <c r="SOE284" s="1069"/>
      <c r="SOF284" s="1069"/>
      <c r="SOG284" s="1069"/>
      <c r="SOH284" s="1069"/>
      <c r="SOI284" s="1069"/>
      <c r="SOJ284" s="1069"/>
      <c r="SOK284" s="1069"/>
      <c r="SOL284" s="1069"/>
      <c r="SOM284" s="1069"/>
      <c r="SON284" s="1069"/>
      <c r="SOO284" s="1069"/>
      <c r="SOP284" s="1069"/>
      <c r="SOQ284" s="1069"/>
      <c r="SOR284" s="1069"/>
      <c r="SOS284" s="1069"/>
      <c r="SOT284" s="1069"/>
      <c r="SOU284" s="1069"/>
      <c r="SOV284" s="1069"/>
      <c r="SOW284" s="1069"/>
      <c r="SOX284" s="1069"/>
      <c r="SOY284" s="1069"/>
      <c r="SOZ284" s="1069"/>
      <c r="SPA284" s="1069"/>
      <c r="SPB284" s="1069"/>
      <c r="SPC284" s="1069"/>
      <c r="SPD284" s="1069"/>
      <c r="SPE284" s="1069"/>
      <c r="SPF284" s="1069"/>
      <c r="SPG284" s="1069"/>
      <c r="SPH284" s="1069"/>
      <c r="SPI284" s="1069"/>
      <c r="SPJ284" s="1069"/>
      <c r="SPK284" s="1069"/>
      <c r="SPL284" s="1069"/>
      <c r="SPM284" s="1069"/>
      <c r="SPN284" s="1069"/>
      <c r="SPO284" s="1069"/>
      <c r="SPP284" s="1069"/>
      <c r="SPQ284" s="1069"/>
      <c r="SPR284" s="1069"/>
      <c r="SPS284" s="1069"/>
      <c r="SPT284" s="1069"/>
      <c r="SPU284" s="1069"/>
      <c r="SPV284" s="1069"/>
      <c r="SPW284" s="1069"/>
      <c r="SPX284" s="1069"/>
      <c r="SPY284" s="1069"/>
      <c r="SPZ284" s="1069"/>
      <c r="SQA284" s="1069"/>
      <c r="SQB284" s="1069"/>
      <c r="SQC284" s="1069"/>
      <c r="SQD284" s="1069"/>
      <c r="SQE284" s="1069"/>
      <c r="SQF284" s="1069"/>
      <c r="SQG284" s="1069"/>
      <c r="SQH284" s="1069"/>
      <c r="SQI284" s="1069"/>
      <c r="SQJ284" s="1069"/>
      <c r="SQK284" s="1069"/>
      <c r="SQL284" s="1069"/>
      <c r="SQM284" s="1069"/>
      <c r="SQN284" s="1069"/>
      <c r="SQO284" s="1069"/>
      <c r="SQP284" s="1069"/>
      <c r="SQQ284" s="1069"/>
      <c r="SQR284" s="1069"/>
      <c r="SQS284" s="1069"/>
      <c r="SQT284" s="1069"/>
      <c r="SQU284" s="1069"/>
      <c r="SQV284" s="1069"/>
      <c r="SQW284" s="1069"/>
      <c r="SQX284" s="1069"/>
      <c r="SQY284" s="1069"/>
      <c r="SQZ284" s="1069"/>
      <c r="SRA284" s="1069"/>
      <c r="SRB284" s="1069"/>
      <c r="SRC284" s="1069"/>
      <c r="SRD284" s="1069"/>
      <c r="SRE284" s="1069"/>
      <c r="SRF284" s="1069"/>
      <c r="SRG284" s="1069"/>
      <c r="SRH284" s="1069"/>
      <c r="SRI284" s="1069"/>
      <c r="SRJ284" s="1069"/>
      <c r="SRK284" s="1069"/>
      <c r="SRL284" s="1069"/>
      <c r="SRM284" s="1069"/>
      <c r="SRN284" s="1069"/>
      <c r="SRO284" s="1069"/>
      <c r="SRP284" s="1069"/>
      <c r="SRQ284" s="1069"/>
      <c r="SRR284" s="1069"/>
      <c r="SRS284" s="1069"/>
      <c r="SRT284" s="1069"/>
      <c r="SRU284" s="1069"/>
      <c r="SRV284" s="1069"/>
      <c r="SRW284" s="1069"/>
      <c r="SRX284" s="1069"/>
      <c r="SRY284" s="1069"/>
      <c r="SRZ284" s="1069"/>
      <c r="SSA284" s="1069"/>
      <c r="SSB284" s="1069"/>
      <c r="SSC284" s="1069"/>
      <c r="SSD284" s="1069"/>
      <c r="SSE284" s="1069"/>
      <c r="SSF284" s="1069"/>
      <c r="SSG284" s="1069"/>
      <c r="SSH284" s="1069"/>
      <c r="SSI284" s="1069"/>
      <c r="SSJ284" s="1069"/>
      <c r="SSK284" s="1069"/>
      <c r="SSL284" s="1069"/>
      <c r="SSM284" s="1069"/>
      <c r="SSN284" s="1069"/>
      <c r="SSO284" s="1069"/>
      <c r="SSP284" s="1069"/>
      <c r="SSQ284" s="1069"/>
      <c r="SSR284" s="1069"/>
      <c r="SSS284" s="1069"/>
      <c r="SST284" s="1069"/>
      <c r="SSU284" s="1069"/>
      <c r="SSV284" s="1069"/>
      <c r="SSW284" s="1069"/>
      <c r="SSX284" s="1069"/>
      <c r="SSY284" s="1069"/>
      <c r="SSZ284" s="1069"/>
      <c r="STA284" s="1069"/>
      <c r="STB284" s="1069"/>
      <c r="STC284" s="1069"/>
      <c r="STD284" s="1069"/>
      <c r="STE284" s="1069"/>
      <c r="STF284" s="1069"/>
      <c r="STG284" s="1069"/>
      <c r="STH284" s="1069"/>
      <c r="STI284" s="1069"/>
      <c r="STJ284" s="1069"/>
      <c r="STK284" s="1069"/>
      <c r="STL284" s="1069"/>
      <c r="STM284" s="1069"/>
      <c r="STN284" s="1069"/>
      <c r="STO284" s="1069"/>
      <c r="STP284" s="1069"/>
      <c r="STQ284" s="1069"/>
      <c r="STR284" s="1069"/>
      <c r="STS284" s="1069"/>
      <c r="STT284" s="1069"/>
      <c r="STU284" s="1069"/>
      <c r="STV284" s="1069"/>
      <c r="STW284" s="1069"/>
      <c r="STX284" s="1069"/>
      <c r="STY284" s="1069"/>
      <c r="STZ284" s="1069"/>
      <c r="SUA284" s="1069"/>
      <c r="SUB284" s="1069"/>
      <c r="SUC284" s="1069"/>
      <c r="SUD284" s="1069"/>
      <c r="SUE284" s="1069"/>
      <c r="SUF284" s="1069"/>
      <c r="SUG284" s="1069"/>
      <c r="SUH284" s="1069"/>
      <c r="SUI284" s="1069"/>
      <c r="SUJ284" s="1069"/>
      <c r="SUK284" s="1069"/>
      <c r="SUL284" s="1069"/>
      <c r="SUM284" s="1069"/>
      <c r="SUN284" s="1069"/>
      <c r="SUO284" s="1069"/>
      <c r="SUP284" s="1069"/>
      <c r="SUQ284" s="1069"/>
      <c r="SUR284" s="1069"/>
      <c r="SUS284" s="1069"/>
      <c r="SUT284" s="1069"/>
      <c r="SUU284" s="1069"/>
      <c r="SUV284" s="1069"/>
      <c r="SUW284" s="1069"/>
      <c r="SUX284" s="1069"/>
      <c r="SUY284" s="1069"/>
      <c r="SUZ284" s="1069"/>
      <c r="SVA284" s="1069"/>
      <c r="SVB284" s="1069"/>
      <c r="SVC284" s="1069"/>
      <c r="SVD284" s="1069"/>
      <c r="SVE284" s="1069"/>
      <c r="SVF284" s="1069"/>
      <c r="SVG284" s="1069"/>
      <c r="SVH284" s="1069"/>
      <c r="SVI284" s="1069"/>
      <c r="SVJ284" s="1069"/>
      <c r="SVK284" s="1069"/>
      <c r="SVL284" s="1069"/>
      <c r="SVM284" s="1069"/>
      <c r="SVN284" s="1069"/>
      <c r="SVO284" s="1069"/>
      <c r="SVP284" s="1069"/>
      <c r="SVQ284" s="1069"/>
      <c r="SVR284" s="1069"/>
      <c r="SVS284" s="1069"/>
      <c r="SVT284" s="1069"/>
      <c r="SVU284" s="1069"/>
      <c r="SVV284" s="1069"/>
      <c r="SVW284" s="1069"/>
      <c r="SVX284" s="1069"/>
      <c r="SVY284" s="1069"/>
      <c r="SVZ284" s="1069"/>
      <c r="SWA284" s="1069"/>
      <c r="SWB284" s="1069"/>
      <c r="SWC284" s="1069"/>
      <c r="SWD284" s="1069"/>
      <c r="SWE284" s="1069"/>
      <c r="SWF284" s="1069"/>
      <c r="SWG284" s="1069"/>
      <c r="SWH284" s="1069"/>
      <c r="SWI284" s="1069"/>
      <c r="SWJ284" s="1069"/>
      <c r="SWK284" s="1069"/>
      <c r="SWL284" s="1069"/>
      <c r="SWM284" s="1069"/>
      <c r="SWN284" s="1069"/>
      <c r="SWO284" s="1069"/>
      <c r="SWP284" s="1069"/>
      <c r="SWQ284" s="1069"/>
      <c r="SWR284" s="1069"/>
      <c r="SWS284" s="1069"/>
      <c r="SWT284" s="1069"/>
      <c r="SWU284" s="1069"/>
      <c r="SWV284" s="1069"/>
      <c r="SWW284" s="1069"/>
      <c r="SWX284" s="1069"/>
      <c r="SWY284" s="1069"/>
      <c r="SWZ284" s="1069"/>
      <c r="SXA284" s="1069"/>
      <c r="SXB284" s="1069"/>
      <c r="SXC284" s="1069"/>
      <c r="SXD284" s="1069"/>
      <c r="SXE284" s="1069"/>
      <c r="SXF284" s="1069"/>
      <c r="SXG284" s="1069"/>
      <c r="SXH284" s="1069"/>
      <c r="SXI284" s="1069"/>
      <c r="SXJ284" s="1069"/>
      <c r="SXK284" s="1069"/>
      <c r="SXL284" s="1069"/>
      <c r="SXM284" s="1069"/>
      <c r="SXN284" s="1069"/>
      <c r="SXO284" s="1069"/>
      <c r="SXP284" s="1069"/>
      <c r="SXQ284" s="1069"/>
      <c r="SXR284" s="1069"/>
      <c r="SXS284" s="1069"/>
      <c r="SXT284" s="1069"/>
      <c r="SXU284" s="1069"/>
      <c r="SXV284" s="1069"/>
      <c r="SXW284" s="1069"/>
      <c r="SXX284" s="1069"/>
      <c r="SXY284" s="1069"/>
      <c r="SXZ284" s="1069"/>
      <c r="SYA284" s="1069"/>
      <c r="SYB284" s="1069"/>
      <c r="SYC284" s="1069"/>
      <c r="SYD284" s="1069"/>
      <c r="SYE284" s="1069"/>
      <c r="SYF284" s="1069"/>
      <c r="SYG284" s="1069"/>
      <c r="SYH284" s="1069"/>
      <c r="SYI284" s="1069"/>
      <c r="SYJ284" s="1069"/>
      <c r="SYK284" s="1069"/>
      <c r="SYL284" s="1069"/>
      <c r="SYM284" s="1069"/>
      <c r="SYN284" s="1069"/>
      <c r="SYO284" s="1069"/>
      <c r="SYP284" s="1069"/>
      <c r="SYQ284" s="1069"/>
      <c r="SYR284" s="1069"/>
      <c r="SYS284" s="1069"/>
      <c r="SYT284" s="1069"/>
      <c r="SYU284" s="1069"/>
      <c r="SYV284" s="1069"/>
      <c r="SYW284" s="1069"/>
      <c r="SYX284" s="1069"/>
      <c r="SYY284" s="1069"/>
      <c r="SYZ284" s="1069"/>
      <c r="SZA284" s="1069"/>
      <c r="SZB284" s="1069"/>
      <c r="SZC284" s="1069"/>
      <c r="SZD284" s="1069"/>
      <c r="SZE284" s="1069"/>
      <c r="SZF284" s="1069"/>
      <c r="SZG284" s="1069"/>
      <c r="SZH284" s="1069"/>
      <c r="SZI284" s="1069"/>
      <c r="SZJ284" s="1069"/>
      <c r="SZK284" s="1069"/>
      <c r="SZL284" s="1069"/>
      <c r="SZM284" s="1069"/>
      <c r="SZN284" s="1069"/>
      <c r="SZO284" s="1069"/>
      <c r="SZP284" s="1069"/>
      <c r="SZQ284" s="1069"/>
      <c r="SZR284" s="1069"/>
      <c r="SZS284" s="1069"/>
      <c r="SZT284" s="1069"/>
      <c r="SZU284" s="1069"/>
      <c r="SZV284" s="1069"/>
      <c r="SZW284" s="1069"/>
      <c r="SZX284" s="1069"/>
      <c r="SZY284" s="1069"/>
      <c r="SZZ284" s="1069"/>
      <c r="TAA284" s="1069"/>
      <c r="TAB284" s="1069"/>
      <c r="TAC284" s="1069"/>
      <c r="TAD284" s="1069"/>
      <c r="TAE284" s="1069"/>
      <c r="TAF284" s="1069"/>
      <c r="TAG284" s="1069"/>
      <c r="TAH284" s="1069"/>
      <c r="TAI284" s="1069"/>
      <c r="TAJ284" s="1069"/>
      <c r="TAK284" s="1069"/>
      <c r="TAL284" s="1069"/>
      <c r="TAM284" s="1069"/>
      <c r="TAN284" s="1069"/>
      <c r="TAO284" s="1069"/>
      <c r="TAP284" s="1069"/>
      <c r="TAQ284" s="1069"/>
      <c r="TAR284" s="1069"/>
      <c r="TAS284" s="1069"/>
      <c r="TAT284" s="1069"/>
      <c r="TAU284" s="1069"/>
      <c r="TAV284" s="1069"/>
      <c r="TAW284" s="1069"/>
      <c r="TAX284" s="1069"/>
      <c r="TAY284" s="1069"/>
      <c r="TAZ284" s="1069"/>
      <c r="TBA284" s="1069"/>
      <c r="TBB284" s="1069"/>
      <c r="TBC284" s="1069"/>
      <c r="TBD284" s="1069"/>
      <c r="TBE284" s="1069"/>
      <c r="TBF284" s="1069"/>
      <c r="TBG284" s="1069"/>
      <c r="TBH284" s="1069"/>
      <c r="TBI284" s="1069"/>
      <c r="TBJ284" s="1069"/>
      <c r="TBK284" s="1069"/>
      <c r="TBL284" s="1069"/>
      <c r="TBM284" s="1069"/>
      <c r="TBN284" s="1069"/>
      <c r="TBO284" s="1069"/>
      <c r="TBP284" s="1069"/>
      <c r="TBQ284" s="1069"/>
      <c r="TBR284" s="1069"/>
      <c r="TBS284" s="1069"/>
      <c r="TBT284" s="1069"/>
      <c r="TBU284" s="1069"/>
      <c r="TBV284" s="1069"/>
      <c r="TBW284" s="1069"/>
      <c r="TBX284" s="1069"/>
      <c r="TBY284" s="1069"/>
      <c r="TBZ284" s="1069"/>
      <c r="TCA284" s="1069"/>
      <c r="TCB284" s="1069"/>
      <c r="TCC284" s="1069"/>
      <c r="TCD284" s="1069"/>
      <c r="TCE284" s="1069"/>
      <c r="TCF284" s="1069"/>
      <c r="TCG284" s="1069"/>
      <c r="TCH284" s="1069"/>
      <c r="TCI284" s="1069"/>
      <c r="TCJ284" s="1069"/>
      <c r="TCK284" s="1069"/>
      <c r="TCL284" s="1069"/>
      <c r="TCM284" s="1069"/>
      <c r="TCN284" s="1069"/>
      <c r="TCO284" s="1069"/>
      <c r="TCP284" s="1069"/>
      <c r="TCQ284" s="1069"/>
      <c r="TCR284" s="1069"/>
      <c r="TCS284" s="1069"/>
      <c r="TCT284" s="1069"/>
      <c r="TCU284" s="1069"/>
      <c r="TCV284" s="1069"/>
      <c r="TCW284" s="1069"/>
      <c r="TCX284" s="1069"/>
      <c r="TCY284" s="1069"/>
      <c r="TCZ284" s="1069"/>
      <c r="TDA284" s="1069"/>
      <c r="TDB284" s="1069"/>
      <c r="TDC284" s="1069"/>
      <c r="TDD284" s="1069"/>
      <c r="TDE284" s="1069"/>
      <c r="TDF284" s="1069"/>
      <c r="TDG284" s="1069"/>
      <c r="TDH284" s="1069"/>
      <c r="TDI284" s="1069"/>
      <c r="TDJ284" s="1069"/>
      <c r="TDK284" s="1069"/>
      <c r="TDL284" s="1069"/>
      <c r="TDM284" s="1069"/>
      <c r="TDN284" s="1069"/>
      <c r="TDO284" s="1069"/>
      <c r="TDP284" s="1069"/>
      <c r="TDQ284" s="1069"/>
      <c r="TDR284" s="1069"/>
      <c r="TDS284" s="1069"/>
      <c r="TDT284" s="1069"/>
      <c r="TDU284" s="1069"/>
      <c r="TDV284" s="1069"/>
      <c r="TDW284" s="1069"/>
      <c r="TDX284" s="1069"/>
      <c r="TDY284" s="1069"/>
      <c r="TDZ284" s="1069"/>
      <c r="TEA284" s="1069"/>
      <c r="TEB284" s="1069"/>
      <c r="TEC284" s="1069"/>
      <c r="TED284" s="1069"/>
      <c r="TEE284" s="1069"/>
      <c r="TEF284" s="1069"/>
      <c r="TEG284" s="1069"/>
      <c r="TEH284" s="1069"/>
      <c r="TEI284" s="1069"/>
      <c r="TEJ284" s="1069"/>
      <c r="TEK284" s="1069"/>
      <c r="TEL284" s="1069"/>
      <c r="TEM284" s="1069"/>
      <c r="TEN284" s="1069"/>
      <c r="TEO284" s="1069"/>
      <c r="TEP284" s="1069"/>
      <c r="TEQ284" s="1069"/>
      <c r="TER284" s="1069"/>
      <c r="TES284" s="1069"/>
      <c r="TET284" s="1069"/>
      <c r="TEU284" s="1069"/>
      <c r="TEV284" s="1069"/>
      <c r="TEW284" s="1069"/>
      <c r="TEX284" s="1069"/>
      <c r="TEY284" s="1069"/>
      <c r="TEZ284" s="1069"/>
      <c r="TFA284" s="1069"/>
      <c r="TFB284" s="1069"/>
      <c r="TFC284" s="1069"/>
      <c r="TFD284" s="1069"/>
      <c r="TFE284" s="1069"/>
      <c r="TFF284" s="1069"/>
      <c r="TFG284" s="1069"/>
      <c r="TFH284" s="1069"/>
      <c r="TFI284" s="1069"/>
      <c r="TFJ284" s="1069"/>
      <c r="TFK284" s="1069"/>
      <c r="TFL284" s="1069"/>
      <c r="TFM284" s="1069"/>
      <c r="TFN284" s="1069"/>
      <c r="TFO284" s="1069"/>
      <c r="TFP284" s="1069"/>
      <c r="TFQ284" s="1069"/>
      <c r="TFR284" s="1069"/>
      <c r="TFS284" s="1069"/>
      <c r="TFT284" s="1069"/>
      <c r="TFU284" s="1069"/>
      <c r="TFV284" s="1069"/>
      <c r="TFW284" s="1069"/>
      <c r="TFX284" s="1069"/>
      <c r="TFY284" s="1069"/>
      <c r="TFZ284" s="1069"/>
      <c r="TGA284" s="1069"/>
      <c r="TGB284" s="1069"/>
      <c r="TGC284" s="1069"/>
      <c r="TGD284" s="1069"/>
      <c r="TGE284" s="1069"/>
      <c r="TGF284" s="1069"/>
      <c r="TGG284" s="1069"/>
      <c r="TGH284" s="1069"/>
      <c r="TGI284" s="1069"/>
      <c r="TGJ284" s="1069"/>
      <c r="TGK284" s="1069"/>
      <c r="TGL284" s="1069"/>
      <c r="TGM284" s="1069"/>
      <c r="TGN284" s="1069"/>
      <c r="TGO284" s="1069"/>
      <c r="TGP284" s="1069"/>
      <c r="TGQ284" s="1069"/>
      <c r="TGR284" s="1069"/>
      <c r="TGS284" s="1069"/>
      <c r="TGT284" s="1069"/>
      <c r="TGU284" s="1069"/>
      <c r="TGV284" s="1069"/>
      <c r="TGW284" s="1069"/>
      <c r="TGX284" s="1069"/>
      <c r="TGY284" s="1069"/>
      <c r="TGZ284" s="1069"/>
      <c r="THA284" s="1069"/>
      <c r="THB284" s="1069"/>
      <c r="THC284" s="1069"/>
      <c r="THD284" s="1069"/>
      <c r="THE284" s="1069"/>
      <c r="THF284" s="1069"/>
      <c r="THG284" s="1069"/>
      <c r="THH284" s="1069"/>
      <c r="THI284" s="1069"/>
      <c r="THJ284" s="1069"/>
      <c r="THK284" s="1069"/>
      <c r="THL284" s="1069"/>
      <c r="THM284" s="1069"/>
      <c r="THN284" s="1069"/>
      <c r="THO284" s="1069"/>
      <c r="THP284" s="1069"/>
      <c r="THQ284" s="1069"/>
      <c r="THR284" s="1069"/>
      <c r="THS284" s="1069"/>
      <c r="THT284" s="1069"/>
      <c r="THU284" s="1069"/>
      <c r="THV284" s="1069"/>
      <c r="THW284" s="1069"/>
      <c r="THX284" s="1069"/>
      <c r="THY284" s="1069"/>
      <c r="THZ284" s="1069"/>
      <c r="TIA284" s="1069"/>
      <c r="TIB284" s="1069"/>
      <c r="TIC284" s="1069"/>
      <c r="TID284" s="1069"/>
      <c r="TIE284" s="1069"/>
      <c r="TIF284" s="1069"/>
      <c r="TIG284" s="1069"/>
      <c r="TIH284" s="1069"/>
      <c r="TII284" s="1069"/>
      <c r="TIJ284" s="1069"/>
      <c r="TIK284" s="1069"/>
      <c r="TIL284" s="1069"/>
      <c r="TIM284" s="1069"/>
      <c r="TIN284" s="1069"/>
      <c r="TIO284" s="1069"/>
      <c r="TIP284" s="1069"/>
      <c r="TIQ284" s="1069"/>
      <c r="TIR284" s="1069"/>
      <c r="TIS284" s="1069"/>
      <c r="TIT284" s="1069"/>
      <c r="TIU284" s="1069"/>
      <c r="TIV284" s="1069"/>
      <c r="TIW284" s="1069"/>
      <c r="TIX284" s="1069"/>
      <c r="TIY284" s="1069"/>
      <c r="TIZ284" s="1069"/>
      <c r="TJA284" s="1069"/>
      <c r="TJB284" s="1069"/>
      <c r="TJC284" s="1069"/>
      <c r="TJD284" s="1069"/>
      <c r="TJE284" s="1069"/>
      <c r="TJF284" s="1069"/>
      <c r="TJG284" s="1069"/>
      <c r="TJH284" s="1069"/>
      <c r="TJI284" s="1069"/>
      <c r="TJJ284" s="1069"/>
      <c r="TJK284" s="1069"/>
      <c r="TJL284" s="1069"/>
      <c r="TJM284" s="1069"/>
      <c r="TJN284" s="1069"/>
      <c r="TJO284" s="1069"/>
      <c r="TJP284" s="1069"/>
      <c r="TJQ284" s="1069"/>
      <c r="TJR284" s="1069"/>
      <c r="TJS284" s="1069"/>
      <c r="TJT284" s="1069"/>
      <c r="TJU284" s="1069"/>
      <c r="TJV284" s="1069"/>
      <c r="TJW284" s="1069"/>
      <c r="TJX284" s="1069"/>
      <c r="TJY284" s="1069"/>
      <c r="TJZ284" s="1069"/>
      <c r="TKA284" s="1069"/>
      <c r="TKB284" s="1069"/>
      <c r="TKC284" s="1069"/>
      <c r="TKD284" s="1069"/>
      <c r="TKE284" s="1069"/>
      <c r="TKF284" s="1069"/>
      <c r="TKG284" s="1069"/>
      <c r="TKH284" s="1069"/>
      <c r="TKI284" s="1069"/>
      <c r="TKJ284" s="1069"/>
      <c r="TKK284" s="1069"/>
      <c r="TKL284" s="1069"/>
      <c r="TKM284" s="1069"/>
      <c r="TKN284" s="1069"/>
      <c r="TKO284" s="1069"/>
      <c r="TKP284" s="1069"/>
      <c r="TKQ284" s="1069"/>
      <c r="TKR284" s="1069"/>
      <c r="TKS284" s="1069"/>
      <c r="TKT284" s="1069"/>
      <c r="TKU284" s="1069"/>
      <c r="TKV284" s="1069"/>
      <c r="TKW284" s="1069"/>
      <c r="TKX284" s="1069"/>
      <c r="TKY284" s="1069"/>
      <c r="TKZ284" s="1069"/>
      <c r="TLA284" s="1069"/>
      <c r="TLB284" s="1069"/>
      <c r="TLC284" s="1069"/>
      <c r="TLD284" s="1069"/>
      <c r="TLE284" s="1069"/>
      <c r="TLF284" s="1069"/>
      <c r="TLG284" s="1069"/>
      <c r="TLH284" s="1069"/>
      <c r="TLI284" s="1069"/>
      <c r="TLJ284" s="1069"/>
      <c r="TLK284" s="1069"/>
      <c r="TLL284" s="1069"/>
      <c r="TLM284" s="1069"/>
      <c r="TLN284" s="1069"/>
      <c r="TLO284" s="1069"/>
      <c r="TLP284" s="1069"/>
      <c r="TLQ284" s="1069"/>
      <c r="TLR284" s="1069"/>
      <c r="TLS284" s="1069"/>
      <c r="TLT284" s="1069"/>
      <c r="TLU284" s="1069"/>
      <c r="TLV284" s="1069"/>
      <c r="TLW284" s="1069"/>
      <c r="TLX284" s="1069"/>
      <c r="TLY284" s="1069"/>
      <c r="TLZ284" s="1069"/>
      <c r="TMA284" s="1069"/>
      <c r="TMB284" s="1069"/>
      <c r="TMC284" s="1069"/>
      <c r="TMD284" s="1069"/>
      <c r="TME284" s="1069"/>
      <c r="TMF284" s="1069"/>
      <c r="TMG284" s="1069"/>
      <c r="TMH284" s="1069"/>
      <c r="TMI284" s="1069"/>
      <c r="TMJ284" s="1069"/>
      <c r="TMK284" s="1069"/>
      <c r="TML284" s="1069"/>
      <c r="TMM284" s="1069"/>
      <c r="TMN284" s="1069"/>
      <c r="TMO284" s="1069"/>
      <c r="TMP284" s="1069"/>
      <c r="TMQ284" s="1069"/>
      <c r="TMR284" s="1069"/>
      <c r="TMS284" s="1069"/>
      <c r="TMT284" s="1069"/>
      <c r="TMU284" s="1069"/>
      <c r="TMV284" s="1069"/>
      <c r="TMW284" s="1069"/>
      <c r="TMX284" s="1069"/>
      <c r="TMY284" s="1069"/>
      <c r="TMZ284" s="1069"/>
      <c r="TNA284" s="1069"/>
      <c r="TNB284" s="1069"/>
      <c r="TNC284" s="1069"/>
      <c r="TND284" s="1069"/>
      <c r="TNE284" s="1069"/>
      <c r="TNF284" s="1069"/>
      <c r="TNG284" s="1069"/>
      <c r="TNH284" s="1069"/>
      <c r="TNI284" s="1069"/>
      <c r="TNJ284" s="1069"/>
      <c r="TNK284" s="1069"/>
      <c r="TNL284" s="1069"/>
      <c r="TNM284" s="1069"/>
      <c r="TNN284" s="1069"/>
      <c r="TNO284" s="1069"/>
      <c r="TNP284" s="1069"/>
      <c r="TNQ284" s="1069"/>
      <c r="TNR284" s="1069"/>
      <c r="TNS284" s="1069"/>
      <c r="TNT284" s="1069"/>
      <c r="TNU284" s="1069"/>
      <c r="TNV284" s="1069"/>
      <c r="TNW284" s="1069"/>
      <c r="TNX284" s="1069"/>
      <c r="TNY284" s="1069"/>
      <c r="TNZ284" s="1069"/>
      <c r="TOA284" s="1069"/>
      <c r="TOB284" s="1069"/>
      <c r="TOC284" s="1069"/>
      <c r="TOD284" s="1069"/>
      <c r="TOE284" s="1069"/>
      <c r="TOF284" s="1069"/>
      <c r="TOG284" s="1069"/>
      <c r="TOH284" s="1069"/>
      <c r="TOI284" s="1069"/>
      <c r="TOJ284" s="1069"/>
      <c r="TOK284" s="1069"/>
      <c r="TOL284" s="1069"/>
      <c r="TOM284" s="1069"/>
      <c r="TON284" s="1069"/>
      <c r="TOO284" s="1069"/>
      <c r="TOP284" s="1069"/>
      <c r="TOQ284" s="1069"/>
      <c r="TOR284" s="1069"/>
      <c r="TOS284" s="1069"/>
      <c r="TOT284" s="1069"/>
      <c r="TOU284" s="1069"/>
      <c r="TOV284" s="1069"/>
      <c r="TOW284" s="1069"/>
      <c r="TOX284" s="1069"/>
      <c r="TOY284" s="1069"/>
      <c r="TOZ284" s="1069"/>
      <c r="TPA284" s="1069"/>
      <c r="TPB284" s="1069"/>
      <c r="TPC284" s="1069"/>
      <c r="TPD284" s="1069"/>
      <c r="TPE284" s="1069"/>
      <c r="TPF284" s="1069"/>
      <c r="TPG284" s="1069"/>
      <c r="TPH284" s="1069"/>
      <c r="TPI284" s="1069"/>
      <c r="TPJ284" s="1069"/>
      <c r="TPK284" s="1069"/>
      <c r="TPL284" s="1069"/>
      <c r="TPM284" s="1069"/>
      <c r="TPN284" s="1069"/>
      <c r="TPO284" s="1069"/>
      <c r="TPP284" s="1069"/>
      <c r="TPQ284" s="1069"/>
      <c r="TPR284" s="1069"/>
      <c r="TPS284" s="1069"/>
      <c r="TPT284" s="1069"/>
      <c r="TPU284" s="1069"/>
      <c r="TPV284" s="1069"/>
      <c r="TPW284" s="1069"/>
      <c r="TPX284" s="1069"/>
      <c r="TPY284" s="1069"/>
      <c r="TPZ284" s="1069"/>
      <c r="TQA284" s="1069"/>
      <c r="TQB284" s="1069"/>
      <c r="TQC284" s="1069"/>
      <c r="TQD284" s="1069"/>
      <c r="TQE284" s="1069"/>
      <c r="TQF284" s="1069"/>
      <c r="TQG284" s="1069"/>
      <c r="TQH284" s="1069"/>
      <c r="TQI284" s="1069"/>
      <c r="TQJ284" s="1069"/>
      <c r="TQK284" s="1069"/>
      <c r="TQL284" s="1069"/>
      <c r="TQM284" s="1069"/>
      <c r="TQN284" s="1069"/>
      <c r="TQO284" s="1069"/>
      <c r="TQP284" s="1069"/>
      <c r="TQQ284" s="1069"/>
      <c r="TQR284" s="1069"/>
      <c r="TQS284" s="1069"/>
      <c r="TQT284" s="1069"/>
      <c r="TQU284" s="1069"/>
      <c r="TQV284" s="1069"/>
      <c r="TQW284" s="1069"/>
      <c r="TQX284" s="1069"/>
      <c r="TQY284" s="1069"/>
      <c r="TQZ284" s="1069"/>
      <c r="TRA284" s="1069"/>
      <c r="TRB284" s="1069"/>
      <c r="TRC284" s="1069"/>
      <c r="TRD284" s="1069"/>
      <c r="TRE284" s="1069"/>
      <c r="TRF284" s="1069"/>
      <c r="TRG284" s="1069"/>
      <c r="TRH284" s="1069"/>
      <c r="TRI284" s="1069"/>
      <c r="TRJ284" s="1069"/>
      <c r="TRK284" s="1069"/>
      <c r="TRL284" s="1069"/>
      <c r="TRM284" s="1069"/>
      <c r="TRN284" s="1069"/>
      <c r="TRO284" s="1069"/>
      <c r="TRP284" s="1069"/>
      <c r="TRQ284" s="1069"/>
      <c r="TRR284" s="1069"/>
      <c r="TRS284" s="1069"/>
      <c r="TRT284" s="1069"/>
      <c r="TRU284" s="1069"/>
      <c r="TRV284" s="1069"/>
      <c r="TRW284" s="1069"/>
      <c r="TRX284" s="1069"/>
      <c r="TRY284" s="1069"/>
      <c r="TRZ284" s="1069"/>
      <c r="TSA284" s="1069"/>
      <c r="TSB284" s="1069"/>
      <c r="TSC284" s="1069"/>
      <c r="TSD284" s="1069"/>
      <c r="TSE284" s="1069"/>
      <c r="TSF284" s="1069"/>
      <c r="TSG284" s="1069"/>
      <c r="TSH284" s="1069"/>
      <c r="TSI284" s="1069"/>
      <c r="TSJ284" s="1069"/>
      <c r="TSK284" s="1069"/>
      <c r="TSL284" s="1069"/>
      <c r="TSM284" s="1069"/>
      <c r="TSN284" s="1069"/>
      <c r="TSO284" s="1069"/>
      <c r="TSP284" s="1069"/>
      <c r="TSQ284" s="1069"/>
      <c r="TSR284" s="1069"/>
      <c r="TSS284" s="1069"/>
      <c r="TST284" s="1069"/>
      <c r="TSU284" s="1069"/>
      <c r="TSV284" s="1069"/>
      <c r="TSW284" s="1069"/>
      <c r="TSX284" s="1069"/>
      <c r="TSY284" s="1069"/>
      <c r="TSZ284" s="1069"/>
      <c r="TTA284" s="1069"/>
      <c r="TTB284" s="1069"/>
      <c r="TTC284" s="1069"/>
      <c r="TTD284" s="1069"/>
      <c r="TTE284" s="1069"/>
      <c r="TTF284" s="1069"/>
      <c r="TTG284" s="1069"/>
      <c r="TTH284" s="1069"/>
      <c r="TTI284" s="1069"/>
      <c r="TTJ284" s="1069"/>
      <c r="TTK284" s="1069"/>
      <c r="TTL284" s="1069"/>
      <c r="TTM284" s="1069"/>
      <c r="TTN284" s="1069"/>
      <c r="TTO284" s="1069"/>
      <c r="TTP284" s="1069"/>
      <c r="TTQ284" s="1069"/>
      <c r="TTR284" s="1069"/>
      <c r="TTS284" s="1069"/>
      <c r="TTT284" s="1069"/>
      <c r="TTU284" s="1069"/>
      <c r="TTV284" s="1069"/>
      <c r="TTW284" s="1069"/>
      <c r="TTX284" s="1069"/>
      <c r="TTY284" s="1069"/>
      <c r="TTZ284" s="1069"/>
      <c r="TUA284" s="1069"/>
      <c r="TUB284" s="1069"/>
      <c r="TUC284" s="1069"/>
      <c r="TUD284" s="1069"/>
      <c r="TUE284" s="1069"/>
      <c r="TUF284" s="1069"/>
      <c r="TUG284" s="1069"/>
      <c r="TUH284" s="1069"/>
      <c r="TUI284" s="1069"/>
      <c r="TUJ284" s="1069"/>
      <c r="TUK284" s="1069"/>
      <c r="TUL284" s="1069"/>
      <c r="TUM284" s="1069"/>
      <c r="TUN284" s="1069"/>
      <c r="TUO284" s="1069"/>
      <c r="TUP284" s="1069"/>
      <c r="TUQ284" s="1069"/>
      <c r="TUR284" s="1069"/>
      <c r="TUS284" s="1069"/>
      <c r="TUT284" s="1069"/>
      <c r="TUU284" s="1069"/>
      <c r="TUV284" s="1069"/>
      <c r="TUW284" s="1069"/>
      <c r="TUX284" s="1069"/>
      <c r="TUY284" s="1069"/>
      <c r="TUZ284" s="1069"/>
      <c r="TVA284" s="1069"/>
      <c r="TVB284" s="1069"/>
      <c r="TVC284" s="1069"/>
      <c r="TVD284" s="1069"/>
      <c r="TVE284" s="1069"/>
      <c r="TVF284" s="1069"/>
      <c r="TVG284" s="1069"/>
      <c r="TVH284" s="1069"/>
      <c r="TVI284" s="1069"/>
      <c r="TVJ284" s="1069"/>
      <c r="TVK284" s="1069"/>
      <c r="TVL284" s="1069"/>
      <c r="TVM284" s="1069"/>
      <c r="TVN284" s="1069"/>
      <c r="TVO284" s="1069"/>
      <c r="TVP284" s="1069"/>
      <c r="TVQ284" s="1069"/>
      <c r="TVR284" s="1069"/>
      <c r="TVS284" s="1069"/>
      <c r="TVT284" s="1069"/>
      <c r="TVU284" s="1069"/>
      <c r="TVV284" s="1069"/>
      <c r="TVW284" s="1069"/>
      <c r="TVX284" s="1069"/>
      <c r="TVY284" s="1069"/>
      <c r="TVZ284" s="1069"/>
      <c r="TWA284" s="1069"/>
      <c r="TWB284" s="1069"/>
      <c r="TWC284" s="1069"/>
      <c r="TWD284" s="1069"/>
      <c r="TWE284" s="1069"/>
      <c r="TWF284" s="1069"/>
      <c r="TWG284" s="1069"/>
      <c r="TWH284" s="1069"/>
      <c r="TWI284" s="1069"/>
      <c r="TWJ284" s="1069"/>
      <c r="TWK284" s="1069"/>
      <c r="TWL284" s="1069"/>
      <c r="TWM284" s="1069"/>
      <c r="TWN284" s="1069"/>
      <c r="TWO284" s="1069"/>
      <c r="TWP284" s="1069"/>
      <c r="TWQ284" s="1069"/>
      <c r="TWR284" s="1069"/>
      <c r="TWS284" s="1069"/>
      <c r="TWT284" s="1069"/>
      <c r="TWU284" s="1069"/>
      <c r="TWV284" s="1069"/>
      <c r="TWW284" s="1069"/>
      <c r="TWX284" s="1069"/>
      <c r="TWY284" s="1069"/>
      <c r="TWZ284" s="1069"/>
      <c r="TXA284" s="1069"/>
      <c r="TXB284" s="1069"/>
      <c r="TXC284" s="1069"/>
      <c r="TXD284" s="1069"/>
      <c r="TXE284" s="1069"/>
      <c r="TXF284" s="1069"/>
      <c r="TXG284" s="1069"/>
      <c r="TXH284" s="1069"/>
      <c r="TXI284" s="1069"/>
      <c r="TXJ284" s="1069"/>
      <c r="TXK284" s="1069"/>
      <c r="TXL284" s="1069"/>
      <c r="TXM284" s="1069"/>
      <c r="TXN284" s="1069"/>
      <c r="TXO284" s="1069"/>
      <c r="TXP284" s="1069"/>
      <c r="TXQ284" s="1069"/>
      <c r="TXR284" s="1069"/>
      <c r="TXS284" s="1069"/>
      <c r="TXT284" s="1069"/>
      <c r="TXU284" s="1069"/>
      <c r="TXV284" s="1069"/>
      <c r="TXW284" s="1069"/>
      <c r="TXX284" s="1069"/>
      <c r="TXY284" s="1069"/>
      <c r="TXZ284" s="1069"/>
      <c r="TYA284" s="1069"/>
      <c r="TYB284" s="1069"/>
      <c r="TYC284" s="1069"/>
      <c r="TYD284" s="1069"/>
      <c r="TYE284" s="1069"/>
      <c r="TYF284" s="1069"/>
      <c r="TYG284" s="1069"/>
      <c r="TYH284" s="1069"/>
      <c r="TYI284" s="1069"/>
      <c r="TYJ284" s="1069"/>
      <c r="TYK284" s="1069"/>
      <c r="TYL284" s="1069"/>
      <c r="TYM284" s="1069"/>
      <c r="TYN284" s="1069"/>
      <c r="TYO284" s="1069"/>
      <c r="TYP284" s="1069"/>
      <c r="TYQ284" s="1069"/>
      <c r="TYR284" s="1069"/>
      <c r="TYS284" s="1069"/>
      <c r="TYT284" s="1069"/>
      <c r="TYU284" s="1069"/>
      <c r="TYV284" s="1069"/>
      <c r="TYW284" s="1069"/>
      <c r="TYX284" s="1069"/>
      <c r="TYY284" s="1069"/>
      <c r="TYZ284" s="1069"/>
      <c r="TZA284" s="1069"/>
      <c r="TZB284" s="1069"/>
      <c r="TZC284" s="1069"/>
      <c r="TZD284" s="1069"/>
      <c r="TZE284" s="1069"/>
      <c r="TZF284" s="1069"/>
      <c r="TZG284" s="1069"/>
      <c r="TZH284" s="1069"/>
      <c r="TZI284" s="1069"/>
      <c r="TZJ284" s="1069"/>
      <c r="TZK284" s="1069"/>
      <c r="TZL284" s="1069"/>
      <c r="TZM284" s="1069"/>
      <c r="TZN284" s="1069"/>
      <c r="TZO284" s="1069"/>
      <c r="TZP284" s="1069"/>
      <c r="TZQ284" s="1069"/>
      <c r="TZR284" s="1069"/>
      <c r="TZS284" s="1069"/>
      <c r="TZT284" s="1069"/>
      <c r="TZU284" s="1069"/>
      <c r="TZV284" s="1069"/>
      <c r="TZW284" s="1069"/>
      <c r="TZX284" s="1069"/>
      <c r="TZY284" s="1069"/>
      <c r="TZZ284" s="1069"/>
      <c r="UAA284" s="1069"/>
      <c r="UAB284" s="1069"/>
      <c r="UAC284" s="1069"/>
      <c r="UAD284" s="1069"/>
      <c r="UAE284" s="1069"/>
      <c r="UAF284" s="1069"/>
      <c r="UAG284" s="1069"/>
      <c r="UAH284" s="1069"/>
      <c r="UAI284" s="1069"/>
      <c r="UAJ284" s="1069"/>
      <c r="UAK284" s="1069"/>
      <c r="UAL284" s="1069"/>
      <c r="UAM284" s="1069"/>
      <c r="UAN284" s="1069"/>
      <c r="UAO284" s="1069"/>
      <c r="UAP284" s="1069"/>
      <c r="UAQ284" s="1069"/>
      <c r="UAR284" s="1069"/>
      <c r="UAS284" s="1069"/>
      <c r="UAT284" s="1069"/>
      <c r="UAU284" s="1069"/>
      <c r="UAV284" s="1069"/>
      <c r="UAW284" s="1069"/>
      <c r="UAX284" s="1069"/>
      <c r="UAY284" s="1069"/>
      <c r="UAZ284" s="1069"/>
      <c r="UBA284" s="1069"/>
      <c r="UBB284" s="1069"/>
      <c r="UBC284" s="1069"/>
      <c r="UBD284" s="1069"/>
      <c r="UBE284" s="1069"/>
      <c r="UBF284" s="1069"/>
      <c r="UBG284" s="1069"/>
      <c r="UBH284" s="1069"/>
      <c r="UBI284" s="1069"/>
      <c r="UBJ284" s="1069"/>
      <c r="UBK284" s="1069"/>
      <c r="UBL284" s="1069"/>
      <c r="UBM284" s="1069"/>
      <c r="UBN284" s="1069"/>
      <c r="UBO284" s="1069"/>
      <c r="UBP284" s="1069"/>
      <c r="UBQ284" s="1069"/>
      <c r="UBR284" s="1069"/>
      <c r="UBS284" s="1069"/>
      <c r="UBT284" s="1069"/>
      <c r="UBU284" s="1069"/>
      <c r="UBV284" s="1069"/>
      <c r="UBW284" s="1069"/>
      <c r="UBX284" s="1069"/>
      <c r="UBY284" s="1069"/>
      <c r="UBZ284" s="1069"/>
      <c r="UCA284" s="1069"/>
      <c r="UCB284" s="1069"/>
      <c r="UCC284" s="1069"/>
      <c r="UCD284" s="1069"/>
      <c r="UCE284" s="1069"/>
      <c r="UCF284" s="1069"/>
      <c r="UCG284" s="1069"/>
      <c r="UCH284" s="1069"/>
      <c r="UCI284" s="1069"/>
      <c r="UCJ284" s="1069"/>
      <c r="UCK284" s="1069"/>
      <c r="UCL284" s="1069"/>
      <c r="UCM284" s="1069"/>
      <c r="UCN284" s="1069"/>
      <c r="UCO284" s="1069"/>
      <c r="UCP284" s="1069"/>
      <c r="UCQ284" s="1069"/>
      <c r="UCR284" s="1069"/>
      <c r="UCS284" s="1069"/>
      <c r="UCT284" s="1069"/>
      <c r="UCU284" s="1069"/>
      <c r="UCV284" s="1069"/>
      <c r="UCW284" s="1069"/>
      <c r="UCX284" s="1069"/>
      <c r="UCY284" s="1069"/>
      <c r="UCZ284" s="1069"/>
      <c r="UDA284" s="1069"/>
      <c r="UDB284" s="1069"/>
      <c r="UDC284" s="1069"/>
      <c r="UDD284" s="1069"/>
      <c r="UDE284" s="1069"/>
      <c r="UDF284" s="1069"/>
      <c r="UDG284" s="1069"/>
      <c r="UDH284" s="1069"/>
      <c r="UDI284" s="1069"/>
      <c r="UDJ284" s="1069"/>
      <c r="UDK284" s="1069"/>
      <c r="UDL284" s="1069"/>
      <c r="UDM284" s="1069"/>
      <c r="UDN284" s="1069"/>
      <c r="UDO284" s="1069"/>
      <c r="UDP284" s="1069"/>
      <c r="UDQ284" s="1069"/>
      <c r="UDR284" s="1069"/>
      <c r="UDS284" s="1069"/>
      <c r="UDT284" s="1069"/>
      <c r="UDU284" s="1069"/>
      <c r="UDV284" s="1069"/>
      <c r="UDW284" s="1069"/>
      <c r="UDX284" s="1069"/>
      <c r="UDY284" s="1069"/>
      <c r="UDZ284" s="1069"/>
      <c r="UEA284" s="1069"/>
      <c r="UEB284" s="1069"/>
      <c r="UEC284" s="1069"/>
      <c r="UED284" s="1069"/>
      <c r="UEE284" s="1069"/>
      <c r="UEF284" s="1069"/>
      <c r="UEG284" s="1069"/>
      <c r="UEH284" s="1069"/>
      <c r="UEI284" s="1069"/>
      <c r="UEJ284" s="1069"/>
      <c r="UEK284" s="1069"/>
      <c r="UEL284" s="1069"/>
      <c r="UEM284" s="1069"/>
      <c r="UEN284" s="1069"/>
      <c r="UEO284" s="1069"/>
      <c r="UEP284" s="1069"/>
      <c r="UEQ284" s="1069"/>
      <c r="UER284" s="1069"/>
      <c r="UES284" s="1069"/>
      <c r="UET284" s="1069"/>
      <c r="UEU284" s="1069"/>
      <c r="UEV284" s="1069"/>
      <c r="UEW284" s="1069"/>
      <c r="UEX284" s="1069"/>
      <c r="UEY284" s="1069"/>
      <c r="UEZ284" s="1069"/>
      <c r="UFA284" s="1069"/>
      <c r="UFB284" s="1069"/>
      <c r="UFC284" s="1069"/>
      <c r="UFD284" s="1069"/>
      <c r="UFE284" s="1069"/>
      <c r="UFF284" s="1069"/>
      <c r="UFG284" s="1069"/>
      <c r="UFH284" s="1069"/>
      <c r="UFI284" s="1069"/>
      <c r="UFJ284" s="1069"/>
      <c r="UFK284" s="1069"/>
      <c r="UFL284" s="1069"/>
      <c r="UFM284" s="1069"/>
      <c r="UFN284" s="1069"/>
      <c r="UFO284" s="1069"/>
      <c r="UFP284" s="1069"/>
      <c r="UFQ284" s="1069"/>
      <c r="UFR284" s="1069"/>
      <c r="UFS284" s="1069"/>
      <c r="UFT284" s="1069"/>
      <c r="UFU284" s="1069"/>
      <c r="UFV284" s="1069"/>
      <c r="UFW284" s="1069"/>
      <c r="UFX284" s="1069"/>
      <c r="UFY284" s="1069"/>
      <c r="UFZ284" s="1069"/>
      <c r="UGA284" s="1069"/>
      <c r="UGB284" s="1069"/>
      <c r="UGC284" s="1069"/>
      <c r="UGD284" s="1069"/>
      <c r="UGE284" s="1069"/>
      <c r="UGF284" s="1069"/>
      <c r="UGG284" s="1069"/>
      <c r="UGH284" s="1069"/>
      <c r="UGI284" s="1069"/>
      <c r="UGJ284" s="1069"/>
      <c r="UGK284" s="1069"/>
      <c r="UGL284" s="1069"/>
      <c r="UGM284" s="1069"/>
      <c r="UGN284" s="1069"/>
      <c r="UGO284" s="1069"/>
      <c r="UGP284" s="1069"/>
      <c r="UGQ284" s="1069"/>
      <c r="UGR284" s="1069"/>
      <c r="UGS284" s="1069"/>
      <c r="UGT284" s="1069"/>
      <c r="UGU284" s="1069"/>
      <c r="UGV284" s="1069"/>
      <c r="UGW284" s="1069"/>
      <c r="UGX284" s="1069"/>
      <c r="UGY284" s="1069"/>
      <c r="UGZ284" s="1069"/>
      <c r="UHA284" s="1069"/>
      <c r="UHB284" s="1069"/>
      <c r="UHC284" s="1069"/>
      <c r="UHD284" s="1069"/>
      <c r="UHE284" s="1069"/>
      <c r="UHF284" s="1069"/>
      <c r="UHG284" s="1069"/>
      <c r="UHH284" s="1069"/>
      <c r="UHI284" s="1069"/>
      <c r="UHJ284" s="1069"/>
      <c r="UHK284" s="1069"/>
      <c r="UHL284" s="1069"/>
      <c r="UHM284" s="1069"/>
      <c r="UHN284" s="1069"/>
      <c r="UHO284" s="1069"/>
      <c r="UHP284" s="1069"/>
      <c r="UHQ284" s="1069"/>
      <c r="UHR284" s="1069"/>
      <c r="UHS284" s="1069"/>
      <c r="UHT284" s="1069"/>
      <c r="UHU284" s="1069"/>
      <c r="UHV284" s="1069"/>
      <c r="UHW284" s="1069"/>
      <c r="UHX284" s="1069"/>
      <c r="UHY284" s="1069"/>
      <c r="UHZ284" s="1069"/>
      <c r="UIA284" s="1069"/>
      <c r="UIB284" s="1069"/>
      <c r="UIC284" s="1069"/>
      <c r="UID284" s="1069"/>
      <c r="UIE284" s="1069"/>
      <c r="UIF284" s="1069"/>
      <c r="UIG284" s="1069"/>
      <c r="UIH284" s="1069"/>
      <c r="UII284" s="1069"/>
      <c r="UIJ284" s="1069"/>
      <c r="UIK284" s="1069"/>
      <c r="UIL284" s="1069"/>
      <c r="UIM284" s="1069"/>
      <c r="UIN284" s="1069"/>
      <c r="UIO284" s="1069"/>
      <c r="UIP284" s="1069"/>
      <c r="UIQ284" s="1069"/>
      <c r="UIR284" s="1069"/>
      <c r="UIS284" s="1069"/>
      <c r="UIT284" s="1069"/>
      <c r="UIU284" s="1069"/>
      <c r="UIV284" s="1069"/>
      <c r="UIW284" s="1069"/>
      <c r="UIX284" s="1069"/>
      <c r="UIY284" s="1069"/>
      <c r="UIZ284" s="1069"/>
      <c r="UJA284" s="1069"/>
      <c r="UJB284" s="1069"/>
      <c r="UJC284" s="1069"/>
      <c r="UJD284" s="1069"/>
      <c r="UJE284" s="1069"/>
      <c r="UJF284" s="1069"/>
      <c r="UJG284" s="1069"/>
      <c r="UJH284" s="1069"/>
      <c r="UJI284" s="1069"/>
      <c r="UJJ284" s="1069"/>
      <c r="UJK284" s="1069"/>
      <c r="UJL284" s="1069"/>
      <c r="UJM284" s="1069"/>
      <c r="UJN284" s="1069"/>
      <c r="UJO284" s="1069"/>
      <c r="UJP284" s="1069"/>
      <c r="UJQ284" s="1069"/>
      <c r="UJR284" s="1069"/>
      <c r="UJS284" s="1069"/>
      <c r="UJT284" s="1069"/>
      <c r="UJU284" s="1069"/>
      <c r="UJV284" s="1069"/>
      <c r="UJW284" s="1069"/>
      <c r="UJX284" s="1069"/>
      <c r="UJY284" s="1069"/>
      <c r="UJZ284" s="1069"/>
      <c r="UKA284" s="1069"/>
      <c r="UKB284" s="1069"/>
      <c r="UKC284" s="1069"/>
      <c r="UKD284" s="1069"/>
      <c r="UKE284" s="1069"/>
      <c r="UKF284" s="1069"/>
      <c r="UKG284" s="1069"/>
      <c r="UKH284" s="1069"/>
      <c r="UKI284" s="1069"/>
      <c r="UKJ284" s="1069"/>
      <c r="UKK284" s="1069"/>
      <c r="UKL284" s="1069"/>
      <c r="UKM284" s="1069"/>
      <c r="UKN284" s="1069"/>
      <c r="UKO284" s="1069"/>
      <c r="UKP284" s="1069"/>
      <c r="UKQ284" s="1069"/>
      <c r="UKR284" s="1069"/>
      <c r="UKS284" s="1069"/>
      <c r="UKT284" s="1069"/>
      <c r="UKU284" s="1069"/>
      <c r="UKV284" s="1069"/>
      <c r="UKW284" s="1069"/>
      <c r="UKX284" s="1069"/>
      <c r="UKY284" s="1069"/>
      <c r="UKZ284" s="1069"/>
      <c r="ULA284" s="1069"/>
      <c r="ULB284" s="1069"/>
      <c r="ULC284" s="1069"/>
      <c r="ULD284" s="1069"/>
      <c r="ULE284" s="1069"/>
      <c r="ULF284" s="1069"/>
      <c r="ULG284" s="1069"/>
      <c r="ULH284" s="1069"/>
      <c r="ULI284" s="1069"/>
      <c r="ULJ284" s="1069"/>
      <c r="ULK284" s="1069"/>
      <c r="ULL284" s="1069"/>
      <c r="ULM284" s="1069"/>
      <c r="ULN284" s="1069"/>
      <c r="ULO284" s="1069"/>
      <c r="ULP284" s="1069"/>
      <c r="ULQ284" s="1069"/>
      <c r="ULR284" s="1069"/>
      <c r="ULS284" s="1069"/>
      <c r="ULT284" s="1069"/>
      <c r="ULU284" s="1069"/>
      <c r="ULV284" s="1069"/>
      <c r="ULW284" s="1069"/>
      <c r="ULX284" s="1069"/>
      <c r="ULY284" s="1069"/>
      <c r="ULZ284" s="1069"/>
      <c r="UMA284" s="1069"/>
      <c r="UMB284" s="1069"/>
      <c r="UMC284" s="1069"/>
      <c r="UMD284" s="1069"/>
      <c r="UME284" s="1069"/>
      <c r="UMF284" s="1069"/>
      <c r="UMG284" s="1069"/>
      <c r="UMH284" s="1069"/>
      <c r="UMI284" s="1069"/>
      <c r="UMJ284" s="1069"/>
      <c r="UMK284" s="1069"/>
      <c r="UML284" s="1069"/>
      <c r="UMM284" s="1069"/>
      <c r="UMN284" s="1069"/>
      <c r="UMO284" s="1069"/>
      <c r="UMP284" s="1069"/>
      <c r="UMQ284" s="1069"/>
      <c r="UMR284" s="1069"/>
      <c r="UMS284" s="1069"/>
      <c r="UMT284" s="1069"/>
      <c r="UMU284" s="1069"/>
      <c r="UMV284" s="1069"/>
      <c r="UMW284" s="1069"/>
      <c r="UMX284" s="1069"/>
      <c r="UMY284" s="1069"/>
      <c r="UMZ284" s="1069"/>
      <c r="UNA284" s="1069"/>
      <c r="UNB284" s="1069"/>
      <c r="UNC284" s="1069"/>
      <c r="UND284" s="1069"/>
      <c r="UNE284" s="1069"/>
      <c r="UNF284" s="1069"/>
      <c r="UNG284" s="1069"/>
      <c r="UNH284" s="1069"/>
      <c r="UNI284" s="1069"/>
      <c r="UNJ284" s="1069"/>
      <c r="UNK284" s="1069"/>
      <c r="UNL284" s="1069"/>
      <c r="UNM284" s="1069"/>
      <c r="UNN284" s="1069"/>
      <c r="UNO284" s="1069"/>
      <c r="UNP284" s="1069"/>
      <c r="UNQ284" s="1069"/>
      <c r="UNR284" s="1069"/>
      <c r="UNS284" s="1069"/>
      <c r="UNT284" s="1069"/>
      <c r="UNU284" s="1069"/>
      <c r="UNV284" s="1069"/>
      <c r="UNW284" s="1069"/>
      <c r="UNX284" s="1069"/>
      <c r="UNY284" s="1069"/>
      <c r="UNZ284" s="1069"/>
      <c r="UOA284" s="1069"/>
      <c r="UOB284" s="1069"/>
      <c r="UOC284" s="1069"/>
      <c r="UOD284" s="1069"/>
      <c r="UOE284" s="1069"/>
      <c r="UOF284" s="1069"/>
      <c r="UOG284" s="1069"/>
      <c r="UOH284" s="1069"/>
      <c r="UOI284" s="1069"/>
      <c r="UOJ284" s="1069"/>
      <c r="UOK284" s="1069"/>
      <c r="UOL284" s="1069"/>
      <c r="UOM284" s="1069"/>
      <c r="UON284" s="1069"/>
      <c r="UOO284" s="1069"/>
      <c r="UOP284" s="1069"/>
      <c r="UOQ284" s="1069"/>
      <c r="UOR284" s="1069"/>
      <c r="UOS284" s="1069"/>
      <c r="UOT284" s="1069"/>
      <c r="UOU284" s="1069"/>
      <c r="UOV284" s="1069"/>
      <c r="UOW284" s="1069"/>
      <c r="UOX284" s="1069"/>
      <c r="UOY284" s="1069"/>
      <c r="UOZ284" s="1069"/>
      <c r="UPA284" s="1069"/>
      <c r="UPB284" s="1069"/>
      <c r="UPC284" s="1069"/>
      <c r="UPD284" s="1069"/>
      <c r="UPE284" s="1069"/>
      <c r="UPF284" s="1069"/>
      <c r="UPG284" s="1069"/>
      <c r="UPH284" s="1069"/>
      <c r="UPI284" s="1069"/>
      <c r="UPJ284" s="1069"/>
      <c r="UPK284" s="1069"/>
      <c r="UPL284" s="1069"/>
      <c r="UPM284" s="1069"/>
      <c r="UPN284" s="1069"/>
      <c r="UPO284" s="1069"/>
      <c r="UPP284" s="1069"/>
      <c r="UPQ284" s="1069"/>
      <c r="UPR284" s="1069"/>
      <c r="UPS284" s="1069"/>
      <c r="UPT284" s="1069"/>
      <c r="UPU284" s="1069"/>
      <c r="UPV284" s="1069"/>
      <c r="UPW284" s="1069"/>
      <c r="UPX284" s="1069"/>
      <c r="UPY284" s="1069"/>
      <c r="UPZ284" s="1069"/>
      <c r="UQA284" s="1069"/>
      <c r="UQB284" s="1069"/>
      <c r="UQC284" s="1069"/>
      <c r="UQD284" s="1069"/>
      <c r="UQE284" s="1069"/>
      <c r="UQF284" s="1069"/>
      <c r="UQG284" s="1069"/>
      <c r="UQH284" s="1069"/>
      <c r="UQI284" s="1069"/>
      <c r="UQJ284" s="1069"/>
      <c r="UQK284" s="1069"/>
      <c r="UQL284" s="1069"/>
      <c r="UQM284" s="1069"/>
      <c r="UQN284" s="1069"/>
      <c r="UQO284" s="1069"/>
      <c r="UQP284" s="1069"/>
      <c r="UQQ284" s="1069"/>
      <c r="UQR284" s="1069"/>
      <c r="UQS284" s="1069"/>
      <c r="UQT284" s="1069"/>
      <c r="UQU284" s="1069"/>
      <c r="UQV284" s="1069"/>
      <c r="UQW284" s="1069"/>
      <c r="UQX284" s="1069"/>
      <c r="UQY284" s="1069"/>
      <c r="UQZ284" s="1069"/>
      <c r="URA284" s="1069"/>
      <c r="URB284" s="1069"/>
      <c r="URC284" s="1069"/>
      <c r="URD284" s="1069"/>
      <c r="URE284" s="1069"/>
      <c r="URF284" s="1069"/>
      <c r="URG284" s="1069"/>
      <c r="URH284" s="1069"/>
      <c r="URI284" s="1069"/>
      <c r="URJ284" s="1069"/>
      <c r="URK284" s="1069"/>
      <c r="URL284" s="1069"/>
      <c r="URM284" s="1069"/>
      <c r="URN284" s="1069"/>
      <c r="URO284" s="1069"/>
      <c r="URP284" s="1069"/>
      <c r="URQ284" s="1069"/>
      <c r="URR284" s="1069"/>
      <c r="URS284" s="1069"/>
      <c r="URT284" s="1069"/>
      <c r="URU284" s="1069"/>
      <c r="URV284" s="1069"/>
      <c r="URW284" s="1069"/>
      <c r="URX284" s="1069"/>
      <c r="URY284" s="1069"/>
      <c r="URZ284" s="1069"/>
      <c r="USA284" s="1069"/>
      <c r="USB284" s="1069"/>
      <c r="USC284" s="1069"/>
      <c r="USD284" s="1069"/>
      <c r="USE284" s="1069"/>
      <c r="USF284" s="1069"/>
      <c r="USG284" s="1069"/>
      <c r="USH284" s="1069"/>
      <c r="USI284" s="1069"/>
      <c r="USJ284" s="1069"/>
      <c r="USK284" s="1069"/>
      <c r="USL284" s="1069"/>
      <c r="USM284" s="1069"/>
      <c r="USN284" s="1069"/>
      <c r="USO284" s="1069"/>
      <c r="USP284" s="1069"/>
      <c r="USQ284" s="1069"/>
      <c r="USR284" s="1069"/>
      <c r="USS284" s="1069"/>
      <c r="UST284" s="1069"/>
      <c r="USU284" s="1069"/>
      <c r="USV284" s="1069"/>
      <c r="USW284" s="1069"/>
      <c r="USX284" s="1069"/>
      <c r="USY284" s="1069"/>
      <c r="USZ284" s="1069"/>
      <c r="UTA284" s="1069"/>
      <c r="UTB284" s="1069"/>
      <c r="UTC284" s="1069"/>
      <c r="UTD284" s="1069"/>
      <c r="UTE284" s="1069"/>
      <c r="UTF284" s="1069"/>
      <c r="UTG284" s="1069"/>
      <c r="UTH284" s="1069"/>
      <c r="UTI284" s="1069"/>
      <c r="UTJ284" s="1069"/>
      <c r="UTK284" s="1069"/>
      <c r="UTL284" s="1069"/>
      <c r="UTM284" s="1069"/>
      <c r="UTN284" s="1069"/>
      <c r="UTO284" s="1069"/>
      <c r="UTP284" s="1069"/>
      <c r="UTQ284" s="1069"/>
      <c r="UTR284" s="1069"/>
      <c r="UTS284" s="1069"/>
      <c r="UTT284" s="1069"/>
      <c r="UTU284" s="1069"/>
      <c r="UTV284" s="1069"/>
      <c r="UTW284" s="1069"/>
      <c r="UTX284" s="1069"/>
      <c r="UTY284" s="1069"/>
      <c r="UTZ284" s="1069"/>
      <c r="UUA284" s="1069"/>
      <c r="UUB284" s="1069"/>
      <c r="UUC284" s="1069"/>
      <c r="UUD284" s="1069"/>
      <c r="UUE284" s="1069"/>
      <c r="UUF284" s="1069"/>
      <c r="UUG284" s="1069"/>
      <c r="UUH284" s="1069"/>
      <c r="UUI284" s="1069"/>
      <c r="UUJ284" s="1069"/>
      <c r="UUK284" s="1069"/>
      <c r="UUL284" s="1069"/>
      <c r="UUM284" s="1069"/>
      <c r="UUN284" s="1069"/>
      <c r="UUO284" s="1069"/>
      <c r="UUP284" s="1069"/>
      <c r="UUQ284" s="1069"/>
      <c r="UUR284" s="1069"/>
      <c r="UUS284" s="1069"/>
      <c r="UUT284" s="1069"/>
      <c r="UUU284" s="1069"/>
      <c r="UUV284" s="1069"/>
      <c r="UUW284" s="1069"/>
      <c r="UUX284" s="1069"/>
      <c r="UUY284" s="1069"/>
      <c r="UUZ284" s="1069"/>
      <c r="UVA284" s="1069"/>
      <c r="UVB284" s="1069"/>
      <c r="UVC284" s="1069"/>
      <c r="UVD284" s="1069"/>
      <c r="UVE284" s="1069"/>
      <c r="UVF284" s="1069"/>
      <c r="UVG284" s="1069"/>
      <c r="UVH284" s="1069"/>
      <c r="UVI284" s="1069"/>
      <c r="UVJ284" s="1069"/>
      <c r="UVK284" s="1069"/>
      <c r="UVL284" s="1069"/>
      <c r="UVM284" s="1069"/>
      <c r="UVN284" s="1069"/>
      <c r="UVO284" s="1069"/>
      <c r="UVP284" s="1069"/>
      <c r="UVQ284" s="1069"/>
      <c r="UVR284" s="1069"/>
      <c r="UVS284" s="1069"/>
      <c r="UVT284" s="1069"/>
      <c r="UVU284" s="1069"/>
      <c r="UVV284" s="1069"/>
      <c r="UVW284" s="1069"/>
      <c r="UVX284" s="1069"/>
      <c r="UVY284" s="1069"/>
      <c r="UVZ284" s="1069"/>
      <c r="UWA284" s="1069"/>
      <c r="UWB284" s="1069"/>
      <c r="UWC284" s="1069"/>
      <c r="UWD284" s="1069"/>
      <c r="UWE284" s="1069"/>
      <c r="UWF284" s="1069"/>
      <c r="UWG284" s="1069"/>
      <c r="UWH284" s="1069"/>
      <c r="UWI284" s="1069"/>
      <c r="UWJ284" s="1069"/>
      <c r="UWK284" s="1069"/>
      <c r="UWL284" s="1069"/>
      <c r="UWM284" s="1069"/>
      <c r="UWN284" s="1069"/>
      <c r="UWO284" s="1069"/>
      <c r="UWP284" s="1069"/>
      <c r="UWQ284" s="1069"/>
      <c r="UWR284" s="1069"/>
      <c r="UWS284" s="1069"/>
      <c r="UWT284" s="1069"/>
      <c r="UWU284" s="1069"/>
      <c r="UWV284" s="1069"/>
      <c r="UWW284" s="1069"/>
      <c r="UWX284" s="1069"/>
      <c r="UWY284" s="1069"/>
      <c r="UWZ284" s="1069"/>
      <c r="UXA284" s="1069"/>
      <c r="UXB284" s="1069"/>
      <c r="UXC284" s="1069"/>
      <c r="UXD284" s="1069"/>
      <c r="UXE284" s="1069"/>
      <c r="UXF284" s="1069"/>
      <c r="UXG284" s="1069"/>
      <c r="UXH284" s="1069"/>
      <c r="UXI284" s="1069"/>
      <c r="UXJ284" s="1069"/>
      <c r="UXK284" s="1069"/>
      <c r="UXL284" s="1069"/>
      <c r="UXM284" s="1069"/>
      <c r="UXN284" s="1069"/>
      <c r="UXO284" s="1069"/>
      <c r="UXP284" s="1069"/>
      <c r="UXQ284" s="1069"/>
      <c r="UXR284" s="1069"/>
      <c r="UXS284" s="1069"/>
      <c r="UXT284" s="1069"/>
      <c r="UXU284" s="1069"/>
      <c r="UXV284" s="1069"/>
      <c r="UXW284" s="1069"/>
      <c r="UXX284" s="1069"/>
      <c r="UXY284" s="1069"/>
      <c r="UXZ284" s="1069"/>
      <c r="UYA284" s="1069"/>
      <c r="UYB284" s="1069"/>
      <c r="UYC284" s="1069"/>
      <c r="UYD284" s="1069"/>
      <c r="UYE284" s="1069"/>
      <c r="UYF284" s="1069"/>
      <c r="UYG284" s="1069"/>
      <c r="UYH284" s="1069"/>
      <c r="UYI284" s="1069"/>
      <c r="UYJ284" s="1069"/>
      <c r="UYK284" s="1069"/>
      <c r="UYL284" s="1069"/>
      <c r="UYM284" s="1069"/>
      <c r="UYN284" s="1069"/>
      <c r="UYO284" s="1069"/>
      <c r="UYP284" s="1069"/>
      <c r="UYQ284" s="1069"/>
      <c r="UYR284" s="1069"/>
      <c r="UYS284" s="1069"/>
      <c r="UYT284" s="1069"/>
      <c r="UYU284" s="1069"/>
      <c r="UYV284" s="1069"/>
      <c r="UYW284" s="1069"/>
      <c r="UYX284" s="1069"/>
      <c r="UYY284" s="1069"/>
      <c r="UYZ284" s="1069"/>
      <c r="UZA284" s="1069"/>
      <c r="UZB284" s="1069"/>
      <c r="UZC284" s="1069"/>
      <c r="UZD284" s="1069"/>
      <c r="UZE284" s="1069"/>
      <c r="UZF284" s="1069"/>
      <c r="UZG284" s="1069"/>
      <c r="UZH284" s="1069"/>
      <c r="UZI284" s="1069"/>
      <c r="UZJ284" s="1069"/>
      <c r="UZK284" s="1069"/>
      <c r="UZL284" s="1069"/>
      <c r="UZM284" s="1069"/>
      <c r="UZN284" s="1069"/>
      <c r="UZO284" s="1069"/>
      <c r="UZP284" s="1069"/>
      <c r="UZQ284" s="1069"/>
      <c r="UZR284" s="1069"/>
      <c r="UZS284" s="1069"/>
      <c r="UZT284" s="1069"/>
      <c r="UZU284" s="1069"/>
      <c r="UZV284" s="1069"/>
      <c r="UZW284" s="1069"/>
      <c r="UZX284" s="1069"/>
      <c r="UZY284" s="1069"/>
      <c r="UZZ284" s="1069"/>
      <c r="VAA284" s="1069"/>
      <c r="VAB284" s="1069"/>
      <c r="VAC284" s="1069"/>
      <c r="VAD284" s="1069"/>
      <c r="VAE284" s="1069"/>
      <c r="VAF284" s="1069"/>
      <c r="VAG284" s="1069"/>
      <c r="VAH284" s="1069"/>
      <c r="VAI284" s="1069"/>
      <c r="VAJ284" s="1069"/>
      <c r="VAK284" s="1069"/>
      <c r="VAL284" s="1069"/>
      <c r="VAM284" s="1069"/>
      <c r="VAN284" s="1069"/>
      <c r="VAO284" s="1069"/>
      <c r="VAP284" s="1069"/>
      <c r="VAQ284" s="1069"/>
      <c r="VAR284" s="1069"/>
      <c r="VAS284" s="1069"/>
      <c r="VAT284" s="1069"/>
      <c r="VAU284" s="1069"/>
      <c r="VAV284" s="1069"/>
      <c r="VAW284" s="1069"/>
      <c r="VAX284" s="1069"/>
      <c r="VAY284" s="1069"/>
      <c r="VAZ284" s="1069"/>
      <c r="VBA284" s="1069"/>
      <c r="VBB284" s="1069"/>
      <c r="VBC284" s="1069"/>
      <c r="VBD284" s="1069"/>
      <c r="VBE284" s="1069"/>
      <c r="VBF284" s="1069"/>
      <c r="VBG284" s="1069"/>
      <c r="VBH284" s="1069"/>
      <c r="VBI284" s="1069"/>
      <c r="VBJ284" s="1069"/>
      <c r="VBK284" s="1069"/>
      <c r="VBL284" s="1069"/>
      <c r="VBM284" s="1069"/>
      <c r="VBN284" s="1069"/>
      <c r="VBO284" s="1069"/>
      <c r="VBP284" s="1069"/>
      <c r="VBQ284" s="1069"/>
      <c r="VBR284" s="1069"/>
      <c r="VBS284" s="1069"/>
      <c r="VBT284" s="1069"/>
      <c r="VBU284" s="1069"/>
      <c r="VBV284" s="1069"/>
      <c r="VBW284" s="1069"/>
      <c r="VBX284" s="1069"/>
      <c r="VBY284" s="1069"/>
      <c r="VBZ284" s="1069"/>
      <c r="VCA284" s="1069"/>
      <c r="VCB284" s="1069"/>
      <c r="VCC284" s="1069"/>
      <c r="VCD284" s="1069"/>
      <c r="VCE284" s="1069"/>
      <c r="VCF284" s="1069"/>
      <c r="VCG284" s="1069"/>
      <c r="VCH284" s="1069"/>
      <c r="VCI284" s="1069"/>
      <c r="VCJ284" s="1069"/>
      <c r="VCK284" s="1069"/>
      <c r="VCL284" s="1069"/>
      <c r="VCM284" s="1069"/>
      <c r="VCN284" s="1069"/>
      <c r="VCO284" s="1069"/>
      <c r="VCP284" s="1069"/>
      <c r="VCQ284" s="1069"/>
      <c r="VCR284" s="1069"/>
      <c r="VCS284" s="1069"/>
      <c r="VCT284" s="1069"/>
      <c r="VCU284" s="1069"/>
      <c r="VCV284" s="1069"/>
      <c r="VCW284" s="1069"/>
      <c r="VCX284" s="1069"/>
      <c r="VCY284" s="1069"/>
      <c r="VCZ284" s="1069"/>
      <c r="VDA284" s="1069"/>
      <c r="VDB284" s="1069"/>
      <c r="VDC284" s="1069"/>
      <c r="VDD284" s="1069"/>
      <c r="VDE284" s="1069"/>
      <c r="VDF284" s="1069"/>
      <c r="VDG284" s="1069"/>
      <c r="VDH284" s="1069"/>
      <c r="VDI284" s="1069"/>
      <c r="VDJ284" s="1069"/>
      <c r="VDK284" s="1069"/>
      <c r="VDL284" s="1069"/>
      <c r="VDM284" s="1069"/>
      <c r="VDN284" s="1069"/>
      <c r="VDO284" s="1069"/>
      <c r="VDP284" s="1069"/>
      <c r="VDQ284" s="1069"/>
      <c r="VDR284" s="1069"/>
      <c r="VDS284" s="1069"/>
      <c r="VDT284" s="1069"/>
      <c r="VDU284" s="1069"/>
      <c r="VDV284" s="1069"/>
      <c r="VDW284" s="1069"/>
      <c r="VDX284" s="1069"/>
      <c r="VDY284" s="1069"/>
      <c r="VDZ284" s="1069"/>
      <c r="VEA284" s="1069"/>
      <c r="VEB284" s="1069"/>
      <c r="VEC284" s="1069"/>
      <c r="VED284" s="1069"/>
      <c r="VEE284" s="1069"/>
      <c r="VEF284" s="1069"/>
      <c r="VEG284" s="1069"/>
      <c r="VEH284" s="1069"/>
      <c r="VEI284" s="1069"/>
      <c r="VEJ284" s="1069"/>
      <c r="VEK284" s="1069"/>
      <c r="VEL284" s="1069"/>
      <c r="VEM284" s="1069"/>
      <c r="VEN284" s="1069"/>
      <c r="VEO284" s="1069"/>
      <c r="VEP284" s="1069"/>
      <c r="VEQ284" s="1069"/>
      <c r="VER284" s="1069"/>
      <c r="VES284" s="1069"/>
      <c r="VET284" s="1069"/>
      <c r="VEU284" s="1069"/>
      <c r="VEV284" s="1069"/>
      <c r="VEW284" s="1069"/>
      <c r="VEX284" s="1069"/>
      <c r="VEY284" s="1069"/>
      <c r="VEZ284" s="1069"/>
      <c r="VFA284" s="1069"/>
      <c r="VFB284" s="1069"/>
      <c r="VFC284" s="1069"/>
      <c r="VFD284" s="1069"/>
      <c r="VFE284" s="1069"/>
      <c r="VFF284" s="1069"/>
      <c r="VFG284" s="1069"/>
      <c r="VFH284" s="1069"/>
      <c r="VFI284" s="1069"/>
      <c r="VFJ284" s="1069"/>
      <c r="VFK284" s="1069"/>
      <c r="VFL284" s="1069"/>
      <c r="VFM284" s="1069"/>
      <c r="VFN284" s="1069"/>
      <c r="VFO284" s="1069"/>
      <c r="VFP284" s="1069"/>
      <c r="VFQ284" s="1069"/>
      <c r="VFR284" s="1069"/>
      <c r="VFS284" s="1069"/>
      <c r="VFT284" s="1069"/>
      <c r="VFU284" s="1069"/>
      <c r="VFV284" s="1069"/>
      <c r="VFW284" s="1069"/>
      <c r="VFX284" s="1069"/>
      <c r="VFY284" s="1069"/>
      <c r="VFZ284" s="1069"/>
      <c r="VGA284" s="1069"/>
      <c r="VGB284" s="1069"/>
      <c r="VGC284" s="1069"/>
      <c r="VGD284" s="1069"/>
      <c r="VGE284" s="1069"/>
      <c r="VGF284" s="1069"/>
      <c r="VGG284" s="1069"/>
      <c r="VGH284" s="1069"/>
      <c r="VGI284" s="1069"/>
      <c r="VGJ284" s="1069"/>
      <c r="VGK284" s="1069"/>
      <c r="VGL284" s="1069"/>
      <c r="VGM284" s="1069"/>
      <c r="VGN284" s="1069"/>
      <c r="VGO284" s="1069"/>
      <c r="VGP284" s="1069"/>
      <c r="VGQ284" s="1069"/>
      <c r="VGR284" s="1069"/>
      <c r="VGS284" s="1069"/>
      <c r="VGT284" s="1069"/>
      <c r="VGU284" s="1069"/>
      <c r="VGV284" s="1069"/>
      <c r="VGW284" s="1069"/>
      <c r="VGX284" s="1069"/>
      <c r="VGY284" s="1069"/>
      <c r="VGZ284" s="1069"/>
      <c r="VHA284" s="1069"/>
      <c r="VHB284" s="1069"/>
      <c r="VHC284" s="1069"/>
      <c r="VHD284" s="1069"/>
      <c r="VHE284" s="1069"/>
      <c r="VHF284" s="1069"/>
      <c r="VHG284" s="1069"/>
      <c r="VHH284" s="1069"/>
      <c r="VHI284" s="1069"/>
      <c r="VHJ284" s="1069"/>
      <c r="VHK284" s="1069"/>
      <c r="VHL284" s="1069"/>
      <c r="VHM284" s="1069"/>
      <c r="VHN284" s="1069"/>
      <c r="VHO284" s="1069"/>
      <c r="VHP284" s="1069"/>
      <c r="VHQ284" s="1069"/>
      <c r="VHR284" s="1069"/>
      <c r="VHS284" s="1069"/>
      <c r="VHT284" s="1069"/>
      <c r="VHU284" s="1069"/>
      <c r="VHV284" s="1069"/>
      <c r="VHW284" s="1069"/>
      <c r="VHX284" s="1069"/>
      <c r="VHY284" s="1069"/>
      <c r="VHZ284" s="1069"/>
      <c r="VIA284" s="1069"/>
      <c r="VIB284" s="1069"/>
      <c r="VIC284" s="1069"/>
      <c r="VID284" s="1069"/>
      <c r="VIE284" s="1069"/>
      <c r="VIF284" s="1069"/>
      <c r="VIG284" s="1069"/>
      <c r="VIH284" s="1069"/>
      <c r="VII284" s="1069"/>
      <c r="VIJ284" s="1069"/>
      <c r="VIK284" s="1069"/>
      <c r="VIL284" s="1069"/>
      <c r="VIM284" s="1069"/>
      <c r="VIN284" s="1069"/>
      <c r="VIO284" s="1069"/>
      <c r="VIP284" s="1069"/>
      <c r="VIQ284" s="1069"/>
      <c r="VIR284" s="1069"/>
      <c r="VIS284" s="1069"/>
      <c r="VIT284" s="1069"/>
      <c r="VIU284" s="1069"/>
      <c r="VIV284" s="1069"/>
      <c r="VIW284" s="1069"/>
      <c r="VIX284" s="1069"/>
      <c r="VIY284" s="1069"/>
      <c r="VIZ284" s="1069"/>
      <c r="VJA284" s="1069"/>
      <c r="VJB284" s="1069"/>
      <c r="VJC284" s="1069"/>
      <c r="VJD284" s="1069"/>
      <c r="VJE284" s="1069"/>
      <c r="VJF284" s="1069"/>
      <c r="VJG284" s="1069"/>
      <c r="VJH284" s="1069"/>
      <c r="VJI284" s="1069"/>
      <c r="VJJ284" s="1069"/>
      <c r="VJK284" s="1069"/>
      <c r="VJL284" s="1069"/>
      <c r="VJM284" s="1069"/>
      <c r="VJN284" s="1069"/>
      <c r="VJO284" s="1069"/>
      <c r="VJP284" s="1069"/>
      <c r="VJQ284" s="1069"/>
      <c r="VJR284" s="1069"/>
      <c r="VJS284" s="1069"/>
      <c r="VJT284" s="1069"/>
      <c r="VJU284" s="1069"/>
      <c r="VJV284" s="1069"/>
      <c r="VJW284" s="1069"/>
      <c r="VJX284" s="1069"/>
      <c r="VJY284" s="1069"/>
      <c r="VJZ284" s="1069"/>
      <c r="VKA284" s="1069"/>
      <c r="VKB284" s="1069"/>
      <c r="VKC284" s="1069"/>
      <c r="VKD284" s="1069"/>
      <c r="VKE284" s="1069"/>
      <c r="VKF284" s="1069"/>
      <c r="VKG284" s="1069"/>
      <c r="VKH284" s="1069"/>
      <c r="VKI284" s="1069"/>
      <c r="VKJ284" s="1069"/>
      <c r="VKK284" s="1069"/>
      <c r="VKL284" s="1069"/>
      <c r="VKM284" s="1069"/>
      <c r="VKN284" s="1069"/>
      <c r="VKO284" s="1069"/>
      <c r="VKP284" s="1069"/>
      <c r="VKQ284" s="1069"/>
      <c r="VKR284" s="1069"/>
      <c r="VKS284" s="1069"/>
      <c r="VKT284" s="1069"/>
      <c r="VKU284" s="1069"/>
      <c r="VKV284" s="1069"/>
      <c r="VKW284" s="1069"/>
      <c r="VKX284" s="1069"/>
      <c r="VKY284" s="1069"/>
      <c r="VKZ284" s="1069"/>
      <c r="VLA284" s="1069"/>
      <c r="VLB284" s="1069"/>
      <c r="VLC284" s="1069"/>
      <c r="VLD284" s="1069"/>
      <c r="VLE284" s="1069"/>
      <c r="VLF284" s="1069"/>
      <c r="VLG284" s="1069"/>
      <c r="VLH284" s="1069"/>
      <c r="VLI284" s="1069"/>
      <c r="VLJ284" s="1069"/>
      <c r="VLK284" s="1069"/>
      <c r="VLL284" s="1069"/>
      <c r="VLM284" s="1069"/>
      <c r="VLN284" s="1069"/>
      <c r="VLO284" s="1069"/>
      <c r="VLP284" s="1069"/>
      <c r="VLQ284" s="1069"/>
      <c r="VLR284" s="1069"/>
      <c r="VLS284" s="1069"/>
      <c r="VLT284" s="1069"/>
      <c r="VLU284" s="1069"/>
      <c r="VLV284" s="1069"/>
      <c r="VLW284" s="1069"/>
      <c r="VLX284" s="1069"/>
      <c r="VLY284" s="1069"/>
      <c r="VLZ284" s="1069"/>
      <c r="VMA284" s="1069"/>
      <c r="VMB284" s="1069"/>
      <c r="VMC284" s="1069"/>
      <c r="VMD284" s="1069"/>
      <c r="VME284" s="1069"/>
      <c r="VMF284" s="1069"/>
      <c r="VMG284" s="1069"/>
      <c r="VMH284" s="1069"/>
      <c r="VMI284" s="1069"/>
      <c r="VMJ284" s="1069"/>
      <c r="VMK284" s="1069"/>
      <c r="VML284" s="1069"/>
      <c r="VMM284" s="1069"/>
      <c r="VMN284" s="1069"/>
      <c r="VMO284" s="1069"/>
      <c r="VMP284" s="1069"/>
      <c r="VMQ284" s="1069"/>
      <c r="VMR284" s="1069"/>
      <c r="VMS284" s="1069"/>
      <c r="VMT284" s="1069"/>
      <c r="VMU284" s="1069"/>
      <c r="VMV284" s="1069"/>
      <c r="VMW284" s="1069"/>
      <c r="VMX284" s="1069"/>
      <c r="VMY284" s="1069"/>
      <c r="VMZ284" s="1069"/>
      <c r="VNA284" s="1069"/>
      <c r="VNB284" s="1069"/>
      <c r="VNC284" s="1069"/>
      <c r="VND284" s="1069"/>
      <c r="VNE284" s="1069"/>
      <c r="VNF284" s="1069"/>
      <c r="VNG284" s="1069"/>
      <c r="VNH284" s="1069"/>
      <c r="VNI284" s="1069"/>
      <c r="VNJ284" s="1069"/>
      <c r="VNK284" s="1069"/>
      <c r="VNL284" s="1069"/>
      <c r="VNM284" s="1069"/>
      <c r="VNN284" s="1069"/>
      <c r="VNO284" s="1069"/>
      <c r="VNP284" s="1069"/>
      <c r="VNQ284" s="1069"/>
      <c r="VNR284" s="1069"/>
      <c r="VNS284" s="1069"/>
      <c r="VNT284" s="1069"/>
      <c r="VNU284" s="1069"/>
      <c r="VNV284" s="1069"/>
      <c r="VNW284" s="1069"/>
      <c r="VNX284" s="1069"/>
      <c r="VNY284" s="1069"/>
      <c r="VNZ284" s="1069"/>
      <c r="VOA284" s="1069"/>
      <c r="VOB284" s="1069"/>
      <c r="VOC284" s="1069"/>
      <c r="VOD284" s="1069"/>
      <c r="VOE284" s="1069"/>
      <c r="VOF284" s="1069"/>
      <c r="VOG284" s="1069"/>
      <c r="VOH284" s="1069"/>
      <c r="VOI284" s="1069"/>
      <c r="VOJ284" s="1069"/>
      <c r="VOK284" s="1069"/>
      <c r="VOL284" s="1069"/>
      <c r="VOM284" s="1069"/>
      <c r="VON284" s="1069"/>
      <c r="VOO284" s="1069"/>
      <c r="VOP284" s="1069"/>
      <c r="VOQ284" s="1069"/>
      <c r="VOR284" s="1069"/>
      <c r="VOS284" s="1069"/>
      <c r="VOT284" s="1069"/>
      <c r="VOU284" s="1069"/>
      <c r="VOV284" s="1069"/>
      <c r="VOW284" s="1069"/>
      <c r="VOX284" s="1069"/>
      <c r="VOY284" s="1069"/>
      <c r="VOZ284" s="1069"/>
      <c r="VPA284" s="1069"/>
      <c r="VPB284" s="1069"/>
      <c r="VPC284" s="1069"/>
      <c r="VPD284" s="1069"/>
      <c r="VPE284" s="1069"/>
      <c r="VPF284" s="1069"/>
      <c r="VPG284" s="1069"/>
      <c r="VPH284" s="1069"/>
      <c r="VPI284" s="1069"/>
      <c r="VPJ284" s="1069"/>
      <c r="VPK284" s="1069"/>
      <c r="VPL284" s="1069"/>
      <c r="VPM284" s="1069"/>
      <c r="VPN284" s="1069"/>
      <c r="VPO284" s="1069"/>
      <c r="VPP284" s="1069"/>
      <c r="VPQ284" s="1069"/>
      <c r="VPR284" s="1069"/>
      <c r="VPS284" s="1069"/>
      <c r="VPT284" s="1069"/>
      <c r="VPU284" s="1069"/>
      <c r="VPV284" s="1069"/>
      <c r="VPW284" s="1069"/>
      <c r="VPX284" s="1069"/>
      <c r="VPY284" s="1069"/>
      <c r="VPZ284" s="1069"/>
      <c r="VQA284" s="1069"/>
      <c r="VQB284" s="1069"/>
      <c r="VQC284" s="1069"/>
      <c r="VQD284" s="1069"/>
      <c r="VQE284" s="1069"/>
      <c r="VQF284" s="1069"/>
      <c r="VQG284" s="1069"/>
      <c r="VQH284" s="1069"/>
      <c r="VQI284" s="1069"/>
      <c r="VQJ284" s="1069"/>
      <c r="VQK284" s="1069"/>
      <c r="VQL284" s="1069"/>
      <c r="VQM284" s="1069"/>
      <c r="VQN284" s="1069"/>
      <c r="VQO284" s="1069"/>
      <c r="VQP284" s="1069"/>
      <c r="VQQ284" s="1069"/>
      <c r="VQR284" s="1069"/>
      <c r="VQS284" s="1069"/>
      <c r="VQT284" s="1069"/>
      <c r="VQU284" s="1069"/>
      <c r="VQV284" s="1069"/>
      <c r="VQW284" s="1069"/>
      <c r="VQX284" s="1069"/>
      <c r="VQY284" s="1069"/>
      <c r="VQZ284" s="1069"/>
      <c r="VRA284" s="1069"/>
      <c r="VRB284" s="1069"/>
      <c r="VRC284" s="1069"/>
      <c r="VRD284" s="1069"/>
      <c r="VRE284" s="1069"/>
      <c r="VRF284" s="1069"/>
      <c r="VRG284" s="1069"/>
      <c r="VRH284" s="1069"/>
      <c r="VRI284" s="1069"/>
      <c r="VRJ284" s="1069"/>
      <c r="VRK284" s="1069"/>
      <c r="VRL284" s="1069"/>
      <c r="VRM284" s="1069"/>
      <c r="VRN284" s="1069"/>
      <c r="VRO284" s="1069"/>
      <c r="VRP284" s="1069"/>
      <c r="VRQ284" s="1069"/>
      <c r="VRR284" s="1069"/>
      <c r="VRS284" s="1069"/>
      <c r="VRT284" s="1069"/>
      <c r="VRU284" s="1069"/>
      <c r="VRV284" s="1069"/>
      <c r="VRW284" s="1069"/>
      <c r="VRX284" s="1069"/>
      <c r="VRY284" s="1069"/>
      <c r="VRZ284" s="1069"/>
      <c r="VSA284" s="1069"/>
      <c r="VSB284" s="1069"/>
      <c r="VSC284" s="1069"/>
      <c r="VSD284" s="1069"/>
      <c r="VSE284" s="1069"/>
      <c r="VSF284" s="1069"/>
      <c r="VSG284" s="1069"/>
      <c r="VSH284" s="1069"/>
      <c r="VSI284" s="1069"/>
      <c r="VSJ284" s="1069"/>
      <c r="VSK284" s="1069"/>
      <c r="VSL284" s="1069"/>
      <c r="VSM284" s="1069"/>
      <c r="VSN284" s="1069"/>
      <c r="VSO284" s="1069"/>
      <c r="VSP284" s="1069"/>
      <c r="VSQ284" s="1069"/>
      <c r="VSR284" s="1069"/>
      <c r="VSS284" s="1069"/>
      <c r="VST284" s="1069"/>
      <c r="VSU284" s="1069"/>
      <c r="VSV284" s="1069"/>
      <c r="VSW284" s="1069"/>
      <c r="VSX284" s="1069"/>
      <c r="VSY284" s="1069"/>
      <c r="VSZ284" s="1069"/>
      <c r="VTA284" s="1069"/>
      <c r="VTB284" s="1069"/>
      <c r="VTC284" s="1069"/>
      <c r="VTD284" s="1069"/>
      <c r="VTE284" s="1069"/>
      <c r="VTF284" s="1069"/>
      <c r="VTG284" s="1069"/>
      <c r="VTH284" s="1069"/>
      <c r="VTI284" s="1069"/>
      <c r="VTJ284" s="1069"/>
      <c r="VTK284" s="1069"/>
      <c r="VTL284" s="1069"/>
      <c r="VTM284" s="1069"/>
      <c r="VTN284" s="1069"/>
      <c r="VTO284" s="1069"/>
      <c r="VTP284" s="1069"/>
      <c r="VTQ284" s="1069"/>
      <c r="VTR284" s="1069"/>
      <c r="VTS284" s="1069"/>
      <c r="VTT284" s="1069"/>
      <c r="VTU284" s="1069"/>
      <c r="VTV284" s="1069"/>
      <c r="VTW284" s="1069"/>
      <c r="VTX284" s="1069"/>
      <c r="VTY284" s="1069"/>
      <c r="VTZ284" s="1069"/>
      <c r="VUA284" s="1069"/>
      <c r="VUB284" s="1069"/>
      <c r="VUC284" s="1069"/>
      <c r="VUD284" s="1069"/>
      <c r="VUE284" s="1069"/>
      <c r="VUF284" s="1069"/>
      <c r="VUG284" s="1069"/>
      <c r="VUH284" s="1069"/>
      <c r="VUI284" s="1069"/>
      <c r="VUJ284" s="1069"/>
      <c r="VUK284" s="1069"/>
      <c r="VUL284" s="1069"/>
      <c r="VUM284" s="1069"/>
      <c r="VUN284" s="1069"/>
      <c r="VUO284" s="1069"/>
      <c r="VUP284" s="1069"/>
      <c r="VUQ284" s="1069"/>
      <c r="VUR284" s="1069"/>
      <c r="VUS284" s="1069"/>
      <c r="VUT284" s="1069"/>
      <c r="VUU284" s="1069"/>
      <c r="VUV284" s="1069"/>
      <c r="VUW284" s="1069"/>
      <c r="VUX284" s="1069"/>
      <c r="VUY284" s="1069"/>
      <c r="VUZ284" s="1069"/>
      <c r="VVA284" s="1069"/>
      <c r="VVB284" s="1069"/>
      <c r="VVC284" s="1069"/>
      <c r="VVD284" s="1069"/>
      <c r="VVE284" s="1069"/>
      <c r="VVF284" s="1069"/>
      <c r="VVG284" s="1069"/>
      <c r="VVH284" s="1069"/>
      <c r="VVI284" s="1069"/>
      <c r="VVJ284" s="1069"/>
      <c r="VVK284" s="1069"/>
      <c r="VVL284" s="1069"/>
      <c r="VVM284" s="1069"/>
      <c r="VVN284" s="1069"/>
      <c r="VVO284" s="1069"/>
      <c r="VVP284" s="1069"/>
      <c r="VVQ284" s="1069"/>
      <c r="VVR284" s="1069"/>
      <c r="VVS284" s="1069"/>
      <c r="VVT284" s="1069"/>
      <c r="VVU284" s="1069"/>
      <c r="VVV284" s="1069"/>
      <c r="VVW284" s="1069"/>
      <c r="VVX284" s="1069"/>
      <c r="VVY284" s="1069"/>
      <c r="VVZ284" s="1069"/>
      <c r="VWA284" s="1069"/>
      <c r="VWB284" s="1069"/>
      <c r="VWC284" s="1069"/>
      <c r="VWD284" s="1069"/>
      <c r="VWE284" s="1069"/>
      <c r="VWF284" s="1069"/>
      <c r="VWG284" s="1069"/>
      <c r="VWH284" s="1069"/>
      <c r="VWI284" s="1069"/>
      <c r="VWJ284" s="1069"/>
      <c r="VWK284" s="1069"/>
      <c r="VWL284" s="1069"/>
      <c r="VWM284" s="1069"/>
      <c r="VWN284" s="1069"/>
      <c r="VWO284" s="1069"/>
      <c r="VWP284" s="1069"/>
      <c r="VWQ284" s="1069"/>
      <c r="VWR284" s="1069"/>
      <c r="VWS284" s="1069"/>
      <c r="VWT284" s="1069"/>
      <c r="VWU284" s="1069"/>
      <c r="VWV284" s="1069"/>
      <c r="VWW284" s="1069"/>
      <c r="VWX284" s="1069"/>
      <c r="VWY284" s="1069"/>
      <c r="VWZ284" s="1069"/>
      <c r="VXA284" s="1069"/>
      <c r="VXB284" s="1069"/>
      <c r="VXC284" s="1069"/>
      <c r="VXD284" s="1069"/>
      <c r="VXE284" s="1069"/>
      <c r="VXF284" s="1069"/>
      <c r="VXG284" s="1069"/>
      <c r="VXH284" s="1069"/>
      <c r="VXI284" s="1069"/>
      <c r="VXJ284" s="1069"/>
      <c r="VXK284" s="1069"/>
      <c r="VXL284" s="1069"/>
      <c r="VXM284" s="1069"/>
      <c r="VXN284" s="1069"/>
      <c r="VXO284" s="1069"/>
      <c r="VXP284" s="1069"/>
      <c r="VXQ284" s="1069"/>
      <c r="VXR284" s="1069"/>
      <c r="VXS284" s="1069"/>
      <c r="VXT284" s="1069"/>
      <c r="VXU284" s="1069"/>
      <c r="VXV284" s="1069"/>
      <c r="VXW284" s="1069"/>
      <c r="VXX284" s="1069"/>
      <c r="VXY284" s="1069"/>
      <c r="VXZ284" s="1069"/>
      <c r="VYA284" s="1069"/>
      <c r="VYB284" s="1069"/>
      <c r="VYC284" s="1069"/>
      <c r="VYD284" s="1069"/>
      <c r="VYE284" s="1069"/>
      <c r="VYF284" s="1069"/>
      <c r="VYG284" s="1069"/>
      <c r="VYH284" s="1069"/>
      <c r="VYI284" s="1069"/>
      <c r="VYJ284" s="1069"/>
      <c r="VYK284" s="1069"/>
      <c r="VYL284" s="1069"/>
      <c r="VYM284" s="1069"/>
      <c r="VYN284" s="1069"/>
      <c r="VYO284" s="1069"/>
      <c r="VYP284" s="1069"/>
      <c r="VYQ284" s="1069"/>
      <c r="VYR284" s="1069"/>
      <c r="VYS284" s="1069"/>
      <c r="VYT284" s="1069"/>
      <c r="VYU284" s="1069"/>
      <c r="VYV284" s="1069"/>
      <c r="VYW284" s="1069"/>
      <c r="VYX284" s="1069"/>
      <c r="VYY284" s="1069"/>
      <c r="VYZ284" s="1069"/>
      <c r="VZA284" s="1069"/>
      <c r="VZB284" s="1069"/>
      <c r="VZC284" s="1069"/>
      <c r="VZD284" s="1069"/>
      <c r="VZE284" s="1069"/>
      <c r="VZF284" s="1069"/>
      <c r="VZG284" s="1069"/>
      <c r="VZH284" s="1069"/>
      <c r="VZI284" s="1069"/>
      <c r="VZJ284" s="1069"/>
      <c r="VZK284" s="1069"/>
      <c r="VZL284" s="1069"/>
      <c r="VZM284" s="1069"/>
      <c r="VZN284" s="1069"/>
      <c r="VZO284" s="1069"/>
      <c r="VZP284" s="1069"/>
      <c r="VZQ284" s="1069"/>
      <c r="VZR284" s="1069"/>
      <c r="VZS284" s="1069"/>
      <c r="VZT284" s="1069"/>
      <c r="VZU284" s="1069"/>
      <c r="VZV284" s="1069"/>
      <c r="VZW284" s="1069"/>
      <c r="VZX284" s="1069"/>
      <c r="VZY284" s="1069"/>
      <c r="VZZ284" s="1069"/>
      <c r="WAA284" s="1069"/>
      <c r="WAB284" s="1069"/>
      <c r="WAC284" s="1069"/>
      <c r="WAD284" s="1069"/>
      <c r="WAE284" s="1069"/>
      <c r="WAF284" s="1069"/>
      <c r="WAG284" s="1069"/>
      <c r="WAH284" s="1069"/>
      <c r="WAI284" s="1069"/>
      <c r="WAJ284" s="1069"/>
      <c r="WAK284" s="1069"/>
      <c r="WAL284" s="1069"/>
      <c r="WAM284" s="1069"/>
      <c r="WAN284" s="1069"/>
      <c r="WAO284" s="1069"/>
      <c r="WAP284" s="1069"/>
      <c r="WAQ284" s="1069"/>
      <c r="WAR284" s="1069"/>
      <c r="WAS284" s="1069"/>
      <c r="WAT284" s="1069"/>
      <c r="WAU284" s="1069"/>
      <c r="WAV284" s="1069"/>
      <c r="WAW284" s="1069"/>
      <c r="WAX284" s="1069"/>
      <c r="WAY284" s="1069"/>
      <c r="WAZ284" s="1069"/>
      <c r="WBA284" s="1069"/>
      <c r="WBB284" s="1069"/>
      <c r="WBC284" s="1069"/>
      <c r="WBD284" s="1069"/>
      <c r="WBE284" s="1069"/>
      <c r="WBF284" s="1069"/>
      <c r="WBG284" s="1069"/>
      <c r="WBH284" s="1069"/>
      <c r="WBI284" s="1069"/>
      <c r="WBJ284" s="1069"/>
      <c r="WBK284" s="1069"/>
      <c r="WBL284" s="1069"/>
      <c r="WBM284" s="1069"/>
      <c r="WBN284" s="1069"/>
      <c r="WBO284" s="1069"/>
      <c r="WBP284" s="1069"/>
      <c r="WBQ284" s="1069"/>
      <c r="WBR284" s="1069"/>
      <c r="WBS284" s="1069"/>
      <c r="WBT284" s="1069"/>
      <c r="WBU284" s="1069"/>
      <c r="WBV284" s="1069"/>
      <c r="WBW284" s="1069"/>
      <c r="WBX284" s="1069"/>
      <c r="WBY284" s="1069"/>
      <c r="WBZ284" s="1069"/>
      <c r="WCA284" s="1069"/>
      <c r="WCB284" s="1069"/>
      <c r="WCC284" s="1069"/>
      <c r="WCD284" s="1069"/>
      <c r="WCE284" s="1069"/>
      <c r="WCF284" s="1069"/>
      <c r="WCG284" s="1069"/>
      <c r="WCH284" s="1069"/>
      <c r="WCI284" s="1069"/>
      <c r="WCJ284" s="1069"/>
      <c r="WCK284" s="1069"/>
      <c r="WCL284" s="1069"/>
      <c r="WCM284" s="1069"/>
      <c r="WCN284" s="1069"/>
      <c r="WCO284" s="1069"/>
      <c r="WCP284" s="1069"/>
      <c r="WCQ284" s="1069"/>
      <c r="WCR284" s="1069"/>
      <c r="WCS284" s="1069"/>
      <c r="WCT284" s="1069"/>
      <c r="WCU284" s="1069"/>
      <c r="WCV284" s="1069"/>
      <c r="WCW284" s="1069"/>
      <c r="WCX284" s="1069"/>
      <c r="WCY284" s="1069"/>
      <c r="WCZ284" s="1069"/>
      <c r="WDA284" s="1069"/>
      <c r="WDB284" s="1069"/>
      <c r="WDC284" s="1069"/>
      <c r="WDD284" s="1069"/>
      <c r="WDE284" s="1069"/>
      <c r="WDF284" s="1069"/>
      <c r="WDG284" s="1069"/>
      <c r="WDH284" s="1069"/>
      <c r="WDI284" s="1069"/>
      <c r="WDJ284" s="1069"/>
      <c r="WDK284" s="1069"/>
      <c r="WDL284" s="1069"/>
      <c r="WDM284" s="1069"/>
      <c r="WDN284" s="1069"/>
      <c r="WDO284" s="1069"/>
      <c r="WDP284" s="1069"/>
      <c r="WDQ284" s="1069"/>
      <c r="WDR284" s="1069"/>
      <c r="WDS284" s="1069"/>
      <c r="WDT284" s="1069"/>
      <c r="WDU284" s="1069"/>
      <c r="WDV284" s="1069"/>
      <c r="WDW284" s="1069"/>
      <c r="WDX284" s="1069"/>
      <c r="WDY284" s="1069"/>
      <c r="WDZ284" s="1069"/>
      <c r="WEA284" s="1069"/>
      <c r="WEB284" s="1069"/>
      <c r="WEC284" s="1069"/>
      <c r="WED284" s="1069"/>
      <c r="WEE284" s="1069"/>
      <c r="WEF284" s="1069"/>
      <c r="WEG284" s="1069"/>
      <c r="WEH284" s="1069"/>
      <c r="WEI284" s="1069"/>
      <c r="WEJ284" s="1069"/>
      <c r="WEK284" s="1069"/>
      <c r="WEL284" s="1069"/>
      <c r="WEM284" s="1069"/>
      <c r="WEN284" s="1069"/>
      <c r="WEO284" s="1069"/>
      <c r="WEP284" s="1069"/>
      <c r="WEQ284" s="1069"/>
      <c r="WER284" s="1069"/>
      <c r="WES284" s="1069"/>
      <c r="WET284" s="1069"/>
      <c r="WEU284" s="1069"/>
      <c r="WEV284" s="1069"/>
      <c r="WEW284" s="1069"/>
      <c r="WEX284" s="1069"/>
      <c r="WEY284" s="1069"/>
      <c r="WEZ284" s="1069"/>
      <c r="WFA284" s="1069"/>
      <c r="WFB284" s="1069"/>
      <c r="WFC284" s="1069"/>
      <c r="WFD284" s="1069"/>
      <c r="WFE284" s="1069"/>
      <c r="WFF284" s="1069"/>
      <c r="WFG284" s="1069"/>
      <c r="WFH284" s="1069"/>
      <c r="WFI284" s="1069"/>
      <c r="WFJ284" s="1069"/>
      <c r="WFK284" s="1069"/>
      <c r="WFL284" s="1069"/>
      <c r="WFM284" s="1069"/>
      <c r="WFN284" s="1069"/>
      <c r="WFO284" s="1069"/>
      <c r="WFP284" s="1069"/>
      <c r="WFQ284" s="1069"/>
      <c r="WFR284" s="1069"/>
      <c r="WFS284" s="1069"/>
      <c r="WFT284" s="1069"/>
      <c r="WFU284" s="1069"/>
      <c r="WFV284" s="1069"/>
      <c r="WFW284" s="1069"/>
      <c r="WFX284" s="1069"/>
      <c r="WFY284" s="1069"/>
      <c r="WFZ284" s="1069"/>
      <c r="WGA284" s="1069"/>
      <c r="WGB284" s="1069"/>
      <c r="WGC284" s="1069"/>
      <c r="WGD284" s="1069"/>
      <c r="WGE284" s="1069"/>
      <c r="WGF284" s="1069"/>
      <c r="WGG284" s="1069"/>
      <c r="WGH284" s="1069"/>
      <c r="WGI284" s="1069"/>
      <c r="WGJ284" s="1069"/>
      <c r="WGK284" s="1069"/>
      <c r="WGL284" s="1069"/>
      <c r="WGM284" s="1069"/>
      <c r="WGN284" s="1069"/>
      <c r="WGO284" s="1069"/>
      <c r="WGP284" s="1069"/>
      <c r="WGQ284" s="1069"/>
      <c r="WGR284" s="1069"/>
      <c r="WGS284" s="1069"/>
      <c r="WGT284" s="1069"/>
      <c r="WGU284" s="1069"/>
      <c r="WGV284" s="1069"/>
      <c r="WGW284" s="1069"/>
      <c r="WGX284" s="1069"/>
      <c r="WGY284" s="1069"/>
      <c r="WGZ284" s="1069"/>
      <c r="WHA284" s="1069"/>
      <c r="WHB284" s="1069"/>
      <c r="WHC284" s="1069"/>
      <c r="WHD284" s="1069"/>
      <c r="WHE284" s="1069"/>
      <c r="WHF284" s="1069"/>
      <c r="WHG284" s="1069"/>
      <c r="WHH284" s="1069"/>
      <c r="WHI284" s="1069"/>
      <c r="WHJ284" s="1069"/>
      <c r="WHK284" s="1069"/>
      <c r="WHL284" s="1069"/>
      <c r="WHM284" s="1069"/>
      <c r="WHN284" s="1069"/>
      <c r="WHO284" s="1069"/>
      <c r="WHP284" s="1069"/>
      <c r="WHQ284" s="1069"/>
      <c r="WHR284" s="1069"/>
      <c r="WHS284" s="1069"/>
      <c r="WHT284" s="1069"/>
      <c r="WHU284" s="1069"/>
      <c r="WHV284" s="1069"/>
      <c r="WHW284" s="1069"/>
      <c r="WHX284" s="1069"/>
      <c r="WHY284" s="1069"/>
      <c r="WHZ284" s="1069"/>
      <c r="WIA284" s="1069"/>
      <c r="WIB284" s="1069"/>
      <c r="WIC284" s="1069"/>
      <c r="WID284" s="1069"/>
      <c r="WIE284" s="1069"/>
      <c r="WIF284" s="1069"/>
      <c r="WIG284" s="1069"/>
      <c r="WIH284" s="1069"/>
      <c r="WII284" s="1069"/>
      <c r="WIJ284" s="1069"/>
      <c r="WIK284" s="1069"/>
      <c r="WIL284" s="1069"/>
      <c r="WIM284" s="1069"/>
      <c r="WIN284" s="1069"/>
      <c r="WIO284" s="1069"/>
      <c r="WIP284" s="1069"/>
      <c r="WIQ284" s="1069"/>
      <c r="WIR284" s="1069"/>
      <c r="WIS284" s="1069"/>
      <c r="WIT284" s="1069"/>
      <c r="WIU284" s="1069"/>
      <c r="WIV284" s="1069"/>
      <c r="WIW284" s="1069"/>
      <c r="WIX284" s="1069"/>
      <c r="WIY284" s="1069"/>
      <c r="WIZ284" s="1069"/>
      <c r="WJA284" s="1069"/>
      <c r="WJB284" s="1069"/>
      <c r="WJC284" s="1069"/>
      <c r="WJD284" s="1069"/>
      <c r="WJE284" s="1069"/>
      <c r="WJF284" s="1069"/>
      <c r="WJG284" s="1069"/>
      <c r="WJH284" s="1069"/>
      <c r="WJI284" s="1069"/>
      <c r="WJJ284" s="1069"/>
      <c r="WJK284" s="1069"/>
      <c r="WJL284" s="1069"/>
      <c r="WJM284" s="1069"/>
      <c r="WJN284" s="1069"/>
      <c r="WJO284" s="1069"/>
      <c r="WJP284" s="1069"/>
      <c r="WJQ284" s="1069"/>
      <c r="WJR284" s="1069"/>
      <c r="WJS284" s="1069"/>
      <c r="WJT284" s="1069"/>
      <c r="WJU284" s="1069"/>
      <c r="WJV284" s="1069"/>
      <c r="WJW284" s="1069"/>
      <c r="WJX284" s="1069"/>
      <c r="WJY284" s="1069"/>
      <c r="WJZ284" s="1069"/>
      <c r="WKA284" s="1069"/>
      <c r="WKB284" s="1069"/>
      <c r="WKC284" s="1069"/>
      <c r="WKD284" s="1069"/>
      <c r="WKE284" s="1069"/>
      <c r="WKF284" s="1069"/>
      <c r="WKG284" s="1069"/>
      <c r="WKH284" s="1069"/>
      <c r="WKI284" s="1069"/>
      <c r="WKJ284" s="1069"/>
      <c r="WKK284" s="1069"/>
      <c r="WKL284" s="1069"/>
      <c r="WKM284" s="1069"/>
      <c r="WKN284" s="1069"/>
      <c r="WKO284" s="1069"/>
      <c r="WKP284" s="1069"/>
      <c r="WKQ284" s="1069"/>
      <c r="WKR284" s="1069"/>
      <c r="WKS284" s="1069"/>
      <c r="WKT284" s="1069"/>
      <c r="WKU284" s="1069"/>
      <c r="WKV284" s="1069"/>
      <c r="WKW284" s="1069"/>
      <c r="WKX284" s="1069"/>
      <c r="WKY284" s="1069"/>
      <c r="WKZ284" s="1069"/>
      <c r="WLA284" s="1069"/>
      <c r="WLB284" s="1069"/>
      <c r="WLC284" s="1069"/>
      <c r="WLD284" s="1069"/>
      <c r="WLE284" s="1069"/>
      <c r="WLF284" s="1069"/>
      <c r="WLG284" s="1069"/>
      <c r="WLH284" s="1069"/>
      <c r="WLI284" s="1069"/>
      <c r="WLJ284" s="1069"/>
      <c r="WLK284" s="1069"/>
      <c r="WLL284" s="1069"/>
      <c r="WLM284" s="1069"/>
      <c r="WLN284" s="1069"/>
      <c r="WLO284" s="1069"/>
      <c r="WLP284" s="1069"/>
      <c r="WLQ284" s="1069"/>
      <c r="WLR284" s="1069"/>
      <c r="WLS284" s="1069"/>
      <c r="WLT284" s="1069"/>
      <c r="WLU284" s="1069"/>
      <c r="WLV284" s="1069"/>
      <c r="WLW284" s="1069"/>
      <c r="WLX284" s="1069"/>
      <c r="WLY284" s="1069"/>
      <c r="WLZ284" s="1069"/>
      <c r="WMA284" s="1069"/>
      <c r="WMB284" s="1069"/>
      <c r="WMC284" s="1069"/>
      <c r="WMD284" s="1069"/>
      <c r="WME284" s="1069"/>
      <c r="WMF284" s="1069"/>
      <c r="WMG284" s="1069"/>
      <c r="WMH284" s="1069"/>
      <c r="WMI284" s="1069"/>
      <c r="WMJ284" s="1069"/>
      <c r="WMK284" s="1069"/>
      <c r="WML284" s="1069"/>
      <c r="WMM284" s="1069"/>
      <c r="WMN284" s="1069"/>
      <c r="WMO284" s="1069"/>
      <c r="WMP284" s="1069"/>
      <c r="WMQ284" s="1069"/>
      <c r="WMR284" s="1069"/>
      <c r="WMS284" s="1069"/>
      <c r="WMT284" s="1069"/>
      <c r="WMU284" s="1069"/>
      <c r="WMV284" s="1069"/>
      <c r="WMW284" s="1069"/>
      <c r="WMX284" s="1069"/>
      <c r="WMY284" s="1069"/>
      <c r="WMZ284" s="1069"/>
      <c r="WNA284" s="1069"/>
      <c r="WNB284" s="1069"/>
      <c r="WNC284" s="1069"/>
      <c r="WND284" s="1069"/>
      <c r="WNE284" s="1069"/>
      <c r="WNF284" s="1069"/>
      <c r="WNG284" s="1069"/>
      <c r="WNH284" s="1069"/>
      <c r="WNI284" s="1069"/>
      <c r="WNJ284" s="1069"/>
      <c r="WNK284" s="1069"/>
      <c r="WNL284" s="1069"/>
      <c r="WNM284" s="1069"/>
      <c r="WNN284" s="1069"/>
      <c r="WNO284" s="1069"/>
      <c r="WNP284" s="1069"/>
      <c r="WNQ284" s="1069"/>
      <c r="WNR284" s="1069"/>
      <c r="WNS284" s="1069"/>
      <c r="WNT284" s="1069"/>
      <c r="WNU284" s="1069"/>
      <c r="WNV284" s="1069"/>
      <c r="WNW284" s="1069"/>
      <c r="WNX284" s="1069"/>
      <c r="WNY284" s="1069"/>
      <c r="WNZ284" s="1069"/>
      <c r="WOA284" s="1069"/>
      <c r="WOB284" s="1069"/>
      <c r="WOC284" s="1069"/>
      <c r="WOD284" s="1069"/>
      <c r="WOE284" s="1069"/>
      <c r="WOF284" s="1069"/>
      <c r="WOG284" s="1069"/>
      <c r="WOH284" s="1069"/>
      <c r="WOI284" s="1069"/>
      <c r="WOJ284" s="1069"/>
      <c r="WOK284" s="1069"/>
      <c r="WOL284" s="1069"/>
      <c r="WOM284" s="1069"/>
      <c r="WON284" s="1069"/>
      <c r="WOO284" s="1069"/>
      <c r="WOP284" s="1069"/>
      <c r="WOQ284" s="1069"/>
      <c r="WOR284" s="1069"/>
      <c r="WOS284" s="1069"/>
      <c r="WOT284" s="1069"/>
      <c r="WOU284" s="1069"/>
      <c r="WOV284" s="1069"/>
      <c r="WOW284" s="1069"/>
      <c r="WOX284" s="1069"/>
      <c r="WOY284" s="1069"/>
      <c r="WOZ284" s="1069"/>
      <c r="WPA284" s="1069"/>
      <c r="WPB284" s="1069"/>
      <c r="WPC284" s="1069"/>
      <c r="WPD284" s="1069"/>
      <c r="WPE284" s="1069"/>
      <c r="WPF284" s="1069"/>
      <c r="WPG284" s="1069"/>
      <c r="WPH284" s="1069"/>
      <c r="WPI284" s="1069"/>
      <c r="WPJ284" s="1069"/>
      <c r="WPK284" s="1069"/>
      <c r="WPL284" s="1069"/>
      <c r="WPM284" s="1069"/>
      <c r="WPN284" s="1069"/>
      <c r="WPO284" s="1069"/>
      <c r="WPP284" s="1069"/>
      <c r="WPQ284" s="1069"/>
      <c r="WPR284" s="1069"/>
      <c r="WPS284" s="1069"/>
      <c r="WPT284" s="1069"/>
      <c r="WPU284" s="1069"/>
      <c r="WPV284" s="1069"/>
      <c r="WPW284" s="1069"/>
      <c r="WPX284" s="1069"/>
      <c r="WPY284" s="1069"/>
      <c r="WPZ284" s="1069"/>
      <c r="WQA284" s="1069"/>
      <c r="WQB284" s="1069"/>
      <c r="WQC284" s="1069"/>
      <c r="WQD284" s="1069"/>
      <c r="WQE284" s="1069"/>
      <c r="WQF284" s="1069"/>
      <c r="WQG284" s="1069"/>
      <c r="WQH284" s="1069"/>
      <c r="WQI284" s="1069"/>
      <c r="WQJ284" s="1069"/>
      <c r="WQK284" s="1069"/>
      <c r="WQL284" s="1069"/>
      <c r="WQM284" s="1069"/>
      <c r="WQN284" s="1069"/>
      <c r="WQO284" s="1069"/>
      <c r="WQP284" s="1069"/>
      <c r="WQQ284" s="1069"/>
      <c r="WQR284" s="1069"/>
      <c r="WQS284" s="1069"/>
      <c r="WQT284" s="1069"/>
      <c r="WQU284" s="1069"/>
      <c r="WQV284" s="1069"/>
      <c r="WQW284" s="1069"/>
      <c r="WQX284" s="1069"/>
      <c r="WQY284" s="1069"/>
      <c r="WQZ284" s="1069"/>
      <c r="WRA284" s="1069"/>
      <c r="WRB284" s="1069"/>
      <c r="WRC284" s="1069"/>
      <c r="WRD284" s="1069"/>
      <c r="WRE284" s="1069"/>
      <c r="WRF284" s="1069"/>
      <c r="WRG284" s="1069"/>
      <c r="WRH284" s="1069"/>
      <c r="WRI284" s="1069"/>
      <c r="WRJ284" s="1069"/>
      <c r="WRK284" s="1069"/>
      <c r="WRL284" s="1069"/>
      <c r="WRM284" s="1069"/>
      <c r="WRN284" s="1069"/>
      <c r="WRO284" s="1069"/>
      <c r="WRP284" s="1069"/>
      <c r="WRQ284" s="1069"/>
      <c r="WRR284" s="1069"/>
      <c r="WRS284" s="1069"/>
      <c r="WRT284" s="1069"/>
      <c r="WRU284" s="1069"/>
      <c r="WRV284" s="1069"/>
      <c r="WRW284" s="1069"/>
      <c r="WRX284" s="1069"/>
      <c r="WRY284" s="1069"/>
      <c r="WRZ284" s="1069"/>
      <c r="WSA284" s="1069"/>
      <c r="WSB284" s="1069"/>
      <c r="WSC284" s="1069"/>
      <c r="WSD284" s="1069"/>
      <c r="WSE284" s="1069"/>
      <c r="WSF284" s="1069"/>
      <c r="WSG284" s="1069"/>
      <c r="WSH284" s="1069"/>
      <c r="WSI284" s="1069"/>
      <c r="WSJ284" s="1069"/>
      <c r="WSK284" s="1069"/>
      <c r="WSL284" s="1069"/>
      <c r="WSM284" s="1069"/>
      <c r="WSN284" s="1069"/>
      <c r="WSO284" s="1069"/>
      <c r="WSP284" s="1069"/>
      <c r="WSQ284" s="1069"/>
      <c r="WSR284" s="1069"/>
      <c r="WSS284" s="1069"/>
      <c r="WST284" s="1069"/>
      <c r="WSU284" s="1069"/>
      <c r="WSV284" s="1069"/>
      <c r="WSW284" s="1069"/>
      <c r="WSX284" s="1069"/>
      <c r="WSY284" s="1069"/>
      <c r="WSZ284" s="1069"/>
      <c r="WTA284" s="1069"/>
      <c r="WTB284" s="1069"/>
      <c r="WTC284" s="1069"/>
      <c r="WTD284" s="1069"/>
      <c r="WTE284" s="1069"/>
      <c r="WTF284" s="1069"/>
      <c r="WTG284" s="1069"/>
      <c r="WTH284" s="1069"/>
      <c r="WTI284" s="1069"/>
      <c r="WTJ284" s="1069"/>
      <c r="WTK284" s="1069"/>
      <c r="WTL284" s="1069"/>
      <c r="WTM284" s="1069"/>
      <c r="WTN284" s="1069"/>
      <c r="WTO284" s="1069"/>
      <c r="WTP284" s="1069"/>
      <c r="WTQ284" s="1069"/>
      <c r="WTR284" s="1069"/>
      <c r="WTS284" s="1069"/>
      <c r="WTT284" s="1069"/>
      <c r="WTU284" s="1069"/>
      <c r="WTV284" s="1069"/>
      <c r="WTW284" s="1069"/>
      <c r="WTX284" s="1069"/>
      <c r="WTY284" s="1069"/>
      <c r="WTZ284" s="1069"/>
      <c r="WUA284" s="1069"/>
      <c r="WUB284" s="1069"/>
      <c r="WUC284" s="1069"/>
      <c r="WUD284" s="1069"/>
      <c r="WUE284" s="1069"/>
      <c r="WUF284" s="1069"/>
      <c r="WUG284" s="1069"/>
      <c r="WUH284" s="1069"/>
      <c r="WUI284" s="1069"/>
      <c r="WUJ284" s="1069"/>
      <c r="WUK284" s="1069"/>
      <c r="WUL284" s="1069"/>
      <c r="WUM284" s="1069"/>
      <c r="WUN284" s="1069"/>
      <c r="WUO284" s="1069"/>
      <c r="WUP284" s="1069"/>
      <c r="WUQ284" s="1069"/>
      <c r="WUR284" s="1069"/>
      <c r="WUS284" s="1069"/>
      <c r="WUT284" s="1069"/>
      <c r="WUU284" s="1069"/>
      <c r="WUV284" s="1069"/>
      <c r="WUW284" s="1069"/>
      <c r="WUX284" s="1069"/>
      <c r="WUY284" s="1069"/>
      <c r="WUZ284" s="1069"/>
      <c r="WVA284" s="1069"/>
      <c r="WVB284" s="1069"/>
      <c r="WVC284" s="1069"/>
      <c r="WVD284" s="1069"/>
      <c r="WVE284" s="1069"/>
      <c r="WVF284" s="1069"/>
      <c r="WVG284" s="1069"/>
      <c r="WVH284" s="1069"/>
      <c r="WVI284" s="1069"/>
      <c r="WVJ284" s="1069"/>
      <c r="WVK284" s="1069"/>
      <c r="WVL284" s="1069"/>
      <c r="WVM284" s="1069"/>
      <c r="WVN284" s="1069"/>
      <c r="WVO284" s="1069"/>
      <c r="WVP284" s="1069"/>
      <c r="WVQ284" s="1069"/>
      <c r="WVR284" s="1069"/>
      <c r="WVS284" s="1069"/>
      <c r="WVT284" s="1069"/>
      <c r="WVU284" s="1069"/>
      <c r="WVV284" s="1069"/>
      <c r="WVW284" s="1069"/>
      <c r="WVX284" s="1069"/>
      <c r="WVY284" s="1069"/>
      <c r="WVZ284" s="1069"/>
      <c r="WWA284" s="1069"/>
      <c r="WWB284" s="1069"/>
      <c r="WWC284" s="1069"/>
      <c r="WWD284" s="1069"/>
      <c r="WWE284" s="1069"/>
      <c r="WWF284" s="1069"/>
      <c r="WWG284" s="1069"/>
      <c r="WWH284" s="1069"/>
      <c r="WWI284" s="1069"/>
      <c r="WWJ284" s="1069"/>
      <c r="WWK284" s="1069"/>
      <c r="WWL284" s="1069"/>
      <c r="WWM284" s="1069"/>
      <c r="WWN284" s="1069"/>
      <c r="WWO284" s="1069"/>
      <c r="WWP284" s="1069"/>
      <c r="WWQ284" s="1069"/>
      <c r="WWR284" s="1069"/>
      <c r="WWS284" s="1069"/>
      <c r="WWT284" s="1069"/>
      <c r="WWU284" s="1069"/>
      <c r="WWV284" s="1069"/>
      <c r="WWW284" s="1069"/>
      <c r="WWX284" s="1069"/>
      <c r="WWY284" s="1069"/>
      <c r="WWZ284" s="1069"/>
      <c r="WXA284" s="1069"/>
      <c r="WXB284" s="1069"/>
      <c r="WXC284" s="1069"/>
      <c r="WXD284" s="1069"/>
      <c r="WXE284" s="1069"/>
      <c r="WXF284" s="1069"/>
      <c r="WXG284" s="1069"/>
      <c r="WXH284" s="1069"/>
      <c r="WXI284" s="1069"/>
      <c r="WXJ284" s="1069"/>
      <c r="WXK284" s="1069"/>
      <c r="WXL284" s="1069"/>
      <c r="WXM284" s="1069"/>
      <c r="WXN284" s="1069"/>
      <c r="WXO284" s="1069"/>
      <c r="WXP284" s="1069"/>
      <c r="WXQ284" s="1069"/>
      <c r="WXR284" s="1069"/>
      <c r="WXS284" s="1069"/>
      <c r="WXT284" s="1069"/>
      <c r="WXU284" s="1069"/>
      <c r="WXV284" s="1069"/>
      <c r="WXW284" s="1069"/>
      <c r="WXX284" s="1069"/>
      <c r="WXY284" s="1069"/>
      <c r="WXZ284" s="1069"/>
      <c r="WYA284" s="1069"/>
      <c r="WYB284" s="1069"/>
      <c r="WYC284" s="1069"/>
      <c r="WYD284" s="1069"/>
      <c r="WYE284" s="1069"/>
      <c r="WYF284" s="1069"/>
      <c r="WYG284" s="1069"/>
      <c r="WYH284" s="1069"/>
      <c r="WYI284" s="1069"/>
      <c r="WYJ284" s="1069"/>
      <c r="WYK284" s="1069"/>
      <c r="WYL284" s="1069"/>
      <c r="WYM284" s="1069"/>
      <c r="WYN284" s="1069"/>
      <c r="WYO284" s="1069"/>
      <c r="WYP284" s="1069"/>
      <c r="WYQ284" s="1069"/>
      <c r="WYR284" s="1069"/>
      <c r="WYS284" s="1069"/>
      <c r="WYT284" s="1069"/>
      <c r="WYU284" s="1069"/>
      <c r="WYV284" s="1069"/>
      <c r="WYW284" s="1069"/>
      <c r="WYX284" s="1069"/>
      <c r="WYY284" s="1069"/>
      <c r="WYZ284" s="1069"/>
      <c r="WZA284" s="1069"/>
      <c r="WZB284" s="1069"/>
      <c r="WZC284" s="1069"/>
      <c r="WZD284" s="1069"/>
      <c r="WZE284" s="1069"/>
      <c r="WZF284" s="1069"/>
      <c r="WZG284" s="1069"/>
      <c r="WZH284" s="1069"/>
      <c r="WZI284" s="1069"/>
      <c r="WZJ284" s="1069"/>
      <c r="WZK284" s="1069"/>
      <c r="WZL284" s="1069"/>
      <c r="WZM284" s="1069"/>
      <c r="WZN284" s="1069"/>
      <c r="WZO284" s="1069"/>
      <c r="WZP284" s="1069"/>
      <c r="WZQ284" s="1069"/>
      <c r="WZR284" s="1069"/>
      <c r="WZS284" s="1069"/>
      <c r="WZT284" s="1069"/>
      <c r="WZU284" s="1069"/>
      <c r="WZV284" s="1069"/>
      <c r="WZW284" s="1069"/>
      <c r="WZX284" s="1069"/>
      <c r="WZY284" s="1069"/>
      <c r="WZZ284" s="1069"/>
      <c r="XAA284" s="1069"/>
      <c r="XAB284" s="1069"/>
      <c r="XAC284" s="1069"/>
      <c r="XAD284" s="1069"/>
      <c r="XAE284" s="1069"/>
      <c r="XAF284" s="1069"/>
      <c r="XAG284" s="1069"/>
      <c r="XAH284" s="1069"/>
      <c r="XAI284" s="1069"/>
      <c r="XAJ284" s="1069"/>
      <c r="XAK284" s="1069"/>
      <c r="XAL284" s="1069"/>
      <c r="XAM284" s="1069"/>
      <c r="XAN284" s="1069"/>
      <c r="XAO284" s="1069"/>
      <c r="XAP284" s="1069"/>
      <c r="XAQ284" s="1069"/>
      <c r="XAR284" s="1069"/>
      <c r="XAS284" s="1069"/>
      <c r="XAT284" s="1069"/>
      <c r="XAU284" s="1069"/>
      <c r="XAV284" s="1069"/>
      <c r="XAW284" s="1069"/>
      <c r="XAX284" s="1069"/>
      <c r="XAY284" s="1069"/>
      <c r="XAZ284" s="1069"/>
      <c r="XBA284" s="1069"/>
      <c r="XBB284" s="1069"/>
      <c r="XBC284" s="1069"/>
      <c r="XBD284" s="1069"/>
      <c r="XBE284" s="1069"/>
      <c r="XBF284" s="1069"/>
      <c r="XBG284" s="1069"/>
      <c r="XBH284" s="1069"/>
      <c r="XBI284" s="1069"/>
      <c r="XBJ284" s="1069"/>
      <c r="XBK284" s="1069"/>
      <c r="XBL284" s="1069"/>
      <c r="XBM284" s="1069"/>
      <c r="XBN284" s="1069"/>
      <c r="XBO284" s="1069"/>
      <c r="XBP284" s="1069"/>
      <c r="XBQ284" s="1069"/>
      <c r="XBR284" s="1069"/>
      <c r="XBS284" s="1069"/>
      <c r="XBT284" s="1069"/>
      <c r="XBU284" s="1069"/>
      <c r="XBV284" s="1069"/>
      <c r="XBW284" s="1069"/>
      <c r="XBX284" s="1069"/>
      <c r="XBY284" s="1069"/>
      <c r="XBZ284" s="1069"/>
      <c r="XCA284" s="1069"/>
      <c r="XCB284" s="1069"/>
      <c r="XCC284" s="1069"/>
      <c r="XCD284" s="1069"/>
      <c r="XCE284" s="1069"/>
      <c r="XCF284" s="1069"/>
      <c r="XCG284" s="1069"/>
      <c r="XCH284" s="1069"/>
      <c r="XCI284" s="1069"/>
      <c r="XCJ284" s="1069"/>
      <c r="XCK284" s="1069"/>
      <c r="XCL284" s="1069"/>
      <c r="XCM284" s="1069"/>
      <c r="XCN284" s="1069"/>
      <c r="XCO284" s="1069"/>
      <c r="XCP284" s="1069"/>
      <c r="XCQ284" s="1069"/>
      <c r="XCR284" s="1069"/>
      <c r="XCS284" s="1069"/>
      <c r="XCT284" s="1069"/>
      <c r="XCU284" s="1069"/>
      <c r="XCV284" s="1069"/>
      <c r="XCW284" s="1069"/>
      <c r="XCX284" s="1069"/>
      <c r="XCY284" s="1069"/>
      <c r="XCZ284" s="1069"/>
      <c r="XDA284" s="1069"/>
      <c r="XDB284" s="1069"/>
      <c r="XDC284" s="1069"/>
      <c r="XDD284" s="1069"/>
      <c r="XDE284" s="1069"/>
      <c r="XDF284" s="1069"/>
      <c r="XDG284" s="1069"/>
      <c r="XDH284" s="1069"/>
      <c r="XDI284" s="1069"/>
      <c r="XDJ284" s="1069"/>
      <c r="XDK284" s="1069"/>
      <c r="XDL284" s="1069"/>
      <c r="XDM284" s="1069"/>
      <c r="XDN284" s="1069"/>
      <c r="XDO284" s="1069"/>
      <c r="XDP284" s="1069"/>
      <c r="XDQ284" s="1069"/>
      <c r="XDR284" s="1069"/>
      <c r="XDS284" s="1069"/>
      <c r="XDT284" s="1069"/>
      <c r="XDU284" s="1069"/>
      <c r="XDV284" s="1069"/>
      <c r="XDW284" s="1069"/>
      <c r="XDX284" s="1069"/>
      <c r="XDY284" s="1069"/>
      <c r="XDZ284" s="1069"/>
      <c r="XEA284" s="1069"/>
      <c r="XEB284" s="1069"/>
      <c r="XEC284" s="1069"/>
    </row>
    <row r="285" spans="1:16357" s="1072" customFormat="1" ht="12.75" hidden="1" customHeight="1" outlineLevel="1" x14ac:dyDescent="0.35">
      <c r="A285" s="1104" t="s">
        <v>710</v>
      </c>
      <c r="B285" s="438"/>
      <c r="C285" s="1138"/>
      <c r="D285" s="1139"/>
      <c r="E285" s="1139"/>
      <c r="F285" s="1140"/>
      <c r="G285" s="438"/>
      <c r="H285" s="1138"/>
      <c r="I285" s="1139"/>
      <c r="J285" s="1139"/>
      <c r="K285" s="1139"/>
      <c r="L285" s="438"/>
      <c r="M285" s="1139"/>
      <c r="N285" s="1139"/>
      <c r="O285" s="1139"/>
      <c r="P285" s="1139"/>
      <c r="Q285" s="438"/>
      <c r="R285" s="440"/>
      <c r="S285" s="440"/>
      <c r="T285" s="440"/>
      <c r="U285" s="441"/>
      <c r="V285" s="438"/>
      <c r="W285" s="440"/>
      <c r="X285" s="440"/>
      <c r="Y285" s="440"/>
      <c r="Z285" s="441"/>
      <c r="AA285" s="442"/>
      <c r="AB285" s="439"/>
      <c r="AC285" s="440"/>
      <c r="AD285" s="440"/>
      <c r="AE285" s="440"/>
      <c r="AF285" s="438"/>
      <c r="AG285" s="440"/>
      <c r="AH285" s="440"/>
      <c r="AI285" s="440"/>
      <c r="AJ285" s="440"/>
      <c r="AK285" s="438"/>
      <c r="AL285" s="440"/>
      <c r="AM285" s="440"/>
      <c r="AN285" s="440"/>
      <c r="AO285" s="440"/>
      <c r="AP285" s="438"/>
      <c r="AQ285" s="440"/>
      <c r="AR285" s="440"/>
      <c r="AS285" s="440"/>
      <c r="AT285" s="440"/>
      <c r="AU285" s="761"/>
      <c r="AV285" s="281"/>
      <c r="AW285" s="440"/>
      <c r="AX285" s="440"/>
      <c r="AY285" s="440"/>
      <c r="AZ285" s="440"/>
      <c r="BA285" s="438"/>
      <c r="BB285" s="440"/>
      <c r="BC285" s="440"/>
      <c r="BD285" s="440"/>
      <c r="BE285" s="440"/>
      <c r="BF285" s="438"/>
      <c r="BG285" s="440"/>
      <c r="BH285" s="440"/>
      <c r="BI285" s="440"/>
      <c r="BJ285" s="440"/>
      <c r="BK285" s="438"/>
      <c r="BL285" s="38"/>
      <c r="BM285" s="440"/>
      <c r="BN285" s="440"/>
      <c r="BO285" s="440"/>
      <c r="BP285" s="438"/>
      <c r="BQ285" s="38"/>
      <c r="BR285" s="440"/>
      <c r="BS285" s="440"/>
      <c r="BT285" s="440"/>
      <c r="BU285" s="438"/>
      <c r="BV285" s="1070"/>
      <c r="BW285" s="1300"/>
      <c r="BX285" s="1300"/>
      <c r="BY285" s="1300"/>
      <c r="BZ285" s="438"/>
      <c r="CA285" s="38"/>
      <c r="CB285" s="440"/>
      <c r="CC285" s="440"/>
      <c r="CD285" s="440"/>
      <c r="CE285" s="438"/>
      <c r="CF285" s="38"/>
      <c r="CG285" s="440"/>
      <c r="CH285" s="440"/>
      <c r="CI285" s="440"/>
      <c r="CJ285" s="438"/>
      <c r="CK285" s="38"/>
      <c r="CL285" s="440"/>
      <c r="CM285" s="440"/>
      <c r="CN285" s="440"/>
      <c r="CO285" s="438"/>
      <c r="CP285" s="38"/>
      <c r="CQ285" s="440"/>
      <c r="CR285" s="440"/>
      <c r="CS285" s="440"/>
      <c r="CT285" s="438"/>
      <c r="CU285" s="38"/>
      <c r="CV285" s="440"/>
      <c r="CW285" s="440"/>
      <c r="CX285" s="440"/>
      <c r="CY285" s="438"/>
      <c r="CZ285" s="38"/>
      <c r="DA285" s="440"/>
      <c r="DB285" s="440"/>
      <c r="DC285" s="440"/>
      <c r="DD285" s="438"/>
      <c r="DE285" s="38"/>
      <c r="DF285" s="440"/>
      <c r="DG285" s="440"/>
      <c r="DH285" s="440"/>
      <c r="DI285" s="438"/>
      <c r="DJ285" s="38"/>
      <c r="DK285" s="440"/>
      <c r="DL285" s="440"/>
      <c r="DM285" s="440"/>
      <c r="DN285" s="438"/>
      <c r="DO285" s="38"/>
      <c r="DP285" s="440"/>
      <c r="DQ285" s="440"/>
      <c r="DR285" s="440"/>
      <c r="DS285" s="438"/>
      <c r="DT285" s="440"/>
      <c r="DU285" s="440"/>
      <c r="DV285" s="440"/>
      <c r="DW285" s="440"/>
      <c r="DX285" s="438"/>
      <c r="DY285" s="440"/>
      <c r="DZ285" s="440"/>
      <c r="EA285" s="440"/>
      <c r="EB285" s="440"/>
      <c r="EC285" s="438"/>
      <c r="ED285" s="852"/>
      <c r="EE285" s="64"/>
      <c r="EF285" s="1141"/>
      <c r="EG285" s="120"/>
      <c r="EH285" s="120"/>
      <c r="EI285" s="120"/>
      <c r="EJ285" s="120"/>
      <c r="EK285" s="120"/>
      <c r="EL285" s="120"/>
      <c r="EM285" s="120"/>
      <c r="EN285" s="120"/>
      <c r="EO285" s="120"/>
      <c r="EP285" s="120"/>
      <c r="EQ285" s="120"/>
      <c r="ER285" s="120"/>
      <c r="ES285" s="120"/>
      <c r="ET285" s="120"/>
      <c r="EU285" s="120"/>
      <c r="EX285" s="120"/>
      <c r="EY285" s="1142"/>
      <c r="EZ285" s="1143"/>
      <c r="FA285" s="1143"/>
      <c r="FB285" s="1142"/>
      <c r="FC285" s="1143"/>
      <c r="FD285" s="120"/>
      <c r="FE285"/>
      <c r="FF285"/>
      <c r="FG285"/>
      <c r="FH285"/>
      <c r="FI285"/>
      <c r="FJ285"/>
      <c r="FK285" s="1144"/>
      <c r="FL285" s="1144"/>
      <c r="FM285" s="1144"/>
      <c r="FN285" s="1144"/>
      <c r="FO285" s="1144"/>
      <c r="FP285" s="1144"/>
      <c r="FQ285" s="1144"/>
      <c r="FR285" s="1144"/>
      <c r="FS285" s="1144"/>
      <c r="FT285" s="1144"/>
      <c r="FU285" s="1144"/>
      <c r="FV285" s="1144"/>
      <c r="FW285" s="1144"/>
      <c r="FX285" s="1144"/>
      <c r="FY285" s="1144"/>
      <c r="FZ285" s="1144"/>
      <c r="GA285" s="1144"/>
      <c r="GB285" s="1144"/>
      <c r="GC285" s="1144"/>
      <c r="GD285" s="1144"/>
      <c r="GE285" s="1144"/>
      <c r="GF285" s="1144"/>
      <c r="GG285" s="1144"/>
      <c r="GH285" s="1144"/>
      <c r="GI285" s="1144"/>
      <c r="GJ285" s="1144"/>
      <c r="GK285" s="1144"/>
      <c r="GL285" s="1144"/>
      <c r="GM285" s="1144"/>
      <c r="GN285" s="1144"/>
      <c r="GO285" s="1144"/>
      <c r="GP285" s="1144"/>
      <c r="GQ285" s="1144"/>
      <c r="GR285" s="1144"/>
      <c r="GS285" s="1144"/>
      <c r="GT285" s="1144"/>
      <c r="GU285" s="1144"/>
      <c r="GV285" s="1144"/>
      <c r="GW285" s="1144"/>
      <c r="GX285" s="1144"/>
      <c r="GY285" s="1144"/>
      <c r="GZ285" s="1144"/>
      <c r="HA285" s="1144"/>
      <c r="HB285" s="1144"/>
      <c r="HC285" s="1144"/>
      <c r="HD285" s="1144"/>
      <c r="HE285" s="1144"/>
      <c r="HF285" s="1144"/>
      <c r="HG285" s="1144"/>
      <c r="HH285" s="1144"/>
      <c r="HI285" s="1144"/>
      <c r="HJ285" s="1144"/>
      <c r="HK285" s="1144"/>
      <c r="HL285" s="1144"/>
      <c r="HM285" s="1144"/>
      <c r="HN285" s="1144"/>
      <c r="HO285" s="1144"/>
      <c r="HP285" s="1144"/>
      <c r="HQ285" s="1144"/>
      <c r="HR285" s="1144"/>
      <c r="HS285" s="1144"/>
      <c r="HT285" s="1144"/>
      <c r="HU285" s="1144"/>
      <c r="HV285" s="1144"/>
      <c r="HW285" s="1144"/>
      <c r="HX285" s="1144"/>
      <c r="HY285" s="1144"/>
      <c r="HZ285" s="1144"/>
      <c r="IA285" s="1144"/>
      <c r="IB285" s="1144"/>
      <c r="IC285" s="1144"/>
      <c r="ID285" s="1144"/>
      <c r="IE285" s="1144"/>
      <c r="IF285" s="1144"/>
      <c r="IG285" s="1144"/>
      <c r="IH285" s="1144"/>
      <c r="II285" s="1144"/>
      <c r="IJ285" s="1144"/>
      <c r="IK285" s="1144"/>
      <c r="IL285" s="1144"/>
      <c r="IM285" s="1144"/>
      <c r="IN285" s="1144"/>
      <c r="IO285" s="1144"/>
      <c r="IP285" s="1144"/>
      <c r="IQ285" s="1144"/>
      <c r="IR285" s="1144"/>
      <c r="IS285" s="1144"/>
      <c r="IT285" s="1144"/>
      <c r="IU285" s="1144"/>
      <c r="IV285" s="1144"/>
      <c r="IW285" s="1144"/>
      <c r="IX285" s="1144"/>
      <c r="IY285" s="1144"/>
      <c r="IZ285" s="1144"/>
      <c r="JA285" s="1144"/>
      <c r="JB285" s="1144"/>
      <c r="JC285" s="1144"/>
      <c r="JD285" s="1144"/>
      <c r="JE285" s="1144"/>
      <c r="JF285" s="1144"/>
      <c r="JG285" s="1144"/>
      <c r="JH285" s="1144"/>
      <c r="JI285" s="1144"/>
      <c r="JJ285" s="1144"/>
      <c r="JK285" s="1144"/>
      <c r="JL285" s="1144"/>
      <c r="JM285" s="1144"/>
      <c r="JN285" s="1144"/>
      <c r="JO285" s="1144"/>
      <c r="JP285" s="1144"/>
      <c r="JQ285" s="1144"/>
      <c r="JR285" s="1144"/>
      <c r="JS285" s="1144"/>
      <c r="JT285" s="1144"/>
      <c r="JU285" s="1144"/>
      <c r="JV285" s="1144"/>
      <c r="JW285" s="1144"/>
      <c r="JX285" s="1144"/>
      <c r="JY285" s="1144"/>
      <c r="JZ285" s="1144"/>
      <c r="KA285" s="1144"/>
      <c r="KB285" s="1144"/>
      <c r="KC285" s="1144"/>
      <c r="KD285" s="1144"/>
      <c r="KE285" s="1144"/>
      <c r="KF285" s="1144"/>
      <c r="KG285" s="1144"/>
      <c r="KH285" s="1144"/>
      <c r="KI285" s="1144"/>
      <c r="KJ285" s="1144"/>
      <c r="KK285" s="1144"/>
      <c r="KL285" s="1144"/>
      <c r="KM285" s="1144"/>
      <c r="KN285" s="1144"/>
      <c r="KO285" s="1144"/>
      <c r="KP285" s="1144"/>
      <c r="KQ285" s="1144"/>
      <c r="KR285" s="1144"/>
      <c r="KS285" s="1144"/>
      <c r="KT285" s="1144"/>
      <c r="KU285" s="1144"/>
      <c r="KV285" s="1144"/>
      <c r="KW285" s="1144"/>
      <c r="KX285" s="1144"/>
      <c r="KY285" s="1144"/>
      <c r="KZ285" s="1144"/>
      <c r="LA285" s="1144"/>
      <c r="LB285" s="1144"/>
      <c r="LC285" s="1144"/>
      <c r="LD285" s="1144"/>
      <c r="LE285" s="1144"/>
      <c r="LF285" s="1144"/>
      <c r="LG285" s="1144"/>
      <c r="LH285" s="1144"/>
      <c r="LI285" s="1144"/>
      <c r="LJ285" s="1144"/>
      <c r="LK285" s="1144"/>
      <c r="LL285" s="1144"/>
      <c r="LM285" s="1144"/>
      <c r="LN285" s="1144"/>
      <c r="LO285" s="1144"/>
      <c r="LP285" s="1144"/>
      <c r="LQ285" s="1144"/>
      <c r="LR285" s="1144"/>
      <c r="LS285" s="1144"/>
      <c r="LT285" s="1144"/>
      <c r="LU285" s="1144"/>
      <c r="LV285" s="1144"/>
      <c r="LW285" s="1144"/>
      <c r="LX285" s="1144"/>
      <c r="LY285" s="1144"/>
      <c r="LZ285" s="1144"/>
      <c r="MA285" s="1144"/>
      <c r="MB285" s="1144"/>
      <c r="MC285" s="1144"/>
      <c r="MD285" s="1144"/>
      <c r="ME285" s="1144"/>
      <c r="MF285" s="1144"/>
      <c r="MG285" s="1144"/>
      <c r="MH285" s="1144"/>
      <c r="MI285" s="1144"/>
      <c r="MJ285" s="1144"/>
      <c r="MK285" s="1144"/>
      <c r="ML285" s="1144"/>
      <c r="MM285" s="1144"/>
      <c r="MN285" s="1144"/>
      <c r="MO285" s="1144"/>
      <c r="MP285" s="1144"/>
      <c r="MQ285" s="1144"/>
      <c r="MR285" s="1144"/>
      <c r="MS285" s="1144"/>
      <c r="MT285" s="1144"/>
      <c r="MU285" s="1144"/>
      <c r="MV285" s="1144"/>
      <c r="MW285" s="1144"/>
      <c r="MX285" s="1144"/>
      <c r="MY285" s="1144"/>
      <c r="MZ285" s="1144"/>
      <c r="NA285" s="1144"/>
      <c r="NB285" s="1144"/>
      <c r="NC285" s="1144"/>
      <c r="ND285" s="1144"/>
      <c r="NE285" s="1144"/>
      <c r="NF285" s="1144"/>
      <c r="NG285" s="1144"/>
      <c r="NH285" s="1144"/>
      <c r="NI285" s="1144"/>
      <c r="NJ285" s="1144"/>
      <c r="NK285" s="1144"/>
      <c r="NL285" s="1144"/>
      <c r="NM285" s="1144"/>
      <c r="NN285" s="1144"/>
      <c r="NO285" s="1144"/>
      <c r="NP285" s="1144"/>
      <c r="NQ285" s="1144"/>
      <c r="NR285" s="1144"/>
      <c r="NS285" s="1144"/>
      <c r="NT285" s="1144"/>
      <c r="NU285" s="1144"/>
      <c r="NV285" s="1144"/>
      <c r="NW285" s="1144"/>
      <c r="NX285" s="1144"/>
      <c r="NY285" s="1144"/>
      <c r="NZ285" s="1144"/>
      <c r="OA285" s="1144"/>
      <c r="OB285" s="1144"/>
      <c r="OC285" s="1144"/>
      <c r="OD285" s="1144"/>
      <c r="OE285" s="1144"/>
      <c r="OF285" s="1144"/>
      <c r="OG285" s="1144"/>
      <c r="OH285" s="1144"/>
      <c r="OI285" s="1144"/>
      <c r="OJ285" s="1144"/>
      <c r="OK285" s="1144"/>
      <c r="OL285" s="1144"/>
      <c r="OM285" s="1144"/>
      <c r="ON285" s="1144"/>
      <c r="OO285" s="1144"/>
      <c r="OP285" s="1144"/>
      <c r="OQ285" s="1144"/>
      <c r="OR285" s="1144"/>
      <c r="OS285" s="1144"/>
      <c r="OT285" s="1144"/>
      <c r="OU285" s="1144"/>
      <c r="OV285" s="1144"/>
      <c r="OW285" s="1144"/>
      <c r="OX285" s="1144"/>
      <c r="OY285" s="1144"/>
      <c r="OZ285" s="1144"/>
      <c r="PA285" s="1144"/>
      <c r="PB285" s="1144"/>
      <c r="PC285" s="1144"/>
      <c r="PD285" s="1144"/>
      <c r="PE285" s="1144"/>
      <c r="PF285" s="1144"/>
      <c r="PG285" s="1144"/>
      <c r="PH285" s="1144"/>
      <c r="PI285" s="1144"/>
      <c r="PJ285" s="1144"/>
      <c r="PK285" s="1144"/>
      <c r="PL285" s="1144"/>
      <c r="PM285" s="1144"/>
      <c r="PN285" s="1144"/>
      <c r="PO285" s="1144"/>
      <c r="PP285" s="1144"/>
      <c r="PQ285" s="1144"/>
      <c r="PR285" s="1144"/>
      <c r="PS285" s="1144"/>
      <c r="PT285" s="1144"/>
      <c r="PU285" s="1144"/>
      <c r="PV285" s="1144"/>
      <c r="PW285" s="1144"/>
      <c r="PX285" s="1144"/>
      <c r="PY285" s="1144"/>
      <c r="PZ285" s="1144"/>
      <c r="QA285" s="1144"/>
      <c r="QB285" s="1144"/>
      <c r="QC285" s="1144"/>
      <c r="QD285" s="1144"/>
      <c r="QE285" s="1144"/>
      <c r="QF285" s="1144"/>
      <c r="QG285" s="1144"/>
      <c r="QH285" s="1144"/>
      <c r="QI285" s="1144"/>
      <c r="QJ285" s="1144"/>
      <c r="QK285" s="1144"/>
      <c r="QL285" s="1144"/>
      <c r="QM285" s="1144"/>
      <c r="QN285" s="1144"/>
      <c r="QO285" s="1144"/>
      <c r="QP285" s="1144"/>
      <c r="QQ285" s="1144"/>
      <c r="QR285" s="1144"/>
      <c r="QS285" s="1144"/>
      <c r="QT285" s="1144"/>
      <c r="QU285" s="1144"/>
      <c r="QV285" s="1144"/>
      <c r="QW285" s="1144"/>
      <c r="QX285" s="1144"/>
      <c r="QY285" s="1144"/>
      <c r="QZ285" s="1144"/>
      <c r="RA285" s="1144"/>
      <c r="RB285" s="1144"/>
      <c r="RC285" s="1144"/>
      <c r="RD285" s="1144"/>
      <c r="RE285" s="1144"/>
      <c r="RF285" s="1144"/>
      <c r="RG285" s="1144"/>
      <c r="RH285" s="1144"/>
      <c r="RI285" s="1144"/>
      <c r="RJ285" s="1144"/>
      <c r="RK285" s="1144"/>
      <c r="RL285" s="1144"/>
      <c r="RM285" s="1144"/>
      <c r="RN285" s="1144"/>
      <c r="RO285" s="1144"/>
      <c r="RP285" s="1144"/>
      <c r="RQ285" s="1144"/>
      <c r="RR285" s="1144"/>
      <c r="RS285" s="1144"/>
      <c r="RT285" s="1144"/>
      <c r="RU285" s="1144"/>
      <c r="RV285" s="1144"/>
      <c r="RW285" s="1144"/>
      <c r="RX285" s="1144"/>
      <c r="RY285" s="1144"/>
      <c r="RZ285" s="1144"/>
      <c r="SA285" s="1144"/>
      <c r="SB285" s="1144"/>
      <c r="SC285" s="1144"/>
      <c r="SD285" s="1144"/>
      <c r="SE285" s="1144"/>
      <c r="SF285" s="1144"/>
      <c r="SG285" s="1144"/>
      <c r="SH285" s="1144"/>
      <c r="SI285" s="1144"/>
      <c r="SJ285" s="1144"/>
      <c r="SK285" s="1144"/>
      <c r="SL285" s="1144"/>
      <c r="SM285" s="1144"/>
      <c r="SN285" s="1144"/>
      <c r="SO285" s="1144"/>
      <c r="SP285" s="1144"/>
      <c r="SQ285" s="1144"/>
      <c r="SR285" s="1144"/>
      <c r="SS285" s="1144"/>
      <c r="ST285" s="1144"/>
      <c r="SU285" s="1144"/>
      <c r="SV285" s="1144"/>
      <c r="SW285" s="1144"/>
      <c r="SX285" s="1144"/>
      <c r="SY285" s="1144"/>
      <c r="SZ285" s="1144"/>
      <c r="TA285" s="1144"/>
      <c r="TB285" s="1144"/>
      <c r="TC285" s="1144"/>
      <c r="TD285" s="1144"/>
      <c r="TE285" s="1144"/>
      <c r="TF285" s="1144"/>
      <c r="TG285" s="1144"/>
      <c r="TH285" s="1144"/>
      <c r="TI285" s="1144"/>
      <c r="TJ285" s="1144"/>
      <c r="TK285" s="1144"/>
      <c r="TL285" s="1144"/>
      <c r="TM285" s="1144"/>
      <c r="TN285" s="1144"/>
      <c r="TO285" s="1144"/>
      <c r="TP285" s="1144"/>
      <c r="TQ285" s="1144"/>
      <c r="TR285" s="1144"/>
      <c r="TS285" s="1144"/>
      <c r="TT285" s="1144"/>
      <c r="TU285" s="1144"/>
      <c r="TV285" s="1144"/>
      <c r="TW285" s="1144"/>
      <c r="TX285" s="1144"/>
      <c r="TY285" s="1144"/>
      <c r="TZ285" s="1144"/>
      <c r="UA285" s="1144"/>
      <c r="UB285" s="1144"/>
      <c r="UC285" s="1144"/>
      <c r="UD285" s="1144"/>
      <c r="UE285" s="1144"/>
      <c r="UF285" s="1144"/>
      <c r="UG285" s="1144"/>
      <c r="UH285" s="1144"/>
      <c r="UI285" s="1144"/>
      <c r="UJ285" s="1144"/>
      <c r="UK285" s="1144"/>
      <c r="UL285" s="1144"/>
      <c r="UM285" s="1144"/>
      <c r="UN285" s="1144"/>
      <c r="UO285" s="1144"/>
      <c r="UP285" s="1144"/>
      <c r="UQ285" s="1144"/>
      <c r="UR285" s="1144"/>
      <c r="US285" s="1144"/>
      <c r="UT285" s="1144"/>
      <c r="UU285" s="1144"/>
      <c r="UV285" s="1144"/>
      <c r="UW285" s="1144"/>
      <c r="UX285" s="1144"/>
      <c r="UY285" s="1144"/>
      <c r="UZ285" s="1144"/>
      <c r="VA285" s="1144"/>
      <c r="VB285" s="1144"/>
      <c r="VC285" s="1144"/>
      <c r="VD285" s="1144"/>
      <c r="VE285" s="1144"/>
      <c r="VF285" s="1144"/>
      <c r="VG285" s="1144"/>
      <c r="VH285" s="1144"/>
      <c r="VI285" s="1144"/>
      <c r="VJ285" s="1144"/>
      <c r="VK285" s="1144"/>
      <c r="VL285" s="1144"/>
      <c r="VM285" s="1144"/>
      <c r="VN285" s="1144"/>
      <c r="VO285" s="1144"/>
      <c r="VP285" s="1144"/>
      <c r="VQ285" s="1144"/>
      <c r="VR285" s="1144"/>
      <c r="VS285" s="1144"/>
      <c r="VT285" s="1144"/>
      <c r="VU285" s="1144"/>
      <c r="VV285" s="1144"/>
      <c r="VW285" s="1144"/>
      <c r="VX285" s="1144"/>
      <c r="VY285" s="1144"/>
      <c r="VZ285" s="1144"/>
      <c r="WA285" s="1144"/>
      <c r="WB285" s="1144"/>
      <c r="WC285" s="1144"/>
      <c r="WD285" s="1144"/>
      <c r="WE285" s="1144"/>
      <c r="WF285" s="1144"/>
      <c r="WG285" s="1144"/>
      <c r="WH285" s="1144"/>
      <c r="WI285" s="1144"/>
      <c r="WJ285" s="1144"/>
      <c r="WK285" s="1144"/>
      <c r="WL285" s="1144"/>
      <c r="WM285" s="1144"/>
      <c r="WN285" s="1144"/>
      <c r="WO285" s="1144"/>
      <c r="WP285" s="1144"/>
      <c r="WQ285" s="1144"/>
      <c r="WR285" s="1144"/>
      <c r="WS285" s="1144"/>
      <c r="WT285" s="1144"/>
      <c r="WU285" s="1144"/>
      <c r="WV285" s="1144"/>
      <c r="WW285" s="1144"/>
      <c r="WX285" s="1144"/>
      <c r="WY285" s="1144"/>
      <c r="WZ285" s="1144"/>
      <c r="XA285" s="1144"/>
      <c r="XB285" s="1144"/>
      <c r="XC285" s="1144"/>
      <c r="XD285" s="1144"/>
      <c r="XE285" s="1144"/>
      <c r="XF285" s="1144"/>
      <c r="XG285" s="1144"/>
      <c r="XH285" s="1144"/>
      <c r="XI285" s="1144"/>
      <c r="XJ285" s="1144"/>
      <c r="XK285" s="1144"/>
      <c r="XL285" s="1144"/>
      <c r="XM285" s="1144"/>
      <c r="XN285" s="1144"/>
      <c r="XO285" s="1144"/>
      <c r="XP285" s="1144"/>
      <c r="XQ285" s="1144"/>
      <c r="XR285" s="1144"/>
      <c r="XS285" s="1144"/>
      <c r="XT285" s="1144"/>
      <c r="XU285" s="1144"/>
      <c r="XV285" s="1144"/>
      <c r="XW285" s="1144"/>
      <c r="XX285" s="1144"/>
      <c r="XY285" s="1144"/>
      <c r="XZ285" s="1144"/>
      <c r="YA285" s="1144"/>
      <c r="YB285" s="1144"/>
      <c r="YC285" s="1144"/>
      <c r="YD285" s="1144"/>
      <c r="YE285" s="1144"/>
      <c r="YF285" s="1144"/>
      <c r="YG285" s="1144"/>
      <c r="YH285" s="1144"/>
      <c r="YI285" s="1144"/>
      <c r="YJ285" s="1144"/>
      <c r="YK285" s="1144"/>
      <c r="YL285" s="1144"/>
      <c r="YM285" s="1144"/>
      <c r="YN285" s="1144"/>
      <c r="YO285" s="1144"/>
      <c r="YP285" s="1144"/>
      <c r="YQ285" s="1144"/>
      <c r="YR285" s="1144"/>
      <c r="YS285" s="1144"/>
      <c r="YT285" s="1144"/>
      <c r="YU285" s="1144"/>
      <c r="YV285" s="1144"/>
      <c r="YW285" s="1144"/>
      <c r="YX285" s="1144"/>
      <c r="YY285" s="1144"/>
      <c r="YZ285" s="1144"/>
      <c r="ZA285" s="1144"/>
      <c r="ZB285" s="1144"/>
      <c r="ZC285" s="1144"/>
      <c r="ZD285" s="1144"/>
      <c r="ZE285" s="1144"/>
      <c r="ZF285" s="1144"/>
      <c r="ZG285" s="1144"/>
      <c r="ZH285" s="1144"/>
      <c r="ZI285" s="1144"/>
      <c r="ZJ285" s="1144"/>
      <c r="ZK285" s="1144"/>
      <c r="ZL285" s="1144"/>
      <c r="ZM285" s="1144"/>
      <c r="ZN285" s="1144"/>
      <c r="ZO285" s="1144"/>
      <c r="ZP285" s="1144"/>
      <c r="ZQ285" s="1144"/>
      <c r="ZR285" s="1144"/>
      <c r="ZS285" s="1144"/>
      <c r="ZT285" s="1144"/>
      <c r="ZU285" s="1144"/>
      <c r="ZV285" s="1144"/>
      <c r="ZW285" s="1144"/>
      <c r="ZX285" s="1144"/>
      <c r="ZY285" s="1144"/>
      <c r="ZZ285" s="1144"/>
      <c r="AAA285" s="1144"/>
      <c r="AAB285" s="1144"/>
      <c r="AAC285" s="1144"/>
      <c r="AAD285" s="1144"/>
      <c r="AAE285" s="1144"/>
      <c r="AAF285" s="1144"/>
      <c r="AAG285" s="1144"/>
      <c r="AAH285" s="1144"/>
      <c r="AAI285" s="1144"/>
      <c r="AAJ285" s="1144"/>
      <c r="AAK285" s="1144"/>
      <c r="AAL285" s="1144"/>
      <c r="AAM285" s="1144"/>
      <c r="AAN285" s="1144"/>
      <c r="AAO285" s="1144"/>
      <c r="AAP285" s="1144"/>
      <c r="AAQ285" s="1144"/>
      <c r="AAR285" s="1144"/>
      <c r="AAS285" s="1144"/>
      <c r="AAT285" s="1144"/>
      <c r="AAU285" s="1144"/>
      <c r="AAV285" s="1144"/>
      <c r="AAW285" s="1144"/>
      <c r="AAX285" s="1144"/>
      <c r="AAY285" s="1144"/>
      <c r="AAZ285" s="1144"/>
      <c r="ABA285" s="1144"/>
      <c r="ABB285" s="1144"/>
      <c r="ABC285" s="1144"/>
      <c r="ABD285" s="1144"/>
      <c r="ABE285" s="1144"/>
      <c r="ABF285" s="1144"/>
      <c r="ABG285" s="1144"/>
      <c r="ABH285" s="1144"/>
      <c r="ABI285" s="1144"/>
      <c r="ABJ285" s="1144"/>
      <c r="ABK285" s="1144"/>
      <c r="ABL285" s="1144"/>
      <c r="ABM285" s="1144"/>
      <c r="ABN285" s="1144"/>
      <c r="ABO285" s="1144"/>
      <c r="ABP285" s="1144"/>
      <c r="ABQ285" s="1144"/>
      <c r="ABR285" s="1144"/>
      <c r="ABS285" s="1144"/>
      <c r="ABT285" s="1144"/>
      <c r="ABU285" s="1144"/>
      <c r="ABV285" s="1144"/>
      <c r="ABW285" s="1144"/>
      <c r="ABX285" s="1144"/>
      <c r="ABY285" s="1144"/>
      <c r="ABZ285" s="1144"/>
      <c r="ACA285" s="1144"/>
      <c r="ACB285" s="1144"/>
      <c r="ACC285" s="1144"/>
      <c r="ACD285" s="1144"/>
      <c r="ACE285" s="1144"/>
      <c r="ACF285" s="1144"/>
      <c r="ACG285" s="1144"/>
      <c r="ACH285" s="1144"/>
      <c r="ACI285" s="1144"/>
      <c r="ACJ285" s="1144"/>
      <c r="ACK285" s="1144"/>
      <c r="ACL285" s="1144"/>
      <c r="ACM285" s="1144"/>
      <c r="ACN285" s="1144"/>
      <c r="ACO285" s="1144"/>
      <c r="ACP285" s="1144"/>
      <c r="ACQ285" s="1144"/>
      <c r="ACR285" s="1144"/>
      <c r="ACS285" s="1144"/>
      <c r="ACT285" s="1144"/>
      <c r="ACU285" s="1144"/>
      <c r="ACV285" s="1144"/>
      <c r="ACW285" s="1144"/>
      <c r="ACX285" s="1144"/>
      <c r="ACY285" s="1144"/>
      <c r="ACZ285" s="1144"/>
      <c r="ADA285" s="1144"/>
      <c r="ADB285" s="1144"/>
      <c r="ADC285" s="1144"/>
      <c r="ADD285" s="1144"/>
      <c r="ADE285" s="1144"/>
      <c r="ADF285" s="1144"/>
      <c r="ADG285" s="1144"/>
      <c r="ADH285" s="1144"/>
      <c r="ADI285" s="1144"/>
      <c r="ADJ285" s="1144"/>
      <c r="ADK285" s="1144"/>
      <c r="ADL285" s="1144"/>
      <c r="ADM285" s="1144"/>
      <c r="ADN285" s="1144"/>
      <c r="ADO285" s="1144"/>
      <c r="ADP285" s="1144"/>
      <c r="ADQ285" s="1144"/>
      <c r="ADR285" s="1144"/>
      <c r="ADS285" s="1144"/>
      <c r="ADT285" s="1144"/>
      <c r="ADU285" s="1144"/>
      <c r="ADV285" s="1144"/>
      <c r="ADW285" s="1144"/>
      <c r="ADX285" s="1144"/>
      <c r="ADY285" s="1144"/>
      <c r="ADZ285" s="1144"/>
      <c r="AEA285" s="1144"/>
      <c r="AEB285" s="1144"/>
      <c r="AEC285" s="1144"/>
      <c r="AED285" s="1144"/>
      <c r="AEE285" s="1144"/>
      <c r="AEF285" s="1144"/>
      <c r="AEG285" s="1144"/>
      <c r="AEH285" s="1144"/>
      <c r="AEI285" s="1144"/>
      <c r="AEJ285" s="1144"/>
      <c r="AEK285" s="1144"/>
      <c r="AEL285" s="1144"/>
      <c r="AEM285" s="1144"/>
      <c r="AEN285" s="1144"/>
      <c r="AEO285" s="1144"/>
      <c r="AEP285" s="1144"/>
      <c r="AEQ285" s="1144"/>
      <c r="AER285" s="1144"/>
      <c r="AES285" s="1144"/>
      <c r="AET285" s="1144"/>
      <c r="AEU285" s="1144"/>
      <c r="AEV285" s="1144"/>
      <c r="AEW285" s="1144"/>
      <c r="AEX285" s="1144"/>
      <c r="AEY285" s="1144"/>
      <c r="AEZ285" s="1144"/>
      <c r="AFA285" s="1144"/>
      <c r="AFB285" s="1144"/>
      <c r="AFC285" s="1144"/>
      <c r="AFD285" s="1144"/>
      <c r="AFE285" s="1144"/>
      <c r="AFF285" s="1144"/>
      <c r="AFG285" s="1144"/>
      <c r="AFH285" s="1144"/>
      <c r="AFI285" s="1144"/>
      <c r="AFJ285" s="1144"/>
      <c r="AFK285" s="1144"/>
      <c r="AFL285" s="1144"/>
      <c r="AFM285" s="1144"/>
      <c r="AFN285" s="1144"/>
      <c r="AFO285" s="1144"/>
      <c r="AFP285" s="1144"/>
      <c r="AFQ285" s="1144"/>
      <c r="AFR285" s="1144"/>
      <c r="AFS285" s="1144"/>
      <c r="AFT285" s="1144"/>
      <c r="AFU285" s="1144"/>
      <c r="AFV285" s="1144"/>
      <c r="AFW285" s="1144"/>
      <c r="AFX285" s="1144"/>
      <c r="AFY285" s="1144"/>
      <c r="AFZ285" s="1144"/>
      <c r="AGA285" s="1144"/>
      <c r="AGB285" s="1144"/>
      <c r="AGC285" s="1144"/>
      <c r="AGD285" s="1144"/>
      <c r="AGE285" s="1144"/>
      <c r="AGF285" s="1144"/>
      <c r="AGG285" s="1144"/>
      <c r="AGH285" s="1144"/>
      <c r="AGI285" s="1144"/>
      <c r="AGJ285" s="1144"/>
      <c r="AGK285" s="1144"/>
      <c r="AGL285" s="1144"/>
      <c r="AGM285" s="1144"/>
      <c r="AGN285" s="1144"/>
      <c r="AGO285" s="1144"/>
      <c r="AGP285" s="1144"/>
      <c r="AGQ285" s="1144"/>
      <c r="AGR285" s="1144"/>
      <c r="AGS285" s="1144"/>
      <c r="AGT285" s="1144"/>
      <c r="AGU285" s="1144"/>
      <c r="AGV285" s="1144"/>
      <c r="AGW285" s="1144"/>
      <c r="AGX285" s="1144"/>
      <c r="AGY285" s="1144"/>
      <c r="AGZ285" s="1144"/>
      <c r="AHA285" s="1144"/>
      <c r="AHB285" s="1144"/>
      <c r="AHC285" s="1144"/>
      <c r="AHD285" s="1144"/>
      <c r="AHE285" s="1144"/>
      <c r="AHF285" s="1144"/>
      <c r="AHG285" s="1144"/>
      <c r="AHH285" s="1144"/>
      <c r="AHI285" s="1144"/>
      <c r="AHJ285" s="1144"/>
      <c r="AHK285" s="1144"/>
      <c r="AHL285" s="1144"/>
      <c r="AHM285" s="1144"/>
      <c r="AHN285" s="1144"/>
      <c r="AHO285" s="1144"/>
      <c r="AHP285" s="1144"/>
      <c r="AHQ285" s="1144"/>
      <c r="AHR285" s="1144"/>
      <c r="AHS285" s="1144"/>
      <c r="AHT285" s="1144"/>
      <c r="AHU285" s="1144"/>
      <c r="AHV285" s="1144"/>
      <c r="AHW285" s="1144"/>
      <c r="AHX285" s="1144"/>
      <c r="AHY285" s="1144"/>
      <c r="AHZ285" s="1144"/>
      <c r="AIA285" s="1144"/>
      <c r="AIB285" s="1144"/>
      <c r="AIC285" s="1144"/>
      <c r="AID285" s="1144"/>
      <c r="AIE285" s="1144"/>
      <c r="AIF285" s="1144"/>
      <c r="AIG285" s="1144"/>
      <c r="AIH285" s="1144"/>
      <c r="AII285" s="1144"/>
      <c r="AIJ285" s="1144"/>
      <c r="AIK285" s="1144"/>
      <c r="AIL285" s="1144"/>
      <c r="AIM285" s="1144"/>
      <c r="AIN285" s="1144"/>
      <c r="AIO285" s="1144"/>
      <c r="AIP285" s="1144"/>
      <c r="AIQ285" s="1144"/>
      <c r="AIR285" s="1144"/>
      <c r="AIS285" s="1144"/>
      <c r="AIT285" s="1144"/>
      <c r="AIU285" s="1144"/>
      <c r="AIV285" s="1144"/>
      <c r="AIW285" s="1144"/>
      <c r="AIX285" s="1144"/>
      <c r="AIY285" s="1144"/>
      <c r="AIZ285" s="1144"/>
      <c r="AJA285" s="1144"/>
      <c r="AJB285" s="1144"/>
      <c r="AJC285" s="1144"/>
      <c r="AJD285" s="1144"/>
      <c r="AJE285" s="1144"/>
      <c r="AJF285" s="1144"/>
      <c r="AJG285" s="1144"/>
      <c r="AJH285" s="1144"/>
      <c r="AJI285" s="1144"/>
      <c r="AJJ285" s="1144"/>
      <c r="AJK285" s="1144"/>
      <c r="AJL285" s="1144"/>
      <c r="AJM285" s="1144"/>
      <c r="AJN285" s="1144"/>
      <c r="AJO285" s="1144"/>
      <c r="AJP285" s="1144"/>
      <c r="AJQ285" s="1144"/>
      <c r="AJR285" s="1144"/>
      <c r="AJS285" s="1144"/>
      <c r="AJT285" s="1144"/>
      <c r="AJU285" s="1144"/>
      <c r="AJV285" s="1144"/>
      <c r="AJW285" s="1144"/>
      <c r="AJX285" s="1144"/>
      <c r="AJY285" s="1144"/>
      <c r="AJZ285" s="1144"/>
      <c r="AKA285" s="1144"/>
      <c r="AKB285" s="1144"/>
      <c r="AKC285" s="1144"/>
      <c r="AKD285" s="1144"/>
      <c r="AKE285" s="1144"/>
      <c r="AKF285" s="1144"/>
      <c r="AKG285" s="1144"/>
      <c r="AKH285" s="1144"/>
      <c r="AKI285" s="1144"/>
      <c r="AKJ285" s="1144"/>
      <c r="AKK285" s="1144"/>
      <c r="AKL285" s="1144"/>
      <c r="AKM285" s="1144"/>
      <c r="AKN285" s="1144"/>
      <c r="AKO285" s="1144"/>
      <c r="AKP285" s="1144"/>
      <c r="AKQ285" s="1144"/>
      <c r="AKR285" s="1144"/>
      <c r="AKS285" s="1144"/>
      <c r="AKT285" s="1144"/>
      <c r="AKU285" s="1144"/>
      <c r="AKV285" s="1144"/>
      <c r="AKW285" s="1144"/>
      <c r="AKX285" s="1144"/>
      <c r="AKY285" s="1144"/>
      <c r="AKZ285" s="1144"/>
      <c r="ALA285" s="1144"/>
      <c r="ALB285" s="1144"/>
      <c r="ALC285" s="1144"/>
      <c r="ALD285" s="1144"/>
      <c r="ALE285" s="1144"/>
      <c r="ALF285" s="1144"/>
      <c r="ALG285" s="1144"/>
      <c r="ALH285" s="1144"/>
      <c r="ALI285" s="1144"/>
      <c r="ALJ285" s="1144"/>
      <c r="ALK285" s="1144"/>
      <c r="ALL285" s="1144"/>
      <c r="ALM285" s="1144"/>
      <c r="ALN285" s="1144"/>
      <c r="ALO285" s="1144"/>
      <c r="ALP285" s="1144"/>
      <c r="ALQ285" s="1144"/>
      <c r="ALR285" s="1144"/>
      <c r="ALS285" s="1144"/>
      <c r="ALT285" s="1144"/>
      <c r="ALU285" s="1144"/>
      <c r="ALV285" s="1144"/>
      <c r="ALW285" s="1144"/>
      <c r="ALX285" s="1144"/>
      <c r="ALY285" s="1144"/>
      <c r="ALZ285" s="1144"/>
      <c r="AMA285" s="1144"/>
      <c r="AMB285" s="1144"/>
      <c r="AMC285" s="1144"/>
      <c r="AMD285" s="1144"/>
      <c r="AME285" s="1144"/>
      <c r="AMF285" s="1144"/>
      <c r="AMG285" s="1144"/>
      <c r="AMH285" s="1144"/>
      <c r="AMI285" s="1144"/>
      <c r="AMJ285" s="1144"/>
      <c r="AMK285" s="1144"/>
      <c r="AML285" s="1144"/>
      <c r="AMM285" s="1144"/>
      <c r="AMN285" s="1144"/>
      <c r="AMO285" s="1144"/>
      <c r="AMP285" s="1144"/>
      <c r="AMQ285" s="1144"/>
      <c r="AMR285" s="1144"/>
      <c r="AMS285" s="1144"/>
      <c r="AMT285" s="1144"/>
      <c r="AMU285" s="1144"/>
      <c r="AMV285" s="1144"/>
      <c r="AMW285" s="1144"/>
      <c r="AMX285" s="1144"/>
      <c r="AMY285" s="1144"/>
      <c r="AMZ285" s="1144"/>
      <c r="ANA285" s="1144"/>
      <c r="ANB285" s="1144"/>
      <c r="ANC285" s="1144"/>
      <c r="AND285" s="1144"/>
      <c r="ANE285" s="1144"/>
      <c r="ANF285" s="1144"/>
      <c r="ANG285" s="1144"/>
      <c r="ANH285" s="1144"/>
      <c r="ANI285" s="1144"/>
      <c r="ANJ285" s="1144"/>
      <c r="ANK285" s="1144"/>
      <c r="ANL285" s="1144"/>
      <c r="ANM285" s="1144"/>
      <c r="ANN285" s="1144"/>
      <c r="ANO285" s="1144"/>
      <c r="ANP285" s="1144"/>
      <c r="ANQ285" s="1144"/>
      <c r="ANR285" s="1144"/>
      <c r="ANS285" s="1144"/>
      <c r="ANT285" s="1144"/>
      <c r="ANU285" s="1144"/>
      <c r="ANV285" s="1144"/>
      <c r="ANW285" s="1144"/>
      <c r="ANX285" s="1144"/>
      <c r="ANY285" s="1144"/>
      <c r="ANZ285" s="1144"/>
      <c r="AOA285" s="1144"/>
      <c r="AOB285" s="1144"/>
      <c r="AOC285" s="1144"/>
      <c r="AOD285" s="1144"/>
      <c r="AOE285" s="1144"/>
      <c r="AOF285" s="1144"/>
      <c r="AOG285" s="1144"/>
      <c r="AOH285" s="1144"/>
      <c r="AOI285" s="1144"/>
      <c r="AOJ285" s="1144"/>
      <c r="AOK285" s="1144"/>
      <c r="AOL285" s="1144"/>
      <c r="AOM285" s="1144"/>
      <c r="AON285" s="1144"/>
      <c r="AOO285" s="1144"/>
      <c r="AOP285" s="1144"/>
      <c r="AOQ285" s="1144"/>
      <c r="AOR285" s="1144"/>
      <c r="AOS285" s="1144"/>
      <c r="AOT285" s="1144"/>
      <c r="AOU285" s="1144"/>
      <c r="AOV285" s="1144"/>
      <c r="AOW285" s="1144"/>
      <c r="AOX285" s="1144"/>
      <c r="AOY285" s="1144"/>
      <c r="AOZ285" s="1144"/>
      <c r="APA285" s="1144"/>
      <c r="APB285" s="1144"/>
      <c r="APC285" s="1144"/>
      <c r="APD285" s="1144"/>
      <c r="APE285" s="1144"/>
      <c r="APF285" s="1144"/>
      <c r="APG285" s="1144"/>
      <c r="APH285" s="1144"/>
      <c r="API285" s="1144"/>
      <c r="APJ285" s="1144"/>
      <c r="APK285" s="1144"/>
      <c r="APL285" s="1144"/>
      <c r="APM285" s="1144"/>
      <c r="APN285" s="1144"/>
      <c r="APO285" s="1144"/>
      <c r="APP285" s="1144"/>
      <c r="APQ285" s="1144"/>
      <c r="APR285" s="1144"/>
      <c r="APS285" s="1144"/>
      <c r="APT285" s="1144"/>
      <c r="APU285" s="1144"/>
      <c r="APV285" s="1144"/>
      <c r="APW285" s="1144"/>
      <c r="APX285" s="1144"/>
      <c r="APY285" s="1144"/>
      <c r="APZ285" s="1144"/>
      <c r="AQA285" s="1144"/>
      <c r="AQB285" s="1144"/>
      <c r="AQC285" s="1144"/>
      <c r="AQD285" s="1144"/>
      <c r="AQE285" s="1144"/>
      <c r="AQF285" s="1144"/>
      <c r="AQG285" s="1144"/>
      <c r="AQH285" s="1144"/>
      <c r="AQI285" s="1144"/>
      <c r="AQJ285" s="1144"/>
      <c r="AQK285" s="1144"/>
      <c r="AQL285" s="1144"/>
      <c r="AQM285" s="1144"/>
      <c r="AQN285" s="1144"/>
      <c r="AQO285" s="1144"/>
      <c r="AQP285" s="1144"/>
      <c r="AQQ285" s="1144"/>
      <c r="AQR285" s="1144"/>
      <c r="AQS285" s="1144"/>
      <c r="AQT285" s="1144"/>
      <c r="AQU285" s="1144"/>
      <c r="AQV285" s="1144"/>
      <c r="AQW285" s="1144"/>
      <c r="AQX285" s="1144"/>
      <c r="AQY285" s="1144"/>
      <c r="AQZ285" s="1144"/>
      <c r="ARA285" s="1144"/>
      <c r="ARB285" s="1144"/>
      <c r="ARC285" s="1144"/>
      <c r="ARD285" s="1144"/>
      <c r="ARE285" s="1144"/>
      <c r="ARF285" s="1144"/>
      <c r="ARG285" s="1144"/>
      <c r="ARH285" s="1144"/>
      <c r="ARI285" s="1144"/>
      <c r="ARJ285" s="1144"/>
      <c r="ARK285" s="1144"/>
      <c r="ARL285" s="1144"/>
      <c r="ARM285" s="1144"/>
      <c r="ARN285" s="1144"/>
      <c r="ARO285" s="1144"/>
      <c r="ARP285" s="1144"/>
      <c r="ARQ285" s="1144"/>
      <c r="ARR285" s="1144"/>
      <c r="ARS285" s="1144"/>
      <c r="ART285" s="1144"/>
      <c r="ARU285" s="1144"/>
      <c r="ARV285" s="1144"/>
      <c r="ARW285" s="1144"/>
      <c r="ARX285" s="1144"/>
      <c r="ARY285" s="1144"/>
      <c r="ARZ285" s="1144"/>
      <c r="ASA285" s="1144"/>
      <c r="ASB285" s="1144"/>
      <c r="ASC285" s="1144"/>
      <c r="ASD285" s="1144"/>
      <c r="ASE285" s="1144"/>
      <c r="ASF285" s="1144"/>
      <c r="ASG285" s="1144"/>
      <c r="ASH285" s="1144"/>
      <c r="ASI285" s="1144"/>
      <c r="ASJ285" s="1144"/>
      <c r="ASK285" s="1144"/>
      <c r="ASL285" s="1144"/>
      <c r="ASM285" s="1144"/>
      <c r="ASN285" s="1144"/>
      <c r="ASO285" s="1144"/>
      <c r="ASP285" s="1144"/>
      <c r="ASQ285" s="1144"/>
      <c r="ASR285" s="1144"/>
      <c r="ASS285" s="1144"/>
      <c r="AST285" s="1144"/>
      <c r="ASU285" s="1144"/>
      <c r="ASV285" s="1144"/>
      <c r="ASW285" s="1144"/>
      <c r="ASX285" s="1144"/>
      <c r="ASY285" s="1144"/>
      <c r="ASZ285" s="1144"/>
      <c r="ATA285" s="1144"/>
      <c r="ATB285" s="1144"/>
      <c r="ATC285" s="1144"/>
      <c r="ATD285" s="1144"/>
      <c r="ATE285" s="1144"/>
      <c r="ATF285" s="1144"/>
      <c r="ATG285" s="1144"/>
      <c r="ATH285" s="1144"/>
      <c r="ATI285" s="1144"/>
      <c r="ATJ285" s="1144"/>
      <c r="ATK285" s="1144"/>
      <c r="ATL285" s="1144"/>
      <c r="ATM285" s="1144"/>
      <c r="ATN285" s="1144"/>
      <c r="ATO285" s="1144"/>
      <c r="ATP285" s="1144"/>
      <c r="ATQ285" s="1144"/>
      <c r="ATR285" s="1144"/>
      <c r="ATS285" s="1144"/>
      <c r="ATT285" s="1144"/>
      <c r="ATU285" s="1144"/>
      <c r="ATV285" s="1144"/>
      <c r="ATW285" s="1144"/>
      <c r="ATX285" s="1144"/>
      <c r="ATY285" s="1144"/>
      <c r="ATZ285" s="1144"/>
      <c r="AUA285" s="1144"/>
      <c r="AUB285" s="1144"/>
      <c r="AUC285" s="1144"/>
      <c r="AUD285" s="1144"/>
      <c r="AUE285" s="1144"/>
      <c r="AUF285" s="1144"/>
      <c r="AUG285" s="1144"/>
      <c r="AUH285" s="1144"/>
      <c r="AUI285" s="1144"/>
      <c r="AUJ285" s="1144"/>
      <c r="AUK285" s="1144"/>
      <c r="AUL285" s="1144"/>
      <c r="AUM285" s="1144"/>
      <c r="AUN285" s="1144"/>
      <c r="AUO285" s="1144"/>
      <c r="AUP285" s="1144"/>
      <c r="AUQ285" s="1144"/>
      <c r="AUR285" s="1144"/>
      <c r="AUS285" s="1144"/>
      <c r="AUT285" s="1144"/>
      <c r="AUU285" s="1144"/>
      <c r="AUV285" s="1144"/>
      <c r="AUW285" s="1144"/>
      <c r="AUX285" s="1144"/>
      <c r="AUY285" s="1144"/>
      <c r="AUZ285" s="1144"/>
      <c r="AVA285" s="1144"/>
      <c r="AVB285" s="1144"/>
      <c r="AVC285" s="1144"/>
      <c r="AVD285" s="1144"/>
      <c r="AVE285" s="1144"/>
      <c r="AVF285" s="1144"/>
      <c r="AVG285" s="1144"/>
      <c r="AVH285" s="1144"/>
      <c r="AVI285" s="1144"/>
      <c r="AVJ285" s="1144"/>
      <c r="AVK285" s="1144"/>
      <c r="AVL285" s="1144"/>
      <c r="AVM285" s="1144"/>
      <c r="AVN285" s="1144"/>
      <c r="AVO285" s="1144"/>
      <c r="AVP285" s="1144"/>
      <c r="AVQ285" s="1144"/>
      <c r="AVR285" s="1144"/>
      <c r="AVS285" s="1144"/>
      <c r="AVT285" s="1144"/>
      <c r="AVU285" s="1144"/>
      <c r="AVV285" s="1144"/>
      <c r="AVW285" s="1144"/>
      <c r="AVX285" s="1144"/>
      <c r="AVY285" s="1144"/>
      <c r="AVZ285" s="1144"/>
      <c r="AWA285" s="1144"/>
      <c r="AWB285" s="1144"/>
      <c r="AWC285" s="1144"/>
      <c r="AWD285" s="1144"/>
      <c r="AWE285" s="1144"/>
      <c r="AWF285" s="1144"/>
      <c r="AWG285" s="1144"/>
      <c r="AWH285" s="1144"/>
      <c r="AWI285" s="1144"/>
      <c r="AWJ285" s="1144"/>
      <c r="AWK285" s="1144"/>
      <c r="AWL285" s="1144"/>
      <c r="AWM285" s="1144"/>
      <c r="AWN285" s="1144"/>
      <c r="AWO285" s="1144"/>
      <c r="AWP285" s="1144"/>
      <c r="AWQ285" s="1144"/>
      <c r="AWR285" s="1144"/>
      <c r="AWS285" s="1144"/>
      <c r="AWT285" s="1144"/>
      <c r="AWU285" s="1144"/>
      <c r="AWV285" s="1144"/>
      <c r="AWW285" s="1144"/>
      <c r="AWX285" s="1144"/>
      <c r="AWY285" s="1144"/>
      <c r="AWZ285" s="1144"/>
      <c r="AXA285" s="1144"/>
      <c r="AXB285" s="1144"/>
      <c r="AXC285" s="1144"/>
      <c r="AXD285" s="1144"/>
      <c r="AXE285" s="1144"/>
      <c r="AXF285" s="1144"/>
      <c r="AXG285" s="1144"/>
      <c r="AXH285" s="1144"/>
      <c r="AXI285" s="1144"/>
      <c r="AXJ285" s="1144"/>
      <c r="AXK285" s="1144"/>
      <c r="AXL285" s="1144"/>
      <c r="AXM285" s="1144"/>
      <c r="AXN285" s="1144"/>
      <c r="AXO285" s="1144"/>
      <c r="AXP285" s="1144"/>
      <c r="AXQ285" s="1144"/>
      <c r="AXR285" s="1144"/>
      <c r="AXS285" s="1144"/>
      <c r="AXT285" s="1144"/>
      <c r="AXU285" s="1144"/>
      <c r="AXV285" s="1144"/>
      <c r="AXW285" s="1144"/>
      <c r="AXX285" s="1144"/>
      <c r="AXY285" s="1144"/>
      <c r="AXZ285" s="1144"/>
      <c r="AYA285" s="1144"/>
      <c r="AYB285" s="1144"/>
      <c r="AYC285" s="1144"/>
      <c r="AYD285" s="1144"/>
      <c r="AYE285" s="1144"/>
      <c r="AYF285" s="1144"/>
      <c r="AYG285" s="1144"/>
      <c r="AYH285" s="1144"/>
      <c r="AYI285" s="1144"/>
      <c r="AYJ285" s="1144"/>
      <c r="AYK285" s="1144"/>
      <c r="AYL285" s="1144"/>
      <c r="AYM285" s="1144"/>
      <c r="AYN285" s="1144"/>
      <c r="AYO285" s="1144"/>
      <c r="AYP285" s="1144"/>
      <c r="AYQ285" s="1144"/>
      <c r="AYR285" s="1144"/>
      <c r="AYS285" s="1144"/>
      <c r="AYT285" s="1144"/>
      <c r="AYU285" s="1144"/>
      <c r="AYV285" s="1144"/>
      <c r="AYW285" s="1144"/>
      <c r="AYX285" s="1144"/>
      <c r="AYY285" s="1144"/>
      <c r="AYZ285" s="1144"/>
      <c r="AZA285" s="1144"/>
      <c r="AZB285" s="1144"/>
      <c r="AZC285" s="1144"/>
      <c r="AZD285" s="1144"/>
      <c r="AZE285" s="1144"/>
      <c r="AZF285" s="1144"/>
      <c r="AZG285" s="1144"/>
      <c r="AZH285" s="1144"/>
      <c r="AZI285" s="1144"/>
      <c r="AZJ285" s="1144"/>
      <c r="AZK285" s="1144"/>
      <c r="AZL285" s="1144"/>
      <c r="AZM285" s="1144"/>
      <c r="AZN285" s="1144"/>
      <c r="AZO285" s="1144"/>
      <c r="AZP285" s="1144"/>
      <c r="AZQ285" s="1144"/>
      <c r="AZR285" s="1144"/>
      <c r="AZS285" s="1144"/>
      <c r="AZT285" s="1144"/>
      <c r="AZU285" s="1144"/>
      <c r="AZV285" s="1144"/>
      <c r="AZW285" s="1144"/>
      <c r="AZX285" s="1144"/>
      <c r="AZY285" s="1144"/>
      <c r="AZZ285" s="1144"/>
      <c r="BAA285" s="1144"/>
      <c r="BAB285" s="1144"/>
      <c r="BAC285" s="1144"/>
      <c r="BAD285" s="1144"/>
      <c r="BAE285" s="1144"/>
      <c r="BAF285" s="1144"/>
      <c r="BAG285" s="1144"/>
      <c r="BAH285" s="1144"/>
      <c r="BAI285" s="1144"/>
      <c r="BAJ285" s="1144"/>
      <c r="BAK285" s="1144"/>
      <c r="BAL285" s="1144"/>
      <c r="BAM285" s="1144"/>
      <c r="BAN285" s="1144"/>
      <c r="BAO285" s="1144"/>
      <c r="BAP285" s="1144"/>
      <c r="BAQ285" s="1144"/>
      <c r="BAR285" s="1144"/>
      <c r="BAS285" s="1144"/>
      <c r="BAT285" s="1144"/>
      <c r="BAU285" s="1144"/>
      <c r="BAV285" s="1144"/>
      <c r="BAW285" s="1144"/>
      <c r="BAX285" s="1144"/>
      <c r="BAY285" s="1144"/>
      <c r="BAZ285" s="1144"/>
      <c r="BBA285" s="1144"/>
      <c r="BBB285" s="1144"/>
      <c r="BBC285" s="1144"/>
      <c r="BBD285" s="1144"/>
      <c r="BBE285" s="1144"/>
      <c r="BBF285" s="1144"/>
      <c r="BBG285" s="1144"/>
      <c r="BBH285" s="1144"/>
      <c r="BBI285" s="1144"/>
      <c r="BBJ285" s="1144"/>
      <c r="BBK285" s="1144"/>
      <c r="BBL285" s="1144"/>
      <c r="BBM285" s="1144"/>
      <c r="BBN285" s="1144"/>
      <c r="BBO285" s="1144"/>
      <c r="BBP285" s="1144"/>
      <c r="BBQ285" s="1144"/>
      <c r="BBR285" s="1144"/>
      <c r="BBS285" s="1144"/>
      <c r="BBT285" s="1144"/>
      <c r="BBU285" s="1144"/>
      <c r="BBV285" s="1144"/>
      <c r="BBW285" s="1144"/>
      <c r="BBX285" s="1144"/>
      <c r="BBY285" s="1144"/>
      <c r="BBZ285" s="1144"/>
      <c r="BCA285" s="1144"/>
      <c r="BCB285" s="1144"/>
      <c r="BCC285" s="1144"/>
      <c r="BCD285" s="1144"/>
      <c r="BCE285" s="1144"/>
      <c r="BCF285" s="1144"/>
      <c r="BCG285" s="1144"/>
      <c r="BCH285" s="1144"/>
      <c r="BCI285" s="1144"/>
      <c r="BCJ285" s="1144"/>
      <c r="BCK285" s="1144"/>
      <c r="BCL285" s="1144"/>
      <c r="BCM285" s="1144"/>
      <c r="BCN285" s="1144"/>
      <c r="BCO285" s="1144"/>
      <c r="BCP285" s="1144"/>
      <c r="BCQ285" s="1144"/>
      <c r="BCR285" s="1144"/>
      <c r="BCS285" s="1144"/>
      <c r="BCT285" s="1144"/>
      <c r="BCU285" s="1144"/>
      <c r="BCV285" s="1144"/>
      <c r="BCW285" s="1144"/>
      <c r="BCX285" s="1144"/>
      <c r="BCY285" s="1144"/>
      <c r="BCZ285" s="1144"/>
      <c r="BDA285" s="1144"/>
      <c r="BDB285" s="1144"/>
      <c r="BDC285" s="1144"/>
      <c r="BDD285" s="1144"/>
      <c r="BDE285" s="1144"/>
      <c r="BDF285" s="1144"/>
      <c r="BDG285" s="1144"/>
      <c r="BDH285" s="1144"/>
      <c r="BDI285" s="1144"/>
      <c r="BDJ285" s="1144"/>
      <c r="BDK285" s="1144"/>
      <c r="BDL285" s="1144"/>
      <c r="BDM285" s="1144"/>
      <c r="BDN285" s="1144"/>
      <c r="BDO285" s="1144"/>
      <c r="BDP285" s="1144"/>
      <c r="BDQ285" s="1144"/>
      <c r="BDR285" s="1144"/>
      <c r="BDS285" s="1144"/>
      <c r="BDT285" s="1144"/>
      <c r="BDU285" s="1144"/>
      <c r="BDV285" s="1144"/>
      <c r="BDW285" s="1144"/>
      <c r="BDX285" s="1144"/>
      <c r="BDY285" s="1144"/>
      <c r="BDZ285" s="1144"/>
      <c r="BEA285" s="1144"/>
      <c r="BEB285" s="1144"/>
      <c r="BEC285" s="1144"/>
      <c r="BED285" s="1144"/>
      <c r="BEE285" s="1144"/>
      <c r="BEF285" s="1144"/>
      <c r="BEG285" s="1144"/>
      <c r="BEH285" s="1144"/>
      <c r="BEI285" s="1144"/>
      <c r="BEJ285" s="1144"/>
      <c r="BEK285" s="1144"/>
      <c r="BEL285" s="1144"/>
      <c r="BEM285" s="1144"/>
      <c r="BEN285" s="1144"/>
      <c r="BEO285" s="1144"/>
      <c r="BEP285" s="1144"/>
      <c r="BEQ285" s="1144"/>
      <c r="BER285" s="1144"/>
      <c r="BES285" s="1144"/>
      <c r="BET285" s="1144"/>
      <c r="BEU285" s="1144"/>
      <c r="BEV285" s="1144"/>
      <c r="BEW285" s="1144"/>
      <c r="BEX285" s="1144"/>
      <c r="BEY285" s="1144"/>
      <c r="BEZ285" s="1144"/>
      <c r="BFA285" s="1144"/>
      <c r="BFB285" s="1144"/>
      <c r="BFC285" s="1144"/>
      <c r="BFD285" s="1144"/>
      <c r="BFE285" s="1144"/>
      <c r="BFF285" s="1144"/>
      <c r="BFG285" s="1144"/>
      <c r="BFH285" s="1144"/>
      <c r="BFI285" s="1144"/>
      <c r="BFJ285" s="1144"/>
      <c r="BFK285" s="1144"/>
      <c r="BFL285" s="1144"/>
      <c r="BFM285" s="1144"/>
      <c r="BFN285" s="1144"/>
      <c r="BFO285" s="1144"/>
      <c r="BFP285" s="1144"/>
      <c r="BFQ285" s="1144"/>
      <c r="BFR285" s="1144"/>
      <c r="BFS285" s="1144"/>
      <c r="BFT285" s="1144"/>
      <c r="BFU285" s="1144"/>
      <c r="BFV285" s="1144"/>
      <c r="BFW285" s="1144"/>
      <c r="BFX285" s="1144"/>
      <c r="BFY285" s="1144"/>
      <c r="BFZ285" s="1144"/>
      <c r="BGA285" s="1144"/>
      <c r="BGB285" s="1144"/>
      <c r="BGC285" s="1144"/>
      <c r="BGD285" s="1144"/>
      <c r="BGE285" s="1144"/>
      <c r="BGF285" s="1144"/>
      <c r="BGG285" s="1144"/>
      <c r="BGH285" s="1144"/>
      <c r="BGI285" s="1144"/>
      <c r="BGJ285" s="1144"/>
      <c r="BGK285" s="1144"/>
      <c r="BGL285" s="1144"/>
      <c r="BGM285" s="1144"/>
      <c r="BGN285" s="1144"/>
      <c r="BGO285" s="1144"/>
      <c r="BGP285" s="1144"/>
      <c r="BGQ285" s="1144"/>
      <c r="BGR285" s="1144"/>
      <c r="BGS285" s="1144"/>
      <c r="BGT285" s="1144"/>
      <c r="BGU285" s="1144"/>
      <c r="BGV285" s="1144"/>
      <c r="BGW285" s="1144"/>
      <c r="BGX285" s="1144"/>
      <c r="BGY285" s="1144"/>
      <c r="BGZ285" s="1144"/>
      <c r="BHA285" s="1144"/>
      <c r="BHB285" s="1144"/>
      <c r="BHC285" s="1144"/>
      <c r="BHD285" s="1144"/>
      <c r="BHE285" s="1144"/>
      <c r="BHF285" s="1144"/>
      <c r="BHG285" s="1144"/>
      <c r="BHH285" s="1144"/>
      <c r="BHI285" s="1144"/>
      <c r="BHJ285" s="1144"/>
      <c r="BHK285" s="1144"/>
      <c r="BHL285" s="1144"/>
      <c r="BHM285" s="1144"/>
      <c r="BHN285" s="1144"/>
      <c r="BHO285" s="1144"/>
      <c r="BHP285" s="1144"/>
      <c r="BHQ285" s="1144"/>
      <c r="BHR285" s="1144"/>
      <c r="BHS285" s="1144"/>
      <c r="BHT285" s="1144"/>
      <c r="BHU285" s="1144"/>
      <c r="BHV285" s="1144"/>
      <c r="BHW285" s="1144"/>
      <c r="BHX285" s="1144"/>
      <c r="BHY285" s="1144"/>
      <c r="BHZ285" s="1144"/>
      <c r="BIA285" s="1144"/>
      <c r="BIB285" s="1144"/>
      <c r="BIC285" s="1144"/>
      <c r="BID285" s="1144"/>
      <c r="BIE285" s="1144"/>
      <c r="BIF285" s="1144"/>
      <c r="BIG285" s="1144"/>
      <c r="BIH285" s="1144"/>
      <c r="BII285" s="1144"/>
      <c r="BIJ285" s="1144"/>
      <c r="BIK285" s="1144"/>
      <c r="BIL285" s="1144"/>
      <c r="BIM285" s="1144"/>
      <c r="BIN285" s="1144"/>
      <c r="BIO285" s="1144"/>
      <c r="BIP285" s="1144"/>
      <c r="BIQ285" s="1144"/>
      <c r="BIR285" s="1144"/>
      <c r="BIS285" s="1144"/>
      <c r="BIT285" s="1144"/>
      <c r="BIU285" s="1144"/>
      <c r="BIV285" s="1144"/>
      <c r="BIW285" s="1144"/>
      <c r="BIX285" s="1144"/>
      <c r="BIY285" s="1144"/>
      <c r="BIZ285" s="1144"/>
      <c r="BJA285" s="1144"/>
      <c r="BJB285" s="1144"/>
      <c r="BJC285" s="1144"/>
      <c r="BJD285" s="1144"/>
      <c r="BJE285" s="1144"/>
      <c r="BJF285" s="1144"/>
      <c r="BJG285" s="1144"/>
      <c r="BJH285" s="1144"/>
      <c r="BJI285" s="1144"/>
      <c r="BJJ285" s="1144"/>
      <c r="BJK285" s="1144"/>
      <c r="BJL285" s="1144"/>
      <c r="BJM285" s="1144"/>
      <c r="BJN285" s="1144"/>
      <c r="BJO285" s="1144"/>
      <c r="BJP285" s="1144"/>
      <c r="BJQ285" s="1144"/>
      <c r="BJR285" s="1144"/>
      <c r="BJS285" s="1144"/>
      <c r="BJT285" s="1144"/>
      <c r="BJU285" s="1144"/>
      <c r="BJV285" s="1144"/>
      <c r="BJW285" s="1144"/>
      <c r="BJX285" s="1144"/>
      <c r="BJY285" s="1144"/>
      <c r="BJZ285" s="1144"/>
      <c r="BKA285" s="1144"/>
      <c r="BKB285" s="1144"/>
      <c r="BKC285" s="1144"/>
      <c r="BKD285" s="1144"/>
      <c r="BKE285" s="1144"/>
      <c r="BKF285" s="1144"/>
      <c r="BKG285" s="1144"/>
      <c r="BKH285" s="1144"/>
      <c r="BKI285" s="1144"/>
      <c r="BKJ285" s="1144"/>
      <c r="BKK285" s="1144"/>
      <c r="BKL285" s="1144"/>
      <c r="BKM285" s="1144"/>
      <c r="BKN285" s="1144"/>
      <c r="BKO285" s="1144"/>
      <c r="BKP285" s="1144"/>
      <c r="BKQ285" s="1144"/>
      <c r="BKR285" s="1144"/>
      <c r="BKS285" s="1144"/>
      <c r="BKT285" s="1144"/>
      <c r="BKU285" s="1144"/>
      <c r="BKV285" s="1144"/>
      <c r="BKW285" s="1144"/>
      <c r="BKX285" s="1144"/>
      <c r="BKY285" s="1144"/>
      <c r="BKZ285" s="1144"/>
      <c r="BLA285" s="1144"/>
      <c r="BLB285" s="1144"/>
      <c r="BLC285" s="1144"/>
      <c r="BLD285" s="1144"/>
      <c r="BLE285" s="1144"/>
      <c r="BLF285" s="1144"/>
      <c r="BLG285" s="1144"/>
      <c r="BLH285" s="1144"/>
      <c r="BLI285" s="1144"/>
      <c r="BLJ285" s="1144"/>
      <c r="BLK285" s="1144"/>
      <c r="BLL285" s="1144"/>
      <c r="BLM285" s="1144"/>
      <c r="BLN285" s="1144"/>
      <c r="BLO285" s="1144"/>
      <c r="BLP285" s="1144"/>
      <c r="BLQ285" s="1144"/>
      <c r="BLR285" s="1144"/>
      <c r="BLS285" s="1144"/>
      <c r="BLT285" s="1144"/>
      <c r="BLU285" s="1144"/>
      <c r="BLV285" s="1144"/>
      <c r="BLW285" s="1144"/>
      <c r="BLX285" s="1144"/>
      <c r="BLY285" s="1144"/>
      <c r="BLZ285" s="1144"/>
      <c r="BMA285" s="1144"/>
      <c r="BMB285" s="1144"/>
      <c r="BMC285" s="1144"/>
      <c r="BMD285" s="1144"/>
      <c r="BME285" s="1144"/>
      <c r="BMF285" s="1144"/>
      <c r="BMG285" s="1144"/>
      <c r="BMH285" s="1144"/>
      <c r="BMI285" s="1144"/>
      <c r="BMJ285" s="1144"/>
      <c r="BMK285" s="1144"/>
      <c r="BML285" s="1144"/>
      <c r="BMM285" s="1144"/>
      <c r="BMN285" s="1144"/>
      <c r="BMO285" s="1144"/>
      <c r="BMP285" s="1144"/>
      <c r="BMQ285" s="1144"/>
      <c r="BMR285" s="1144"/>
      <c r="BMS285" s="1144"/>
      <c r="BMT285" s="1144"/>
      <c r="BMU285" s="1144"/>
      <c r="BMV285" s="1144"/>
      <c r="BMW285" s="1144"/>
      <c r="BMX285" s="1144"/>
      <c r="BMY285" s="1144"/>
      <c r="BMZ285" s="1144"/>
      <c r="BNA285" s="1144"/>
      <c r="BNB285" s="1144"/>
      <c r="BNC285" s="1144"/>
      <c r="BND285" s="1144"/>
      <c r="BNE285" s="1144"/>
      <c r="BNF285" s="1144"/>
      <c r="BNG285" s="1144"/>
      <c r="BNH285" s="1144"/>
      <c r="BNI285" s="1144"/>
      <c r="BNJ285" s="1144"/>
      <c r="BNK285" s="1144"/>
      <c r="BNL285" s="1144"/>
      <c r="BNM285" s="1144"/>
      <c r="BNN285" s="1144"/>
      <c r="BNO285" s="1144"/>
      <c r="BNP285" s="1144"/>
      <c r="BNQ285" s="1144"/>
      <c r="BNR285" s="1144"/>
      <c r="BNS285" s="1144"/>
      <c r="BNT285" s="1144"/>
      <c r="BNU285" s="1144"/>
      <c r="BNV285" s="1144"/>
      <c r="BNW285" s="1144"/>
      <c r="BNX285" s="1144"/>
      <c r="BNY285" s="1144"/>
      <c r="BNZ285" s="1144"/>
      <c r="BOA285" s="1144"/>
      <c r="BOB285" s="1144"/>
      <c r="BOC285" s="1144"/>
      <c r="BOD285" s="1144"/>
      <c r="BOE285" s="1144"/>
      <c r="BOF285" s="1144"/>
      <c r="BOG285" s="1144"/>
      <c r="BOH285" s="1144"/>
      <c r="BOI285" s="1144"/>
      <c r="BOJ285" s="1144"/>
      <c r="BOK285" s="1144"/>
      <c r="BOL285" s="1144"/>
      <c r="BOM285" s="1144"/>
      <c r="BON285" s="1144"/>
      <c r="BOO285" s="1144"/>
      <c r="BOP285" s="1144"/>
      <c r="BOQ285" s="1144"/>
      <c r="BOR285" s="1144"/>
      <c r="BOS285" s="1144"/>
      <c r="BOT285" s="1144"/>
      <c r="BOU285" s="1144"/>
      <c r="BOV285" s="1144"/>
      <c r="BOW285" s="1144"/>
      <c r="BOX285" s="1144"/>
      <c r="BOY285" s="1144"/>
      <c r="BOZ285" s="1144"/>
      <c r="BPA285" s="1144"/>
      <c r="BPB285" s="1144"/>
      <c r="BPC285" s="1144"/>
      <c r="BPD285" s="1144"/>
      <c r="BPE285" s="1144"/>
      <c r="BPF285" s="1144"/>
      <c r="BPG285" s="1144"/>
      <c r="BPH285" s="1144"/>
      <c r="BPI285" s="1144"/>
      <c r="BPJ285" s="1144"/>
      <c r="BPK285" s="1144"/>
      <c r="BPL285" s="1144"/>
      <c r="BPM285" s="1144"/>
      <c r="BPN285" s="1144"/>
      <c r="BPO285" s="1144"/>
      <c r="BPP285" s="1144"/>
      <c r="BPQ285" s="1144"/>
      <c r="BPR285" s="1144"/>
      <c r="BPS285" s="1144"/>
      <c r="BPT285" s="1144"/>
      <c r="BPU285" s="1144"/>
      <c r="BPV285" s="1144"/>
      <c r="BPW285" s="1144"/>
      <c r="BPX285" s="1144"/>
      <c r="BPY285" s="1144"/>
      <c r="BPZ285" s="1144"/>
      <c r="BQA285" s="1144"/>
      <c r="BQB285" s="1144"/>
      <c r="BQC285" s="1144"/>
      <c r="BQD285" s="1144"/>
      <c r="BQE285" s="1144"/>
      <c r="BQF285" s="1144"/>
      <c r="BQG285" s="1144"/>
      <c r="BQH285" s="1144"/>
      <c r="BQI285" s="1144"/>
      <c r="BQJ285" s="1144"/>
      <c r="BQK285" s="1144"/>
      <c r="BQL285" s="1144"/>
      <c r="BQM285" s="1144"/>
      <c r="BQN285" s="1144"/>
      <c r="BQO285" s="1144"/>
      <c r="BQP285" s="1144"/>
      <c r="BQQ285" s="1144"/>
      <c r="BQR285" s="1144"/>
      <c r="BQS285" s="1144"/>
      <c r="BQT285" s="1144"/>
      <c r="BQU285" s="1144"/>
      <c r="BQV285" s="1144"/>
      <c r="BQW285" s="1144"/>
      <c r="BQX285" s="1144"/>
      <c r="BQY285" s="1144"/>
      <c r="BQZ285" s="1144"/>
      <c r="BRA285" s="1144"/>
      <c r="BRB285" s="1144"/>
      <c r="BRC285" s="1144"/>
      <c r="BRD285" s="1144"/>
      <c r="BRE285" s="1144"/>
      <c r="BRF285" s="1144"/>
      <c r="BRG285" s="1144"/>
      <c r="BRH285" s="1144"/>
      <c r="BRI285" s="1144"/>
      <c r="BRJ285" s="1144"/>
      <c r="BRK285" s="1144"/>
      <c r="BRL285" s="1144"/>
      <c r="BRM285" s="1144"/>
      <c r="BRN285" s="1144"/>
      <c r="BRO285" s="1144"/>
      <c r="BRP285" s="1144"/>
      <c r="BRQ285" s="1144"/>
      <c r="BRR285" s="1144"/>
      <c r="BRS285" s="1144"/>
      <c r="BRT285" s="1144"/>
      <c r="BRU285" s="1144"/>
      <c r="BRV285" s="1144"/>
      <c r="BRW285" s="1144"/>
      <c r="BRX285" s="1144"/>
      <c r="BRY285" s="1144"/>
      <c r="BRZ285" s="1144"/>
      <c r="BSA285" s="1144"/>
      <c r="BSB285" s="1144"/>
      <c r="BSC285" s="1144"/>
      <c r="BSD285" s="1144"/>
      <c r="BSE285" s="1144"/>
      <c r="BSF285" s="1144"/>
      <c r="BSG285" s="1144"/>
      <c r="BSH285" s="1144"/>
      <c r="BSI285" s="1144"/>
      <c r="BSJ285" s="1144"/>
      <c r="BSK285" s="1144"/>
      <c r="BSL285" s="1144"/>
      <c r="BSM285" s="1144"/>
      <c r="BSN285" s="1144"/>
      <c r="BSO285" s="1144"/>
      <c r="BSP285" s="1144"/>
      <c r="BSQ285" s="1144"/>
      <c r="BSR285" s="1144"/>
      <c r="BSS285" s="1144"/>
      <c r="BST285" s="1144"/>
      <c r="BSU285" s="1144"/>
      <c r="BSV285" s="1144"/>
      <c r="BSW285" s="1144"/>
      <c r="BSX285" s="1144"/>
      <c r="BSY285" s="1144"/>
      <c r="BSZ285" s="1144"/>
      <c r="BTA285" s="1144"/>
      <c r="BTB285" s="1144"/>
      <c r="BTC285" s="1144"/>
      <c r="BTD285" s="1144"/>
      <c r="BTE285" s="1144"/>
      <c r="BTF285" s="1144"/>
      <c r="BTG285" s="1144"/>
      <c r="BTH285" s="1144"/>
      <c r="BTI285" s="1144"/>
      <c r="BTJ285" s="1144"/>
      <c r="BTK285" s="1144"/>
      <c r="BTL285" s="1144"/>
      <c r="BTM285" s="1144"/>
      <c r="BTN285" s="1144"/>
      <c r="BTO285" s="1144"/>
      <c r="BTP285" s="1144"/>
      <c r="BTQ285" s="1144"/>
      <c r="BTR285" s="1144"/>
      <c r="BTS285" s="1144"/>
      <c r="BTT285" s="1144"/>
      <c r="BTU285" s="1144"/>
      <c r="BTV285" s="1144"/>
      <c r="BTW285" s="1144"/>
      <c r="BTX285" s="1144"/>
      <c r="BTY285" s="1144"/>
      <c r="BTZ285" s="1144"/>
      <c r="BUA285" s="1144"/>
      <c r="BUB285" s="1144"/>
      <c r="BUC285" s="1144"/>
      <c r="BUD285" s="1144"/>
      <c r="BUE285" s="1144"/>
      <c r="BUF285" s="1144"/>
      <c r="BUG285" s="1144"/>
      <c r="BUH285" s="1144"/>
      <c r="BUI285" s="1144"/>
      <c r="BUJ285" s="1144"/>
      <c r="BUK285" s="1144"/>
      <c r="BUL285" s="1144"/>
      <c r="BUM285" s="1144"/>
      <c r="BUN285" s="1144"/>
      <c r="BUO285" s="1144"/>
      <c r="BUP285" s="1144"/>
      <c r="BUQ285" s="1144"/>
      <c r="BUR285" s="1144"/>
      <c r="BUS285" s="1144"/>
      <c r="BUT285" s="1144"/>
      <c r="BUU285" s="1144"/>
      <c r="BUV285" s="1144"/>
      <c r="BUW285" s="1144"/>
      <c r="BUX285" s="1144"/>
      <c r="BUY285" s="1144"/>
      <c r="BUZ285" s="1144"/>
      <c r="BVA285" s="1144"/>
      <c r="BVB285" s="1144"/>
      <c r="BVC285" s="1144"/>
      <c r="BVD285" s="1144"/>
      <c r="BVE285" s="1144"/>
      <c r="BVF285" s="1144"/>
      <c r="BVG285" s="1144"/>
      <c r="BVH285" s="1144"/>
      <c r="BVI285" s="1144"/>
      <c r="BVJ285" s="1144"/>
      <c r="BVK285" s="1144"/>
      <c r="BVL285" s="1144"/>
      <c r="BVM285" s="1144"/>
      <c r="BVN285" s="1144"/>
      <c r="BVO285" s="1144"/>
      <c r="BVP285" s="1144"/>
      <c r="BVQ285" s="1144"/>
      <c r="BVR285" s="1144"/>
      <c r="BVS285" s="1144"/>
      <c r="BVT285" s="1144"/>
      <c r="BVU285" s="1144"/>
      <c r="BVV285" s="1144"/>
      <c r="BVW285" s="1144"/>
      <c r="BVX285" s="1144"/>
      <c r="BVY285" s="1144"/>
      <c r="BVZ285" s="1144"/>
      <c r="BWA285" s="1144"/>
      <c r="BWB285" s="1144"/>
      <c r="BWC285" s="1144"/>
      <c r="BWD285" s="1144"/>
      <c r="BWE285" s="1144"/>
      <c r="BWF285" s="1144"/>
      <c r="BWG285" s="1144"/>
      <c r="BWH285" s="1144"/>
      <c r="BWI285" s="1144"/>
      <c r="BWJ285" s="1144"/>
      <c r="BWK285" s="1144"/>
      <c r="BWL285" s="1144"/>
      <c r="BWM285" s="1144"/>
      <c r="BWN285" s="1144"/>
      <c r="BWO285" s="1144"/>
      <c r="BWP285" s="1144"/>
      <c r="BWQ285" s="1144"/>
      <c r="BWR285" s="1144"/>
      <c r="BWS285" s="1144"/>
      <c r="BWT285" s="1144"/>
      <c r="BWU285" s="1144"/>
      <c r="BWV285" s="1144"/>
      <c r="BWW285" s="1144"/>
      <c r="BWX285" s="1144"/>
      <c r="BWY285" s="1144"/>
      <c r="BWZ285" s="1144"/>
      <c r="BXA285" s="1144"/>
      <c r="BXB285" s="1144"/>
      <c r="BXC285" s="1144"/>
      <c r="BXD285" s="1144"/>
      <c r="BXE285" s="1144"/>
      <c r="BXF285" s="1144"/>
      <c r="BXG285" s="1144"/>
      <c r="BXH285" s="1144"/>
      <c r="BXI285" s="1144"/>
      <c r="BXJ285" s="1144"/>
      <c r="BXK285" s="1144"/>
      <c r="BXL285" s="1144"/>
      <c r="BXM285" s="1144"/>
      <c r="BXN285" s="1144"/>
      <c r="BXO285" s="1144"/>
      <c r="BXP285" s="1144"/>
      <c r="BXQ285" s="1144"/>
      <c r="BXR285" s="1144"/>
      <c r="BXS285" s="1144"/>
      <c r="BXT285" s="1144"/>
      <c r="BXU285" s="1144"/>
      <c r="BXV285" s="1144"/>
      <c r="BXW285" s="1144"/>
      <c r="BXX285" s="1144"/>
      <c r="BXY285" s="1144"/>
      <c r="BXZ285" s="1144"/>
      <c r="BYA285" s="1144"/>
      <c r="BYB285" s="1144"/>
      <c r="BYC285" s="1144"/>
      <c r="BYD285" s="1144"/>
      <c r="BYE285" s="1144"/>
      <c r="BYF285" s="1144"/>
      <c r="BYG285" s="1144"/>
      <c r="BYH285" s="1144"/>
      <c r="BYI285" s="1144"/>
      <c r="BYJ285" s="1144"/>
      <c r="BYK285" s="1144"/>
      <c r="BYL285" s="1144"/>
      <c r="BYM285" s="1144"/>
      <c r="BYN285" s="1144"/>
      <c r="BYO285" s="1144"/>
      <c r="BYP285" s="1144"/>
      <c r="BYQ285" s="1144"/>
      <c r="BYR285" s="1144"/>
      <c r="BYS285" s="1144"/>
      <c r="BYT285" s="1144"/>
      <c r="BYU285" s="1144"/>
      <c r="BYV285" s="1144"/>
      <c r="BYW285" s="1144"/>
      <c r="BYX285" s="1144"/>
      <c r="BYY285" s="1144"/>
      <c r="BYZ285" s="1144"/>
      <c r="BZA285" s="1144"/>
      <c r="BZB285" s="1144"/>
      <c r="BZC285" s="1144"/>
      <c r="BZD285" s="1144"/>
      <c r="BZE285" s="1144"/>
      <c r="BZF285" s="1144"/>
      <c r="BZG285" s="1144"/>
      <c r="BZH285" s="1144"/>
      <c r="BZI285" s="1144"/>
      <c r="BZJ285" s="1144"/>
      <c r="BZK285" s="1144"/>
      <c r="BZL285" s="1144"/>
      <c r="BZM285" s="1144"/>
      <c r="BZN285" s="1144"/>
      <c r="BZO285" s="1144"/>
      <c r="BZP285" s="1144"/>
      <c r="BZQ285" s="1144"/>
      <c r="BZR285" s="1144"/>
      <c r="BZS285" s="1144"/>
      <c r="BZT285" s="1144"/>
      <c r="BZU285" s="1144"/>
      <c r="BZV285" s="1144"/>
      <c r="BZW285" s="1144"/>
      <c r="BZX285" s="1144"/>
      <c r="BZY285" s="1144"/>
      <c r="BZZ285" s="1144"/>
      <c r="CAA285" s="1144"/>
      <c r="CAB285" s="1144"/>
      <c r="CAC285" s="1144"/>
      <c r="CAD285" s="1144"/>
      <c r="CAE285" s="1144"/>
      <c r="CAF285" s="1144"/>
      <c r="CAG285" s="1144"/>
      <c r="CAH285" s="1144"/>
      <c r="CAI285" s="1144"/>
      <c r="CAJ285" s="1144"/>
      <c r="CAK285" s="1144"/>
      <c r="CAL285" s="1144"/>
      <c r="CAM285" s="1144"/>
      <c r="CAN285" s="1144"/>
      <c r="CAO285" s="1144"/>
      <c r="CAP285" s="1144"/>
      <c r="CAQ285" s="1144"/>
      <c r="CAR285" s="1144"/>
      <c r="CAS285" s="1144"/>
      <c r="CAT285" s="1144"/>
      <c r="CAU285" s="1144"/>
      <c r="CAV285" s="1144"/>
      <c r="CAW285" s="1144"/>
      <c r="CAX285" s="1144"/>
      <c r="CAY285" s="1144"/>
      <c r="CAZ285" s="1144"/>
      <c r="CBA285" s="1144"/>
      <c r="CBB285" s="1144"/>
      <c r="CBC285" s="1144"/>
      <c r="CBD285" s="1144"/>
      <c r="CBE285" s="1144"/>
      <c r="CBF285" s="1144"/>
      <c r="CBG285" s="1144"/>
      <c r="CBH285" s="1144"/>
      <c r="CBI285" s="1144"/>
      <c r="CBJ285" s="1144"/>
      <c r="CBK285" s="1144"/>
      <c r="CBL285" s="1144"/>
      <c r="CBM285" s="1144"/>
      <c r="CBN285" s="1144"/>
      <c r="CBO285" s="1144"/>
      <c r="CBP285" s="1144"/>
      <c r="CBQ285" s="1144"/>
      <c r="CBR285" s="1144"/>
      <c r="CBS285" s="1144"/>
      <c r="CBT285" s="1144"/>
      <c r="CBU285" s="1144"/>
      <c r="CBV285" s="1144"/>
      <c r="CBW285" s="1144"/>
      <c r="CBX285" s="1144"/>
      <c r="CBY285" s="1144"/>
      <c r="CBZ285" s="1144"/>
      <c r="CCA285" s="1144"/>
      <c r="CCB285" s="1144"/>
      <c r="CCC285" s="1144"/>
      <c r="CCD285" s="1144"/>
      <c r="CCE285" s="1144"/>
      <c r="CCF285" s="1144"/>
      <c r="CCG285" s="1144"/>
      <c r="CCH285" s="1144"/>
      <c r="CCI285" s="1144"/>
      <c r="CCJ285" s="1144"/>
      <c r="CCK285" s="1144"/>
      <c r="CCL285" s="1144"/>
      <c r="CCM285" s="1144"/>
      <c r="CCN285" s="1144"/>
      <c r="CCO285" s="1144"/>
      <c r="CCP285" s="1144"/>
      <c r="CCQ285" s="1144"/>
      <c r="CCR285" s="1144"/>
      <c r="CCS285" s="1144"/>
      <c r="CCT285" s="1144"/>
      <c r="CCU285" s="1144"/>
      <c r="CCV285" s="1144"/>
      <c r="CCW285" s="1144"/>
      <c r="CCX285" s="1144"/>
      <c r="CCY285" s="1144"/>
      <c r="CCZ285" s="1144"/>
      <c r="CDA285" s="1144"/>
      <c r="CDB285" s="1144"/>
      <c r="CDC285" s="1144"/>
      <c r="CDD285" s="1144"/>
      <c r="CDE285" s="1144"/>
      <c r="CDF285" s="1144"/>
      <c r="CDG285" s="1144"/>
      <c r="CDH285" s="1144"/>
      <c r="CDI285" s="1144"/>
      <c r="CDJ285" s="1144"/>
      <c r="CDK285" s="1144"/>
      <c r="CDL285" s="1144"/>
      <c r="CDM285" s="1144"/>
      <c r="CDN285" s="1144"/>
      <c r="CDO285" s="1144"/>
      <c r="CDP285" s="1144"/>
      <c r="CDQ285" s="1144"/>
      <c r="CDR285" s="1144"/>
      <c r="CDS285" s="1144"/>
      <c r="CDT285" s="1144"/>
      <c r="CDU285" s="1144"/>
      <c r="CDV285" s="1144"/>
      <c r="CDW285" s="1144"/>
      <c r="CDX285" s="1144"/>
      <c r="CDY285" s="1144"/>
      <c r="CDZ285" s="1144"/>
      <c r="CEA285" s="1144"/>
      <c r="CEB285" s="1144"/>
      <c r="CEC285" s="1144"/>
      <c r="CED285" s="1144"/>
      <c r="CEE285" s="1144"/>
      <c r="CEF285" s="1144"/>
      <c r="CEG285" s="1144"/>
      <c r="CEH285" s="1144"/>
      <c r="CEI285" s="1144"/>
      <c r="CEJ285" s="1144"/>
      <c r="CEK285" s="1144"/>
      <c r="CEL285" s="1144"/>
      <c r="CEM285" s="1144"/>
      <c r="CEN285" s="1144"/>
      <c r="CEO285" s="1144"/>
      <c r="CEP285" s="1144"/>
      <c r="CEQ285" s="1144"/>
      <c r="CER285" s="1144"/>
      <c r="CES285" s="1144"/>
      <c r="CET285" s="1144"/>
      <c r="CEU285" s="1144"/>
      <c r="CEV285" s="1144"/>
      <c r="CEW285" s="1144"/>
      <c r="CEX285" s="1144"/>
      <c r="CEY285" s="1144"/>
      <c r="CEZ285" s="1144"/>
      <c r="CFA285" s="1144"/>
      <c r="CFB285" s="1144"/>
      <c r="CFC285" s="1144"/>
      <c r="CFD285" s="1144"/>
      <c r="CFE285" s="1144"/>
      <c r="CFF285" s="1144"/>
      <c r="CFG285" s="1144"/>
      <c r="CFH285" s="1144"/>
      <c r="CFI285" s="1144"/>
      <c r="CFJ285" s="1144"/>
      <c r="CFK285" s="1144"/>
      <c r="CFL285" s="1144"/>
      <c r="CFM285" s="1144"/>
      <c r="CFN285" s="1144"/>
      <c r="CFO285" s="1144"/>
      <c r="CFP285" s="1144"/>
      <c r="CFQ285" s="1144"/>
      <c r="CFR285" s="1144"/>
      <c r="CFS285" s="1144"/>
      <c r="CFT285" s="1144"/>
      <c r="CFU285" s="1144"/>
      <c r="CFV285" s="1144"/>
      <c r="CFW285" s="1144"/>
      <c r="CFX285" s="1144"/>
      <c r="CFY285" s="1144"/>
      <c r="CFZ285" s="1144"/>
      <c r="CGA285" s="1144"/>
      <c r="CGB285" s="1144"/>
      <c r="CGC285" s="1144"/>
      <c r="CGD285" s="1144"/>
      <c r="CGE285" s="1144"/>
      <c r="CGF285" s="1144"/>
      <c r="CGG285" s="1144"/>
      <c r="CGH285" s="1144"/>
      <c r="CGI285" s="1144"/>
      <c r="CGJ285" s="1144"/>
      <c r="CGK285" s="1144"/>
      <c r="CGL285" s="1144"/>
      <c r="CGM285" s="1144"/>
      <c r="CGN285" s="1144"/>
      <c r="CGO285" s="1144"/>
      <c r="CGP285" s="1144"/>
      <c r="CGQ285" s="1144"/>
      <c r="CGR285" s="1144"/>
      <c r="CGS285" s="1144"/>
      <c r="CGT285" s="1144"/>
      <c r="CGU285" s="1144"/>
      <c r="CGV285" s="1144"/>
      <c r="CGW285" s="1144"/>
      <c r="CGX285" s="1144"/>
      <c r="CGY285" s="1144"/>
      <c r="CGZ285" s="1144"/>
      <c r="CHA285" s="1144"/>
      <c r="CHB285" s="1144"/>
      <c r="CHC285" s="1144"/>
      <c r="CHD285" s="1144"/>
      <c r="CHE285" s="1144"/>
      <c r="CHF285" s="1144"/>
      <c r="CHG285" s="1144"/>
      <c r="CHH285" s="1144"/>
      <c r="CHI285" s="1144"/>
      <c r="CHJ285" s="1144"/>
      <c r="CHK285" s="1144"/>
      <c r="CHL285" s="1144"/>
      <c r="CHM285" s="1144"/>
      <c r="CHN285" s="1144"/>
      <c r="CHO285" s="1144"/>
      <c r="CHP285" s="1144"/>
      <c r="CHQ285" s="1144"/>
      <c r="CHR285" s="1144"/>
      <c r="CHS285" s="1144"/>
      <c r="CHT285" s="1144"/>
      <c r="CHU285" s="1144"/>
      <c r="CHV285" s="1144"/>
      <c r="CHW285" s="1144"/>
      <c r="CHX285" s="1144"/>
      <c r="CHY285" s="1144"/>
      <c r="CHZ285" s="1144"/>
      <c r="CIA285" s="1144"/>
      <c r="CIB285" s="1144"/>
      <c r="CIC285" s="1144"/>
      <c r="CID285" s="1144"/>
      <c r="CIE285" s="1144"/>
      <c r="CIF285" s="1144"/>
      <c r="CIG285" s="1144"/>
      <c r="CIH285" s="1144"/>
      <c r="CII285" s="1144"/>
      <c r="CIJ285" s="1144"/>
      <c r="CIK285" s="1144"/>
      <c r="CIL285" s="1144"/>
      <c r="CIM285" s="1144"/>
      <c r="CIN285" s="1144"/>
      <c r="CIO285" s="1144"/>
      <c r="CIP285" s="1144"/>
      <c r="CIQ285" s="1144"/>
      <c r="CIR285" s="1144"/>
      <c r="CIS285" s="1144"/>
      <c r="CIT285" s="1144"/>
      <c r="CIU285" s="1144"/>
      <c r="CIV285" s="1144"/>
      <c r="CIW285" s="1144"/>
      <c r="CIX285" s="1144"/>
      <c r="CIY285" s="1144"/>
      <c r="CIZ285" s="1144"/>
      <c r="CJA285" s="1144"/>
      <c r="CJB285" s="1144"/>
      <c r="CJC285" s="1144"/>
      <c r="CJD285" s="1144"/>
      <c r="CJE285" s="1144"/>
      <c r="CJF285" s="1144"/>
      <c r="CJG285" s="1144"/>
      <c r="CJH285" s="1144"/>
      <c r="CJI285" s="1144"/>
      <c r="CJJ285" s="1144"/>
      <c r="CJK285" s="1144"/>
      <c r="CJL285" s="1144"/>
      <c r="CJM285" s="1144"/>
      <c r="CJN285" s="1144"/>
      <c r="CJO285" s="1144"/>
      <c r="CJP285" s="1144"/>
      <c r="CJQ285" s="1144"/>
      <c r="CJR285" s="1144"/>
      <c r="CJS285" s="1144"/>
      <c r="CJT285" s="1144"/>
      <c r="CJU285" s="1144"/>
      <c r="CJV285" s="1144"/>
      <c r="CJW285" s="1144"/>
      <c r="CJX285" s="1144"/>
      <c r="CJY285" s="1144"/>
      <c r="CJZ285" s="1144"/>
      <c r="CKA285" s="1144"/>
      <c r="CKB285" s="1144"/>
      <c r="CKC285" s="1144"/>
      <c r="CKD285" s="1144"/>
      <c r="CKE285" s="1144"/>
      <c r="CKF285" s="1144"/>
      <c r="CKG285" s="1144"/>
      <c r="CKH285" s="1144"/>
      <c r="CKI285" s="1144"/>
      <c r="CKJ285" s="1144"/>
      <c r="CKK285" s="1144"/>
      <c r="CKL285" s="1144"/>
      <c r="CKM285" s="1144"/>
      <c r="CKN285" s="1144"/>
      <c r="CKO285" s="1144"/>
      <c r="CKP285" s="1144"/>
      <c r="CKQ285" s="1144"/>
      <c r="CKR285" s="1144"/>
      <c r="CKS285" s="1144"/>
      <c r="CKT285" s="1144"/>
      <c r="CKU285" s="1144"/>
      <c r="CKV285" s="1144"/>
      <c r="CKW285" s="1144"/>
      <c r="CKX285" s="1144"/>
      <c r="CKY285" s="1144"/>
      <c r="CKZ285" s="1144"/>
      <c r="CLA285" s="1144"/>
      <c r="CLB285" s="1144"/>
      <c r="CLC285" s="1144"/>
      <c r="CLD285" s="1144"/>
      <c r="CLE285" s="1144"/>
      <c r="CLF285" s="1144"/>
      <c r="CLG285" s="1144"/>
      <c r="CLH285" s="1144"/>
      <c r="CLI285" s="1144"/>
      <c r="CLJ285" s="1144"/>
      <c r="CLK285" s="1144"/>
      <c r="CLL285" s="1144"/>
      <c r="CLM285" s="1144"/>
      <c r="CLN285" s="1144"/>
      <c r="CLO285" s="1144"/>
      <c r="CLP285" s="1144"/>
      <c r="CLQ285" s="1144"/>
      <c r="CLR285" s="1144"/>
      <c r="CLS285" s="1144"/>
      <c r="CLT285" s="1144"/>
      <c r="CLU285" s="1144"/>
      <c r="CLV285" s="1144"/>
      <c r="CLW285" s="1144"/>
      <c r="CLX285" s="1144"/>
      <c r="CLY285" s="1144"/>
      <c r="CLZ285" s="1144"/>
      <c r="CMA285" s="1144"/>
      <c r="CMB285" s="1144"/>
      <c r="CMC285" s="1144"/>
      <c r="CMD285" s="1144"/>
      <c r="CME285" s="1144"/>
      <c r="CMF285" s="1144"/>
      <c r="CMG285" s="1144"/>
      <c r="CMH285" s="1144"/>
      <c r="CMI285" s="1144"/>
      <c r="CMJ285" s="1144"/>
      <c r="CMK285" s="1144"/>
      <c r="CML285" s="1144"/>
      <c r="CMM285" s="1144"/>
      <c r="CMN285" s="1144"/>
      <c r="CMO285" s="1144"/>
      <c r="CMP285" s="1144"/>
      <c r="CMQ285" s="1144"/>
      <c r="CMR285" s="1144"/>
      <c r="CMS285" s="1144"/>
      <c r="CMT285" s="1144"/>
      <c r="CMU285" s="1144"/>
      <c r="CMV285" s="1144"/>
      <c r="CMW285" s="1144"/>
      <c r="CMX285" s="1144"/>
      <c r="CMY285" s="1144"/>
      <c r="CMZ285" s="1144"/>
      <c r="CNA285" s="1144"/>
      <c r="CNB285" s="1144"/>
      <c r="CNC285" s="1144"/>
      <c r="CND285" s="1144"/>
      <c r="CNE285" s="1144"/>
      <c r="CNF285" s="1144"/>
      <c r="CNG285" s="1144"/>
      <c r="CNH285" s="1144"/>
      <c r="CNI285" s="1144"/>
      <c r="CNJ285" s="1144"/>
      <c r="CNK285" s="1144"/>
      <c r="CNL285" s="1144"/>
      <c r="CNM285" s="1144"/>
      <c r="CNN285" s="1144"/>
      <c r="CNO285" s="1144"/>
      <c r="CNP285" s="1144"/>
      <c r="CNQ285" s="1144"/>
      <c r="CNR285" s="1144"/>
      <c r="CNS285" s="1144"/>
      <c r="CNT285" s="1144"/>
      <c r="CNU285" s="1144"/>
      <c r="CNV285" s="1144"/>
      <c r="CNW285" s="1144"/>
      <c r="CNX285" s="1144"/>
      <c r="CNY285" s="1144"/>
      <c r="CNZ285" s="1144"/>
      <c r="COA285" s="1144"/>
      <c r="COB285" s="1144"/>
      <c r="COC285" s="1144"/>
      <c r="COD285" s="1144"/>
      <c r="COE285" s="1144"/>
      <c r="COF285" s="1144"/>
      <c r="COG285" s="1144"/>
      <c r="COH285" s="1144"/>
      <c r="COI285" s="1144"/>
      <c r="COJ285" s="1144"/>
      <c r="COK285" s="1144"/>
      <c r="COL285" s="1144"/>
      <c r="COM285" s="1144"/>
      <c r="CON285" s="1144"/>
      <c r="COO285" s="1144"/>
      <c r="COP285" s="1144"/>
      <c r="COQ285" s="1144"/>
      <c r="COR285" s="1144"/>
      <c r="COS285" s="1144"/>
      <c r="COT285" s="1144"/>
      <c r="COU285" s="1144"/>
      <c r="COV285" s="1144"/>
      <c r="COW285" s="1144"/>
      <c r="COX285" s="1144"/>
      <c r="COY285" s="1144"/>
      <c r="COZ285" s="1144"/>
      <c r="CPA285" s="1144"/>
      <c r="CPB285" s="1144"/>
      <c r="CPC285" s="1144"/>
      <c r="CPD285" s="1144"/>
      <c r="CPE285" s="1144"/>
      <c r="CPF285" s="1144"/>
      <c r="CPG285" s="1144"/>
      <c r="CPH285" s="1144"/>
      <c r="CPI285" s="1144"/>
      <c r="CPJ285" s="1144"/>
      <c r="CPK285" s="1144"/>
      <c r="CPL285" s="1144"/>
      <c r="CPM285" s="1144"/>
      <c r="CPN285" s="1144"/>
      <c r="CPO285" s="1144"/>
      <c r="CPP285" s="1144"/>
      <c r="CPQ285" s="1144"/>
      <c r="CPR285" s="1144"/>
      <c r="CPS285" s="1144"/>
      <c r="CPT285" s="1144"/>
      <c r="CPU285" s="1144"/>
      <c r="CPV285" s="1144"/>
      <c r="CPW285" s="1144"/>
      <c r="CPX285" s="1144"/>
      <c r="CPY285" s="1144"/>
      <c r="CPZ285" s="1144"/>
      <c r="CQA285" s="1144"/>
      <c r="CQB285" s="1144"/>
      <c r="CQC285" s="1144"/>
      <c r="CQD285" s="1144"/>
      <c r="CQE285" s="1144"/>
      <c r="CQF285" s="1144"/>
      <c r="CQG285" s="1144"/>
      <c r="CQH285" s="1144"/>
      <c r="CQI285" s="1144"/>
      <c r="CQJ285" s="1144"/>
      <c r="CQK285" s="1144"/>
      <c r="CQL285" s="1144"/>
      <c r="CQM285" s="1144"/>
      <c r="CQN285" s="1144"/>
      <c r="CQO285" s="1144"/>
      <c r="CQP285" s="1144"/>
      <c r="CQQ285" s="1144"/>
      <c r="CQR285" s="1144"/>
      <c r="CQS285" s="1144"/>
      <c r="CQT285" s="1144"/>
      <c r="CQU285" s="1144"/>
      <c r="CQV285" s="1144"/>
      <c r="CQW285" s="1144"/>
      <c r="CQX285" s="1144"/>
      <c r="CQY285" s="1144"/>
      <c r="CQZ285" s="1144"/>
      <c r="CRA285" s="1144"/>
      <c r="CRB285" s="1144"/>
      <c r="CRC285" s="1144"/>
      <c r="CRD285" s="1144"/>
      <c r="CRE285" s="1144"/>
      <c r="CRF285" s="1144"/>
      <c r="CRG285" s="1144"/>
      <c r="CRH285" s="1144"/>
      <c r="CRI285" s="1144"/>
      <c r="CRJ285" s="1144"/>
      <c r="CRK285" s="1144"/>
      <c r="CRL285" s="1144"/>
      <c r="CRM285" s="1144"/>
      <c r="CRN285" s="1144"/>
      <c r="CRO285" s="1144"/>
      <c r="CRP285" s="1144"/>
      <c r="CRQ285" s="1144"/>
      <c r="CRR285" s="1144"/>
      <c r="CRS285" s="1144"/>
      <c r="CRT285" s="1144"/>
      <c r="CRU285" s="1144"/>
      <c r="CRV285" s="1144"/>
      <c r="CRW285" s="1144"/>
      <c r="CRX285" s="1144"/>
      <c r="CRY285" s="1144"/>
      <c r="CRZ285" s="1144"/>
      <c r="CSA285" s="1144"/>
      <c r="CSB285" s="1144"/>
      <c r="CSC285" s="1144"/>
      <c r="CSD285" s="1144"/>
      <c r="CSE285" s="1144"/>
      <c r="CSF285" s="1144"/>
      <c r="CSG285" s="1144"/>
      <c r="CSH285" s="1144"/>
      <c r="CSI285" s="1144"/>
      <c r="CSJ285" s="1144"/>
      <c r="CSK285" s="1144"/>
      <c r="CSL285" s="1144"/>
      <c r="CSM285" s="1144"/>
      <c r="CSN285" s="1144"/>
      <c r="CSO285" s="1144"/>
      <c r="CSP285" s="1144"/>
      <c r="CSQ285" s="1144"/>
      <c r="CSR285" s="1144"/>
      <c r="CSS285" s="1144"/>
      <c r="CST285" s="1144"/>
      <c r="CSU285" s="1144"/>
      <c r="CSV285" s="1144"/>
      <c r="CSW285" s="1144"/>
      <c r="CSX285" s="1144"/>
      <c r="CSY285" s="1144"/>
      <c r="CSZ285" s="1144"/>
      <c r="CTA285" s="1144"/>
      <c r="CTB285" s="1144"/>
      <c r="CTC285" s="1144"/>
      <c r="CTD285" s="1144"/>
      <c r="CTE285" s="1144"/>
      <c r="CTF285" s="1144"/>
      <c r="CTG285" s="1144"/>
      <c r="CTH285" s="1144"/>
      <c r="CTI285" s="1144"/>
      <c r="CTJ285" s="1144"/>
      <c r="CTK285" s="1144"/>
      <c r="CTL285" s="1144"/>
      <c r="CTM285" s="1144"/>
      <c r="CTN285" s="1144"/>
      <c r="CTO285" s="1144"/>
      <c r="CTP285" s="1144"/>
      <c r="CTQ285" s="1144"/>
      <c r="CTR285" s="1144"/>
      <c r="CTS285" s="1144"/>
      <c r="CTT285" s="1144"/>
      <c r="CTU285" s="1144"/>
      <c r="CTV285" s="1144"/>
      <c r="CTW285" s="1144"/>
      <c r="CTX285" s="1144"/>
      <c r="CTY285" s="1144"/>
      <c r="CTZ285" s="1144"/>
      <c r="CUA285" s="1144"/>
      <c r="CUB285" s="1144"/>
      <c r="CUC285" s="1144"/>
      <c r="CUD285" s="1144"/>
      <c r="CUE285" s="1144"/>
      <c r="CUF285" s="1144"/>
      <c r="CUG285" s="1144"/>
      <c r="CUH285" s="1144"/>
      <c r="CUI285" s="1144"/>
      <c r="CUJ285" s="1144"/>
      <c r="CUK285" s="1144"/>
      <c r="CUL285" s="1144"/>
      <c r="CUM285" s="1144"/>
      <c r="CUN285" s="1144"/>
      <c r="CUO285" s="1144"/>
      <c r="CUP285" s="1144"/>
      <c r="CUQ285" s="1144"/>
      <c r="CUR285" s="1144"/>
      <c r="CUS285" s="1144"/>
      <c r="CUT285" s="1144"/>
      <c r="CUU285" s="1144"/>
      <c r="CUV285" s="1144"/>
      <c r="CUW285" s="1144"/>
      <c r="CUX285" s="1144"/>
      <c r="CUY285" s="1144"/>
      <c r="CUZ285" s="1144"/>
      <c r="CVA285" s="1144"/>
      <c r="CVB285" s="1144"/>
      <c r="CVC285" s="1144"/>
      <c r="CVD285" s="1144"/>
      <c r="CVE285" s="1144"/>
      <c r="CVF285" s="1144"/>
      <c r="CVG285" s="1144"/>
      <c r="CVH285" s="1144"/>
      <c r="CVI285" s="1144"/>
      <c r="CVJ285" s="1144"/>
      <c r="CVK285" s="1144"/>
      <c r="CVL285" s="1144"/>
      <c r="CVM285" s="1144"/>
      <c r="CVN285" s="1144"/>
      <c r="CVO285" s="1144"/>
      <c r="CVP285" s="1144"/>
      <c r="CVQ285" s="1144"/>
      <c r="CVR285" s="1144"/>
      <c r="CVS285" s="1144"/>
      <c r="CVT285" s="1144"/>
      <c r="CVU285" s="1144"/>
      <c r="CVV285" s="1144"/>
      <c r="CVW285" s="1144"/>
      <c r="CVX285" s="1144"/>
      <c r="CVY285" s="1144"/>
      <c r="CVZ285" s="1144"/>
      <c r="CWA285" s="1144"/>
      <c r="CWB285" s="1144"/>
      <c r="CWC285" s="1144"/>
      <c r="CWD285" s="1144"/>
      <c r="CWE285" s="1144"/>
      <c r="CWF285" s="1144"/>
      <c r="CWG285" s="1144"/>
      <c r="CWH285" s="1144"/>
      <c r="CWI285" s="1144"/>
      <c r="CWJ285" s="1144"/>
      <c r="CWK285" s="1144"/>
      <c r="CWL285" s="1144"/>
      <c r="CWM285" s="1144"/>
      <c r="CWN285" s="1144"/>
      <c r="CWO285" s="1144"/>
      <c r="CWP285" s="1144"/>
      <c r="CWQ285" s="1144"/>
      <c r="CWR285" s="1144"/>
      <c r="CWS285" s="1144"/>
      <c r="CWT285" s="1144"/>
      <c r="CWU285" s="1144"/>
      <c r="CWV285" s="1144"/>
      <c r="CWW285" s="1144"/>
      <c r="CWX285" s="1144"/>
      <c r="CWY285" s="1144"/>
      <c r="CWZ285" s="1144"/>
      <c r="CXA285" s="1144"/>
      <c r="CXB285" s="1144"/>
      <c r="CXC285" s="1144"/>
      <c r="CXD285" s="1144"/>
      <c r="CXE285" s="1144"/>
      <c r="CXF285" s="1144"/>
      <c r="CXG285" s="1144"/>
      <c r="CXH285" s="1144"/>
      <c r="CXI285" s="1144"/>
      <c r="CXJ285" s="1144"/>
      <c r="CXK285" s="1144"/>
      <c r="CXL285" s="1144"/>
      <c r="CXM285" s="1144"/>
      <c r="CXN285" s="1144"/>
      <c r="CXO285" s="1144"/>
      <c r="CXP285" s="1144"/>
      <c r="CXQ285" s="1144"/>
      <c r="CXR285" s="1144"/>
      <c r="CXS285" s="1144"/>
      <c r="CXT285" s="1144"/>
      <c r="CXU285" s="1144"/>
      <c r="CXV285" s="1144"/>
      <c r="CXW285" s="1144"/>
      <c r="CXX285" s="1144"/>
      <c r="CXY285" s="1144"/>
      <c r="CXZ285" s="1144"/>
      <c r="CYA285" s="1144"/>
      <c r="CYB285" s="1144"/>
      <c r="CYC285" s="1144"/>
      <c r="CYD285" s="1144"/>
      <c r="CYE285" s="1144"/>
      <c r="CYF285" s="1144"/>
      <c r="CYG285" s="1144"/>
      <c r="CYH285" s="1144"/>
      <c r="CYI285" s="1144"/>
      <c r="CYJ285" s="1144"/>
      <c r="CYK285" s="1144"/>
      <c r="CYL285" s="1144"/>
      <c r="CYM285" s="1144"/>
      <c r="CYN285" s="1144"/>
      <c r="CYO285" s="1144"/>
      <c r="CYP285" s="1144"/>
      <c r="CYQ285" s="1144"/>
      <c r="CYR285" s="1144"/>
      <c r="CYS285" s="1144"/>
      <c r="CYT285" s="1144"/>
      <c r="CYU285" s="1144"/>
      <c r="CYV285" s="1144"/>
      <c r="CYW285" s="1144"/>
      <c r="CYX285" s="1144"/>
      <c r="CYY285" s="1144"/>
      <c r="CYZ285" s="1144"/>
      <c r="CZA285" s="1144"/>
      <c r="CZB285" s="1144"/>
      <c r="CZC285" s="1144"/>
      <c r="CZD285" s="1144"/>
      <c r="CZE285" s="1144"/>
      <c r="CZF285" s="1144"/>
      <c r="CZG285" s="1144"/>
      <c r="CZH285" s="1144"/>
      <c r="CZI285" s="1144"/>
      <c r="CZJ285" s="1144"/>
      <c r="CZK285" s="1144"/>
      <c r="CZL285" s="1144"/>
      <c r="CZM285" s="1144"/>
      <c r="CZN285" s="1144"/>
      <c r="CZO285" s="1144"/>
      <c r="CZP285" s="1144"/>
      <c r="CZQ285" s="1144"/>
      <c r="CZR285" s="1144"/>
      <c r="CZS285" s="1144"/>
      <c r="CZT285" s="1144"/>
      <c r="CZU285" s="1144"/>
      <c r="CZV285" s="1144"/>
      <c r="CZW285" s="1144"/>
      <c r="CZX285" s="1144"/>
      <c r="CZY285" s="1144"/>
      <c r="CZZ285" s="1144"/>
      <c r="DAA285" s="1144"/>
      <c r="DAB285" s="1144"/>
      <c r="DAC285" s="1144"/>
      <c r="DAD285" s="1144"/>
      <c r="DAE285" s="1144"/>
      <c r="DAF285" s="1144"/>
      <c r="DAG285" s="1144"/>
      <c r="DAH285" s="1144"/>
      <c r="DAI285" s="1144"/>
      <c r="DAJ285" s="1144"/>
      <c r="DAK285" s="1144"/>
      <c r="DAL285" s="1144"/>
      <c r="DAM285" s="1144"/>
      <c r="DAN285" s="1144"/>
      <c r="DAO285" s="1144"/>
      <c r="DAP285" s="1144"/>
      <c r="DAQ285" s="1144"/>
      <c r="DAR285" s="1144"/>
      <c r="DAS285" s="1144"/>
      <c r="DAT285" s="1144"/>
      <c r="DAU285" s="1144"/>
      <c r="DAV285" s="1144"/>
      <c r="DAW285" s="1144"/>
      <c r="DAX285" s="1144"/>
      <c r="DAY285" s="1144"/>
      <c r="DAZ285" s="1144"/>
      <c r="DBA285" s="1144"/>
      <c r="DBB285" s="1144"/>
      <c r="DBC285" s="1144"/>
      <c r="DBD285" s="1144"/>
      <c r="DBE285" s="1144"/>
      <c r="DBF285" s="1144"/>
      <c r="DBG285" s="1144"/>
      <c r="DBH285" s="1144"/>
      <c r="DBI285" s="1144"/>
      <c r="DBJ285" s="1144"/>
      <c r="DBK285" s="1144"/>
      <c r="DBL285" s="1144"/>
      <c r="DBM285" s="1144"/>
      <c r="DBN285" s="1144"/>
      <c r="DBO285" s="1144"/>
      <c r="DBP285" s="1144"/>
      <c r="DBQ285" s="1144"/>
      <c r="DBR285" s="1144"/>
      <c r="DBS285" s="1144"/>
      <c r="DBT285" s="1144"/>
      <c r="DBU285" s="1144"/>
      <c r="DBV285" s="1144"/>
      <c r="DBW285" s="1144"/>
      <c r="DBX285" s="1144"/>
      <c r="DBY285" s="1144"/>
      <c r="DBZ285" s="1144"/>
      <c r="DCA285" s="1144"/>
      <c r="DCB285" s="1144"/>
      <c r="DCC285" s="1144"/>
      <c r="DCD285" s="1144"/>
      <c r="DCE285" s="1144"/>
      <c r="DCF285" s="1144"/>
      <c r="DCG285" s="1144"/>
      <c r="DCH285" s="1144"/>
      <c r="DCI285" s="1144"/>
      <c r="DCJ285" s="1144"/>
      <c r="DCK285" s="1144"/>
      <c r="DCL285" s="1144"/>
      <c r="DCM285" s="1144"/>
      <c r="DCN285" s="1144"/>
      <c r="DCO285" s="1144"/>
      <c r="DCP285" s="1144"/>
      <c r="DCQ285" s="1144"/>
      <c r="DCR285" s="1144"/>
      <c r="DCS285" s="1144"/>
      <c r="DCT285" s="1144"/>
      <c r="DCU285" s="1144"/>
      <c r="DCV285" s="1144"/>
      <c r="DCW285" s="1144"/>
      <c r="DCX285" s="1144"/>
      <c r="DCY285" s="1144"/>
      <c r="DCZ285" s="1144"/>
      <c r="DDA285" s="1144"/>
      <c r="DDB285" s="1144"/>
      <c r="DDC285" s="1144"/>
      <c r="DDD285" s="1144"/>
      <c r="DDE285" s="1144"/>
      <c r="DDF285" s="1144"/>
      <c r="DDG285" s="1144"/>
      <c r="DDH285" s="1144"/>
      <c r="DDI285" s="1144"/>
      <c r="DDJ285" s="1144"/>
      <c r="DDK285" s="1144"/>
      <c r="DDL285" s="1144"/>
      <c r="DDM285" s="1144"/>
      <c r="DDN285" s="1144"/>
      <c r="DDO285" s="1144"/>
      <c r="DDP285" s="1144"/>
      <c r="DDQ285" s="1144"/>
      <c r="DDR285" s="1144"/>
      <c r="DDS285" s="1144"/>
      <c r="DDT285" s="1144"/>
      <c r="DDU285" s="1144"/>
      <c r="DDV285" s="1144"/>
      <c r="DDW285" s="1144"/>
      <c r="DDX285" s="1144"/>
      <c r="DDY285" s="1144"/>
      <c r="DDZ285" s="1144"/>
      <c r="DEA285" s="1144"/>
      <c r="DEB285" s="1144"/>
      <c r="DEC285" s="1144"/>
      <c r="DED285" s="1144"/>
      <c r="DEE285" s="1144"/>
      <c r="DEF285" s="1144"/>
      <c r="DEG285" s="1144"/>
      <c r="DEH285" s="1144"/>
      <c r="DEI285" s="1144"/>
      <c r="DEJ285" s="1144"/>
      <c r="DEK285" s="1144"/>
      <c r="DEL285" s="1144"/>
      <c r="DEM285" s="1144"/>
      <c r="DEN285" s="1144"/>
      <c r="DEO285" s="1144"/>
      <c r="DEP285" s="1144"/>
      <c r="DEQ285" s="1144"/>
      <c r="DER285" s="1144"/>
      <c r="DES285" s="1144"/>
      <c r="DET285" s="1144"/>
      <c r="DEU285" s="1144"/>
      <c r="DEV285" s="1144"/>
      <c r="DEW285" s="1144"/>
      <c r="DEX285" s="1144"/>
      <c r="DEY285" s="1144"/>
      <c r="DEZ285" s="1144"/>
      <c r="DFA285" s="1144"/>
      <c r="DFB285" s="1144"/>
      <c r="DFC285" s="1144"/>
      <c r="DFD285" s="1144"/>
      <c r="DFE285" s="1144"/>
      <c r="DFF285" s="1144"/>
      <c r="DFG285" s="1144"/>
      <c r="DFH285" s="1144"/>
      <c r="DFI285" s="1144"/>
      <c r="DFJ285" s="1144"/>
      <c r="DFK285" s="1144"/>
      <c r="DFL285" s="1144"/>
      <c r="DFM285" s="1144"/>
      <c r="DFN285" s="1144"/>
      <c r="DFO285" s="1144"/>
      <c r="DFP285" s="1144"/>
      <c r="DFQ285" s="1144"/>
      <c r="DFR285" s="1144"/>
      <c r="DFS285" s="1144"/>
      <c r="DFT285" s="1144"/>
      <c r="DFU285" s="1144"/>
      <c r="DFV285" s="1144"/>
      <c r="DFW285" s="1144"/>
      <c r="DFX285" s="1144"/>
      <c r="DFY285" s="1144"/>
      <c r="DFZ285" s="1144"/>
      <c r="DGA285" s="1144"/>
      <c r="DGB285" s="1144"/>
      <c r="DGC285" s="1144"/>
      <c r="DGD285" s="1144"/>
      <c r="DGE285" s="1144"/>
      <c r="DGF285" s="1144"/>
      <c r="DGG285" s="1144"/>
      <c r="DGH285" s="1144"/>
      <c r="DGI285" s="1144"/>
      <c r="DGJ285" s="1144"/>
      <c r="DGK285" s="1144"/>
      <c r="DGL285" s="1144"/>
      <c r="DGM285" s="1144"/>
      <c r="DGN285" s="1144"/>
      <c r="DGO285" s="1144"/>
      <c r="DGP285" s="1144"/>
      <c r="DGQ285" s="1144"/>
      <c r="DGR285" s="1144"/>
      <c r="DGS285" s="1144"/>
      <c r="DGT285" s="1144"/>
      <c r="DGU285" s="1144"/>
      <c r="DGV285" s="1144"/>
      <c r="DGW285" s="1144"/>
      <c r="DGX285" s="1144"/>
      <c r="DGY285" s="1144"/>
      <c r="DGZ285" s="1144"/>
      <c r="DHA285" s="1144"/>
      <c r="DHB285" s="1144"/>
      <c r="DHC285" s="1144"/>
      <c r="DHD285" s="1144"/>
      <c r="DHE285" s="1144"/>
      <c r="DHF285" s="1144"/>
      <c r="DHG285" s="1144"/>
      <c r="DHH285" s="1144"/>
      <c r="DHI285" s="1144"/>
      <c r="DHJ285" s="1144"/>
      <c r="DHK285" s="1144"/>
      <c r="DHL285" s="1144"/>
      <c r="DHM285" s="1144"/>
      <c r="DHN285" s="1144"/>
      <c r="DHO285" s="1144"/>
      <c r="DHP285" s="1144"/>
      <c r="DHQ285" s="1144"/>
      <c r="DHR285" s="1144"/>
      <c r="DHS285" s="1144"/>
      <c r="DHT285" s="1144"/>
      <c r="DHU285" s="1144"/>
      <c r="DHV285" s="1144"/>
      <c r="DHW285" s="1144"/>
      <c r="DHX285" s="1144"/>
      <c r="DHY285" s="1144"/>
      <c r="DHZ285" s="1144"/>
      <c r="DIA285" s="1144"/>
      <c r="DIB285" s="1144"/>
      <c r="DIC285" s="1144"/>
      <c r="DID285" s="1144"/>
      <c r="DIE285" s="1144"/>
      <c r="DIF285" s="1144"/>
      <c r="DIG285" s="1144"/>
      <c r="DIH285" s="1144"/>
      <c r="DII285" s="1144"/>
      <c r="DIJ285" s="1144"/>
      <c r="DIK285" s="1144"/>
      <c r="DIL285" s="1144"/>
      <c r="DIM285" s="1144"/>
      <c r="DIN285" s="1144"/>
      <c r="DIO285" s="1144"/>
      <c r="DIP285" s="1144"/>
      <c r="DIQ285" s="1144"/>
      <c r="DIR285" s="1144"/>
      <c r="DIS285" s="1144"/>
      <c r="DIT285" s="1144"/>
      <c r="DIU285" s="1144"/>
      <c r="DIV285" s="1144"/>
      <c r="DIW285" s="1144"/>
      <c r="DIX285" s="1144"/>
      <c r="DIY285" s="1144"/>
      <c r="DIZ285" s="1144"/>
      <c r="DJA285" s="1144"/>
      <c r="DJB285" s="1144"/>
      <c r="DJC285" s="1144"/>
      <c r="DJD285" s="1144"/>
      <c r="DJE285" s="1144"/>
      <c r="DJF285" s="1144"/>
      <c r="DJG285" s="1144"/>
      <c r="DJH285" s="1144"/>
      <c r="DJI285" s="1144"/>
      <c r="DJJ285" s="1144"/>
      <c r="DJK285" s="1144"/>
      <c r="DJL285" s="1144"/>
      <c r="DJM285" s="1144"/>
      <c r="DJN285" s="1144"/>
      <c r="DJO285" s="1144"/>
      <c r="DJP285" s="1144"/>
      <c r="DJQ285" s="1144"/>
      <c r="DJR285" s="1144"/>
      <c r="DJS285" s="1144"/>
      <c r="DJT285" s="1144"/>
      <c r="DJU285" s="1144"/>
      <c r="DJV285" s="1144"/>
      <c r="DJW285" s="1144"/>
      <c r="DJX285" s="1144"/>
      <c r="DJY285" s="1144"/>
      <c r="DJZ285" s="1144"/>
      <c r="DKA285" s="1144"/>
      <c r="DKB285" s="1144"/>
      <c r="DKC285" s="1144"/>
      <c r="DKD285" s="1144"/>
      <c r="DKE285" s="1144"/>
      <c r="DKF285" s="1144"/>
      <c r="DKG285" s="1144"/>
      <c r="DKH285" s="1144"/>
      <c r="DKI285" s="1144"/>
      <c r="DKJ285" s="1144"/>
      <c r="DKK285" s="1144"/>
      <c r="DKL285" s="1144"/>
      <c r="DKM285" s="1144"/>
      <c r="DKN285" s="1144"/>
      <c r="DKO285" s="1144"/>
      <c r="DKP285" s="1144"/>
      <c r="DKQ285" s="1144"/>
      <c r="DKR285" s="1144"/>
      <c r="DKS285" s="1144"/>
      <c r="DKT285" s="1144"/>
      <c r="DKU285" s="1144"/>
      <c r="DKV285" s="1144"/>
      <c r="DKW285" s="1144"/>
      <c r="DKX285" s="1144"/>
      <c r="DKY285" s="1144"/>
      <c r="DKZ285" s="1144"/>
      <c r="DLA285" s="1144"/>
      <c r="DLB285" s="1144"/>
      <c r="DLC285" s="1144"/>
      <c r="DLD285" s="1144"/>
      <c r="DLE285" s="1144"/>
      <c r="DLF285" s="1144"/>
      <c r="DLG285" s="1144"/>
      <c r="DLH285" s="1144"/>
      <c r="DLI285" s="1144"/>
      <c r="DLJ285" s="1144"/>
      <c r="DLK285" s="1144"/>
      <c r="DLL285" s="1144"/>
      <c r="DLM285" s="1144"/>
      <c r="DLN285" s="1144"/>
      <c r="DLO285" s="1144"/>
      <c r="DLP285" s="1144"/>
      <c r="DLQ285" s="1144"/>
      <c r="DLR285" s="1144"/>
      <c r="DLS285" s="1144"/>
      <c r="DLT285" s="1144"/>
      <c r="DLU285" s="1144"/>
      <c r="DLV285" s="1144"/>
      <c r="DLW285" s="1144"/>
      <c r="DLX285" s="1144"/>
      <c r="DLY285" s="1144"/>
      <c r="DLZ285" s="1144"/>
      <c r="DMA285" s="1144"/>
      <c r="DMB285" s="1144"/>
      <c r="DMC285" s="1144"/>
      <c r="DMD285" s="1144"/>
      <c r="DME285" s="1144"/>
      <c r="DMF285" s="1144"/>
      <c r="DMG285" s="1144"/>
      <c r="DMH285" s="1144"/>
      <c r="DMI285" s="1144"/>
      <c r="DMJ285" s="1144"/>
      <c r="DMK285" s="1144"/>
      <c r="DML285" s="1144"/>
      <c r="DMM285" s="1144"/>
      <c r="DMN285" s="1144"/>
      <c r="DMO285" s="1144"/>
      <c r="DMP285" s="1144"/>
      <c r="DMQ285" s="1144"/>
      <c r="DMR285" s="1144"/>
      <c r="DMS285" s="1144"/>
      <c r="DMT285" s="1144"/>
      <c r="DMU285" s="1144"/>
      <c r="DMV285" s="1144"/>
      <c r="DMW285" s="1144"/>
      <c r="DMX285" s="1144"/>
      <c r="DMY285" s="1144"/>
      <c r="DMZ285" s="1144"/>
      <c r="DNA285" s="1144"/>
      <c r="DNB285" s="1144"/>
      <c r="DNC285" s="1144"/>
      <c r="DND285" s="1144"/>
      <c r="DNE285" s="1144"/>
      <c r="DNF285" s="1144"/>
      <c r="DNG285" s="1144"/>
      <c r="DNH285" s="1144"/>
      <c r="DNI285" s="1144"/>
      <c r="DNJ285" s="1144"/>
      <c r="DNK285" s="1144"/>
      <c r="DNL285" s="1144"/>
      <c r="DNM285" s="1144"/>
      <c r="DNN285" s="1144"/>
      <c r="DNO285" s="1144"/>
      <c r="DNP285" s="1144"/>
      <c r="DNQ285" s="1144"/>
      <c r="DNR285" s="1144"/>
      <c r="DNS285" s="1144"/>
      <c r="DNT285" s="1144"/>
      <c r="DNU285" s="1144"/>
      <c r="DNV285" s="1144"/>
      <c r="DNW285" s="1144"/>
      <c r="DNX285" s="1144"/>
      <c r="DNY285" s="1144"/>
      <c r="DNZ285" s="1144"/>
      <c r="DOA285" s="1144"/>
      <c r="DOB285" s="1144"/>
      <c r="DOC285" s="1144"/>
      <c r="DOD285" s="1144"/>
      <c r="DOE285" s="1144"/>
      <c r="DOF285" s="1144"/>
      <c r="DOG285" s="1144"/>
      <c r="DOH285" s="1144"/>
      <c r="DOI285" s="1144"/>
      <c r="DOJ285" s="1144"/>
      <c r="DOK285" s="1144"/>
      <c r="DOL285" s="1144"/>
      <c r="DOM285" s="1144"/>
      <c r="DON285" s="1144"/>
      <c r="DOO285" s="1144"/>
      <c r="DOP285" s="1144"/>
      <c r="DOQ285" s="1144"/>
      <c r="DOR285" s="1144"/>
      <c r="DOS285" s="1144"/>
      <c r="DOT285" s="1144"/>
      <c r="DOU285" s="1144"/>
      <c r="DOV285" s="1144"/>
      <c r="DOW285" s="1144"/>
      <c r="DOX285" s="1144"/>
      <c r="DOY285" s="1144"/>
      <c r="DOZ285" s="1144"/>
      <c r="DPA285" s="1144"/>
      <c r="DPB285" s="1144"/>
      <c r="DPC285" s="1144"/>
      <c r="DPD285" s="1144"/>
      <c r="DPE285" s="1144"/>
      <c r="DPF285" s="1144"/>
      <c r="DPG285" s="1144"/>
      <c r="DPH285" s="1144"/>
      <c r="DPI285" s="1144"/>
      <c r="DPJ285" s="1144"/>
      <c r="DPK285" s="1144"/>
      <c r="DPL285" s="1144"/>
      <c r="DPM285" s="1144"/>
      <c r="DPN285" s="1144"/>
      <c r="DPO285" s="1144"/>
      <c r="DPP285" s="1144"/>
      <c r="DPQ285" s="1144"/>
      <c r="DPR285" s="1144"/>
      <c r="DPS285" s="1144"/>
      <c r="DPT285" s="1144"/>
      <c r="DPU285" s="1144"/>
      <c r="DPV285" s="1144"/>
      <c r="DPW285" s="1144"/>
      <c r="DPX285" s="1144"/>
      <c r="DPY285" s="1144"/>
      <c r="DPZ285" s="1144"/>
      <c r="DQA285" s="1144"/>
      <c r="DQB285" s="1144"/>
      <c r="DQC285" s="1144"/>
      <c r="DQD285" s="1144"/>
      <c r="DQE285" s="1144"/>
      <c r="DQF285" s="1144"/>
      <c r="DQG285" s="1144"/>
      <c r="DQH285" s="1144"/>
      <c r="DQI285" s="1144"/>
      <c r="DQJ285" s="1144"/>
      <c r="DQK285" s="1144"/>
      <c r="DQL285" s="1144"/>
      <c r="DQM285" s="1144"/>
      <c r="DQN285" s="1144"/>
      <c r="DQO285" s="1144"/>
      <c r="DQP285" s="1144"/>
      <c r="DQQ285" s="1144"/>
      <c r="DQR285" s="1144"/>
      <c r="DQS285" s="1144"/>
      <c r="DQT285" s="1144"/>
      <c r="DQU285" s="1144"/>
      <c r="DQV285" s="1144"/>
      <c r="DQW285" s="1144"/>
      <c r="DQX285" s="1144"/>
      <c r="DQY285" s="1144"/>
      <c r="DQZ285" s="1144"/>
      <c r="DRA285" s="1144"/>
      <c r="DRB285" s="1144"/>
      <c r="DRC285" s="1144"/>
      <c r="DRD285" s="1144"/>
      <c r="DRE285" s="1144"/>
      <c r="DRF285" s="1144"/>
      <c r="DRG285" s="1144"/>
      <c r="DRH285" s="1144"/>
      <c r="DRI285" s="1144"/>
      <c r="DRJ285" s="1144"/>
      <c r="DRK285" s="1144"/>
      <c r="DRL285" s="1144"/>
      <c r="DRM285" s="1144"/>
      <c r="DRN285" s="1144"/>
      <c r="DRO285" s="1144"/>
      <c r="DRP285" s="1144"/>
      <c r="DRQ285" s="1144"/>
      <c r="DRR285" s="1144"/>
      <c r="DRS285" s="1144"/>
      <c r="DRT285" s="1144"/>
      <c r="DRU285" s="1144"/>
      <c r="DRV285" s="1144"/>
      <c r="DRW285" s="1144"/>
      <c r="DRX285" s="1144"/>
      <c r="DRY285" s="1144"/>
      <c r="DRZ285" s="1144"/>
      <c r="DSA285" s="1144"/>
      <c r="DSB285" s="1144"/>
      <c r="DSC285" s="1144"/>
      <c r="DSD285" s="1144"/>
      <c r="DSE285" s="1144"/>
      <c r="DSF285" s="1144"/>
      <c r="DSG285" s="1144"/>
      <c r="DSH285" s="1144"/>
      <c r="DSI285" s="1144"/>
      <c r="DSJ285" s="1144"/>
      <c r="DSK285" s="1144"/>
      <c r="DSL285" s="1144"/>
      <c r="DSM285" s="1144"/>
      <c r="DSN285" s="1144"/>
      <c r="DSO285" s="1144"/>
      <c r="DSP285" s="1144"/>
      <c r="DSQ285" s="1144"/>
      <c r="DSR285" s="1144"/>
      <c r="DSS285" s="1144"/>
      <c r="DST285" s="1144"/>
      <c r="DSU285" s="1144"/>
      <c r="DSV285" s="1144"/>
      <c r="DSW285" s="1144"/>
      <c r="DSX285" s="1144"/>
      <c r="DSY285" s="1144"/>
      <c r="DSZ285" s="1144"/>
      <c r="DTA285" s="1144"/>
      <c r="DTB285" s="1144"/>
      <c r="DTC285" s="1144"/>
      <c r="DTD285" s="1144"/>
      <c r="DTE285" s="1144"/>
      <c r="DTF285" s="1144"/>
      <c r="DTG285" s="1144"/>
      <c r="DTH285" s="1144"/>
      <c r="DTI285" s="1144"/>
      <c r="DTJ285" s="1144"/>
      <c r="DTK285" s="1144"/>
      <c r="DTL285" s="1144"/>
      <c r="DTM285" s="1144"/>
      <c r="DTN285" s="1144"/>
      <c r="DTO285" s="1144"/>
      <c r="DTP285" s="1144"/>
      <c r="DTQ285" s="1144"/>
      <c r="DTR285" s="1144"/>
      <c r="DTS285" s="1144"/>
      <c r="DTT285" s="1144"/>
      <c r="DTU285" s="1144"/>
      <c r="DTV285" s="1144"/>
      <c r="DTW285" s="1144"/>
      <c r="DTX285" s="1144"/>
      <c r="DTY285" s="1144"/>
      <c r="DTZ285" s="1144"/>
      <c r="DUA285" s="1144"/>
      <c r="DUB285" s="1144"/>
      <c r="DUC285" s="1144"/>
      <c r="DUD285" s="1144"/>
      <c r="DUE285" s="1144"/>
      <c r="DUF285" s="1144"/>
      <c r="DUG285" s="1144"/>
      <c r="DUH285" s="1144"/>
      <c r="DUI285" s="1144"/>
      <c r="DUJ285" s="1144"/>
      <c r="DUK285" s="1144"/>
      <c r="DUL285" s="1144"/>
      <c r="DUM285" s="1144"/>
      <c r="DUN285" s="1144"/>
      <c r="DUO285" s="1144"/>
      <c r="DUP285" s="1144"/>
      <c r="DUQ285" s="1144"/>
      <c r="DUR285" s="1144"/>
      <c r="DUS285" s="1144"/>
      <c r="DUT285" s="1144"/>
      <c r="DUU285" s="1144"/>
      <c r="DUV285" s="1144"/>
      <c r="DUW285" s="1144"/>
      <c r="DUX285" s="1144"/>
      <c r="DUY285" s="1144"/>
      <c r="DUZ285" s="1144"/>
      <c r="DVA285" s="1144"/>
      <c r="DVB285" s="1144"/>
      <c r="DVC285" s="1144"/>
      <c r="DVD285" s="1144"/>
      <c r="DVE285" s="1144"/>
      <c r="DVF285" s="1144"/>
      <c r="DVG285" s="1144"/>
      <c r="DVH285" s="1144"/>
      <c r="DVI285" s="1144"/>
      <c r="DVJ285" s="1144"/>
      <c r="DVK285" s="1144"/>
      <c r="DVL285" s="1144"/>
      <c r="DVM285" s="1144"/>
      <c r="DVN285" s="1144"/>
      <c r="DVO285" s="1144"/>
      <c r="DVP285" s="1144"/>
      <c r="DVQ285" s="1144"/>
      <c r="DVR285" s="1144"/>
      <c r="DVS285" s="1144"/>
      <c r="DVT285" s="1144"/>
      <c r="DVU285" s="1144"/>
      <c r="DVV285" s="1144"/>
      <c r="DVW285" s="1144"/>
      <c r="DVX285" s="1144"/>
      <c r="DVY285" s="1144"/>
      <c r="DVZ285" s="1144"/>
      <c r="DWA285" s="1144"/>
      <c r="DWB285" s="1144"/>
      <c r="DWC285" s="1144"/>
      <c r="DWD285" s="1144"/>
      <c r="DWE285" s="1144"/>
      <c r="DWF285" s="1144"/>
      <c r="DWG285" s="1144"/>
      <c r="DWH285" s="1144"/>
      <c r="DWI285" s="1144"/>
      <c r="DWJ285" s="1144"/>
      <c r="DWK285" s="1144"/>
      <c r="DWL285" s="1144"/>
      <c r="DWM285" s="1144"/>
      <c r="DWN285" s="1144"/>
      <c r="DWO285" s="1144"/>
      <c r="DWP285" s="1144"/>
      <c r="DWQ285" s="1144"/>
      <c r="DWR285" s="1144"/>
      <c r="DWS285" s="1144"/>
      <c r="DWT285" s="1144"/>
      <c r="DWU285" s="1144"/>
      <c r="DWV285" s="1144"/>
      <c r="DWW285" s="1144"/>
      <c r="DWX285" s="1144"/>
      <c r="DWY285" s="1144"/>
      <c r="DWZ285" s="1144"/>
      <c r="DXA285" s="1144"/>
      <c r="DXB285" s="1144"/>
      <c r="DXC285" s="1144"/>
      <c r="DXD285" s="1144"/>
      <c r="DXE285" s="1144"/>
      <c r="DXF285" s="1144"/>
      <c r="DXG285" s="1144"/>
      <c r="DXH285" s="1144"/>
      <c r="DXI285" s="1144"/>
      <c r="DXJ285" s="1144"/>
      <c r="DXK285" s="1144"/>
      <c r="DXL285" s="1144"/>
      <c r="DXM285" s="1144"/>
      <c r="DXN285" s="1144"/>
      <c r="DXO285" s="1144"/>
      <c r="DXP285" s="1144"/>
      <c r="DXQ285" s="1144"/>
      <c r="DXR285" s="1144"/>
      <c r="DXS285" s="1144"/>
      <c r="DXT285" s="1144"/>
      <c r="DXU285" s="1144"/>
      <c r="DXV285" s="1144"/>
      <c r="DXW285" s="1144"/>
      <c r="DXX285" s="1144"/>
      <c r="DXY285" s="1144"/>
      <c r="DXZ285" s="1144"/>
      <c r="DYA285" s="1144"/>
      <c r="DYB285" s="1144"/>
      <c r="DYC285" s="1144"/>
      <c r="DYD285" s="1144"/>
      <c r="DYE285" s="1144"/>
      <c r="DYF285" s="1144"/>
      <c r="DYG285" s="1144"/>
      <c r="DYH285" s="1144"/>
      <c r="DYI285" s="1144"/>
      <c r="DYJ285" s="1144"/>
      <c r="DYK285" s="1144"/>
      <c r="DYL285" s="1144"/>
      <c r="DYM285" s="1144"/>
      <c r="DYN285" s="1144"/>
      <c r="DYO285" s="1144"/>
      <c r="DYP285" s="1144"/>
      <c r="DYQ285" s="1144"/>
      <c r="DYR285" s="1144"/>
      <c r="DYS285" s="1144"/>
      <c r="DYT285" s="1144"/>
      <c r="DYU285" s="1144"/>
      <c r="DYV285" s="1144"/>
      <c r="DYW285" s="1144"/>
      <c r="DYX285" s="1144"/>
      <c r="DYY285" s="1144"/>
      <c r="DYZ285" s="1144"/>
      <c r="DZA285" s="1144"/>
      <c r="DZB285" s="1144"/>
      <c r="DZC285" s="1144"/>
      <c r="DZD285" s="1144"/>
      <c r="DZE285" s="1144"/>
      <c r="DZF285" s="1144"/>
      <c r="DZG285" s="1144"/>
      <c r="DZH285" s="1144"/>
      <c r="DZI285" s="1144"/>
      <c r="DZJ285" s="1144"/>
      <c r="DZK285" s="1144"/>
      <c r="DZL285" s="1144"/>
      <c r="DZM285" s="1144"/>
      <c r="DZN285" s="1144"/>
      <c r="DZO285" s="1144"/>
      <c r="DZP285" s="1144"/>
      <c r="DZQ285" s="1144"/>
      <c r="DZR285" s="1144"/>
      <c r="DZS285" s="1144"/>
      <c r="DZT285" s="1144"/>
      <c r="DZU285" s="1144"/>
      <c r="DZV285" s="1144"/>
      <c r="DZW285" s="1144"/>
      <c r="DZX285" s="1144"/>
      <c r="DZY285" s="1144"/>
      <c r="DZZ285" s="1144"/>
      <c r="EAA285" s="1144"/>
      <c r="EAB285" s="1144"/>
      <c r="EAC285" s="1144"/>
      <c r="EAD285" s="1144"/>
      <c r="EAE285" s="1144"/>
      <c r="EAF285" s="1144"/>
      <c r="EAG285" s="1144"/>
      <c r="EAH285" s="1144"/>
      <c r="EAI285" s="1144"/>
      <c r="EAJ285" s="1144"/>
      <c r="EAK285" s="1144"/>
      <c r="EAL285" s="1144"/>
      <c r="EAM285" s="1144"/>
      <c r="EAN285" s="1144"/>
      <c r="EAO285" s="1144"/>
      <c r="EAP285" s="1144"/>
      <c r="EAQ285" s="1144"/>
      <c r="EAR285" s="1144"/>
      <c r="EAS285" s="1144"/>
      <c r="EAT285" s="1144"/>
      <c r="EAU285" s="1144"/>
      <c r="EAV285" s="1144"/>
      <c r="EAW285" s="1144"/>
      <c r="EAX285" s="1144"/>
      <c r="EAY285" s="1144"/>
      <c r="EAZ285" s="1144"/>
      <c r="EBA285" s="1144"/>
      <c r="EBB285" s="1144"/>
      <c r="EBC285" s="1144"/>
      <c r="EBD285" s="1144"/>
      <c r="EBE285" s="1144"/>
      <c r="EBF285" s="1144"/>
      <c r="EBG285" s="1144"/>
      <c r="EBH285" s="1144"/>
      <c r="EBI285" s="1144"/>
      <c r="EBJ285" s="1144"/>
      <c r="EBK285" s="1144"/>
      <c r="EBL285" s="1144"/>
      <c r="EBM285" s="1144"/>
      <c r="EBN285" s="1144"/>
      <c r="EBO285" s="1144"/>
      <c r="EBP285" s="1144"/>
      <c r="EBQ285" s="1144"/>
      <c r="EBR285" s="1144"/>
      <c r="EBS285" s="1144"/>
      <c r="EBT285" s="1144"/>
      <c r="EBU285" s="1144"/>
      <c r="EBV285" s="1144"/>
      <c r="EBW285" s="1144"/>
      <c r="EBX285" s="1144"/>
      <c r="EBY285" s="1144"/>
      <c r="EBZ285" s="1144"/>
      <c r="ECA285" s="1144"/>
      <c r="ECB285" s="1144"/>
      <c r="ECC285" s="1144"/>
      <c r="ECD285" s="1144"/>
      <c r="ECE285" s="1144"/>
      <c r="ECF285" s="1144"/>
      <c r="ECG285" s="1144"/>
      <c r="ECH285" s="1144"/>
      <c r="ECI285" s="1144"/>
      <c r="ECJ285" s="1144"/>
      <c r="ECK285" s="1144"/>
      <c r="ECL285" s="1144"/>
      <c r="ECM285" s="1144"/>
      <c r="ECN285" s="1144"/>
      <c r="ECO285" s="1144"/>
      <c r="ECP285" s="1144"/>
      <c r="ECQ285" s="1144"/>
      <c r="ECR285" s="1144"/>
      <c r="ECS285" s="1144"/>
      <c r="ECT285" s="1144"/>
      <c r="ECU285" s="1144"/>
      <c r="ECV285" s="1144"/>
      <c r="ECW285" s="1144"/>
      <c r="ECX285" s="1144"/>
      <c r="ECY285" s="1144"/>
      <c r="ECZ285" s="1144"/>
      <c r="EDA285" s="1144"/>
      <c r="EDB285" s="1144"/>
      <c r="EDC285" s="1144"/>
      <c r="EDD285" s="1144"/>
      <c r="EDE285" s="1144"/>
      <c r="EDF285" s="1144"/>
      <c r="EDG285" s="1144"/>
      <c r="EDH285" s="1144"/>
      <c r="EDI285" s="1144"/>
      <c r="EDJ285" s="1144"/>
      <c r="EDK285" s="1144"/>
      <c r="EDL285" s="1144"/>
      <c r="EDM285" s="1144"/>
      <c r="EDN285" s="1144"/>
      <c r="EDO285" s="1144"/>
      <c r="EDP285" s="1144"/>
      <c r="EDQ285" s="1144"/>
      <c r="EDR285" s="1144"/>
      <c r="EDS285" s="1144"/>
      <c r="EDT285" s="1144"/>
      <c r="EDU285" s="1144"/>
      <c r="EDV285" s="1144"/>
      <c r="EDW285" s="1144"/>
      <c r="EDX285" s="1144"/>
      <c r="EDY285" s="1144"/>
      <c r="EDZ285" s="1144"/>
      <c r="EEA285" s="1144"/>
      <c r="EEB285" s="1144"/>
      <c r="EEC285" s="1144"/>
      <c r="EED285" s="1144"/>
      <c r="EEE285" s="1144"/>
      <c r="EEF285" s="1144"/>
      <c r="EEG285" s="1144"/>
      <c r="EEH285" s="1144"/>
      <c r="EEI285" s="1144"/>
      <c r="EEJ285" s="1144"/>
      <c r="EEK285" s="1144"/>
      <c r="EEL285" s="1144"/>
      <c r="EEM285" s="1144"/>
      <c r="EEN285" s="1144"/>
      <c r="EEO285" s="1144"/>
      <c r="EEP285" s="1144"/>
      <c r="EEQ285" s="1144"/>
      <c r="EER285" s="1144"/>
      <c r="EES285" s="1144"/>
      <c r="EET285" s="1144"/>
      <c r="EEU285" s="1144"/>
      <c r="EEV285" s="1144"/>
      <c r="EEW285" s="1144"/>
      <c r="EEX285" s="1144"/>
      <c r="EEY285" s="1144"/>
      <c r="EEZ285" s="1144"/>
      <c r="EFA285" s="1144"/>
      <c r="EFB285" s="1144"/>
      <c r="EFC285" s="1144"/>
      <c r="EFD285" s="1144"/>
      <c r="EFE285" s="1144"/>
      <c r="EFF285" s="1144"/>
      <c r="EFG285" s="1144"/>
      <c r="EFH285" s="1144"/>
      <c r="EFI285" s="1144"/>
      <c r="EFJ285" s="1144"/>
      <c r="EFK285" s="1144"/>
      <c r="EFL285" s="1144"/>
      <c r="EFM285" s="1144"/>
      <c r="EFN285" s="1144"/>
      <c r="EFO285" s="1144"/>
      <c r="EFP285" s="1144"/>
      <c r="EFQ285" s="1144"/>
      <c r="EFR285" s="1144"/>
      <c r="EFS285" s="1144"/>
      <c r="EFT285" s="1144"/>
      <c r="EFU285" s="1144"/>
      <c r="EFV285" s="1144"/>
      <c r="EFW285" s="1144"/>
      <c r="EFX285" s="1144"/>
      <c r="EFY285" s="1144"/>
      <c r="EFZ285" s="1144"/>
      <c r="EGA285" s="1144"/>
      <c r="EGB285" s="1144"/>
      <c r="EGC285" s="1144"/>
      <c r="EGD285" s="1144"/>
      <c r="EGE285" s="1144"/>
      <c r="EGF285" s="1144"/>
      <c r="EGG285" s="1144"/>
      <c r="EGH285" s="1144"/>
      <c r="EGI285" s="1144"/>
      <c r="EGJ285" s="1144"/>
      <c r="EGK285" s="1144"/>
      <c r="EGL285" s="1144"/>
      <c r="EGM285" s="1144"/>
      <c r="EGN285" s="1144"/>
      <c r="EGO285" s="1144"/>
      <c r="EGP285" s="1144"/>
      <c r="EGQ285" s="1144"/>
      <c r="EGR285" s="1144"/>
      <c r="EGS285" s="1144"/>
      <c r="EGT285" s="1144"/>
      <c r="EGU285" s="1144"/>
      <c r="EGV285" s="1144"/>
      <c r="EGW285" s="1144"/>
      <c r="EGX285" s="1144"/>
      <c r="EGY285" s="1144"/>
      <c r="EGZ285" s="1144"/>
      <c r="EHA285" s="1144"/>
      <c r="EHB285" s="1144"/>
      <c r="EHC285" s="1144"/>
      <c r="EHD285" s="1144"/>
      <c r="EHE285" s="1144"/>
      <c r="EHF285" s="1144"/>
      <c r="EHG285" s="1144"/>
      <c r="EHH285" s="1144"/>
      <c r="EHI285" s="1144"/>
      <c r="EHJ285" s="1144"/>
      <c r="EHK285" s="1144"/>
      <c r="EHL285" s="1144"/>
      <c r="EHM285" s="1144"/>
      <c r="EHN285" s="1144"/>
      <c r="EHO285" s="1144"/>
      <c r="EHP285" s="1144"/>
      <c r="EHQ285" s="1144"/>
      <c r="EHR285" s="1144"/>
      <c r="EHS285" s="1144"/>
      <c r="EHT285" s="1144"/>
      <c r="EHU285" s="1144"/>
      <c r="EHV285" s="1144"/>
      <c r="EHW285" s="1144"/>
      <c r="EHX285" s="1144"/>
      <c r="EHY285" s="1144"/>
      <c r="EHZ285" s="1144"/>
      <c r="EIA285" s="1144"/>
      <c r="EIB285" s="1144"/>
      <c r="EIC285" s="1144"/>
      <c r="EID285" s="1144"/>
      <c r="EIE285" s="1144"/>
      <c r="EIF285" s="1144"/>
      <c r="EIG285" s="1144"/>
      <c r="EIH285" s="1144"/>
      <c r="EII285" s="1144"/>
      <c r="EIJ285" s="1144"/>
      <c r="EIK285" s="1144"/>
      <c r="EIL285" s="1144"/>
      <c r="EIM285" s="1144"/>
      <c r="EIN285" s="1144"/>
      <c r="EIO285" s="1144"/>
      <c r="EIP285" s="1144"/>
      <c r="EIQ285" s="1144"/>
      <c r="EIR285" s="1144"/>
      <c r="EIS285" s="1144"/>
      <c r="EIT285" s="1144"/>
      <c r="EIU285" s="1144"/>
      <c r="EIV285" s="1144"/>
      <c r="EIW285" s="1144"/>
      <c r="EIX285" s="1144"/>
      <c r="EIY285" s="1144"/>
      <c r="EIZ285" s="1144"/>
      <c r="EJA285" s="1144"/>
      <c r="EJB285" s="1144"/>
      <c r="EJC285" s="1144"/>
      <c r="EJD285" s="1144"/>
      <c r="EJE285" s="1144"/>
      <c r="EJF285" s="1144"/>
      <c r="EJG285" s="1144"/>
      <c r="EJH285" s="1144"/>
      <c r="EJI285" s="1144"/>
      <c r="EJJ285" s="1144"/>
      <c r="EJK285" s="1144"/>
      <c r="EJL285" s="1144"/>
      <c r="EJM285" s="1144"/>
      <c r="EJN285" s="1144"/>
      <c r="EJO285" s="1144"/>
      <c r="EJP285" s="1144"/>
      <c r="EJQ285" s="1144"/>
      <c r="EJR285" s="1144"/>
      <c r="EJS285" s="1144"/>
      <c r="EJT285" s="1144"/>
      <c r="EJU285" s="1144"/>
      <c r="EJV285" s="1144"/>
      <c r="EJW285" s="1144"/>
      <c r="EJX285" s="1144"/>
      <c r="EJY285" s="1144"/>
      <c r="EJZ285" s="1144"/>
      <c r="EKA285" s="1144"/>
      <c r="EKB285" s="1144"/>
      <c r="EKC285" s="1144"/>
      <c r="EKD285" s="1144"/>
      <c r="EKE285" s="1144"/>
      <c r="EKF285" s="1144"/>
      <c r="EKG285" s="1144"/>
      <c r="EKH285" s="1144"/>
      <c r="EKI285" s="1144"/>
      <c r="EKJ285" s="1144"/>
      <c r="EKK285" s="1144"/>
      <c r="EKL285" s="1144"/>
      <c r="EKM285" s="1144"/>
      <c r="EKN285" s="1144"/>
      <c r="EKO285" s="1144"/>
      <c r="EKP285" s="1144"/>
      <c r="EKQ285" s="1144"/>
      <c r="EKR285" s="1144"/>
      <c r="EKS285" s="1144"/>
      <c r="EKT285" s="1144"/>
      <c r="EKU285" s="1144"/>
      <c r="EKV285" s="1144"/>
      <c r="EKW285" s="1144"/>
      <c r="EKX285" s="1144"/>
      <c r="EKY285" s="1144"/>
      <c r="EKZ285" s="1144"/>
      <c r="ELA285" s="1144"/>
      <c r="ELB285" s="1144"/>
      <c r="ELC285" s="1144"/>
      <c r="ELD285" s="1144"/>
      <c r="ELE285" s="1144"/>
      <c r="ELF285" s="1144"/>
      <c r="ELG285" s="1144"/>
      <c r="ELH285" s="1144"/>
      <c r="ELI285" s="1144"/>
      <c r="ELJ285" s="1144"/>
      <c r="ELK285" s="1144"/>
      <c r="ELL285" s="1144"/>
      <c r="ELM285" s="1144"/>
      <c r="ELN285" s="1144"/>
      <c r="ELO285" s="1144"/>
      <c r="ELP285" s="1144"/>
      <c r="ELQ285" s="1144"/>
      <c r="ELR285" s="1144"/>
      <c r="ELS285" s="1144"/>
      <c r="ELT285" s="1144"/>
      <c r="ELU285" s="1144"/>
      <c r="ELV285" s="1144"/>
      <c r="ELW285" s="1144"/>
      <c r="ELX285" s="1144"/>
      <c r="ELY285" s="1144"/>
      <c r="ELZ285" s="1144"/>
      <c r="EMA285" s="1144"/>
      <c r="EMB285" s="1144"/>
      <c r="EMC285" s="1144"/>
      <c r="EMD285" s="1144"/>
      <c r="EME285" s="1144"/>
      <c r="EMF285" s="1144"/>
      <c r="EMG285" s="1144"/>
      <c r="EMH285" s="1144"/>
      <c r="EMI285" s="1144"/>
      <c r="EMJ285" s="1144"/>
      <c r="EMK285" s="1144"/>
      <c r="EML285" s="1144"/>
      <c r="EMM285" s="1144"/>
      <c r="EMN285" s="1144"/>
      <c r="EMO285" s="1144"/>
      <c r="EMP285" s="1144"/>
      <c r="EMQ285" s="1144"/>
      <c r="EMR285" s="1144"/>
      <c r="EMS285" s="1144"/>
      <c r="EMT285" s="1144"/>
      <c r="EMU285" s="1144"/>
      <c r="EMV285" s="1144"/>
      <c r="EMW285" s="1144"/>
      <c r="EMX285" s="1144"/>
      <c r="EMY285" s="1144"/>
      <c r="EMZ285" s="1144"/>
      <c r="ENA285" s="1144"/>
      <c r="ENB285" s="1144"/>
      <c r="ENC285" s="1144"/>
      <c r="END285" s="1144"/>
      <c r="ENE285" s="1144"/>
      <c r="ENF285" s="1144"/>
      <c r="ENG285" s="1144"/>
      <c r="ENH285" s="1144"/>
      <c r="ENI285" s="1144"/>
      <c r="ENJ285" s="1144"/>
      <c r="ENK285" s="1144"/>
      <c r="ENL285" s="1144"/>
      <c r="ENM285" s="1144"/>
      <c r="ENN285" s="1144"/>
      <c r="ENO285" s="1144"/>
      <c r="ENP285" s="1144"/>
      <c r="ENQ285" s="1144"/>
      <c r="ENR285" s="1144"/>
      <c r="ENS285" s="1144"/>
      <c r="ENT285" s="1144"/>
      <c r="ENU285" s="1144"/>
      <c r="ENV285" s="1144"/>
      <c r="ENW285" s="1144"/>
      <c r="ENX285" s="1144"/>
      <c r="ENY285" s="1144"/>
      <c r="ENZ285" s="1144"/>
      <c r="EOA285" s="1144"/>
      <c r="EOB285" s="1144"/>
      <c r="EOC285" s="1144"/>
      <c r="EOD285" s="1144"/>
      <c r="EOE285" s="1144"/>
      <c r="EOF285" s="1144"/>
      <c r="EOG285" s="1144"/>
      <c r="EOH285" s="1144"/>
      <c r="EOI285" s="1144"/>
      <c r="EOJ285" s="1144"/>
      <c r="EOK285" s="1144"/>
      <c r="EOL285" s="1144"/>
      <c r="EOM285" s="1144"/>
      <c r="EON285" s="1144"/>
      <c r="EOO285" s="1144"/>
      <c r="EOP285" s="1144"/>
      <c r="EOQ285" s="1144"/>
      <c r="EOR285" s="1144"/>
      <c r="EOS285" s="1144"/>
      <c r="EOT285" s="1144"/>
      <c r="EOU285" s="1144"/>
      <c r="EOV285" s="1144"/>
      <c r="EOW285" s="1144"/>
      <c r="EOX285" s="1144"/>
      <c r="EOY285" s="1144"/>
      <c r="EOZ285" s="1144"/>
      <c r="EPA285" s="1144"/>
      <c r="EPB285" s="1144"/>
      <c r="EPC285" s="1144"/>
      <c r="EPD285" s="1144"/>
      <c r="EPE285" s="1144"/>
      <c r="EPF285" s="1144"/>
      <c r="EPG285" s="1144"/>
      <c r="EPH285" s="1144"/>
      <c r="EPI285" s="1144"/>
      <c r="EPJ285" s="1144"/>
      <c r="EPK285" s="1144"/>
      <c r="EPL285" s="1144"/>
      <c r="EPM285" s="1144"/>
      <c r="EPN285" s="1144"/>
      <c r="EPO285" s="1144"/>
      <c r="EPP285" s="1144"/>
      <c r="EPQ285" s="1144"/>
      <c r="EPR285" s="1144"/>
      <c r="EPS285" s="1144"/>
      <c r="EPT285" s="1144"/>
      <c r="EPU285" s="1144"/>
      <c r="EPV285" s="1144"/>
      <c r="EPW285" s="1144"/>
      <c r="EPX285" s="1144"/>
      <c r="EPY285" s="1144"/>
      <c r="EPZ285" s="1144"/>
      <c r="EQA285" s="1144"/>
      <c r="EQB285" s="1144"/>
      <c r="EQC285" s="1144"/>
      <c r="EQD285" s="1144"/>
      <c r="EQE285" s="1144"/>
      <c r="EQF285" s="1144"/>
      <c r="EQG285" s="1144"/>
      <c r="EQH285" s="1144"/>
      <c r="EQI285" s="1144"/>
      <c r="EQJ285" s="1144"/>
      <c r="EQK285" s="1144"/>
      <c r="EQL285" s="1144"/>
      <c r="EQM285" s="1144"/>
      <c r="EQN285" s="1144"/>
      <c r="EQO285" s="1144"/>
      <c r="EQP285" s="1144"/>
      <c r="EQQ285" s="1144"/>
      <c r="EQR285" s="1144"/>
      <c r="EQS285" s="1144"/>
      <c r="EQT285" s="1144"/>
      <c r="EQU285" s="1144"/>
      <c r="EQV285" s="1144"/>
      <c r="EQW285" s="1144"/>
      <c r="EQX285" s="1144"/>
      <c r="EQY285" s="1144"/>
      <c r="EQZ285" s="1144"/>
      <c r="ERA285" s="1144"/>
      <c r="ERB285" s="1144"/>
      <c r="ERC285" s="1144"/>
      <c r="ERD285" s="1144"/>
      <c r="ERE285" s="1144"/>
      <c r="ERF285" s="1144"/>
      <c r="ERG285" s="1144"/>
      <c r="ERH285" s="1144"/>
      <c r="ERI285" s="1144"/>
      <c r="ERJ285" s="1144"/>
      <c r="ERK285" s="1144"/>
      <c r="ERL285" s="1144"/>
      <c r="ERM285" s="1144"/>
      <c r="ERN285" s="1144"/>
      <c r="ERO285" s="1144"/>
      <c r="ERP285" s="1144"/>
      <c r="ERQ285" s="1144"/>
      <c r="ERR285" s="1144"/>
      <c r="ERS285" s="1144"/>
      <c r="ERT285" s="1144"/>
      <c r="ERU285" s="1144"/>
      <c r="ERV285" s="1144"/>
      <c r="ERW285" s="1144"/>
      <c r="ERX285" s="1144"/>
      <c r="ERY285" s="1144"/>
      <c r="ERZ285" s="1144"/>
      <c r="ESA285" s="1144"/>
      <c r="ESB285" s="1144"/>
      <c r="ESC285" s="1144"/>
      <c r="ESD285" s="1144"/>
      <c r="ESE285" s="1144"/>
      <c r="ESF285" s="1144"/>
      <c r="ESG285" s="1144"/>
      <c r="ESH285" s="1144"/>
      <c r="ESI285" s="1144"/>
      <c r="ESJ285" s="1144"/>
      <c r="ESK285" s="1144"/>
      <c r="ESL285" s="1144"/>
      <c r="ESM285" s="1144"/>
      <c r="ESN285" s="1144"/>
      <c r="ESO285" s="1144"/>
      <c r="ESP285" s="1144"/>
      <c r="ESQ285" s="1144"/>
      <c r="ESR285" s="1144"/>
      <c r="ESS285" s="1144"/>
      <c r="EST285" s="1144"/>
      <c r="ESU285" s="1144"/>
      <c r="ESV285" s="1144"/>
      <c r="ESW285" s="1144"/>
      <c r="ESX285" s="1144"/>
      <c r="ESY285" s="1144"/>
      <c r="ESZ285" s="1144"/>
      <c r="ETA285" s="1144"/>
      <c r="ETB285" s="1144"/>
      <c r="ETC285" s="1144"/>
      <c r="ETD285" s="1144"/>
      <c r="ETE285" s="1144"/>
      <c r="ETF285" s="1144"/>
      <c r="ETG285" s="1144"/>
      <c r="ETH285" s="1144"/>
      <c r="ETI285" s="1144"/>
      <c r="ETJ285" s="1144"/>
      <c r="ETK285" s="1144"/>
      <c r="ETL285" s="1144"/>
      <c r="ETM285" s="1144"/>
      <c r="ETN285" s="1144"/>
      <c r="ETO285" s="1144"/>
      <c r="ETP285" s="1144"/>
      <c r="ETQ285" s="1144"/>
      <c r="ETR285" s="1144"/>
      <c r="ETS285" s="1144"/>
      <c r="ETT285" s="1144"/>
      <c r="ETU285" s="1144"/>
      <c r="ETV285" s="1144"/>
      <c r="ETW285" s="1144"/>
      <c r="ETX285" s="1144"/>
      <c r="ETY285" s="1144"/>
      <c r="ETZ285" s="1144"/>
      <c r="EUA285" s="1144"/>
      <c r="EUB285" s="1144"/>
      <c r="EUC285" s="1144"/>
      <c r="EUD285" s="1144"/>
      <c r="EUE285" s="1144"/>
      <c r="EUF285" s="1144"/>
      <c r="EUG285" s="1144"/>
      <c r="EUH285" s="1144"/>
      <c r="EUI285" s="1144"/>
      <c r="EUJ285" s="1144"/>
      <c r="EUK285" s="1144"/>
      <c r="EUL285" s="1144"/>
      <c r="EUM285" s="1144"/>
      <c r="EUN285" s="1144"/>
      <c r="EUO285" s="1144"/>
      <c r="EUP285" s="1144"/>
      <c r="EUQ285" s="1144"/>
      <c r="EUR285" s="1144"/>
      <c r="EUS285" s="1144"/>
      <c r="EUT285" s="1144"/>
      <c r="EUU285" s="1144"/>
      <c r="EUV285" s="1144"/>
      <c r="EUW285" s="1144"/>
      <c r="EUX285" s="1144"/>
      <c r="EUY285" s="1144"/>
      <c r="EUZ285" s="1144"/>
      <c r="EVA285" s="1144"/>
      <c r="EVB285" s="1144"/>
      <c r="EVC285" s="1144"/>
      <c r="EVD285" s="1144"/>
      <c r="EVE285" s="1144"/>
      <c r="EVF285" s="1144"/>
      <c r="EVG285" s="1144"/>
      <c r="EVH285" s="1144"/>
      <c r="EVI285" s="1144"/>
      <c r="EVJ285" s="1144"/>
      <c r="EVK285" s="1144"/>
      <c r="EVL285" s="1144"/>
      <c r="EVM285" s="1144"/>
      <c r="EVN285" s="1144"/>
      <c r="EVO285" s="1144"/>
      <c r="EVP285" s="1144"/>
      <c r="EVQ285" s="1144"/>
      <c r="EVR285" s="1144"/>
      <c r="EVS285" s="1144"/>
      <c r="EVT285" s="1144"/>
      <c r="EVU285" s="1144"/>
      <c r="EVV285" s="1144"/>
      <c r="EVW285" s="1144"/>
      <c r="EVX285" s="1144"/>
      <c r="EVY285" s="1144"/>
      <c r="EVZ285" s="1144"/>
      <c r="EWA285" s="1144"/>
      <c r="EWB285" s="1144"/>
      <c r="EWC285" s="1144"/>
      <c r="EWD285" s="1144"/>
      <c r="EWE285" s="1144"/>
      <c r="EWF285" s="1144"/>
      <c r="EWG285" s="1144"/>
      <c r="EWH285" s="1144"/>
      <c r="EWI285" s="1144"/>
      <c r="EWJ285" s="1144"/>
      <c r="EWK285" s="1144"/>
      <c r="EWL285" s="1144"/>
      <c r="EWM285" s="1144"/>
      <c r="EWN285" s="1144"/>
      <c r="EWO285" s="1144"/>
      <c r="EWP285" s="1144"/>
      <c r="EWQ285" s="1144"/>
      <c r="EWR285" s="1144"/>
      <c r="EWS285" s="1144"/>
      <c r="EWT285" s="1144"/>
      <c r="EWU285" s="1144"/>
      <c r="EWV285" s="1144"/>
      <c r="EWW285" s="1144"/>
      <c r="EWX285" s="1144"/>
      <c r="EWY285" s="1144"/>
      <c r="EWZ285" s="1144"/>
      <c r="EXA285" s="1144"/>
      <c r="EXB285" s="1144"/>
      <c r="EXC285" s="1144"/>
      <c r="EXD285" s="1144"/>
      <c r="EXE285" s="1144"/>
      <c r="EXF285" s="1144"/>
      <c r="EXG285" s="1144"/>
      <c r="EXH285" s="1144"/>
      <c r="EXI285" s="1144"/>
      <c r="EXJ285" s="1144"/>
      <c r="EXK285" s="1144"/>
      <c r="EXL285" s="1144"/>
      <c r="EXM285" s="1144"/>
      <c r="EXN285" s="1144"/>
      <c r="EXO285" s="1144"/>
      <c r="EXP285" s="1144"/>
      <c r="EXQ285" s="1144"/>
      <c r="EXR285" s="1144"/>
      <c r="EXS285" s="1144"/>
      <c r="EXT285" s="1144"/>
      <c r="EXU285" s="1144"/>
      <c r="EXV285" s="1144"/>
      <c r="EXW285" s="1144"/>
      <c r="EXX285" s="1144"/>
      <c r="EXY285" s="1144"/>
      <c r="EXZ285" s="1144"/>
      <c r="EYA285" s="1144"/>
      <c r="EYB285" s="1144"/>
      <c r="EYC285" s="1144"/>
      <c r="EYD285" s="1144"/>
      <c r="EYE285" s="1144"/>
      <c r="EYF285" s="1144"/>
      <c r="EYG285" s="1144"/>
      <c r="EYH285" s="1144"/>
      <c r="EYI285" s="1144"/>
      <c r="EYJ285" s="1144"/>
      <c r="EYK285" s="1144"/>
      <c r="EYL285" s="1144"/>
      <c r="EYM285" s="1144"/>
      <c r="EYN285" s="1144"/>
      <c r="EYO285" s="1144"/>
      <c r="EYP285" s="1144"/>
      <c r="EYQ285" s="1144"/>
      <c r="EYR285" s="1144"/>
      <c r="EYS285" s="1144"/>
      <c r="EYT285" s="1144"/>
      <c r="EYU285" s="1144"/>
      <c r="EYV285" s="1144"/>
      <c r="EYW285" s="1144"/>
      <c r="EYX285" s="1144"/>
      <c r="EYY285" s="1144"/>
      <c r="EYZ285" s="1144"/>
      <c r="EZA285" s="1144"/>
      <c r="EZB285" s="1144"/>
      <c r="EZC285" s="1144"/>
      <c r="EZD285" s="1144"/>
      <c r="EZE285" s="1144"/>
      <c r="EZF285" s="1144"/>
      <c r="EZG285" s="1144"/>
      <c r="EZH285" s="1144"/>
      <c r="EZI285" s="1144"/>
      <c r="EZJ285" s="1144"/>
      <c r="EZK285" s="1144"/>
      <c r="EZL285" s="1144"/>
      <c r="EZM285" s="1144"/>
      <c r="EZN285" s="1144"/>
      <c r="EZO285" s="1144"/>
      <c r="EZP285" s="1144"/>
      <c r="EZQ285" s="1144"/>
      <c r="EZR285" s="1144"/>
      <c r="EZS285" s="1144"/>
      <c r="EZT285" s="1144"/>
      <c r="EZU285" s="1144"/>
      <c r="EZV285" s="1144"/>
      <c r="EZW285" s="1144"/>
      <c r="EZX285" s="1144"/>
      <c r="EZY285" s="1144"/>
      <c r="EZZ285" s="1144"/>
      <c r="FAA285" s="1144"/>
      <c r="FAB285" s="1144"/>
      <c r="FAC285" s="1144"/>
      <c r="FAD285" s="1144"/>
      <c r="FAE285" s="1144"/>
      <c r="FAF285" s="1144"/>
      <c r="FAG285" s="1144"/>
      <c r="FAH285" s="1144"/>
      <c r="FAI285" s="1144"/>
      <c r="FAJ285" s="1144"/>
      <c r="FAK285" s="1144"/>
      <c r="FAL285" s="1144"/>
      <c r="FAM285" s="1144"/>
      <c r="FAN285" s="1144"/>
      <c r="FAO285" s="1144"/>
      <c r="FAP285" s="1144"/>
      <c r="FAQ285" s="1144"/>
      <c r="FAR285" s="1144"/>
      <c r="FAS285" s="1144"/>
      <c r="FAT285" s="1144"/>
      <c r="FAU285" s="1144"/>
      <c r="FAV285" s="1144"/>
      <c r="FAW285" s="1144"/>
      <c r="FAX285" s="1144"/>
      <c r="FAY285" s="1144"/>
      <c r="FAZ285" s="1144"/>
      <c r="FBA285" s="1144"/>
      <c r="FBB285" s="1144"/>
      <c r="FBC285" s="1144"/>
      <c r="FBD285" s="1144"/>
      <c r="FBE285" s="1144"/>
      <c r="FBF285" s="1144"/>
      <c r="FBG285" s="1144"/>
      <c r="FBH285" s="1144"/>
      <c r="FBI285" s="1144"/>
      <c r="FBJ285" s="1144"/>
      <c r="FBK285" s="1144"/>
      <c r="FBL285" s="1144"/>
      <c r="FBM285" s="1144"/>
      <c r="FBN285" s="1144"/>
      <c r="FBO285" s="1144"/>
      <c r="FBP285" s="1144"/>
      <c r="FBQ285" s="1144"/>
      <c r="FBR285" s="1144"/>
      <c r="FBS285" s="1144"/>
      <c r="FBT285" s="1144"/>
      <c r="FBU285" s="1144"/>
      <c r="FBV285" s="1144"/>
      <c r="FBW285" s="1144"/>
      <c r="FBX285" s="1144"/>
      <c r="FBY285" s="1144"/>
      <c r="FBZ285" s="1144"/>
      <c r="FCA285" s="1144"/>
      <c r="FCB285" s="1144"/>
      <c r="FCC285" s="1144"/>
      <c r="FCD285" s="1144"/>
      <c r="FCE285" s="1144"/>
      <c r="FCF285" s="1144"/>
      <c r="FCG285" s="1144"/>
      <c r="FCH285" s="1144"/>
      <c r="FCI285" s="1144"/>
      <c r="FCJ285" s="1144"/>
      <c r="FCK285" s="1144"/>
      <c r="FCL285" s="1144"/>
      <c r="FCM285" s="1144"/>
      <c r="FCN285" s="1144"/>
      <c r="FCO285" s="1144"/>
      <c r="FCP285" s="1144"/>
      <c r="FCQ285" s="1144"/>
      <c r="FCR285" s="1144"/>
      <c r="FCS285" s="1144"/>
      <c r="FCT285" s="1144"/>
      <c r="FCU285" s="1144"/>
      <c r="FCV285" s="1144"/>
      <c r="FCW285" s="1144"/>
      <c r="FCX285" s="1144"/>
      <c r="FCY285" s="1144"/>
      <c r="FCZ285" s="1144"/>
      <c r="FDA285" s="1144"/>
      <c r="FDB285" s="1144"/>
      <c r="FDC285" s="1144"/>
      <c r="FDD285" s="1144"/>
      <c r="FDE285" s="1144"/>
      <c r="FDF285" s="1144"/>
      <c r="FDG285" s="1144"/>
      <c r="FDH285" s="1144"/>
      <c r="FDI285" s="1144"/>
      <c r="FDJ285" s="1144"/>
      <c r="FDK285" s="1144"/>
      <c r="FDL285" s="1144"/>
      <c r="FDM285" s="1144"/>
      <c r="FDN285" s="1144"/>
      <c r="FDO285" s="1144"/>
      <c r="FDP285" s="1144"/>
      <c r="FDQ285" s="1144"/>
      <c r="FDR285" s="1144"/>
      <c r="FDS285" s="1144"/>
      <c r="FDT285" s="1144"/>
      <c r="FDU285" s="1144"/>
      <c r="FDV285" s="1144"/>
      <c r="FDW285" s="1144"/>
      <c r="FDX285" s="1144"/>
      <c r="FDY285" s="1144"/>
      <c r="FDZ285" s="1144"/>
      <c r="FEA285" s="1144"/>
      <c r="FEB285" s="1144"/>
      <c r="FEC285" s="1144"/>
      <c r="FED285" s="1144"/>
      <c r="FEE285" s="1144"/>
      <c r="FEF285" s="1144"/>
      <c r="FEG285" s="1144"/>
      <c r="FEH285" s="1144"/>
      <c r="FEI285" s="1144"/>
      <c r="FEJ285" s="1144"/>
      <c r="FEK285" s="1144"/>
      <c r="FEL285" s="1144"/>
      <c r="FEM285" s="1144"/>
      <c r="FEN285" s="1144"/>
      <c r="FEO285" s="1144"/>
      <c r="FEP285" s="1144"/>
      <c r="FEQ285" s="1144"/>
      <c r="FER285" s="1144"/>
      <c r="FES285" s="1144"/>
      <c r="FET285" s="1144"/>
      <c r="FEU285" s="1144"/>
      <c r="FEV285" s="1144"/>
      <c r="FEW285" s="1144"/>
      <c r="FEX285" s="1144"/>
      <c r="FEY285" s="1144"/>
      <c r="FEZ285" s="1144"/>
      <c r="FFA285" s="1144"/>
      <c r="FFB285" s="1144"/>
      <c r="FFC285" s="1144"/>
      <c r="FFD285" s="1144"/>
      <c r="FFE285" s="1144"/>
      <c r="FFF285" s="1144"/>
      <c r="FFG285" s="1144"/>
      <c r="FFH285" s="1144"/>
      <c r="FFI285" s="1144"/>
      <c r="FFJ285" s="1144"/>
      <c r="FFK285" s="1144"/>
      <c r="FFL285" s="1144"/>
      <c r="FFM285" s="1144"/>
      <c r="FFN285" s="1144"/>
      <c r="FFO285" s="1144"/>
      <c r="FFP285" s="1144"/>
      <c r="FFQ285" s="1144"/>
      <c r="FFR285" s="1144"/>
      <c r="FFS285" s="1144"/>
      <c r="FFT285" s="1144"/>
      <c r="FFU285" s="1144"/>
      <c r="FFV285" s="1144"/>
      <c r="FFW285" s="1144"/>
      <c r="FFX285" s="1144"/>
      <c r="FFY285" s="1144"/>
      <c r="FFZ285" s="1144"/>
      <c r="FGA285" s="1144"/>
      <c r="FGB285" s="1144"/>
      <c r="FGC285" s="1144"/>
      <c r="FGD285" s="1144"/>
      <c r="FGE285" s="1144"/>
      <c r="FGF285" s="1144"/>
      <c r="FGG285" s="1144"/>
      <c r="FGH285" s="1144"/>
      <c r="FGI285" s="1144"/>
      <c r="FGJ285" s="1144"/>
      <c r="FGK285" s="1144"/>
      <c r="FGL285" s="1144"/>
      <c r="FGM285" s="1144"/>
      <c r="FGN285" s="1144"/>
      <c r="FGO285" s="1144"/>
      <c r="FGP285" s="1144"/>
      <c r="FGQ285" s="1144"/>
      <c r="FGR285" s="1144"/>
      <c r="FGS285" s="1144"/>
      <c r="FGT285" s="1144"/>
      <c r="FGU285" s="1144"/>
      <c r="FGV285" s="1144"/>
      <c r="FGW285" s="1144"/>
      <c r="FGX285" s="1144"/>
      <c r="FGY285" s="1144"/>
      <c r="FGZ285" s="1144"/>
      <c r="FHA285" s="1144"/>
      <c r="FHB285" s="1144"/>
      <c r="FHC285" s="1144"/>
      <c r="FHD285" s="1144"/>
      <c r="FHE285" s="1144"/>
      <c r="FHF285" s="1144"/>
      <c r="FHG285" s="1144"/>
      <c r="FHH285" s="1144"/>
      <c r="FHI285" s="1144"/>
      <c r="FHJ285" s="1144"/>
      <c r="FHK285" s="1144"/>
      <c r="FHL285" s="1144"/>
      <c r="FHM285" s="1144"/>
      <c r="FHN285" s="1144"/>
      <c r="FHO285" s="1144"/>
      <c r="FHP285" s="1144"/>
      <c r="FHQ285" s="1144"/>
      <c r="FHR285" s="1144"/>
      <c r="FHS285" s="1144"/>
      <c r="FHT285" s="1144"/>
      <c r="FHU285" s="1144"/>
      <c r="FHV285" s="1144"/>
      <c r="FHW285" s="1144"/>
      <c r="FHX285" s="1144"/>
      <c r="FHY285" s="1144"/>
      <c r="FHZ285" s="1144"/>
      <c r="FIA285" s="1144"/>
      <c r="FIB285" s="1144"/>
      <c r="FIC285" s="1144"/>
      <c r="FID285" s="1144"/>
      <c r="FIE285" s="1144"/>
      <c r="FIF285" s="1144"/>
      <c r="FIG285" s="1144"/>
      <c r="FIH285" s="1144"/>
      <c r="FII285" s="1144"/>
      <c r="FIJ285" s="1144"/>
      <c r="FIK285" s="1144"/>
      <c r="FIL285" s="1144"/>
      <c r="FIM285" s="1144"/>
      <c r="FIN285" s="1144"/>
      <c r="FIO285" s="1144"/>
      <c r="FIP285" s="1144"/>
      <c r="FIQ285" s="1144"/>
      <c r="FIR285" s="1144"/>
      <c r="FIS285" s="1144"/>
      <c r="FIT285" s="1144"/>
      <c r="FIU285" s="1144"/>
      <c r="FIV285" s="1144"/>
      <c r="FIW285" s="1144"/>
      <c r="FIX285" s="1144"/>
      <c r="FIY285" s="1144"/>
      <c r="FIZ285" s="1144"/>
      <c r="FJA285" s="1144"/>
      <c r="FJB285" s="1144"/>
      <c r="FJC285" s="1144"/>
      <c r="FJD285" s="1144"/>
      <c r="FJE285" s="1144"/>
      <c r="FJF285" s="1144"/>
      <c r="FJG285" s="1144"/>
      <c r="FJH285" s="1144"/>
      <c r="FJI285" s="1144"/>
      <c r="FJJ285" s="1144"/>
      <c r="FJK285" s="1144"/>
      <c r="FJL285" s="1144"/>
      <c r="FJM285" s="1144"/>
      <c r="FJN285" s="1144"/>
      <c r="FJO285" s="1144"/>
      <c r="FJP285" s="1144"/>
      <c r="FJQ285" s="1144"/>
      <c r="FJR285" s="1144"/>
      <c r="FJS285" s="1144"/>
      <c r="FJT285" s="1144"/>
      <c r="FJU285" s="1144"/>
      <c r="FJV285" s="1144"/>
      <c r="FJW285" s="1144"/>
      <c r="FJX285" s="1144"/>
      <c r="FJY285" s="1144"/>
      <c r="FJZ285" s="1144"/>
      <c r="FKA285" s="1144"/>
      <c r="FKB285" s="1144"/>
      <c r="FKC285" s="1144"/>
      <c r="FKD285" s="1144"/>
      <c r="FKE285" s="1144"/>
      <c r="FKF285" s="1144"/>
      <c r="FKG285" s="1144"/>
      <c r="FKH285" s="1144"/>
      <c r="FKI285" s="1144"/>
      <c r="FKJ285" s="1144"/>
      <c r="FKK285" s="1144"/>
      <c r="FKL285" s="1144"/>
      <c r="FKM285" s="1144"/>
      <c r="FKN285" s="1144"/>
      <c r="FKO285" s="1144"/>
      <c r="FKP285" s="1144"/>
      <c r="FKQ285" s="1144"/>
      <c r="FKR285" s="1144"/>
      <c r="FKS285" s="1144"/>
      <c r="FKT285" s="1144"/>
      <c r="FKU285" s="1144"/>
      <c r="FKV285" s="1144"/>
      <c r="FKW285" s="1144"/>
      <c r="FKX285" s="1144"/>
      <c r="FKY285" s="1144"/>
      <c r="FKZ285" s="1144"/>
      <c r="FLA285" s="1144"/>
      <c r="FLB285" s="1144"/>
      <c r="FLC285" s="1144"/>
      <c r="FLD285" s="1144"/>
      <c r="FLE285" s="1144"/>
      <c r="FLF285" s="1144"/>
      <c r="FLG285" s="1144"/>
      <c r="FLH285" s="1144"/>
      <c r="FLI285" s="1144"/>
      <c r="FLJ285" s="1144"/>
      <c r="FLK285" s="1144"/>
      <c r="FLL285" s="1144"/>
      <c r="FLM285" s="1144"/>
      <c r="FLN285" s="1144"/>
      <c r="FLO285" s="1144"/>
      <c r="FLP285" s="1144"/>
      <c r="FLQ285" s="1144"/>
      <c r="FLR285" s="1144"/>
      <c r="FLS285" s="1144"/>
      <c r="FLT285" s="1144"/>
      <c r="FLU285" s="1144"/>
      <c r="FLV285" s="1144"/>
      <c r="FLW285" s="1144"/>
      <c r="FLX285" s="1144"/>
      <c r="FLY285" s="1144"/>
      <c r="FLZ285" s="1144"/>
      <c r="FMA285" s="1144"/>
      <c r="FMB285" s="1144"/>
      <c r="FMC285" s="1144"/>
      <c r="FMD285" s="1144"/>
      <c r="FME285" s="1144"/>
      <c r="FMF285" s="1144"/>
      <c r="FMG285" s="1144"/>
      <c r="FMH285" s="1144"/>
      <c r="FMI285" s="1144"/>
      <c r="FMJ285" s="1144"/>
      <c r="FMK285" s="1144"/>
      <c r="FML285" s="1144"/>
      <c r="FMM285" s="1144"/>
      <c r="FMN285" s="1144"/>
      <c r="FMO285" s="1144"/>
      <c r="FMP285" s="1144"/>
      <c r="FMQ285" s="1144"/>
      <c r="FMR285" s="1144"/>
      <c r="FMS285" s="1144"/>
      <c r="FMT285" s="1144"/>
      <c r="FMU285" s="1144"/>
      <c r="FMV285" s="1144"/>
      <c r="FMW285" s="1144"/>
      <c r="FMX285" s="1144"/>
      <c r="FMY285" s="1144"/>
      <c r="FMZ285" s="1144"/>
      <c r="FNA285" s="1144"/>
      <c r="FNB285" s="1144"/>
      <c r="FNC285" s="1144"/>
      <c r="FND285" s="1144"/>
      <c r="FNE285" s="1144"/>
      <c r="FNF285" s="1144"/>
      <c r="FNG285" s="1144"/>
      <c r="FNH285" s="1144"/>
      <c r="FNI285" s="1144"/>
      <c r="FNJ285" s="1144"/>
      <c r="FNK285" s="1144"/>
      <c r="FNL285" s="1144"/>
      <c r="FNM285" s="1144"/>
      <c r="FNN285" s="1144"/>
      <c r="FNO285" s="1144"/>
      <c r="FNP285" s="1144"/>
      <c r="FNQ285" s="1144"/>
      <c r="FNR285" s="1144"/>
      <c r="FNS285" s="1144"/>
      <c r="FNT285" s="1144"/>
      <c r="FNU285" s="1144"/>
      <c r="FNV285" s="1144"/>
      <c r="FNW285" s="1144"/>
      <c r="FNX285" s="1144"/>
      <c r="FNY285" s="1144"/>
      <c r="FNZ285" s="1144"/>
      <c r="FOA285" s="1144"/>
      <c r="FOB285" s="1144"/>
      <c r="FOC285" s="1144"/>
      <c r="FOD285" s="1144"/>
      <c r="FOE285" s="1144"/>
      <c r="FOF285" s="1144"/>
      <c r="FOG285" s="1144"/>
      <c r="FOH285" s="1144"/>
      <c r="FOI285" s="1144"/>
      <c r="FOJ285" s="1144"/>
      <c r="FOK285" s="1144"/>
      <c r="FOL285" s="1144"/>
      <c r="FOM285" s="1144"/>
      <c r="FON285" s="1144"/>
      <c r="FOO285" s="1144"/>
      <c r="FOP285" s="1144"/>
      <c r="FOQ285" s="1144"/>
      <c r="FOR285" s="1144"/>
      <c r="FOS285" s="1144"/>
      <c r="FOT285" s="1144"/>
      <c r="FOU285" s="1144"/>
      <c r="FOV285" s="1144"/>
      <c r="FOW285" s="1144"/>
      <c r="FOX285" s="1144"/>
      <c r="FOY285" s="1144"/>
      <c r="FOZ285" s="1144"/>
      <c r="FPA285" s="1144"/>
      <c r="FPB285" s="1144"/>
      <c r="FPC285" s="1144"/>
      <c r="FPD285" s="1144"/>
      <c r="FPE285" s="1144"/>
      <c r="FPF285" s="1144"/>
      <c r="FPG285" s="1144"/>
      <c r="FPH285" s="1144"/>
      <c r="FPI285" s="1144"/>
      <c r="FPJ285" s="1144"/>
      <c r="FPK285" s="1144"/>
      <c r="FPL285" s="1144"/>
      <c r="FPM285" s="1144"/>
      <c r="FPN285" s="1144"/>
      <c r="FPO285" s="1144"/>
      <c r="FPP285" s="1144"/>
      <c r="FPQ285" s="1144"/>
      <c r="FPR285" s="1144"/>
      <c r="FPS285" s="1144"/>
      <c r="FPT285" s="1144"/>
      <c r="FPU285" s="1144"/>
      <c r="FPV285" s="1144"/>
      <c r="FPW285" s="1144"/>
      <c r="FPX285" s="1144"/>
      <c r="FPY285" s="1144"/>
      <c r="FPZ285" s="1144"/>
      <c r="FQA285" s="1144"/>
      <c r="FQB285" s="1144"/>
      <c r="FQC285" s="1144"/>
      <c r="FQD285" s="1144"/>
      <c r="FQE285" s="1144"/>
      <c r="FQF285" s="1144"/>
      <c r="FQG285" s="1144"/>
      <c r="FQH285" s="1144"/>
      <c r="FQI285" s="1144"/>
      <c r="FQJ285" s="1144"/>
      <c r="FQK285" s="1144"/>
      <c r="FQL285" s="1144"/>
      <c r="FQM285" s="1144"/>
      <c r="FQN285" s="1144"/>
      <c r="FQO285" s="1144"/>
      <c r="FQP285" s="1144"/>
      <c r="FQQ285" s="1144"/>
      <c r="FQR285" s="1144"/>
      <c r="FQS285" s="1144"/>
      <c r="FQT285" s="1144"/>
      <c r="FQU285" s="1144"/>
      <c r="FQV285" s="1144"/>
      <c r="FQW285" s="1144"/>
      <c r="FQX285" s="1144"/>
      <c r="FQY285" s="1144"/>
      <c r="FQZ285" s="1144"/>
      <c r="FRA285" s="1144"/>
      <c r="FRB285" s="1144"/>
      <c r="FRC285" s="1144"/>
      <c r="FRD285" s="1144"/>
      <c r="FRE285" s="1144"/>
      <c r="FRF285" s="1144"/>
      <c r="FRG285" s="1144"/>
      <c r="FRH285" s="1144"/>
      <c r="FRI285" s="1144"/>
      <c r="FRJ285" s="1144"/>
      <c r="FRK285" s="1144"/>
      <c r="FRL285" s="1144"/>
      <c r="FRM285" s="1144"/>
      <c r="FRN285" s="1144"/>
      <c r="FRO285" s="1144"/>
      <c r="FRP285" s="1144"/>
      <c r="FRQ285" s="1144"/>
      <c r="FRR285" s="1144"/>
      <c r="FRS285" s="1144"/>
      <c r="FRT285" s="1144"/>
      <c r="FRU285" s="1144"/>
      <c r="FRV285" s="1144"/>
      <c r="FRW285" s="1144"/>
      <c r="FRX285" s="1144"/>
      <c r="FRY285" s="1144"/>
      <c r="FRZ285" s="1144"/>
      <c r="FSA285" s="1144"/>
      <c r="FSB285" s="1144"/>
      <c r="FSC285" s="1144"/>
      <c r="FSD285" s="1144"/>
      <c r="FSE285" s="1144"/>
      <c r="FSF285" s="1144"/>
      <c r="FSG285" s="1144"/>
      <c r="FSH285" s="1144"/>
      <c r="FSI285" s="1144"/>
      <c r="FSJ285" s="1144"/>
      <c r="FSK285" s="1144"/>
      <c r="FSL285" s="1144"/>
      <c r="FSM285" s="1144"/>
      <c r="FSN285" s="1144"/>
      <c r="FSO285" s="1144"/>
      <c r="FSP285" s="1144"/>
      <c r="FSQ285" s="1144"/>
      <c r="FSR285" s="1144"/>
      <c r="FSS285" s="1144"/>
      <c r="FST285" s="1144"/>
      <c r="FSU285" s="1144"/>
      <c r="FSV285" s="1144"/>
      <c r="FSW285" s="1144"/>
      <c r="FSX285" s="1144"/>
      <c r="FSY285" s="1144"/>
      <c r="FSZ285" s="1144"/>
      <c r="FTA285" s="1144"/>
      <c r="FTB285" s="1144"/>
      <c r="FTC285" s="1144"/>
      <c r="FTD285" s="1144"/>
      <c r="FTE285" s="1144"/>
      <c r="FTF285" s="1144"/>
      <c r="FTG285" s="1144"/>
      <c r="FTH285" s="1144"/>
      <c r="FTI285" s="1144"/>
      <c r="FTJ285" s="1144"/>
      <c r="FTK285" s="1144"/>
      <c r="FTL285" s="1144"/>
      <c r="FTM285" s="1144"/>
      <c r="FTN285" s="1144"/>
      <c r="FTO285" s="1144"/>
      <c r="FTP285" s="1144"/>
      <c r="FTQ285" s="1144"/>
      <c r="FTR285" s="1144"/>
      <c r="FTS285" s="1144"/>
      <c r="FTT285" s="1144"/>
      <c r="FTU285" s="1144"/>
      <c r="FTV285" s="1144"/>
      <c r="FTW285" s="1144"/>
      <c r="FTX285" s="1144"/>
      <c r="FTY285" s="1144"/>
      <c r="FTZ285" s="1144"/>
      <c r="FUA285" s="1144"/>
      <c r="FUB285" s="1144"/>
      <c r="FUC285" s="1144"/>
      <c r="FUD285" s="1144"/>
      <c r="FUE285" s="1144"/>
      <c r="FUF285" s="1144"/>
      <c r="FUG285" s="1144"/>
      <c r="FUH285" s="1144"/>
      <c r="FUI285" s="1144"/>
      <c r="FUJ285" s="1144"/>
      <c r="FUK285" s="1144"/>
      <c r="FUL285" s="1144"/>
      <c r="FUM285" s="1144"/>
      <c r="FUN285" s="1144"/>
      <c r="FUO285" s="1144"/>
      <c r="FUP285" s="1144"/>
      <c r="FUQ285" s="1144"/>
      <c r="FUR285" s="1144"/>
      <c r="FUS285" s="1144"/>
      <c r="FUT285" s="1144"/>
      <c r="FUU285" s="1144"/>
      <c r="FUV285" s="1144"/>
      <c r="FUW285" s="1144"/>
      <c r="FUX285" s="1144"/>
      <c r="FUY285" s="1144"/>
      <c r="FUZ285" s="1144"/>
      <c r="FVA285" s="1144"/>
      <c r="FVB285" s="1144"/>
      <c r="FVC285" s="1144"/>
      <c r="FVD285" s="1144"/>
      <c r="FVE285" s="1144"/>
      <c r="FVF285" s="1144"/>
      <c r="FVG285" s="1144"/>
      <c r="FVH285" s="1144"/>
      <c r="FVI285" s="1144"/>
      <c r="FVJ285" s="1144"/>
      <c r="FVK285" s="1144"/>
      <c r="FVL285" s="1144"/>
      <c r="FVM285" s="1144"/>
      <c r="FVN285" s="1144"/>
      <c r="FVO285" s="1144"/>
      <c r="FVP285" s="1144"/>
      <c r="FVQ285" s="1144"/>
      <c r="FVR285" s="1144"/>
      <c r="FVS285" s="1144"/>
      <c r="FVT285" s="1144"/>
      <c r="FVU285" s="1144"/>
      <c r="FVV285" s="1144"/>
      <c r="FVW285" s="1144"/>
      <c r="FVX285" s="1144"/>
      <c r="FVY285" s="1144"/>
      <c r="FVZ285" s="1144"/>
      <c r="FWA285" s="1144"/>
      <c r="FWB285" s="1144"/>
      <c r="FWC285" s="1144"/>
      <c r="FWD285" s="1144"/>
      <c r="FWE285" s="1144"/>
      <c r="FWF285" s="1144"/>
      <c r="FWG285" s="1144"/>
      <c r="FWH285" s="1144"/>
      <c r="FWI285" s="1144"/>
      <c r="FWJ285" s="1144"/>
      <c r="FWK285" s="1144"/>
      <c r="FWL285" s="1144"/>
      <c r="FWM285" s="1144"/>
      <c r="FWN285" s="1144"/>
      <c r="FWO285" s="1144"/>
      <c r="FWP285" s="1144"/>
      <c r="FWQ285" s="1144"/>
      <c r="FWR285" s="1144"/>
      <c r="FWS285" s="1144"/>
      <c r="FWT285" s="1144"/>
      <c r="FWU285" s="1144"/>
      <c r="FWV285" s="1144"/>
      <c r="FWW285" s="1144"/>
      <c r="FWX285" s="1144"/>
      <c r="FWY285" s="1144"/>
      <c r="FWZ285" s="1144"/>
      <c r="FXA285" s="1144"/>
      <c r="FXB285" s="1144"/>
      <c r="FXC285" s="1144"/>
      <c r="FXD285" s="1144"/>
      <c r="FXE285" s="1144"/>
      <c r="FXF285" s="1144"/>
      <c r="FXG285" s="1144"/>
      <c r="FXH285" s="1144"/>
      <c r="FXI285" s="1144"/>
      <c r="FXJ285" s="1144"/>
      <c r="FXK285" s="1144"/>
      <c r="FXL285" s="1144"/>
      <c r="FXM285" s="1144"/>
      <c r="FXN285" s="1144"/>
      <c r="FXO285" s="1144"/>
      <c r="FXP285" s="1144"/>
      <c r="FXQ285" s="1144"/>
      <c r="FXR285" s="1144"/>
      <c r="FXS285" s="1144"/>
      <c r="FXT285" s="1144"/>
      <c r="FXU285" s="1144"/>
      <c r="FXV285" s="1144"/>
      <c r="FXW285" s="1144"/>
      <c r="FXX285" s="1144"/>
      <c r="FXY285" s="1144"/>
      <c r="FXZ285" s="1144"/>
      <c r="FYA285" s="1144"/>
      <c r="FYB285" s="1144"/>
      <c r="FYC285" s="1144"/>
      <c r="FYD285" s="1144"/>
      <c r="FYE285" s="1144"/>
      <c r="FYF285" s="1144"/>
      <c r="FYG285" s="1144"/>
      <c r="FYH285" s="1144"/>
      <c r="FYI285" s="1144"/>
      <c r="FYJ285" s="1144"/>
      <c r="FYK285" s="1144"/>
      <c r="FYL285" s="1144"/>
      <c r="FYM285" s="1144"/>
      <c r="FYN285" s="1144"/>
      <c r="FYO285" s="1144"/>
      <c r="FYP285" s="1144"/>
      <c r="FYQ285" s="1144"/>
      <c r="FYR285" s="1144"/>
      <c r="FYS285" s="1144"/>
      <c r="FYT285" s="1144"/>
      <c r="FYU285" s="1144"/>
      <c r="FYV285" s="1144"/>
      <c r="FYW285" s="1144"/>
      <c r="FYX285" s="1144"/>
      <c r="FYY285" s="1144"/>
      <c r="FYZ285" s="1144"/>
      <c r="FZA285" s="1144"/>
      <c r="FZB285" s="1144"/>
      <c r="FZC285" s="1144"/>
      <c r="FZD285" s="1144"/>
      <c r="FZE285" s="1144"/>
      <c r="FZF285" s="1144"/>
      <c r="FZG285" s="1144"/>
      <c r="FZH285" s="1144"/>
      <c r="FZI285" s="1144"/>
      <c r="FZJ285" s="1144"/>
      <c r="FZK285" s="1144"/>
      <c r="FZL285" s="1144"/>
      <c r="FZM285" s="1144"/>
      <c r="FZN285" s="1144"/>
      <c r="FZO285" s="1144"/>
      <c r="FZP285" s="1144"/>
      <c r="FZQ285" s="1144"/>
      <c r="FZR285" s="1144"/>
      <c r="FZS285" s="1144"/>
      <c r="FZT285" s="1144"/>
      <c r="FZU285" s="1144"/>
      <c r="FZV285" s="1144"/>
      <c r="FZW285" s="1144"/>
      <c r="FZX285" s="1144"/>
      <c r="FZY285" s="1144"/>
      <c r="FZZ285" s="1144"/>
      <c r="GAA285" s="1144"/>
      <c r="GAB285" s="1144"/>
      <c r="GAC285" s="1144"/>
      <c r="GAD285" s="1144"/>
      <c r="GAE285" s="1144"/>
      <c r="GAF285" s="1144"/>
      <c r="GAG285" s="1144"/>
      <c r="GAH285" s="1144"/>
      <c r="GAI285" s="1144"/>
      <c r="GAJ285" s="1144"/>
      <c r="GAK285" s="1144"/>
      <c r="GAL285" s="1144"/>
      <c r="GAM285" s="1144"/>
      <c r="GAN285" s="1144"/>
      <c r="GAO285" s="1144"/>
      <c r="GAP285" s="1144"/>
      <c r="GAQ285" s="1144"/>
      <c r="GAR285" s="1144"/>
      <c r="GAS285" s="1144"/>
      <c r="GAT285" s="1144"/>
      <c r="GAU285" s="1144"/>
      <c r="GAV285" s="1144"/>
      <c r="GAW285" s="1144"/>
      <c r="GAX285" s="1144"/>
      <c r="GAY285" s="1144"/>
      <c r="GAZ285" s="1144"/>
      <c r="GBA285" s="1144"/>
      <c r="GBB285" s="1144"/>
      <c r="GBC285" s="1144"/>
      <c r="GBD285" s="1144"/>
      <c r="GBE285" s="1144"/>
      <c r="GBF285" s="1144"/>
      <c r="GBG285" s="1144"/>
      <c r="GBH285" s="1144"/>
      <c r="GBI285" s="1144"/>
      <c r="GBJ285" s="1144"/>
      <c r="GBK285" s="1144"/>
      <c r="GBL285" s="1144"/>
      <c r="GBM285" s="1144"/>
      <c r="GBN285" s="1144"/>
      <c r="GBO285" s="1144"/>
      <c r="GBP285" s="1144"/>
      <c r="GBQ285" s="1144"/>
      <c r="GBR285" s="1144"/>
      <c r="GBS285" s="1144"/>
      <c r="GBT285" s="1144"/>
      <c r="GBU285" s="1144"/>
      <c r="GBV285" s="1144"/>
      <c r="GBW285" s="1144"/>
      <c r="GBX285" s="1144"/>
      <c r="GBY285" s="1144"/>
      <c r="GBZ285" s="1144"/>
      <c r="GCA285" s="1144"/>
      <c r="GCB285" s="1144"/>
      <c r="GCC285" s="1144"/>
      <c r="GCD285" s="1144"/>
      <c r="GCE285" s="1144"/>
      <c r="GCF285" s="1144"/>
      <c r="GCG285" s="1144"/>
      <c r="GCH285" s="1144"/>
      <c r="GCI285" s="1144"/>
      <c r="GCJ285" s="1144"/>
      <c r="GCK285" s="1144"/>
      <c r="GCL285" s="1144"/>
      <c r="GCM285" s="1144"/>
      <c r="GCN285" s="1144"/>
      <c r="GCO285" s="1144"/>
      <c r="GCP285" s="1144"/>
      <c r="GCQ285" s="1144"/>
      <c r="GCR285" s="1144"/>
      <c r="GCS285" s="1144"/>
      <c r="GCT285" s="1144"/>
      <c r="GCU285" s="1144"/>
      <c r="GCV285" s="1144"/>
      <c r="GCW285" s="1144"/>
      <c r="GCX285" s="1144"/>
      <c r="GCY285" s="1144"/>
      <c r="GCZ285" s="1144"/>
      <c r="GDA285" s="1144"/>
      <c r="GDB285" s="1144"/>
      <c r="GDC285" s="1144"/>
      <c r="GDD285" s="1144"/>
      <c r="GDE285" s="1144"/>
      <c r="GDF285" s="1144"/>
      <c r="GDG285" s="1144"/>
      <c r="GDH285" s="1144"/>
      <c r="GDI285" s="1144"/>
      <c r="GDJ285" s="1144"/>
      <c r="GDK285" s="1144"/>
      <c r="GDL285" s="1144"/>
      <c r="GDM285" s="1144"/>
      <c r="GDN285" s="1144"/>
      <c r="GDO285" s="1144"/>
      <c r="GDP285" s="1144"/>
      <c r="GDQ285" s="1144"/>
      <c r="GDR285" s="1144"/>
      <c r="GDS285" s="1144"/>
      <c r="GDT285" s="1144"/>
      <c r="GDU285" s="1144"/>
      <c r="GDV285" s="1144"/>
      <c r="GDW285" s="1144"/>
      <c r="GDX285" s="1144"/>
      <c r="GDY285" s="1144"/>
      <c r="GDZ285" s="1144"/>
      <c r="GEA285" s="1144"/>
      <c r="GEB285" s="1144"/>
      <c r="GEC285" s="1144"/>
      <c r="GED285" s="1144"/>
      <c r="GEE285" s="1144"/>
      <c r="GEF285" s="1144"/>
      <c r="GEG285" s="1144"/>
      <c r="GEH285" s="1144"/>
      <c r="GEI285" s="1144"/>
      <c r="GEJ285" s="1144"/>
      <c r="GEK285" s="1144"/>
      <c r="GEL285" s="1144"/>
      <c r="GEM285" s="1144"/>
      <c r="GEN285" s="1144"/>
      <c r="GEO285" s="1144"/>
      <c r="GEP285" s="1144"/>
      <c r="GEQ285" s="1144"/>
      <c r="GER285" s="1144"/>
      <c r="GES285" s="1144"/>
      <c r="GET285" s="1144"/>
      <c r="GEU285" s="1144"/>
      <c r="GEV285" s="1144"/>
      <c r="GEW285" s="1144"/>
      <c r="GEX285" s="1144"/>
      <c r="GEY285" s="1144"/>
      <c r="GEZ285" s="1144"/>
      <c r="GFA285" s="1144"/>
      <c r="GFB285" s="1144"/>
      <c r="GFC285" s="1144"/>
      <c r="GFD285" s="1144"/>
      <c r="GFE285" s="1144"/>
      <c r="GFF285" s="1144"/>
      <c r="GFG285" s="1144"/>
      <c r="GFH285" s="1144"/>
      <c r="GFI285" s="1144"/>
      <c r="GFJ285" s="1144"/>
      <c r="GFK285" s="1144"/>
      <c r="GFL285" s="1144"/>
      <c r="GFM285" s="1144"/>
      <c r="GFN285" s="1144"/>
      <c r="GFO285" s="1144"/>
      <c r="GFP285" s="1144"/>
      <c r="GFQ285" s="1144"/>
      <c r="GFR285" s="1144"/>
      <c r="GFS285" s="1144"/>
      <c r="GFT285" s="1144"/>
      <c r="GFU285" s="1144"/>
      <c r="GFV285" s="1144"/>
      <c r="GFW285" s="1144"/>
      <c r="GFX285" s="1144"/>
      <c r="GFY285" s="1144"/>
      <c r="GFZ285" s="1144"/>
      <c r="GGA285" s="1144"/>
      <c r="GGB285" s="1144"/>
      <c r="GGC285" s="1144"/>
      <c r="GGD285" s="1144"/>
      <c r="GGE285" s="1144"/>
      <c r="GGF285" s="1144"/>
      <c r="GGG285" s="1144"/>
      <c r="GGH285" s="1144"/>
      <c r="GGI285" s="1144"/>
      <c r="GGJ285" s="1144"/>
      <c r="GGK285" s="1144"/>
      <c r="GGL285" s="1144"/>
      <c r="GGM285" s="1144"/>
      <c r="GGN285" s="1144"/>
      <c r="GGO285" s="1144"/>
      <c r="GGP285" s="1144"/>
      <c r="GGQ285" s="1144"/>
      <c r="GGR285" s="1144"/>
      <c r="GGS285" s="1144"/>
      <c r="GGT285" s="1144"/>
      <c r="GGU285" s="1144"/>
      <c r="GGV285" s="1144"/>
      <c r="GGW285" s="1144"/>
      <c r="GGX285" s="1144"/>
      <c r="GGY285" s="1144"/>
      <c r="GGZ285" s="1144"/>
      <c r="GHA285" s="1144"/>
      <c r="GHB285" s="1144"/>
      <c r="GHC285" s="1144"/>
      <c r="GHD285" s="1144"/>
      <c r="GHE285" s="1144"/>
      <c r="GHF285" s="1144"/>
      <c r="GHG285" s="1144"/>
      <c r="GHH285" s="1144"/>
      <c r="GHI285" s="1144"/>
      <c r="GHJ285" s="1144"/>
      <c r="GHK285" s="1144"/>
      <c r="GHL285" s="1144"/>
      <c r="GHM285" s="1144"/>
      <c r="GHN285" s="1144"/>
      <c r="GHO285" s="1144"/>
      <c r="GHP285" s="1144"/>
      <c r="GHQ285" s="1144"/>
      <c r="GHR285" s="1144"/>
      <c r="GHS285" s="1144"/>
      <c r="GHT285" s="1144"/>
      <c r="GHU285" s="1144"/>
      <c r="GHV285" s="1144"/>
      <c r="GHW285" s="1144"/>
      <c r="GHX285" s="1144"/>
      <c r="GHY285" s="1144"/>
      <c r="GHZ285" s="1144"/>
      <c r="GIA285" s="1144"/>
      <c r="GIB285" s="1144"/>
      <c r="GIC285" s="1144"/>
      <c r="GID285" s="1144"/>
      <c r="GIE285" s="1144"/>
      <c r="GIF285" s="1144"/>
      <c r="GIG285" s="1144"/>
      <c r="GIH285" s="1144"/>
      <c r="GII285" s="1144"/>
      <c r="GIJ285" s="1144"/>
      <c r="GIK285" s="1144"/>
      <c r="GIL285" s="1144"/>
      <c r="GIM285" s="1144"/>
      <c r="GIN285" s="1144"/>
      <c r="GIO285" s="1144"/>
      <c r="GIP285" s="1144"/>
      <c r="GIQ285" s="1144"/>
      <c r="GIR285" s="1144"/>
      <c r="GIS285" s="1144"/>
      <c r="GIT285" s="1144"/>
      <c r="GIU285" s="1144"/>
      <c r="GIV285" s="1144"/>
      <c r="GIW285" s="1144"/>
      <c r="GIX285" s="1144"/>
      <c r="GIY285" s="1144"/>
      <c r="GIZ285" s="1144"/>
      <c r="GJA285" s="1144"/>
      <c r="GJB285" s="1144"/>
      <c r="GJC285" s="1144"/>
      <c r="GJD285" s="1144"/>
      <c r="GJE285" s="1144"/>
      <c r="GJF285" s="1144"/>
      <c r="GJG285" s="1144"/>
      <c r="GJH285" s="1144"/>
      <c r="GJI285" s="1144"/>
      <c r="GJJ285" s="1144"/>
      <c r="GJK285" s="1144"/>
      <c r="GJL285" s="1144"/>
      <c r="GJM285" s="1144"/>
      <c r="GJN285" s="1144"/>
      <c r="GJO285" s="1144"/>
      <c r="GJP285" s="1144"/>
      <c r="GJQ285" s="1144"/>
      <c r="GJR285" s="1144"/>
      <c r="GJS285" s="1144"/>
      <c r="GJT285" s="1144"/>
      <c r="GJU285" s="1144"/>
      <c r="GJV285" s="1144"/>
      <c r="GJW285" s="1144"/>
      <c r="GJX285" s="1144"/>
      <c r="GJY285" s="1144"/>
      <c r="GJZ285" s="1144"/>
      <c r="GKA285" s="1144"/>
      <c r="GKB285" s="1144"/>
      <c r="GKC285" s="1144"/>
      <c r="GKD285" s="1144"/>
      <c r="GKE285" s="1144"/>
      <c r="GKF285" s="1144"/>
      <c r="GKG285" s="1144"/>
      <c r="GKH285" s="1144"/>
      <c r="GKI285" s="1144"/>
      <c r="GKJ285" s="1144"/>
      <c r="GKK285" s="1144"/>
      <c r="GKL285" s="1144"/>
      <c r="GKM285" s="1144"/>
      <c r="GKN285" s="1144"/>
      <c r="GKO285" s="1144"/>
      <c r="GKP285" s="1144"/>
      <c r="GKQ285" s="1144"/>
      <c r="GKR285" s="1144"/>
      <c r="GKS285" s="1144"/>
      <c r="GKT285" s="1144"/>
      <c r="GKU285" s="1144"/>
      <c r="GKV285" s="1144"/>
      <c r="GKW285" s="1144"/>
      <c r="GKX285" s="1144"/>
      <c r="GKY285" s="1144"/>
      <c r="GKZ285" s="1144"/>
      <c r="GLA285" s="1144"/>
      <c r="GLB285" s="1144"/>
      <c r="GLC285" s="1144"/>
      <c r="GLD285" s="1144"/>
      <c r="GLE285" s="1144"/>
      <c r="GLF285" s="1144"/>
      <c r="GLG285" s="1144"/>
      <c r="GLH285" s="1144"/>
      <c r="GLI285" s="1144"/>
      <c r="GLJ285" s="1144"/>
      <c r="GLK285" s="1144"/>
      <c r="GLL285" s="1144"/>
      <c r="GLM285" s="1144"/>
      <c r="GLN285" s="1144"/>
      <c r="GLO285" s="1144"/>
      <c r="GLP285" s="1144"/>
      <c r="GLQ285" s="1144"/>
      <c r="GLR285" s="1144"/>
      <c r="GLS285" s="1144"/>
      <c r="GLT285" s="1144"/>
      <c r="GLU285" s="1144"/>
      <c r="GLV285" s="1144"/>
      <c r="GLW285" s="1144"/>
      <c r="GLX285" s="1144"/>
      <c r="GLY285" s="1144"/>
      <c r="GLZ285" s="1144"/>
      <c r="GMA285" s="1144"/>
      <c r="GMB285" s="1144"/>
      <c r="GMC285" s="1144"/>
      <c r="GMD285" s="1144"/>
      <c r="GME285" s="1144"/>
      <c r="GMF285" s="1144"/>
      <c r="GMG285" s="1144"/>
      <c r="GMH285" s="1144"/>
      <c r="GMI285" s="1144"/>
      <c r="GMJ285" s="1144"/>
      <c r="GMK285" s="1144"/>
      <c r="GML285" s="1144"/>
      <c r="GMM285" s="1144"/>
      <c r="GMN285" s="1144"/>
      <c r="GMO285" s="1144"/>
      <c r="GMP285" s="1144"/>
      <c r="GMQ285" s="1144"/>
      <c r="GMR285" s="1144"/>
      <c r="GMS285" s="1144"/>
      <c r="GMT285" s="1144"/>
      <c r="GMU285" s="1144"/>
      <c r="GMV285" s="1144"/>
      <c r="GMW285" s="1144"/>
      <c r="GMX285" s="1144"/>
      <c r="GMY285" s="1144"/>
      <c r="GMZ285" s="1144"/>
      <c r="GNA285" s="1144"/>
      <c r="GNB285" s="1144"/>
      <c r="GNC285" s="1144"/>
      <c r="GND285" s="1144"/>
      <c r="GNE285" s="1144"/>
      <c r="GNF285" s="1144"/>
      <c r="GNG285" s="1144"/>
      <c r="GNH285" s="1144"/>
      <c r="GNI285" s="1144"/>
      <c r="GNJ285" s="1144"/>
      <c r="GNK285" s="1144"/>
      <c r="GNL285" s="1144"/>
      <c r="GNM285" s="1144"/>
      <c r="GNN285" s="1144"/>
      <c r="GNO285" s="1144"/>
      <c r="GNP285" s="1144"/>
      <c r="GNQ285" s="1144"/>
      <c r="GNR285" s="1144"/>
      <c r="GNS285" s="1144"/>
      <c r="GNT285" s="1144"/>
      <c r="GNU285" s="1144"/>
      <c r="GNV285" s="1144"/>
      <c r="GNW285" s="1144"/>
      <c r="GNX285" s="1144"/>
      <c r="GNY285" s="1144"/>
      <c r="GNZ285" s="1144"/>
      <c r="GOA285" s="1144"/>
      <c r="GOB285" s="1144"/>
      <c r="GOC285" s="1144"/>
      <c r="GOD285" s="1144"/>
      <c r="GOE285" s="1144"/>
      <c r="GOF285" s="1144"/>
      <c r="GOG285" s="1144"/>
      <c r="GOH285" s="1144"/>
      <c r="GOI285" s="1144"/>
      <c r="GOJ285" s="1144"/>
      <c r="GOK285" s="1144"/>
      <c r="GOL285" s="1144"/>
      <c r="GOM285" s="1144"/>
      <c r="GON285" s="1144"/>
      <c r="GOO285" s="1144"/>
      <c r="GOP285" s="1144"/>
      <c r="GOQ285" s="1144"/>
      <c r="GOR285" s="1144"/>
      <c r="GOS285" s="1144"/>
      <c r="GOT285" s="1144"/>
      <c r="GOU285" s="1144"/>
      <c r="GOV285" s="1144"/>
      <c r="GOW285" s="1144"/>
      <c r="GOX285" s="1144"/>
      <c r="GOY285" s="1144"/>
      <c r="GOZ285" s="1144"/>
      <c r="GPA285" s="1144"/>
      <c r="GPB285" s="1144"/>
      <c r="GPC285" s="1144"/>
      <c r="GPD285" s="1144"/>
      <c r="GPE285" s="1144"/>
      <c r="GPF285" s="1144"/>
      <c r="GPG285" s="1144"/>
      <c r="GPH285" s="1144"/>
      <c r="GPI285" s="1144"/>
      <c r="GPJ285" s="1144"/>
      <c r="GPK285" s="1144"/>
      <c r="GPL285" s="1144"/>
      <c r="GPM285" s="1144"/>
      <c r="GPN285" s="1144"/>
      <c r="GPO285" s="1144"/>
      <c r="GPP285" s="1144"/>
      <c r="GPQ285" s="1144"/>
      <c r="GPR285" s="1144"/>
      <c r="GPS285" s="1144"/>
      <c r="GPT285" s="1144"/>
      <c r="GPU285" s="1144"/>
      <c r="GPV285" s="1144"/>
      <c r="GPW285" s="1144"/>
      <c r="GPX285" s="1144"/>
      <c r="GPY285" s="1144"/>
      <c r="GPZ285" s="1144"/>
      <c r="GQA285" s="1144"/>
      <c r="GQB285" s="1144"/>
      <c r="GQC285" s="1144"/>
      <c r="GQD285" s="1144"/>
      <c r="GQE285" s="1144"/>
      <c r="GQF285" s="1144"/>
      <c r="GQG285" s="1144"/>
      <c r="GQH285" s="1144"/>
      <c r="GQI285" s="1144"/>
      <c r="GQJ285" s="1144"/>
      <c r="GQK285" s="1144"/>
      <c r="GQL285" s="1144"/>
      <c r="GQM285" s="1144"/>
      <c r="GQN285" s="1144"/>
      <c r="GQO285" s="1144"/>
      <c r="GQP285" s="1144"/>
      <c r="GQQ285" s="1144"/>
      <c r="GQR285" s="1144"/>
      <c r="GQS285" s="1144"/>
      <c r="GQT285" s="1144"/>
      <c r="GQU285" s="1144"/>
      <c r="GQV285" s="1144"/>
      <c r="GQW285" s="1144"/>
      <c r="GQX285" s="1144"/>
      <c r="GQY285" s="1144"/>
      <c r="GQZ285" s="1144"/>
      <c r="GRA285" s="1144"/>
      <c r="GRB285" s="1144"/>
      <c r="GRC285" s="1144"/>
      <c r="GRD285" s="1144"/>
      <c r="GRE285" s="1144"/>
      <c r="GRF285" s="1144"/>
      <c r="GRG285" s="1144"/>
      <c r="GRH285" s="1144"/>
      <c r="GRI285" s="1144"/>
      <c r="GRJ285" s="1144"/>
      <c r="GRK285" s="1144"/>
      <c r="GRL285" s="1144"/>
      <c r="GRM285" s="1144"/>
      <c r="GRN285" s="1144"/>
      <c r="GRO285" s="1144"/>
      <c r="GRP285" s="1144"/>
      <c r="GRQ285" s="1144"/>
      <c r="GRR285" s="1144"/>
      <c r="GRS285" s="1144"/>
      <c r="GRT285" s="1144"/>
      <c r="GRU285" s="1144"/>
      <c r="GRV285" s="1144"/>
      <c r="GRW285" s="1144"/>
      <c r="GRX285" s="1144"/>
      <c r="GRY285" s="1144"/>
      <c r="GRZ285" s="1144"/>
      <c r="GSA285" s="1144"/>
      <c r="GSB285" s="1144"/>
      <c r="GSC285" s="1144"/>
      <c r="GSD285" s="1144"/>
      <c r="GSE285" s="1144"/>
      <c r="GSF285" s="1144"/>
      <c r="GSG285" s="1144"/>
      <c r="GSH285" s="1144"/>
      <c r="GSI285" s="1144"/>
      <c r="GSJ285" s="1144"/>
      <c r="GSK285" s="1144"/>
      <c r="GSL285" s="1144"/>
      <c r="GSM285" s="1144"/>
      <c r="GSN285" s="1144"/>
      <c r="GSO285" s="1144"/>
      <c r="GSP285" s="1144"/>
      <c r="GSQ285" s="1144"/>
      <c r="GSR285" s="1144"/>
      <c r="GSS285" s="1144"/>
      <c r="GST285" s="1144"/>
      <c r="GSU285" s="1144"/>
      <c r="GSV285" s="1144"/>
      <c r="GSW285" s="1144"/>
      <c r="GSX285" s="1144"/>
      <c r="GSY285" s="1144"/>
      <c r="GSZ285" s="1144"/>
      <c r="GTA285" s="1144"/>
      <c r="GTB285" s="1144"/>
      <c r="GTC285" s="1144"/>
      <c r="GTD285" s="1144"/>
      <c r="GTE285" s="1144"/>
      <c r="GTF285" s="1144"/>
      <c r="GTG285" s="1144"/>
      <c r="GTH285" s="1144"/>
      <c r="GTI285" s="1144"/>
      <c r="GTJ285" s="1144"/>
      <c r="GTK285" s="1144"/>
      <c r="GTL285" s="1144"/>
      <c r="GTM285" s="1144"/>
      <c r="GTN285" s="1144"/>
      <c r="GTO285" s="1144"/>
      <c r="GTP285" s="1144"/>
      <c r="GTQ285" s="1144"/>
      <c r="GTR285" s="1144"/>
      <c r="GTS285" s="1144"/>
      <c r="GTT285" s="1144"/>
      <c r="GTU285" s="1144"/>
      <c r="GTV285" s="1144"/>
      <c r="GTW285" s="1144"/>
      <c r="GTX285" s="1144"/>
      <c r="GTY285" s="1144"/>
      <c r="GTZ285" s="1144"/>
      <c r="GUA285" s="1144"/>
      <c r="GUB285" s="1144"/>
      <c r="GUC285" s="1144"/>
      <c r="GUD285" s="1144"/>
      <c r="GUE285" s="1144"/>
      <c r="GUF285" s="1144"/>
      <c r="GUG285" s="1144"/>
      <c r="GUH285" s="1144"/>
      <c r="GUI285" s="1144"/>
      <c r="GUJ285" s="1144"/>
      <c r="GUK285" s="1144"/>
      <c r="GUL285" s="1144"/>
      <c r="GUM285" s="1144"/>
      <c r="GUN285" s="1144"/>
      <c r="GUO285" s="1144"/>
      <c r="GUP285" s="1144"/>
      <c r="GUQ285" s="1144"/>
      <c r="GUR285" s="1144"/>
      <c r="GUS285" s="1144"/>
      <c r="GUT285" s="1144"/>
      <c r="GUU285" s="1144"/>
      <c r="GUV285" s="1144"/>
      <c r="GUW285" s="1144"/>
      <c r="GUX285" s="1144"/>
      <c r="GUY285" s="1144"/>
      <c r="GUZ285" s="1144"/>
      <c r="GVA285" s="1144"/>
      <c r="GVB285" s="1144"/>
      <c r="GVC285" s="1144"/>
      <c r="GVD285" s="1144"/>
      <c r="GVE285" s="1144"/>
      <c r="GVF285" s="1144"/>
      <c r="GVG285" s="1144"/>
      <c r="GVH285" s="1144"/>
      <c r="GVI285" s="1144"/>
      <c r="GVJ285" s="1144"/>
      <c r="GVK285" s="1144"/>
      <c r="GVL285" s="1144"/>
      <c r="GVM285" s="1144"/>
      <c r="GVN285" s="1144"/>
      <c r="GVO285" s="1144"/>
      <c r="GVP285" s="1144"/>
      <c r="GVQ285" s="1144"/>
      <c r="GVR285" s="1144"/>
      <c r="GVS285" s="1144"/>
      <c r="GVT285" s="1144"/>
      <c r="GVU285" s="1144"/>
      <c r="GVV285" s="1144"/>
      <c r="GVW285" s="1144"/>
      <c r="GVX285" s="1144"/>
      <c r="GVY285" s="1144"/>
      <c r="GVZ285" s="1144"/>
      <c r="GWA285" s="1144"/>
      <c r="GWB285" s="1144"/>
      <c r="GWC285" s="1144"/>
      <c r="GWD285" s="1144"/>
      <c r="GWE285" s="1144"/>
      <c r="GWF285" s="1144"/>
      <c r="GWG285" s="1144"/>
      <c r="GWH285" s="1144"/>
      <c r="GWI285" s="1144"/>
      <c r="GWJ285" s="1144"/>
      <c r="GWK285" s="1144"/>
      <c r="GWL285" s="1144"/>
      <c r="GWM285" s="1144"/>
      <c r="GWN285" s="1144"/>
      <c r="GWO285" s="1144"/>
      <c r="GWP285" s="1144"/>
      <c r="GWQ285" s="1144"/>
      <c r="GWR285" s="1144"/>
      <c r="GWS285" s="1144"/>
      <c r="GWT285" s="1144"/>
      <c r="GWU285" s="1144"/>
      <c r="GWV285" s="1144"/>
      <c r="GWW285" s="1144"/>
      <c r="GWX285" s="1144"/>
      <c r="GWY285" s="1144"/>
      <c r="GWZ285" s="1144"/>
      <c r="GXA285" s="1144"/>
      <c r="GXB285" s="1144"/>
      <c r="GXC285" s="1144"/>
      <c r="GXD285" s="1144"/>
      <c r="GXE285" s="1144"/>
      <c r="GXF285" s="1144"/>
      <c r="GXG285" s="1144"/>
      <c r="GXH285" s="1144"/>
      <c r="GXI285" s="1144"/>
      <c r="GXJ285" s="1144"/>
      <c r="GXK285" s="1144"/>
      <c r="GXL285" s="1144"/>
      <c r="GXM285" s="1144"/>
      <c r="GXN285" s="1144"/>
      <c r="GXO285" s="1144"/>
      <c r="GXP285" s="1144"/>
      <c r="GXQ285" s="1144"/>
      <c r="GXR285" s="1144"/>
      <c r="GXS285" s="1144"/>
      <c r="GXT285" s="1144"/>
      <c r="GXU285" s="1144"/>
      <c r="GXV285" s="1144"/>
      <c r="GXW285" s="1144"/>
      <c r="GXX285" s="1144"/>
      <c r="GXY285" s="1144"/>
      <c r="GXZ285" s="1144"/>
      <c r="GYA285" s="1144"/>
      <c r="GYB285" s="1144"/>
      <c r="GYC285" s="1144"/>
      <c r="GYD285" s="1144"/>
      <c r="GYE285" s="1144"/>
      <c r="GYF285" s="1144"/>
      <c r="GYG285" s="1144"/>
      <c r="GYH285" s="1144"/>
      <c r="GYI285" s="1144"/>
      <c r="GYJ285" s="1144"/>
      <c r="GYK285" s="1144"/>
      <c r="GYL285" s="1144"/>
      <c r="GYM285" s="1144"/>
      <c r="GYN285" s="1144"/>
      <c r="GYO285" s="1144"/>
      <c r="GYP285" s="1144"/>
      <c r="GYQ285" s="1144"/>
      <c r="GYR285" s="1144"/>
      <c r="GYS285" s="1144"/>
      <c r="GYT285" s="1144"/>
      <c r="GYU285" s="1144"/>
      <c r="GYV285" s="1144"/>
      <c r="GYW285" s="1144"/>
      <c r="GYX285" s="1144"/>
      <c r="GYY285" s="1144"/>
      <c r="GYZ285" s="1144"/>
      <c r="GZA285" s="1144"/>
      <c r="GZB285" s="1144"/>
      <c r="GZC285" s="1144"/>
      <c r="GZD285" s="1144"/>
      <c r="GZE285" s="1144"/>
      <c r="GZF285" s="1144"/>
      <c r="GZG285" s="1144"/>
      <c r="GZH285" s="1144"/>
      <c r="GZI285" s="1144"/>
      <c r="GZJ285" s="1144"/>
      <c r="GZK285" s="1144"/>
      <c r="GZL285" s="1144"/>
      <c r="GZM285" s="1144"/>
      <c r="GZN285" s="1144"/>
      <c r="GZO285" s="1144"/>
      <c r="GZP285" s="1144"/>
      <c r="GZQ285" s="1144"/>
      <c r="GZR285" s="1144"/>
      <c r="GZS285" s="1144"/>
      <c r="GZT285" s="1144"/>
      <c r="GZU285" s="1144"/>
      <c r="GZV285" s="1144"/>
      <c r="GZW285" s="1144"/>
      <c r="GZX285" s="1144"/>
      <c r="GZY285" s="1144"/>
      <c r="GZZ285" s="1144"/>
      <c r="HAA285" s="1144"/>
      <c r="HAB285" s="1144"/>
      <c r="HAC285" s="1144"/>
      <c r="HAD285" s="1144"/>
      <c r="HAE285" s="1144"/>
      <c r="HAF285" s="1144"/>
      <c r="HAG285" s="1144"/>
      <c r="HAH285" s="1144"/>
      <c r="HAI285" s="1144"/>
      <c r="HAJ285" s="1144"/>
      <c r="HAK285" s="1144"/>
      <c r="HAL285" s="1144"/>
      <c r="HAM285" s="1144"/>
      <c r="HAN285" s="1144"/>
      <c r="HAO285" s="1144"/>
      <c r="HAP285" s="1144"/>
      <c r="HAQ285" s="1144"/>
      <c r="HAR285" s="1144"/>
      <c r="HAS285" s="1144"/>
      <c r="HAT285" s="1144"/>
      <c r="HAU285" s="1144"/>
      <c r="HAV285" s="1144"/>
      <c r="HAW285" s="1144"/>
      <c r="HAX285" s="1144"/>
      <c r="HAY285" s="1144"/>
      <c r="HAZ285" s="1144"/>
      <c r="HBA285" s="1144"/>
      <c r="HBB285" s="1144"/>
      <c r="HBC285" s="1144"/>
      <c r="HBD285" s="1144"/>
      <c r="HBE285" s="1144"/>
      <c r="HBF285" s="1144"/>
      <c r="HBG285" s="1144"/>
      <c r="HBH285" s="1144"/>
      <c r="HBI285" s="1144"/>
      <c r="HBJ285" s="1144"/>
      <c r="HBK285" s="1144"/>
      <c r="HBL285" s="1144"/>
      <c r="HBM285" s="1144"/>
      <c r="HBN285" s="1144"/>
      <c r="HBO285" s="1144"/>
      <c r="HBP285" s="1144"/>
      <c r="HBQ285" s="1144"/>
      <c r="HBR285" s="1144"/>
      <c r="HBS285" s="1144"/>
      <c r="HBT285" s="1144"/>
      <c r="HBU285" s="1144"/>
      <c r="HBV285" s="1144"/>
      <c r="HBW285" s="1144"/>
      <c r="HBX285" s="1144"/>
      <c r="HBY285" s="1144"/>
      <c r="HBZ285" s="1144"/>
      <c r="HCA285" s="1144"/>
      <c r="HCB285" s="1144"/>
      <c r="HCC285" s="1144"/>
      <c r="HCD285" s="1144"/>
      <c r="HCE285" s="1144"/>
      <c r="HCF285" s="1144"/>
      <c r="HCG285" s="1144"/>
      <c r="HCH285" s="1144"/>
      <c r="HCI285" s="1144"/>
      <c r="HCJ285" s="1144"/>
      <c r="HCK285" s="1144"/>
      <c r="HCL285" s="1144"/>
      <c r="HCM285" s="1144"/>
      <c r="HCN285" s="1144"/>
      <c r="HCO285" s="1144"/>
      <c r="HCP285" s="1144"/>
      <c r="HCQ285" s="1144"/>
      <c r="HCR285" s="1144"/>
      <c r="HCS285" s="1144"/>
      <c r="HCT285" s="1144"/>
      <c r="HCU285" s="1144"/>
      <c r="HCV285" s="1144"/>
      <c r="HCW285" s="1144"/>
      <c r="HCX285" s="1144"/>
      <c r="HCY285" s="1144"/>
      <c r="HCZ285" s="1144"/>
      <c r="HDA285" s="1144"/>
      <c r="HDB285" s="1144"/>
      <c r="HDC285" s="1144"/>
      <c r="HDD285" s="1144"/>
      <c r="HDE285" s="1144"/>
      <c r="HDF285" s="1144"/>
      <c r="HDG285" s="1144"/>
      <c r="HDH285" s="1144"/>
      <c r="HDI285" s="1144"/>
      <c r="HDJ285" s="1144"/>
      <c r="HDK285" s="1144"/>
      <c r="HDL285" s="1144"/>
      <c r="HDM285" s="1144"/>
      <c r="HDN285" s="1144"/>
      <c r="HDO285" s="1144"/>
      <c r="HDP285" s="1144"/>
      <c r="HDQ285" s="1144"/>
      <c r="HDR285" s="1144"/>
      <c r="HDS285" s="1144"/>
      <c r="HDT285" s="1144"/>
      <c r="HDU285" s="1144"/>
      <c r="HDV285" s="1144"/>
      <c r="HDW285" s="1144"/>
      <c r="HDX285" s="1144"/>
      <c r="HDY285" s="1144"/>
      <c r="HDZ285" s="1144"/>
      <c r="HEA285" s="1144"/>
      <c r="HEB285" s="1144"/>
      <c r="HEC285" s="1144"/>
      <c r="HED285" s="1144"/>
      <c r="HEE285" s="1144"/>
      <c r="HEF285" s="1144"/>
      <c r="HEG285" s="1144"/>
      <c r="HEH285" s="1144"/>
      <c r="HEI285" s="1144"/>
      <c r="HEJ285" s="1144"/>
      <c r="HEK285" s="1144"/>
      <c r="HEL285" s="1144"/>
      <c r="HEM285" s="1144"/>
      <c r="HEN285" s="1144"/>
      <c r="HEO285" s="1144"/>
      <c r="HEP285" s="1144"/>
      <c r="HEQ285" s="1144"/>
      <c r="HER285" s="1144"/>
      <c r="HES285" s="1144"/>
      <c r="HET285" s="1144"/>
      <c r="HEU285" s="1144"/>
      <c r="HEV285" s="1144"/>
      <c r="HEW285" s="1144"/>
      <c r="HEX285" s="1144"/>
      <c r="HEY285" s="1144"/>
      <c r="HEZ285" s="1144"/>
      <c r="HFA285" s="1144"/>
      <c r="HFB285" s="1144"/>
      <c r="HFC285" s="1144"/>
      <c r="HFD285" s="1144"/>
      <c r="HFE285" s="1144"/>
      <c r="HFF285" s="1144"/>
      <c r="HFG285" s="1144"/>
      <c r="HFH285" s="1144"/>
      <c r="HFI285" s="1144"/>
      <c r="HFJ285" s="1144"/>
      <c r="HFK285" s="1144"/>
      <c r="HFL285" s="1144"/>
      <c r="HFM285" s="1144"/>
      <c r="HFN285" s="1144"/>
      <c r="HFO285" s="1144"/>
      <c r="HFP285" s="1144"/>
      <c r="HFQ285" s="1144"/>
      <c r="HFR285" s="1144"/>
      <c r="HFS285" s="1144"/>
      <c r="HFT285" s="1144"/>
      <c r="HFU285" s="1144"/>
      <c r="HFV285" s="1144"/>
      <c r="HFW285" s="1144"/>
      <c r="HFX285" s="1144"/>
      <c r="HFY285" s="1144"/>
      <c r="HFZ285" s="1144"/>
      <c r="HGA285" s="1144"/>
      <c r="HGB285" s="1144"/>
      <c r="HGC285" s="1144"/>
      <c r="HGD285" s="1144"/>
      <c r="HGE285" s="1144"/>
      <c r="HGF285" s="1144"/>
      <c r="HGG285" s="1144"/>
      <c r="HGH285" s="1144"/>
      <c r="HGI285" s="1144"/>
      <c r="HGJ285" s="1144"/>
      <c r="HGK285" s="1144"/>
      <c r="HGL285" s="1144"/>
      <c r="HGM285" s="1144"/>
      <c r="HGN285" s="1144"/>
      <c r="HGO285" s="1144"/>
      <c r="HGP285" s="1144"/>
      <c r="HGQ285" s="1144"/>
      <c r="HGR285" s="1144"/>
      <c r="HGS285" s="1144"/>
      <c r="HGT285" s="1144"/>
      <c r="HGU285" s="1144"/>
      <c r="HGV285" s="1144"/>
      <c r="HGW285" s="1144"/>
      <c r="HGX285" s="1144"/>
      <c r="HGY285" s="1144"/>
      <c r="HGZ285" s="1144"/>
      <c r="HHA285" s="1144"/>
      <c r="HHB285" s="1144"/>
      <c r="HHC285" s="1144"/>
      <c r="HHD285" s="1144"/>
      <c r="HHE285" s="1144"/>
      <c r="HHF285" s="1144"/>
      <c r="HHG285" s="1144"/>
      <c r="HHH285" s="1144"/>
      <c r="HHI285" s="1144"/>
      <c r="HHJ285" s="1144"/>
      <c r="HHK285" s="1144"/>
      <c r="HHL285" s="1144"/>
      <c r="HHM285" s="1144"/>
      <c r="HHN285" s="1144"/>
      <c r="HHO285" s="1144"/>
      <c r="HHP285" s="1144"/>
      <c r="HHQ285" s="1144"/>
      <c r="HHR285" s="1144"/>
      <c r="HHS285" s="1144"/>
      <c r="HHT285" s="1144"/>
      <c r="HHU285" s="1144"/>
      <c r="HHV285" s="1144"/>
      <c r="HHW285" s="1144"/>
      <c r="HHX285" s="1144"/>
      <c r="HHY285" s="1144"/>
      <c r="HHZ285" s="1144"/>
      <c r="HIA285" s="1144"/>
      <c r="HIB285" s="1144"/>
      <c r="HIC285" s="1144"/>
      <c r="HID285" s="1144"/>
      <c r="HIE285" s="1144"/>
      <c r="HIF285" s="1144"/>
      <c r="HIG285" s="1144"/>
      <c r="HIH285" s="1144"/>
      <c r="HII285" s="1144"/>
      <c r="HIJ285" s="1144"/>
      <c r="HIK285" s="1144"/>
      <c r="HIL285" s="1144"/>
      <c r="HIM285" s="1144"/>
      <c r="HIN285" s="1144"/>
      <c r="HIO285" s="1144"/>
      <c r="HIP285" s="1144"/>
      <c r="HIQ285" s="1144"/>
      <c r="HIR285" s="1144"/>
      <c r="HIS285" s="1144"/>
      <c r="HIT285" s="1144"/>
      <c r="HIU285" s="1144"/>
      <c r="HIV285" s="1144"/>
      <c r="HIW285" s="1144"/>
      <c r="HIX285" s="1144"/>
      <c r="HIY285" s="1144"/>
      <c r="HIZ285" s="1144"/>
      <c r="HJA285" s="1144"/>
      <c r="HJB285" s="1144"/>
      <c r="HJC285" s="1144"/>
      <c r="HJD285" s="1144"/>
      <c r="HJE285" s="1144"/>
      <c r="HJF285" s="1144"/>
      <c r="HJG285" s="1144"/>
      <c r="HJH285" s="1144"/>
      <c r="HJI285" s="1144"/>
      <c r="HJJ285" s="1144"/>
      <c r="HJK285" s="1144"/>
      <c r="HJL285" s="1144"/>
      <c r="HJM285" s="1144"/>
      <c r="HJN285" s="1144"/>
      <c r="HJO285" s="1144"/>
      <c r="HJP285" s="1144"/>
      <c r="HJQ285" s="1144"/>
      <c r="HJR285" s="1144"/>
      <c r="HJS285" s="1144"/>
      <c r="HJT285" s="1144"/>
      <c r="HJU285" s="1144"/>
      <c r="HJV285" s="1144"/>
      <c r="HJW285" s="1144"/>
      <c r="HJX285" s="1144"/>
      <c r="HJY285" s="1144"/>
      <c r="HJZ285" s="1144"/>
      <c r="HKA285" s="1144"/>
      <c r="HKB285" s="1144"/>
      <c r="HKC285" s="1144"/>
      <c r="HKD285" s="1144"/>
      <c r="HKE285" s="1144"/>
      <c r="HKF285" s="1144"/>
      <c r="HKG285" s="1144"/>
      <c r="HKH285" s="1144"/>
      <c r="HKI285" s="1144"/>
      <c r="HKJ285" s="1144"/>
      <c r="HKK285" s="1144"/>
      <c r="HKL285" s="1144"/>
      <c r="HKM285" s="1144"/>
      <c r="HKN285" s="1144"/>
      <c r="HKO285" s="1144"/>
      <c r="HKP285" s="1144"/>
      <c r="HKQ285" s="1144"/>
      <c r="HKR285" s="1144"/>
      <c r="HKS285" s="1144"/>
      <c r="HKT285" s="1144"/>
      <c r="HKU285" s="1144"/>
      <c r="HKV285" s="1144"/>
      <c r="HKW285" s="1144"/>
      <c r="HKX285" s="1144"/>
      <c r="HKY285" s="1144"/>
      <c r="HKZ285" s="1144"/>
      <c r="HLA285" s="1144"/>
      <c r="HLB285" s="1144"/>
      <c r="HLC285" s="1144"/>
      <c r="HLD285" s="1144"/>
      <c r="HLE285" s="1144"/>
      <c r="HLF285" s="1144"/>
      <c r="HLG285" s="1144"/>
      <c r="HLH285" s="1144"/>
      <c r="HLI285" s="1144"/>
      <c r="HLJ285" s="1144"/>
      <c r="HLK285" s="1144"/>
      <c r="HLL285" s="1144"/>
      <c r="HLM285" s="1144"/>
      <c r="HLN285" s="1144"/>
      <c r="HLO285" s="1144"/>
      <c r="HLP285" s="1144"/>
      <c r="HLQ285" s="1144"/>
      <c r="HLR285" s="1144"/>
      <c r="HLS285" s="1144"/>
      <c r="HLT285" s="1144"/>
      <c r="HLU285" s="1144"/>
      <c r="HLV285" s="1144"/>
      <c r="HLW285" s="1144"/>
      <c r="HLX285" s="1144"/>
      <c r="HLY285" s="1144"/>
      <c r="HLZ285" s="1144"/>
      <c r="HMA285" s="1144"/>
      <c r="HMB285" s="1144"/>
      <c r="HMC285" s="1144"/>
      <c r="HMD285" s="1144"/>
      <c r="HME285" s="1144"/>
      <c r="HMF285" s="1144"/>
      <c r="HMG285" s="1144"/>
      <c r="HMH285" s="1144"/>
      <c r="HMI285" s="1144"/>
      <c r="HMJ285" s="1144"/>
      <c r="HMK285" s="1144"/>
      <c r="HML285" s="1144"/>
      <c r="HMM285" s="1144"/>
      <c r="HMN285" s="1144"/>
      <c r="HMO285" s="1144"/>
      <c r="HMP285" s="1144"/>
      <c r="HMQ285" s="1144"/>
      <c r="HMR285" s="1144"/>
      <c r="HMS285" s="1144"/>
      <c r="HMT285" s="1144"/>
      <c r="HMU285" s="1144"/>
      <c r="HMV285" s="1144"/>
      <c r="HMW285" s="1144"/>
      <c r="HMX285" s="1144"/>
      <c r="HMY285" s="1144"/>
      <c r="HMZ285" s="1144"/>
      <c r="HNA285" s="1144"/>
      <c r="HNB285" s="1144"/>
      <c r="HNC285" s="1144"/>
      <c r="HND285" s="1144"/>
      <c r="HNE285" s="1144"/>
      <c r="HNF285" s="1144"/>
      <c r="HNG285" s="1144"/>
      <c r="HNH285" s="1144"/>
      <c r="HNI285" s="1144"/>
      <c r="HNJ285" s="1144"/>
      <c r="HNK285" s="1144"/>
      <c r="HNL285" s="1144"/>
      <c r="HNM285" s="1144"/>
      <c r="HNN285" s="1144"/>
      <c r="HNO285" s="1144"/>
      <c r="HNP285" s="1144"/>
      <c r="HNQ285" s="1144"/>
      <c r="HNR285" s="1144"/>
      <c r="HNS285" s="1144"/>
      <c r="HNT285" s="1144"/>
      <c r="HNU285" s="1144"/>
      <c r="HNV285" s="1144"/>
      <c r="HNW285" s="1144"/>
      <c r="HNX285" s="1144"/>
      <c r="HNY285" s="1144"/>
      <c r="HNZ285" s="1144"/>
      <c r="HOA285" s="1144"/>
      <c r="HOB285" s="1144"/>
      <c r="HOC285" s="1144"/>
      <c r="HOD285" s="1144"/>
      <c r="HOE285" s="1144"/>
      <c r="HOF285" s="1144"/>
      <c r="HOG285" s="1144"/>
      <c r="HOH285" s="1144"/>
      <c r="HOI285" s="1144"/>
      <c r="HOJ285" s="1144"/>
      <c r="HOK285" s="1144"/>
      <c r="HOL285" s="1144"/>
      <c r="HOM285" s="1144"/>
      <c r="HON285" s="1144"/>
      <c r="HOO285" s="1144"/>
      <c r="HOP285" s="1144"/>
      <c r="HOQ285" s="1144"/>
      <c r="HOR285" s="1144"/>
      <c r="HOS285" s="1144"/>
      <c r="HOT285" s="1144"/>
      <c r="HOU285" s="1144"/>
      <c r="HOV285" s="1144"/>
      <c r="HOW285" s="1144"/>
      <c r="HOX285" s="1144"/>
      <c r="HOY285" s="1144"/>
      <c r="HOZ285" s="1144"/>
      <c r="HPA285" s="1144"/>
      <c r="HPB285" s="1144"/>
      <c r="HPC285" s="1144"/>
      <c r="HPD285" s="1144"/>
      <c r="HPE285" s="1144"/>
      <c r="HPF285" s="1144"/>
      <c r="HPG285" s="1144"/>
      <c r="HPH285" s="1144"/>
      <c r="HPI285" s="1144"/>
      <c r="HPJ285" s="1144"/>
      <c r="HPK285" s="1144"/>
      <c r="HPL285" s="1144"/>
      <c r="HPM285" s="1144"/>
      <c r="HPN285" s="1144"/>
      <c r="HPO285" s="1144"/>
      <c r="HPP285" s="1144"/>
      <c r="HPQ285" s="1144"/>
      <c r="HPR285" s="1144"/>
      <c r="HPS285" s="1144"/>
      <c r="HPT285" s="1144"/>
      <c r="HPU285" s="1144"/>
      <c r="HPV285" s="1144"/>
      <c r="HPW285" s="1144"/>
      <c r="HPX285" s="1144"/>
      <c r="HPY285" s="1144"/>
      <c r="HPZ285" s="1144"/>
      <c r="HQA285" s="1144"/>
      <c r="HQB285" s="1144"/>
      <c r="HQC285" s="1144"/>
      <c r="HQD285" s="1144"/>
      <c r="HQE285" s="1144"/>
      <c r="HQF285" s="1144"/>
      <c r="HQG285" s="1144"/>
      <c r="HQH285" s="1144"/>
      <c r="HQI285" s="1144"/>
      <c r="HQJ285" s="1144"/>
      <c r="HQK285" s="1144"/>
      <c r="HQL285" s="1144"/>
      <c r="HQM285" s="1144"/>
      <c r="HQN285" s="1144"/>
      <c r="HQO285" s="1144"/>
      <c r="HQP285" s="1144"/>
      <c r="HQQ285" s="1144"/>
      <c r="HQR285" s="1144"/>
      <c r="HQS285" s="1144"/>
      <c r="HQT285" s="1144"/>
      <c r="HQU285" s="1144"/>
      <c r="HQV285" s="1144"/>
      <c r="HQW285" s="1144"/>
      <c r="HQX285" s="1144"/>
      <c r="HQY285" s="1144"/>
      <c r="HQZ285" s="1144"/>
      <c r="HRA285" s="1144"/>
      <c r="HRB285" s="1144"/>
      <c r="HRC285" s="1144"/>
      <c r="HRD285" s="1144"/>
      <c r="HRE285" s="1144"/>
      <c r="HRF285" s="1144"/>
      <c r="HRG285" s="1144"/>
      <c r="HRH285" s="1144"/>
      <c r="HRI285" s="1144"/>
      <c r="HRJ285" s="1144"/>
      <c r="HRK285" s="1144"/>
      <c r="HRL285" s="1144"/>
      <c r="HRM285" s="1144"/>
      <c r="HRN285" s="1144"/>
      <c r="HRO285" s="1144"/>
      <c r="HRP285" s="1144"/>
      <c r="HRQ285" s="1144"/>
      <c r="HRR285" s="1144"/>
      <c r="HRS285" s="1144"/>
      <c r="HRT285" s="1144"/>
      <c r="HRU285" s="1144"/>
      <c r="HRV285" s="1144"/>
      <c r="HRW285" s="1144"/>
      <c r="HRX285" s="1144"/>
      <c r="HRY285" s="1144"/>
      <c r="HRZ285" s="1144"/>
      <c r="HSA285" s="1144"/>
      <c r="HSB285" s="1144"/>
      <c r="HSC285" s="1144"/>
      <c r="HSD285" s="1144"/>
      <c r="HSE285" s="1144"/>
      <c r="HSF285" s="1144"/>
      <c r="HSG285" s="1144"/>
      <c r="HSH285" s="1144"/>
      <c r="HSI285" s="1144"/>
      <c r="HSJ285" s="1144"/>
      <c r="HSK285" s="1144"/>
      <c r="HSL285" s="1144"/>
      <c r="HSM285" s="1144"/>
      <c r="HSN285" s="1144"/>
      <c r="HSO285" s="1144"/>
      <c r="HSP285" s="1144"/>
      <c r="HSQ285" s="1144"/>
      <c r="HSR285" s="1144"/>
      <c r="HSS285" s="1144"/>
      <c r="HST285" s="1144"/>
      <c r="HSU285" s="1144"/>
      <c r="HSV285" s="1144"/>
      <c r="HSW285" s="1144"/>
      <c r="HSX285" s="1144"/>
      <c r="HSY285" s="1144"/>
      <c r="HSZ285" s="1144"/>
      <c r="HTA285" s="1144"/>
      <c r="HTB285" s="1144"/>
      <c r="HTC285" s="1144"/>
      <c r="HTD285" s="1144"/>
      <c r="HTE285" s="1144"/>
      <c r="HTF285" s="1144"/>
      <c r="HTG285" s="1144"/>
      <c r="HTH285" s="1144"/>
      <c r="HTI285" s="1144"/>
      <c r="HTJ285" s="1144"/>
      <c r="HTK285" s="1144"/>
      <c r="HTL285" s="1144"/>
      <c r="HTM285" s="1144"/>
      <c r="HTN285" s="1144"/>
      <c r="HTO285" s="1144"/>
      <c r="HTP285" s="1144"/>
      <c r="HTQ285" s="1144"/>
      <c r="HTR285" s="1144"/>
      <c r="HTS285" s="1144"/>
      <c r="HTT285" s="1144"/>
      <c r="HTU285" s="1144"/>
      <c r="HTV285" s="1144"/>
      <c r="HTW285" s="1144"/>
      <c r="HTX285" s="1144"/>
      <c r="HTY285" s="1144"/>
      <c r="HTZ285" s="1144"/>
      <c r="HUA285" s="1144"/>
      <c r="HUB285" s="1144"/>
      <c r="HUC285" s="1144"/>
      <c r="HUD285" s="1144"/>
      <c r="HUE285" s="1144"/>
      <c r="HUF285" s="1144"/>
      <c r="HUG285" s="1144"/>
      <c r="HUH285" s="1144"/>
      <c r="HUI285" s="1144"/>
      <c r="HUJ285" s="1144"/>
      <c r="HUK285" s="1144"/>
      <c r="HUL285" s="1144"/>
      <c r="HUM285" s="1144"/>
      <c r="HUN285" s="1144"/>
      <c r="HUO285" s="1144"/>
      <c r="HUP285" s="1144"/>
      <c r="HUQ285" s="1144"/>
      <c r="HUR285" s="1144"/>
      <c r="HUS285" s="1144"/>
      <c r="HUT285" s="1144"/>
      <c r="HUU285" s="1144"/>
      <c r="HUV285" s="1144"/>
      <c r="HUW285" s="1144"/>
      <c r="HUX285" s="1144"/>
      <c r="HUY285" s="1144"/>
      <c r="HUZ285" s="1144"/>
      <c r="HVA285" s="1144"/>
      <c r="HVB285" s="1144"/>
      <c r="HVC285" s="1144"/>
      <c r="HVD285" s="1144"/>
      <c r="HVE285" s="1144"/>
      <c r="HVF285" s="1144"/>
      <c r="HVG285" s="1144"/>
      <c r="HVH285" s="1144"/>
      <c r="HVI285" s="1144"/>
      <c r="HVJ285" s="1144"/>
      <c r="HVK285" s="1144"/>
      <c r="HVL285" s="1144"/>
      <c r="HVM285" s="1144"/>
      <c r="HVN285" s="1144"/>
      <c r="HVO285" s="1144"/>
      <c r="HVP285" s="1144"/>
      <c r="HVQ285" s="1144"/>
      <c r="HVR285" s="1144"/>
      <c r="HVS285" s="1144"/>
      <c r="HVT285" s="1144"/>
      <c r="HVU285" s="1144"/>
      <c r="HVV285" s="1144"/>
      <c r="HVW285" s="1144"/>
      <c r="HVX285" s="1144"/>
      <c r="HVY285" s="1144"/>
      <c r="HVZ285" s="1144"/>
      <c r="HWA285" s="1144"/>
      <c r="HWB285" s="1144"/>
      <c r="HWC285" s="1144"/>
      <c r="HWD285" s="1144"/>
      <c r="HWE285" s="1144"/>
      <c r="HWF285" s="1144"/>
      <c r="HWG285" s="1144"/>
      <c r="HWH285" s="1144"/>
      <c r="HWI285" s="1144"/>
      <c r="HWJ285" s="1144"/>
      <c r="HWK285" s="1144"/>
      <c r="HWL285" s="1144"/>
      <c r="HWM285" s="1144"/>
      <c r="HWN285" s="1144"/>
      <c r="HWO285" s="1144"/>
      <c r="HWP285" s="1144"/>
      <c r="HWQ285" s="1144"/>
      <c r="HWR285" s="1144"/>
      <c r="HWS285" s="1144"/>
      <c r="HWT285" s="1144"/>
      <c r="HWU285" s="1144"/>
      <c r="HWV285" s="1144"/>
      <c r="HWW285" s="1144"/>
      <c r="HWX285" s="1144"/>
      <c r="HWY285" s="1144"/>
      <c r="HWZ285" s="1144"/>
      <c r="HXA285" s="1144"/>
      <c r="HXB285" s="1144"/>
      <c r="HXC285" s="1144"/>
      <c r="HXD285" s="1144"/>
      <c r="HXE285" s="1144"/>
      <c r="HXF285" s="1144"/>
      <c r="HXG285" s="1144"/>
      <c r="HXH285" s="1144"/>
      <c r="HXI285" s="1144"/>
      <c r="HXJ285" s="1144"/>
      <c r="HXK285" s="1144"/>
      <c r="HXL285" s="1144"/>
      <c r="HXM285" s="1144"/>
      <c r="HXN285" s="1144"/>
      <c r="HXO285" s="1144"/>
      <c r="HXP285" s="1144"/>
      <c r="HXQ285" s="1144"/>
      <c r="HXR285" s="1144"/>
      <c r="HXS285" s="1144"/>
      <c r="HXT285" s="1144"/>
      <c r="HXU285" s="1144"/>
      <c r="HXV285" s="1144"/>
      <c r="HXW285" s="1144"/>
      <c r="HXX285" s="1144"/>
      <c r="HXY285" s="1144"/>
      <c r="HXZ285" s="1144"/>
      <c r="HYA285" s="1144"/>
      <c r="HYB285" s="1144"/>
      <c r="HYC285" s="1144"/>
      <c r="HYD285" s="1144"/>
      <c r="HYE285" s="1144"/>
      <c r="HYF285" s="1144"/>
      <c r="HYG285" s="1144"/>
      <c r="HYH285" s="1144"/>
      <c r="HYI285" s="1144"/>
      <c r="HYJ285" s="1144"/>
      <c r="HYK285" s="1144"/>
      <c r="HYL285" s="1144"/>
      <c r="HYM285" s="1144"/>
      <c r="HYN285" s="1144"/>
      <c r="HYO285" s="1144"/>
      <c r="HYP285" s="1144"/>
      <c r="HYQ285" s="1144"/>
      <c r="HYR285" s="1144"/>
      <c r="HYS285" s="1144"/>
      <c r="HYT285" s="1144"/>
      <c r="HYU285" s="1144"/>
      <c r="HYV285" s="1144"/>
      <c r="HYW285" s="1144"/>
      <c r="HYX285" s="1144"/>
      <c r="HYY285" s="1144"/>
      <c r="HYZ285" s="1144"/>
      <c r="HZA285" s="1144"/>
      <c r="HZB285" s="1144"/>
      <c r="HZC285" s="1144"/>
      <c r="HZD285" s="1144"/>
      <c r="HZE285" s="1144"/>
      <c r="HZF285" s="1144"/>
      <c r="HZG285" s="1144"/>
      <c r="HZH285" s="1144"/>
      <c r="HZI285" s="1144"/>
      <c r="HZJ285" s="1144"/>
      <c r="HZK285" s="1144"/>
      <c r="HZL285" s="1144"/>
      <c r="HZM285" s="1144"/>
      <c r="HZN285" s="1144"/>
      <c r="HZO285" s="1144"/>
      <c r="HZP285" s="1144"/>
      <c r="HZQ285" s="1144"/>
      <c r="HZR285" s="1144"/>
      <c r="HZS285" s="1144"/>
      <c r="HZT285" s="1144"/>
      <c r="HZU285" s="1144"/>
      <c r="HZV285" s="1144"/>
      <c r="HZW285" s="1144"/>
      <c r="HZX285" s="1144"/>
      <c r="HZY285" s="1144"/>
      <c r="HZZ285" s="1144"/>
      <c r="IAA285" s="1144"/>
      <c r="IAB285" s="1144"/>
      <c r="IAC285" s="1144"/>
      <c r="IAD285" s="1144"/>
      <c r="IAE285" s="1144"/>
      <c r="IAF285" s="1144"/>
      <c r="IAG285" s="1144"/>
      <c r="IAH285" s="1144"/>
      <c r="IAI285" s="1144"/>
      <c r="IAJ285" s="1144"/>
      <c r="IAK285" s="1144"/>
      <c r="IAL285" s="1144"/>
      <c r="IAM285" s="1144"/>
      <c r="IAN285" s="1144"/>
      <c r="IAO285" s="1144"/>
      <c r="IAP285" s="1144"/>
      <c r="IAQ285" s="1144"/>
      <c r="IAR285" s="1144"/>
      <c r="IAS285" s="1144"/>
      <c r="IAT285" s="1144"/>
      <c r="IAU285" s="1144"/>
      <c r="IAV285" s="1144"/>
      <c r="IAW285" s="1144"/>
      <c r="IAX285" s="1144"/>
      <c r="IAY285" s="1144"/>
      <c r="IAZ285" s="1144"/>
      <c r="IBA285" s="1144"/>
      <c r="IBB285" s="1144"/>
      <c r="IBC285" s="1144"/>
      <c r="IBD285" s="1144"/>
      <c r="IBE285" s="1144"/>
      <c r="IBF285" s="1144"/>
      <c r="IBG285" s="1144"/>
      <c r="IBH285" s="1144"/>
      <c r="IBI285" s="1144"/>
      <c r="IBJ285" s="1144"/>
      <c r="IBK285" s="1144"/>
      <c r="IBL285" s="1144"/>
      <c r="IBM285" s="1144"/>
      <c r="IBN285" s="1144"/>
      <c r="IBO285" s="1144"/>
      <c r="IBP285" s="1144"/>
      <c r="IBQ285" s="1144"/>
      <c r="IBR285" s="1144"/>
      <c r="IBS285" s="1144"/>
      <c r="IBT285" s="1144"/>
      <c r="IBU285" s="1144"/>
      <c r="IBV285" s="1144"/>
      <c r="IBW285" s="1144"/>
      <c r="IBX285" s="1144"/>
      <c r="IBY285" s="1144"/>
      <c r="IBZ285" s="1144"/>
      <c r="ICA285" s="1144"/>
      <c r="ICB285" s="1144"/>
      <c r="ICC285" s="1144"/>
      <c r="ICD285" s="1144"/>
      <c r="ICE285" s="1144"/>
      <c r="ICF285" s="1144"/>
      <c r="ICG285" s="1144"/>
      <c r="ICH285" s="1144"/>
      <c r="ICI285" s="1144"/>
      <c r="ICJ285" s="1144"/>
      <c r="ICK285" s="1144"/>
      <c r="ICL285" s="1144"/>
      <c r="ICM285" s="1144"/>
      <c r="ICN285" s="1144"/>
      <c r="ICO285" s="1144"/>
      <c r="ICP285" s="1144"/>
      <c r="ICQ285" s="1144"/>
      <c r="ICR285" s="1144"/>
      <c r="ICS285" s="1144"/>
      <c r="ICT285" s="1144"/>
      <c r="ICU285" s="1144"/>
      <c r="ICV285" s="1144"/>
      <c r="ICW285" s="1144"/>
      <c r="ICX285" s="1144"/>
      <c r="ICY285" s="1144"/>
      <c r="ICZ285" s="1144"/>
      <c r="IDA285" s="1144"/>
      <c r="IDB285" s="1144"/>
      <c r="IDC285" s="1144"/>
      <c r="IDD285" s="1144"/>
      <c r="IDE285" s="1144"/>
      <c r="IDF285" s="1144"/>
      <c r="IDG285" s="1144"/>
      <c r="IDH285" s="1144"/>
      <c r="IDI285" s="1144"/>
      <c r="IDJ285" s="1144"/>
      <c r="IDK285" s="1144"/>
      <c r="IDL285" s="1144"/>
      <c r="IDM285" s="1144"/>
      <c r="IDN285" s="1144"/>
      <c r="IDO285" s="1144"/>
      <c r="IDP285" s="1144"/>
      <c r="IDQ285" s="1144"/>
      <c r="IDR285" s="1144"/>
      <c r="IDS285" s="1144"/>
      <c r="IDT285" s="1144"/>
      <c r="IDU285" s="1144"/>
      <c r="IDV285" s="1144"/>
      <c r="IDW285" s="1144"/>
      <c r="IDX285" s="1144"/>
      <c r="IDY285" s="1144"/>
      <c r="IDZ285" s="1144"/>
      <c r="IEA285" s="1144"/>
      <c r="IEB285" s="1144"/>
      <c r="IEC285" s="1144"/>
      <c r="IED285" s="1144"/>
      <c r="IEE285" s="1144"/>
      <c r="IEF285" s="1144"/>
      <c r="IEG285" s="1144"/>
      <c r="IEH285" s="1144"/>
      <c r="IEI285" s="1144"/>
      <c r="IEJ285" s="1144"/>
      <c r="IEK285" s="1144"/>
      <c r="IEL285" s="1144"/>
      <c r="IEM285" s="1144"/>
      <c r="IEN285" s="1144"/>
      <c r="IEO285" s="1144"/>
      <c r="IEP285" s="1144"/>
      <c r="IEQ285" s="1144"/>
      <c r="IER285" s="1144"/>
      <c r="IES285" s="1144"/>
      <c r="IET285" s="1144"/>
      <c r="IEU285" s="1144"/>
      <c r="IEV285" s="1144"/>
      <c r="IEW285" s="1144"/>
      <c r="IEX285" s="1144"/>
      <c r="IEY285" s="1144"/>
      <c r="IEZ285" s="1144"/>
      <c r="IFA285" s="1144"/>
      <c r="IFB285" s="1144"/>
      <c r="IFC285" s="1144"/>
      <c r="IFD285" s="1144"/>
      <c r="IFE285" s="1144"/>
      <c r="IFF285" s="1144"/>
      <c r="IFG285" s="1144"/>
      <c r="IFH285" s="1144"/>
      <c r="IFI285" s="1144"/>
      <c r="IFJ285" s="1144"/>
      <c r="IFK285" s="1144"/>
      <c r="IFL285" s="1144"/>
      <c r="IFM285" s="1144"/>
      <c r="IFN285" s="1144"/>
      <c r="IFO285" s="1144"/>
      <c r="IFP285" s="1144"/>
      <c r="IFQ285" s="1144"/>
      <c r="IFR285" s="1144"/>
      <c r="IFS285" s="1144"/>
      <c r="IFT285" s="1144"/>
      <c r="IFU285" s="1144"/>
      <c r="IFV285" s="1144"/>
      <c r="IFW285" s="1144"/>
      <c r="IFX285" s="1144"/>
      <c r="IFY285" s="1144"/>
      <c r="IFZ285" s="1144"/>
      <c r="IGA285" s="1144"/>
      <c r="IGB285" s="1144"/>
      <c r="IGC285" s="1144"/>
      <c r="IGD285" s="1144"/>
      <c r="IGE285" s="1144"/>
      <c r="IGF285" s="1144"/>
      <c r="IGG285" s="1144"/>
      <c r="IGH285" s="1144"/>
      <c r="IGI285" s="1144"/>
      <c r="IGJ285" s="1144"/>
      <c r="IGK285" s="1144"/>
      <c r="IGL285" s="1144"/>
      <c r="IGM285" s="1144"/>
      <c r="IGN285" s="1144"/>
      <c r="IGO285" s="1144"/>
      <c r="IGP285" s="1144"/>
      <c r="IGQ285" s="1144"/>
      <c r="IGR285" s="1144"/>
      <c r="IGS285" s="1144"/>
      <c r="IGT285" s="1144"/>
      <c r="IGU285" s="1144"/>
      <c r="IGV285" s="1144"/>
      <c r="IGW285" s="1144"/>
      <c r="IGX285" s="1144"/>
      <c r="IGY285" s="1144"/>
      <c r="IGZ285" s="1144"/>
      <c r="IHA285" s="1144"/>
      <c r="IHB285" s="1144"/>
      <c r="IHC285" s="1144"/>
      <c r="IHD285" s="1144"/>
      <c r="IHE285" s="1144"/>
      <c r="IHF285" s="1144"/>
      <c r="IHG285" s="1144"/>
      <c r="IHH285" s="1144"/>
      <c r="IHI285" s="1144"/>
      <c r="IHJ285" s="1144"/>
      <c r="IHK285" s="1144"/>
      <c r="IHL285" s="1144"/>
      <c r="IHM285" s="1144"/>
      <c r="IHN285" s="1144"/>
      <c r="IHO285" s="1144"/>
      <c r="IHP285" s="1144"/>
      <c r="IHQ285" s="1144"/>
      <c r="IHR285" s="1144"/>
      <c r="IHS285" s="1144"/>
      <c r="IHT285" s="1144"/>
      <c r="IHU285" s="1144"/>
      <c r="IHV285" s="1144"/>
      <c r="IHW285" s="1144"/>
      <c r="IHX285" s="1144"/>
      <c r="IHY285" s="1144"/>
      <c r="IHZ285" s="1144"/>
      <c r="IIA285" s="1144"/>
      <c r="IIB285" s="1144"/>
      <c r="IIC285" s="1144"/>
      <c r="IID285" s="1144"/>
      <c r="IIE285" s="1144"/>
      <c r="IIF285" s="1144"/>
      <c r="IIG285" s="1144"/>
      <c r="IIH285" s="1144"/>
      <c r="III285" s="1144"/>
      <c r="IIJ285" s="1144"/>
      <c r="IIK285" s="1144"/>
      <c r="IIL285" s="1144"/>
      <c r="IIM285" s="1144"/>
      <c r="IIN285" s="1144"/>
      <c r="IIO285" s="1144"/>
      <c r="IIP285" s="1144"/>
      <c r="IIQ285" s="1144"/>
      <c r="IIR285" s="1144"/>
      <c r="IIS285" s="1144"/>
      <c r="IIT285" s="1144"/>
      <c r="IIU285" s="1144"/>
      <c r="IIV285" s="1144"/>
      <c r="IIW285" s="1144"/>
      <c r="IIX285" s="1144"/>
      <c r="IIY285" s="1144"/>
      <c r="IIZ285" s="1144"/>
      <c r="IJA285" s="1144"/>
      <c r="IJB285" s="1144"/>
      <c r="IJC285" s="1144"/>
      <c r="IJD285" s="1144"/>
      <c r="IJE285" s="1144"/>
      <c r="IJF285" s="1144"/>
      <c r="IJG285" s="1144"/>
      <c r="IJH285" s="1144"/>
      <c r="IJI285" s="1144"/>
      <c r="IJJ285" s="1144"/>
      <c r="IJK285" s="1144"/>
      <c r="IJL285" s="1144"/>
      <c r="IJM285" s="1144"/>
      <c r="IJN285" s="1144"/>
      <c r="IJO285" s="1144"/>
      <c r="IJP285" s="1144"/>
      <c r="IJQ285" s="1144"/>
      <c r="IJR285" s="1144"/>
      <c r="IJS285" s="1144"/>
      <c r="IJT285" s="1144"/>
      <c r="IJU285" s="1144"/>
      <c r="IJV285" s="1144"/>
      <c r="IJW285" s="1144"/>
      <c r="IJX285" s="1144"/>
      <c r="IJY285" s="1144"/>
      <c r="IJZ285" s="1144"/>
      <c r="IKA285" s="1144"/>
      <c r="IKB285" s="1144"/>
      <c r="IKC285" s="1144"/>
      <c r="IKD285" s="1144"/>
      <c r="IKE285" s="1144"/>
      <c r="IKF285" s="1144"/>
      <c r="IKG285" s="1144"/>
      <c r="IKH285" s="1144"/>
      <c r="IKI285" s="1144"/>
      <c r="IKJ285" s="1144"/>
      <c r="IKK285" s="1144"/>
      <c r="IKL285" s="1144"/>
      <c r="IKM285" s="1144"/>
      <c r="IKN285" s="1144"/>
      <c r="IKO285" s="1144"/>
      <c r="IKP285" s="1144"/>
      <c r="IKQ285" s="1144"/>
      <c r="IKR285" s="1144"/>
      <c r="IKS285" s="1144"/>
      <c r="IKT285" s="1144"/>
      <c r="IKU285" s="1144"/>
      <c r="IKV285" s="1144"/>
      <c r="IKW285" s="1144"/>
      <c r="IKX285" s="1144"/>
      <c r="IKY285" s="1144"/>
      <c r="IKZ285" s="1144"/>
      <c r="ILA285" s="1144"/>
      <c r="ILB285" s="1144"/>
      <c r="ILC285" s="1144"/>
      <c r="ILD285" s="1144"/>
      <c r="ILE285" s="1144"/>
      <c r="ILF285" s="1144"/>
      <c r="ILG285" s="1144"/>
      <c r="ILH285" s="1144"/>
      <c r="ILI285" s="1144"/>
      <c r="ILJ285" s="1144"/>
      <c r="ILK285" s="1144"/>
      <c r="ILL285" s="1144"/>
      <c r="ILM285" s="1144"/>
      <c r="ILN285" s="1144"/>
      <c r="ILO285" s="1144"/>
      <c r="ILP285" s="1144"/>
      <c r="ILQ285" s="1144"/>
      <c r="ILR285" s="1144"/>
      <c r="ILS285" s="1144"/>
      <c r="ILT285" s="1144"/>
      <c r="ILU285" s="1144"/>
      <c r="ILV285" s="1144"/>
      <c r="ILW285" s="1144"/>
      <c r="ILX285" s="1144"/>
      <c r="ILY285" s="1144"/>
      <c r="ILZ285" s="1144"/>
      <c r="IMA285" s="1144"/>
      <c r="IMB285" s="1144"/>
      <c r="IMC285" s="1144"/>
      <c r="IMD285" s="1144"/>
      <c r="IME285" s="1144"/>
      <c r="IMF285" s="1144"/>
      <c r="IMG285" s="1144"/>
      <c r="IMH285" s="1144"/>
      <c r="IMI285" s="1144"/>
      <c r="IMJ285" s="1144"/>
      <c r="IMK285" s="1144"/>
      <c r="IML285" s="1144"/>
      <c r="IMM285" s="1144"/>
      <c r="IMN285" s="1144"/>
      <c r="IMO285" s="1144"/>
      <c r="IMP285" s="1144"/>
      <c r="IMQ285" s="1144"/>
      <c r="IMR285" s="1144"/>
      <c r="IMS285" s="1144"/>
      <c r="IMT285" s="1144"/>
      <c r="IMU285" s="1144"/>
      <c r="IMV285" s="1144"/>
      <c r="IMW285" s="1144"/>
      <c r="IMX285" s="1144"/>
      <c r="IMY285" s="1144"/>
      <c r="IMZ285" s="1144"/>
      <c r="INA285" s="1144"/>
      <c r="INB285" s="1144"/>
      <c r="INC285" s="1144"/>
      <c r="IND285" s="1144"/>
      <c r="INE285" s="1144"/>
      <c r="INF285" s="1144"/>
      <c r="ING285" s="1144"/>
      <c r="INH285" s="1144"/>
      <c r="INI285" s="1144"/>
      <c r="INJ285" s="1144"/>
      <c r="INK285" s="1144"/>
      <c r="INL285" s="1144"/>
      <c r="INM285" s="1144"/>
      <c r="INN285" s="1144"/>
      <c r="INO285" s="1144"/>
      <c r="INP285" s="1144"/>
      <c r="INQ285" s="1144"/>
      <c r="INR285" s="1144"/>
      <c r="INS285" s="1144"/>
      <c r="INT285" s="1144"/>
      <c r="INU285" s="1144"/>
      <c r="INV285" s="1144"/>
      <c r="INW285" s="1144"/>
      <c r="INX285" s="1144"/>
      <c r="INY285" s="1144"/>
      <c r="INZ285" s="1144"/>
      <c r="IOA285" s="1144"/>
      <c r="IOB285" s="1144"/>
      <c r="IOC285" s="1144"/>
      <c r="IOD285" s="1144"/>
      <c r="IOE285" s="1144"/>
      <c r="IOF285" s="1144"/>
      <c r="IOG285" s="1144"/>
      <c r="IOH285" s="1144"/>
      <c r="IOI285" s="1144"/>
      <c r="IOJ285" s="1144"/>
      <c r="IOK285" s="1144"/>
      <c r="IOL285" s="1144"/>
      <c r="IOM285" s="1144"/>
      <c r="ION285" s="1144"/>
      <c r="IOO285" s="1144"/>
      <c r="IOP285" s="1144"/>
      <c r="IOQ285" s="1144"/>
      <c r="IOR285" s="1144"/>
      <c r="IOS285" s="1144"/>
      <c r="IOT285" s="1144"/>
      <c r="IOU285" s="1144"/>
      <c r="IOV285" s="1144"/>
      <c r="IOW285" s="1144"/>
      <c r="IOX285" s="1144"/>
      <c r="IOY285" s="1144"/>
      <c r="IOZ285" s="1144"/>
      <c r="IPA285" s="1144"/>
      <c r="IPB285" s="1144"/>
      <c r="IPC285" s="1144"/>
      <c r="IPD285" s="1144"/>
      <c r="IPE285" s="1144"/>
      <c r="IPF285" s="1144"/>
      <c r="IPG285" s="1144"/>
      <c r="IPH285" s="1144"/>
      <c r="IPI285" s="1144"/>
      <c r="IPJ285" s="1144"/>
      <c r="IPK285" s="1144"/>
      <c r="IPL285" s="1144"/>
      <c r="IPM285" s="1144"/>
      <c r="IPN285" s="1144"/>
      <c r="IPO285" s="1144"/>
      <c r="IPP285" s="1144"/>
      <c r="IPQ285" s="1144"/>
      <c r="IPR285" s="1144"/>
      <c r="IPS285" s="1144"/>
      <c r="IPT285" s="1144"/>
      <c r="IPU285" s="1144"/>
      <c r="IPV285" s="1144"/>
      <c r="IPW285" s="1144"/>
      <c r="IPX285" s="1144"/>
      <c r="IPY285" s="1144"/>
      <c r="IPZ285" s="1144"/>
      <c r="IQA285" s="1144"/>
      <c r="IQB285" s="1144"/>
      <c r="IQC285" s="1144"/>
      <c r="IQD285" s="1144"/>
      <c r="IQE285" s="1144"/>
      <c r="IQF285" s="1144"/>
      <c r="IQG285" s="1144"/>
      <c r="IQH285" s="1144"/>
      <c r="IQI285" s="1144"/>
      <c r="IQJ285" s="1144"/>
      <c r="IQK285" s="1144"/>
      <c r="IQL285" s="1144"/>
      <c r="IQM285" s="1144"/>
      <c r="IQN285" s="1144"/>
      <c r="IQO285" s="1144"/>
      <c r="IQP285" s="1144"/>
      <c r="IQQ285" s="1144"/>
      <c r="IQR285" s="1144"/>
      <c r="IQS285" s="1144"/>
      <c r="IQT285" s="1144"/>
      <c r="IQU285" s="1144"/>
      <c r="IQV285" s="1144"/>
      <c r="IQW285" s="1144"/>
      <c r="IQX285" s="1144"/>
      <c r="IQY285" s="1144"/>
      <c r="IQZ285" s="1144"/>
      <c r="IRA285" s="1144"/>
      <c r="IRB285" s="1144"/>
      <c r="IRC285" s="1144"/>
      <c r="IRD285" s="1144"/>
      <c r="IRE285" s="1144"/>
      <c r="IRF285" s="1144"/>
      <c r="IRG285" s="1144"/>
      <c r="IRH285" s="1144"/>
      <c r="IRI285" s="1144"/>
      <c r="IRJ285" s="1144"/>
      <c r="IRK285" s="1144"/>
      <c r="IRL285" s="1144"/>
      <c r="IRM285" s="1144"/>
      <c r="IRN285" s="1144"/>
      <c r="IRO285" s="1144"/>
      <c r="IRP285" s="1144"/>
      <c r="IRQ285" s="1144"/>
      <c r="IRR285" s="1144"/>
      <c r="IRS285" s="1144"/>
      <c r="IRT285" s="1144"/>
      <c r="IRU285" s="1144"/>
      <c r="IRV285" s="1144"/>
      <c r="IRW285" s="1144"/>
      <c r="IRX285" s="1144"/>
      <c r="IRY285" s="1144"/>
      <c r="IRZ285" s="1144"/>
      <c r="ISA285" s="1144"/>
      <c r="ISB285" s="1144"/>
      <c r="ISC285" s="1144"/>
      <c r="ISD285" s="1144"/>
      <c r="ISE285" s="1144"/>
      <c r="ISF285" s="1144"/>
      <c r="ISG285" s="1144"/>
      <c r="ISH285" s="1144"/>
      <c r="ISI285" s="1144"/>
      <c r="ISJ285" s="1144"/>
      <c r="ISK285" s="1144"/>
      <c r="ISL285" s="1144"/>
      <c r="ISM285" s="1144"/>
      <c r="ISN285" s="1144"/>
      <c r="ISO285" s="1144"/>
      <c r="ISP285" s="1144"/>
      <c r="ISQ285" s="1144"/>
      <c r="ISR285" s="1144"/>
      <c r="ISS285" s="1144"/>
      <c r="IST285" s="1144"/>
      <c r="ISU285" s="1144"/>
      <c r="ISV285" s="1144"/>
      <c r="ISW285" s="1144"/>
      <c r="ISX285" s="1144"/>
      <c r="ISY285" s="1144"/>
      <c r="ISZ285" s="1144"/>
      <c r="ITA285" s="1144"/>
      <c r="ITB285" s="1144"/>
      <c r="ITC285" s="1144"/>
      <c r="ITD285" s="1144"/>
      <c r="ITE285" s="1144"/>
      <c r="ITF285" s="1144"/>
      <c r="ITG285" s="1144"/>
      <c r="ITH285" s="1144"/>
      <c r="ITI285" s="1144"/>
      <c r="ITJ285" s="1144"/>
      <c r="ITK285" s="1144"/>
      <c r="ITL285" s="1144"/>
      <c r="ITM285" s="1144"/>
      <c r="ITN285" s="1144"/>
      <c r="ITO285" s="1144"/>
      <c r="ITP285" s="1144"/>
      <c r="ITQ285" s="1144"/>
      <c r="ITR285" s="1144"/>
      <c r="ITS285" s="1144"/>
      <c r="ITT285" s="1144"/>
      <c r="ITU285" s="1144"/>
      <c r="ITV285" s="1144"/>
      <c r="ITW285" s="1144"/>
      <c r="ITX285" s="1144"/>
      <c r="ITY285" s="1144"/>
      <c r="ITZ285" s="1144"/>
      <c r="IUA285" s="1144"/>
      <c r="IUB285" s="1144"/>
      <c r="IUC285" s="1144"/>
      <c r="IUD285" s="1144"/>
      <c r="IUE285" s="1144"/>
      <c r="IUF285" s="1144"/>
      <c r="IUG285" s="1144"/>
      <c r="IUH285" s="1144"/>
      <c r="IUI285" s="1144"/>
      <c r="IUJ285" s="1144"/>
      <c r="IUK285" s="1144"/>
      <c r="IUL285" s="1144"/>
      <c r="IUM285" s="1144"/>
      <c r="IUN285" s="1144"/>
      <c r="IUO285" s="1144"/>
      <c r="IUP285" s="1144"/>
      <c r="IUQ285" s="1144"/>
      <c r="IUR285" s="1144"/>
      <c r="IUS285" s="1144"/>
      <c r="IUT285" s="1144"/>
      <c r="IUU285" s="1144"/>
      <c r="IUV285" s="1144"/>
      <c r="IUW285" s="1144"/>
      <c r="IUX285" s="1144"/>
      <c r="IUY285" s="1144"/>
      <c r="IUZ285" s="1144"/>
      <c r="IVA285" s="1144"/>
      <c r="IVB285" s="1144"/>
      <c r="IVC285" s="1144"/>
      <c r="IVD285" s="1144"/>
      <c r="IVE285" s="1144"/>
      <c r="IVF285" s="1144"/>
      <c r="IVG285" s="1144"/>
      <c r="IVH285" s="1144"/>
      <c r="IVI285" s="1144"/>
      <c r="IVJ285" s="1144"/>
      <c r="IVK285" s="1144"/>
      <c r="IVL285" s="1144"/>
      <c r="IVM285" s="1144"/>
      <c r="IVN285" s="1144"/>
      <c r="IVO285" s="1144"/>
      <c r="IVP285" s="1144"/>
      <c r="IVQ285" s="1144"/>
      <c r="IVR285" s="1144"/>
      <c r="IVS285" s="1144"/>
      <c r="IVT285" s="1144"/>
      <c r="IVU285" s="1144"/>
      <c r="IVV285" s="1144"/>
      <c r="IVW285" s="1144"/>
      <c r="IVX285" s="1144"/>
      <c r="IVY285" s="1144"/>
      <c r="IVZ285" s="1144"/>
      <c r="IWA285" s="1144"/>
      <c r="IWB285" s="1144"/>
      <c r="IWC285" s="1144"/>
      <c r="IWD285" s="1144"/>
      <c r="IWE285" s="1144"/>
      <c r="IWF285" s="1144"/>
      <c r="IWG285" s="1144"/>
      <c r="IWH285" s="1144"/>
      <c r="IWI285" s="1144"/>
      <c r="IWJ285" s="1144"/>
      <c r="IWK285" s="1144"/>
      <c r="IWL285" s="1144"/>
      <c r="IWM285" s="1144"/>
      <c r="IWN285" s="1144"/>
      <c r="IWO285" s="1144"/>
      <c r="IWP285" s="1144"/>
      <c r="IWQ285" s="1144"/>
      <c r="IWR285" s="1144"/>
      <c r="IWS285" s="1144"/>
      <c r="IWT285" s="1144"/>
      <c r="IWU285" s="1144"/>
      <c r="IWV285" s="1144"/>
      <c r="IWW285" s="1144"/>
      <c r="IWX285" s="1144"/>
      <c r="IWY285" s="1144"/>
      <c r="IWZ285" s="1144"/>
      <c r="IXA285" s="1144"/>
      <c r="IXB285" s="1144"/>
      <c r="IXC285" s="1144"/>
      <c r="IXD285" s="1144"/>
      <c r="IXE285" s="1144"/>
      <c r="IXF285" s="1144"/>
      <c r="IXG285" s="1144"/>
      <c r="IXH285" s="1144"/>
      <c r="IXI285" s="1144"/>
      <c r="IXJ285" s="1144"/>
      <c r="IXK285" s="1144"/>
      <c r="IXL285" s="1144"/>
      <c r="IXM285" s="1144"/>
      <c r="IXN285" s="1144"/>
      <c r="IXO285" s="1144"/>
      <c r="IXP285" s="1144"/>
      <c r="IXQ285" s="1144"/>
      <c r="IXR285" s="1144"/>
      <c r="IXS285" s="1144"/>
      <c r="IXT285" s="1144"/>
      <c r="IXU285" s="1144"/>
      <c r="IXV285" s="1144"/>
      <c r="IXW285" s="1144"/>
      <c r="IXX285" s="1144"/>
      <c r="IXY285" s="1144"/>
      <c r="IXZ285" s="1144"/>
      <c r="IYA285" s="1144"/>
      <c r="IYB285" s="1144"/>
      <c r="IYC285" s="1144"/>
      <c r="IYD285" s="1144"/>
      <c r="IYE285" s="1144"/>
      <c r="IYF285" s="1144"/>
      <c r="IYG285" s="1144"/>
      <c r="IYH285" s="1144"/>
      <c r="IYI285" s="1144"/>
      <c r="IYJ285" s="1144"/>
      <c r="IYK285" s="1144"/>
      <c r="IYL285" s="1144"/>
      <c r="IYM285" s="1144"/>
      <c r="IYN285" s="1144"/>
      <c r="IYO285" s="1144"/>
      <c r="IYP285" s="1144"/>
      <c r="IYQ285" s="1144"/>
      <c r="IYR285" s="1144"/>
      <c r="IYS285" s="1144"/>
      <c r="IYT285" s="1144"/>
      <c r="IYU285" s="1144"/>
      <c r="IYV285" s="1144"/>
      <c r="IYW285" s="1144"/>
      <c r="IYX285" s="1144"/>
      <c r="IYY285" s="1144"/>
      <c r="IYZ285" s="1144"/>
      <c r="IZA285" s="1144"/>
      <c r="IZB285" s="1144"/>
      <c r="IZC285" s="1144"/>
      <c r="IZD285" s="1144"/>
      <c r="IZE285" s="1144"/>
      <c r="IZF285" s="1144"/>
      <c r="IZG285" s="1144"/>
      <c r="IZH285" s="1144"/>
      <c r="IZI285" s="1144"/>
      <c r="IZJ285" s="1144"/>
      <c r="IZK285" s="1144"/>
      <c r="IZL285" s="1144"/>
      <c r="IZM285" s="1144"/>
      <c r="IZN285" s="1144"/>
      <c r="IZO285" s="1144"/>
      <c r="IZP285" s="1144"/>
      <c r="IZQ285" s="1144"/>
      <c r="IZR285" s="1144"/>
      <c r="IZS285" s="1144"/>
      <c r="IZT285" s="1144"/>
      <c r="IZU285" s="1144"/>
      <c r="IZV285" s="1144"/>
      <c r="IZW285" s="1144"/>
      <c r="IZX285" s="1144"/>
      <c r="IZY285" s="1144"/>
      <c r="IZZ285" s="1144"/>
      <c r="JAA285" s="1144"/>
      <c r="JAB285" s="1144"/>
      <c r="JAC285" s="1144"/>
      <c r="JAD285" s="1144"/>
      <c r="JAE285" s="1144"/>
      <c r="JAF285" s="1144"/>
      <c r="JAG285" s="1144"/>
      <c r="JAH285" s="1144"/>
      <c r="JAI285" s="1144"/>
      <c r="JAJ285" s="1144"/>
      <c r="JAK285" s="1144"/>
      <c r="JAL285" s="1144"/>
      <c r="JAM285" s="1144"/>
      <c r="JAN285" s="1144"/>
      <c r="JAO285" s="1144"/>
      <c r="JAP285" s="1144"/>
      <c r="JAQ285" s="1144"/>
      <c r="JAR285" s="1144"/>
      <c r="JAS285" s="1144"/>
      <c r="JAT285" s="1144"/>
      <c r="JAU285" s="1144"/>
      <c r="JAV285" s="1144"/>
      <c r="JAW285" s="1144"/>
      <c r="JAX285" s="1144"/>
      <c r="JAY285" s="1144"/>
      <c r="JAZ285" s="1144"/>
      <c r="JBA285" s="1144"/>
      <c r="JBB285" s="1144"/>
      <c r="JBC285" s="1144"/>
      <c r="JBD285" s="1144"/>
      <c r="JBE285" s="1144"/>
      <c r="JBF285" s="1144"/>
      <c r="JBG285" s="1144"/>
      <c r="JBH285" s="1144"/>
      <c r="JBI285" s="1144"/>
      <c r="JBJ285" s="1144"/>
      <c r="JBK285" s="1144"/>
      <c r="JBL285" s="1144"/>
      <c r="JBM285" s="1144"/>
      <c r="JBN285" s="1144"/>
      <c r="JBO285" s="1144"/>
      <c r="JBP285" s="1144"/>
      <c r="JBQ285" s="1144"/>
      <c r="JBR285" s="1144"/>
      <c r="JBS285" s="1144"/>
      <c r="JBT285" s="1144"/>
      <c r="JBU285" s="1144"/>
      <c r="JBV285" s="1144"/>
      <c r="JBW285" s="1144"/>
      <c r="JBX285" s="1144"/>
      <c r="JBY285" s="1144"/>
      <c r="JBZ285" s="1144"/>
      <c r="JCA285" s="1144"/>
      <c r="JCB285" s="1144"/>
      <c r="JCC285" s="1144"/>
      <c r="JCD285" s="1144"/>
      <c r="JCE285" s="1144"/>
      <c r="JCF285" s="1144"/>
      <c r="JCG285" s="1144"/>
      <c r="JCH285" s="1144"/>
      <c r="JCI285" s="1144"/>
      <c r="JCJ285" s="1144"/>
      <c r="JCK285" s="1144"/>
      <c r="JCL285" s="1144"/>
      <c r="JCM285" s="1144"/>
      <c r="JCN285" s="1144"/>
      <c r="JCO285" s="1144"/>
      <c r="JCP285" s="1144"/>
      <c r="JCQ285" s="1144"/>
      <c r="JCR285" s="1144"/>
      <c r="JCS285" s="1144"/>
      <c r="JCT285" s="1144"/>
      <c r="JCU285" s="1144"/>
      <c r="JCV285" s="1144"/>
      <c r="JCW285" s="1144"/>
      <c r="JCX285" s="1144"/>
      <c r="JCY285" s="1144"/>
      <c r="JCZ285" s="1144"/>
      <c r="JDA285" s="1144"/>
      <c r="JDB285" s="1144"/>
      <c r="JDC285" s="1144"/>
      <c r="JDD285" s="1144"/>
      <c r="JDE285" s="1144"/>
      <c r="JDF285" s="1144"/>
      <c r="JDG285" s="1144"/>
      <c r="JDH285" s="1144"/>
      <c r="JDI285" s="1144"/>
      <c r="JDJ285" s="1144"/>
      <c r="JDK285" s="1144"/>
      <c r="JDL285" s="1144"/>
      <c r="JDM285" s="1144"/>
      <c r="JDN285" s="1144"/>
      <c r="JDO285" s="1144"/>
      <c r="JDP285" s="1144"/>
      <c r="JDQ285" s="1144"/>
      <c r="JDR285" s="1144"/>
      <c r="JDS285" s="1144"/>
      <c r="JDT285" s="1144"/>
      <c r="JDU285" s="1144"/>
      <c r="JDV285" s="1144"/>
      <c r="JDW285" s="1144"/>
      <c r="JDX285" s="1144"/>
      <c r="JDY285" s="1144"/>
      <c r="JDZ285" s="1144"/>
      <c r="JEA285" s="1144"/>
      <c r="JEB285" s="1144"/>
      <c r="JEC285" s="1144"/>
      <c r="JED285" s="1144"/>
      <c r="JEE285" s="1144"/>
      <c r="JEF285" s="1144"/>
      <c r="JEG285" s="1144"/>
      <c r="JEH285" s="1144"/>
      <c r="JEI285" s="1144"/>
      <c r="JEJ285" s="1144"/>
      <c r="JEK285" s="1144"/>
      <c r="JEL285" s="1144"/>
      <c r="JEM285" s="1144"/>
      <c r="JEN285" s="1144"/>
      <c r="JEO285" s="1144"/>
      <c r="JEP285" s="1144"/>
      <c r="JEQ285" s="1144"/>
      <c r="JER285" s="1144"/>
      <c r="JES285" s="1144"/>
      <c r="JET285" s="1144"/>
      <c r="JEU285" s="1144"/>
      <c r="JEV285" s="1144"/>
      <c r="JEW285" s="1144"/>
      <c r="JEX285" s="1144"/>
      <c r="JEY285" s="1144"/>
      <c r="JEZ285" s="1144"/>
      <c r="JFA285" s="1144"/>
      <c r="JFB285" s="1144"/>
      <c r="JFC285" s="1144"/>
      <c r="JFD285" s="1144"/>
      <c r="JFE285" s="1144"/>
      <c r="JFF285" s="1144"/>
      <c r="JFG285" s="1144"/>
      <c r="JFH285" s="1144"/>
      <c r="JFI285" s="1144"/>
      <c r="JFJ285" s="1144"/>
      <c r="JFK285" s="1144"/>
      <c r="JFL285" s="1144"/>
      <c r="JFM285" s="1144"/>
      <c r="JFN285" s="1144"/>
      <c r="JFO285" s="1144"/>
      <c r="JFP285" s="1144"/>
      <c r="JFQ285" s="1144"/>
      <c r="JFR285" s="1144"/>
      <c r="JFS285" s="1144"/>
      <c r="JFT285" s="1144"/>
      <c r="JFU285" s="1144"/>
      <c r="JFV285" s="1144"/>
      <c r="JFW285" s="1144"/>
      <c r="JFX285" s="1144"/>
      <c r="JFY285" s="1144"/>
      <c r="JFZ285" s="1144"/>
      <c r="JGA285" s="1144"/>
      <c r="JGB285" s="1144"/>
      <c r="JGC285" s="1144"/>
      <c r="JGD285" s="1144"/>
      <c r="JGE285" s="1144"/>
      <c r="JGF285" s="1144"/>
      <c r="JGG285" s="1144"/>
      <c r="JGH285" s="1144"/>
      <c r="JGI285" s="1144"/>
      <c r="JGJ285" s="1144"/>
      <c r="JGK285" s="1144"/>
      <c r="JGL285" s="1144"/>
      <c r="JGM285" s="1144"/>
      <c r="JGN285" s="1144"/>
      <c r="JGO285" s="1144"/>
      <c r="JGP285" s="1144"/>
      <c r="JGQ285" s="1144"/>
      <c r="JGR285" s="1144"/>
      <c r="JGS285" s="1144"/>
      <c r="JGT285" s="1144"/>
      <c r="JGU285" s="1144"/>
      <c r="JGV285" s="1144"/>
      <c r="JGW285" s="1144"/>
      <c r="JGX285" s="1144"/>
      <c r="JGY285" s="1144"/>
      <c r="JGZ285" s="1144"/>
      <c r="JHA285" s="1144"/>
      <c r="JHB285" s="1144"/>
      <c r="JHC285" s="1144"/>
      <c r="JHD285" s="1144"/>
      <c r="JHE285" s="1144"/>
      <c r="JHF285" s="1144"/>
      <c r="JHG285" s="1144"/>
      <c r="JHH285" s="1144"/>
      <c r="JHI285" s="1144"/>
      <c r="JHJ285" s="1144"/>
      <c r="JHK285" s="1144"/>
      <c r="JHL285" s="1144"/>
      <c r="JHM285" s="1144"/>
      <c r="JHN285" s="1144"/>
      <c r="JHO285" s="1144"/>
      <c r="JHP285" s="1144"/>
      <c r="JHQ285" s="1144"/>
      <c r="JHR285" s="1144"/>
      <c r="JHS285" s="1144"/>
      <c r="JHT285" s="1144"/>
      <c r="JHU285" s="1144"/>
      <c r="JHV285" s="1144"/>
      <c r="JHW285" s="1144"/>
      <c r="JHX285" s="1144"/>
      <c r="JHY285" s="1144"/>
      <c r="JHZ285" s="1144"/>
      <c r="JIA285" s="1144"/>
      <c r="JIB285" s="1144"/>
      <c r="JIC285" s="1144"/>
      <c r="JID285" s="1144"/>
      <c r="JIE285" s="1144"/>
      <c r="JIF285" s="1144"/>
      <c r="JIG285" s="1144"/>
      <c r="JIH285" s="1144"/>
      <c r="JII285" s="1144"/>
      <c r="JIJ285" s="1144"/>
      <c r="JIK285" s="1144"/>
      <c r="JIL285" s="1144"/>
      <c r="JIM285" s="1144"/>
      <c r="JIN285" s="1144"/>
      <c r="JIO285" s="1144"/>
      <c r="JIP285" s="1144"/>
      <c r="JIQ285" s="1144"/>
      <c r="JIR285" s="1144"/>
      <c r="JIS285" s="1144"/>
      <c r="JIT285" s="1144"/>
      <c r="JIU285" s="1144"/>
      <c r="JIV285" s="1144"/>
      <c r="JIW285" s="1144"/>
      <c r="JIX285" s="1144"/>
      <c r="JIY285" s="1144"/>
      <c r="JIZ285" s="1144"/>
      <c r="JJA285" s="1144"/>
      <c r="JJB285" s="1144"/>
      <c r="JJC285" s="1144"/>
      <c r="JJD285" s="1144"/>
      <c r="JJE285" s="1144"/>
      <c r="JJF285" s="1144"/>
      <c r="JJG285" s="1144"/>
      <c r="JJH285" s="1144"/>
      <c r="JJI285" s="1144"/>
      <c r="JJJ285" s="1144"/>
      <c r="JJK285" s="1144"/>
      <c r="JJL285" s="1144"/>
      <c r="JJM285" s="1144"/>
      <c r="JJN285" s="1144"/>
      <c r="JJO285" s="1144"/>
      <c r="JJP285" s="1144"/>
      <c r="JJQ285" s="1144"/>
      <c r="JJR285" s="1144"/>
      <c r="JJS285" s="1144"/>
      <c r="JJT285" s="1144"/>
      <c r="JJU285" s="1144"/>
      <c r="JJV285" s="1144"/>
      <c r="JJW285" s="1144"/>
      <c r="JJX285" s="1144"/>
      <c r="JJY285" s="1144"/>
      <c r="JJZ285" s="1144"/>
      <c r="JKA285" s="1144"/>
      <c r="JKB285" s="1144"/>
      <c r="JKC285" s="1144"/>
      <c r="JKD285" s="1144"/>
      <c r="JKE285" s="1144"/>
      <c r="JKF285" s="1144"/>
      <c r="JKG285" s="1144"/>
      <c r="JKH285" s="1144"/>
      <c r="JKI285" s="1144"/>
      <c r="JKJ285" s="1144"/>
      <c r="JKK285" s="1144"/>
      <c r="JKL285" s="1144"/>
      <c r="JKM285" s="1144"/>
      <c r="JKN285" s="1144"/>
      <c r="JKO285" s="1144"/>
      <c r="JKP285" s="1144"/>
      <c r="JKQ285" s="1144"/>
      <c r="JKR285" s="1144"/>
      <c r="JKS285" s="1144"/>
      <c r="JKT285" s="1144"/>
      <c r="JKU285" s="1144"/>
      <c r="JKV285" s="1144"/>
      <c r="JKW285" s="1144"/>
      <c r="JKX285" s="1144"/>
      <c r="JKY285" s="1144"/>
      <c r="JKZ285" s="1144"/>
      <c r="JLA285" s="1144"/>
      <c r="JLB285" s="1144"/>
      <c r="JLC285" s="1144"/>
      <c r="JLD285" s="1144"/>
      <c r="JLE285" s="1144"/>
      <c r="JLF285" s="1144"/>
      <c r="JLG285" s="1144"/>
      <c r="JLH285" s="1144"/>
      <c r="JLI285" s="1144"/>
      <c r="JLJ285" s="1144"/>
      <c r="JLK285" s="1144"/>
      <c r="JLL285" s="1144"/>
      <c r="JLM285" s="1144"/>
      <c r="JLN285" s="1144"/>
      <c r="JLO285" s="1144"/>
      <c r="JLP285" s="1144"/>
      <c r="JLQ285" s="1144"/>
      <c r="JLR285" s="1144"/>
      <c r="JLS285" s="1144"/>
      <c r="JLT285" s="1144"/>
      <c r="JLU285" s="1144"/>
      <c r="JLV285" s="1144"/>
      <c r="JLW285" s="1144"/>
      <c r="JLX285" s="1144"/>
      <c r="JLY285" s="1144"/>
      <c r="JLZ285" s="1144"/>
      <c r="JMA285" s="1144"/>
      <c r="JMB285" s="1144"/>
      <c r="JMC285" s="1144"/>
      <c r="JMD285" s="1144"/>
      <c r="JME285" s="1144"/>
      <c r="JMF285" s="1144"/>
      <c r="JMG285" s="1144"/>
      <c r="JMH285" s="1144"/>
      <c r="JMI285" s="1144"/>
      <c r="JMJ285" s="1144"/>
      <c r="JMK285" s="1144"/>
      <c r="JML285" s="1144"/>
      <c r="JMM285" s="1144"/>
      <c r="JMN285" s="1144"/>
      <c r="JMO285" s="1144"/>
      <c r="JMP285" s="1144"/>
      <c r="JMQ285" s="1144"/>
      <c r="JMR285" s="1144"/>
      <c r="JMS285" s="1144"/>
      <c r="JMT285" s="1144"/>
      <c r="JMU285" s="1144"/>
      <c r="JMV285" s="1144"/>
      <c r="JMW285" s="1144"/>
      <c r="JMX285" s="1144"/>
      <c r="JMY285" s="1144"/>
      <c r="JMZ285" s="1144"/>
      <c r="JNA285" s="1144"/>
      <c r="JNB285" s="1144"/>
      <c r="JNC285" s="1144"/>
      <c r="JND285" s="1144"/>
      <c r="JNE285" s="1144"/>
      <c r="JNF285" s="1144"/>
      <c r="JNG285" s="1144"/>
      <c r="JNH285" s="1144"/>
      <c r="JNI285" s="1144"/>
      <c r="JNJ285" s="1144"/>
      <c r="JNK285" s="1144"/>
      <c r="JNL285" s="1144"/>
      <c r="JNM285" s="1144"/>
      <c r="JNN285" s="1144"/>
      <c r="JNO285" s="1144"/>
      <c r="JNP285" s="1144"/>
      <c r="JNQ285" s="1144"/>
      <c r="JNR285" s="1144"/>
      <c r="JNS285" s="1144"/>
      <c r="JNT285" s="1144"/>
      <c r="JNU285" s="1144"/>
      <c r="JNV285" s="1144"/>
      <c r="JNW285" s="1144"/>
      <c r="JNX285" s="1144"/>
      <c r="JNY285" s="1144"/>
      <c r="JNZ285" s="1144"/>
      <c r="JOA285" s="1144"/>
      <c r="JOB285" s="1144"/>
      <c r="JOC285" s="1144"/>
      <c r="JOD285" s="1144"/>
      <c r="JOE285" s="1144"/>
      <c r="JOF285" s="1144"/>
      <c r="JOG285" s="1144"/>
      <c r="JOH285" s="1144"/>
      <c r="JOI285" s="1144"/>
      <c r="JOJ285" s="1144"/>
      <c r="JOK285" s="1144"/>
      <c r="JOL285" s="1144"/>
      <c r="JOM285" s="1144"/>
      <c r="JON285" s="1144"/>
      <c r="JOO285" s="1144"/>
      <c r="JOP285" s="1144"/>
      <c r="JOQ285" s="1144"/>
      <c r="JOR285" s="1144"/>
      <c r="JOS285" s="1144"/>
      <c r="JOT285" s="1144"/>
      <c r="JOU285" s="1144"/>
      <c r="JOV285" s="1144"/>
      <c r="JOW285" s="1144"/>
      <c r="JOX285" s="1144"/>
      <c r="JOY285" s="1144"/>
      <c r="JOZ285" s="1144"/>
      <c r="JPA285" s="1144"/>
      <c r="JPB285" s="1144"/>
      <c r="JPC285" s="1144"/>
      <c r="JPD285" s="1144"/>
      <c r="JPE285" s="1144"/>
      <c r="JPF285" s="1144"/>
      <c r="JPG285" s="1144"/>
      <c r="JPH285" s="1144"/>
      <c r="JPI285" s="1144"/>
      <c r="JPJ285" s="1144"/>
      <c r="JPK285" s="1144"/>
      <c r="JPL285" s="1144"/>
      <c r="JPM285" s="1144"/>
      <c r="JPN285" s="1144"/>
      <c r="JPO285" s="1144"/>
      <c r="JPP285" s="1144"/>
      <c r="JPQ285" s="1144"/>
      <c r="JPR285" s="1144"/>
      <c r="JPS285" s="1144"/>
      <c r="JPT285" s="1144"/>
      <c r="JPU285" s="1144"/>
      <c r="JPV285" s="1144"/>
      <c r="JPW285" s="1144"/>
      <c r="JPX285" s="1144"/>
      <c r="JPY285" s="1144"/>
      <c r="JPZ285" s="1144"/>
      <c r="JQA285" s="1144"/>
      <c r="JQB285" s="1144"/>
      <c r="JQC285" s="1144"/>
      <c r="JQD285" s="1144"/>
      <c r="JQE285" s="1144"/>
      <c r="JQF285" s="1144"/>
      <c r="JQG285" s="1144"/>
      <c r="JQH285" s="1144"/>
      <c r="JQI285" s="1144"/>
      <c r="JQJ285" s="1144"/>
      <c r="JQK285" s="1144"/>
      <c r="JQL285" s="1144"/>
      <c r="JQM285" s="1144"/>
      <c r="JQN285" s="1144"/>
      <c r="JQO285" s="1144"/>
      <c r="JQP285" s="1144"/>
      <c r="JQQ285" s="1144"/>
      <c r="JQR285" s="1144"/>
      <c r="JQS285" s="1144"/>
      <c r="JQT285" s="1144"/>
      <c r="JQU285" s="1144"/>
      <c r="JQV285" s="1144"/>
      <c r="JQW285" s="1144"/>
      <c r="JQX285" s="1144"/>
      <c r="JQY285" s="1144"/>
      <c r="JQZ285" s="1144"/>
      <c r="JRA285" s="1144"/>
      <c r="JRB285" s="1144"/>
      <c r="JRC285" s="1144"/>
      <c r="JRD285" s="1144"/>
      <c r="JRE285" s="1144"/>
      <c r="JRF285" s="1144"/>
      <c r="JRG285" s="1144"/>
      <c r="JRH285" s="1144"/>
      <c r="JRI285" s="1144"/>
      <c r="JRJ285" s="1144"/>
      <c r="JRK285" s="1144"/>
      <c r="JRL285" s="1144"/>
      <c r="JRM285" s="1144"/>
      <c r="JRN285" s="1144"/>
      <c r="JRO285" s="1144"/>
      <c r="JRP285" s="1144"/>
      <c r="JRQ285" s="1144"/>
      <c r="JRR285" s="1144"/>
      <c r="JRS285" s="1144"/>
      <c r="JRT285" s="1144"/>
      <c r="JRU285" s="1144"/>
      <c r="JRV285" s="1144"/>
      <c r="JRW285" s="1144"/>
      <c r="JRX285" s="1144"/>
      <c r="JRY285" s="1144"/>
      <c r="JRZ285" s="1144"/>
      <c r="JSA285" s="1144"/>
      <c r="JSB285" s="1144"/>
      <c r="JSC285" s="1144"/>
      <c r="JSD285" s="1144"/>
      <c r="JSE285" s="1144"/>
      <c r="JSF285" s="1144"/>
      <c r="JSG285" s="1144"/>
      <c r="JSH285" s="1144"/>
      <c r="JSI285" s="1144"/>
      <c r="JSJ285" s="1144"/>
      <c r="JSK285" s="1144"/>
      <c r="JSL285" s="1144"/>
      <c r="JSM285" s="1144"/>
      <c r="JSN285" s="1144"/>
      <c r="JSO285" s="1144"/>
      <c r="JSP285" s="1144"/>
      <c r="JSQ285" s="1144"/>
      <c r="JSR285" s="1144"/>
      <c r="JSS285" s="1144"/>
      <c r="JST285" s="1144"/>
      <c r="JSU285" s="1144"/>
      <c r="JSV285" s="1144"/>
      <c r="JSW285" s="1144"/>
      <c r="JSX285" s="1144"/>
      <c r="JSY285" s="1144"/>
      <c r="JSZ285" s="1144"/>
      <c r="JTA285" s="1144"/>
      <c r="JTB285" s="1144"/>
      <c r="JTC285" s="1144"/>
      <c r="JTD285" s="1144"/>
      <c r="JTE285" s="1144"/>
      <c r="JTF285" s="1144"/>
      <c r="JTG285" s="1144"/>
      <c r="JTH285" s="1144"/>
      <c r="JTI285" s="1144"/>
      <c r="JTJ285" s="1144"/>
      <c r="JTK285" s="1144"/>
      <c r="JTL285" s="1144"/>
      <c r="JTM285" s="1144"/>
      <c r="JTN285" s="1144"/>
      <c r="JTO285" s="1144"/>
      <c r="JTP285" s="1144"/>
      <c r="JTQ285" s="1144"/>
      <c r="JTR285" s="1144"/>
      <c r="JTS285" s="1144"/>
      <c r="JTT285" s="1144"/>
      <c r="JTU285" s="1144"/>
      <c r="JTV285" s="1144"/>
      <c r="JTW285" s="1144"/>
      <c r="JTX285" s="1144"/>
      <c r="JTY285" s="1144"/>
      <c r="JTZ285" s="1144"/>
      <c r="JUA285" s="1144"/>
      <c r="JUB285" s="1144"/>
      <c r="JUC285" s="1144"/>
      <c r="JUD285" s="1144"/>
      <c r="JUE285" s="1144"/>
      <c r="JUF285" s="1144"/>
      <c r="JUG285" s="1144"/>
      <c r="JUH285" s="1144"/>
      <c r="JUI285" s="1144"/>
      <c r="JUJ285" s="1144"/>
      <c r="JUK285" s="1144"/>
      <c r="JUL285" s="1144"/>
      <c r="JUM285" s="1144"/>
      <c r="JUN285" s="1144"/>
      <c r="JUO285" s="1144"/>
      <c r="JUP285" s="1144"/>
      <c r="JUQ285" s="1144"/>
      <c r="JUR285" s="1144"/>
      <c r="JUS285" s="1144"/>
      <c r="JUT285" s="1144"/>
      <c r="JUU285" s="1144"/>
      <c r="JUV285" s="1144"/>
      <c r="JUW285" s="1144"/>
      <c r="JUX285" s="1144"/>
      <c r="JUY285" s="1144"/>
      <c r="JUZ285" s="1144"/>
      <c r="JVA285" s="1144"/>
      <c r="JVB285" s="1144"/>
      <c r="JVC285" s="1144"/>
      <c r="JVD285" s="1144"/>
      <c r="JVE285" s="1144"/>
      <c r="JVF285" s="1144"/>
      <c r="JVG285" s="1144"/>
      <c r="JVH285" s="1144"/>
      <c r="JVI285" s="1144"/>
      <c r="JVJ285" s="1144"/>
      <c r="JVK285" s="1144"/>
      <c r="JVL285" s="1144"/>
      <c r="JVM285" s="1144"/>
      <c r="JVN285" s="1144"/>
      <c r="JVO285" s="1144"/>
      <c r="JVP285" s="1144"/>
      <c r="JVQ285" s="1144"/>
      <c r="JVR285" s="1144"/>
      <c r="JVS285" s="1144"/>
      <c r="JVT285" s="1144"/>
      <c r="JVU285" s="1144"/>
      <c r="JVV285" s="1144"/>
      <c r="JVW285" s="1144"/>
      <c r="JVX285" s="1144"/>
      <c r="JVY285" s="1144"/>
      <c r="JVZ285" s="1144"/>
      <c r="JWA285" s="1144"/>
      <c r="JWB285" s="1144"/>
      <c r="JWC285" s="1144"/>
      <c r="JWD285" s="1144"/>
      <c r="JWE285" s="1144"/>
      <c r="JWF285" s="1144"/>
      <c r="JWG285" s="1144"/>
      <c r="JWH285" s="1144"/>
      <c r="JWI285" s="1144"/>
      <c r="JWJ285" s="1144"/>
      <c r="JWK285" s="1144"/>
      <c r="JWL285" s="1144"/>
      <c r="JWM285" s="1144"/>
      <c r="JWN285" s="1144"/>
      <c r="JWO285" s="1144"/>
      <c r="JWP285" s="1144"/>
      <c r="JWQ285" s="1144"/>
      <c r="JWR285" s="1144"/>
      <c r="JWS285" s="1144"/>
      <c r="JWT285" s="1144"/>
      <c r="JWU285" s="1144"/>
      <c r="JWV285" s="1144"/>
      <c r="JWW285" s="1144"/>
      <c r="JWX285" s="1144"/>
      <c r="JWY285" s="1144"/>
      <c r="JWZ285" s="1144"/>
      <c r="JXA285" s="1144"/>
      <c r="JXB285" s="1144"/>
      <c r="JXC285" s="1144"/>
      <c r="JXD285" s="1144"/>
      <c r="JXE285" s="1144"/>
      <c r="JXF285" s="1144"/>
      <c r="JXG285" s="1144"/>
      <c r="JXH285" s="1144"/>
      <c r="JXI285" s="1144"/>
      <c r="JXJ285" s="1144"/>
      <c r="JXK285" s="1144"/>
      <c r="JXL285" s="1144"/>
      <c r="JXM285" s="1144"/>
      <c r="JXN285" s="1144"/>
      <c r="JXO285" s="1144"/>
      <c r="JXP285" s="1144"/>
      <c r="JXQ285" s="1144"/>
      <c r="JXR285" s="1144"/>
      <c r="JXS285" s="1144"/>
      <c r="JXT285" s="1144"/>
      <c r="JXU285" s="1144"/>
      <c r="JXV285" s="1144"/>
      <c r="JXW285" s="1144"/>
      <c r="JXX285" s="1144"/>
      <c r="JXY285" s="1144"/>
      <c r="JXZ285" s="1144"/>
      <c r="JYA285" s="1144"/>
      <c r="JYB285" s="1144"/>
      <c r="JYC285" s="1144"/>
      <c r="JYD285" s="1144"/>
      <c r="JYE285" s="1144"/>
      <c r="JYF285" s="1144"/>
      <c r="JYG285" s="1144"/>
      <c r="JYH285" s="1144"/>
      <c r="JYI285" s="1144"/>
      <c r="JYJ285" s="1144"/>
      <c r="JYK285" s="1144"/>
      <c r="JYL285" s="1144"/>
      <c r="JYM285" s="1144"/>
      <c r="JYN285" s="1144"/>
      <c r="JYO285" s="1144"/>
      <c r="JYP285" s="1144"/>
      <c r="JYQ285" s="1144"/>
      <c r="JYR285" s="1144"/>
      <c r="JYS285" s="1144"/>
      <c r="JYT285" s="1144"/>
      <c r="JYU285" s="1144"/>
      <c r="JYV285" s="1144"/>
      <c r="JYW285" s="1144"/>
      <c r="JYX285" s="1144"/>
      <c r="JYY285" s="1144"/>
      <c r="JYZ285" s="1144"/>
      <c r="JZA285" s="1144"/>
      <c r="JZB285" s="1144"/>
      <c r="JZC285" s="1144"/>
      <c r="JZD285" s="1144"/>
      <c r="JZE285" s="1144"/>
      <c r="JZF285" s="1144"/>
      <c r="JZG285" s="1144"/>
      <c r="JZH285" s="1144"/>
      <c r="JZI285" s="1144"/>
      <c r="JZJ285" s="1144"/>
      <c r="JZK285" s="1144"/>
      <c r="JZL285" s="1144"/>
      <c r="JZM285" s="1144"/>
      <c r="JZN285" s="1144"/>
      <c r="JZO285" s="1144"/>
      <c r="JZP285" s="1144"/>
      <c r="JZQ285" s="1144"/>
      <c r="JZR285" s="1144"/>
      <c r="JZS285" s="1144"/>
      <c r="JZT285" s="1144"/>
      <c r="JZU285" s="1144"/>
      <c r="JZV285" s="1144"/>
      <c r="JZW285" s="1144"/>
      <c r="JZX285" s="1144"/>
      <c r="JZY285" s="1144"/>
      <c r="JZZ285" s="1144"/>
      <c r="KAA285" s="1144"/>
      <c r="KAB285" s="1144"/>
      <c r="KAC285" s="1144"/>
      <c r="KAD285" s="1144"/>
      <c r="KAE285" s="1144"/>
      <c r="KAF285" s="1144"/>
      <c r="KAG285" s="1144"/>
      <c r="KAH285" s="1144"/>
      <c r="KAI285" s="1144"/>
      <c r="KAJ285" s="1144"/>
      <c r="KAK285" s="1144"/>
      <c r="KAL285" s="1144"/>
      <c r="KAM285" s="1144"/>
      <c r="KAN285" s="1144"/>
      <c r="KAO285" s="1144"/>
      <c r="KAP285" s="1144"/>
      <c r="KAQ285" s="1144"/>
      <c r="KAR285" s="1144"/>
      <c r="KAS285" s="1144"/>
      <c r="KAT285" s="1144"/>
      <c r="KAU285" s="1144"/>
      <c r="KAV285" s="1144"/>
      <c r="KAW285" s="1144"/>
      <c r="KAX285" s="1144"/>
      <c r="KAY285" s="1144"/>
      <c r="KAZ285" s="1144"/>
      <c r="KBA285" s="1144"/>
      <c r="KBB285" s="1144"/>
      <c r="KBC285" s="1144"/>
      <c r="KBD285" s="1144"/>
      <c r="KBE285" s="1144"/>
      <c r="KBF285" s="1144"/>
      <c r="KBG285" s="1144"/>
      <c r="KBH285" s="1144"/>
      <c r="KBI285" s="1144"/>
      <c r="KBJ285" s="1144"/>
      <c r="KBK285" s="1144"/>
      <c r="KBL285" s="1144"/>
      <c r="KBM285" s="1144"/>
      <c r="KBN285" s="1144"/>
      <c r="KBO285" s="1144"/>
      <c r="KBP285" s="1144"/>
      <c r="KBQ285" s="1144"/>
      <c r="KBR285" s="1144"/>
      <c r="KBS285" s="1144"/>
      <c r="KBT285" s="1144"/>
      <c r="KBU285" s="1144"/>
      <c r="KBV285" s="1144"/>
      <c r="KBW285" s="1144"/>
      <c r="KBX285" s="1144"/>
      <c r="KBY285" s="1144"/>
      <c r="KBZ285" s="1144"/>
      <c r="KCA285" s="1144"/>
      <c r="KCB285" s="1144"/>
      <c r="KCC285" s="1144"/>
      <c r="KCD285" s="1144"/>
      <c r="KCE285" s="1144"/>
      <c r="KCF285" s="1144"/>
      <c r="KCG285" s="1144"/>
      <c r="KCH285" s="1144"/>
      <c r="KCI285" s="1144"/>
      <c r="KCJ285" s="1144"/>
      <c r="KCK285" s="1144"/>
      <c r="KCL285" s="1144"/>
      <c r="KCM285" s="1144"/>
      <c r="KCN285" s="1144"/>
      <c r="KCO285" s="1144"/>
      <c r="KCP285" s="1144"/>
      <c r="KCQ285" s="1144"/>
      <c r="KCR285" s="1144"/>
      <c r="KCS285" s="1144"/>
      <c r="KCT285" s="1144"/>
      <c r="KCU285" s="1144"/>
      <c r="KCV285" s="1144"/>
      <c r="KCW285" s="1144"/>
      <c r="KCX285" s="1144"/>
      <c r="KCY285" s="1144"/>
      <c r="KCZ285" s="1144"/>
      <c r="KDA285" s="1144"/>
      <c r="KDB285" s="1144"/>
      <c r="KDC285" s="1144"/>
      <c r="KDD285" s="1144"/>
      <c r="KDE285" s="1144"/>
      <c r="KDF285" s="1144"/>
      <c r="KDG285" s="1144"/>
      <c r="KDH285" s="1144"/>
      <c r="KDI285" s="1144"/>
      <c r="KDJ285" s="1144"/>
      <c r="KDK285" s="1144"/>
      <c r="KDL285" s="1144"/>
      <c r="KDM285" s="1144"/>
      <c r="KDN285" s="1144"/>
      <c r="KDO285" s="1144"/>
      <c r="KDP285" s="1144"/>
      <c r="KDQ285" s="1144"/>
      <c r="KDR285" s="1144"/>
      <c r="KDS285" s="1144"/>
      <c r="KDT285" s="1144"/>
      <c r="KDU285" s="1144"/>
      <c r="KDV285" s="1144"/>
      <c r="KDW285" s="1144"/>
      <c r="KDX285" s="1144"/>
      <c r="KDY285" s="1144"/>
      <c r="KDZ285" s="1144"/>
      <c r="KEA285" s="1144"/>
      <c r="KEB285" s="1144"/>
      <c r="KEC285" s="1144"/>
      <c r="KED285" s="1144"/>
      <c r="KEE285" s="1144"/>
      <c r="KEF285" s="1144"/>
      <c r="KEG285" s="1144"/>
      <c r="KEH285" s="1144"/>
      <c r="KEI285" s="1144"/>
      <c r="KEJ285" s="1144"/>
      <c r="KEK285" s="1144"/>
      <c r="KEL285" s="1144"/>
      <c r="KEM285" s="1144"/>
      <c r="KEN285" s="1144"/>
      <c r="KEO285" s="1144"/>
      <c r="KEP285" s="1144"/>
      <c r="KEQ285" s="1144"/>
      <c r="KER285" s="1144"/>
      <c r="KES285" s="1144"/>
      <c r="KET285" s="1144"/>
      <c r="KEU285" s="1144"/>
      <c r="KEV285" s="1144"/>
      <c r="KEW285" s="1144"/>
      <c r="KEX285" s="1144"/>
      <c r="KEY285" s="1144"/>
      <c r="KEZ285" s="1144"/>
      <c r="KFA285" s="1144"/>
      <c r="KFB285" s="1144"/>
      <c r="KFC285" s="1144"/>
      <c r="KFD285" s="1144"/>
      <c r="KFE285" s="1144"/>
      <c r="KFF285" s="1144"/>
      <c r="KFG285" s="1144"/>
      <c r="KFH285" s="1144"/>
      <c r="KFI285" s="1144"/>
      <c r="KFJ285" s="1144"/>
      <c r="KFK285" s="1144"/>
      <c r="KFL285" s="1144"/>
      <c r="KFM285" s="1144"/>
      <c r="KFN285" s="1144"/>
      <c r="KFO285" s="1144"/>
      <c r="KFP285" s="1144"/>
      <c r="KFQ285" s="1144"/>
      <c r="KFR285" s="1144"/>
      <c r="KFS285" s="1144"/>
      <c r="KFT285" s="1144"/>
      <c r="KFU285" s="1144"/>
      <c r="KFV285" s="1144"/>
      <c r="KFW285" s="1144"/>
      <c r="KFX285" s="1144"/>
      <c r="KFY285" s="1144"/>
      <c r="KFZ285" s="1144"/>
      <c r="KGA285" s="1144"/>
      <c r="KGB285" s="1144"/>
      <c r="KGC285" s="1144"/>
      <c r="KGD285" s="1144"/>
      <c r="KGE285" s="1144"/>
      <c r="KGF285" s="1144"/>
      <c r="KGG285" s="1144"/>
      <c r="KGH285" s="1144"/>
      <c r="KGI285" s="1144"/>
      <c r="KGJ285" s="1144"/>
      <c r="KGK285" s="1144"/>
      <c r="KGL285" s="1144"/>
      <c r="KGM285" s="1144"/>
      <c r="KGN285" s="1144"/>
      <c r="KGO285" s="1144"/>
      <c r="KGP285" s="1144"/>
      <c r="KGQ285" s="1144"/>
      <c r="KGR285" s="1144"/>
      <c r="KGS285" s="1144"/>
      <c r="KGT285" s="1144"/>
      <c r="KGU285" s="1144"/>
      <c r="KGV285" s="1144"/>
      <c r="KGW285" s="1144"/>
      <c r="KGX285" s="1144"/>
      <c r="KGY285" s="1144"/>
      <c r="KGZ285" s="1144"/>
      <c r="KHA285" s="1144"/>
      <c r="KHB285" s="1144"/>
      <c r="KHC285" s="1144"/>
      <c r="KHD285" s="1144"/>
      <c r="KHE285" s="1144"/>
      <c r="KHF285" s="1144"/>
      <c r="KHG285" s="1144"/>
      <c r="KHH285" s="1144"/>
      <c r="KHI285" s="1144"/>
      <c r="KHJ285" s="1144"/>
      <c r="KHK285" s="1144"/>
      <c r="KHL285" s="1144"/>
      <c r="KHM285" s="1144"/>
      <c r="KHN285" s="1144"/>
      <c r="KHO285" s="1144"/>
      <c r="KHP285" s="1144"/>
      <c r="KHQ285" s="1144"/>
      <c r="KHR285" s="1144"/>
      <c r="KHS285" s="1144"/>
      <c r="KHT285" s="1144"/>
      <c r="KHU285" s="1144"/>
      <c r="KHV285" s="1144"/>
      <c r="KHW285" s="1144"/>
      <c r="KHX285" s="1144"/>
      <c r="KHY285" s="1144"/>
      <c r="KHZ285" s="1144"/>
      <c r="KIA285" s="1144"/>
      <c r="KIB285" s="1144"/>
      <c r="KIC285" s="1144"/>
      <c r="KID285" s="1144"/>
      <c r="KIE285" s="1144"/>
      <c r="KIF285" s="1144"/>
      <c r="KIG285" s="1144"/>
      <c r="KIH285" s="1144"/>
      <c r="KII285" s="1144"/>
      <c r="KIJ285" s="1144"/>
      <c r="KIK285" s="1144"/>
      <c r="KIL285" s="1144"/>
      <c r="KIM285" s="1144"/>
      <c r="KIN285" s="1144"/>
      <c r="KIO285" s="1144"/>
      <c r="KIP285" s="1144"/>
      <c r="KIQ285" s="1144"/>
      <c r="KIR285" s="1144"/>
      <c r="KIS285" s="1144"/>
      <c r="KIT285" s="1144"/>
      <c r="KIU285" s="1144"/>
      <c r="KIV285" s="1144"/>
      <c r="KIW285" s="1144"/>
      <c r="KIX285" s="1144"/>
      <c r="KIY285" s="1144"/>
      <c r="KIZ285" s="1144"/>
      <c r="KJA285" s="1144"/>
      <c r="KJB285" s="1144"/>
      <c r="KJC285" s="1144"/>
      <c r="KJD285" s="1144"/>
      <c r="KJE285" s="1144"/>
      <c r="KJF285" s="1144"/>
      <c r="KJG285" s="1144"/>
      <c r="KJH285" s="1144"/>
      <c r="KJI285" s="1144"/>
      <c r="KJJ285" s="1144"/>
      <c r="KJK285" s="1144"/>
      <c r="KJL285" s="1144"/>
      <c r="KJM285" s="1144"/>
      <c r="KJN285" s="1144"/>
      <c r="KJO285" s="1144"/>
      <c r="KJP285" s="1144"/>
      <c r="KJQ285" s="1144"/>
      <c r="KJR285" s="1144"/>
      <c r="KJS285" s="1144"/>
      <c r="KJT285" s="1144"/>
      <c r="KJU285" s="1144"/>
      <c r="KJV285" s="1144"/>
      <c r="KJW285" s="1144"/>
      <c r="KJX285" s="1144"/>
      <c r="KJY285" s="1144"/>
      <c r="KJZ285" s="1144"/>
      <c r="KKA285" s="1144"/>
      <c r="KKB285" s="1144"/>
      <c r="KKC285" s="1144"/>
      <c r="KKD285" s="1144"/>
      <c r="KKE285" s="1144"/>
      <c r="KKF285" s="1144"/>
      <c r="KKG285" s="1144"/>
      <c r="KKH285" s="1144"/>
      <c r="KKI285" s="1144"/>
      <c r="KKJ285" s="1144"/>
      <c r="KKK285" s="1144"/>
      <c r="KKL285" s="1144"/>
      <c r="KKM285" s="1144"/>
      <c r="KKN285" s="1144"/>
      <c r="KKO285" s="1144"/>
      <c r="KKP285" s="1144"/>
      <c r="KKQ285" s="1144"/>
      <c r="KKR285" s="1144"/>
      <c r="KKS285" s="1144"/>
      <c r="KKT285" s="1144"/>
      <c r="KKU285" s="1144"/>
      <c r="KKV285" s="1144"/>
      <c r="KKW285" s="1144"/>
      <c r="KKX285" s="1144"/>
      <c r="KKY285" s="1144"/>
      <c r="KKZ285" s="1144"/>
      <c r="KLA285" s="1144"/>
      <c r="KLB285" s="1144"/>
      <c r="KLC285" s="1144"/>
      <c r="KLD285" s="1144"/>
      <c r="KLE285" s="1144"/>
      <c r="KLF285" s="1144"/>
      <c r="KLG285" s="1144"/>
      <c r="KLH285" s="1144"/>
      <c r="KLI285" s="1144"/>
      <c r="KLJ285" s="1144"/>
      <c r="KLK285" s="1144"/>
      <c r="KLL285" s="1144"/>
      <c r="KLM285" s="1144"/>
      <c r="KLN285" s="1144"/>
      <c r="KLO285" s="1144"/>
      <c r="KLP285" s="1144"/>
      <c r="KLQ285" s="1144"/>
      <c r="KLR285" s="1144"/>
      <c r="KLS285" s="1144"/>
      <c r="KLT285" s="1144"/>
      <c r="KLU285" s="1144"/>
      <c r="KLV285" s="1144"/>
      <c r="KLW285" s="1144"/>
      <c r="KLX285" s="1144"/>
      <c r="KLY285" s="1144"/>
      <c r="KLZ285" s="1144"/>
      <c r="KMA285" s="1144"/>
      <c r="KMB285" s="1144"/>
      <c r="KMC285" s="1144"/>
      <c r="KMD285" s="1144"/>
      <c r="KME285" s="1144"/>
      <c r="KMF285" s="1144"/>
      <c r="KMG285" s="1144"/>
      <c r="KMH285" s="1144"/>
      <c r="KMI285" s="1144"/>
      <c r="KMJ285" s="1144"/>
      <c r="KMK285" s="1144"/>
      <c r="KML285" s="1144"/>
      <c r="KMM285" s="1144"/>
      <c r="KMN285" s="1144"/>
      <c r="KMO285" s="1144"/>
      <c r="KMP285" s="1144"/>
      <c r="KMQ285" s="1144"/>
      <c r="KMR285" s="1144"/>
      <c r="KMS285" s="1144"/>
      <c r="KMT285" s="1144"/>
      <c r="KMU285" s="1144"/>
      <c r="KMV285" s="1144"/>
      <c r="KMW285" s="1144"/>
      <c r="KMX285" s="1144"/>
      <c r="KMY285" s="1144"/>
      <c r="KMZ285" s="1144"/>
      <c r="KNA285" s="1144"/>
      <c r="KNB285" s="1144"/>
      <c r="KNC285" s="1144"/>
      <c r="KND285" s="1144"/>
      <c r="KNE285" s="1144"/>
      <c r="KNF285" s="1144"/>
      <c r="KNG285" s="1144"/>
      <c r="KNH285" s="1144"/>
      <c r="KNI285" s="1144"/>
      <c r="KNJ285" s="1144"/>
      <c r="KNK285" s="1144"/>
      <c r="KNL285" s="1144"/>
      <c r="KNM285" s="1144"/>
      <c r="KNN285" s="1144"/>
      <c r="KNO285" s="1144"/>
      <c r="KNP285" s="1144"/>
      <c r="KNQ285" s="1144"/>
      <c r="KNR285" s="1144"/>
      <c r="KNS285" s="1144"/>
      <c r="KNT285" s="1144"/>
      <c r="KNU285" s="1144"/>
      <c r="KNV285" s="1144"/>
      <c r="KNW285" s="1144"/>
      <c r="KNX285" s="1144"/>
      <c r="KNY285" s="1144"/>
      <c r="KNZ285" s="1144"/>
      <c r="KOA285" s="1144"/>
      <c r="KOB285" s="1144"/>
      <c r="KOC285" s="1144"/>
      <c r="KOD285" s="1144"/>
      <c r="KOE285" s="1144"/>
      <c r="KOF285" s="1144"/>
      <c r="KOG285" s="1144"/>
      <c r="KOH285" s="1144"/>
      <c r="KOI285" s="1144"/>
      <c r="KOJ285" s="1144"/>
      <c r="KOK285" s="1144"/>
      <c r="KOL285" s="1144"/>
      <c r="KOM285" s="1144"/>
      <c r="KON285" s="1144"/>
      <c r="KOO285" s="1144"/>
      <c r="KOP285" s="1144"/>
      <c r="KOQ285" s="1144"/>
      <c r="KOR285" s="1144"/>
      <c r="KOS285" s="1144"/>
      <c r="KOT285" s="1144"/>
      <c r="KOU285" s="1144"/>
      <c r="KOV285" s="1144"/>
      <c r="KOW285" s="1144"/>
      <c r="KOX285" s="1144"/>
      <c r="KOY285" s="1144"/>
      <c r="KOZ285" s="1144"/>
      <c r="KPA285" s="1144"/>
      <c r="KPB285" s="1144"/>
      <c r="KPC285" s="1144"/>
      <c r="KPD285" s="1144"/>
      <c r="KPE285" s="1144"/>
      <c r="KPF285" s="1144"/>
      <c r="KPG285" s="1144"/>
      <c r="KPH285" s="1144"/>
      <c r="KPI285" s="1144"/>
      <c r="KPJ285" s="1144"/>
      <c r="KPK285" s="1144"/>
      <c r="KPL285" s="1144"/>
      <c r="KPM285" s="1144"/>
      <c r="KPN285" s="1144"/>
      <c r="KPO285" s="1144"/>
      <c r="KPP285" s="1144"/>
      <c r="KPQ285" s="1144"/>
      <c r="KPR285" s="1144"/>
      <c r="KPS285" s="1144"/>
      <c r="KPT285" s="1144"/>
      <c r="KPU285" s="1144"/>
      <c r="KPV285" s="1144"/>
      <c r="KPW285" s="1144"/>
      <c r="KPX285" s="1144"/>
      <c r="KPY285" s="1144"/>
      <c r="KPZ285" s="1144"/>
      <c r="KQA285" s="1144"/>
      <c r="KQB285" s="1144"/>
      <c r="KQC285" s="1144"/>
      <c r="KQD285" s="1144"/>
      <c r="KQE285" s="1144"/>
      <c r="KQF285" s="1144"/>
      <c r="KQG285" s="1144"/>
      <c r="KQH285" s="1144"/>
      <c r="KQI285" s="1144"/>
      <c r="KQJ285" s="1144"/>
      <c r="KQK285" s="1144"/>
      <c r="KQL285" s="1144"/>
      <c r="KQM285" s="1144"/>
      <c r="KQN285" s="1144"/>
      <c r="KQO285" s="1144"/>
      <c r="KQP285" s="1144"/>
      <c r="KQQ285" s="1144"/>
      <c r="KQR285" s="1144"/>
      <c r="KQS285" s="1144"/>
      <c r="KQT285" s="1144"/>
      <c r="KQU285" s="1144"/>
      <c r="KQV285" s="1144"/>
      <c r="KQW285" s="1144"/>
      <c r="KQX285" s="1144"/>
      <c r="KQY285" s="1144"/>
      <c r="KQZ285" s="1144"/>
      <c r="KRA285" s="1144"/>
      <c r="KRB285" s="1144"/>
      <c r="KRC285" s="1144"/>
      <c r="KRD285" s="1144"/>
      <c r="KRE285" s="1144"/>
      <c r="KRF285" s="1144"/>
      <c r="KRG285" s="1144"/>
      <c r="KRH285" s="1144"/>
      <c r="KRI285" s="1144"/>
      <c r="KRJ285" s="1144"/>
      <c r="KRK285" s="1144"/>
      <c r="KRL285" s="1144"/>
      <c r="KRM285" s="1144"/>
      <c r="KRN285" s="1144"/>
      <c r="KRO285" s="1144"/>
      <c r="KRP285" s="1144"/>
      <c r="KRQ285" s="1144"/>
      <c r="KRR285" s="1144"/>
      <c r="KRS285" s="1144"/>
      <c r="KRT285" s="1144"/>
      <c r="KRU285" s="1144"/>
      <c r="KRV285" s="1144"/>
      <c r="KRW285" s="1144"/>
      <c r="KRX285" s="1144"/>
      <c r="KRY285" s="1144"/>
      <c r="KRZ285" s="1144"/>
      <c r="KSA285" s="1144"/>
      <c r="KSB285" s="1144"/>
      <c r="KSC285" s="1144"/>
      <c r="KSD285" s="1144"/>
      <c r="KSE285" s="1144"/>
      <c r="KSF285" s="1144"/>
      <c r="KSG285" s="1144"/>
      <c r="KSH285" s="1144"/>
      <c r="KSI285" s="1144"/>
      <c r="KSJ285" s="1144"/>
      <c r="KSK285" s="1144"/>
      <c r="KSL285" s="1144"/>
      <c r="KSM285" s="1144"/>
      <c r="KSN285" s="1144"/>
      <c r="KSO285" s="1144"/>
      <c r="KSP285" s="1144"/>
      <c r="KSQ285" s="1144"/>
      <c r="KSR285" s="1144"/>
      <c r="KSS285" s="1144"/>
      <c r="KST285" s="1144"/>
      <c r="KSU285" s="1144"/>
      <c r="KSV285" s="1144"/>
      <c r="KSW285" s="1144"/>
      <c r="KSX285" s="1144"/>
      <c r="KSY285" s="1144"/>
      <c r="KSZ285" s="1144"/>
      <c r="KTA285" s="1144"/>
      <c r="KTB285" s="1144"/>
      <c r="KTC285" s="1144"/>
      <c r="KTD285" s="1144"/>
      <c r="KTE285" s="1144"/>
      <c r="KTF285" s="1144"/>
      <c r="KTG285" s="1144"/>
      <c r="KTH285" s="1144"/>
      <c r="KTI285" s="1144"/>
      <c r="KTJ285" s="1144"/>
      <c r="KTK285" s="1144"/>
      <c r="KTL285" s="1144"/>
      <c r="KTM285" s="1144"/>
      <c r="KTN285" s="1144"/>
      <c r="KTO285" s="1144"/>
      <c r="KTP285" s="1144"/>
      <c r="KTQ285" s="1144"/>
      <c r="KTR285" s="1144"/>
      <c r="KTS285" s="1144"/>
      <c r="KTT285" s="1144"/>
      <c r="KTU285" s="1144"/>
      <c r="KTV285" s="1144"/>
      <c r="KTW285" s="1144"/>
      <c r="KTX285" s="1144"/>
      <c r="KTY285" s="1144"/>
      <c r="KTZ285" s="1144"/>
      <c r="KUA285" s="1144"/>
      <c r="KUB285" s="1144"/>
      <c r="KUC285" s="1144"/>
      <c r="KUD285" s="1144"/>
      <c r="KUE285" s="1144"/>
      <c r="KUF285" s="1144"/>
      <c r="KUG285" s="1144"/>
      <c r="KUH285" s="1144"/>
      <c r="KUI285" s="1144"/>
      <c r="KUJ285" s="1144"/>
      <c r="KUK285" s="1144"/>
      <c r="KUL285" s="1144"/>
      <c r="KUM285" s="1144"/>
      <c r="KUN285" s="1144"/>
      <c r="KUO285" s="1144"/>
      <c r="KUP285" s="1144"/>
      <c r="KUQ285" s="1144"/>
      <c r="KUR285" s="1144"/>
      <c r="KUS285" s="1144"/>
      <c r="KUT285" s="1144"/>
      <c r="KUU285" s="1144"/>
      <c r="KUV285" s="1144"/>
      <c r="KUW285" s="1144"/>
      <c r="KUX285" s="1144"/>
      <c r="KUY285" s="1144"/>
      <c r="KUZ285" s="1144"/>
      <c r="KVA285" s="1144"/>
      <c r="KVB285" s="1144"/>
      <c r="KVC285" s="1144"/>
      <c r="KVD285" s="1144"/>
      <c r="KVE285" s="1144"/>
      <c r="KVF285" s="1144"/>
      <c r="KVG285" s="1144"/>
      <c r="KVH285" s="1144"/>
      <c r="KVI285" s="1144"/>
      <c r="KVJ285" s="1144"/>
      <c r="KVK285" s="1144"/>
      <c r="KVL285" s="1144"/>
      <c r="KVM285" s="1144"/>
      <c r="KVN285" s="1144"/>
      <c r="KVO285" s="1144"/>
      <c r="KVP285" s="1144"/>
      <c r="KVQ285" s="1144"/>
      <c r="KVR285" s="1144"/>
      <c r="KVS285" s="1144"/>
      <c r="KVT285" s="1144"/>
      <c r="KVU285" s="1144"/>
      <c r="KVV285" s="1144"/>
      <c r="KVW285" s="1144"/>
      <c r="KVX285" s="1144"/>
      <c r="KVY285" s="1144"/>
      <c r="KVZ285" s="1144"/>
      <c r="KWA285" s="1144"/>
      <c r="KWB285" s="1144"/>
      <c r="KWC285" s="1144"/>
      <c r="KWD285" s="1144"/>
      <c r="KWE285" s="1144"/>
      <c r="KWF285" s="1144"/>
      <c r="KWG285" s="1144"/>
      <c r="KWH285" s="1144"/>
      <c r="KWI285" s="1144"/>
      <c r="KWJ285" s="1144"/>
      <c r="KWK285" s="1144"/>
      <c r="KWL285" s="1144"/>
      <c r="KWM285" s="1144"/>
      <c r="KWN285" s="1144"/>
      <c r="KWO285" s="1144"/>
      <c r="KWP285" s="1144"/>
      <c r="KWQ285" s="1144"/>
      <c r="KWR285" s="1144"/>
      <c r="KWS285" s="1144"/>
      <c r="KWT285" s="1144"/>
      <c r="KWU285" s="1144"/>
      <c r="KWV285" s="1144"/>
      <c r="KWW285" s="1144"/>
      <c r="KWX285" s="1144"/>
      <c r="KWY285" s="1144"/>
      <c r="KWZ285" s="1144"/>
      <c r="KXA285" s="1144"/>
      <c r="KXB285" s="1144"/>
      <c r="KXC285" s="1144"/>
      <c r="KXD285" s="1144"/>
      <c r="KXE285" s="1144"/>
      <c r="KXF285" s="1144"/>
      <c r="KXG285" s="1144"/>
      <c r="KXH285" s="1144"/>
      <c r="KXI285" s="1144"/>
      <c r="KXJ285" s="1144"/>
      <c r="KXK285" s="1144"/>
      <c r="KXL285" s="1144"/>
      <c r="KXM285" s="1144"/>
      <c r="KXN285" s="1144"/>
      <c r="KXO285" s="1144"/>
      <c r="KXP285" s="1144"/>
      <c r="KXQ285" s="1144"/>
      <c r="KXR285" s="1144"/>
      <c r="KXS285" s="1144"/>
      <c r="KXT285" s="1144"/>
      <c r="KXU285" s="1144"/>
      <c r="KXV285" s="1144"/>
      <c r="KXW285" s="1144"/>
      <c r="KXX285" s="1144"/>
      <c r="KXY285" s="1144"/>
      <c r="KXZ285" s="1144"/>
      <c r="KYA285" s="1144"/>
      <c r="KYB285" s="1144"/>
      <c r="KYC285" s="1144"/>
      <c r="KYD285" s="1144"/>
      <c r="KYE285" s="1144"/>
      <c r="KYF285" s="1144"/>
      <c r="KYG285" s="1144"/>
      <c r="KYH285" s="1144"/>
      <c r="KYI285" s="1144"/>
      <c r="KYJ285" s="1144"/>
      <c r="KYK285" s="1144"/>
      <c r="KYL285" s="1144"/>
      <c r="KYM285" s="1144"/>
      <c r="KYN285" s="1144"/>
      <c r="KYO285" s="1144"/>
      <c r="KYP285" s="1144"/>
      <c r="KYQ285" s="1144"/>
      <c r="KYR285" s="1144"/>
      <c r="KYS285" s="1144"/>
      <c r="KYT285" s="1144"/>
      <c r="KYU285" s="1144"/>
      <c r="KYV285" s="1144"/>
      <c r="KYW285" s="1144"/>
      <c r="KYX285" s="1144"/>
      <c r="KYY285" s="1144"/>
      <c r="KYZ285" s="1144"/>
      <c r="KZA285" s="1144"/>
      <c r="KZB285" s="1144"/>
      <c r="KZC285" s="1144"/>
      <c r="KZD285" s="1144"/>
      <c r="KZE285" s="1144"/>
      <c r="KZF285" s="1144"/>
      <c r="KZG285" s="1144"/>
      <c r="KZH285" s="1144"/>
      <c r="KZI285" s="1144"/>
      <c r="KZJ285" s="1144"/>
      <c r="KZK285" s="1144"/>
      <c r="KZL285" s="1144"/>
      <c r="KZM285" s="1144"/>
      <c r="KZN285" s="1144"/>
      <c r="KZO285" s="1144"/>
      <c r="KZP285" s="1144"/>
      <c r="KZQ285" s="1144"/>
      <c r="KZR285" s="1144"/>
      <c r="KZS285" s="1144"/>
      <c r="KZT285" s="1144"/>
      <c r="KZU285" s="1144"/>
      <c r="KZV285" s="1144"/>
      <c r="KZW285" s="1144"/>
      <c r="KZX285" s="1144"/>
      <c r="KZY285" s="1144"/>
      <c r="KZZ285" s="1144"/>
      <c r="LAA285" s="1144"/>
      <c r="LAB285" s="1144"/>
      <c r="LAC285" s="1144"/>
      <c r="LAD285" s="1144"/>
      <c r="LAE285" s="1144"/>
      <c r="LAF285" s="1144"/>
      <c r="LAG285" s="1144"/>
      <c r="LAH285" s="1144"/>
      <c r="LAI285" s="1144"/>
      <c r="LAJ285" s="1144"/>
      <c r="LAK285" s="1144"/>
      <c r="LAL285" s="1144"/>
      <c r="LAM285" s="1144"/>
      <c r="LAN285" s="1144"/>
      <c r="LAO285" s="1144"/>
      <c r="LAP285" s="1144"/>
      <c r="LAQ285" s="1144"/>
      <c r="LAR285" s="1144"/>
      <c r="LAS285" s="1144"/>
      <c r="LAT285" s="1144"/>
      <c r="LAU285" s="1144"/>
      <c r="LAV285" s="1144"/>
      <c r="LAW285" s="1144"/>
      <c r="LAX285" s="1144"/>
      <c r="LAY285" s="1144"/>
      <c r="LAZ285" s="1144"/>
      <c r="LBA285" s="1144"/>
      <c r="LBB285" s="1144"/>
      <c r="LBC285" s="1144"/>
      <c r="LBD285" s="1144"/>
      <c r="LBE285" s="1144"/>
      <c r="LBF285" s="1144"/>
      <c r="LBG285" s="1144"/>
      <c r="LBH285" s="1144"/>
      <c r="LBI285" s="1144"/>
      <c r="LBJ285" s="1144"/>
      <c r="LBK285" s="1144"/>
      <c r="LBL285" s="1144"/>
      <c r="LBM285" s="1144"/>
      <c r="LBN285" s="1144"/>
      <c r="LBO285" s="1144"/>
      <c r="LBP285" s="1144"/>
      <c r="LBQ285" s="1144"/>
      <c r="LBR285" s="1144"/>
      <c r="LBS285" s="1144"/>
      <c r="LBT285" s="1144"/>
      <c r="LBU285" s="1144"/>
      <c r="LBV285" s="1144"/>
      <c r="LBW285" s="1144"/>
      <c r="LBX285" s="1144"/>
      <c r="LBY285" s="1144"/>
      <c r="LBZ285" s="1144"/>
      <c r="LCA285" s="1144"/>
      <c r="LCB285" s="1144"/>
      <c r="LCC285" s="1144"/>
      <c r="LCD285" s="1144"/>
      <c r="LCE285" s="1144"/>
      <c r="LCF285" s="1144"/>
      <c r="LCG285" s="1144"/>
      <c r="LCH285" s="1144"/>
      <c r="LCI285" s="1144"/>
      <c r="LCJ285" s="1144"/>
      <c r="LCK285" s="1144"/>
      <c r="LCL285" s="1144"/>
      <c r="LCM285" s="1144"/>
      <c r="LCN285" s="1144"/>
      <c r="LCO285" s="1144"/>
      <c r="LCP285" s="1144"/>
      <c r="LCQ285" s="1144"/>
      <c r="LCR285" s="1144"/>
      <c r="LCS285" s="1144"/>
      <c r="LCT285" s="1144"/>
      <c r="LCU285" s="1144"/>
      <c r="LCV285" s="1144"/>
      <c r="LCW285" s="1144"/>
      <c r="LCX285" s="1144"/>
      <c r="LCY285" s="1144"/>
      <c r="LCZ285" s="1144"/>
      <c r="LDA285" s="1144"/>
      <c r="LDB285" s="1144"/>
      <c r="LDC285" s="1144"/>
      <c r="LDD285" s="1144"/>
      <c r="LDE285" s="1144"/>
      <c r="LDF285" s="1144"/>
      <c r="LDG285" s="1144"/>
      <c r="LDH285" s="1144"/>
      <c r="LDI285" s="1144"/>
      <c r="LDJ285" s="1144"/>
      <c r="LDK285" s="1144"/>
      <c r="LDL285" s="1144"/>
      <c r="LDM285" s="1144"/>
      <c r="LDN285" s="1144"/>
      <c r="LDO285" s="1144"/>
      <c r="LDP285" s="1144"/>
      <c r="LDQ285" s="1144"/>
      <c r="LDR285" s="1144"/>
      <c r="LDS285" s="1144"/>
      <c r="LDT285" s="1144"/>
      <c r="LDU285" s="1144"/>
      <c r="LDV285" s="1144"/>
      <c r="LDW285" s="1144"/>
      <c r="LDX285" s="1144"/>
      <c r="LDY285" s="1144"/>
      <c r="LDZ285" s="1144"/>
      <c r="LEA285" s="1144"/>
      <c r="LEB285" s="1144"/>
      <c r="LEC285" s="1144"/>
      <c r="LED285" s="1144"/>
      <c r="LEE285" s="1144"/>
      <c r="LEF285" s="1144"/>
      <c r="LEG285" s="1144"/>
      <c r="LEH285" s="1144"/>
      <c r="LEI285" s="1144"/>
      <c r="LEJ285" s="1144"/>
      <c r="LEK285" s="1144"/>
      <c r="LEL285" s="1144"/>
      <c r="LEM285" s="1144"/>
      <c r="LEN285" s="1144"/>
      <c r="LEO285" s="1144"/>
      <c r="LEP285" s="1144"/>
      <c r="LEQ285" s="1144"/>
      <c r="LER285" s="1144"/>
      <c r="LES285" s="1144"/>
      <c r="LET285" s="1144"/>
      <c r="LEU285" s="1144"/>
      <c r="LEV285" s="1144"/>
      <c r="LEW285" s="1144"/>
      <c r="LEX285" s="1144"/>
      <c r="LEY285" s="1144"/>
      <c r="LEZ285" s="1144"/>
      <c r="LFA285" s="1144"/>
      <c r="LFB285" s="1144"/>
      <c r="LFC285" s="1144"/>
      <c r="LFD285" s="1144"/>
      <c r="LFE285" s="1144"/>
      <c r="LFF285" s="1144"/>
      <c r="LFG285" s="1144"/>
      <c r="LFH285" s="1144"/>
      <c r="LFI285" s="1144"/>
      <c r="LFJ285" s="1144"/>
      <c r="LFK285" s="1144"/>
      <c r="LFL285" s="1144"/>
      <c r="LFM285" s="1144"/>
      <c r="LFN285" s="1144"/>
      <c r="LFO285" s="1144"/>
      <c r="LFP285" s="1144"/>
      <c r="LFQ285" s="1144"/>
      <c r="LFR285" s="1144"/>
      <c r="LFS285" s="1144"/>
      <c r="LFT285" s="1144"/>
      <c r="LFU285" s="1144"/>
      <c r="LFV285" s="1144"/>
      <c r="LFW285" s="1144"/>
      <c r="LFX285" s="1144"/>
      <c r="LFY285" s="1144"/>
      <c r="LFZ285" s="1144"/>
      <c r="LGA285" s="1144"/>
      <c r="LGB285" s="1144"/>
      <c r="LGC285" s="1144"/>
      <c r="LGD285" s="1144"/>
      <c r="LGE285" s="1144"/>
      <c r="LGF285" s="1144"/>
      <c r="LGG285" s="1144"/>
      <c r="LGH285" s="1144"/>
      <c r="LGI285" s="1144"/>
      <c r="LGJ285" s="1144"/>
      <c r="LGK285" s="1144"/>
      <c r="LGL285" s="1144"/>
      <c r="LGM285" s="1144"/>
      <c r="LGN285" s="1144"/>
      <c r="LGO285" s="1144"/>
      <c r="LGP285" s="1144"/>
      <c r="LGQ285" s="1144"/>
      <c r="LGR285" s="1144"/>
      <c r="LGS285" s="1144"/>
      <c r="LGT285" s="1144"/>
      <c r="LGU285" s="1144"/>
      <c r="LGV285" s="1144"/>
      <c r="LGW285" s="1144"/>
      <c r="LGX285" s="1144"/>
      <c r="LGY285" s="1144"/>
      <c r="LGZ285" s="1144"/>
      <c r="LHA285" s="1144"/>
      <c r="LHB285" s="1144"/>
      <c r="LHC285" s="1144"/>
      <c r="LHD285" s="1144"/>
      <c r="LHE285" s="1144"/>
      <c r="LHF285" s="1144"/>
      <c r="LHG285" s="1144"/>
      <c r="LHH285" s="1144"/>
      <c r="LHI285" s="1144"/>
      <c r="LHJ285" s="1144"/>
      <c r="LHK285" s="1144"/>
      <c r="LHL285" s="1144"/>
      <c r="LHM285" s="1144"/>
      <c r="LHN285" s="1144"/>
      <c r="LHO285" s="1144"/>
      <c r="LHP285" s="1144"/>
      <c r="LHQ285" s="1144"/>
      <c r="LHR285" s="1144"/>
      <c r="LHS285" s="1144"/>
      <c r="LHT285" s="1144"/>
      <c r="LHU285" s="1144"/>
      <c r="LHV285" s="1144"/>
      <c r="LHW285" s="1144"/>
      <c r="LHX285" s="1144"/>
      <c r="LHY285" s="1144"/>
      <c r="LHZ285" s="1144"/>
      <c r="LIA285" s="1144"/>
      <c r="LIB285" s="1144"/>
      <c r="LIC285" s="1144"/>
      <c r="LID285" s="1144"/>
      <c r="LIE285" s="1144"/>
      <c r="LIF285" s="1144"/>
      <c r="LIG285" s="1144"/>
      <c r="LIH285" s="1144"/>
      <c r="LII285" s="1144"/>
      <c r="LIJ285" s="1144"/>
      <c r="LIK285" s="1144"/>
      <c r="LIL285" s="1144"/>
      <c r="LIM285" s="1144"/>
      <c r="LIN285" s="1144"/>
      <c r="LIO285" s="1144"/>
      <c r="LIP285" s="1144"/>
      <c r="LIQ285" s="1144"/>
      <c r="LIR285" s="1144"/>
      <c r="LIS285" s="1144"/>
      <c r="LIT285" s="1144"/>
      <c r="LIU285" s="1144"/>
      <c r="LIV285" s="1144"/>
      <c r="LIW285" s="1144"/>
      <c r="LIX285" s="1144"/>
      <c r="LIY285" s="1144"/>
      <c r="LIZ285" s="1144"/>
      <c r="LJA285" s="1144"/>
      <c r="LJB285" s="1144"/>
      <c r="LJC285" s="1144"/>
      <c r="LJD285" s="1144"/>
      <c r="LJE285" s="1144"/>
      <c r="LJF285" s="1144"/>
      <c r="LJG285" s="1144"/>
      <c r="LJH285" s="1144"/>
      <c r="LJI285" s="1144"/>
      <c r="LJJ285" s="1144"/>
      <c r="LJK285" s="1144"/>
      <c r="LJL285" s="1144"/>
      <c r="LJM285" s="1144"/>
      <c r="LJN285" s="1144"/>
      <c r="LJO285" s="1144"/>
      <c r="LJP285" s="1144"/>
      <c r="LJQ285" s="1144"/>
      <c r="LJR285" s="1144"/>
      <c r="LJS285" s="1144"/>
      <c r="LJT285" s="1144"/>
      <c r="LJU285" s="1144"/>
      <c r="LJV285" s="1144"/>
      <c r="LJW285" s="1144"/>
      <c r="LJX285" s="1144"/>
      <c r="LJY285" s="1144"/>
      <c r="LJZ285" s="1144"/>
      <c r="LKA285" s="1144"/>
      <c r="LKB285" s="1144"/>
      <c r="LKC285" s="1144"/>
      <c r="LKD285" s="1144"/>
      <c r="LKE285" s="1144"/>
      <c r="LKF285" s="1144"/>
      <c r="LKG285" s="1144"/>
      <c r="LKH285" s="1144"/>
      <c r="LKI285" s="1144"/>
      <c r="LKJ285" s="1144"/>
      <c r="LKK285" s="1144"/>
      <c r="LKL285" s="1144"/>
      <c r="LKM285" s="1144"/>
      <c r="LKN285" s="1144"/>
      <c r="LKO285" s="1144"/>
      <c r="LKP285" s="1144"/>
      <c r="LKQ285" s="1144"/>
      <c r="LKR285" s="1144"/>
      <c r="LKS285" s="1144"/>
      <c r="LKT285" s="1144"/>
      <c r="LKU285" s="1144"/>
      <c r="LKV285" s="1144"/>
      <c r="LKW285" s="1144"/>
      <c r="LKX285" s="1144"/>
      <c r="LKY285" s="1144"/>
      <c r="LKZ285" s="1144"/>
      <c r="LLA285" s="1144"/>
      <c r="LLB285" s="1144"/>
      <c r="LLC285" s="1144"/>
      <c r="LLD285" s="1144"/>
      <c r="LLE285" s="1144"/>
      <c r="LLF285" s="1144"/>
      <c r="LLG285" s="1144"/>
      <c r="LLH285" s="1144"/>
      <c r="LLI285" s="1144"/>
      <c r="LLJ285" s="1144"/>
      <c r="LLK285" s="1144"/>
      <c r="LLL285" s="1144"/>
      <c r="LLM285" s="1144"/>
      <c r="LLN285" s="1144"/>
      <c r="LLO285" s="1144"/>
      <c r="LLP285" s="1144"/>
      <c r="LLQ285" s="1144"/>
      <c r="LLR285" s="1144"/>
      <c r="LLS285" s="1144"/>
      <c r="LLT285" s="1144"/>
      <c r="LLU285" s="1144"/>
      <c r="LLV285" s="1144"/>
      <c r="LLW285" s="1144"/>
      <c r="LLX285" s="1144"/>
      <c r="LLY285" s="1144"/>
      <c r="LLZ285" s="1144"/>
      <c r="LMA285" s="1144"/>
      <c r="LMB285" s="1144"/>
      <c r="LMC285" s="1144"/>
      <c r="LMD285" s="1144"/>
      <c r="LME285" s="1144"/>
      <c r="LMF285" s="1144"/>
      <c r="LMG285" s="1144"/>
      <c r="LMH285" s="1144"/>
      <c r="LMI285" s="1144"/>
      <c r="LMJ285" s="1144"/>
      <c r="LMK285" s="1144"/>
      <c r="LML285" s="1144"/>
      <c r="LMM285" s="1144"/>
      <c r="LMN285" s="1144"/>
      <c r="LMO285" s="1144"/>
      <c r="LMP285" s="1144"/>
      <c r="LMQ285" s="1144"/>
      <c r="LMR285" s="1144"/>
      <c r="LMS285" s="1144"/>
      <c r="LMT285" s="1144"/>
      <c r="LMU285" s="1144"/>
      <c r="LMV285" s="1144"/>
      <c r="LMW285" s="1144"/>
      <c r="LMX285" s="1144"/>
      <c r="LMY285" s="1144"/>
      <c r="LMZ285" s="1144"/>
      <c r="LNA285" s="1144"/>
      <c r="LNB285" s="1144"/>
      <c r="LNC285" s="1144"/>
      <c r="LND285" s="1144"/>
      <c r="LNE285" s="1144"/>
      <c r="LNF285" s="1144"/>
      <c r="LNG285" s="1144"/>
      <c r="LNH285" s="1144"/>
      <c r="LNI285" s="1144"/>
      <c r="LNJ285" s="1144"/>
      <c r="LNK285" s="1144"/>
      <c r="LNL285" s="1144"/>
      <c r="LNM285" s="1144"/>
      <c r="LNN285" s="1144"/>
      <c r="LNO285" s="1144"/>
      <c r="LNP285" s="1144"/>
      <c r="LNQ285" s="1144"/>
      <c r="LNR285" s="1144"/>
      <c r="LNS285" s="1144"/>
      <c r="LNT285" s="1144"/>
      <c r="LNU285" s="1144"/>
      <c r="LNV285" s="1144"/>
      <c r="LNW285" s="1144"/>
      <c r="LNX285" s="1144"/>
      <c r="LNY285" s="1144"/>
      <c r="LNZ285" s="1144"/>
      <c r="LOA285" s="1144"/>
      <c r="LOB285" s="1144"/>
      <c r="LOC285" s="1144"/>
      <c r="LOD285" s="1144"/>
      <c r="LOE285" s="1144"/>
      <c r="LOF285" s="1144"/>
      <c r="LOG285" s="1144"/>
      <c r="LOH285" s="1144"/>
      <c r="LOI285" s="1144"/>
      <c r="LOJ285" s="1144"/>
      <c r="LOK285" s="1144"/>
      <c r="LOL285" s="1144"/>
      <c r="LOM285" s="1144"/>
      <c r="LON285" s="1144"/>
      <c r="LOO285" s="1144"/>
      <c r="LOP285" s="1144"/>
      <c r="LOQ285" s="1144"/>
      <c r="LOR285" s="1144"/>
      <c r="LOS285" s="1144"/>
      <c r="LOT285" s="1144"/>
      <c r="LOU285" s="1144"/>
      <c r="LOV285" s="1144"/>
      <c r="LOW285" s="1144"/>
      <c r="LOX285" s="1144"/>
      <c r="LOY285" s="1144"/>
      <c r="LOZ285" s="1144"/>
      <c r="LPA285" s="1144"/>
      <c r="LPB285" s="1144"/>
      <c r="LPC285" s="1144"/>
      <c r="LPD285" s="1144"/>
      <c r="LPE285" s="1144"/>
      <c r="LPF285" s="1144"/>
      <c r="LPG285" s="1144"/>
      <c r="LPH285" s="1144"/>
      <c r="LPI285" s="1144"/>
      <c r="LPJ285" s="1144"/>
      <c r="LPK285" s="1144"/>
      <c r="LPL285" s="1144"/>
      <c r="LPM285" s="1144"/>
      <c r="LPN285" s="1144"/>
      <c r="LPO285" s="1144"/>
      <c r="LPP285" s="1144"/>
      <c r="LPQ285" s="1144"/>
      <c r="LPR285" s="1144"/>
      <c r="LPS285" s="1144"/>
      <c r="LPT285" s="1144"/>
      <c r="LPU285" s="1144"/>
      <c r="LPV285" s="1144"/>
      <c r="LPW285" s="1144"/>
      <c r="LPX285" s="1144"/>
      <c r="LPY285" s="1144"/>
      <c r="LPZ285" s="1144"/>
      <c r="LQA285" s="1144"/>
      <c r="LQB285" s="1144"/>
      <c r="LQC285" s="1144"/>
      <c r="LQD285" s="1144"/>
      <c r="LQE285" s="1144"/>
      <c r="LQF285" s="1144"/>
      <c r="LQG285" s="1144"/>
      <c r="LQH285" s="1144"/>
      <c r="LQI285" s="1144"/>
      <c r="LQJ285" s="1144"/>
      <c r="LQK285" s="1144"/>
      <c r="LQL285" s="1144"/>
      <c r="LQM285" s="1144"/>
      <c r="LQN285" s="1144"/>
      <c r="LQO285" s="1144"/>
      <c r="LQP285" s="1144"/>
      <c r="LQQ285" s="1144"/>
      <c r="LQR285" s="1144"/>
      <c r="LQS285" s="1144"/>
      <c r="LQT285" s="1144"/>
      <c r="LQU285" s="1144"/>
      <c r="LQV285" s="1144"/>
      <c r="LQW285" s="1144"/>
      <c r="LQX285" s="1144"/>
      <c r="LQY285" s="1144"/>
      <c r="LQZ285" s="1144"/>
      <c r="LRA285" s="1144"/>
      <c r="LRB285" s="1144"/>
      <c r="LRC285" s="1144"/>
      <c r="LRD285" s="1144"/>
      <c r="LRE285" s="1144"/>
      <c r="LRF285" s="1144"/>
      <c r="LRG285" s="1144"/>
      <c r="LRH285" s="1144"/>
      <c r="LRI285" s="1144"/>
      <c r="LRJ285" s="1144"/>
      <c r="LRK285" s="1144"/>
      <c r="LRL285" s="1144"/>
      <c r="LRM285" s="1144"/>
      <c r="LRN285" s="1144"/>
      <c r="LRO285" s="1144"/>
      <c r="LRP285" s="1144"/>
      <c r="LRQ285" s="1144"/>
      <c r="LRR285" s="1144"/>
      <c r="LRS285" s="1144"/>
      <c r="LRT285" s="1144"/>
      <c r="LRU285" s="1144"/>
      <c r="LRV285" s="1144"/>
      <c r="LRW285" s="1144"/>
      <c r="LRX285" s="1144"/>
      <c r="LRY285" s="1144"/>
      <c r="LRZ285" s="1144"/>
      <c r="LSA285" s="1144"/>
      <c r="LSB285" s="1144"/>
      <c r="LSC285" s="1144"/>
      <c r="LSD285" s="1144"/>
      <c r="LSE285" s="1144"/>
      <c r="LSF285" s="1144"/>
      <c r="LSG285" s="1144"/>
      <c r="LSH285" s="1144"/>
      <c r="LSI285" s="1144"/>
      <c r="LSJ285" s="1144"/>
      <c r="LSK285" s="1144"/>
      <c r="LSL285" s="1144"/>
      <c r="LSM285" s="1144"/>
      <c r="LSN285" s="1144"/>
      <c r="LSO285" s="1144"/>
      <c r="LSP285" s="1144"/>
      <c r="LSQ285" s="1144"/>
      <c r="LSR285" s="1144"/>
      <c r="LSS285" s="1144"/>
      <c r="LST285" s="1144"/>
      <c r="LSU285" s="1144"/>
      <c r="LSV285" s="1144"/>
      <c r="LSW285" s="1144"/>
      <c r="LSX285" s="1144"/>
      <c r="LSY285" s="1144"/>
      <c r="LSZ285" s="1144"/>
      <c r="LTA285" s="1144"/>
      <c r="LTB285" s="1144"/>
      <c r="LTC285" s="1144"/>
      <c r="LTD285" s="1144"/>
      <c r="LTE285" s="1144"/>
      <c r="LTF285" s="1144"/>
      <c r="LTG285" s="1144"/>
      <c r="LTH285" s="1144"/>
      <c r="LTI285" s="1144"/>
      <c r="LTJ285" s="1144"/>
      <c r="LTK285" s="1144"/>
      <c r="LTL285" s="1144"/>
      <c r="LTM285" s="1144"/>
      <c r="LTN285" s="1144"/>
      <c r="LTO285" s="1144"/>
      <c r="LTP285" s="1144"/>
      <c r="LTQ285" s="1144"/>
      <c r="LTR285" s="1144"/>
      <c r="LTS285" s="1144"/>
      <c r="LTT285" s="1144"/>
      <c r="LTU285" s="1144"/>
      <c r="LTV285" s="1144"/>
      <c r="LTW285" s="1144"/>
      <c r="LTX285" s="1144"/>
      <c r="LTY285" s="1144"/>
      <c r="LTZ285" s="1144"/>
      <c r="LUA285" s="1144"/>
      <c r="LUB285" s="1144"/>
      <c r="LUC285" s="1144"/>
      <c r="LUD285" s="1144"/>
      <c r="LUE285" s="1144"/>
      <c r="LUF285" s="1144"/>
      <c r="LUG285" s="1144"/>
      <c r="LUH285" s="1144"/>
      <c r="LUI285" s="1144"/>
      <c r="LUJ285" s="1144"/>
      <c r="LUK285" s="1144"/>
      <c r="LUL285" s="1144"/>
      <c r="LUM285" s="1144"/>
      <c r="LUN285" s="1144"/>
      <c r="LUO285" s="1144"/>
      <c r="LUP285" s="1144"/>
      <c r="LUQ285" s="1144"/>
      <c r="LUR285" s="1144"/>
      <c r="LUS285" s="1144"/>
      <c r="LUT285" s="1144"/>
      <c r="LUU285" s="1144"/>
      <c r="LUV285" s="1144"/>
      <c r="LUW285" s="1144"/>
      <c r="LUX285" s="1144"/>
      <c r="LUY285" s="1144"/>
      <c r="LUZ285" s="1144"/>
      <c r="LVA285" s="1144"/>
      <c r="LVB285" s="1144"/>
      <c r="LVC285" s="1144"/>
      <c r="LVD285" s="1144"/>
      <c r="LVE285" s="1144"/>
      <c r="LVF285" s="1144"/>
      <c r="LVG285" s="1144"/>
      <c r="LVH285" s="1144"/>
      <c r="LVI285" s="1144"/>
      <c r="LVJ285" s="1144"/>
      <c r="LVK285" s="1144"/>
      <c r="LVL285" s="1144"/>
      <c r="LVM285" s="1144"/>
      <c r="LVN285" s="1144"/>
      <c r="LVO285" s="1144"/>
      <c r="LVP285" s="1144"/>
      <c r="LVQ285" s="1144"/>
      <c r="LVR285" s="1144"/>
      <c r="LVS285" s="1144"/>
      <c r="LVT285" s="1144"/>
      <c r="LVU285" s="1144"/>
      <c r="LVV285" s="1144"/>
      <c r="LVW285" s="1144"/>
      <c r="LVX285" s="1144"/>
      <c r="LVY285" s="1144"/>
      <c r="LVZ285" s="1144"/>
      <c r="LWA285" s="1144"/>
      <c r="LWB285" s="1144"/>
      <c r="LWC285" s="1144"/>
      <c r="LWD285" s="1144"/>
      <c r="LWE285" s="1144"/>
      <c r="LWF285" s="1144"/>
      <c r="LWG285" s="1144"/>
      <c r="LWH285" s="1144"/>
      <c r="LWI285" s="1144"/>
      <c r="LWJ285" s="1144"/>
      <c r="LWK285" s="1144"/>
      <c r="LWL285" s="1144"/>
      <c r="LWM285" s="1144"/>
      <c r="LWN285" s="1144"/>
      <c r="LWO285" s="1144"/>
      <c r="LWP285" s="1144"/>
      <c r="LWQ285" s="1144"/>
      <c r="LWR285" s="1144"/>
      <c r="LWS285" s="1144"/>
      <c r="LWT285" s="1144"/>
      <c r="LWU285" s="1144"/>
      <c r="LWV285" s="1144"/>
      <c r="LWW285" s="1144"/>
      <c r="LWX285" s="1144"/>
      <c r="LWY285" s="1144"/>
      <c r="LWZ285" s="1144"/>
      <c r="LXA285" s="1144"/>
      <c r="LXB285" s="1144"/>
      <c r="LXC285" s="1144"/>
      <c r="LXD285" s="1144"/>
      <c r="LXE285" s="1144"/>
      <c r="LXF285" s="1144"/>
      <c r="LXG285" s="1144"/>
      <c r="LXH285" s="1144"/>
      <c r="LXI285" s="1144"/>
      <c r="LXJ285" s="1144"/>
      <c r="LXK285" s="1144"/>
      <c r="LXL285" s="1144"/>
      <c r="LXM285" s="1144"/>
      <c r="LXN285" s="1144"/>
      <c r="LXO285" s="1144"/>
      <c r="LXP285" s="1144"/>
      <c r="LXQ285" s="1144"/>
      <c r="LXR285" s="1144"/>
      <c r="LXS285" s="1144"/>
      <c r="LXT285" s="1144"/>
      <c r="LXU285" s="1144"/>
      <c r="LXV285" s="1144"/>
      <c r="LXW285" s="1144"/>
      <c r="LXX285" s="1144"/>
      <c r="LXY285" s="1144"/>
      <c r="LXZ285" s="1144"/>
      <c r="LYA285" s="1144"/>
      <c r="LYB285" s="1144"/>
      <c r="LYC285" s="1144"/>
      <c r="LYD285" s="1144"/>
      <c r="LYE285" s="1144"/>
      <c r="LYF285" s="1144"/>
      <c r="LYG285" s="1144"/>
      <c r="LYH285" s="1144"/>
      <c r="LYI285" s="1144"/>
      <c r="LYJ285" s="1144"/>
      <c r="LYK285" s="1144"/>
      <c r="LYL285" s="1144"/>
      <c r="LYM285" s="1144"/>
      <c r="LYN285" s="1144"/>
      <c r="LYO285" s="1144"/>
      <c r="LYP285" s="1144"/>
      <c r="LYQ285" s="1144"/>
      <c r="LYR285" s="1144"/>
      <c r="LYS285" s="1144"/>
      <c r="LYT285" s="1144"/>
      <c r="LYU285" s="1144"/>
      <c r="LYV285" s="1144"/>
      <c r="LYW285" s="1144"/>
      <c r="LYX285" s="1144"/>
      <c r="LYY285" s="1144"/>
      <c r="LYZ285" s="1144"/>
      <c r="LZA285" s="1144"/>
      <c r="LZB285" s="1144"/>
      <c r="LZC285" s="1144"/>
      <c r="LZD285" s="1144"/>
      <c r="LZE285" s="1144"/>
      <c r="LZF285" s="1144"/>
      <c r="LZG285" s="1144"/>
      <c r="LZH285" s="1144"/>
      <c r="LZI285" s="1144"/>
      <c r="LZJ285" s="1144"/>
      <c r="LZK285" s="1144"/>
      <c r="LZL285" s="1144"/>
      <c r="LZM285" s="1144"/>
      <c r="LZN285" s="1144"/>
      <c r="LZO285" s="1144"/>
      <c r="LZP285" s="1144"/>
      <c r="LZQ285" s="1144"/>
      <c r="LZR285" s="1144"/>
      <c r="LZS285" s="1144"/>
      <c r="LZT285" s="1144"/>
      <c r="LZU285" s="1144"/>
      <c r="LZV285" s="1144"/>
      <c r="LZW285" s="1144"/>
      <c r="LZX285" s="1144"/>
      <c r="LZY285" s="1144"/>
      <c r="LZZ285" s="1144"/>
      <c r="MAA285" s="1144"/>
      <c r="MAB285" s="1144"/>
      <c r="MAC285" s="1144"/>
      <c r="MAD285" s="1144"/>
      <c r="MAE285" s="1144"/>
      <c r="MAF285" s="1144"/>
      <c r="MAG285" s="1144"/>
      <c r="MAH285" s="1144"/>
      <c r="MAI285" s="1144"/>
      <c r="MAJ285" s="1144"/>
      <c r="MAK285" s="1144"/>
      <c r="MAL285" s="1144"/>
      <c r="MAM285" s="1144"/>
      <c r="MAN285" s="1144"/>
      <c r="MAO285" s="1144"/>
      <c r="MAP285" s="1144"/>
      <c r="MAQ285" s="1144"/>
      <c r="MAR285" s="1144"/>
      <c r="MAS285" s="1144"/>
      <c r="MAT285" s="1144"/>
      <c r="MAU285" s="1144"/>
      <c r="MAV285" s="1144"/>
      <c r="MAW285" s="1144"/>
      <c r="MAX285" s="1144"/>
      <c r="MAY285" s="1144"/>
      <c r="MAZ285" s="1144"/>
      <c r="MBA285" s="1144"/>
      <c r="MBB285" s="1144"/>
      <c r="MBC285" s="1144"/>
      <c r="MBD285" s="1144"/>
      <c r="MBE285" s="1144"/>
      <c r="MBF285" s="1144"/>
      <c r="MBG285" s="1144"/>
      <c r="MBH285" s="1144"/>
      <c r="MBI285" s="1144"/>
      <c r="MBJ285" s="1144"/>
      <c r="MBK285" s="1144"/>
      <c r="MBL285" s="1144"/>
      <c r="MBM285" s="1144"/>
      <c r="MBN285" s="1144"/>
      <c r="MBO285" s="1144"/>
      <c r="MBP285" s="1144"/>
      <c r="MBQ285" s="1144"/>
      <c r="MBR285" s="1144"/>
      <c r="MBS285" s="1144"/>
      <c r="MBT285" s="1144"/>
      <c r="MBU285" s="1144"/>
      <c r="MBV285" s="1144"/>
      <c r="MBW285" s="1144"/>
      <c r="MBX285" s="1144"/>
      <c r="MBY285" s="1144"/>
      <c r="MBZ285" s="1144"/>
      <c r="MCA285" s="1144"/>
      <c r="MCB285" s="1144"/>
      <c r="MCC285" s="1144"/>
      <c r="MCD285" s="1144"/>
      <c r="MCE285" s="1144"/>
      <c r="MCF285" s="1144"/>
      <c r="MCG285" s="1144"/>
      <c r="MCH285" s="1144"/>
      <c r="MCI285" s="1144"/>
      <c r="MCJ285" s="1144"/>
      <c r="MCK285" s="1144"/>
      <c r="MCL285" s="1144"/>
      <c r="MCM285" s="1144"/>
      <c r="MCN285" s="1144"/>
      <c r="MCO285" s="1144"/>
      <c r="MCP285" s="1144"/>
      <c r="MCQ285" s="1144"/>
      <c r="MCR285" s="1144"/>
      <c r="MCS285" s="1144"/>
      <c r="MCT285" s="1144"/>
      <c r="MCU285" s="1144"/>
      <c r="MCV285" s="1144"/>
      <c r="MCW285" s="1144"/>
      <c r="MCX285" s="1144"/>
      <c r="MCY285" s="1144"/>
      <c r="MCZ285" s="1144"/>
      <c r="MDA285" s="1144"/>
      <c r="MDB285" s="1144"/>
      <c r="MDC285" s="1144"/>
      <c r="MDD285" s="1144"/>
      <c r="MDE285" s="1144"/>
      <c r="MDF285" s="1144"/>
      <c r="MDG285" s="1144"/>
      <c r="MDH285" s="1144"/>
      <c r="MDI285" s="1144"/>
      <c r="MDJ285" s="1144"/>
      <c r="MDK285" s="1144"/>
      <c r="MDL285" s="1144"/>
      <c r="MDM285" s="1144"/>
      <c r="MDN285" s="1144"/>
      <c r="MDO285" s="1144"/>
      <c r="MDP285" s="1144"/>
      <c r="MDQ285" s="1144"/>
      <c r="MDR285" s="1144"/>
      <c r="MDS285" s="1144"/>
      <c r="MDT285" s="1144"/>
      <c r="MDU285" s="1144"/>
      <c r="MDV285" s="1144"/>
      <c r="MDW285" s="1144"/>
      <c r="MDX285" s="1144"/>
      <c r="MDY285" s="1144"/>
      <c r="MDZ285" s="1144"/>
      <c r="MEA285" s="1144"/>
      <c r="MEB285" s="1144"/>
      <c r="MEC285" s="1144"/>
      <c r="MED285" s="1144"/>
      <c r="MEE285" s="1144"/>
      <c r="MEF285" s="1144"/>
      <c r="MEG285" s="1144"/>
      <c r="MEH285" s="1144"/>
      <c r="MEI285" s="1144"/>
      <c r="MEJ285" s="1144"/>
      <c r="MEK285" s="1144"/>
      <c r="MEL285" s="1144"/>
      <c r="MEM285" s="1144"/>
      <c r="MEN285" s="1144"/>
      <c r="MEO285" s="1144"/>
      <c r="MEP285" s="1144"/>
      <c r="MEQ285" s="1144"/>
      <c r="MER285" s="1144"/>
      <c r="MES285" s="1144"/>
      <c r="MET285" s="1144"/>
      <c r="MEU285" s="1144"/>
      <c r="MEV285" s="1144"/>
      <c r="MEW285" s="1144"/>
      <c r="MEX285" s="1144"/>
      <c r="MEY285" s="1144"/>
      <c r="MEZ285" s="1144"/>
      <c r="MFA285" s="1144"/>
      <c r="MFB285" s="1144"/>
      <c r="MFC285" s="1144"/>
      <c r="MFD285" s="1144"/>
      <c r="MFE285" s="1144"/>
      <c r="MFF285" s="1144"/>
      <c r="MFG285" s="1144"/>
      <c r="MFH285" s="1144"/>
      <c r="MFI285" s="1144"/>
      <c r="MFJ285" s="1144"/>
      <c r="MFK285" s="1144"/>
      <c r="MFL285" s="1144"/>
      <c r="MFM285" s="1144"/>
      <c r="MFN285" s="1144"/>
      <c r="MFO285" s="1144"/>
      <c r="MFP285" s="1144"/>
      <c r="MFQ285" s="1144"/>
      <c r="MFR285" s="1144"/>
      <c r="MFS285" s="1144"/>
      <c r="MFT285" s="1144"/>
      <c r="MFU285" s="1144"/>
      <c r="MFV285" s="1144"/>
      <c r="MFW285" s="1144"/>
      <c r="MFX285" s="1144"/>
      <c r="MFY285" s="1144"/>
      <c r="MFZ285" s="1144"/>
      <c r="MGA285" s="1144"/>
      <c r="MGB285" s="1144"/>
      <c r="MGC285" s="1144"/>
      <c r="MGD285" s="1144"/>
      <c r="MGE285" s="1144"/>
      <c r="MGF285" s="1144"/>
      <c r="MGG285" s="1144"/>
      <c r="MGH285" s="1144"/>
      <c r="MGI285" s="1144"/>
      <c r="MGJ285" s="1144"/>
      <c r="MGK285" s="1144"/>
      <c r="MGL285" s="1144"/>
      <c r="MGM285" s="1144"/>
      <c r="MGN285" s="1144"/>
      <c r="MGO285" s="1144"/>
      <c r="MGP285" s="1144"/>
      <c r="MGQ285" s="1144"/>
      <c r="MGR285" s="1144"/>
      <c r="MGS285" s="1144"/>
      <c r="MGT285" s="1144"/>
      <c r="MGU285" s="1144"/>
      <c r="MGV285" s="1144"/>
      <c r="MGW285" s="1144"/>
      <c r="MGX285" s="1144"/>
      <c r="MGY285" s="1144"/>
      <c r="MGZ285" s="1144"/>
      <c r="MHA285" s="1144"/>
      <c r="MHB285" s="1144"/>
      <c r="MHC285" s="1144"/>
      <c r="MHD285" s="1144"/>
      <c r="MHE285" s="1144"/>
      <c r="MHF285" s="1144"/>
      <c r="MHG285" s="1144"/>
      <c r="MHH285" s="1144"/>
      <c r="MHI285" s="1144"/>
      <c r="MHJ285" s="1144"/>
      <c r="MHK285" s="1144"/>
      <c r="MHL285" s="1144"/>
      <c r="MHM285" s="1144"/>
      <c r="MHN285" s="1144"/>
      <c r="MHO285" s="1144"/>
      <c r="MHP285" s="1144"/>
      <c r="MHQ285" s="1144"/>
      <c r="MHR285" s="1144"/>
      <c r="MHS285" s="1144"/>
      <c r="MHT285" s="1144"/>
      <c r="MHU285" s="1144"/>
      <c r="MHV285" s="1144"/>
      <c r="MHW285" s="1144"/>
      <c r="MHX285" s="1144"/>
      <c r="MHY285" s="1144"/>
      <c r="MHZ285" s="1144"/>
      <c r="MIA285" s="1144"/>
      <c r="MIB285" s="1144"/>
      <c r="MIC285" s="1144"/>
      <c r="MID285" s="1144"/>
      <c r="MIE285" s="1144"/>
      <c r="MIF285" s="1144"/>
      <c r="MIG285" s="1144"/>
      <c r="MIH285" s="1144"/>
      <c r="MII285" s="1144"/>
      <c r="MIJ285" s="1144"/>
      <c r="MIK285" s="1144"/>
      <c r="MIL285" s="1144"/>
      <c r="MIM285" s="1144"/>
      <c r="MIN285" s="1144"/>
      <c r="MIO285" s="1144"/>
      <c r="MIP285" s="1144"/>
      <c r="MIQ285" s="1144"/>
      <c r="MIR285" s="1144"/>
      <c r="MIS285" s="1144"/>
      <c r="MIT285" s="1144"/>
      <c r="MIU285" s="1144"/>
      <c r="MIV285" s="1144"/>
      <c r="MIW285" s="1144"/>
      <c r="MIX285" s="1144"/>
      <c r="MIY285" s="1144"/>
      <c r="MIZ285" s="1144"/>
      <c r="MJA285" s="1144"/>
      <c r="MJB285" s="1144"/>
      <c r="MJC285" s="1144"/>
      <c r="MJD285" s="1144"/>
      <c r="MJE285" s="1144"/>
      <c r="MJF285" s="1144"/>
      <c r="MJG285" s="1144"/>
      <c r="MJH285" s="1144"/>
      <c r="MJI285" s="1144"/>
      <c r="MJJ285" s="1144"/>
      <c r="MJK285" s="1144"/>
      <c r="MJL285" s="1144"/>
      <c r="MJM285" s="1144"/>
      <c r="MJN285" s="1144"/>
      <c r="MJO285" s="1144"/>
      <c r="MJP285" s="1144"/>
      <c r="MJQ285" s="1144"/>
      <c r="MJR285" s="1144"/>
      <c r="MJS285" s="1144"/>
      <c r="MJT285" s="1144"/>
      <c r="MJU285" s="1144"/>
      <c r="MJV285" s="1144"/>
      <c r="MJW285" s="1144"/>
      <c r="MJX285" s="1144"/>
      <c r="MJY285" s="1144"/>
      <c r="MJZ285" s="1144"/>
      <c r="MKA285" s="1144"/>
      <c r="MKB285" s="1144"/>
      <c r="MKC285" s="1144"/>
      <c r="MKD285" s="1144"/>
      <c r="MKE285" s="1144"/>
      <c r="MKF285" s="1144"/>
      <c r="MKG285" s="1144"/>
      <c r="MKH285" s="1144"/>
      <c r="MKI285" s="1144"/>
      <c r="MKJ285" s="1144"/>
      <c r="MKK285" s="1144"/>
      <c r="MKL285" s="1144"/>
      <c r="MKM285" s="1144"/>
      <c r="MKN285" s="1144"/>
      <c r="MKO285" s="1144"/>
      <c r="MKP285" s="1144"/>
      <c r="MKQ285" s="1144"/>
      <c r="MKR285" s="1144"/>
      <c r="MKS285" s="1144"/>
      <c r="MKT285" s="1144"/>
      <c r="MKU285" s="1144"/>
      <c r="MKV285" s="1144"/>
      <c r="MKW285" s="1144"/>
      <c r="MKX285" s="1144"/>
      <c r="MKY285" s="1144"/>
      <c r="MKZ285" s="1144"/>
      <c r="MLA285" s="1144"/>
      <c r="MLB285" s="1144"/>
      <c r="MLC285" s="1144"/>
      <c r="MLD285" s="1144"/>
      <c r="MLE285" s="1144"/>
      <c r="MLF285" s="1144"/>
      <c r="MLG285" s="1144"/>
      <c r="MLH285" s="1144"/>
      <c r="MLI285" s="1144"/>
      <c r="MLJ285" s="1144"/>
      <c r="MLK285" s="1144"/>
      <c r="MLL285" s="1144"/>
      <c r="MLM285" s="1144"/>
      <c r="MLN285" s="1144"/>
      <c r="MLO285" s="1144"/>
      <c r="MLP285" s="1144"/>
      <c r="MLQ285" s="1144"/>
      <c r="MLR285" s="1144"/>
      <c r="MLS285" s="1144"/>
      <c r="MLT285" s="1144"/>
      <c r="MLU285" s="1144"/>
      <c r="MLV285" s="1144"/>
      <c r="MLW285" s="1144"/>
      <c r="MLX285" s="1144"/>
      <c r="MLY285" s="1144"/>
      <c r="MLZ285" s="1144"/>
      <c r="MMA285" s="1144"/>
      <c r="MMB285" s="1144"/>
      <c r="MMC285" s="1144"/>
      <c r="MMD285" s="1144"/>
      <c r="MME285" s="1144"/>
      <c r="MMF285" s="1144"/>
      <c r="MMG285" s="1144"/>
      <c r="MMH285" s="1144"/>
      <c r="MMI285" s="1144"/>
      <c r="MMJ285" s="1144"/>
      <c r="MMK285" s="1144"/>
      <c r="MML285" s="1144"/>
      <c r="MMM285" s="1144"/>
      <c r="MMN285" s="1144"/>
      <c r="MMO285" s="1144"/>
      <c r="MMP285" s="1144"/>
      <c r="MMQ285" s="1144"/>
      <c r="MMR285" s="1144"/>
      <c r="MMS285" s="1144"/>
      <c r="MMT285" s="1144"/>
      <c r="MMU285" s="1144"/>
      <c r="MMV285" s="1144"/>
      <c r="MMW285" s="1144"/>
      <c r="MMX285" s="1144"/>
      <c r="MMY285" s="1144"/>
      <c r="MMZ285" s="1144"/>
      <c r="MNA285" s="1144"/>
      <c r="MNB285" s="1144"/>
      <c r="MNC285" s="1144"/>
      <c r="MND285" s="1144"/>
      <c r="MNE285" s="1144"/>
      <c r="MNF285" s="1144"/>
      <c r="MNG285" s="1144"/>
      <c r="MNH285" s="1144"/>
      <c r="MNI285" s="1144"/>
      <c r="MNJ285" s="1144"/>
      <c r="MNK285" s="1144"/>
      <c r="MNL285" s="1144"/>
      <c r="MNM285" s="1144"/>
      <c r="MNN285" s="1144"/>
      <c r="MNO285" s="1144"/>
      <c r="MNP285" s="1144"/>
      <c r="MNQ285" s="1144"/>
      <c r="MNR285" s="1144"/>
      <c r="MNS285" s="1144"/>
      <c r="MNT285" s="1144"/>
      <c r="MNU285" s="1144"/>
      <c r="MNV285" s="1144"/>
      <c r="MNW285" s="1144"/>
      <c r="MNX285" s="1144"/>
      <c r="MNY285" s="1144"/>
      <c r="MNZ285" s="1144"/>
      <c r="MOA285" s="1144"/>
      <c r="MOB285" s="1144"/>
      <c r="MOC285" s="1144"/>
      <c r="MOD285" s="1144"/>
      <c r="MOE285" s="1144"/>
      <c r="MOF285" s="1144"/>
      <c r="MOG285" s="1144"/>
      <c r="MOH285" s="1144"/>
      <c r="MOI285" s="1144"/>
      <c r="MOJ285" s="1144"/>
      <c r="MOK285" s="1144"/>
      <c r="MOL285" s="1144"/>
      <c r="MOM285" s="1144"/>
      <c r="MON285" s="1144"/>
      <c r="MOO285" s="1144"/>
      <c r="MOP285" s="1144"/>
      <c r="MOQ285" s="1144"/>
      <c r="MOR285" s="1144"/>
      <c r="MOS285" s="1144"/>
      <c r="MOT285" s="1144"/>
      <c r="MOU285" s="1144"/>
      <c r="MOV285" s="1144"/>
      <c r="MOW285" s="1144"/>
      <c r="MOX285" s="1144"/>
      <c r="MOY285" s="1144"/>
      <c r="MOZ285" s="1144"/>
      <c r="MPA285" s="1144"/>
      <c r="MPB285" s="1144"/>
      <c r="MPC285" s="1144"/>
      <c r="MPD285" s="1144"/>
      <c r="MPE285" s="1144"/>
      <c r="MPF285" s="1144"/>
      <c r="MPG285" s="1144"/>
      <c r="MPH285" s="1144"/>
      <c r="MPI285" s="1144"/>
      <c r="MPJ285" s="1144"/>
      <c r="MPK285" s="1144"/>
      <c r="MPL285" s="1144"/>
      <c r="MPM285" s="1144"/>
      <c r="MPN285" s="1144"/>
      <c r="MPO285" s="1144"/>
      <c r="MPP285" s="1144"/>
      <c r="MPQ285" s="1144"/>
      <c r="MPR285" s="1144"/>
      <c r="MPS285" s="1144"/>
      <c r="MPT285" s="1144"/>
      <c r="MPU285" s="1144"/>
      <c r="MPV285" s="1144"/>
      <c r="MPW285" s="1144"/>
      <c r="MPX285" s="1144"/>
      <c r="MPY285" s="1144"/>
      <c r="MPZ285" s="1144"/>
      <c r="MQA285" s="1144"/>
      <c r="MQB285" s="1144"/>
      <c r="MQC285" s="1144"/>
      <c r="MQD285" s="1144"/>
      <c r="MQE285" s="1144"/>
      <c r="MQF285" s="1144"/>
      <c r="MQG285" s="1144"/>
      <c r="MQH285" s="1144"/>
      <c r="MQI285" s="1144"/>
      <c r="MQJ285" s="1144"/>
      <c r="MQK285" s="1144"/>
      <c r="MQL285" s="1144"/>
      <c r="MQM285" s="1144"/>
      <c r="MQN285" s="1144"/>
      <c r="MQO285" s="1144"/>
      <c r="MQP285" s="1144"/>
      <c r="MQQ285" s="1144"/>
      <c r="MQR285" s="1144"/>
      <c r="MQS285" s="1144"/>
      <c r="MQT285" s="1144"/>
      <c r="MQU285" s="1144"/>
      <c r="MQV285" s="1144"/>
      <c r="MQW285" s="1144"/>
      <c r="MQX285" s="1144"/>
      <c r="MQY285" s="1144"/>
      <c r="MQZ285" s="1144"/>
      <c r="MRA285" s="1144"/>
      <c r="MRB285" s="1144"/>
      <c r="MRC285" s="1144"/>
      <c r="MRD285" s="1144"/>
      <c r="MRE285" s="1144"/>
      <c r="MRF285" s="1144"/>
      <c r="MRG285" s="1144"/>
      <c r="MRH285" s="1144"/>
      <c r="MRI285" s="1144"/>
      <c r="MRJ285" s="1144"/>
      <c r="MRK285" s="1144"/>
      <c r="MRL285" s="1144"/>
      <c r="MRM285" s="1144"/>
      <c r="MRN285" s="1144"/>
      <c r="MRO285" s="1144"/>
      <c r="MRP285" s="1144"/>
      <c r="MRQ285" s="1144"/>
      <c r="MRR285" s="1144"/>
      <c r="MRS285" s="1144"/>
      <c r="MRT285" s="1144"/>
      <c r="MRU285" s="1144"/>
      <c r="MRV285" s="1144"/>
      <c r="MRW285" s="1144"/>
      <c r="MRX285" s="1144"/>
      <c r="MRY285" s="1144"/>
      <c r="MRZ285" s="1144"/>
      <c r="MSA285" s="1144"/>
      <c r="MSB285" s="1144"/>
      <c r="MSC285" s="1144"/>
      <c r="MSD285" s="1144"/>
      <c r="MSE285" s="1144"/>
      <c r="MSF285" s="1144"/>
      <c r="MSG285" s="1144"/>
      <c r="MSH285" s="1144"/>
      <c r="MSI285" s="1144"/>
      <c r="MSJ285" s="1144"/>
      <c r="MSK285" s="1144"/>
      <c r="MSL285" s="1144"/>
      <c r="MSM285" s="1144"/>
      <c r="MSN285" s="1144"/>
      <c r="MSO285" s="1144"/>
      <c r="MSP285" s="1144"/>
      <c r="MSQ285" s="1144"/>
      <c r="MSR285" s="1144"/>
      <c r="MSS285" s="1144"/>
      <c r="MST285" s="1144"/>
      <c r="MSU285" s="1144"/>
      <c r="MSV285" s="1144"/>
      <c r="MSW285" s="1144"/>
      <c r="MSX285" s="1144"/>
      <c r="MSY285" s="1144"/>
      <c r="MSZ285" s="1144"/>
      <c r="MTA285" s="1144"/>
      <c r="MTB285" s="1144"/>
      <c r="MTC285" s="1144"/>
      <c r="MTD285" s="1144"/>
      <c r="MTE285" s="1144"/>
      <c r="MTF285" s="1144"/>
      <c r="MTG285" s="1144"/>
      <c r="MTH285" s="1144"/>
      <c r="MTI285" s="1144"/>
      <c r="MTJ285" s="1144"/>
      <c r="MTK285" s="1144"/>
      <c r="MTL285" s="1144"/>
      <c r="MTM285" s="1144"/>
      <c r="MTN285" s="1144"/>
      <c r="MTO285" s="1144"/>
      <c r="MTP285" s="1144"/>
      <c r="MTQ285" s="1144"/>
      <c r="MTR285" s="1144"/>
      <c r="MTS285" s="1144"/>
      <c r="MTT285" s="1144"/>
      <c r="MTU285" s="1144"/>
      <c r="MTV285" s="1144"/>
      <c r="MTW285" s="1144"/>
      <c r="MTX285" s="1144"/>
      <c r="MTY285" s="1144"/>
      <c r="MTZ285" s="1144"/>
      <c r="MUA285" s="1144"/>
      <c r="MUB285" s="1144"/>
      <c r="MUC285" s="1144"/>
      <c r="MUD285" s="1144"/>
      <c r="MUE285" s="1144"/>
      <c r="MUF285" s="1144"/>
      <c r="MUG285" s="1144"/>
      <c r="MUH285" s="1144"/>
      <c r="MUI285" s="1144"/>
      <c r="MUJ285" s="1144"/>
      <c r="MUK285" s="1144"/>
      <c r="MUL285" s="1144"/>
      <c r="MUM285" s="1144"/>
      <c r="MUN285" s="1144"/>
      <c r="MUO285" s="1144"/>
      <c r="MUP285" s="1144"/>
      <c r="MUQ285" s="1144"/>
      <c r="MUR285" s="1144"/>
      <c r="MUS285" s="1144"/>
      <c r="MUT285" s="1144"/>
      <c r="MUU285" s="1144"/>
      <c r="MUV285" s="1144"/>
      <c r="MUW285" s="1144"/>
      <c r="MUX285" s="1144"/>
      <c r="MUY285" s="1144"/>
      <c r="MUZ285" s="1144"/>
      <c r="MVA285" s="1144"/>
      <c r="MVB285" s="1144"/>
      <c r="MVC285" s="1144"/>
      <c r="MVD285" s="1144"/>
      <c r="MVE285" s="1144"/>
      <c r="MVF285" s="1144"/>
      <c r="MVG285" s="1144"/>
      <c r="MVH285" s="1144"/>
      <c r="MVI285" s="1144"/>
      <c r="MVJ285" s="1144"/>
      <c r="MVK285" s="1144"/>
      <c r="MVL285" s="1144"/>
      <c r="MVM285" s="1144"/>
      <c r="MVN285" s="1144"/>
      <c r="MVO285" s="1144"/>
      <c r="MVP285" s="1144"/>
      <c r="MVQ285" s="1144"/>
      <c r="MVR285" s="1144"/>
      <c r="MVS285" s="1144"/>
      <c r="MVT285" s="1144"/>
      <c r="MVU285" s="1144"/>
      <c r="MVV285" s="1144"/>
      <c r="MVW285" s="1144"/>
      <c r="MVX285" s="1144"/>
      <c r="MVY285" s="1144"/>
      <c r="MVZ285" s="1144"/>
      <c r="MWA285" s="1144"/>
      <c r="MWB285" s="1144"/>
      <c r="MWC285" s="1144"/>
      <c r="MWD285" s="1144"/>
      <c r="MWE285" s="1144"/>
      <c r="MWF285" s="1144"/>
      <c r="MWG285" s="1144"/>
      <c r="MWH285" s="1144"/>
      <c r="MWI285" s="1144"/>
      <c r="MWJ285" s="1144"/>
      <c r="MWK285" s="1144"/>
      <c r="MWL285" s="1144"/>
      <c r="MWM285" s="1144"/>
      <c r="MWN285" s="1144"/>
      <c r="MWO285" s="1144"/>
      <c r="MWP285" s="1144"/>
      <c r="MWQ285" s="1144"/>
      <c r="MWR285" s="1144"/>
      <c r="MWS285" s="1144"/>
      <c r="MWT285" s="1144"/>
      <c r="MWU285" s="1144"/>
      <c r="MWV285" s="1144"/>
      <c r="MWW285" s="1144"/>
      <c r="MWX285" s="1144"/>
      <c r="MWY285" s="1144"/>
      <c r="MWZ285" s="1144"/>
      <c r="MXA285" s="1144"/>
      <c r="MXB285" s="1144"/>
      <c r="MXC285" s="1144"/>
      <c r="MXD285" s="1144"/>
      <c r="MXE285" s="1144"/>
      <c r="MXF285" s="1144"/>
      <c r="MXG285" s="1144"/>
      <c r="MXH285" s="1144"/>
      <c r="MXI285" s="1144"/>
      <c r="MXJ285" s="1144"/>
      <c r="MXK285" s="1144"/>
      <c r="MXL285" s="1144"/>
      <c r="MXM285" s="1144"/>
      <c r="MXN285" s="1144"/>
      <c r="MXO285" s="1144"/>
      <c r="MXP285" s="1144"/>
      <c r="MXQ285" s="1144"/>
      <c r="MXR285" s="1144"/>
      <c r="MXS285" s="1144"/>
      <c r="MXT285" s="1144"/>
      <c r="MXU285" s="1144"/>
      <c r="MXV285" s="1144"/>
      <c r="MXW285" s="1144"/>
      <c r="MXX285" s="1144"/>
      <c r="MXY285" s="1144"/>
      <c r="MXZ285" s="1144"/>
      <c r="MYA285" s="1144"/>
      <c r="MYB285" s="1144"/>
      <c r="MYC285" s="1144"/>
      <c r="MYD285" s="1144"/>
      <c r="MYE285" s="1144"/>
      <c r="MYF285" s="1144"/>
      <c r="MYG285" s="1144"/>
      <c r="MYH285" s="1144"/>
      <c r="MYI285" s="1144"/>
      <c r="MYJ285" s="1144"/>
      <c r="MYK285" s="1144"/>
      <c r="MYL285" s="1144"/>
      <c r="MYM285" s="1144"/>
      <c r="MYN285" s="1144"/>
      <c r="MYO285" s="1144"/>
      <c r="MYP285" s="1144"/>
      <c r="MYQ285" s="1144"/>
      <c r="MYR285" s="1144"/>
      <c r="MYS285" s="1144"/>
      <c r="MYT285" s="1144"/>
      <c r="MYU285" s="1144"/>
      <c r="MYV285" s="1144"/>
      <c r="MYW285" s="1144"/>
      <c r="MYX285" s="1144"/>
      <c r="MYY285" s="1144"/>
      <c r="MYZ285" s="1144"/>
      <c r="MZA285" s="1144"/>
      <c r="MZB285" s="1144"/>
      <c r="MZC285" s="1144"/>
      <c r="MZD285" s="1144"/>
      <c r="MZE285" s="1144"/>
      <c r="MZF285" s="1144"/>
      <c r="MZG285" s="1144"/>
      <c r="MZH285" s="1144"/>
      <c r="MZI285" s="1144"/>
      <c r="MZJ285" s="1144"/>
      <c r="MZK285" s="1144"/>
      <c r="MZL285" s="1144"/>
      <c r="MZM285" s="1144"/>
      <c r="MZN285" s="1144"/>
      <c r="MZO285" s="1144"/>
      <c r="MZP285" s="1144"/>
      <c r="MZQ285" s="1144"/>
      <c r="MZR285" s="1144"/>
      <c r="MZS285" s="1144"/>
      <c r="MZT285" s="1144"/>
      <c r="MZU285" s="1144"/>
      <c r="MZV285" s="1144"/>
      <c r="MZW285" s="1144"/>
      <c r="MZX285" s="1144"/>
      <c r="MZY285" s="1144"/>
      <c r="MZZ285" s="1144"/>
      <c r="NAA285" s="1144"/>
      <c r="NAB285" s="1144"/>
      <c r="NAC285" s="1144"/>
      <c r="NAD285" s="1144"/>
      <c r="NAE285" s="1144"/>
      <c r="NAF285" s="1144"/>
      <c r="NAG285" s="1144"/>
      <c r="NAH285" s="1144"/>
      <c r="NAI285" s="1144"/>
      <c r="NAJ285" s="1144"/>
      <c r="NAK285" s="1144"/>
      <c r="NAL285" s="1144"/>
      <c r="NAM285" s="1144"/>
      <c r="NAN285" s="1144"/>
      <c r="NAO285" s="1144"/>
      <c r="NAP285" s="1144"/>
      <c r="NAQ285" s="1144"/>
      <c r="NAR285" s="1144"/>
      <c r="NAS285" s="1144"/>
      <c r="NAT285" s="1144"/>
      <c r="NAU285" s="1144"/>
      <c r="NAV285" s="1144"/>
      <c r="NAW285" s="1144"/>
      <c r="NAX285" s="1144"/>
      <c r="NAY285" s="1144"/>
      <c r="NAZ285" s="1144"/>
      <c r="NBA285" s="1144"/>
      <c r="NBB285" s="1144"/>
      <c r="NBC285" s="1144"/>
      <c r="NBD285" s="1144"/>
      <c r="NBE285" s="1144"/>
      <c r="NBF285" s="1144"/>
      <c r="NBG285" s="1144"/>
      <c r="NBH285" s="1144"/>
      <c r="NBI285" s="1144"/>
      <c r="NBJ285" s="1144"/>
      <c r="NBK285" s="1144"/>
      <c r="NBL285" s="1144"/>
      <c r="NBM285" s="1144"/>
      <c r="NBN285" s="1144"/>
      <c r="NBO285" s="1144"/>
      <c r="NBP285" s="1144"/>
      <c r="NBQ285" s="1144"/>
      <c r="NBR285" s="1144"/>
      <c r="NBS285" s="1144"/>
      <c r="NBT285" s="1144"/>
      <c r="NBU285" s="1144"/>
      <c r="NBV285" s="1144"/>
      <c r="NBW285" s="1144"/>
      <c r="NBX285" s="1144"/>
      <c r="NBY285" s="1144"/>
      <c r="NBZ285" s="1144"/>
      <c r="NCA285" s="1144"/>
      <c r="NCB285" s="1144"/>
      <c r="NCC285" s="1144"/>
      <c r="NCD285" s="1144"/>
      <c r="NCE285" s="1144"/>
      <c r="NCF285" s="1144"/>
      <c r="NCG285" s="1144"/>
      <c r="NCH285" s="1144"/>
      <c r="NCI285" s="1144"/>
      <c r="NCJ285" s="1144"/>
      <c r="NCK285" s="1144"/>
      <c r="NCL285" s="1144"/>
      <c r="NCM285" s="1144"/>
      <c r="NCN285" s="1144"/>
      <c r="NCO285" s="1144"/>
      <c r="NCP285" s="1144"/>
      <c r="NCQ285" s="1144"/>
      <c r="NCR285" s="1144"/>
      <c r="NCS285" s="1144"/>
      <c r="NCT285" s="1144"/>
      <c r="NCU285" s="1144"/>
      <c r="NCV285" s="1144"/>
      <c r="NCW285" s="1144"/>
      <c r="NCX285" s="1144"/>
      <c r="NCY285" s="1144"/>
      <c r="NCZ285" s="1144"/>
      <c r="NDA285" s="1144"/>
      <c r="NDB285" s="1144"/>
      <c r="NDC285" s="1144"/>
      <c r="NDD285" s="1144"/>
      <c r="NDE285" s="1144"/>
      <c r="NDF285" s="1144"/>
      <c r="NDG285" s="1144"/>
      <c r="NDH285" s="1144"/>
      <c r="NDI285" s="1144"/>
      <c r="NDJ285" s="1144"/>
      <c r="NDK285" s="1144"/>
      <c r="NDL285" s="1144"/>
      <c r="NDM285" s="1144"/>
      <c r="NDN285" s="1144"/>
      <c r="NDO285" s="1144"/>
      <c r="NDP285" s="1144"/>
      <c r="NDQ285" s="1144"/>
      <c r="NDR285" s="1144"/>
      <c r="NDS285" s="1144"/>
      <c r="NDT285" s="1144"/>
      <c r="NDU285" s="1144"/>
      <c r="NDV285" s="1144"/>
      <c r="NDW285" s="1144"/>
      <c r="NDX285" s="1144"/>
      <c r="NDY285" s="1144"/>
      <c r="NDZ285" s="1144"/>
      <c r="NEA285" s="1144"/>
      <c r="NEB285" s="1144"/>
      <c r="NEC285" s="1144"/>
      <c r="NED285" s="1144"/>
      <c r="NEE285" s="1144"/>
      <c r="NEF285" s="1144"/>
      <c r="NEG285" s="1144"/>
      <c r="NEH285" s="1144"/>
      <c r="NEI285" s="1144"/>
      <c r="NEJ285" s="1144"/>
      <c r="NEK285" s="1144"/>
      <c r="NEL285" s="1144"/>
      <c r="NEM285" s="1144"/>
      <c r="NEN285" s="1144"/>
      <c r="NEO285" s="1144"/>
      <c r="NEP285" s="1144"/>
      <c r="NEQ285" s="1144"/>
      <c r="NER285" s="1144"/>
      <c r="NES285" s="1144"/>
      <c r="NET285" s="1144"/>
      <c r="NEU285" s="1144"/>
      <c r="NEV285" s="1144"/>
      <c r="NEW285" s="1144"/>
      <c r="NEX285" s="1144"/>
      <c r="NEY285" s="1144"/>
      <c r="NEZ285" s="1144"/>
      <c r="NFA285" s="1144"/>
      <c r="NFB285" s="1144"/>
      <c r="NFC285" s="1144"/>
      <c r="NFD285" s="1144"/>
      <c r="NFE285" s="1144"/>
      <c r="NFF285" s="1144"/>
      <c r="NFG285" s="1144"/>
      <c r="NFH285" s="1144"/>
      <c r="NFI285" s="1144"/>
      <c r="NFJ285" s="1144"/>
      <c r="NFK285" s="1144"/>
      <c r="NFL285" s="1144"/>
      <c r="NFM285" s="1144"/>
      <c r="NFN285" s="1144"/>
      <c r="NFO285" s="1144"/>
      <c r="NFP285" s="1144"/>
      <c r="NFQ285" s="1144"/>
      <c r="NFR285" s="1144"/>
      <c r="NFS285" s="1144"/>
      <c r="NFT285" s="1144"/>
      <c r="NFU285" s="1144"/>
      <c r="NFV285" s="1144"/>
      <c r="NFW285" s="1144"/>
      <c r="NFX285" s="1144"/>
      <c r="NFY285" s="1144"/>
      <c r="NFZ285" s="1144"/>
      <c r="NGA285" s="1144"/>
      <c r="NGB285" s="1144"/>
      <c r="NGC285" s="1144"/>
      <c r="NGD285" s="1144"/>
      <c r="NGE285" s="1144"/>
      <c r="NGF285" s="1144"/>
      <c r="NGG285" s="1144"/>
      <c r="NGH285" s="1144"/>
      <c r="NGI285" s="1144"/>
      <c r="NGJ285" s="1144"/>
      <c r="NGK285" s="1144"/>
      <c r="NGL285" s="1144"/>
      <c r="NGM285" s="1144"/>
      <c r="NGN285" s="1144"/>
      <c r="NGO285" s="1144"/>
      <c r="NGP285" s="1144"/>
      <c r="NGQ285" s="1144"/>
      <c r="NGR285" s="1144"/>
      <c r="NGS285" s="1144"/>
      <c r="NGT285" s="1144"/>
      <c r="NGU285" s="1144"/>
      <c r="NGV285" s="1144"/>
      <c r="NGW285" s="1144"/>
      <c r="NGX285" s="1144"/>
      <c r="NGY285" s="1144"/>
      <c r="NGZ285" s="1144"/>
      <c r="NHA285" s="1144"/>
      <c r="NHB285" s="1144"/>
      <c r="NHC285" s="1144"/>
      <c r="NHD285" s="1144"/>
      <c r="NHE285" s="1144"/>
      <c r="NHF285" s="1144"/>
      <c r="NHG285" s="1144"/>
      <c r="NHH285" s="1144"/>
      <c r="NHI285" s="1144"/>
      <c r="NHJ285" s="1144"/>
      <c r="NHK285" s="1144"/>
      <c r="NHL285" s="1144"/>
      <c r="NHM285" s="1144"/>
      <c r="NHN285" s="1144"/>
      <c r="NHO285" s="1144"/>
      <c r="NHP285" s="1144"/>
      <c r="NHQ285" s="1144"/>
      <c r="NHR285" s="1144"/>
      <c r="NHS285" s="1144"/>
      <c r="NHT285" s="1144"/>
      <c r="NHU285" s="1144"/>
      <c r="NHV285" s="1144"/>
      <c r="NHW285" s="1144"/>
      <c r="NHX285" s="1144"/>
      <c r="NHY285" s="1144"/>
      <c r="NHZ285" s="1144"/>
      <c r="NIA285" s="1144"/>
      <c r="NIB285" s="1144"/>
      <c r="NIC285" s="1144"/>
      <c r="NID285" s="1144"/>
      <c r="NIE285" s="1144"/>
      <c r="NIF285" s="1144"/>
      <c r="NIG285" s="1144"/>
      <c r="NIH285" s="1144"/>
      <c r="NII285" s="1144"/>
      <c r="NIJ285" s="1144"/>
      <c r="NIK285" s="1144"/>
      <c r="NIL285" s="1144"/>
      <c r="NIM285" s="1144"/>
      <c r="NIN285" s="1144"/>
      <c r="NIO285" s="1144"/>
      <c r="NIP285" s="1144"/>
      <c r="NIQ285" s="1144"/>
      <c r="NIR285" s="1144"/>
      <c r="NIS285" s="1144"/>
      <c r="NIT285" s="1144"/>
      <c r="NIU285" s="1144"/>
      <c r="NIV285" s="1144"/>
      <c r="NIW285" s="1144"/>
      <c r="NIX285" s="1144"/>
      <c r="NIY285" s="1144"/>
      <c r="NIZ285" s="1144"/>
      <c r="NJA285" s="1144"/>
      <c r="NJB285" s="1144"/>
      <c r="NJC285" s="1144"/>
      <c r="NJD285" s="1144"/>
      <c r="NJE285" s="1144"/>
      <c r="NJF285" s="1144"/>
      <c r="NJG285" s="1144"/>
      <c r="NJH285" s="1144"/>
      <c r="NJI285" s="1144"/>
      <c r="NJJ285" s="1144"/>
      <c r="NJK285" s="1144"/>
      <c r="NJL285" s="1144"/>
      <c r="NJM285" s="1144"/>
      <c r="NJN285" s="1144"/>
      <c r="NJO285" s="1144"/>
      <c r="NJP285" s="1144"/>
      <c r="NJQ285" s="1144"/>
      <c r="NJR285" s="1144"/>
      <c r="NJS285" s="1144"/>
      <c r="NJT285" s="1144"/>
      <c r="NJU285" s="1144"/>
      <c r="NJV285" s="1144"/>
      <c r="NJW285" s="1144"/>
      <c r="NJX285" s="1144"/>
      <c r="NJY285" s="1144"/>
      <c r="NJZ285" s="1144"/>
      <c r="NKA285" s="1144"/>
      <c r="NKB285" s="1144"/>
      <c r="NKC285" s="1144"/>
      <c r="NKD285" s="1144"/>
      <c r="NKE285" s="1144"/>
      <c r="NKF285" s="1144"/>
      <c r="NKG285" s="1144"/>
      <c r="NKH285" s="1144"/>
      <c r="NKI285" s="1144"/>
      <c r="NKJ285" s="1144"/>
      <c r="NKK285" s="1144"/>
      <c r="NKL285" s="1144"/>
      <c r="NKM285" s="1144"/>
      <c r="NKN285" s="1144"/>
      <c r="NKO285" s="1144"/>
      <c r="NKP285" s="1144"/>
      <c r="NKQ285" s="1144"/>
      <c r="NKR285" s="1144"/>
      <c r="NKS285" s="1144"/>
      <c r="NKT285" s="1144"/>
      <c r="NKU285" s="1144"/>
      <c r="NKV285" s="1144"/>
      <c r="NKW285" s="1144"/>
      <c r="NKX285" s="1144"/>
      <c r="NKY285" s="1144"/>
      <c r="NKZ285" s="1144"/>
      <c r="NLA285" s="1144"/>
      <c r="NLB285" s="1144"/>
      <c r="NLC285" s="1144"/>
      <c r="NLD285" s="1144"/>
      <c r="NLE285" s="1144"/>
      <c r="NLF285" s="1144"/>
      <c r="NLG285" s="1144"/>
      <c r="NLH285" s="1144"/>
      <c r="NLI285" s="1144"/>
      <c r="NLJ285" s="1144"/>
      <c r="NLK285" s="1144"/>
      <c r="NLL285" s="1144"/>
      <c r="NLM285" s="1144"/>
      <c r="NLN285" s="1144"/>
      <c r="NLO285" s="1144"/>
      <c r="NLP285" s="1144"/>
      <c r="NLQ285" s="1144"/>
      <c r="NLR285" s="1144"/>
      <c r="NLS285" s="1144"/>
      <c r="NLT285" s="1144"/>
      <c r="NLU285" s="1144"/>
      <c r="NLV285" s="1144"/>
      <c r="NLW285" s="1144"/>
      <c r="NLX285" s="1144"/>
      <c r="NLY285" s="1144"/>
      <c r="NLZ285" s="1144"/>
      <c r="NMA285" s="1144"/>
      <c r="NMB285" s="1144"/>
      <c r="NMC285" s="1144"/>
      <c r="NMD285" s="1144"/>
      <c r="NME285" s="1144"/>
      <c r="NMF285" s="1144"/>
      <c r="NMG285" s="1144"/>
      <c r="NMH285" s="1144"/>
      <c r="NMI285" s="1144"/>
      <c r="NMJ285" s="1144"/>
      <c r="NMK285" s="1144"/>
      <c r="NML285" s="1144"/>
      <c r="NMM285" s="1144"/>
      <c r="NMN285" s="1144"/>
      <c r="NMO285" s="1144"/>
      <c r="NMP285" s="1144"/>
      <c r="NMQ285" s="1144"/>
      <c r="NMR285" s="1144"/>
      <c r="NMS285" s="1144"/>
      <c r="NMT285" s="1144"/>
      <c r="NMU285" s="1144"/>
      <c r="NMV285" s="1144"/>
      <c r="NMW285" s="1144"/>
      <c r="NMX285" s="1144"/>
      <c r="NMY285" s="1144"/>
      <c r="NMZ285" s="1144"/>
      <c r="NNA285" s="1144"/>
      <c r="NNB285" s="1144"/>
      <c r="NNC285" s="1144"/>
      <c r="NND285" s="1144"/>
      <c r="NNE285" s="1144"/>
      <c r="NNF285" s="1144"/>
      <c r="NNG285" s="1144"/>
      <c r="NNH285" s="1144"/>
      <c r="NNI285" s="1144"/>
      <c r="NNJ285" s="1144"/>
      <c r="NNK285" s="1144"/>
      <c r="NNL285" s="1144"/>
      <c r="NNM285" s="1144"/>
      <c r="NNN285" s="1144"/>
      <c r="NNO285" s="1144"/>
      <c r="NNP285" s="1144"/>
      <c r="NNQ285" s="1144"/>
      <c r="NNR285" s="1144"/>
      <c r="NNS285" s="1144"/>
      <c r="NNT285" s="1144"/>
      <c r="NNU285" s="1144"/>
      <c r="NNV285" s="1144"/>
      <c r="NNW285" s="1144"/>
      <c r="NNX285" s="1144"/>
      <c r="NNY285" s="1144"/>
      <c r="NNZ285" s="1144"/>
      <c r="NOA285" s="1144"/>
      <c r="NOB285" s="1144"/>
      <c r="NOC285" s="1144"/>
      <c r="NOD285" s="1144"/>
      <c r="NOE285" s="1144"/>
      <c r="NOF285" s="1144"/>
      <c r="NOG285" s="1144"/>
      <c r="NOH285" s="1144"/>
      <c r="NOI285" s="1144"/>
      <c r="NOJ285" s="1144"/>
      <c r="NOK285" s="1144"/>
      <c r="NOL285" s="1144"/>
      <c r="NOM285" s="1144"/>
      <c r="NON285" s="1144"/>
      <c r="NOO285" s="1144"/>
      <c r="NOP285" s="1144"/>
      <c r="NOQ285" s="1144"/>
      <c r="NOR285" s="1144"/>
      <c r="NOS285" s="1144"/>
      <c r="NOT285" s="1144"/>
      <c r="NOU285" s="1144"/>
      <c r="NOV285" s="1144"/>
      <c r="NOW285" s="1144"/>
      <c r="NOX285" s="1144"/>
      <c r="NOY285" s="1144"/>
      <c r="NOZ285" s="1144"/>
      <c r="NPA285" s="1144"/>
      <c r="NPB285" s="1144"/>
      <c r="NPC285" s="1144"/>
      <c r="NPD285" s="1144"/>
      <c r="NPE285" s="1144"/>
      <c r="NPF285" s="1144"/>
      <c r="NPG285" s="1144"/>
      <c r="NPH285" s="1144"/>
      <c r="NPI285" s="1144"/>
      <c r="NPJ285" s="1144"/>
      <c r="NPK285" s="1144"/>
      <c r="NPL285" s="1144"/>
      <c r="NPM285" s="1144"/>
      <c r="NPN285" s="1144"/>
      <c r="NPO285" s="1144"/>
      <c r="NPP285" s="1144"/>
      <c r="NPQ285" s="1144"/>
      <c r="NPR285" s="1144"/>
      <c r="NPS285" s="1144"/>
      <c r="NPT285" s="1144"/>
      <c r="NPU285" s="1144"/>
      <c r="NPV285" s="1144"/>
      <c r="NPW285" s="1144"/>
      <c r="NPX285" s="1144"/>
      <c r="NPY285" s="1144"/>
      <c r="NPZ285" s="1144"/>
      <c r="NQA285" s="1144"/>
      <c r="NQB285" s="1144"/>
      <c r="NQC285" s="1144"/>
      <c r="NQD285" s="1144"/>
      <c r="NQE285" s="1144"/>
      <c r="NQF285" s="1144"/>
      <c r="NQG285" s="1144"/>
      <c r="NQH285" s="1144"/>
      <c r="NQI285" s="1144"/>
      <c r="NQJ285" s="1144"/>
      <c r="NQK285" s="1144"/>
      <c r="NQL285" s="1144"/>
      <c r="NQM285" s="1144"/>
      <c r="NQN285" s="1144"/>
      <c r="NQO285" s="1144"/>
      <c r="NQP285" s="1144"/>
      <c r="NQQ285" s="1144"/>
      <c r="NQR285" s="1144"/>
      <c r="NQS285" s="1144"/>
      <c r="NQT285" s="1144"/>
      <c r="NQU285" s="1144"/>
      <c r="NQV285" s="1144"/>
      <c r="NQW285" s="1144"/>
      <c r="NQX285" s="1144"/>
      <c r="NQY285" s="1144"/>
      <c r="NQZ285" s="1144"/>
      <c r="NRA285" s="1144"/>
      <c r="NRB285" s="1144"/>
      <c r="NRC285" s="1144"/>
      <c r="NRD285" s="1144"/>
      <c r="NRE285" s="1144"/>
      <c r="NRF285" s="1144"/>
      <c r="NRG285" s="1144"/>
      <c r="NRH285" s="1144"/>
      <c r="NRI285" s="1144"/>
      <c r="NRJ285" s="1144"/>
      <c r="NRK285" s="1144"/>
      <c r="NRL285" s="1144"/>
      <c r="NRM285" s="1144"/>
      <c r="NRN285" s="1144"/>
      <c r="NRO285" s="1144"/>
      <c r="NRP285" s="1144"/>
      <c r="NRQ285" s="1144"/>
      <c r="NRR285" s="1144"/>
      <c r="NRS285" s="1144"/>
      <c r="NRT285" s="1144"/>
      <c r="NRU285" s="1144"/>
      <c r="NRV285" s="1144"/>
      <c r="NRW285" s="1144"/>
      <c r="NRX285" s="1144"/>
      <c r="NRY285" s="1144"/>
      <c r="NRZ285" s="1144"/>
      <c r="NSA285" s="1144"/>
      <c r="NSB285" s="1144"/>
      <c r="NSC285" s="1144"/>
      <c r="NSD285" s="1144"/>
      <c r="NSE285" s="1144"/>
      <c r="NSF285" s="1144"/>
      <c r="NSG285" s="1144"/>
      <c r="NSH285" s="1144"/>
      <c r="NSI285" s="1144"/>
      <c r="NSJ285" s="1144"/>
      <c r="NSK285" s="1144"/>
      <c r="NSL285" s="1144"/>
      <c r="NSM285" s="1144"/>
      <c r="NSN285" s="1144"/>
      <c r="NSO285" s="1144"/>
      <c r="NSP285" s="1144"/>
      <c r="NSQ285" s="1144"/>
      <c r="NSR285" s="1144"/>
      <c r="NSS285" s="1144"/>
      <c r="NST285" s="1144"/>
      <c r="NSU285" s="1144"/>
      <c r="NSV285" s="1144"/>
      <c r="NSW285" s="1144"/>
      <c r="NSX285" s="1144"/>
      <c r="NSY285" s="1144"/>
      <c r="NSZ285" s="1144"/>
      <c r="NTA285" s="1144"/>
      <c r="NTB285" s="1144"/>
      <c r="NTC285" s="1144"/>
      <c r="NTD285" s="1144"/>
      <c r="NTE285" s="1144"/>
      <c r="NTF285" s="1144"/>
      <c r="NTG285" s="1144"/>
      <c r="NTH285" s="1144"/>
      <c r="NTI285" s="1144"/>
      <c r="NTJ285" s="1144"/>
      <c r="NTK285" s="1144"/>
      <c r="NTL285" s="1144"/>
      <c r="NTM285" s="1144"/>
      <c r="NTN285" s="1144"/>
      <c r="NTO285" s="1144"/>
      <c r="NTP285" s="1144"/>
      <c r="NTQ285" s="1144"/>
      <c r="NTR285" s="1144"/>
      <c r="NTS285" s="1144"/>
      <c r="NTT285" s="1144"/>
      <c r="NTU285" s="1144"/>
      <c r="NTV285" s="1144"/>
      <c r="NTW285" s="1144"/>
      <c r="NTX285" s="1144"/>
      <c r="NTY285" s="1144"/>
      <c r="NTZ285" s="1144"/>
      <c r="NUA285" s="1144"/>
      <c r="NUB285" s="1144"/>
      <c r="NUC285" s="1144"/>
      <c r="NUD285" s="1144"/>
      <c r="NUE285" s="1144"/>
      <c r="NUF285" s="1144"/>
      <c r="NUG285" s="1144"/>
      <c r="NUH285" s="1144"/>
      <c r="NUI285" s="1144"/>
      <c r="NUJ285" s="1144"/>
      <c r="NUK285" s="1144"/>
      <c r="NUL285" s="1144"/>
      <c r="NUM285" s="1144"/>
      <c r="NUN285" s="1144"/>
      <c r="NUO285" s="1144"/>
      <c r="NUP285" s="1144"/>
      <c r="NUQ285" s="1144"/>
      <c r="NUR285" s="1144"/>
      <c r="NUS285" s="1144"/>
      <c r="NUT285" s="1144"/>
      <c r="NUU285" s="1144"/>
      <c r="NUV285" s="1144"/>
      <c r="NUW285" s="1144"/>
      <c r="NUX285" s="1144"/>
      <c r="NUY285" s="1144"/>
      <c r="NUZ285" s="1144"/>
      <c r="NVA285" s="1144"/>
      <c r="NVB285" s="1144"/>
      <c r="NVC285" s="1144"/>
      <c r="NVD285" s="1144"/>
      <c r="NVE285" s="1144"/>
      <c r="NVF285" s="1144"/>
      <c r="NVG285" s="1144"/>
      <c r="NVH285" s="1144"/>
      <c r="NVI285" s="1144"/>
      <c r="NVJ285" s="1144"/>
      <c r="NVK285" s="1144"/>
      <c r="NVL285" s="1144"/>
      <c r="NVM285" s="1144"/>
      <c r="NVN285" s="1144"/>
      <c r="NVO285" s="1144"/>
      <c r="NVP285" s="1144"/>
      <c r="NVQ285" s="1144"/>
      <c r="NVR285" s="1144"/>
      <c r="NVS285" s="1144"/>
      <c r="NVT285" s="1144"/>
      <c r="NVU285" s="1144"/>
      <c r="NVV285" s="1144"/>
      <c r="NVW285" s="1144"/>
      <c r="NVX285" s="1144"/>
      <c r="NVY285" s="1144"/>
      <c r="NVZ285" s="1144"/>
      <c r="NWA285" s="1144"/>
      <c r="NWB285" s="1144"/>
      <c r="NWC285" s="1144"/>
      <c r="NWD285" s="1144"/>
      <c r="NWE285" s="1144"/>
      <c r="NWF285" s="1144"/>
      <c r="NWG285" s="1144"/>
      <c r="NWH285" s="1144"/>
      <c r="NWI285" s="1144"/>
      <c r="NWJ285" s="1144"/>
      <c r="NWK285" s="1144"/>
      <c r="NWL285" s="1144"/>
      <c r="NWM285" s="1144"/>
      <c r="NWN285" s="1144"/>
      <c r="NWO285" s="1144"/>
      <c r="NWP285" s="1144"/>
      <c r="NWQ285" s="1144"/>
      <c r="NWR285" s="1144"/>
      <c r="NWS285" s="1144"/>
      <c r="NWT285" s="1144"/>
      <c r="NWU285" s="1144"/>
      <c r="NWV285" s="1144"/>
      <c r="NWW285" s="1144"/>
      <c r="NWX285" s="1144"/>
      <c r="NWY285" s="1144"/>
      <c r="NWZ285" s="1144"/>
      <c r="NXA285" s="1144"/>
      <c r="NXB285" s="1144"/>
      <c r="NXC285" s="1144"/>
      <c r="NXD285" s="1144"/>
      <c r="NXE285" s="1144"/>
      <c r="NXF285" s="1144"/>
      <c r="NXG285" s="1144"/>
      <c r="NXH285" s="1144"/>
      <c r="NXI285" s="1144"/>
      <c r="NXJ285" s="1144"/>
      <c r="NXK285" s="1144"/>
      <c r="NXL285" s="1144"/>
      <c r="NXM285" s="1144"/>
      <c r="NXN285" s="1144"/>
      <c r="NXO285" s="1144"/>
      <c r="NXP285" s="1144"/>
      <c r="NXQ285" s="1144"/>
      <c r="NXR285" s="1144"/>
      <c r="NXS285" s="1144"/>
      <c r="NXT285" s="1144"/>
      <c r="NXU285" s="1144"/>
      <c r="NXV285" s="1144"/>
      <c r="NXW285" s="1144"/>
      <c r="NXX285" s="1144"/>
      <c r="NXY285" s="1144"/>
      <c r="NXZ285" s="1144"/>
      <c r="NYA285" s="1144"/>
      <c r="NYB285" s="1144"/>
      <c r="NYC285" s="1144"/>
      <c r="NYD285" s="1144"/>
      <c r="NYE285" s="1144"/>
      <c r="NYF285" s="1144"/>
      <c r="NYG285" s="1144"/>
      <c r="NYH285" s="1144"/>
      <c r="NYI285" s="1144"/>
      <c r="NYJ285" s="1144"/>
      <c r="NYK285" s="1144"/>
      <c r="NYL285" s="1144"/>
      <c r="NYM285" s="1144"/>
      <c r="NYN285" s="1144"/>
      <c r="NYO285" s="1144"/>
      <c r="NYP285" s="1144"/>
      <c r="NYQ285" s="1144"/>
      <c r="NYR285" s="1144"/>
      <c r="NYS285" s="1144"/>
      <c r="NYT285" s="1144"/>
      <c r="NYU285" s="1144"/>
      <c r="NYV285" s="1144"/>
      <c r="NYW285" s="1144"/>
      <c r="NYX285" s="1144"/>
      <c r="NYY285" s="1144"/>
      <c r="NYZ285" s="1144"/>
      <c r="NZA285" s="1144"/>
      <c r="NZB285" s="1144"/>
      <c r="NZC285" s="1144"/>
      <c r="NZD285" s="1144"/>
      <c r="NZE285" s="1144"/>
      <c r="NZF285" s="1144"/>
      <c r="NZG285" s="1144"/>
      <c r="NZH285" s="1144"/>
      <c r="NZI285" s="1144"/>
      <c r="NZJ285" s="1144"/>
      <c r="NZK285" s="1144"/>
      <c r="NZL285" s="1144"/>
      <c r="NZM285" s="1144"/>
      <c r="NZN285" s="1144"/>
      <c r="NZO285" s="1144"/>
      <c r="NZP285" s="1144"/>
      <c r="NZQ285" s="1144"/>
      <c r="NZR285" s="1144"/>
      <c r="NZS285" s="1144"/>
      <c r="NZT285" s="1144"/>
      <c r="NZU285" s="1144"/>
      <c r="NZV285" s="1144"/>
      <c r="NZW285" s="1144"/>
      <c r="NZX285" s="1144"/>
      <c r="NZY285" s="1144"/>
      <c r="NZZ285" s="1144"/>
      <c r="OAA285" s="1144"/>
      <c r="OAB285" s="1144"/>
      <c r="OAC285" s="1144"/>
      <c r="OAD285" s="1144"/>
      <c r="OAE285" s="1144"/>
      <c r="OAF285" s="1144"/>
      <c r="OAG285" s="1144"/>
      <c r="OAH285" s="1144"/>
      <c r="OAI285" s="1144"/>
      <c r="OAJ285" s="1144"/>
      <c r="OAK285" s="1144"/>
      <c r="OAL285" s="1144"/>
      <c r="OAM285" s="1144"/>
      <c r="OAN285" s="1144"/>
      <c r="OAO285" s="1144"/>
      <c r="OAP285" s="1144"/>
      <c r="OAQ285" s="1144"/>
      <c r="OAR285" s="1144"/>
      <c r="OAS285" s="1144"/>
      <c r="OAT285" s="1144"/>
      <c r="OAU285" s="1144"/>
      <c r="OAV285" s="1144"/>
      <c r="OAW285" s="1144"/>
      <c r="OAX285" s="1144"/>
      <c r="OAY285" s="1144"/>
      <c r="OAZ285" s="1144"/>
      <c r="OBA285" s="1144"/>
      <c r="OBB285" s="1144"/>
      <c r="OBC285" s="1144"/>
      <c r="OBD285" s="1144"/>
      <c r="OBE285" s="1144"/>
      <c r="OBF285" s="1144"/>
      <c r="OBG285" s="1144"/>
      <c r="OBH285" s="1144"/>
      <c r="OBI285" s="1144"/>
      <c r="OBJ285" s="1144"/>
      <c r="OBK285" s="1144"/>
      <c r="OBL285" s="1144"/>
      <c r="OBM285" s="1144"/>
      <c r="OBN285" s="1144"/>
      <c r="OBO285" s="1144"/>
      <c r="OBP285" s="1144"/>
      <c r="OBQ285" s="1144"/>
      <c r="OBR285" s="1144"/>
      <c r="OBS285" s="1144"/>
      <c r="OBT285" s="1144"/>
      <c r="OBU285" s="1144"/>
      <c r="OBV285" s="1144"/>
      <c r="OBW285" s="1144"/>
      <c r="OBX285" s="1144"/>
      <c r="OBY285" s="1144"/>
      <c r="OBZ285" s="1144"/>
      <c r="OCA285" s="1144"/>
      <c r="OCB285" s="1144"/>
      <c r="OCC285" s="1144"/>
      <c r="OCD285" s="1144"/>
      <c r="OCE285" s="1144"/>
      <c r="OCF285" s="1144"/>
      <c r="OCG285" s="1144"/>
      <c r="OCH285" s="1144"/>
      <c r="OCI285" s="1144"/>
      <c r="OCJ285" s="1144"/>
      <c r="OCK285" s="1144"/>
      <c r="OCL285" s="1144"/>
      <c r="OCM285" s="1144"/>
      <c r="OCN285" s="1144"/>
      <c r="OCO285" s="1144"/>
      <c r="OCP285" s="1144"/>
      <c r="OCQ285" s="1144"/>
      <c r="OCR285" s="1144"/>
      <c r="OCS285" s="1144"/>
      <c r="OCT285" s="1144"/>
      <c r="OCU285" s="1144"/>
      <c r="OCV285" s="1144"/>
      <c r="OCW285" s="1144"/>
      <c r="OCX285" s="1144"/>
      <c r="OCY285" s="1144"/>
      <c r="OCZ285" s="1144"/>
      <c r="ODA285" s="1144"/>
      <c r="ODB285" s="1144"/>
      <c r="ODC285" s="1144"/>
      <c r="ODD285" s="1144"/>
      <c r="ODE285" s="1144"/>
      <c r="ODF285" s="1144"/>
      <c r="ODG285" s="1144"/>
      <c r="ODH285" s="1144"/>
      <c r="ODI285" s="1144"/>
      <c r="ODJ285" s="1144"/>
      <c r="ODK285" s="1144"/>
      <c r="ODL285" s="1144"/>
      <c r="ODM285" s="1144"/>
      <c r="ODN285" s="1144"/>
      <c r="ODO285" s="1144"/>
      <c r="ODP285" s="1144"/>
      <c r="ODQ285" s="1144"/>
      <c r="ODR285" s="1144"/>
      <c r="ODS285" s="1144"/>
      <c r="ODT285" s="1144"/>
      <c r="ODU285" s="1144"/>
      <c r="ODV285" s="1144"/>
      <c r="ODW285" s="1144"/>
      <c r="ODX285" s="1144"/>
      <c r="ODY285" s="1144"/>
      <c r="ODZ285" s="1144"/>
      <c r="OEA285" s="1144"/>
      <c r="OEB285" s="1144"/>
      <c r="OEC285" s="1144"/>
      <c r="OED285" s="1144"/>
      <c r="OEE285" s="1144"/>
      <c r="OEF285" s="1144"/>
      <c r="OEG285" s="1144"/>
      <c r="OEH285" s="1144"/>
      <c r="OEI285" s="1144"/>
      <c r="OEJ285" s="1144"/>
      <c r="OEK285" s="1144"/>
      <c r="OEL285" s="1144"/>
      <c r="OEM285" s="1144"/>
      <c r="OEN285" s="1144"/>
      <c r="OEO285" s="1144"/>
      <c r="OEP285" s="1144"/>
      <c r="OEQ285" s="1144"/>
      <c r="OER285" s="1144"/>
      <c r="OES285" s="1144"/>
      <c r="OET285" s="1144"/>
      <c r="OEU285" s="1144"/>
      <c r="OEV285" s="1144"/>
      <c r="OEW285" s="1144"/>
      <c r="OEX285" s="1144"/>
      <c r="OEY285" s="1144"/>
      <c r="OEZ285" s="1144"/>
      <c r="OFA285" s="1144"/>
      <c r="OFB285" s="1144"/>
      <c r="OFC285" s="1144"/>
      <c r="OFD285" s="1144"/>
      <c r="OFE285" s="1144"/>
      <c r="OFF285" s="1144"/>
      <c r="OFG285" s="1144"/>
      <c r="OFH285" s="1144"/>
      <c r="OFI285" s="1144"/>
      <c r="OFJ285" s="1144"/>
      <c r="OFK285" s="1144"/>
      <c r="OFL285" s="1144"/>
      <c r="OFM285" s="1144"/>
      <c r="OFN285" s="1144"/>
      <c r="OFO285" s="1144"/>
      <c r="OFP285" s="1144"/>
      <c r="OFQ285" s="1144"/>
      <c r="OFR285" s="1144"/>
      <c r="OFS285" s="1144"/>
      <c r="OFT285" s="1144"/>
      <c r="OFU285" s="1144"/>
      <c r="OFV285" s="1144"/>
      <c r="OFW285" s="1144"/>
      <c r="OFX285" s="1144"/>
      <c r="OFY285" s="1144"/>
      <c r="OFZ285" s="1144"/>
      <c r="OGA285" s="1144"/>
      <c r="OGB285" s="1144"/>
      <c r="OGC285" s="1144"/>
      <c r="OGD285" s="1144"/>
      <c r="OGE285" s="1144"/>
      <c r="OGF285" s="1144"/>
      <c r="OGG285" s="1144"/>
      <c r="OGH285" s="1144"/>
      <c r="OGI285" s="1144"/>
      <c r="OGJ285" s="1144"/>
      <c r="OGK285" s="1144"/>
      <c r="OGL285" s="1144"/>
      <c r="OGM285" s="1144"/>
      <c r="OGN285" s="1144"/>
      <c r="OGO285" s="1144"/>
      <c r="OGP285" s="1144"/>
      <c r="OGQ285" s="1144"/>
      <c r="OGR285" s="1144"/>
      <c r="OGS285" s="1144"/>
      <c r="OGT285" s="1144"/>
      <c r="OGU285" s="1144"/>
      <c r="OGV285" s="1144"/>
      <c r="OGW285" s="1144"/>
      <c r="OGX285" s="1144"/>
      <c r="OGY285" s="1144"/>
      <c r="OGZ285" s="1144"/>
      <c r="OHA285" s="1144"/>
      <c r="OHB285" s="1144"/>
      <c r="OHC285" s="1144"/>
      <c r="OHD285" s="1144"/>
      <c r="OHE285" s="1144"/>
      <c r="OHF285" s="1144"/>
      <c r="OHG285" s="1144"/>
      <c r="OHH285" s="1144"/>
      <c r="OHI285" s="1144"/>
      <c r="OHJ285" s="1144"/>
      <c r="OHK285" s="1144"/>
      <c r="OHL285" s="1144"/>
      <c r="OHM285" s="1144"/>
      <c r="OHN285" s="1144"/>
      <c r="OHO285" s="1144"/>
      <c r="OHP285" s="1144"/>
      <c r="OHQ285" s="1144"/>
      <c r="OHR285" s="1144"/>
      <c r="OHS285" s="1144"/>
      <c r="OHT285" s="1144"/>
      <c r="OHU285" s="1144"/>
      <c r="OHV285" s="1144"/>
      <c r="OHW285" s="1144"/>
      <c r="OHX285" s="1144"/>
      <c r="OHY285" s="1144"/>
      <c r="OHZ285" s="1144"/>
      <c r="OIA285" s="1144"/>
      <c r="OIB285" s="1144"/>
      <c r="OIC285" s="1144"/>
      <c r="OID285" s="1144"/>
      <c r="OIE285" s="1144"/>
      <c r="OIF285" s="1144"/>
      <c r="OIG285" s="1144"/>
      <c r="OIH285" s="1144"/>
      <c r="OII285" s="1144"/>
      <c r="OIJ285" s="1144"/>
      <c r="OIK285" s="1144"/>
      <c r="OIL285" s="1144"/>
      <c r="OIM285" s="1144"/>
      <c r="OIN285" s="1144"/>
      <c r="OIO285" s="1144"/>
      <c r="OIP285" s="1144"/>
      <c r="OIQ285" s="1144"/>
      <c r="OIR285" s="1144"/>
      <c r="OIS285" s="1144"/>
      <c r="OIT285" s="1144"/>
      <c r="OIU285" s="1144"/>
      <c r="OIV285" s="1144"/>
      <c r="OIW285" s="1144"/>
      <c r="OIX285" s="1144"/>
      <c r="OIY285" s="1144"/>
      <c r="OIZ285" s="1144"/>
      <c r="OJA285" s="1144"/>
      <c r="OJB285" s="1144"/>
      <c r="OJC285" s="1144"/>
      <c r="OJD285" s="1144"/>
      <c r="OJE285" s="1144"/>
      <c r="OJF285" s="1144"/>
      <c r="OJG285" s="1144"/>
      <c r="OJH285" s="1144"/>
      <c r="OJI285" s="1144"/>
      <c r="OJJ285" s="1144"/>
      <c r="OJK285" s="1144"/>
      <c r="OJL285" s="1144"/>
      <c r="OJM285" s="1144"/>
      <c r="OJN285" s="1144"/>
      <c r="OJO285" s="1144"/>
      <c r="OJP285" s="1144"/>
      <c r="OJQ285" s="1144"/>
      <c r="OJR285" s="1144"/>
      <c r="OJS285" s="1144"/>
      <c r="OJT285" s="1144"/>
      <c r="OJU285" s="1144"/>
      <c r="OJV285" s="1144"/>
      <c r="OJW285" s="1144"/>
      <c r="OJX285" s="1144"/>
      <c r="OJY285" s="1144"/>
      <c r="OJZ285" s="1144"/>
      <c r="OKA285" s="1144"/>
      <c r="OKB285" s="1144"/>
      <c r="OKC285" s="1144"/>
      <c r="OKD285" s="1144"/>
      <c r="OKE285" s="1144"/>
      <c r="OKF285" s="1144"/>
      <c r="OKG285" s="1144"/>
      <c r="OKH285" s="1144"/>
      <c r="OKI285" s="1144"/>
      <c r="OKJ285" s="1144"/>
      <c r="OKK285" s="1144"/>
      <c r="OKL285" s="1144"/>
      <c r="OKM285" s="1144"/>
      <c r="OKN285" s="1144"/>
      <c r="OKO285" s="1144"/>
      <c r="OKP285" s="1144"/>
      <c r="OKQ285" s="1144"/>
      <c r="OKR285" s="1144"/>
      <c r="OKS285" s="1144"/>
      <c r="OKT285" s="1144"/>
      <c r="OKU285" s="1144"/>
      <c r="OKV285" s="1144"/>
      <c r="OKW285" s="1144"/>
      <c r="OKX285" s="1144"/>
      <c r="OKY285" s="1144"/>
      <c r="OKZ285" s="1144"/>
      <c r="OLA285" s="1144"/>
      <c r="OLB285" s="1144"/>
      <c r="OLC285" s="1144"/>
      <c r="OLD285" s="1144"/>
      <c r="OLE285" s="1144"/>
      <c r="OLF285" s="1144"/>
      <c r="OLG285" s="1144"/>
      <c r="OLH285" s="1144"/>
      <c r="OLI285" s="1144"/>
      <c r="OLJ285" s="1144"/>
      <c r="OLK285" s="1144"/>
      <c r="OLL285" s="1144"/>
      <c r="OLM285" s="1144"/>
      <c r="OLN285" s="1144"/>
      <c r="OLO285" s="1144"/>
      <c r="OLP285" s="1144"/>
      <c r="OLQ285" s="1144"/>
      <c r="OLR285" s="1144"/>
      <c r="OLS285" s="1144"/>
      <c r="OLT285" s="1144"/>
      <c r="OLU285" s="1144"/>
      <c r="OLV285" s="1144"/>
      <c r="OLW285" s="1144"/>
      <c r="OLX285" s="1144"/>
      <c r="OLY285" s="1144"/>
      <c r="OLZ285" s="1144"/>
      <c r="OMA285" s="1144"/>
      <c r="OMB285" s="1144"/>
      <c r="OMC285" s="1144"/>
      <c r="OMD285" s="1144"/>
      <c r="OME285" s="1144"/>
      <c r="OMF285" s="1144"/>
      <c r="OMG285" s="1144"/>
      <c r="OMH285" s="1144"/>
      <c r="OMI285" s="1144"/>
      <c r="OMJ285" s="1144"/>
      <c r="OMK285" s="1144"/>
      <c r="OML285" s="1144"/>
      <c r="OMM285" s="1144"/>
      <c r="OMN285" s="1144"/>
      <c r="OMO285" s="1144"/>
      <c r="OMP285" s="1144"/>
      <c r="OMQ285" s="1144"/>
      <c r="OMR285" s="1144"/>
      <c r="OMS285" s="1144"/>
      <c r="OMT285" s="1144"/>
      <c r="OMU285" s="1144"/>
      <c r="OMV285" s="1144"/>
      <c r="OMW285" s="1144"/>
      <c r="OMX285" s="1144"/>
      <c r="OMY285" s="1144"/>
      <c r="OMZ285" s="1144"/>
      <c r="ONA285" s="1144"/>
      <c r="ONB285" s="1144"/>
      <c r="ONC285" s="1144"/>
      <c r="OND285" s="1144"/>
      <c r="ONE285" s="1144"/>
      <c r="ONF285" s="1144"/>
      <c r="ONG285" s="1144"/>
      <c r="ONH285" s="1144"/>
      <c r="ONI285" s="1144"/>
      <c r="ONJ285" s="1144"/>
      <c r="ONK285" s="1144"/>
      <c r="ONL285" s="1144"/>
      <c r="ONM285" s="1144"/>
      <c r="ONN285" s="1144"/>
      <c r="ONO285" s="1144"/>
      <c r="ONP285" s="1144"/>
      <c r="ONQ285" s="1144"/>
      <c r="ONR285" s="1144"/>
      <c r="ONS285" s="1144"/>
      <c r="ONT285" s="1144"/>
      <c r="ONU285" s="1144"/>
      <c r="ONV285" s="1144"/>
      <c r="ONW285" s="1144"/>
      <c r="ONX285" s="1144"/>
      <c r="ONY285" s="1144"/>
      <c r="ONZ285" s="1144"/>
      <c r="OOA285" s="1144"/>
      <c r="OOB285" s="1144"/>
      <c r="OOC285" s="1144"/>
      <c r="OOD285" s="1144"/>
      <c r="OOE285" s="1144"/>
      <c r="OOF285" s="1144"/>
      <c r="OOG285" s="1144"/>
      <c r="OOH285" s="1144"/>
      <c r="OOI285" s="1144"/>
      <c r="OOJ285" s="1144"/>
      <c r="OOK285" s="1144"/>
      <c r="OOL285" s="1144"/>
      <c r="OOM285" s="1144"/>
      <c r="OON285" s="1144"/>
      <c r="OOO285" s="1144"/>
      <c r="OOP285" s="1144"/>
      <c r="OOQ285" s="1144"/>
      <c r="OOR285" s="1144"/>
      <c r="OOS285" s="1144"/>
      <c r="OOT285" s="1144"/>
      <c r="OOU285" s="1144"/>
      <c r="OOV285" s="1144"/>
      <c r="OOW285" s="1144"/>
      <c r="OOX285" s="1144"/>
      <c r="OOY285" s="1144"/>
      <c r="OOZ285" s="1144"/>
      <c r="OPA285" s="1144"/>
      <c r="OPB285" s="1144"/>
      <c r="OPC285" s="1144"/>
      <c r="OPD285" s="1144"/>
      <c r="OPE285" s="1144"/>
      <c r="OPF285" s="1144"/>
      <c r="OPG285" s="1144"/>
      <c r="OPH285" s="1144"/>
      <c r="OPI285" s="1144"/>
      <c r="OPJ285" s="1144"/>
      <c r="OPK285" s="1144"/>
      <c r="OPL285" s="1144"/>
      <c r="OPM285" s="1144"/>
      <c r="OPN285" s="1144"/>
      <c r="OPO285" s="1144"/>
      <c r="OPP285" s="1144"/>
      <c r="OPQ285" s="1144"/>
      <c r="OPR285" s="1144"/>
      <c r="OPS285" s="1144"/>
      <c r="OPT285" s="1144"/>
      <c r="OPU285" s="1144"/>
      <c r="OPV285" s="1144"/>
      <c r="OPW285" s="1144"/>
      <c r="OPX285" s="1144"/>
      <c r="OPY285" s="1144"/>
      <c r="OPZ285" s="1144"/>
      <c r="OQA285" s="1144"/>
      <c r="OQB285" s="1144"/>
      <c r="OQC285" s="1144"/>
      <c r="OQD285" s="1144"/>
      <c r="OQE285" s="1144"/>
      <c r="OQF285" s="1144"/>
      <c r="OQG285" s="1144"/>
      <c r="OQH285" s="1144"/>
      <c r="OQI285" s="1144"/>
      <c r="OQJ285" s="1144"/>
      <c r="OQK285" s="1144"/>
      <c r="OQL285" s="1144"/>
      <c r="OQM285" s="1144"/>
      <c r="OQN285" s="1144"/>
      <c r="OQO285" s="1144"/>
      <c r="OQP285" s="1144"/>
      <c r="OQQ285" s="1144"/>
      <c r="OQR285" s="1144"/>
      <c r="OQS285" s="1144"/>
      <c r="OQT285" s="1144"/>
      <c r="OQU285" s="1144"/>
      <c r="OQV285" s="1144"/>
      <c r="OQW285" s="1144"/>
      <c r="OQX285" s="1144"/>
      <c r="OQY285" s="1144"/>
      <c r="OQZ285" s="1144"/>
      <c r="ORA285" s="1144"/>
      <c r="ORB285" s="1144"/>
      <c r="ORC285" s="1144"/>
      <c r="ORD285" s="1144"/>
      <c r="ORE285" s="1144"/>
      <c r="ORF285" s="1144"/>
      <c r="ORG285" s="1144"/>
      <c r="ORH285" s="1144"/>
      <c r="ORI285" s="1144"/>
      <c r="ORJ285" s="1144"/>
      <c r="ORK285" s="1144"/>
      <c r="ORL285" s="1144"/>
      <c r="ORM285" s="1144"/>
      <c r="ORN285" s="1144"/>
      <c r="ORO285" s="1144"/>
      <c r="ORP285" s="1144"/>
      <c r="ORQ285" s="1144"/>
      <c r="ORR285" s="1144"/>
      <c r="ORS285" s="1144"/>
      <c r="ORT285" s="1144"/>
      <c r="ORU285" s="1144"/>
      <c r="ORV285" s="1144"/>
      <c r="ORW285" s="1144"/>
      <c r="ORX285" s="1144"/>
      <c r="ORY285" s="1144"/>
      <c r="ORZ285" s="1144"/>
      <c r="OSA285" s="1144"/>
      <c r="OSB285" s="1144"/>
      <c r="OSC285" s="1144"/>
      <c r="OSD285" s="1144"/>
      <c r="OSE285" s="1144"/>
      <c r="OSF285" s="1144"/>
      <c r="OSG285" s="1144"/>
      <c r="OSH285" s="1144"/>
      <c r="OSI285" s="1144"/>
      <c r="OSJ285" s="1144"/>
      <c r="OSK285" s="1144"/>
      <c r="OSL285" s="1144"/>
      <c r="OSM285" s="1144"/>
      <c r="OSN285" s="1144"/>
      <c r="OSO285" s="1144"/>
      <c r="OSP285" s="1144"/>
      <c r="OSQ285" s="1144"/>
      <c r="OSR285" s="1144"/>
      <c r="OSS285" s="1144"/>
      <c r="OST285" s="1144"/>
      <c r="OSU285" s="1144"/>
      <c r="OSV285" s="1144"/>
      <c r="OSW285" s="1144"/>
      <c r="OSX285" s="1144"/>
      <c r="OSY285" s="1144"/>
      <c r="OSZ285" s="1144"/>
      <c r="OTA285" s="1144"/>
      <c r="OTB285" s="1144"/>
      <c r="OTC285" s="1144"/>
      <c r="OTD285" s="1144"/>
      <c r="OTE285" s="1144"/>
      <c r="OTF285" s="1144"/>
      <c r="OTG285" s="1144"/>
      <c r="OTH285" s="1144"/>
      <c r="OTI285" s="1144"/>
      <c r="OTJ285" s="1144"/>
      <c r="OTK285" s="1144"/>
      <c r="OTL285" s="1144"/>
      <c r="OTM285" s="1144"/>
      <c r="OTN285" s="1144"/>
      <c r="OTO285" s="1144"/>
      <c r="OTP285" s="1144"/>
      <c r="OTQ285" s="1144"/>
      <c r="OTR285" s="1144"/>
      <c r="OTS285" s="1144"/>
      <c r="OTT285" s="1144"/>
      <c r="OTU285" s="1144"/>
      <c r="OTV285" s="1144"/>
      <c r="OTW285" s="1144"/>
      <c r="OTX285" s="1144"/>
      <c r="OTY285" s="1144"/>
      <c r="OTZ285" s="1144"/>
      <c r="OUA285" s="1144"/>
      <c r="OUB285" s="1144"/>
      <c r="OUC285" s="1144"/>
      <c r="OUD285" s="1144"/>
      <c r="OUE285" s="1144"/>
      <c r="OUF285" s="1144"/>
      <c r="OUG285" s="1144"/>
      <c r="OUH285" s="1144"/>
      <c r="OUI285" s="1144"/>
      <c r="OUJ285" s="1144"/>
      <c r="OUK285" s="1144"/>
      <c r="OUL285" s="1144"/>
      <c r="OUM285" s="1144"/>
      <c r="OUN285" s="1144"/>
      <c r="OUO285" s="1144"/>
      <c r="OUP285" s="1144"/>
      <c r="OUQ285" s="1144"/>
      <c r="OUR285" s="1144"/>
      <c r="OUS285" s="1144"/>
      <c r="OUT285" s="1144"/>
      <c r="OUU285" s="1144"/>
      <c r="OUV285" s="1144"/>
      <c r="OUW285" s="1144"/>
      <c r="OUX285" s="1144"/>
      <c r="OUY285" s="1144"/>
      <c r="OUZ285" s="1144"/>
      <c r="OVA285" s="1144"/>
      <c r="OVB285" s="1144"/>
      <c r="OVC285" s="1144"/>
      <c r="OVD285" s="1144"/>
      <c r="OVE285" s="1144"/>
      <c r="OVF285" s="1144"/>
      <c r="OVG285" s="1144"/>
      <c r="OVH285" s="1144"/>
      <c r="OVI285" s="1144"/>
      <c r="OVJ285" s="1144"/>
      <c r="OVK285" s="1144"/>
      <c r="OVL285" s="1144"/>
      <c r="OVM285" s="1144"/>
      <c r="OVN285" s="1144"/>
      <c r="OVO285" s="1144"/>
      <c r="OVP285" s="1144"/>
      <c r="OVQ285" s="1144"/>
      <c r="OVR285" s="1144"/>
      <c r="OVS285" s="1144"/>
      <c r="OVT285" s="1144"/>
      <c r="OVU285" s="1144"/>
      <c r="OVV285" s="1144"/>
      <c r="OVW285" s="1144"/>
      <c r="OVX285" s="1144"/>
      <c r="OVY285" s="1144"/>
      <c r="OVZ285" s="1144"/>
      <c r="OWA285" s="1144"/>
      <c r="OWB285" s="1144"/>
      <c r="OWC285" s="1144"/>
      <c r="OWD285" s="1144"/>
      <c r="OWE285" s="1144"/>
      <c r="OWF285" s="1144"/>
      <c r="OWG285" s="1144"/>
      <c r="OWH285" s="1144"/>
      <c r="OWI285" s="1144"/>
      <c r="OWJ285" s="1144"/>
      <c r="OWK285" s="1144"/>
      <c r="OWL285" s="1144"/>
      <c r="OWM285" s="1144"/>
      <c r="OWN285" s="1144"/>
      <c r="OWO285" s="1144"/>
      <c r="OWP285" s="1144"/>
      <c r="OWQ285" s="1144"/>
      <c r="OWR285" s="1144"/>
      <c r="OWS285" s="1144"/>
      <c r="OWT285" s="1144"/>
      <c r="OWU285" s="1144"/>
      <c r="OWV285" s="1144"/>
      <c r="OWW285" s="1144"/>
      <c r="OWX285" s="1144"/>
      <c r="OWY285" s="1144"/>
      <c r="OWZ285" s="1144"/>
      <c r="OXA285" s="1144"/>
      <c r="OXB285" s="1144"/>
      <c r="OXC285" s="1144"/>
      <c r="OXD285" s="1144"/>
      <c r="OXE285" s="1144"/>
      <c r="OXF285" s="1144"/>
      <c r="OXG285" s="1144"/>
      <c r="OXH285" s="1144"/>
      <c r="OXI285" s="1144"/>
      <c r="OXJ285" s="1144"/>
      <c r="OXK285" s="1144"/>
      <c r="OXL285" s="1144"/>
      <c r="OXM285" s="1144"/>
      <c r="OXN285" s="1144"/>
      <c r="OXO285" s="1144"/>
      <c r="OXP285" s="1144"/>
      <c r="OXQ285" s="1144"/>
      <c r="OXR285" s="1144"/>
      <c r="OXS285" s="1144"/>
      <c r="OXT285" s="1144"/>
      <c r="OXU285" s="1144"/>
      <c r="OXV285" s="1144"/>
      <c r="OXW285" s="1144"/>
      <c r="OXX285" s="1144"/>
      <c r="OXY285" s="1144"/>
      <c r="OXZ285" s="1144"/>
      <c r="OYA285" s="1144"/>
      <c r="OYB285" s="1144"/>
      <c r="OYC285" s="1144"/>
      <c r="OYD285" s="1144"/>
      <c r="OYE285" s="1144"/>
      <c r="OYF285" s="1144"/>
      <c r="OYG285" s="1144"/>
      <c r="OYH285" s="1144"/>
      <c r="OYI285" s="1144"/>
      <c r="OYJ285" s="1144"/>
      <c r="OYK285" s="1144"/>
      <c r="OYL285" s="1144"/>
      <c r="OYM285" s="1144"/>
      <c r="OYN285" s="1144"/>
      <c r="OYO285" s="1144"/>
      <c r="OYP285" s="1144"/>
      <c r="OYQ285" s="1144"/>
      <c r="OYR285" s="1144"/>
      <c r="OYS285" s="1144"/>
      <c r="OYT285" s="1144"/>
      <c r="OYU285" s="1144"/>
      <c r="OYV285" s="1144"/>
      <c r="OYW285" s="1144"/>
      <c r="OYX285" s="1144"/>
      <c r="OYY285" s="1144"/>
      <c r="OYZ285" s="1144"/>
      <c r="OZA285" s="1144"/>
      <c r="OZB285" s="1144"/>
      <c r="OZC285" s="1144"/>
      <c r="OZD285" s="1144"/>
      <c r="OZE285" s="1144"/>
      <c r="OZF285" s="1144"/>
      <c r="OZG285" s="1144"/>
      <c r="OZH285" s="1144"/>
      <c r="OZI285" s="1144"/>
      <c r="OZJ285" s="1144"/>
      <c r="OZK285" s="1144"/>
      <c r="OZL285" s="1144"/>
      <c r="OZM285" s="1144"/>
      <c r="OZN285" s="1144"/>
      <c r="OZO285" s="1144"/>
      <c r="OZP285" s="1144"/>
      <c r="OZQ285" s="1144"/>
      <c r="OZR285" s="1144"/>
      <c r="OZS285" s="1144"/>
      <c r="OZT285" s="1144"/>
      <c r="OZU285" s="1144"/>
      <c r="OZV285" s="1144"/>
      <c r="OZW285" s="1144"/>
      <c r="OZX285" s="1144"/>
      <c r="OZY285" s="1144"/>
      <c r="OZZ285" s="1144"/>
      <c r="PAA285" s="1144"/>
      <c r="PAB285" s="1144"/>
      <c r="PAC285" s="1144"/>
      <c r="PAD285" s="1144"/>
      <c r="PAE285" s="1144"/>
      <c r="PAF285" s="1144"/>
      <c r="PAG285" s="1144"/>
      <c r="PAH285" s="1144"/>
      <c r="PAI285" s="1144"/>
      <c r="PAJ285" s="1144"/>
      <c r="PAK285" s="1144"/>
      <c r="PAL285" s="1144"/>
      <c r="PAM285" s="1144"/>
      <c r="PAN285" s="1144"/>
      <c r="PAO285" s="1144"/>
      <c r="PAP285" s="1144"/>
      <c r="PAQ285" s="1144"/>
      <c r="PAR285" s="1144"/>
      <c r="PAS285" s="1144"/>
      <c r="PAT285" s="1144"/>
      <c r="PAU285" s="1144"/>
      <c r="PAV285" s="1144"/>
      <c r="PAW285" s="1144"/>
      <c r="PAX285" s="1144"/>
      <c r="PAY285" s="1144"/>
      <c r="PAZ285" s="1144"/>
      <c r="PBA285" s="1144"/>
      <c r="PBB285" s="1144"/>
      <c r="PBC285" s="1144"/>
      <c r="PBD285" s="1144"/>
      <c r="PBE285" s="1144"/>
      <c r="PBF285" s="1144"/>
      <c r="PBG285" s="1144"/>
      <c r="PBH285" s="1144"/>
      <c r="PBI285" s="1144"/>
      <c r="PBJ285" s="1144"/>
      <c r="PBK285" s="1144"/>
      <c r="PBL285" s="1144"/>
      <c r="PBM285" s="1144"/>
      <c r="PBN285" s="1144"/>
      <c r="PBO285" s="1144"/>
      <c r="PBP285" s="1144"/>
      <c r="PBQ285" s="1144"/>
      <c r="PBR285" s="1144"/>
      <c r="PBS285" s="1144"/>
      <c r="PBT285" s="1144"/>
      <c r="PBU285" s="1144"/>
      <c r="PBV285" s="1144"/>
      <c r="PBW285" s="1144"/>
      <c r="PBX285" s="1144"/>
      <c r="PBY285" s="1144"/>
      <c r="PBZ285" s="1144"/>
      <c r="PCA285" s="1144"/>
      <c r="PCB285" s="1144"/>
      <c r="PCC285" s="1144"/>
      <c r="PCD285" s="1144"/>
      <c r="PCE285" s="1144"/>
      <c r="PCF285" s="1144"/>
      <c r="PCG285" s="1144"/>
      <c r="PCH285" s="1144"/>
      <c r="PCI285" s="1144"/>
      <c r="PCJ285" s="1144"/>
      <c r="PCK285" s="1144"/>
      <c r="PCL285" s="1144"/>
      <c r="PCM285" s="1144"/>
      <c r="PCN285" s="1144"/>
      <c r="PCO285" s="1144"/>
      <c r="PCP285" s="1144"/>
      <c r="PCQ285" s="1144"/>
      <c r="PCR285" s="1144"/>
      <c r="PCS285" s="1144"/>
      <c r="PCT285" s="1144"/>
      <c r="PCU285" s="1144"/>
      <c r="PCV285" s="1144"/>
      <c r="PCW285" s="1144"/>
      <c r="PCX285" s="1144"/>
      <c r="PCY285" s="1144"/>
      <c r="PCZ285" s="1144"/>
      <c r="PDA285" s="1144"/>
      <c r="PDB285" s="1144"/>
      <c r="PDC285" s="1144"/>
      <c r="PDD285" s="1144"/>
      <c r="PDE285" s="1144"/>
      <c r="PDF285" s="1144"/>
      <c r="PDG285" s="1144"/>
      <c r="PDH285" s="1144"/>
      <c r="PDI285" s="1144"/>
      <c r="PDJ285" s="1144"/>
      <c r="PDK285" s="1144"/>
      <c r="PDL285" s="1144"/>
      <c r="PDM285" s="1144"/>
      <c r="PDN285" s="1144"/>
      <c r="PDO285" s="1144"/>
      <c r="PDP285" s="1144"/>
      <c r="PDQ285" s="1144"/>
      <c r="PDR285" s="1144"/>
      <c r="PDS285" s="1144"/>
      <c r="PDT285" s="1144"/>
      <c r="PDU285" s="1144"/>
      <c r="PDV285" s="1144"/>
      <c r="PDW285" s="1144"/>
      <c r="PDX285" s="1144"/>
      <c r="PDY285" s="1144"/>
      <c r="PDZ285" s="1144"/>
      <c r="PEA285" s="1144"/>
      <c r="PEB285" s="1144"/>
      <c r="PEC285" s="1144"/>
      <c r="PED285" s="1144"/>
      <c r="PEE285" s="1144"/>
      <c r="PEF285" s="1144"/>
      <c r="PEG285" s="1144"/>
      <c r="PEH285" s="1144"/>
      <c r="PEI285" s="1144"/>
      <c r="PEJ285" s="1144"/>
      <c r="PEK285" s="1144"/>
      <c r="PEL285" s="1144"/>
      <c r="PEM285" s="1144"/>
      <c r="PEN285" s="1144"/>
      <c r="PEO285" s="1144"/>
      <c r="PEP285" s="1144"/>
      <c r="PEQ285" s="1144"/>
      <c r="PER285" s="1144"/>
      <c r="PES285" s="1144"/>
      <c r="PET285" s="1144"/>
      <c r="PEU285" s="1144"/>
      <c r="PEV285" s="1144"/>
      <c r="PEW285" s="1144"/>
      <c r="PEX285" s="1144"/>
      <c r="PEY285" s="1144"/>
      <c r="PEZ285" s="1144"/>
      <c r="PFA285" s="1144"/>
      <c r="PFB285" s="1144"/>
      <c r="PFC285" s="1144"/>
      <c r="PFD285" s="1144"/>
      <c r="PFE285" s="1144"/>
      <c r="PFF285" s="1144"/>
      <c r="PFG285" s="1144"/>
      <c r="PFH285" s="1144"/>
      <c r="PFI285" s="1144"/>
      <c r="PFJ285" s="1144"/>
      <c r="PFK285" s="1144"/>
      <c r="PFL285" s="1144"/>
      <c r="PFM285" s="1144"/>
      <c r="PFN285" s="1144"/>
      <c r="PFO285" s="1144"/>
      <c r="PFP285" s="1144"/>
      <c r="PFQ285" s="1144"/>
      <c r="PFR285" s="1144"/>
      <c r="PFS285" s="1144"/>
      <c r="PFT285" s="1144"/>
      <c r="PFU285" s="1144"/>
      <c r="PFV285" s="1144"/>
      <c r="PFW285" s="1144"/>
      <c r="PFX285" s="1144"/>
      <c r="PFY285" s="1144"/>
      <c r="PFZ285" s="1144"/>
      <c r="PGA285" s="1144"/>
      <c r="PGB285" s="1144"/>
      <c r="PGC285" s="1144"/>
      <c r="PGD285" s="1144"/>
      <c r="PGE285" s="1144"/>
      <c r="PGF285" s="1144"/>
      <c r="PGG285" s="1144"/>
      <c r="PGH285" s="1144"/>
      <c r="PGI285" s="1144"/>
      <c r="PGJ285" s="1144"/>
      <c r="PGK285" s="1144"/>
      <c r="PGL285" s="1144"/>
      <c r="PGM285" s="1144"/>
      <c r="PGN285" s="1144"/>
      <c r="PGO285" s="1144"/>
      <c r="PGP285" s="1144"/>
      <c r="PGQ285" s="1144"/>
      <c r="PGR285" s="1144"/>
      <c r="PGS285" s="1144"/>
      <c r="PGT285" s="1144"/>
      <c r="PGU285" s="1144"/>
      <c r="PGV285" s="1144"/>
      <c r="PGW285" s="1144"/>
      <c r="PGX285" s="1144"/>
      <c r="PGY285" s="1144"/>
      <c r="PGZ285" s="1144"/>
      <c r="PHA285" s="1144"/>
      <c r="PHB285" s="1144"/>
      <c r="PHC285" s="1144"/>
      <c r="PHD285" s="1144"/>
      <c r="PHE285" s="1144"/>
      <c r="PHF285" s="1144"/>
      <c r="PHG285" s="1144"/>
      <c r="PHH285" s="1144"/>
      <c r="PHI285" s="1144"/>
      <c r="PHJ285" s="1144"/>
      <c r="PHK285" s="1144"/>
      <c r="PHL285" s="1144"/>
      <c r="PHM285" s="1144"/>
      <c r="PHN285" s="1144"/>
      <c r="PHO285" s="1144"/>
      <c r="PHP285" s="1144"/>
      <c r="PHQ285" s="1144"/>
      <c r="PHR285" s="1144"/>
      <c r="PHS285" s="1144"/>
      <c r="PHT285" s="1144"/>
      <c r="PHU285" s="1144"/>
      <c r="PHV285" s="1144"/>
      <c r="PHW285" s="1144"/>
      <c r="PHX285" s="1144"/>
      <c r="PHY285" s="1144"/>
      <c r="PHZ285" s="1144"/>
      <c r="PIA285" s="1144"/>
      <c r="PIB285" s="1144"/>
      <c r="PIC285" s="1144"/>
      <c r="PID285" s="1144"/>
      <c r="PIE285" s="1144"/>
      <c r="PIF285" s="1144"/>
      <c r="PIG285" s="1144"/>
      <c r="PIH285" s="1144"/>
      <c r="PII285" s="1144"/>
      <c r="PIJ285" s="1144"/>
      <c r="PIK285" s="1144"/>
      <c r="PIL285" s="1144"/>
      <c r="PIM285" s="1144"/>
      <c r="PIN285" s="1144"/>
      <c r="PIO285" s="1144"/>
      <c r="PIP285" s="1144"/>
      <c r="PIQ285" s="1144"/>
      <c r="PIR285" s="1144"/>
      <c r="PIS285" s="1144"/>
      <c r="PIT285" s="1144"/>
      <c r="PIU285" s="1144"/>
      <c r="PIV285" s="1144"/>
      <c r="PIW285" s="1144"/>
      <c r="PIX285" s="1144"/>
      <c r="PIY285" s="1144"/>
      <c r="PIZ285" s="1144"/>
      <c r="PJA285" s="1144"/>
      <c r="PJB285" s="1144"/>
      <c r="PJC285" s="1144"/>
      <c r="PJD285" s="1144"/>
      <c r="PJE285" s="1144"/>
      <c r="PJF285" s="1144"/>
      <c r="PJG285" s="1144"/>
      <c r="PJH285" s="1144"/>
      <c r="PJI285" s="1144"/>
      <c r="PJJ285" s="1144"/>
      <c r="PJK285" s="1144"/>
      <c r="PJL285" s="1144"/>
      <c r="PJM285" s="1144"/>
      <c r="PJN285" s="1144"/>
      <c r="PJO285" s="1144"/>
      <c r="PJP285" s="1144"/>
      <c r="PJQ285" s="1144"/>
      <c r="PJR285" s="1144"/>
      <c r="PJS285" s="1144"/>
      <c r="PJT285" s="1144"/>
      <c r="PJU285" s="1144"/>
      <c r="PJV285" s="1144"/>
      <c r="PJW285" s="1144"/>
      <c r="PJX285" s="1144"/>
      <c r="PJY285" s="1144"/>
      <c r="PJZ285" s="1144"/>
      <c r="PKA285" s="1144"/>
      <c r="PKB285" s="1144"/>
      <c r="PKC285" s="1144"/>
      <c r="PKD285" s="1144"/>
      <c r="PKE285" s="1144"/>
      <c r="PKF285" s="1144"/>
      <c r="PKG285" s="1144"/>
      <c r="PKH285" s="1144"/>
      <c r="PKI285" s="1144"/>
      <c r="PKJ285" s="1144"/>
      <c r="PKK285" s="1144"/>
      <c r="PKL285" s="1144"/>
      <c r="PKM285" s="1144"/>
      <c r="PKN285" s="1144"/>
      <c r="PKO285" s="1144"/>
      <c r="PKP285" s="1144"/>
      <c r="PKQ285" s="1144"/>
      <c r="PKR285" s="1144"/>
      <c r="PKS285" s="1144"/>
      <c r="PKT285" s="1144"/>
      <c r="PKU285" s="1144"/>
      <c r="PKV285" s="1144"/>
      <c r="PKW285" s="1144"/>
      <c r="PKX285" s="1144"/>
      <c r="PKY285" s="1144"/>
      <c r="PKZ285" s="1144"/>
      <c r="PLA285" s="1144"/>
      <c r="PLB285" s="1144"/>
      <c r="PLC285" s="1144"/>
      <c r="PLD285" s="1144"/>
      <c r="PLE285" s="1144"/>
      <c r="PLF285" s="1144"/>
      <c r="PLG285" s="1144"/>
      <c r="PLH285" s="1144"/>
      <c r="PLI285" s="1144"/>
      <c r="PLJ285" s="1144"/>
      <c r="PLK285" s="1144"/>
      <c r="PLL285" s="1144"/>
      <c r="PLM285" s="1144"/>
      <c r="PLN285" s="1144"/>
      <c r="PLO285" s="1144"/>
      <c r="PLP285" s="1144"/>
      <c r="PLQ285" s="1144"/>
      <c r="PLR285" s="1144"/>
      <c r="PLS285" s="1144"/>
      <c r="PLT285" s="1144"/>
      <c r="PLU285" s="1144"/>
      <c r="PLV285" s="1144"/>
      <c r="PLW285" s="1144"/>
      <c r="PLX285" s="1144"/>
      <c r="PLY285" s="1144"/>
      <c r="PLZ285" s="1144"/>
      <c r="PMA285" s="1144"/>
      <c r="PMB285" s="1144"/>
      <c r="PMC285" s="1144"/>
      <c r="PMD285" s="1144"/>
      <c r="PME285" s="1144"/>
      <c r="PMF285" s="1144"/>
      <c r="PMG285" s="1144"/>
      <c r="PMH285" s="1144"/>
      <c r="PMI285" s="1144"/>
      <c r="PMJ285" s="1144"/>
      <c r="PMK285" s="1144"/>
      <c r="PML285" s="1144"/>
      <c r="PMM285" s="1144"/>
      <c r="PMN285" s="1144"/>
      <c r="PMO285" s="1144"/>
      <c r="PMP285" s="1144"/>
      <c r="PMQ285" s="1144"/>
      <c r="PMR285" s="1144"/>
      <c r="PMS285" s="1144"/>
      <c r="PMT285" s="1144"/>
      <c r="PMU285" s="1144"/>
      <c r="PMV285" s="1144"/>
      <c r="PMW285" s="1144"/>
      <c r="PMX285" s="1144"/>
      <c r="PMY285" s="1144"/>
      <c r="PMZ285" s="1144"/>
      <c r="PNA285" s="1144"/>
      <c r="PNB285" s="1144"/>
      <c r="PNC285" s="1144"/>
      <c r="PND285" s="1144"/>
      <c r="PNE285" s="1144"/>
      <c r="PNF285" s="1144"/>
      <c r="PNG285" s="1144"/>
      <c r="PNH285" s="1144"/>
      <c r="PNI285" s="1144"/>
      <c r="PNJ285" s="1144"/>
      <c r="PNK285" s="1144"/>
      <c r="PNL285" s="1144"/>
      <c r="PNM285" s="1144"/>
      <c r="PNN285" s="1144"/>
      <c r="PNO285" s="1144"/>
      <c r="PNP285" s="1144"/>
      <c r="PNQ285" s="1144"/>
      <c r="PNR285" s="1144"/>
      <c r="PNS285" s="1144"/>
      <c r="PNT285" s="1144"/>
      <c r="PNU285" s="1144"/>
      <c r="PNV285" s="1144"/>
      <c r="PNW285" s="1144"/>
      <c r="PNX285" s="1144"/>
      <c r="PNY285" s="1144"/>
      <c r="PNZ285" s="1144"/>
      <c r="POA285" s="1144"/>
      <c r="POB285" s="1144"/>
      <c r="POC285" s="1144"/>
      <c r="POD285" s="1144"/>
      <c r="POE285" s="1144"/>
      <c r="POF285" s="1144"/>
      <c r="POG285" s="1144"/>
      <c r="POH285" s="1144"/>
      <c r="POI285" s="1144"/>
      <c r="POJ285" s="1144"/>
      <c r="POK285" s="1144"/>
      <c r="POL285" s="1144"/>
      <c r="POM285" s="1144"/>
      <c r="PON285" s="1144"/>
      <c r="POO285" s="1144"/>
      <c r="POP285" s="1144"/>
      <c r="POQ285" s="1144"/>
      <c r="POR285" s="1144"/>
      <c r="POS285" s="1144"/>
      <c r="POT285" s="1144"/>
      <c r="POU285" s="1144"/>
      <c r="POV285" s="1144"/>
      <c r="POW285" s="1144"/>
      <c r="POX285" s="1144"/>
      <c r="POY285" s="1144"/>
      <c r="POZ285" s="1144"/>
      <c r="PPA285" s="1144"/>
      <c r="PPB285" s="1144"/>
      <c r="PPC285" s="1144"/>
      <c r="PPD285" s="1144"/>
      <c r="PPE285" s="1144"/>
      <c r="PPF285" s="1144"/>
      <c r="PPG285" s="1144"/>
      <c r="PPH285" s="1144"/>
      <c r="PPI285" s="1144"/>
      <c r="PPJ285" s="1144"/>
      <c r="PPK285" s="1144"/>
      <c r="PPL285" s="1144"/>
      <c r="PPM285" s="1144"/>
      <c r="PPN285" s="1144"/>
      <c r="PPO285" s="1144"/>
      <c r="PPP285" s="1144"/>
      <c r="PPQ285" s="1144"/>
      <c r="PPR285" s="1144"/>
      <c r="PPS285" s="1144"/>
      <c r="PPT285" s="1144"/>
      <c r="PPU285" s="1144"/>
      <c r="PPV285" s="1144"/>
      <c r="PPW285" s="1144"/>
      <c r="PPX285" s="1144"/>
      <c r="PPY285" s="1144"/>
      <c r="PPZ285" s="1144"/>
      <c r="PQA285" s="1144"/>
      <c r="PQB285" s="1144"/>
      <c r="PQC285" s="1144"/>
      <c r="PQD285" s="1144"/>
      <c r="PQE285" s="1144"/>
      <c r="PQF285" s="1144"/>
      <c r="PQG285" s="1144"/>
      <c r="PQH285" s="1144"/>
      <c r="PQI285" s="1144"/>
      <c r="PQJ285" s="1144"/>
      <c r="PQK285" s="1144"/>
      <c r="PQL285" s="1144"/>
      <c r="PQM285" s="1144"/>
      <c r="PQN285" s="1144"/>
      <c r="PQO285" s="1144"/>
      <c r="PQP285" s="1144"/>
      <c r="PQQ285" s="1144"/>
      <c r="PQR285" s="1144"/>
      <c r="PQS285" s="1144"/>
      <c r="PQT285" s="1144"/>
      <c r="PQU285" s="1144"/>
      <c r="PQV285" s="1144"/>
      <c r="PQW285" s="1144"/>
      <c r="PQX285" s="1144"/>
      <c r="PQY285" s="1144"/>
      <c r="PQZ285" s="1144"/>
      <c r="PRA285" s="1144"/>
      <c r="PRB285" s="1144"/>
      <c r="PRC285" s="1144"/>
      <c r="PRD285" s="1144"/>
      <c r="PRE285" s="1144"/>
      <c r="PRF285" s="1144"/>
      <c r="PRG285" s="1144"/>
      <c r="PRH285" s="1144"/>
      <c r="PRI285" s="1144"/>
      <c r="PRJ285" s="1144"/>
      <c r="PRK285" s="1144"/>
      <c r="PRL285" s="1144"/>
      <c r="PRM285" s="1144"/>
      <c r="PRN285" s="1144"/>
      <c r="PRO285" s="1144"/>
      <c r="PRP285" s="1144"/>
      <c r="PRQ285" s="1144"/>
      <c r="PRR285" s="1144"/>
      <c r="PRS285" s="1144"/>
      <c r="PRT285" s="1144"/>
      <c r="PRU285" s="1144"/>
      <c r="PRV285" s="1144"/>
      <c r="PRW285" s="1144"/>
      <c r="PRX285" s="1144"/>
      <c r="PRY285" s="1144"/>
      <c r="PRZ285" s="1144"/>
      <c r="PSA285" s="1144"/>
      <c r="PSB285" s="1144"/>
      <c r="PSC285" s="1144"/>
      <c r="PSD285" s="1144"/>
      <c r="PSE285" s="1144"/>
      <c r="PSF285" s="1144"/>
      <c r="PSG285" s="1144"/>
      <c r="PSH285" s="1144"/>
      <c r="PSI285" s="1144"/>
      <c r="PSJ285" s="1144"/>
      <c r="PSK285" s="1144"/>
      <c r="PSL285" s="1144"/>
      <c r="PSM285" s="1144"/>
      <c r="PSN285" s="1144"/>
      <c r="PSO285" s="1144"/>
      <c r="PSP285" s="1144"/>
      <c r="PSQ285" s="1144"/>
      <c r="PSR285" s="1144"/>
      <c r="PSS285" s="1144"/>
      <c r="PST285" s="1144"/>
      <c r="PSU285" s="1144"/>
      <c r="PSV285" s="1144"/>
      <c r="PSW285" s="1144"/>
      <c r="PSX285" s="1144"/>
      <c r="PSY285" s="1144"/>
      <c r="PSZ285" s="1144"/>
      <c r="PTA285" s="1144"/>
      <c r="PTB285" s="1144"/>
      <c r="PTC285" s="1144"/>
      <c r="PTD285" s="1144"/>
      <c r="PTE285" s="1144"/>
      <c r="PTF285" s="1144"/>
      <c r="PTG285" s="1144"/>
      <c r="PTH285" s="1144"/>
      <c r="PTI285" s="1144"/>
      <c r="PTJ285" s="1144"/>
      <c r="PTK285" s="1144"/>
      <c r="PTL285" s="1144"/>
      <c r="PTM285" s="1144"/>
      <c r="PTN285" s="1144"/>
      <c r="PTO285" s="1144"/>
      <c r="PTP285" s="1144"/>
      <c r="PTQ285" s="1144"/>
      <c r="PTR285" s="1144"/>
      <c r="PTS285" s="1144"/>
      <c r="PTT285" s="1144"/>
      <c r="PTU285" s="1144"/>
      <c r="PTV285" s="1144"/>
      <c r="PTW285" s="1144"/>
      <c r="PTX285" s="1144"/>
      <c r="PTY285" s="1144"/>
      <c r="PTZ285" s="1144"/>
      <c r="PUA285" s="1144"/>
      <c r="PUB285" s="1144"/>
      <c r="PUC285" s="1144"/>
      <c r="PUD285" s="1144"/>
      <c r="PUE285" s="1144"/>
      <c r="PUF285" s="1144"/>
      <c r="PUG285" s="1144"/>
      <c r="PUH285" s="1144"/>
      <c r="PUI285" s="1144"/>
      <c r="PUJ285" s="1144"/>
      <c r="PUK285" s="1144"/>
      <c r="PUL285" s="1144"/>
      <c r="PUM285" s="1144"/>
      <c r="PUN285" s="1144"/>
      <c r="PUO285" s="1144"/>
      <c r="PUP285" s="1144"/>
      <c r="PUQ285" s="1144"/>
      <c r="PUR285" s="1144"/>
      <c r="PUS285" s="1144"/>
      <c r="PUT285" s="1144"/>
      <c r="PUU285" s="1144"/>
      <c r="PUV285" s="1144"/>
      <c r="PUW285" s="1144"/>
      <c r="PUX285" s="1144"/>
      <c r="PUY285" s="1144"/>
      <c r="PUZ285" s="1144"/>
      <c r="PVA285" s="1144"/>
      <c r="PVB285" s="1144"/>
      <c r="PVC285" s="1144"/>
      <c r="PVD285" s="1144"/>
      <c r="PVE285" s="1144"/>
      <c r="PVF285" s="1144"/>
      <c r="PVG285" s="1144"/>
      <c r="PVH285" s="1144"/>
      <c r="PVI285" s="1144"/>
      <c r="PVJ285" s="1144"/>
      <c r="PVK285" s="1144"/>
      <c r="PVL285" s="1144"/>
      <c r="PVM285" s="1144"/>
      <c r="PVN285" s="1144"/>
      <c r="PVO285" s="1144"/>
      <c r="PVP285" s="1144"/>
      <c r="PVQ285" s="1144"/>
      <c r="PVR285" s="1144"/>
      <c r="PVS285" s="1144"/>
      <c r="PVT285" s="1144"/>
      <c r="PVU285" s="1144"/>
      <c r="PVV285" s="1144"/>
      <c r="PVW285" s="1144"/>
      <c r="PVX285" s="1144"/>
      <c r="PVY285" s="1144"/>
      <c r="PVZ285" s="1144"/>
      <c r="PWA285" s="1144"/>
      <c r="PWB285" s="1144"/>
      <c r="PWC285" s="1144"/>
      <c r="PWD285" s="1144"/>
      <c r="PWE285" s="1144"/>
      <c r="PWF285" s="1144"/>
      <c r="PWG285" s="1144"/>
      <c r="PWH285" s="1144"/>
      <c r="PWI285" s="1144"/>
      <c r="PWJ285" s="1144"/>
      <c r="PWK285" s="1144"/>
      <c r="PWL285" s="1144"/>
      <c r="PWM285" s="1144"/>
      <c r="PWN285" s="1144"/>
      <c r="PWO285" s="1144"/>
      <c r="PWP285" s="1144"/>
      <c r="PWQ285" s="1144"/>
      <c r="PWR285" s="1144"/>
      <c r="PWS285" s="1144"/>
      <c r="PWT285" s="1144"/>
      <c r="PWU285" s="1144"/>
      <c r="PWV285" s="1144"/>
      <c r="PWW285" s="1144"/>
      <c r="PWX285" s="1144"/>
      <c r="PWY285" s="1144"/>
      <c r="PWZ285" s="1144"/>
      <c r="PXA285" s="1144"/>
      <c r="PXB285" s="1144"/>
      <c r="PXC285" s="1144"/>
      <c r="PXD285" s="1144"/>
      <c r="PXE285" s="1144"/>
      <c r="PXF285" s="1144"/>
      <c r="PXG285" s="1144"/>
      <c r="PXH285" s="1144"/>
      <c r="PXI285" s="1144"/>
      <c r="PXJ285" s="1144"/>
      <c r="PXK285" s="1144"/>
      <c r="PXL285" s="1144"/>
      <c r="PXM285" s="1144"/>
      <c r="PXN285" s="1144"/>
      <c r="PXO285" s="1144"/>
      <c r="PXP285" s="1144"/>
      <c r="PXQ285" s="1144"/>
      <c r="PXR285" s="1144"/>
      <c r="PXS285" s="1144"/>
      <c r="PXT285" s="1144"/>
      <c r="PXU285" s="1144"/>
      <c r="PXV285" s="1144"/>
      <c r="PXW285" s="1144"/>
      <c r="PXX285" s="1144"/>
      <c r="PXY285" s="1144"/>
      <c r="PXZ285" s="1144"/>
      <c r="PYA285" s="1144"/>
      <c r="PYB285" s="1144"/>
      <c r="PYC285" s="1144"/>
      <c r="PYD285" s="1144"/>
      <c r="PYE285" s="1144"/>
      <c r="PYF285" s="1144"/>
      <c r="PYG285" s="1144"/>
      <c r="PYH285" s="1144"/>
      <c r="PYI285" s="1144"/>
      <c r="PYJ285" s="1144"/>
      <c r="PYK285" s="1144"/>
      <c r="PYL285" s="1144"/>
      <c r="PYM285" s="1144"/>
      <c r="PYN285" s="1144"/>
      <c r="PYO285" s="1144"/>
      <c r="PYP285" s="1144"/>
      <c r="PYQ285" s="1144"/>
      <c r="PYR285" s="1144"/>
      <c r="PYS285" s="1144"/>
      <c r="PYT285" s="1144"/>
      <c r="PYU285" s="1144"/>
      <c r="PYV285" s="1144"/>
      <c r="PYW285" s="1144"/>
      <c r="PYX285" s="1144"/>
      <c r="PYY285" s="1144"/>
      <c r="PYZ285" s="1144"/>
      <c r="PZA285" s="1144"/>
      <c r="PZB285" s="1144"/>
      <c r="PZC285" s="1144"/>
      <c r="PZD285" s="1144"/>
      <c r="PZE285" s="1144"/>
      <c r="PZF285" s="1144"/>
      <c r="PZG285" s="1144"/>
      <c r="PZH285" s="1144"/>
      <c r="PZI285" s="1144"/>
      <c r="PZJ285" s="1144"/>
      <c r="PZK285" s="1144"/>
      <c r="PZL285" s="1144"/>
      <c r="PZM285" s="1144"/>
      <c r="PZN285" s="1144"/>
      <c r="PZO285" s="1144"/>
      <c r="PZP285" s="1144"/>
      <c r="PZQ285" s="1144"/>
      <c r="PZR285" s="1144"/>
      <c r="PZS285" s="1144"/>
      <c r="PZT285" s="1144"/>
      <c r="PZU285" s="1144"/>
      <c r="PZV285" s="1144"/>
      <c r="PZW285" s="1144"/>
      <c r="PZX285" s="1144"/>
      <c r="PZY285" s="1144"/>
      <c r="PZZ285" s="1144"/>
      <c r="QAA285" s="1144"/>
      <c r="QAB285" s="1144"/>
      <c r="QAC285" s="1144"/>
      <c r="QAD285" s="1144"/>
      <c r="QAE285" s="1144"/>
      <c r="QAF285" s="1144"/>
      <c r="QAG285" s="1144"/>
      <c r="QAH285" s="1144"/>
      <c r="QAI285" s="1144"/>
      <c r="QAJ285" s="1144"/>
      <c r="QAK285" s="1144"/>
      <c r="QAL285" s="1144"/>
      <c r="QAM285" s="1144"/>
      <c r="QAN285" s="1144"/>
      <c r="QAO285" s="1144"/>
      <c r="QAP285" s="1144"/>
      <c r="QAQ285" s="1144"/>
      <c r="QAR285" s="1144"/>
      <c r="QAS285" s="1144"/>
      <c r="QAT285" s="1144"/>
      <c r="QAU285" s="1144"/>
      <c r="QAV285" s="1144"/>
      <c r="QAW285" s="1144"/>
      <c r="QAX285" s="1144"/>
      <c r="QAY285" s="1144"/>
      <c r="QAZ285" s="1144"/>
      <c r="QBA285" s="1144"/>
      <c r="QBB285" s="1144"/>
      <c r="QBC285" s="1144"/>
      <c r="QBD285" s="1144"/>
      <c r="QBE285" s="1144"/>
      <c r="QBF285" s="1144"/>
      <c r="QBG285" s="1144"/>
      <c r="QBH285" s="1144"/>
      <c r="QBI285" s="1144"/>
      <c r="QBJ285" s="1144"/>
      <c r="QBK285" s="1144"/>
      <c r="QBL285" s="1144"/>
      <c r="QBM285" s="1144"/>
      <c r="QBN285" s="1144"/>
      <c r="QBO285" s="1144"/>
      <c r="QBP285" s="1144"/>
      <c r="QBQ285" s="1144"/>
      <c r="QBR285" s="1144"/>
      <c r="QBS285" s="1144"/>
      <c r="QBT285" s="1144"/>
      <c r="QBU285" s="1144"/>
      <c r="QBV285" s="1144"/>
      <c r="QBW285" s="1144"/>
      <c r="QBX285" s="1144"/>
      <c r="QBY285" s="1144"/>
      <c r="QBZ285" s="1144"/>
      <c r="QCA285" s="1144"/>
      <c r="QCB285" s="1144"/>
      <c r="QCC285" s="1144"/>
      <c r="QCD285" s="1144"/>
      <c r="QCE285" s="1144"/>
      <c r="QCF285" s="1144"/>
      <c r="QCG285" s="1144"/>
      <c r="QCH285" s="1144"/>
      <c r="QCI285" s="1144"/>
      <c r="QCJ285" s="1144"/>
      <c r="QCK285" s="1144"/>
      <c r="QCL285" s="1144"/>
      <c r="QCM285" s="1144"/>
      <c r="QCN285" s="1144"/>
      <c r="QCO285" s="1144"/>
      <c r="QCP285" s="1144"/>
      <c r="QCQ285" s="1144"/>
      <c r="QCR285" s="1144"/>
      <c r="QCS285" s="1144"/>
      <c r="QCT285" s="1144"/>
      <c r="QCU285" s="1144"/>
      <c r="QCV285" s="1144"/>
      <c r="QCW285" s="1144"/>
      <c r="QCX285" s="1144"/>
      <c r="QCY285" s="1144"/>
      <c r="QCZ285" s="1144"/>
      <c r="QDA285" s="1144"/>
      <c r="QDB285" s="1144"/>
      <c r="QDC285" s="1144"/>
      <c r="QDD285" s="1144"/>
      <c r="QDE285" s="1144"/>
      <c r="QDF285" s="1144"/>
      <c r="QDG285" s="1144"/>
      <c r="QDH285" s="1144"/>
      <c r="QDI285" s="1144"/>
      <c r="QDJ285" s="1144"/>
      <c r="QDK285" s="1144"/>
      <c r="QDL285" s="1144"/>
      <c r="QDM285" s="1144"/>
      <c r="QDN285" s="1144"/>
      <c r="QDO285" s="1144"/>
      <c r="QDP285" s="1144"/>
      <c r="QDQ285" s="1144"/>
      <c r="QDR285" s="1144"/>
      <c r="QDS285" s="1144"/>
      <c r="QDT285" s="1144"/>
      <c r="QDU285" s="1144"/>
      <c r="QDV285" s="1144"/>
      <c r="QDW285" s="1144"/>
      <c r="QDX285" s="1144"/>
      <c r="QDY285" s="1144"/>
      <c r="QDZ285" s="1144"/>
      <c r="QEA285" s="1144"/>
      <c r="QEB285" s="1144"/>
      <c r="QEC285" s="1144"/>
      <c r="QED285" s="1144"/>
      <c r="QEE285" s="1144"/>
      <c r="QEF285" s="1144"/>
      <c r="QEG285" s="1144"/>
      <c r="QEH285" s="1144"/>
      <c r="QEI285" s="1144"/>
      <c r="QEJ285" s="1144"/>
      <c r="QEK285" s="1144"/>
      <c r="QEL285" s="1144"/>
      <c r="QEM285" s="1144"/>
      <c r="QEN285" s="1144"/>
      <c r="QEO285" s="1144"/>
      <c r="QEP285" s="1144"/>
      <c r="QEQ285" s="1144"/>
      <c r="QER285" s="1144"/>
      <c r="QES285" s="1144"/>
      <c r="QET285" s="1144"/>
      <c r="QEU285" s="1144"/>
      <c r="QEV285" s="1144"/>
      <c r="QEW285" s="1144"/>
      <c r="QEX285" s="1144"/>
      <c r="QEY285" s="1144"/>
      <c r="QEZ285" s="1144"/>
      <c r="QFA285" s="1144"/>
      <c r="QFB285" s="1144"/>
      <c r="QFC285" s="1144"/>
      <c r="QFD285" s="1144"/>
      <c r="QFE285" s="1144"/>
      <c r="QFF285" s="1144"/>
      <c r="QFG285" s="1144"/>
      <c r="QFH285" s="1144"/>
      <c r="QFI285" s="1144"/>
      <c r="QFJ285" s="1144"/>
      <c r="QFK285" s="1144"/>
      <c r="QFL285" s="1144"/>
      <c r="QFM285" s="1144"/>
      <c r="QFN285" s="1144"/>
      <c r="QFO285" s="1144"/>
      <c r="QFP285" s="1144"/>
      <c r="QFQ285" s="1144"/>
      <c r="QFR285" s="1144"/>
      <c r="QFS285" s="1144"/>
      <c r="QFT285" s="1144"/>
      <c r="QFU285" s="1144"/>
      <c r="QFV285" s="1144"/>
      <c r="QFW285" s="1144"/>
      <c r="QFX285" s="1144"/>
      <c r="QFY285" s="1144"/>
      <c r="QFZ285" s="1144"/>
      <c r="QGA285" s="1144"/>
      <c r="QGB285" s="1144"/>
      <c r="QGC285" s="1144"/>
      <c r="QGD285" s="1144"/>
      <c r="QGE285" s="1144"/>
      <c r="QGF285" s="1144"/>
      <c r="QGG285" s="1144"/>
      <c r="QGH285" s="1144"/>
      <c r="QGI285" s="1144"/>
      <c r="QGJ285" s="1144"/>
      <c r="QGK285" s="1144"/>
      <c r="QGL285" s="1144"/>
      <c r="QGM285" s="1144"/>
      <c r="QGN285" s="1144"/>
      <c r="QGO285" s="1144"/>
      <c r="QGP285" s="1144"/>
      <c r="QGQ285" s="1144"/>
      <c r="QGR285" s="1144"/>
      <c r="QGS285" s="1144"/>
      <c r="QGT285" s="1144"/>
      <c r="QGU285" s="1144"/>
      <c r="QGV285" s="1144"/>
      <c r="QGW285" s="1144"/>
      <c r="QGX285" s="1144"/>
      <c r="QGY285" s="1144"/>
      <c r="QGZ285" s="1144"/>
      <c r="QHA285" s="1144"/>
      <c r="QHB285" s="1144"/>
      <c r="QHC285" s="1144"/>
      <c r="QHD285" s="1144"/>
      <c r="QHE285" s="1144"/>
      <c r="QHF285" s="1144"/>
      <c r="QHG285" s="1144"/>
      <c r="QHH285" s="1144"/>
      <c r="QHI285" s="1144"/>
      <c r="QHJ285" s="1144"/>
      <c r="QHK285" s="1144"/>
      <c r="QHL285" s="1144"/>
      <c r="QHM285" s="1144"/>
      <c r="QHN285" s="1144"/>
      <c r="QHO285" s="1144"/>
      <c r="QHP285" s="1144"/>
      <c r="QHQ285" s="1144"/>
      <c r="QHR285" s="1144"/>
      <c r="QHS285" s="1144"/>
      <c r="QHT285" s="1144"/>
      <c r="QHU285" s="1144"/>
      <c r="QHV285" s="1144"/>
      <c r="QHW285" s="1144"/>
      <c r="QHX285" s="1144"/>
      <c r="QHY285" s="1144"/>
      <c r="QHZ285" s="1144"/>
      <c r="QIA285" s="1144"/>
      <c r="QIB285" s="1144"/>
      <c r="QIC285" s="1144"/>
      <c r="QID285" s="1144"/>
      <c r="QIE285" s="1144"/>
      <c r="QIF285" s="1144"/>
      <c r="QIG285" s="1144"/>
      <c r="QIH285" s="1144"/>
      <c r="QII285" s="1144"/>
      <c r="QIJ285" s="1144"/>
      <c r="QIK285" s="1144"/>
      <c r="QIL285" s="1144"/>
      <c r="QIM285" s="1144"/>
      <c r="QIN285" s="1144"/>
      <c r="QIO285" s="1144"/>
      <c r="QIP285" s="1144"/>
      <c r="QIQ285" s="1144"/>
      <c r="QIR285" s="1144"/>
      <c r="QIS285" s="1144"/>
      <c r="QIT285" s="1144"/>
      <c r="QIU285" s="1144"/>
      <c r="QIV285" s="1144"/>
      <c r="QIW285" s="1144"/>
      <c r="QIX285" s="1144"/>
      <c r="QIY285" s="1144"/>
      <c r="QIZ285" s="1144"/>
      <c r="QJA285" s="1144"/>
      <c r="QJB285" s="1144"/>
      <c r="QJC285" s="1144"/>
      <c r="QJD285" s="1144"/>
      <c r="QJE285" s="1144"/>
      <c r="QJF285" s="1144"/>
      <c r="QJG285" s="1144"/>
      <c r="QJH285" s="1144"/>
      <c r="QJI285" s="1144"/>
      <c r="QJJ285" s="1144"/>
      <c r="QJK285" s="1144"/>
      <c r="QJL285" s="1144"/>
      <c r="QJM285" s="1144"/>
      <c r="QJN285" s="1144"/>
      <c r="QJO285" s="1144"/>
      <c r="QJP285" s="1144"/>
      <c r="QJQ285" s="1144"/>
      <c r="QJR285" s="1144"/>
      <c r="QJS285" s="1144"/>
      <c r="QJT285" s="1144"/>
      <c r="QJU285" s="1144"/>
      <c r="QJV285" s="1144"/>
      <c r="QJW285" s="1144"/>
      <c r="QJX285" s="1144"/>
      <c r="QJY285" s="1144"/>
      <c r="QJZ285" s="1144"/>
      <c r="QKA285" s="1144"/>
      <c r="QKB285" s="1144"/>
      <c r="QKC285" s="1144"/>
      <c r="QKD285" s="1144"/>
      <c r="QKE285" s="1144"/>
      <c r="QKF285" s="1144"/>
      <c r="QKG285" s="1144"/>
      <c r="QKH285" s="1144"/>
      <c r="QKI285" s="1144"/>
      <c r="QKJ285" s="1144"/>
      <c r="QKK285" s="1144"/>
      <c r="QKL285" s="1144"/>
      <c r="QKM285" s="1144"/>
      <c r="QKN285" s="1144"/>
      <c r="QKO285" s="1144"/>
      <c r="QKP285" s="1144"/>
      <c r="QKQ285" s="1144"/>
      <c r="QKR285" s="1144"/>
      <c r="QKS285" s="1144"/>
      <c r="QKT285" s="1144"/>
      <c r="QKU285" s="1144"/>
      <c r="QKV285" s="1144"/>
      <c r="QKW285" s="1144"/>
      <c r="QKX285" s="1144"/>
      <c r="QKY285" s="1144"/>
      <c r="QKZ285" s="1144"/>
      <c r="QLA285" s="1144"/>
      <c r="QLB285" s="1144"/>
      <c r="QLC285" s="1144"/>
      <c r="QLD285" s="1144"/>
      <c r="QLE285" s="1144"/>
      <c r="QLF285" s="1144"/>
      <c r="QLG285" s="1144"/>
      <c r="QLH285" s="1144"/>
      <c r="QLI285" s="1144"/>
      <c r="QLJ285" s="1144"/>
      <c r="QLK285" s="1144"/>
      <c r="QLL285" s="1144"/>
      <c r="QLM285" s="1144"/>
      <c r="QLN285" s="1144"/>
      <c r="QLO285" s="1144"/>
      <c r="QLP285" s="1144"/>
      <c r="QLQ285" s="1144"/>
      <c r="QLR285" s="1144"/>
      <c r="QLS285" s="1144"/>
      <c r="QLT285" s="1144"/>
      <c r="QLU285" s="1144"/>
      <c r="QLV285" s="1144"/>
      <c r="QLW285" s="1144"/>
      <c r="QLX285" s="1144"/>
      <c r="QLY285" s="1144"/>
      <c r="QLZ285" s="1144"/>
      <c r="QMA285" s="1144"/>
      <c r="QMB285" s="1144"/>
      <c r="QMC285" s="1144"/>
      <c r="QMD285" s="1144"/>
      <c r="QME285" s="1144"/>
      <c r="QMF285" s="1144"/>
      <c r="QMG285" s="1144"/>
      <c r="QMH285" s="1144"/>
      <c r="QMI285" s="1144"/>
      <c r="QMJ285" s="1144"/>
      <c r="QMK285" s="1144"/>
      <c r="QML285" s="1144"/>
      <c r="QMM285" s="1144"/>
      <c r="QMN285" s="1144"/>
      <c r="QMO285" s="1144"/>
      <c r="QMP285" s="1144"/>
      <c r="QMQ285" s="1144"/>
      <c r="QMR285" s="1144"/>
      <c r="QMS285" s="1144"/>
      <c r="QMT285" s="1144"/>
      <c r="QMU285" s="1144"/>
      <c r="QMV285" s="1144"/>
      <c r="QMW285" s="1144"/>
      <c r="QMX285" s="1144"/>
      <c r="QMY285" s="1144"/>
      <c r="QMZ285" s="1144"/>
      <c r="QNA285" s="1144"/>
      <c r="QNB285" s="1144"/>
      <c r="QNC285" s="1144"/>
      <c r="QND285" s="1144"/>
      <c r="QNE285" s="1144"/>
      <c r="QNF285" s="1144"/>
      <c r="QNG285" s="1144"/>
      <c r="QNH285" s="1144"/>
      <c r="QNI285" s="1144"/>
      <c r="QNJ285" s="1144"/>
      <c r="QNK285" s="1144"/>
      <c r="QNL285" s="1144"/>
      <c r="QNM285" s="1144"/>
      <c r="QNN285" s="1144"/>
      <c r="QNO285" s="1144"/>
      <c r="QNP285" s="1144"/>
      <c r="QNQ285" s="1144"/>
      <c r="QNR285" s="1144"/>
      <c r="QNS285" s="1144"/>
      <c r="QNT285" s="1144"/>
      <c r="QNU285" s="1144"/>
      <c r="QNV285" s="1144"/>
      <c r="QNW285" s="1144"/>
      <c r="QNX285" s="1144"/>
      <c r="QNY285" s="1144"/>
      <c r="QNZ285" s="1144"/>
      <c r="QOA285" s="1144"/>
      <c r="QOB285" s="1144"/>
      <c r="QOC285" s="1144"/>
      <c r="QOD285" s="1144"/>
      <c r="QOE285" s="1144"/>
      <c r="QOF285" s="1144"/>
      <c r="QOG285" s="1144"/>
      <c r="QOH285" s="1144"/>
      <c r="QOI285" s="1144"/>
      <c r="QOJ285" s="1144"/>
      <c r="QOK285" s="1144"/>
      <c r="QOL285" s="1144"/>
      <c r="QOM285" s="1144"/>
      <c r="QON285" s="1144"/>
      <c r="QOO285" s="1144"/>
      <c r="QOP285" s="1144"/>
      <c r="QOQ285" s="1144"/>
      <c r="QOR285" s="1144"/>
      <c r="QOS285" s="1144"/>
      <c r="QOT285" s="1144"/>
      <c r="QOU285" s="1144"/>
      <c r="QOV285" s="1144"/>
      <c r="QOW285" s="1144"/>
      <c r="QOX285" s="1144"/>
      <c r="QOY285" s="1144"/>
      <c r="QOZ285" s="1144"/>
      <c r="QPA285" s="1144"/>
      <c r="QPB285" s="1144"/>
      <c r="QPC285" s="1144"/>
      <c r="QPD285" s="1144"/>
      <c r="QPE285" s="1144"/>
      <c r="QPF285" s="1144"/>
      <c r="QPG285" s="1144"/>
      <c r="QPH285" s="1144"/>
      <c r="QPI285" s="1144"/>
      <c r="QPJ285" s="1144"/>
      <c r="QPK285" s="1144"/>
      <c r="QPL285" s="1144"/>
      <c r="QPM285" s="1144"/>
      <c r="QPN285" s="1144"/>
      <c r="QPO285" s="1144"/>
      <c r="QPP285" s="1144"/>
      <c r="QPQ285" s="1144"/>
      <c r="QPR285" s="1144"/>
      <c r="QPS285" s="1144"/>
      <c r="QPT285" s="1144"/>
      <c r="QPU285" s="1144"/>
      <c r="QPV285" s="1144"/>
      <c r="QPW285" s="1144"/>
      <c r="QPX285" s="1144"/>
      <c r="QPY285" s="1144"/>
      <c r="QPZ285" s="1144"/>
      <c r="QQA285" s="1144"/>
      <c r="QQB285" s="1144"/>
      <c r="QQC285" s="1144"/>
      <c r="QQD285" s="1144"/>
      <c r="QQE285" s="1144"/>
      <c r="QQF285" s="1144"/>
      <c r="QQG285" s="1144"/>
      <c r="QQH285" s="1144"/>
      <c r="QQI285" s="1144"/>
      <c r="QQJ285" s="1144"/>
      <c r="QQK285" s="1144"/>
      <c r="QQL285" s="1144"/>
      <c r="QQM285" s="1144"/>
      <c r="QQN285" s="1144"/>
      <c r="QQO285" s="1144"/>
      <c r="QQP285" s="1144"/>
      <c r="QQQ285" s="1144"/>
      <c r="QQR285" s="1144"/>
      <c r="QQS285" s="1144"/>
      <c r="QQT285" s="1144"/>
      <c r="QQU285" s="1144"/>
      <c r="QQV285" s="1144"/>
      <c r="QQW285" s="1144"/>
      <c r="QQX285" s="1144"/>
      <c r="QQY285" s="1144"/>
      <c r="QQZ285" s="1144"/>
      <c r="QRA285" s="1144"/>
      <c r="QRB285" s="1144"/>
      <c r="QRC285" s="1144"/>
      <c r="QRD285" s="1144"/>
      <c r="QRE285" s="1144"/>
      <c r="QRF285" s="1144"/>
      <c r="QRG285" s="1144"/>
      <c r="QRH285" s="1144"/>
      <c r="QRI285" s="1144"/>
      <c r="QRJ285" s="1144"/>
      <c r="QRK285" s="1144"/>
      <c r="QRL285" s="1144"/>
      <c r="QRM285" s="1144"/>
      <c r="QRN285" s="1144"/>
      <c r="QRO285" s="1144"/>
      <c r="QRP285" s="1144"/>
      <c r="QRQ285" s="1144"/>
      <c r="QRR285" s="1144"/>
      <c r="QRS285" s="1144"/>
      <c r="QRT285" s="1144"/>
      <c r="QRU285" s="1144"/>
      <c r="QRV285" s="1144"/>
      <c r="QRW285" s="1144"/>
      <c r="QRX285" s="1144"/>
      <c r="QRY285" s="1144"/>
      <c r="QRZ285" s="1144"/>
      <c r="QSA285" s="1144"/>
      <c r="QSB285" s="1144"/>
      <c r="QSC285" s="1144"/>
      <c r="QSD285" s="1144"/>
      <c r="QSE285" s="1144"/>
      <c r="QSF285" s="1144"/>
      <c r="QSG285" s="1144"/>
      <c r="QSH285" s="1144"/>
      <c r="QSI285" s="1144"/>
      <c r="QSJ285" s="1144"/>
      <c r="QSK285" s="1144"/>
      <c r="QSL285" s="1144"/>
      <c r="QSM285" s="1144"/>
      <c r="QSN285" s="1144"/>
      <c r="QSO285" s="1144"/>
      <c r="QSP285" s="1144"/>
      <c r="QSQ285" s="1144"/>
      <c r="QSR285" s="1144"/>
      <c r="QSS285" s="1144"/>
      <c r="QST285" s="1144"/>
      <c r="QSU285" s="1144"/>
      <c r="QSV285" s="1144"/>
      <c r="QSW285" s="1144"/>
      <c r="QSX285" s="1144"/>
      <c r="QSY285" s="1144"/>
      <c r="QSZ285" s="1144"/>
      <c r="QTA285" s="1144"/>
      <c r="QTB285" s="1144"/>
      <c r="QTC285" s="1144"/>
      <c r="QTD285" s="1144"/>
      <c r="QTE285" s="1144"/>
      <c r="QTF285" s="1144"/>
      <c r="QTG285" s="1144"/>
      <c r="QTH285" s="1144"/>
      <c r="QTI285" s="1144"/>
      <c r="QTJ285" s="1144"/>
      <c r="QTK285" s="1144"/>
      <c r="QTL285" s="1144"/>
      <c r="QTM285" s="1144"/>
      <c r="QTN285" s="1144"/>
      <c r="QTO285" s="1144"/>
      <c r="QTP285" s="1144"/>
      <c r="QTQ285" s="1144"/>
      <c r="QTR285" s="1144"/>
      <c r="QTS285" s="1144"/>
      <c r="QTT285" s="1144"/>
      <c r="QTU285" s="1144"/>
      <c r="QTV285" s="1144"/>
      <c r="QTW285" s="1144"/>
      <c r="QTX285" s="1144"/>
      <c r="QTY285" s="1144"/>
      <c r="QTZ285" s="1144"/>
      <c r="QUA285" s="1144"/>
      <c r="QUB285" s="1144"/>
      <c r="QUC285" s="1144"/>
      <c r="QUD285" s="1144"/>
      <c r="QUE285" s="1144"/>
      <c r="QUF285" s="1144"/>
      <c r="QUG285" s="1144"/>
      <c r="QUH285" s="1144"/>
      <c r="QUI285" s="1144"/>
      <c r="QUJ285" s="1144"/>
      <c r="QUK285" s="1144"/>
      <c r="QUL285" s="1144"/>
      <c r="QUM285" s="1144"/>
      <c r="QUN285" s="1144"/>
      <c r="QUO285" s="1144"/>
      <c r="QUP285" s="1144"/>
      <c r="QUQ285" s="1144"/>
      <c r="QUR285" s="1144"/>
      <c r="QUS285" s="1144"/>
      <c r="QUT285" s="1144"/>
      <c r="QUU285" s="1144"/>
      <c r="QUV285" s="1144"/>
      <c r="QUW285" s="1144"/>
      <c r="QUX285" s="1144"/>
      <c r="QUY285" s="1144"/>
      <c r="QUZ285" s="1144"/>
      <c r="QVA285" s="1144"/>
      <c r="QVB285" s="1144"/>
      <c r="QVC285" s="1144"/>
      <c r="QVD285" s="1144"/>
      <c r="QVE285" s="1144"/>
      <c r="QVF285" s="1144"/>
      <c r="QVG285" s="1144"/>
      <c r="QVH285" s="1144"/>
      <c r="QVI285" s="1144"/>
      <c r="QVJ285" s="1144"/>
      <c r="QVK285" s="1144"/>
      <c r="QVL285" s="1144"/>
      <c r="QVM285" s="1144"/>
      <c r="QVN285" s="1144"/>
      <c r="QVO285" s="1144"/>
      <c r="QVP285" s="1144"/>
      <c r="QVQ285" s="1144"/>
      <c r="QVR285" s="1144"/>
      <c r="QVS285" s="1144"/>
      <c r="QVT285" s="1144"/>
      <c r="QVU285" s="1144"/>
      <c r="QVV285" s="1144"/>
      <c r="QVW285" s="1144"/>
      <c r="QVX285" s="1144"/>
      <c r="QVY285" s="1144"/>
      <c r="QVZ285" s="1144"/>
      <c r="QWA285" s="1144"/>
      <c r="QWB285" s="1144"/>
      <c r="QWC285" s="1144"/>
      <c r="QWD285" s="1144"/>
      <c r="QWE285" s="1144"/>
      <c r="QWF285" s="1144"/>
      <c r="QWG285" s="1144"/>
      <c r="QWH285" s="1144"/>
      <c r="QWI285" s="1144"/>
      <c r="QWJ285" s="1144"/>
      <c r="QWK285" s="1144"/>
      <c r="QWL285" s="1144"/>
      <c r="QWM285" s="1144"/>
      <c r="QWN285" s="1144"/>
      <c r="QWO285" s="1144"/>
      <c r="QWP285" s="1144"/>
      <c r="QWQ285" s="1144"/>
      <c r="QWR285" s="1144"/>
      <c r="QWS285" s="1144"/>
      <c r="QWT285" s="1144"/>
      <c r="QWU285" s="1144"/>
      <c r="QWV285" s="1144"/>
      <c r="QWW285" s="1144"/>
      <c r="QWX285" s="1144"/>
      <c r="QWY285" s="1144"/>
      <c r="QWZ285" s="1144"/>
      <c r="QXA285" s="1144"/>
      <c r="QXB285" s="1144"/>
      <c r="QXC285" s="1144"/>
      <c r="QXD285" s="1144"/>
      <c r="QXE285" s="1144"/>
      <c r="QXF285" s="1144"/>
      <c r="QXG285" s="1144"/>
      <c r="QXH285" s="1144"/>
      <c r="QXI285" s="1144"/>
      <c r="QXJ285" s="1144"/>
      <c r="QXK285" s="1144"/>
      <c r="QXL285" s="1144"/>
      <c r="QXM285" s="1144"/>
      <c r="QXN285" s="1144"/>
      <c r="QXO285" s="1144"/>
      <c r="QXP285" s="1144"/>
      <c r="QXQ285" s="1144"/>
      <c r="QXR285" s="1144"/>
      <c r="QXS285" s="1144"/>
      <c r="QXT285" s="1144"/>
      <c r="QXU285" s="1144"/>
      <c r="QXV285" s="1144"/>
      <c r="QXW285" s="1144"/>
      <c r="QXX285" s="1144"/>
      <c r="QXY285" s="1144"/>
      <c r="QXZ285" s="1144"/>
      <c r="QYA285" s="1144"/>
      <c r="QYB285" s="1144"/>
      <c r="QYC285" s="1144"/>
      <c r="QYD285" s="1144"/>
      <c r="QYE285" s="1144"/>
      <c r="QYF285" s="1144"/>
      <c r="QYG285" s="1144"/>
      <c r="QYH285" s="1144"/>
      <c r="QYI285" s="1144"/>
      <c r="QYJ285" s="1144"/>
      <c r="QYK285" s="1144"/>
      <c r="QYL285" s="1144"/>
      <c r="QYM285" s="1144"/>
      <c r="QYN285" s="1144"/>
      <c r="QYO285" s="1144"/>
      <c r="QYP285" s="1144"/>
      <c r="QYQ285" s="1144"/>
      <c r="QYR285" s="1144"/>
      <c r="QYS285" s="1144"/>
      <c r="QYT285" s="1144"/>
      <c r="QYU285" s="1144"/>
      <c r="QYV285" s="1144"/>
      <c r="QYW285" s="1144"/>
      <c r="QYX285" s="1144"/>
      <c r="QYY285" s="1144"/>
      <c r="QYZ285" s="1144"/>
      <c r="QZA285" s="1144"/>
      <c r="QZB285" s="1144"/>
      <c r="QZC285" s="1144"/>
      <c r="QZD285" s="1144"/>
      <c r="QZE285" s="1144"/>
      <c r="QZF285" s="1144"/>
      <c r="QZG285" s="1144"/>
      <c r="QZH285" s="1144"/>
      <c r="QZI285" s="1144"/>
      <c r="QZJ285" s="1144"/>
      <c r="QZK285" s="1144"/>
      <c r="QZL285" s="1144"/>
      <c r="QZM285" s="1144"/>
      <c r="QZN285" s="1144"/>
      <c r="QZO285" s="1144"/>
      <c r="QZP285" s="1144"/>
      <c r="QZQ285" s="1144"/>
      <c r="QZR285" s="1144"/>
      <c r="QZS285" s="1144"/>
      <c r="QZT285" s="1144"/>
      <c r="QZU285" s="1144"/>
      <c r="QZV285" s="1144"/>
      <c r="QZW285" s="1144"/>
      <c r="QZX285" s="1144"/>
      <c r="QZY285" s="1144"/>
      <c r="QZZ285" s="1144"/>
      <c r="RAA285" s="1144"/>
      <c r="RAB285" s="1144"/>
      <c r="RAC285" s="1144"/>
      <c r="RAD285" s="1144"/>
      <c r="RAE285" s="1144"/>
      <c r="RAF285" s="1144"/>
      <c r="RAG285" s="1144"/>
      <c r="RAH285" s="1144"/>
      <c r="RAI285" s="1144"/>
      <c r="RAJ285" s="1144"/>
      <c r="RAK285" s="1144"/>
      <c r="RAL285" s="1144"/>
      <c r="RAM285" s="1144"/>
      <c r="RAN285" s="1144"/>
      <c r="RAO285" s="1144"/>
      <c r="RAP285" s="1144"/>
      <c r="RAQ285" s="1144"/>
      <c r="RAR285" s="1144"/>
      <c r="RAS285" s="1144"/>
      <c r="RAT285" s="1144"/>
      <c r="RAU285" s="1144"/>
      <c r="RAV285" s="1144"/>
      <c r="RAW285" s="1144"/>
      <c r="RAX285" s="1144"/>
      <c r="RAY285" s="1144"/>
      <c r="RAZ285" s="1144"/>
      <c r="RBA285" s="1144"/>
      <c r="RBB285" s="1144"/>
      <c r="RBC285" s="1144"/>
      <c r="RBD285" s="1144"/>
      <c r="RBE285" s="1144"/>
      <c r="RBF285" s="1144"/>
      <c r="RBG285" s="1144"/>
      <c r="RBH285" s="1144"/>
      <c r="RBI285" s="1144"/>
      <c r="RBJ285" s="1144"/>
      <c r="RBK285" s="1144"/>
      <c r="RBL285" s="1144"/>
      <c r="RBM285" s="1144"/>
      <c r="RBN285" s="1144"/>
      <c r="RBO285" s="1144"/>
      <c r="RBP285" s="1144"/>
      <c r="RBQ285" s="1144"/>
      <c r="RBR285" s="1144"/>
      <c r="RBS285" s="1144"/>
      <c r="RBT285" s="1144"/>
      <c r="RBU285" s="1144"/>
      <c r="RBV285" s="1144"/>
      <c r="RBW285" s="1144"/>
      <c r="RBX285" s="1144"/>
      <c r="RBY285" s="1144"/>
      <c r="RBZ285" s="1144"/>
      <c r="RCA285" s="1144"/>
      <c r="RCB285" s="1144"/>
      <c r="RCC285" s="1144"/>
      <c r="RCD285" s="1144"/>
      <c r="RCE285" s="1144"/>
      <c r="RCF285" s="1144"/>
      <c r="RCG285" s="1144"/>
      <c r="RCH285" s="1144"/>
      <c r="RCI285" s="1144"/>
      <c r="RCJ285" s="1144"/>
      <c r="RCK285" s="1144"/>
      <c r="RCL285" s="1144"/>
      <c r="RCM285" s="1144"/>
      <c r="RCN285" s="1144"/>
      <c r="RCO285" s="1144"/>
      <c r="RCP285" s="1144"/>
      <c r="RCQ285" s="1144"/>
      <c r="RCR285" s="1144"/>
      <c r="RCS285" s="1144"/>
      <c r="RCT285" s="1144"/>
      <c r="RCU285" s="1144"/>
      <c r="RCV285" s="1144"/>
      <c r="RCW285" s="1144"/>
      <c r="RCX285" s="1144"/>
      <c r="RCY285" s="1144"/>
      <c r="RCZ285" s="1144"/>
      <c r="RDA285" s="1144"/>
      <c r="RDB285" s="1144"/>
      <c r="RDC285" s="1144"/>
      <c r="RDD285" s="1144"/>
      <c r="RDE285" s="1144"/>
      <c r="RDF285" s="1144"/>
      <c r="RDG285" s="1144"/>
      <c r="RDH285" s="1144"/>
      <c r="RDI285" s="1144"/>
      <c r="RDJ285" s="1144"/>
      <c r="RDK285" s="1144"/>
      <c r="RDL285" s="1144"/>
      <c r="RDM285" s="1144"/>
      <c r="RDN285" s="1144"/>
      <c r="RDO285" s="1144"/>
      <c r="RDP285" s="1144"/>
      <c r="RDQ285" s="1144"/>
      <c r="RDR285" s="1144"/>
      <c r="RDS285" s="1144"/>
      <c r="RDT285" s="1144"/>
      <c r="RDU285" s="1144"/>
      <c r="RDV285" s="1144"/>
      <c r="RDW285" s="1144"/>
      <c r="RDX285" s="1144"/>
      <c r="RDY285" s="1144"/>
      <c r="RDZ285" s="1144"/>
      <c r="REA285" s="1144"/>
      <c r="REB285" s="1144"/>
      <c r="REC285" s="1144"/>
      <c r="RED285" s="1144"/>
      <c r="REE285" s="1144"/>
      <c r="REF285" s="1144"/>
      <c r="REG285" s="1144"/>
      <c r="REH285" s="1144"/>
      <c r="REI285" s="1144"/>
      <c r="REJ285" s="1144"/>
      <c r="REK285" s="1144"/>
      <c r="REL285" s="1144"/>
      <c r="REM285" s="1144"/>
      <c r="REN285" s="1144"/>
      <c r="REO285" s="1144"/>
      <c r="REP285" s="1144"/>
      <c r="REQ285" s="1144"/>
      <c r="RER285" s="1144"/>
      <c r="RES285" s="1144"/>
      <c r="RET285" s="1144"/>
      <c r="REU285" s="1144"/>
      <c r="REV285" s="1144"/>
      <c r="REW285" s="1144"/>
      <c r="REX285" s="1144"/>
      <c r="REY285" s="1144"/>
      <c r="REZ285" s="1144"/>
      <c r="RFA285" s="1144"/>
      <c r="RFB285" s="1144"/>
      <c r="RFC285" s="1144"/>
      <c r="RFD285" s="1144"/>
      <c r="RFE285" s="1144"/>
      <c r="RFF285" s="1144"/>
      <c r="RFG285" s="1144"/>
      <c r="RFH285" s="1144"/>
      <c r="RFI285" s="1144"/>
      <c r="RFJ285" s="1144"/>
      <c r="RFK285" s="1144"/>
      <c r="RFL285" s="1144"/>
      <c r="RFM285" s="1144"/>
      <c r="RFN285" s="1144"/>
      <c r="RFO285" s="1144"/>
      <c r="RFP285" s="1144"/>
      <c r="RFQ285" s="1144"/>
      <c r="RFR285" s="1144"/>
      <c r="RFS285" s="1144"/>
      <c r="RFT285" s="1144"/>
      <c r="RFU285" s="1144"/>
      <c r="RFV285" s="1144"/>
      <c r="RFW285" s="1144"/>
      <c r="RFX285" s="1144"/>
      <c r="RFY285" s="1144"/>
      <c r="RFZ285" s="1144"/>
      <c r="RGA285" s="1144"/>
      <c r="RGB285" s="1144"/>
      <c r="RGC285" s="1144"/>
      <c r="RGD285" s="1144"/>
      <c r="RGE285" s="1144"/>
      <c r="RGF285" s="1144"/>
      <c r="RGG285" s="1144"/>
      <c r="RGH285" s="1144"/>
      <c r="RGI285" s="1144"/>
      <c r="RGJ285" s="1144"/>
      <c r="RGK285" s="1144"/>
      <c r="RGL285" s="1144"/>
      <c r="RGM285" s="1144"/>
      <c r="RGN285" s="1144"/>
      <c r="RGO285" s="1144"/>
      <c r="RGP285" s="1144"/>
      <c r="RGQ285" s="1144"/>
      <c r="RGR285" s="1144"/>
      <c r="RGS285" s="1144"/>
      <c r="RGT285" s="1144"/>
      <c r="RGU285" s="1144"/>
      <c r="RGV285" s="1144"/>
      <c r="RGW285" s="1144"/>
      <c r="RGX285" s="1144"/>
      <c r="RGY285" s="1144"/>
      <c r="RGZ285" s="1144"/>
      <c r="RHA285" s="1144"/>
      <c r="RHB285" s="1144"/>
      <c r="RHC285" s="1144"/>
      <c r="RHD285" s="1144"/>
      <c r="RHE285" s="1144"/>
      <c r="RHF285" s="1144"/>
      <c r="RHG285" s="1144"/>
      <c r="RHH285" s="1144"/>
      <c r="RHI285" s="1144"/>
      <c r="RHJ285" s="1144"/>
      <c r="RHK285" s="1144"/>
      <c r="RHL285" s="1144"/>
      <c r="RHM285" s="1144"/>
      <c r="RHN285" s="1144"/>
      <c r="RHO285" s="1144"/>
      <c r="RHP285" s="1144"/>
      <c r="RHQ285" s="1144"/>
      <c r="RHR285" s="1144"/>
      <c r="RHS285" s="1144"/>
      <c r="RHT285" s="1144"/>
      <c r="RHU285" s="1144"/>
      <c r="RHV285" s="1144"/>
      <c r="RHW285" s="1144"/>
      <c r="RHX285" s="1144"/>
      <c r="RHY285" s="1144"/>
      <c r="RHZ285" s="1144"/>
      <c r="RIA285" s="1144"/>
      <c r="RIB285" s="1144"/>
      <c r="RIC285" s="1144"/>
      <c r="RID285" s="1144"/>
      <c r="RIE285" s="1144"/>
      <c r="RIF285" s="1144"/>
      <c r="RIG285" s="1144"/>
      <c r="RIH285" s="1144"/>
      <c r="RII285" s="1144"/>
      <c r="RIJ285" s="1144"/>
      <c r="RIK285" s="1144"/>
      <c r="RIL285" s="1144"/>
      <c r="RIM285" s="1144"/>
      <c r="RIN285" s="1144"/>
      <c r="RIO285" s="1144"/>
      <c r="RIP285" s="1144"/>
      <c r="RIQ285" s="1144"/>
      <c r="RIR285" s="1144"/>
      <c r="RIS285" s="1144"/>
      <c r="RIT285" s="1144"/>
      <c r="RIU285" s="1144"/>
      <c r="RIV285" s="1144"/>
      <c r="RIW285" s="1144"/>
      <c r="RIX285" s="1144"/>
      <c r="RIY285" s="1144"/>
      <c r="RIZ285" s="1144"/>
      <c r="RJA285" s="1144"/>
      <c r="RJB285" s="1144"/>
      <c r="RJC285" s="1144"/>
      <c r="RJD285" s="1144"/>
      <c r="RJE285" s="1144"/>
      <c r="RJF285" s="1144"/>
      <c r="RJG285" s="1144"/>
      <c r="RJH285" s="1144"/>
      <c r="RJI285" s="1144"/>
      <c r="RJJ285" s="1144"/>
      <c r="RJK285" s="1144"/>
      <c r="RJL285" s="1144"/>
      <c r="RJM285" s="1144"/>
      <c r="RJN285" s="1144"/>
      <c r="RJO285" s="1144"/>
      <c r="RJP285" s="1144"/>
      <c r="RJQ285" s="1144"/>
      <c r="RJR285" s="1144"/>
      <c r="RJS285" s="1144"/>
      <c r="RJT285" s="1144"/>
      <c r="RJU285" s="1144"/>
      <c r="RJV285" s="1144"/>
      <c r="RJW285" s="1144"/>
      <c r="RJX285" s="1144"/>
      <c r="RJY285" s="1144"/>
      <c r="RJZ285" s="1144"/>
      <c r="RKA285" s="1144"/>
      <c r="RKB285" s="1144"/>
      <c r="RKC285" s="1144"/>
      <c r="RKD285" s="1144"/>
      <c r="RKE285" s="1144"/>
      <c r="RKF285" s="1144"/>
      <c r="RKG285" s="1144"/>
      <c r="RKH285" s="1144"/>
      <c r="RKI285" s="1144"/>
      <c r="RKJ285" s="1144"/>
      <c r="RKK285" s="1144"/>
      <c r="RKL285" s="1144"/>
      <c r="RKM285" s="1144"/>
      <c r="RKN285" s="1144"/>
      <c r="RKO285" s="1144"/>
      <c r="RKP285" s="1144"/>
      <c r="RKQ285" s="1144"/>
      <c r="RKR285" s="1144"/>
      <c r="RKS285" s="1144"/>
      <c r="RKT285" s="1144"/>
      <c r="RKU285" s="1144"/>
      <c r="RKV285" s="1144"/>
      <c r="RKW285" s="1144"/>
      <c r="RKX285" s="1144"/>
      <c r="RKY285" s="1144"/>
      <c r="RKZ285" s="1144"/>
      <c r="RLA285" s="1144"/>
      <c r="RLB285" s="1144"/>
      <c r="RLC285" s="1144"/>
      <c r="RLD285" s="1144"/>
      <c r="RLE285" s="1144"/>
      <c r="RLF285" s="1144"/>
      <c r="RLG285" s="1144"/>
      <c r="RLH285" s="1144"/>
      <c r="RLI285" s="1144"/>
      <c r="RLJ285" s="1144"/>
      <c r="RLK285" s="1144"/>
      <c r="RLL285" s="1144"/>
      <c r="RLM285" s="1144"/>
      <c r="RLN285" s="1144"/>
      <c r="RLO285" s="1144"/>
      <c r="RLP285" s="1144"/>
      <c r="RLQ285" s="1144"/>
      <c r="RLR285" s="1144"/>
      <c r="RLS285" s="1144"/>
      <c r="RLT285" s="1144"/>
      <c r="RLU285" s="1144"/>
      <c r="RLV285" s="1144"/>
      <c r="RLW285" s="1144"/>
      <c r="RLX285" s="1144"/>
      <c r="RLY285" s="1144"/>
      <c r="RLZ285" s="1144"/>
      <c r="RMA285" s="1144"/>
      <c r="RMB285" s="1144"/>
      <c r="RMC285" s="1144"/>
      <c r="RMD285" s="1144"/>
      <c r="RME285" s="1144"/>
      <c r="RMF285" s="1144"/>
      <c r="RMG285" s="1144"/>
      <c r="RMH285" s="1144"/>
      <c r="RMI285" s="1144"/>
      <c r="RMJ285" s="1144"/>
      <c r="RMK285" s="1144"/>
      <c r="RML285" s="1144"/>
      <c r="RMM285" s="1144"/>
      <c r="RMN285" s="1144"/>
      <c r="RMO285" s="1144"/>
      <c r="RMP285" s="1144"/>
      <c r="RMQ285" s="1144"/>
      <c r="RMR285" s="1144"/>
      <c r="RMS285" s="1144"/>
      <c r="RMT285" s="1144"/>
      <c r="RMU285" s="1144"/>
      <c r="RMV285" s="1144"/>
      <c r="RMW285" s="1144"/>
      <c r="RMX285" s="1144"/>
      <c r="RMY285" s="1144"/>
      <c r="RMZ285" s="1144"/>
      <c r="RNA285" s="1144"/>
      <c r="RNB285" s="1144"/>
      <c r="RNC285" s="1144"/>
      <c r="RND285" s="1144"/>
      <c r="RNE285" s="1144"/>
      <c r="RNF285" s="1144"/>
      <c r="RNG285" s="1144"/>
      <c r="RNH285" s="1144"/>
      <c r="RNI285" s="1144"/>
      <c r="RNJ285" s="1144"/>
      <c r="RNK285" s="1144"/>
      <c r="RNL285" s="1144"/>
      <c r="RNM285" s="1144"/>
      <c r="RNN285" s="1144"/>
      <c r="RNO285" s="1144"/>
      <c r="RNP285" s="1144"/>
      <c r="RNQ285" s="1144"/>
      <c r="RNR285" s="1144"/>
      <c r="RNS285" s="1144"/>
      <c r="RNT285" s="1144"/>
      <c r="RNU285" s="1144"/>
      <c r="RNV285" s="1144"/>
      <c r="RNW285" s="1144"/>
      <c r="RNX285" s="1144"/>
      <c r="RNY285" s="1144"/>
      <c r="RNZ285" s="1144"/>
      <c r="ROA285" s="1144"/>
      <c r="ROB285" s="1144"/>
      <c r="ROC285" s="1144"/>
      <c r="ROD285" s="1144"/>
      <c r="ROE285" s="1144"/>
      <c r="ROF285" s="1144"/>
      <c r="ROG285" s="1144"/>
      <c r="ROH285" s="1144"/>
      <c r="ROI285" s="1144"/>
      <c r="ROJ285" s="1144"/>
      <c r="ROK285" s="1144"/>
      <c r="ROL285" s="1144"/>
      <c r="ROM285" s="1144"/>
      <c r="RON285" s="1144"/>
      <c r="ROO285" s="1144"/>
      <c r="ROP285" s="1144"/>
      <c r="ROQ285" s="1144"/>
      <c r="ROR285" s="1144"/>
      <c r="ROS285" s="1144"/>
      <c r="ROT285" s="1144"/>
      <c r="ROU285" s="1144"/>
      <c r="ROV285" s="1144"/>
      <c r="ROW285" s="1144"/>
      <c r="ROX285" s="1144"/>
      <c r="ROY285" s="1144"/>
      <c r="ROZ285" s="1144"/>
      <c r="RPA285" s="1144"/>
      <c r="RPB285" s="1144"/>
      <c r="RPC285" s="1144"/>
      <c r="RPD285" s="1144"/>
      <c r="RPE285" s="1144"/>
      <c r="RPF285" s="1144"/>
      <c r="RPG285" s="1144"/>
      <c r="RPH285" s="1144"/>
      <c r="RPI285" s="1144"/>
      <c r="RPJ285" s="1144"/>
      <c r="RPK285" s="1144"/>
      <c r="RPL285" s="1144"/>
      <c r="RPM285" s="1144"/>
      <c r="RPN285" s="1144"/>
      <c r="RPO285" s="1144"/>
      <c r="RPP285" s="1144"/>
      <c r="RPQ285" s="1144"/>
      <c r="RPR285" s="1144"/>
      <c r="RPS285" s="1144"/>
      <c r="RPT285" s="1144"/>
      <c r="RPU285" s="1144"/>
      <c r="RPV285" s="1144"/>
      <c r="RPW285" s="1144"/>
      <c r="RPX285" s="1144"/>
      <c r="RPY285" s="1144"/>
      <c r="RPZ285" s="1144"/>
      <c r="RQA285" s="1144"/>
      <c r="RQB285" s="1144"/>
      <c r="RQC285" s="1144"/>
      <c r="RQD285" s="1144"/>
      <c r="RQE285" s="1144"/>
      <c r="RQF285" s="1144"/>
      <c r="RQG285" s="1144"/>
      <c r="RQH285" s="1144"/>
      <c r="RQI285" s="1144"/>
      <c r="RQJ285" s="1144"/>
      <c r="RQK285" s="1144"/>
      <c r="RQL285" s="1144"/>
      <c r="RQM285" s="1144"/>
      <c r="RQN285" s="1144"/>
      <c r="RQO285" s="1144"/>
      <c r="RQP285" s="1144"/>
      <c r="RQQ285" s="1144"/>
      <c r="RQR285" s="1144"/>
      <c r="RQS285" s="1144"/>
      <c r="RQT285" s="1144"/>
      <c r="RQU285" s="1144"/>
      <c r="RQV285" s="1144"/>
      <c r="RQW285" s="1144"/>
      <c r="RQX285" s="1144"/>
      <c r="RQY285" s="1144"/>
      <c r="RQZ285" s="1144"/>
      <c r="RRA285" s="1144"/>
      <c r="RRB285" s="1144"/>
      <c r="RRC285" s="1144"/>
      <c r="RRD285" s="1144"/>
      <c r="RRE285" s="1144"/>
      <c r="RRF285" s="1144"/>
      <c r="RRG285" s="1144"/>
      <c r="RRH285" s="1144"/>
      <c r="RRI285" s="1144"/>
      <c r="RRJ285" s="1144"/>
      <c r="RRK285" s="1144"/>
      <c r="RRL285" s="1144"/>
      <c r="RRM285" s="1144"/>
      <c r="RRN285" s="1144"/>
      <c r="RRO285" s="1144"/>
      <c r="RRP285" s="1144"/>
      <c r="RRQ285" s="1144"/>
      <c r="RRR285" s="1144"/>
      <c r="RRS285" s="1144"/>
      <c r="RRT285" s="1144"/>
      <c r="RRU285" s="1144"/>
      <c r="RRV285" s="1144"/>
      <c r="RRW285" s="1144"/>
      <c r="RRX285" s="1144"/>
      <c r="RRY285" s="1144"/>
      <c r="RRZ285" s="1144"/>
      <c r="RSA285" s="1144"/>
      <c r="RSB285" s="1144"/>
      <c r="RSC285" s="1144"/>
      <c r="RSD285" s="1144"/>
      <c r="RSE285" s="1144"/>
      <c r="RSF285" s="1144"/>
      <c r="RSG285" s="1144"/>
      <c r="RSH285" s="1144"/>
      <c r="RSI285" s="1144"/>
      <c r="RSJ285" s="1144"/>
      <c r="RSK285" s="1144"/>
      <c r="RSL285" s="1144"/>
      <c r="RSM285" s="1144"/>
      <c r="RSN285" s="1144"/>
      <c r="RSO285" s="1144"/>
      <c r="RSP285" s="1144"/>
      <c r="RSQ285" s="1144"/>
      <c r="RSR285" s="1144"/>
      <c r="RSS285" s="1144"/>
      <c r="RST285" s="1144"/>
      <c r="RSU285" s="1144"/>
      <c r="RSV285" s="1144"/>
      <c r="RSW285" s="1144"/>
      <c r="RSX285" s="1144"/>
      <c r="RSY285" s="1144"/>
      <c r="RSZ285" s="1144"/>
      <c r="RTA285" s="1144"/>
      <c r="RTB285" s="1144"/>
      <c r="RTC285" s="1144"/>
      <c r="RTD285" s="1144"/>
      <c r="RTE285" s="1144"/>
      <c r="RTF285" s="1144"/>
      <c r="RTG285" s="1144"/>
      <c r="RTH285" s="1144"/>
      <c r="RTI285" s="1144"/>
      <c r="RTJ285" s="1144"/>
      <c r="RTK285" s="1144"/>
      <c r="RTL285" s="1144"/>
      <c r="RTM285" s="1144"/>
      <c r="RTN285" s="1144"/>
      <c r="RTO285" s="1144"/>
      <c r="RTP285" s="1144"/>
      <c r="RTQ285" s="1144"/>
      <c r="RTR285" s="1144"/>
      <c r="RTS285" s="1144"/>
      <c r="RTT285" s="1144"/>
      <c r="RTU285" s="1144"/>
      <c r="RTV285" s="1144"/>
      <c r="RTW285" s="1144"/>
      <c r="RTX285" s="1144"/>
      <c r="RTY285" s="1144"/>
      <c r="RTZ285" s="1144"/>
      <c r="RUA285" s="1144"/>
      <c r="RUB285" s="1144"/>
      <c r="RUC285" s="1144"/>
      <c r="RUD285" s="1144"/>
      <c r="RUE285" s="1144"/>
      <c r="RUF285" s="1144"/>
      <c r="RUG285" s="1144"/>
      <c r="RUH285" s="1144"/>
      <c r="RUI285" s="1144"/>
      <c r="RUJ285" s="1144"/>
      <c r="RUK285" s="1144"/>
      <c r="RUL285" s="1144"/>
      <c r="RUM285" s="1144"/>
      <c r="RUN285" s="1144"/>
      <c r="RUO285" s="1144"/>
      <c r="RUP285" s="1144"/>
      <c r="RUQ285" s="1144"/>
      <c r="RUR285" s="1144"/>
      <c r="RUS285" s="1144"/>
      <c r="RUT285" s="1144"/>
      <c r="RUU285" s="1144"/>
      <c r="RUV285" s="1144"/>
      <c r="RUW285" s="1144"/>
      <c r="RUX285" s="1144"/>
      <c r="RUY285" s="1144"/>
      <c r="RUZ285" s="1144"/>
      <c r="RVA285" s="1144"/>
      <c r="RVB285" s="1144"/>
      <c r="RVC285" s="1144"/>
      <c r="RVD285" s="1144"/>
      <c r="RVE285" s="1144"/>
      <c r="RVF285" s="1144"/>
      <c r="RVG285" s="1144"/>
      <c r="RVH285" s="1144"/>
      <c r="RVI285" s="1144"/>
      <c r="RVJ285" s="1144"/>
      <c r="RVK285" s="1144"/>
      <c r="RVL285" s="1144"/>
      <c r="RVM285" s="1144"/>
      <c r="RVN285" s="1144"/>
      <c r="RVO285" s="1144"/>
      <c r="RVP285" s="1144"/>
      <c r="RVQ285" s="1144"/>
      <c r="RVR285" s="1144"/>
      <c r="RVS285" s="1144"/>
      <c r="RVT285" s="1144"/>
      <c r="RVU285" s="1144"/>
      <c r="RVV285" s="1144"/>
      <c r="RVW285" s="1144"/>
      <c r="RVX285" s="1144"/>
      <c r="RVY285" s="1144"/>
      <c r="RVZ285" s="1144"/>
      <c r="RWA285" s="1144"/>
      <c r="RWB285" s="1144"/>
      <c r="RWC285" s="1144"/>
      <c r="RWD285" s="1144"/>
      <c r="RWE285" s="1144"/>
      <c r="RWF285" s="1144"/>
      <c r="RWG285" s="1144"/>
      <c r="RWH285" s="1144"/>
      <c r="RWI285" s="1144"/>
      <c r="RWJ285" s="1144"/>
      <c r="RWK285" s="1144"/>
      <c r="RWL285" s="1144"/>
      <c r="RWM285" s="1144"/>
      <c r="RWN285" s="1144"/>
      <c r="RWO285" s="1144"/>
      <c r="RWP285" s="1144"/>
      <c r="RWQ285" s="1144"/>
      <c r="RWR285" s="1144"/>
      <c r="RWS285" s="1144"/>
      <c r="RWT285" s="1144"/>
      <c r="RWU285" s="1144"/>
      <c r="RWV285" s="1144"/>
      <c r="RWW285" s="1144"/>
      <c r="RWX285" s="1144"/>
      <c r="RWY285" s="1144"/>
      <c r="RWZ285" s="1144"/>
      <c r="RXA285" s="1144"/>
      <c r="RXB285" s="1144"/>
      <c r="RXC285" s="1144"/>
      <c r="RXD285" s="1144"/>
      <c r="RXE285" s="1144"/>
      <c r="RXF285" s="1144"/>
      <c r="RXG285" s="1144"/>
      <c r="RXH285" s="1144"/>
      <c r="RXI285" s="1144"/>
      <c r="RXJ285" s="1144"/>
      <c r="RXK285" s="1144"/>
      <c r="RXL285" s="1144"/>
      <c r="RXM285" s="1144"/>
      <c r="RXN285" s="1144"/>
      <c r="RXO285" s="1144"/>
      <c r="RXP285" s="1144"/>
      <c r="RXQ285" s="1144"/>
      <c r="RXR285" s="1144"/>
      <c r="RXS285" s="1144"/>
      <c r="RXT285" s="1144"/>
      <c r="RXU285" s="1144"/>
      <c r="RXV285" s="1144"/>
      <c r="RXW285" s="1144"/>
      <c r="RXX285" s="1144"/>
      <c r="RXY285" s="1144"/>
      <c r="RXZ285" s="1144"/>
      <c r="RYA285" s="1144"/>
      <c r="RYB285" s="1144"/>
      <c r="RYC285" s="1144"/>
      <c r="RYD285" s="1144"/>
      <c r="RYE285" s="1144"/>
      <c r="RYF285" s="1144"/>
      <c r="RYG285" s="1144"/>
      <c r="RYH285" s="1144"/>
      <c r="RYI285" s="1144"/>
      <c r="RYJ285" s="1144"/>
      <c r="RYK285" s="1144"/>
      <c r="RYL285" s="1144"/>
      <c r="RYM285" s="1144"/>
      <c r="RYN285" s="1144"/>
      <c r="RYO285" s="1144"/>
      <c r="RYP285" s="1144"/>
      <c r="RYQ285" s="1144"/>
      <c r="RYR285" s="1144"/>
      <c r="RYS285" s="1144"/>
      <c r="RYT285" s="1144"/>
      <c r="RYU285" s="1144"/>
      <c r="RYV285" s="1144"/>
      <c r="RYW285" s="1144"/>
      <c r="RYX285" s="1144"/>
      <c r="RYY285" s="1144"/>
      <c r="RYZ285" s="1144"/>
      <c r="RZA285" s="1144"/>
      <c r="RZB285" s="1144"/>
      <c r="RZC285" s="1144"/>
      <c r="RZD285" s="1144"/>
      <c r="RZE285" s="1144"/>
      <c r="RZF285" s="1144"/>
      <c r="RZG285" s="1144"/>
      <c r="RZH285" s="1144"/>
      <c r="RZI285" s="1144"/>
      <c r="RZJ285" s="1144"/>
      <c r="RZK285" s="1144"/>
      <c r="RZL285" s="1144"/>
      <c r="RZM285" s="1144"/>
      <c r="RZN285" s="1144"/>
      <c r="RZO285" s="1144"/>
      <c r="RZP285" s="1144"/>
      <c r="RZQ285" s="1144"/>
      <c r="RZR285" s="1144"/>
      <c r="RZS285" s="1144"/>
      <c r="RZT285" s="1144"/>
      <c r="RZU285" s="1144"/>
      <c r="RZV285" s="1144"/>
      <c r="RZW285" s="1144"/>
      <c r="RZX285" s="1144"/>
      <c r="RZY285" s="1144"/>
      <c r="RZZ285" s="1144"/>
      <c r="SAA285" s="1144"/>
      <c r="SAB285" s="1144"/>
      <c r="SAC285" s="1144"/>
      <c r="SAD285" s="1144"/>
      <c r="SAE285" s="1144"/>
      <c r="SAF285" s="1144"/>
      <c r="SAG285" s="1144"/>
      <c r="SAH285" s="1144"/>
      <c r="SAI285" s="1144"/>
      <c r="SAJ285" s="1144"/>
      <c r="SAK285" s="1144"/>
      <c r="SAL285" s="1144"/>
      <c r="SAM285" s="1144"/>
      <c r="SAN285" s="1144"/>
      <c r="SAO285" s="1144"/>
      <c r="SAP285" s="1144"/>
      <c r="SAQ285" s="1144"/>
      <c r="SAR285" s="1144"/>
      <c r="SAS285" s="1144"/>
      <c r="SAT285" s="1144"/>
      <c r="SAU285" s="1144"/>
      <c r="SAV285" s="1144"/>
      <c r="SAW285" s="1144"/>
      <c r="SAX285" s="1144"/>
      <c r="SAY285" s="1144"/>
      <c r="SAZ285" s="1144"/>
      <c r="SBA285" s="1144"/>
      <c r="SBB285" s="1144"/>
      <c r="SBC285" s="1144"/>
      <c r="SBD285" s="1144"/>
      <c r="SBE285" s="1144"/>
      <c r="SBF285" s="1144"/>
      <c r="SBG285" s="1144"/>
      <c r="SBH285" s="1144"/>
      <c r="SBI285" s="1144"/>
      <c r="SBJ285" s="1144"/>
      <c r="SBK285" s="1144"/>
      <c r="SBL285" s="1144"/>
      <c r="SBM285" s="1144"/>
      <c r="SBN285" s="1144"/>
      <c r="SBO285" s="1144"/>
      <c r="SBP285" s="1144"/>
      <c r="SBQ285" s="1144"/>
      <c r="SBR285" s="1144"/>
      <c r="SBS285" s="1144"/>
      <c r="SBT285" s="1144"/>
      <c r="SBU285" s="1144"/>
      <c r="SBV285" s="1144"/>
      <c r="SBW285" s="1144"/>
      <c r="SBX285" s="1144"/>
      <c r="SBY285" s="1144"/>
      <c r="SBZ285" s="1144"/>
      <c r="SCA285" s="1144"/>
      <c r="SCB285" s="1144"/>
      <c r="SCC285" s="1144"/>
      <c r="SCD285" s="1144"/>
      <c r="SCE285" s="1144"/>
      <c r="SCF285" s="1144"/>
      <c r="SCG285" s="1144"/>
      <c r="SCH285" s="1144"/>
      <c r="SCI285" s="1144"/>
      <c r="SCJ285" s="1144"/>
      <c r="SCK285" s="1144"/>
      <c r="SCL285" s="1144"/>
      <c r="SCM285" s="1144"/>
      <c r="SCN285" s="1144"/>
      <c r="SCO285" s="1144"/>
      <c r="SCP285" s="1144"/>
      <c r="SCQ285" s="1144"/>
      <c r="SCR285" s="1144"/>
      <c r="SCS285" s="1144"/>
      <c r="SCT285" s="1144"/>
      <c r="SCU285" s="1144"/>
      <c r="SCV285" s="1144"/>
      <c r="SCW285" s="1144"/>
      <c r="SCX285" s="1144"/>
      <c r="SCY285" s="1144"/>
      <c r="SCZ285" s="1144"/>
      <c r="SDA285" s="1144"/>
      <c r="SDB285" s="1144"/>
      <c r="SDC285" s="1144"/>
      <c r="SDD285" s="1144"/>
      <c r="SDE285" s="1144"/>
      <c r="SDF285" s="1144"/>
      <c r="SDG285" s="1144"/>
      <c r="SDH285" s="1144"/>
      <c r="SDI285" s="1144"/>
      <c r="SDJ285" s="1144"/>
      <c r="SDK285" s="1144"/>
      <c r="SDL285" s="1144"/>
      <c r="SDM285" s="1144"/>
      <c r="SDN285" s="1144"/>
      <c r="SDO285" s="1144"/>
      <c r="SDP285" s="1144"/>
      <c r="SDQ285" s="1144"/>
      <c r="SDR285" s="1144"/>
      <c r="SDS285" s="1144"/>
      <c r="SDT285" s="1144"/>
      <c r="SDU285" s="1144"/>
      <c r="SDV285" s="1144"/>
      <c r="SDW285" s="1144"/>
      <c r="SDX285" s="1144"/>
      <c r="SDY285" s="1144"/>
      <c r="SDZ285" s="1144"/>
      <c r="SEA285" s="1144"/>
      <c r="SEB285" s="1144"/>
      <c r="SEC285" s="1144"/>
      <c r="SED285" s="1144"/>
      <c r="SEE285" s="1144"/>
      <c r="SEF285" s="1144"/>
      <c r="SEG285" s="1144"/>
      <c r="SEH285" s="1144"/>
      <c r="SEI285" s="1144"/>
      <c r="SEJ285" s="1144"/>
      <c r="SEK285" s="1144"/>
      <c r="SEL285" s="1144"/>
      <c r="SEM285" s="1144"/>
      <c r="SEN285" s="1144"/>
      <c r="SEO285" s="1144"/>
      <c r="SEP285" s="1144"/>
      <c r="SEQ285" s="1144"/>
      <c r="SER285" s="1144"/>
      <c r="SES285" s="1144"/>
      <c r="SET285" s="1144"/>
      <c r="SEU285" s="1144"/>
      <c r="SEV285" s="1144"/>
      <c r="SEW285" s="1144"/>
      <c r="SEX285" s="1144"/>
      <c r="SEY285" s="1144"/>
      <c r="SEZ285" s="1144"/>
      <c r="SFA285" s="1144"/>
      <c r="SFB285" s="1144"/>
      <c r="SFC285" s="1144"/>
      <c r="SFD285" s="1144"/>
      <c r="SFE285" s="1144"/>
      <c r="SFF285" s="1144"/>
      <c r="SFG285" s="1144"/>
      <c r="SFH285" s="1144"/>
      <c r="SFI285" s="1144"/>
      <c r="SFJ285" s="1144"/>
      <c r="SFK285" s="1144"/>
      <c r="SFL285" s="1144"/>
      <c r="SFM285" s="1144"/>
      <c r="SFN285" s="1144"/>
      <c r="SFO285" s="1144"/>
      <c r="SFP285" s="1144"/>
      <c r="SFQ285" s="1144"/>
      <c r="SFR285" s="1144"/>
      <c r="SFS285" s="1144"/>
      <c r="SFT285" s="1144"/>
      <c r="SFU285" s="1144"/>
      <c r="SFV285" s="1144"/>
      <c r="SFW285" s="1144"/>
      <c r="SFX285" s="1144"/>
      <c r="SFY285" s="1144"/>
      <c r="SFZ285" s="1144"/>
      <c r="SGA285" s="1144"/>
      <c r="SGB285" s="1144"/>
      <c r="SGC285" s="1144"/>
      <c r="SGD285" s="1144"/>
      <c r="SGE285" s="1144"/>
      <c r="SGF285" s="1144"/>
      <c r="SGG285" s="1144"/>
      <c r="SGH285" s="1144"/>
      <c r="SGI285" s="1144"/>
      <c r="SGJ285" s="1144"/>
      <c r="SGK285" s="1144"/>
      <c r="SGL285" s="1144"/>
      <c r="SGM285" s="1144"/>
      <c r="SGN285" s="1144"/>
      <c r="SGO285" s="1144"/>
      <c r="SGP285" s="1144"/>
      <c r="SGQ285" s="1144"/>
      <c r="SGR285" s="1144"/>
      <c r="SGS285" s="1144"/>
      <c r="SGT285" s="1144"/>
      <c r="SGU285" s="1144"/>
      <c r="SGV285" s="1144"/>
      <c r="SGW285" s="1144"/>
      <c r="SGX285" s="1144"/>
      <c r="SGY285" s="1144"/>
      <c r="SGZ285" s="1144"/>
      <c r="SHA285" s="1144"/>
      <c r="SHB285" s="1144"/>
      <c r="SHC285" s="1144"/>
      <c r="SHD285" s="1144"/>
      <c r="SHE285" s="1144"/>
      <c r="SHF285" s="1144"/>
      <c r="SHG285" s="1144"/>
      <c r="SHH285" s="1144"/>
      <c r="SHI285" s="1144"/>
      <c r="SHJ285" s="1144"/>
      <c r="SHK285" s="1144"/>
      <c r="SHL285" s="1144"/>
      <c r="SHM285" s="1144"/>
      <c r="SHN285" s="1144"/>
      <c r="SHO285" s="1144"/>
      <c r="SHP285" s="1144"/>
      <c r="SHQ285" s="1144"/>
      <c r="SHR285" s="1144"/>
      <c r="SHS285" s="1144"/>
      <c r="SHT285" s="1144"/>
      <c r="SHU285" s="1144"/>
      <c r="SHV285" s="1144"/>
      <c r="SHW285" s="1144"/>
      <c r="SHX285" s="1144"/>
      <c r="SHY285" s="1144"/>
      <c r="SHZ285" s="1144"/>
      <c r="SIA285" s="1144"/>
      <c r="SIB285" s="1144"/>
      <c r="SIC285" s="1144"/>
      <c r="SID285" s="1144"/>
      <c r="SIE285" s="1144"/>
      <c r="SIF285" s="1144"/>
      <c r="SIG285" s="1144"/>
      <c r="SIH285" s="1144"/>
      <c r="SII285" s="1144"/>
      <c r="SIJ285" s="1144"/>
      <c r="SIK285" s="1144"/>
      <c r="SIL285" s="1144"/>
      <c r="SIM285" s="1144"/>
      <c r="SIN285" s="1144"/>
      <c r="SIO285" s="1144"/>
      <c r="SIP285" s="1144"/>
      <c r="SIQ285" s="1144"/>
      <c r="SIR285" s="1144"/>
      <c r="SIS285" s="1144"/>
      <c r="SIT285" s="1144"/>
      <c r="SIU285" s="1144"/>
      <c r="SIV285" s="1144"/>
      <c r="SIW285" s="1144"/>
      <c r="SIX285" s="1144"/>
      <c r="SIY285" s="1144"/>
      <c r="SIZ285" s="1144"/>
      <c r="SJA285" s="1144"/>
      <c r="SJB285" s="1144"/>
      <c r="SJC285" s="1144"/>
      <c r="SJD285" s="1144"/>
      <c r="SJE285" s="1144"/>
      <c r="SJF285" s="1144"/>
      <c r="SJG285" s="1144"/>
      <c r="SJH285" s="1144"/>
      <c r="SJI285" s="1144"/>
      <c r="SJJ285" s="1144"/>
      <c r="SJK285" s="1144"/>
      <c r="SJL285" s="1144"/>
      <c r="SJM285" s="1144"/>
      <c r="SJN285" s="1144"/>
      <c r="SJO285" s="1144"/>
      <c r="SJP285" s="1144"/>
      <c r="SJQ285" s="1144"/>
      <c r="SJR285" s="1144"/>
      <c r="SJS285" s="1144"/>
      <c r="SJT285" s="1144"/>
      <c r="SJU285" s="1144"/>
      <c r="SJV285" s="1144"/>
      <c r="SJW285" s="1144"/>
      <c r="SJX285" s="1144"/>
      <c r="SJY285" s="1144"/>
      <c r="SJZ285" s="1144"/>
      <c r="SKA285" s="1144"/>
      <c r="SKB285" s="1144"/>
      <c r="SKC285" s="1144"/>
      <c r="SKD285" s="1144"/>
      <c r="SKE285" s="1144"/>
      <c r="SKF285" s="1144"/>
      <c r="SKG285" s="1144"/>
      <c r="SKH285" s="1144"/>
      <c r="SKI285" s="1144"/>
      <c r="SKJ285" s="1144"/>
      <c r="SKK285" s="1144"/>
      <c r="SKL285" s="1144"/>
      <c r="SKM285" s="1144"/>
      <c r="SKN285" s="1144"/>
      <c r="SKO285" s="1144"/>
      <c r="SKP285" s="1144"/>
      <c r="SKQ285" s="1144"/>
      <c r="SKR285" s="1144"/>
      <c r="SKS285" s="1144"/>
      <c r="SKT285" s="1144"/>
      <c r="SKU285" s="1144"/>
      <c r="SKV285" s="1144"/>
      <c r="SKW285" s="1144"/>
      <c r="SKX285" s="1144"/>
      <c r="SKY285" s="1144"/>
      <c r="SKZ285" s="1144"/>
      <c r="SLA285" s="1144"/>
      <c r="SLB285" s="1144"/>
      <c r="SLC285" s="1144"/>
      <c r="SLD285" s="1144"/>
      <c r="SLE285" s="1144"/>
      <c r="SLF285" s="1144"/>
      <c r="SLG285" s="1144"/>
      <c r="SLH285" s="1144"/>
      <c r="SLI285" s="1144"/>
      <c r="SLJ285" s="1144"/>
      <c r="SLK285" s="1144"/>
      <c r="SLL285" s="1144"/>
      <c r="SLM285" s="1144"/>
      <c r="SLN285" s="1144"/>
      <c r="SLO285" s="1144"/>
      <c r="SLP285" s="1144"/>
      <c r="SLQ285" s="1144"/>
      <c r="SLR285" s="1144"/>
      <c r="SLS285" s="1144"/>
      <c r="SLT285" s="1144"/>
      <c r="SLU285" s="1144"/>
      <c r="SLV285" s="1144"/>
      <c r="SLW285" s="1144"/>
      <c r="SLX285" s="1144"/>
      <c r="SLY285" s="1144"/>
      <c r="SLZ285" s="1144"/>
      <c r="SMA285" s="1144"/>
      <c r="SMB285" s="1144"/>
      <c r="SMC285" s="1144"/>
      <c r="SMD285" s="1144"/>
      <c r="SME285" s="1144"/>
      <c r="SMF285" s="1144"/>
      <c r="SMG285" s="1144"/>
      <c r="SMH285" s="1144"/>
      <c r="SMI285" s="1144"/>
      <c r="SMJ285" s="1144"/>
      <c r="SMK285" s="1144"/>
      <c r="SML285" s="1144"/>
      <c r="SMM285" s="1144"/>
      <c r="SMN285" s="1144"/>
      <c r="SMO285" s="1144"/>
      <c r="SMP285" s="1144"/>
      <c r="SMQ285" s="1144"/>
      <c r="SMR285" s="1144"/>
      <c r="SMS285" s="1144"/>
      <c r="SMT285" s="1144"/>
      <c r="SMU285" s="1144"/>
      <c r="SMV285" s="1144"/>
      <c r="SMW285" s="1144"/>
      <c r="SMX285" s="1144"/>
      <c r="SMY285" s="1144"/>
      <c r="SMZ285" s="1144"/>
      <c r="SNA285" s="1144"/>
      <c r="SNB285" s="1144"/>
      <c r="SNC285" s="1144"/>
      <c r="SND285" s="1144"/>
      <c r="SNE285" s="1144"/>
      <c r="SNF285" s="1144"/>
      <c r="SNG285" s="1144"/>
      <c r="SNH285" s="1144"/>
      <c r="SNI285" s="1144"/>
      <c r="SNJ285" s="1144"/>
      <c r="SNK285" s="1144"/>
      <c r="SNL285" s="1144"/>
      <c r="SNM285" s="1144"/>
      <c r="SNN285" s="1144"/>
      <c r="SNO285" s="1144"/>
      <c r="SNP285" s="1144"/>
      <c r="SNQ285" s="1144"/>
      <c r="SNR285" s="1144"/>
      <c r="SNS285" s="1144"/>
      <c r="SNT285" s="1144"/>
      <c r="SNU285" s="1144"/>
      <c r="SNV285" s="1144"/>
      <c r="SNW285" s="1144"/>
      <c r="SNX285" s="1144"/>
      <c r="SNY285" s="1144"/>
      <c r="SNZ285" s="1144"/>
      <c r="SOA285" s="1144"/>
      <c r="SOB285" s="1144"/>
      <c r="SOC285" s="1144"/>
      <c r="SOD285" s="1144"/>
      <c r="SOE285" s="1144"/>
      <c r="SOF285" s="1144"/>
      <c r="SOG285" s="1144"/>
      <c r="SOH285" s="1144"/>
      <c r="SOI285" s="1144"/>
      <c r="SOJ285" s="1144"/>
      <c r="SOK285" s="1144"/>
      <c r="SOL285" s="1144"/>
      <c r="SOM285" s="1144"/>
      <c r="SON285" s="1144"/>
      <c r="SOO285" s="1144"/>
      <c r="SOP285" s="1144"/>
      <c r="SOQ285" s="1144"/>
      <c r="SOR285" s="1144"/>
      <c r="SOS285" s="1144"/>
      <c r="SOT285" s="1144"/>
      <c r="SOU285" s="1144"/>
      <c r="SOV285" s="1144"/>
      <c r="SOW285" s="1144"/>
      <c r="SOX285" s="1144"/>
      <c r="SOY285" s="1144"/>
      <c r="SOZ285" s="1144"/>
      <c r="SPA285" s="1144"/>
      <c r="SPB285" s="1144"/>
      <c r="SPC285" s="1144"/>
      <c r="SPD285" s="1144"/>
      <c r="SPE285" s="1144"/>
      <c r="SPF285" s="1144"/>
      <c r="SPG285" s="1144"/>
      <c r="SPH285" s="1144"/>
      <c r="SPI285" s="1144"/>
      <c r="SPJ285" s="1144"/>
      <c r="SPK285" s="1144"/>
      <c r="SPL285" s="1144"/>
      <c r="SPM285" s="1144"/>
      <c r="SPN285" s="1144"/>
      <c r="SPO285" s="1144"/>
      <c r="SPP285" s="1144"/>
      <c r="SPQ285" s="1144"/>
      <c r="SPR285" s="1144"/>
      <c r="SPS285" s="1144"/>
      <c r="SPT285" s="1144"/>
      <c r="SPU285" s="1144"/>
      <c r="SPV285" s="1144"/>
      <c r="SPW285" s="1144"/>
      <c r="SPX285" s="1144"/>
      <c r="SPY285" s="1144"/>
      <c r="SPZ285" s="1144"/>
      <c r="SQA285" s="1144"/>
      <c r="SQB285" s="1144"/>
      <c r="SQC285" s="1144"/>
      <c r="SQD285" s="1144"/>
      <c r="SQE285" s="1144"/>
      <c r="SQF285" s="1144"/>
      <c r="SQG285" s="1144"/>
      <c r="SQH285" s="1144"/>
      <c r="SQI285" s="1144"/>
      <c r="SQJ285" s="1144"/>
      <c r="SQK285" s="1144"/>
      <c r="SQL285" s="1144"/>
      <c r="SQM285" s="1144"/>
      <c r="SQN285" s="1144"/>
      <c r="SQO285" s="1144"/>
      <c r="SQP285" s="1144"/>
      <c r="SQQ285" s="1144"/>
      <c r="SQR285" s="1144"/>
      <c r="SQS285" s="1144"/>
      <c r="SQT285" s="1144"/>
      <c r="SQU285" s="1144"/>
      <c r="SQV285" s="1144"/>
      <c r="SQW285" s="1144"/>
      <c r="SQX285" s="1144"/>
      <c r="SQY285" s="1144"/>
      <c r="SQZ285" s="1144"/>
      <c r="SRA285" s="1144"/>
      <c r="SRB285" s="1144"/>
      <c r="SRC285" s="1144"/>
      <c r="SRD285" s="1144"/>
      <c r="SRE285" s="1144"/>
      <c r="SRF285" s="1144"/>
      <c r="SRG285" s="1144"/>
      <c r="SRH285" s="1144"/>
      <c r="SRI285" s="1144"/>
      <c r="SRJ285" s="1144"/>
      <c r="SRK285" s="1144"/>
      <c r="SRL285" s="1144"/>
      <c r="SRM285" s="1144"/>
      <c r="SRN285" s="1144"/>
      <c r="SRO285" s="1144"/>
      <c r="SRP285" s="1144"/>
      <c r="SRQ285" s="1144"/>
      <c r="SRR285" s="1144"/>
      <c r="SRS285" s="1144"/>
      <c r="SRT285" s="1144"/>
      <c r="SRU285" s="1144"/>
      <c r="SRV285" s="1144"/>
      <c r="SRW285" s="1144"/>
      <c r="SRX285" s="1144"/>
      <c r="SRY285" s="1144"/>
      <c r="SRZ285" s="1144"/>
      <c r="SSA285" s="1144"/>
      <c r="SSB285" s="1144"/>
      <c r="SSC285" s="1144"/>
      <c r="SSD285" s="1144"/>
      <c r="SSE285" s="1144"/>
      <c r="SSF285" s="1144"/>
      <c r="SSG285" s="1144"/>
      <c r="SSH285" s="1144"/>
      <c r="SSI285" s="1144"/>
      <c r="SSJ285" s="1144"/>
      <c r="SSK285" s="1144"/>
      <c r="SSL285" s="1144"/>
      <c r="SSM285" s="1144"/>
      <c r="SSN285" s="1144"/>
      <c r="SSO285" s="1144"/>
      <c r="SSP285" s="1144"/>
      <c r="SSQ285" s="1144"/>
      <c r="SSR285" s="1144"/>
      <c r="SSS285" s="1144"/>
      <c r="SST285" s="1144"/>
      <c r="SSU285" s="1144"/>
      <c r="SSV285" s="1144"/>
      <c r="SSW285" s="1144"/>
      <c r="SSX285" s="1144"/>
      <c r="SSY285" s="1144"/>
      <c r="SSZ285" s="1144"/>
      <c r="STA285" s="1144"/>
      <c r="STB285" s="1144"/>
      <c r="STC285" s="1144"/>
      <c r="STD285" s="1144"/>
      <c r="STE285" s="1144"/>
      <c r="STF285" s="1144"/>
      <c r="STG285" s="1144"/>
      <c r="STH285" s="1144"/>
      <c r="STI285" s="1144"/>
      <c r="STJ285" s="1144"/>
      <c r="STK285" s="1144"/>
      <c r="STL285" s="1144"/>
      <c r="STM285" s="1144"/>
      <c r="STN285" s="1144"/>
      <c r="STO285" s="1144"/>
      <c r="STP285" s="1144"/>
      <c r="STQ285" s="1144"/>
      <c r="STR285" s="1144"/>
      <c r="STS285" s="1144"/>
      <c r="STT285" s="1144"/>
      <c r="STU285" s="1144"/>
      <c r="STV285" s="1144"/>
      <c r="STW285" s="1144"/>
      <c r="STX285" s="1144"/>
      <c r="STY285" s="1144"/>
      <c r="STZ285" s="1144"/>
      <c r="SUA285" s="1144"/>
      <c r="SUB285" s="1144"/>
      <c r="SUC285" s="1144"/>
      <c r="SUD285" s="1144"/>
      <c r="SUE285" s="1144"/>
      <c r="SUF285" s="1144"/>
      <c r="SUG285" s="1144"/>
      <c r="SUH285" s="1144"/>
      <c r="SUI285" s="1144"/>
      <c r="SUJ285" s="1144"/>
      <c r="SUK285" s="1144"/>
      <c r="SUL285" s="1144"/>
      <c r="SUM285" s="1144"/>
      <c r="SUN285" s="1144"/>
      <c r="SUO285" s="1144"/>
      <c r="SUP285" s="1144"/>
      <c r="SUQ285" s="1144"/>
      <c r="SUR285" s="1144"/>
      <c r="SUS285" s="1144"/>
      <c r="SUT285" s="1144"/>
      <c r="SUU285" s="1144"/>
      <c r="SUV285" s="1144"/>
      <c r="SUW285" s="1144"/>
      <c r="SUX285" s="1144"/>
      <c r="SUY285" s="1144"/>
      <c r="SUZ285" s="1144"/>
      <c r="SVA285" s="1144"/>
      <c r="SVB285" s="1144"/>
      <c r="SVC285" s="1144"/>
      <c r="SVD285" s="1144"/>
      <c r="SVE285" s="1144"/>
      <c r="SVF285" s="1144"/>
      <c r="SVG285" s="1144"/>
      <c r="SVH285" s="1144"/>
      <c r="SVI285" s="1144"/>
      <c r="SVJ285" s="1144"/>
      <c r="SVK285" s="1144"/>
      <c r="SVL285" s="1144"/>
      <c r="SVM285" s="1144"/>
      <c r="SVN285" s="1144"/>
      <c r="SVO285" s="1144"/>
      <c r="SVP285" s="1144"/>
      <c r="SVQ285" s="1144"/>
      <c r="SVR285" s="1144"/>
      <c r="SVS285" s="1144"/>
      <c r="SVT285" s="1144"/>
      <c r="SVU285" s="1144"/>
      <c r="SVV285" s="1144"/>
      <c r="SVW285" s="1144"/>
      <c r="SVX285" s="1144"/>
      <c r="SVY285" s="1144"/>
      <c r="SVZ285" s="1144"/>
      <c r="SWA285" s="1144"/>
      <c r="SWB285" s="1144"/>
      <c r="SWC285" s="1144"/>
      <c r="SWD285" s="1144"/>
      <c r="SWE285" s="1144"/>
      <c r="SWF285" s="1144"/>
      <c r="SWG285" s="1144"/>
      <c r="SWH285" s="1144"/>
      <c r="SWI285" s="1144"/>
      <c r="SWJ285" s="1144"/>
      <c r="SWK285" s="1144"/>
      <c r="SWL285" s="1144"/>
      <c r="SWM285" s="1144"/>
      <c r="SWN285" s="1144"/>
      <c r="SWO285" s="1144"/>
      <c r="SWP285" s="1144"/>
      <c r="SWQ285" s="1144"/>
      <c r="SWR285" s="1144"/>
      <c r="SWS285" s="1144"/>
      <c r="SWT285" s="1144"/>
      <c r="SWU285" s="1144"/>
      <c r="SWV285" s="1144"/>
      <c r="SWW285" s="1144"/>
      <c r="SWX285" s="1144"/>
      <c r="SWY285" s="1144"/>
      <c r="SWZ285" s="1144"/>
      <c r="SXA285" s="1144"/>
      <c r="SXB285" s="1144"/>
      <c r="SXC285" s="1144"/>
      <c r="SXD285" s="1144"/>
      <c r="SXE285" s="1144"/>
      <c r="SXF285" s="1144"/>
      <c r="SXG285" s="1144"/>
      <c r="SXH285" s="1144"/>
      <c r="SXI285" s="1144"/>
      <c r="SXJ285" s="1144"/>
      <c r="SXK285" s="1144"/>
      <c r="SXL285" s="1144"/>
      <c r="SXM285" s="1144"/>
      <c r="SXN285" s="1144"/>
      <c r="SXO285" s="1144"/>
      <c r="SXP285" s="1144"/>
      <c r="SXQ285" s="1144"/>
      <c r="SXR285" s="1144"/>
      <c r="SXS285" s="1144"/>
      <c r="SXT285" s="1144"/>
      <c r="SXU285" s="1144"/>
      <c r="SXV285" s="1144"/>
      <c r="SXW285" s="1144"/>
      <c r="SXX285" s="1144"/>
      <c r="SXY285" s="1144"/>
      <c r="SXZ285" s="1144"/>
      <c r="SYA285" s="1144"/>
      <c r="SYB285" s="1144"/>
      <c r="SYC285" s="1144"/>
      <c r="SYD285" s="1144"/>
      <c r="SYE285" s="1144"/>
      <c r="SYF285" s="1144"/>
      <c r="SYG285" s="1144"/>
      <c r="SYH285" s="1144"/>
      <c r="SYI285" s="1144"/>
      <c r="SYJ285" s="1144"/>
      <c r="SYK285" s="1144"/>
      <c r="SYL285" s="1144"/>
      <c r="SYM285" s="1144"/>
      <c r="SYN285" s="1144"/>
      <c r="SYO285" s="1144"/>
      <c r="SYP285" s="1144"/>
      <c r="SYQ285" s="1144"/>
      <c r="SYR285" s="1144"/>
      <c r="SYS285" s="1144"/>
      <c r="SYT285" s="1144"/>
      <c r="SYU285" s="1144"/>
      <c r="SYV285" s="1144"/>
      <c r="SYW285" s="1144"/>
      <c r="SYX285" s="1144"/>
      <c r="SYY285" s="1144"/>
      <c r="SYZ285" s="1144"/>
      <c r="SZA285" s="1144"/>
      <c r="SZB285" s="1144"/>
      <c r="SZC285" s="1144"/>
      <c r="SZD285" s="1144"/>
      <c r="SZE285" s="1144"/>
      <c r="SZF285" s="1144"/>
      <c r="SZG285" s="1144"/>
      <c r="SZH285" s="1144"/>
      <c r="SZI285" s="1144"/>
      <c r="SZJ285" s="1144"/>
      <c r="SZK285" s="1144"/>
      <c r="SZL285" s="1144"/>
      <c r="SZM285" s="1144"/>
      <c r="SZN285" s="1144"/>
      <c r="SZO285" s="1144"/>
      <c r="SZP285" s="1144"/>
      <c r="SZQ285" s="1144"/>
      <c r="SZR285" s="1144"/>
      <c r="SZS285" s="1144"/>
      <c r="SZT285" s="1144"/>
      <c r="SZU285" s="1144"/>
      <c r="SZV285" s="1144"/>
      <c r="SZW285" s="1144"/>
      <c r="SZX285" s="1144"/>
      <c r="SZY285" s="1144"/>
      <c r="SZZ285" s="1144"/>
      <c r="TAA285" s="1144"/>
      <c r="TAB285" s="1144"/>
      <c r="TAC285" s="1144"/>
      <c r="TAD285" s="1144"/>
      <c r="TAE285" s="1144"/>
      <c r="TAF285" s="1144"/>
      <c r="TAG285" s="1144"/>
      <c r="TAH285" s="1144"/>
      <c r="TAI285" s="1144"/>
      <c r="TAJ285" s="1144"/>
      <c r="TAK285" s="1144"/>
      <c r="TAL285" s="1144"/>
      <c r="TAM285" s="1144"/>
      <c r="TAN285" s="1144"/>
      <c r="TAO285" s="1144"/>
      <c r="TAP285" s="1144"/>
      <c r="TAQ285" s="1144"/>
      <c r="TAR285" s="1144"/>
      <c r="TAS285" s="1144"/>
      <c r="TAT285" s="1144"/>
      <c r="TAU285" s="1144"/>
      <c r="TAV285" s="1144"/>
      <c r="TAW285" s="1144"/>
      <c r="TAX285" s="1144"/>
      <c r="TAY285" s="1144"/>
      <c r="TAZ285" s="1144"/>
      <c r="TBA285" s="1144"/>
      <c r="TBB285" s="1144"/>
      <c r="TBC285" s="1144"/>
      <c r="TBD285" s="1144"/>
      <c r="TBE285" s="1144"/>
      <c r="TBF285" s="1144"/>
      <c r="TBG285" s="1144"/>
      <c r="TBH285" s="1144"/>
      <c r="TBI285" s="1144"/>
      <c r="TBJ285" s="1144"/>
      <c r="TBK285" s="1144"/>
      <c r="TBL285" s="1144"/>
      <c r="TBM285" s="1144"/>
      <c r="TBN285" s="1144"/>
      <c r="TBO285" s="1144"/>
      <c r="TBP285" s="1144"/>
      <c r="TBQ285" s="1144"/>
      <c r="TBR285" s="1144"/>
      <c r="TBS285" s="1144"/>
      <c r="TBT285" s="1144"/>
      <c r="TBU285" s="1144"/>
      <c r="TBV285" s="1144"/>
      <c r="TBW285" s="1144"/>
      <c r="TBX285" s="1144"/>
      <c r="TBY285" s="1144"/>
      <c r="TBZ285" s="1144"/>
      <c r="TCA285" s="1144"/>
      <c r="TCB285" s="1144"/>
      <c r="TCC285" s="1144"/>
      <c r="TCD285" s="1144"/>
      <c r="TCE285" s="1144"/>
      <c r="TCF285" s="1144"/>
      <c r="TCG285" s="1144"/>
      <c r="TCH285" s="1144"/>
      <c r="TCI285" s="1144"/>
      <c r="TCJ285" s="1144"/>
      <c r="TCK285" s="1144"/>
      <c r="TCL285" s="1144"/>
      <c r="TCM285" s="1144"/>
      <c r="TCN285" s="1144"/>
      <c r="TCO285" s="1144"/>
      <c r="TCP285" s="1144"/>
      <c r="TCQ285" s="1144"/>
      <c r="TCR285" s="1144"/>
      <c r="TCS285" s="1144"/>
      <c r="TCT285" s="1144"/>
      <c r="TCU285" s="1144"/>
      <c r="TCV285" s="1144"/>
      <c r="TCW285" s="1144"/>
      <c r="TCX285" s="1144"/>
      <c r="TCY285" s="1144"/>
      <c r="TCZ285" s="1144"/>
      <c r="TDA285" s="1144"/>
      <c r="TDB285" s="1144"/>
      <c r="TDC285" s="1144"/>
      <c r="TDD285" s="1144"/>
      <c r="TDE285" s="1144"/>
      <c r="TDF285" s="1144"/>
      <c r="TDG285" s="1144"/>
      <c r="TDH285" s="1144"/>
      <c r="TDI285" s="1144"/>
      <c r="TDJ285" s="1144"/>
      <c r="TDK285" s="1144"/>
      <c r="TDL285" s="1144"/>
      <c r="TDM285" s="1144"/>
      <c r="TDN285" s="1144"/>
      <c r="TDO285" s="1144"/>
      <c r="TDP285" s="1144"/>
      <c r="TDQ285" s="1144"/>
      <c r="TDR285" s="1144"/>
      <c r="TDS285" s="1144"/>
      <c r="TDT285" s="1144"/>
      <c r="TDU285" s="1144"/>
      <c r="TDV285" s="1144"/>
      <c r="TDW285" s="1144"/>
      <c r="TDX285" s="1144"/>
      <c r="TDY285" s="1144"/>
      <c r="TDZ285" s="1144"/>
      <c r="TEA285" s="1144"/>
      <c r="TEB285" s="1144"/>
      <c r="TEC285" s="1144"/>
      <c r="TED285" s="1144"/>
      <c r="TEE285" s="1144"/>
      <c r="TEF285" s="1144"/>
      <c r="TEG285" s="1144"/>
      <c r="TEH285" s="1144"/>
      <c r="TEI285" s="1144"/>
      <c r="TEJ285" s="1144"/>
      <c r="TEK285" s="1144"/>
      <c r="TEL285" s="1144"/>
      <c r="TEM285" s="1144"/>
      <c r="TEN285" s="1144"/>
      <c r="TEO285" s="1144"/>
      <c r="TEP285" s="1144"/>
      <c r="TEQ285" s="1144"/>
      <c r="TER285" s="1144"/>
      <c r="TES285" s="1144"/>
      <c r="TET285" s="1144"/>
      <c r="TEU285" s="1144"/>
      <c r="TEV285" s="1144"/>
      <c r="TEW285" s="1144"/>
      <c r="TEX285" s="1144"/>
      <c r="TEY285" s="1144"/>
      <c r="TEZ285" s="1144"/>
      <c r="TFA285" s="1144"/>
      <c r="TFB285" s="1144"/>
      <c r="TFC285" s="1144"/>
      <c r="TFD285" s="1144"/>
      <c r="TFE285" s="1144"/>
      <c r="TFF285" s="1144"/>
      <c r="TFG285" s="1144"/>
      <c r="TFH285" s="1144"/>
      <c r="TFI285" s="1144"/>
      <c r="TFJ285" s="1144"/>
      <c r="TFK285" s="1144"/>
      <c r="TFL285" s="1144"/>
      <c r="TFM285" s="1144"/>
      <c r="TFN285" s="1144"/>
      <c r="TFO285" s="1144"/>
      <c r="TFP285" s="1144"/>
      <c r="TFQ285" s="1144"/>
      <c r="TFR285" s="1144"/>
      <c r="TFS285" s="1144"/>
      <c r="TFT285" s="1144"/>
      <c r="TFU285" s="1144"/>
      <c r="TFV285" s="1144"/>
      <c r="TFW285" s="1144"/>
      <c r="TFX285" s="1144"/>
      <c r="TFY285" s="1144"/>
      <c r="TFZ285" s="1144"/>
      <c r="TGA285" s="1144"/>
      <c r="TGB285" s="1144"/>
      <c r="TGC285" s="1144"/>
      <c r="TGD285" s="1144"/>
      <c r="TGE285" s="1144"/>
      <c r="TGF285" s="1144"/>
      <c r="TGG285" s="1144"/>
      <c r="TGH285" s="1144"/>
      <c r="TGI285" s="1144"/>
      <c r="TGJ285" s="1144"/>
      <c r="TGK285" s="1144"/>
      <c r="TGL285" s="1144"/>
      <c r="TGM285" s="1144"/>
      <c r="TGN285" s="1144"/>
      <c r="TGO285" s="1144"/>
      <c r="TGP285" s="1144"/>
      <c r="TGQ285" s="1144"/>
      <c r="TGR285" s="1144"/>
      <c r="TGS285" s="1144"/>
      <c r="TGT285" s="1144"/>
      <c r="TGU285" s="1144"/>
      <c r="TGV285" s="1144"/>
      <c r="TGW285" s="1144"/>
      <c r="TGX285" s="1144"/>
      <c r="TGY285" s="1144"/>
      <c r="TGZ285" s="1144"/>
      <c r="THA285" s="1144"/>
      <c r="THB285" s="1144"/>
      <c r="THC285" s="1144"/>
      <c r="THD285" s="1144"/>
      <c r="THE285" s="1144"/>
      <c r="THF285" s="1144"/>
      <c r="THG285" s="1144"/>
      <c r="THH285" s="1144"/>
      <c r="THI285" s="1144"/>
      <c r="THJ285" s="1144"/>
      <c r="THK285" s="1144"/>
      <c r="THL285" s="1144"/>
      <c r="THM285" s="1144"/>
      <c r="THN285" s="1144"/>
      <c r="THO285" s="1144"/>
      <c r="THP285" s="1144"/>
      <c r="THQ285" s="1144"/>
      <c r="THR285" s="1144"/>
      <c r="THS285" s="1144"/>
      <c r="THT285" s="1144"/>
      <c r="THU285" s="1144"/>
      <c r="THV285" s="1144"/>
      <c r="THW285" s="1144"/>
      <c r="THX285" s="1144"/>
      <c r="THY285" s="1144"/>
      <c r="THZ285" s="1144"/>
      <c r="TIA285" s="1144"/>
      <c r="TIB285" s="1144"/>
      <c r="TIC285" s="1144"/>
      <c r="TID285" s="1144"/>
      <c r="TIE285" s="1144"/>
      <c r="TIF285" s="1144"/>
      <c r="TIG285" s="1144"/>
      <c r="TIH285" s="1144"/>
      <c r="TII285" s="1144"/>
      <c r="TIJ285" s="1144"/>
      <c r="TIK285" s="1144"/>
      <c r="TIL285" s="1144"/>
      <c r="TIM285" s="1144"/>
      <c r="TIN285" s="1144"/>
      <c r="TIO285" s="1144"/>
      <c r="TIP285" s="1144"/>
      <c r="TIQ285" s="1144"/>
      <c r="TIR285" s="1144"/>
      <c r="TIS285" s="1144"/>
      <c r="TIT285" s="1144"/>
      <c r="TIU285" s="1144"/>
      <c r="TIV285" s="1144"/>
      <c r="TIW285" s="1144"/>
      <c r="TIX285" s="1144"/>
      <c r="TIY285" s="1144"/>
      <c r="TIZ285" s="1144"/>
      <c r="TJA285" s="1144"/>
      <c r="TJB285" s="1144"/>
      <c r="TJC285" s="1144"/>
      <c r="TJD285" s="1144"/>
      <c r="TJE285" s="1144"/>
      <c r="TJF285" s="1144"/>
      <c r="TJG285" s="1144"/>
      <c r="TJH285" s="1144"/>
      <c r="TJI285" s="1144"/>
      <c r="TJJ285" s="1144"/>
      <c r="TJK285" s="1144"/>
      <c r="TJL285" s="1144"/>
      <c r="TJM285" s="1144"/>
      <c r="TJN285" s="1144"/>
      <c r="TJO285" s="1144"/>
      <c r="TJP285" s="1144"/>
      <c r="TJQ285" s="1144"/>
      <c r="TJR285" s="1144"/>
      <c r="TJS285" s="1144"/>
      <c r="TJT285" s="1144"/>
      <c r="TJU285" s="1144"/>
      <c r="TJV285" s="1144"/>
      <c r="TJW285" s="1144"/>
      <c r="TJX285" s="1144"/>
      <c r="TJY285" s="1144"/>
      <c r="TJZ285" s="1144"/>
      <c r="TKA285" s="1144"/>
      <c r="TKB285" s="1144"/>
      <c r="TKC285" s="1144"/>
      <c r="TKD285" s="1144"/>
      <c r="TKE285" s="1144"/>
      <c r="TKF285" s="1144"/>
      <c r="TKG285" s="1144"/>
      <c r="TKH285" s="1144"/>
      <c r="TKI285" s="1144"/>
      <c r="TKJ285" s="1144"/>
      <c r="TKK285" s="1144"/>
      <c r="TKL285" s="1144"/>
      <c r="TKM285" s="1144"/>
      <c r="TKN285" s="1144"/>
      <c r="TKO285" s="1144"/>
      <c r="TKP285" s="1144"/>
      <c r="TKQ285" s="1144"/>
      <c r="TKR285" s="1144"/>
      <c r="TKS285" s="1144"/>
      <c r="TKT285" s="1144"/>
      <c r="TKU285" s="1144"/>
      <c r="TKV285" s="1144"/>
      <c r="TKW285" s="1144"/>
      <c r="TKX285" s="1144"/>
      <c r="TKY285" s="1144"/>
      <c r="TKZ285" s="1144"/>
      <c r="TLA285" s="1144"/>
      <c r="TLB285" s="1144"/>
      <c r="TLC285" s="1144"/>
      <c r="TLD285" s="1144"/>
      <c r="TLE285" s="1144"/>
      <c r="TLF285" s="1144"/>
      <c r="TLG285" s="1144"/>
      <c r="TLH285" s="1144"/>
      <c r="TLI285" s="1144"/>
      <c r="TLJ285" s="1144"/>
      <c r="TLK285" s="1144"/>
      <c r="TLL285" s="1144"/>
      <c r="TLM285" s="1144"/>
      <c r="TLN285" s="1144"/>
      <c r="TLO285" s="1144"/>
      <c r="TLP285" s="1144"/>
      <c r="TLQ285" s="1144"/>
      <c r="TLR285" s="1144"/>
      <c r="TLS285" s="1144"/>
      <c r="TLT285" s="1144"/>
      <c r="TLU285" s="1144"/>
      <c r="TLV285" s="1144"/>
      <c r="TLW285" s="1144"/>
      <c r="TLX285" s="1144"/>
      <c r="TLY285" s="1144"/>
      <c r="TLZ285" s="1144"/>
      <c r="TMA285" s="1144"/>
      <c r="TMB285" s="1144"/>
      <c r="TMC285" s="1144"/>
      <c r="TMD285" s="1144"/>
      <c r="TME285" s="1144"/>
      <c r="TMF285" s="1144"/>
      <c r="TMG285" s="1144"/>
      <c r="TMH285" s="1144"/>
      <c r="TMI285" s="1144"/>
      <c r="TMJ285" s="1144"/>
      <c r="TMK285" s="1144"/>
      <c r="TML285" s="1144"/>
      <c r="TMM285" s="1144"/>
      <c r="TMN285" s="1144"/>
      <c r="TMO285" s="1144"/>
      <c r="TMP285" s="1144"/>
      <c r="TMQ285" s="1144"/>
      <c r="TMR285" s="1144"/>
      <c r="TMS285" s="1144"/>
      <c r="TMT285" s="1144"/>
      <c r="TMU285" s="1144"/>
      <c r="TMV285" s="1144"/>
      <c r="TMW285" s="1144"/>
      <c r="TMX285" s="1144"/>
      <c r="TMY285" s="1144"/>
      <c r="TMZ285" s="1144"/>
      <c r="TNA285" s="1144"/>
      <c r="TNB285" s="1144"/>
      <c r="TNC285" s="1144"/>
      <c r="TND285" s="1144"/>
      <c r="TNE285" s="1144"/>
      <c r="TNF285" s="1144"/>
      <c r="TNG285" s="1144"/>
      <c r="TNH285" s="1144"/>
      <c r="TNI285" s="1144"/>
      <c r="TNJ285" s="1144"/>
      <c r="TNK285" s="1144"/>
      <c r="TNL285" s="1144"/>
      <c r="TNM285" s="1144"/>
      <c r="TNN285" s="1144"/>
      <c r="TNO285" s="1144"/>
      <c r="TNP285" s="1144"/>
      <c r="TNQ285" s="1144"/>
      <c r="TNR285" s="1144"/>
      <c r="TNS285" s="1144"/>
      <c r="TNT285" s="1144"/>
      <c r="TNU285" s="1144"/>
      <c r="TNV285" s="1144"/>
      <c r="TNW285" s="1144"/>
      <c r="TNX285" s="1144"/>
      <c r="TNY285" s="1144"/>
      <c r="TNZ285" s="1144"/>
      <c r="TOA285" s="1144"/>
      <c r="TOB285" s="1144"/>
      <c r="TOC285" s="1144"/>
      <c r="TOD285" s="1144"/>
      <c r="TOE285" s="1144"/>
      <c r="TOF285" s="1144"/>
      <c r="TOG285" s="1144"/>
      <c r="TOH285" s="1144"/>
      <c r="TOI285" s="1144"/>
      <c r="TOJ285" s="1144"/>
      <c r="TOK285" s="1144"/>
      <c r="TOL285" s="1144"/>
      <c r="TOM285" s="1144"/>
      <c r="TON285" s="1144"/>
      <c r="TOO285" s="1144"/>
      <c r="TOP285" s="1144"/>
      <c r="TOQ285" s="1144"/>
      <c r="TOR285" s="1144"/>
      <c r="TOS285" s="1144"/>
      <c r="TOT285" s="1144"/>
      <c r="TOU285" s="1144"/>
      <c r="TOV285" s="1144"/>
      <c r="TOW285" s="1144"/>
      <c r="TOX285" s="1144"/>
      <c r="TOY285" s="1144"/>
      <c r="TOZ285" s="1144"/>
      <c r="TPA285" s="1144"/>
      <c r="TPB285" s="1144"/>
      <c r="TPC285" s="1144"/>
      <c r="TPD285" s="1144"/>
      <c r="TPE285" s="1144"/>
      <c r="TPF285" s="1144"/>
      <c r="TPG285" s="1144"/>
      <c r="TPH285" s="1144"/>
      <c r="TPI285" s="1144"/>
      <c r="TPJ285" s="1144"/>
      <c r="TPK285" s="1144"/>
      <c r="TPL285" s="1144"/>
      <c r="TPM285" s="1144"/>
      <c r="TPN285" s="1144"/>
      <c r="TPO285" s="1144"/>
      <c r="TPP285" s="1144"/>
      <c r="TPQ285" s="1144"/>
      <c r="TPR285" s="1144"/>
      <c r="TPS285" s="1144"/>
      <c r="TPT285" s="1144"/>
      <c r="TPU285" s="1144"/>
      <c r="TPV285" s="1144"/>
      <c r="TPW285" s="1144"/>
      <c r="TPX285" s="1144"/>
      <c r="TPY285" s="1144"/>
      <c r="TPZ285" s="1144"/>
      <c r="TQA285" s="1144"/>
      <c r="TQB285" s="1144"/>
      <c r="TQC285" s="1144"/>
      <c r="TQD285" s="1144"/>
      <c r="TQE285" s="1144"/>
      <c r="TQF285" s="1144"/>
      <c r="TQG285" s="1144"/>
      <c r="TQH285" s="1144"/>
      <c r="TQI285" s="1144"/>
      <c r="TQJ285" s="1144"/>
      <c r="TQK285" s="1144"/>
      <c r="TQL285" s="1144"/>
      <c r="TQM285" s="1144"/>
      <c r="TQN285" s="1144"/>
      <c r="TQO285" s="1144"/>
      <c r="TQP285" s="1144"/>
      <c r="TQQ285" s="1144"/>
      <c r="TQR285" s="1144"/>
      <c r="TQS285" s="1144"/>
      <c r="TQT285" s="1144"/>
      <c r="TQU285" s="1144"/>
      <c r="TQV285" s="1144"/>
      <c r="TQW285" s="1144"/>
      <c r="TQX285" s="1144"/>
      <c r="TQY285" s="1144"/>
      <c r="TQZ285" s="1144"/>
      <c r="TRA285" s="1144"/>
      <c r="TRB285" s="1144"/>
      <c r="TRC285" s="1144"/>
      <c r="TRD285" s="1144"/>
      <c r="TRE285" s="1144"/>
      <c r="TRF285" s="1144"/>
      <c r="TRG285" s="1144"/>
      <c r="TRH285" s="1144"/>
      <c r="TRI285" s="1144"/>
      <c r="TRJ285" s="1144"/>
      <c r="TRK285" s="1144"/>
      <c r="TRL285" s="1144"/>
      <c r="TRM285" s="1144"/>
      <c r="TRN285" s="1144"/>
      <c r="TRO285" s="1144"/>
      <c r="TRP285" s="1144"/>
      <c r="TRQ285" s="1144"/>
      <c r="TRR285" s="1144"/>
      <c r="TRS285" s="1144"/>
      <c r="TRT285" s="1144"/>
      <c r="TRU285" s="1144"/>
      <c r="TRV285" s="1144"/>
      <c r="TRW285" s="1144"/>
      <c r="TRX285" s="1144"/>
      <c r="TRY285" s="1144"/>
      <c r="TRZ285" s="1144"/>
      <c r="TSA285" s="1144"/>
      <c r="TSB285" s="1144"/>
      <c r="TSC285" s="1144"/>
      <c r="TSD285" s="1144"/>
      <c r="TSE285" s="1144"/>
      <c r="TSF285" s="1144"/>
      <c r="TSG285" s="1144"/>
      <c r="TSH285" s="1144"/>
      <c r="TSI285" s="1144"/>
      <c r="TSJ285" s="1144"/>
      <c r="TSK285" s="1144"/>
      <c r="TSL285" s="1144"/>
      <c r="TSM285" s="1144"/>
      <c r="TSN285" s="1144"/>
      <c r="TSO285" s="1144"/>
      <c r="TSP285" s="1144"/>
      <c r="TSQ285" s="1144"/>
      <c r="TSR285" s="1144"/>
      <c r="TSS285" s="1144"/>
      <c r="TST285" s="1144"/>
      <c r="TSU285" s="1144"/>
      <c r="TSV285" s="1144"/>
      <c r="TSW285" s="1144"/>
      <c r="TSX285" s="1144"/>
      <c r="TSY285" s="1144"/>
      <c r="TSZ285" s="1144"/>
      <c r="TTA285" s="1144"/>
      <c r="TTB285" s="1144"/>
      <c r="TTC285" s="1144"/>
      <c r="TTD285" s="1144"/>
      <c r="TTE285" s="1144"/>
      <c r="TTF285" s="1144"/>
      <c r="TTG285" s="1144"/>
      <c r="TTH285" s="1144"/>
      <c r="TTI285" s="1144"/>
      <c r="TTJ285" s="1144"/>
      <c r="TTK285" s="1144"/>
      <c r="TTL285" s="1144"/>
      <c r="TTM285" s="1144"/>
      <c r="TTN285" s="1144"/>
      <c r="TTO285" s="1144"/>
      <c r="TTP285" s="1144"/>
      <c r="TTQ285" s="1144"/>
      <c r="TTR285" s="1144"/>
      <c r="TTS285" s="1144"/>
      <c r="TTT285" s="1144"/>
      <c r="TTU285" s="1144"/>
      <c r="TTV285" s="1144"/>
      <c r="TTW285" s="1144"/>
      <c r="TTX285" s="1144"/>
      <c r="TTY285" s="1144"/>
      <c r="TTZ285" s="1144"/>
      <c r="TUA285" s="1144"/>
      <c r="TUB285" s="1144"/>
      <c r="TUC285" s="1144"/>
      <c r="TUD285" s="1144"/>
      <c r="TUE285" s="1144"/>
      <c r="TUF285" s="1144"/>
      <c r="TUG285" s="1144"/>
      <c r="TUH285" s="1144"/>
      <c r="TUI285" s="1144"/>
      <c r="TUJ285" s="1144"/>
      <c r="TUK285" s="1144"/>
      <c r="TUL285" s="1144"/>
      <c r="TUM285" s="1144"/>
      <c r="TUN285" s="1144"/>
      <c r="TUO285" s="1144"/>
      <c r="TUP285" s="1144"/>
      <c r="TUQ285" s="1144"/>
      <c r="TUR285" s="1144"/>
      <c r="TUS285" s="1144"/>
      <c r="TUT285" s="1144"/>
      <c r="TUU285" s="1144"/>
      <c r="TUV285" s="1144"/>
      <c r="TUW285" s="1144"/>
      <c r="TUX285" s="1144"/>
      <c r="TUY285" s="1144"/>
      <c r="TUZ285" s="1144"/>
      <c r="TVA285" s="1144"/>
      <c r="TVB285" s="1144"/>
      <c r="TVC285" s="1144"/>
      <c r="TVD285" s="1144"/>
      <c r="TVE285" s="1144"/>
      <c r="TVF285" s="1144"/>
      <c r="TVG285" s="1144"/>
      <c r="TVH285" s="1144"/>
      <c r="TVI285" s="1144"/>
      <c r="TVJ285" s="1144"/>
      <c r="TVK285" s="1144"/>
      <c r="TVL285" s="1144"/>
      <c r="TVM285" s="1144"/>
      <c r="TVN285" s="1144"/>
      <c r="TVO285" s="1144"/>
      <c r="TVP285" s="1144"/>
      <c r="TVQ285" s="1144"/>
      <c r="TVR285" s="1144"/>
      <c r="TVS285" s="1144"/>
      <c r="TVT285" s="1144"/>
      <c r="TVU285" s="1144"/>
      <c r="TVV285" s="1144"/>
      <c r="TVW285" s="1144"/>
      <c r="TVX285" s="1144"/>
      <c r="TVY285" s="1144"/>
      <c r="TVZ285" s="1144"/>
      <c r="TWA285" s="1144"/>
      <c r="TWB285" s="1144"/>
      <c r="TWC285" s="1144"/>
      <c r="TWD285" s="1144"/>
      <c r="TWE285" s="1144"/>
      <c r="TWF285" s="1144"/>
      <c r="TWG285" s="1144"/>
      <c r="TWH285" s="1144"/>
      <c r="TWI285" s="1144"/>
      <c r="TWJ285" s="1144"/>
      <c r="TWK285" s="1144"/>
      <c r="TWL285" s="1144"/>
      <c r="TWM285" s="1144"/>
      <c r="TWN285" s="1144"/>
      <c r="TWO285" s="1144"/>
      <c r="TWP285" s="1144"/>
      <c r="TWQ285" s="1144"/>
      <c r="TWR285" s="1144"/>
      <c r="TWS285" s="1144"/>
      <c r="TWT285" s="1144"/>
      <c r="TWU285" s="1144"/>
      <c r="TWV285" s="1144"/>
      <c r="TWW285" s="1144"/>
      <c r="TWX285" s="1144"/>
      <c r="TWY285" s="1144"/>
      <c r="TWZ285" s="1144"/>
      <c r="TXA285" s="1144"/>
      <c r="TXB285" s="1144"/>
      <c r="TXC285" s="1144"/>
      <c r="TXD285" s="1144"/>
      <c r="TXE285" s="1144"/>
      <c r="TXF285" s="1144"/>
      <c r="TXG285" s="1144"/>
      <c r="TXH285" s="1144"/>
      <c r="TXI285" s="1144"/>
      <c r="TXJ285" s="1144"/>
      <c r="TXK285" s="1144"/>
      <c r="TXL285" s="1144"/>
      <c r="TXM285" s="1144"/>
      <c r="TXN285" s="1144"/>
      <c r="TXO285" s="1144"/>
      <c r="TXP285" s="1144"/>
      <c r="TXQ285" s="1144"/>
      <c r="TXR285" s="1144"/>
      <c r="TXS285" s="1144"/>
      <c r="TXT285" s="1144"/>
      <c r="TXU285" s="1144"/>
      <c r="TXV285" s="1144"/>
      <c r="TXW285" s="1144"/>
      <c r="TXX285" s="1144"/>
      <c r="TXY285" s="1144"/>
      <c r="TXZ285" s="1144"/>
      <c r="TYA285" s="1144"/>
      <c r="TYB285" s="1144"/>
      <c r="TYC285" s="1144"/>
      <c r="TYD285" s="1144"/>
      <c r="TYE285" s="1144"/>
      <c r="TYF285" s="1144"/>
      <c r="TYG285" s="1144"/>
      <c r="TYH285" s="1144"/>
      <c r="TYI285" s="1144"/>
      <c r="TYJ285" s="1144"/>
      <c r="TYK285" s="1144"/>
      <c r="TYL285" s="1144"/>
      <c r="TYM285" s="1144"/>
      <c r="TYN285" s="1144"/>
      <c r="TYO285" s="1144"/>
      <c r="TYP285" s="1144"/>
      <c r="TYQ285" s="1144"/>
      <c r="TYR285" s="1144"/>
      <c r="TYS285" s="1144"/>
      <c r="TYT285" s="1144"/>
      <c r="TYU285" s="1144"/>
      <c r="TYV285" s="1144"/>
      <c r="TYW285" s="1144"/>
      <c r="TYX285" s="1144"/>
      <c r="TYY285" s="1144"/>
      <c r="TYZ285" s="1144"/>
      <c r="TZA285" s="1144"/>
      <c r="TZB285" s="1144"/>
      <c r="TZC285" s="1144"/>
      <c r="TZD285" s="1144"/>
      <c r="TZE285" s="1144"/>
      <c r="TZF285" s="1144"/>
      <c r="TZG285" s="1144"/>
      <c r="TZH285" s="1144"/>
      <c r="TZI285" s="1144"/>
      <c r="TZJ285" s="1144"/>
      <c r="TZK285" s="1144"/>
      <c r="TZL285" s="1144"/>
      <c r="TZM285" s="1144"/>
      <c r="TZN285" s="1144"/>
      <c r="TZO285" s="1144"/>
      <c r="TZP285" s="1144"/>
      <c r="TZQ285" s="1144"/>
      <c r="TZR285" s="1144"/>
      <c r="TZS285" s="1144"/>
      <c r="TZT285" s="1144"/>
      <c r="TZU285" s="1144"/>
      <c r="TZV285" s="1144"/>
      <c r="TZW285" s="1144"/>
      <c r="TZX285" s="1144"/>
      <c r="TZY285" s="1144"/>
      <c r="TZZ285" s="1144"/>
      <c r="UAA285" s="1144"/>
      <c r="UAB285" s="1144"/>
      <c r="UAC285" s="1144"/>
      <c r="UAD285" s="1144"/>
      <c r="UAE285" s="1144"/>
      <c r="UAF285" s="1144"/>
      <c r="UAG285" s="1144"/>
      <c r="UAH285" s="1144"/>
      <c r="UAI285" s="1144"/>
      <c r="UAJ285" s="1144"/>
      <c r="UAK285" s="1144"/>
      <c r="UAL285" s="1144"/>
      <c r="UAM285" s="1144"/>
      <c r="UAN285" s="1144"/>
      <c r="UAO285" s="1144"/>
      <c r="UAP285" s="1144"/>
      <c r="UAQ285" s="1144"/>
      <c r="UAR285" s="1144"/>
      <c r="UAS285" s="1144"/>
      <c r="UAT285" s="1144"/>
      <c r="UAU285" s="1144"/>
      <c r="UAV285" s="1144"/>
      <c r="UAW285" s="1144"/>
      <c r="UAX285" s="1144"/>
      <c r="UAY285" s="1144"/>
      <c r="UAZ285" s="1144"/>
      <c r="UBA285" s="1144"/>
      <c r="UBB285" s="1144"/>
      <c r="UBC285" s="1144"/>
      <c r="UBD285" s="1144"/>
      <c r="UBE285" s="1144"/>
      <c r="UBF285" s="1144"/>
      <c r="UBG285" s="1144"/>
      <c r="UBH285" s="1144"/>
      <c r="UBI285" s="1144"/>
      <c r="UBJ285" s="1144"/>
      <c r="UBK285" s="1144"/>
      <c r="UBL285" s="1144"/>
      <c r="UBM285" s="1144"/>
      <c r="UBN285" s="1144"/>
      <c r="UBO285" s="1144"/>
      <c r="UBP285" s="1144"/>
      <c r="UBQ285" s="1144"/>
      <c r="UBR285" s="1144"/>
      <c r="UBS285" s="1144"/>
      <c r="UBT285" s="1144"/>
      <c r="UBU285" s="1144"/>
      <c r="UBV285" s="1144"/>
      <c r="UBW285" s="1144"/>
      <c r="UBX285" s="1144"/>
      <c r="UBY285" s="1144"/>
      <c r="UBZ285" s="1144"/>
      <c r="UCA285" s="1144"/>
      <c r="UCB285" s="1144"/>
      <c r="UCC285" s="1144"/>
      <c r="UCD285" s="1144"/>
      <c r="UCE285" s="1144"/>
      <c r="UCF285" s="1144"/>
      <c r="UCG285" s="1144"/>
      <c r="UCH285" s="1144"/>
      <c r="UCI285" s="1144"/>
      <c r="UCJ285" s="1144"/>
      <c r="UCK285" s="1144"/>
      <c r="UCL285" s="1144"/>
      <c r="UCM285" s="1144"/>
      <c r="UCN285" s="1144"/>
      <c r="UCO285" s="1144"/>
      <c r="UCP285" s="1144"/>
      <c r="UCQ285" s="1144"/>
      <c r="UCR285" s="1144"/>
      <c r="UCS285" s="1144"/>
      <c r="UCT285" s="1144"/>
      <c r="UCU285" s="1144"/>
      <c r="UCV285" s="1144"/>
      <c r="UCW285" s="1144"/>
      <c r="UCX285" s="1144"/>
      <c r="UCY285" s="1144"/>
      <c r="UCZ285" s="1144"/>
      <c r="UDA285" s="1144"/>
      <c r="UDB285" s="1144"/>
      <c r="UDC285" s="1144"/>
      <c r="UDD285" s="1144"/>
      <c r="UDE285" s="1144"/>
      <c r="UDF285" s="1144"/>
      <c r="UDG285" s="1144"/>
      <c r="UDH285" s="1144"/>
      <c r="UDI285" s="1144"/>
      <c r="UDJ285" s="1144"/>
      <c r="UDK285" s="1144"/>
      <c r="UDL285" s="1144"/>
      <c r="UDM285" s="1144"/>
      <c r="UDN285" s="1144"/>
      <c r="UDO285" s="1144"/>
      <c r="UDP285" s="1144"/>
      <c r="UDQ285" s="1144"/>
      <c r="UDR285" s="1144"/>
      <c r="UDS285" s="1144"/>
      <c r="UDT285" s="1144"/>
      <c r="UDU285" s="1144"/>
      <c r="UDV285" s="1144"/>
      <c r="UDW285" s="1144"/>
      <c r="UDX285" s="1144"/>
      <c r="UDY285" s="1144"/>
      <c r="UDZ285" s="1144"/>
      <c r="UEA285" s="1144"/>
      <c r="UEB285" s="1144"/>
      <c r="UEC285" s="1144"/>
      <c r="UED285" s="1144"/>
      <c r="UEE285" s="1144"/>
      <c r="UEF285" s="1144"/>
      <c r="UEG285" s="1144"/>
      <c r="UEH285" s="1144"/>
      <c r="UEI285" s="1144"/>
      <c r="UEJ285" s="1144"/>
      <c r="UEK285" s="1144"/>
      <c r="UEL285" s="1144"/>
      <c r="UEM285" s="1144"/>
      <c r="UEN285" s="1144"/>
      <c r="UEO285" s="1144"/>
      <c r="UEP285" s="1144"/>
      <c r="UEQ285" s="1144"/>
      <c r="UER285" s="1144"/>
      <c r="UES285" s="1144"/>
      <c r="UET285" s="1144"/>
      <c r="UEU285" s="1144"/>
      <c r="UEV285" s="1144"/>
      <c r="UEW285" s="1144"/>
      <c r="UEX285" s="1144"/>
      <c r="UEY285" s="1144"/>
      <c r="UEZ285" s="1144"/>
      <c r="UFA285" s="1144"/>
      <c r="UFB285" s="1144"/>
      <c r="UFC285" s="1144"/>
      <c r="UFD285" s="1144"/>
      <c r="UFE285" s="1144"/>
      <c r="UFF285" s="1144"/>
      <c r="UFG285" s="1144"/>
      <c r="UFH285" s="1144"/>
      <c r="UFI285" s="1144"/>
      <c r="UFJ285" s="1144"/>
      <c r="UFK285" s="1144"/>
      <c r="UFL285" s="1144"/>
      <c r="UFM285" s="1144"/>
      <c r="UFN285" s="1144"/>
      <c r="UFO285" s="1144"/>
      <c r="UFP285" s="1144"/>
      <c r="UFQ285" s="1144"/>
      <c r="UFR285" s="1144"/>
      <c r="UFS285" s="1144"/>
      <c r="UFT285" s="1144"/>
      <c r="UFU285" s="1144"/>
      <c r="UFV285" s="1144"/>
      <c r="UFW285" s="1144"/>
      <c r="UFX285" s="1144"/>
      <c r="UFY285" s="1144"/>
      <c r="UFZ285" s="1144"/>
      <c r="UGA285" s="1144"/>
      <c r="UGB285" s="1144"/>
      <c r="UGC285" s="1144"/>
      <c r="UGD285" s="1144"/>
      <c r="UGE285" s="1144"/>
      <c r="UGF285" s="1144"/>
      <c r="UGG285" s="1144"/>
      <c r="UGH285" s="1144"/>
      <c r="UGI285" s="1144"/>
      <c r="UGJ285" s="1144"/>
      <c r="UGK285" s="1144"/>
      <c r="UGL285" s="1144"/>
      <c r="UGM285" s="1144"/>
      <c r="UGN285" s="1144"/>
      <c r="UGO285" s="1144"/>
      <c r="UGP285" s="1144"/>
      <c r="UGQ285" s="1144"/>
      <c r="UGR285" s="1144"/>
      <c r="UGS285" s="1144"/>
      <c r="UGT285" s="1144"/>
      <c r="UGU285" s="1144"/>
      <c r="UGV285" s="1144"/>
      <c r="UGW285" s="1144"/>
      <c r="UGX285" s="1144"/>
      <c r="UGY285" s="1144"/>
      <c r="UGZ285" s="1144"/>
      <c r="UHA285" s="1144"/>
      <c r="UHB285" s="1144"/>
      <c r="UHC285" s="1144"/>
      <c r="UHD285" s="1144"/>
      <c r="UHE285" s="1144"/>
      <c r="UHF285" s="1144"/>
      <c r="UHG285" s="1144"/>
      <c r="UHH285" s="1144"/>
      <c r="UHI285" s="1144"/>
      <c r="UHJ285" s="1144"/>
      <c r="UHK285" s="1144"/>
      <c r="UHL285" s="1144"/>
      <c r="UHM285" s="1144"/>
      <c r="UHN285" s="1144"/>
      <c r="UHO285" s="1144"/>
      <c r="UHP285" s="1144"/>
      <c r="UHQ285" s="1144"/>
      <c r="UHR285" s="1144"/>
      <c r="UHS285" s="1144"/>
      <c r="UHT285" s="1144"/>
      <c r="UHU285" s="1144"/>
      <c r="UHV285" s="1144"/>
      <c r="UHW285" s="1144"/>
      <c r="UHX285" s="1144"/>
      <c r="UHY285" s="1144"/>
      <c r="UHZ285" s="1144"/>
      <c r="UIA285" s="1144"/>
      <c r="UIB285" s="1144"/>
      <c r="UIC285" s="1144"/>
      <c r="UID285" s="1144"/>
      <c r="UIE285" s="1144"/>
      <c r="UIF285" s="1144"/>
      <c r="UIG285" s="1144"/>
      <c r="UIH285" s="1144"/>
      <c r="UII285" s="1144"/>
      <c r="UIJ285" s="1144"/>
      <c r="UIK285" s="1144"/>
      <c r="UIL285" s="1144"/>
      <c r="UIM285" s="1144"/>
      <c r="UIN285" s="1144"/>
      <c r="UIO285" s="1144"/>
      <c r="UIP285" s="1144"/>
      <c r="UIQ285" s="1144"/>
      <c r="UIR285" s="1144"/>
      <c r="UIS285" s="1144"/>
      <c r="UIT285" s="1144"/>
      <c r="UIU285" s="1144"/>
      <c r="UIV285" s="1144"/>
      <c r="UIW285" s="1144"/>
      <c r="UIX285" s="1144"/>
      <c r="UIY285" s="1144"/>
      <c r="UIZ285" s="1144"/>
      <c r="UJA285" s="1144"/>
      <c r="UJB285" s="1144"/>
      <c r="UJC285" s="1144"/>
      <c r="UJD285" s="1144"/>
      <c r="UJE285" s="1144"/>
      <c r="UJF285" s="1144"/>
      <c r="UJG285" s="1144"/>
      <c r="UJH285" s="1144"/>
      <c r="UJI285" s="1144"/>
      <c r="UJJ285" s="1144"/>
      <c r="UJK285" s="1144"/>
      <c r="UJL285" s="1144"/>
      <c r="UJM285" s="1144"/>
      <c r="UJN285" s="1144"/>
      <c r="UJO285" s="1144"/>
      <c r="UJP285" s="1144"/>
      <c r="UJQ285" s="1144"/>
      <c r="UJR285" s="1144"/>
      <c r="UJS285" s="1144"/>
      <c r="UJT285" s="1144"/>
      <c r="UJU285" s="1144"/>
      <c r="UJV285" s="1144"/>
      <c r="UJW285" s="1144"/>
      <c r="UJX285" s="1144"/>
      <c r="UJY285" s="1144"/>
      <c r="UJZ285" s="1144"/>
      <c r="UKA285" s="1144"/>
      <c r="UKB285" s="1144"/>
      <c r="UKC285" s="1144"/>
      <c r="UKD285" s="1144"/>
      <c r="UKE285" s="1144"/>
      <c r="UKF285" s="1144"/>
      <c r="UKG285" s="1144"/>
      <c r="UKH285" s="1144"/>
      <c r="UKI285" s="1144"/>
      <c r="UKJ285" s="1144"/>
      <c r="UKK285" s="1144"/>
      <c r="UKL285" s="1144"/>
      <c r="UKM285" s="1144"/>
      <c r="UKN285" s="1144"/>
      <c r="UKO285" s="1144"/>
      <c r="UKP285" s="1144"/>
      <c r="UKQ285" s="1144"/>
      <c r="UKR285" s="1144"/>
      <c r="UKS285" s="1144"/>
      <c r="UKT285" s="1144"/>
      <c r="UKU285" s="1144"/>
      <c r="UKV285" s="1144"/>
      <c r="UKW285" s="1144"/>
      <c r="UKX285" s="1144"/>
      <c r="UKY285" s="1144"/>
      <c r="UKZ285" s="1144"/>
      <c r="ULA285" s="1144"/>
      <c r="ULB285" s="1144"/>
      <c r="ULC285" s="1144"/>
      <c r="ULD285" s="1144"/>
      <c r="ULE285" s="1144"/>
      <c r="ULF285" s="1144"/>
      <c r="ULG285" s="1144"/>
      <c r="ULH285" s="1144"/>
      <c r="ULI285" s="1144"/>
      <c r="ULJ285" s="1144"/>
      <c r="ULK285" s="1144"/>
      <c r="ULL285" s="1144"/>
      <c r="ULM285" s="1144"/>
      <c r="ULN285" s="1144"/>
      <c r="ULO285" s="1144"/>
      <c r="ULP285" s="1144"/>
      <c r="ULQ285" s="1144"/>
      <c r="ULR285" s="1144"/>
      <c r="ULS285" s="1144"/>
      <c r="ULT285" s="1144"/>
      <c r="ULU285" s="1144"/>
      <c r="ULV285" s="1144"/>
      <c r="ULW285" s="1144"/>
      <c r="ULX285" s="1144"/>
      <c r="ULY285" s="1144"/>
      <c r="ULZ285" s="1144"/>
      <c r="UMA285" s="1144"/>
      <c r="UMB285" s="1144"/>
      <c r="UMC285" s="1144"/>
      <c r="UMD285" s="1144"/>
      <c r="UME285" s="1144"/>
      <c r="UMF285" s="1144"/>
      <c r="UMG285" s="1144"/>
      <c r="UMH285" s="1144"/>
      <c r="UMI285" s="1144"/>
      <c r="UMJ285" s="1144"/>
      <c r="UMK285" s="1144"/>
      <c r="UML285" s="1144"/>
      <c r="UMM285" s="1144"/>
      <c r="UMN285" s="1144"/>
      <c r="UMO285" s="1144"/>
      <c r="UMP285" s="1144"/>
      <c r="UMQ285" s="1144"/>
      <c r="UMR285" s="1144"/>
      <c r="UMS285" s="1144"/>
      <c r="UMT285" s="1144"/>
      <c r="UMU285" s="1144"/>
      <c r="UMV285" s="1144"/>
      <c r="UMW285" s="1144"/>
      <c r="UMX285" s="1144"/>
      <c r="UMY285" s="1144"/>
      <c r="UMZ285" s="1144"/>
      <c r="UNA285" s="1144"/>
      <c r="UNB285" s="1144"/>
      <c r="UNC285" s="1144"/>
      <c r="UND285" s="1144"/>
      <c r="UNE285" s="1144"/>
      <c r="UNF285" s="1144"/>
      <c r="UNG285" s="1144"/>
      <c r="UNH285" s="1144"/>
      <c r="UNI285" s="1144"/>
      <c r="UNJ285" s="1144"/>
      <c r="UNK285" s="1144"/>
      <c r="UNL285" s="1144"/>
      <c r="UNM285" s="1144"/>
      <c r="UNN285" s="1144"/>
      <c r="UNO285" s="1144"/>
      <c r="UNP285" s="1144"/>
      <c r="UNQ285" s="1144"/>
      <c r="UNR285" s="1144"/>
      <c r="UNS285" s="1144"/>
      <c r="UNT285" s="1144"/>
      <c r="UNU285" s="1144"/>
      <c r="UNV285" s="1144"/>
      <c r="UNW285" s="1144"/>
      <c r="UNX285" s="1144"/>
      <c r="UNY285" s="1144"/>
      <c r="UNZ285" s="1144"/>
      <c r="UOA285" s="1144"/>
      <c r="UOB285" s="1144"/>
      <c r="UOC285" s="1144"/>
      <c r="UOD285" s="1144"/>
      <c r="UOE285" s="1144"/>
      <c r="UOF285" s="1144"/>
      <c r="UOG285" s="1144"/>
      <c r="UOH285" s="1144"/>
      <c r="UOI285" s="1144"/>
      <c r="UOJ285" s="1144"/>
      <c r="UOK285" s="1144"/>
      <c r="UOL285" s="1144"/>
      <c r="UOM285" s="1144"/>
      <c r="UON285" s="1144"/>
      <c r="UOO285" s="1144"/>
      <c r="UOP285" s="1144"/>
      <c r="UOQ285" s="1144"/>
      <c r="UOR285" s="1144"/>
      <c r="UOS285" s="1144"/>
      <c r="UOT285" s="1144"/>
      <c r="UOU285" s="1144"/>
      <c r="UOV285" s="1144"/>
      <c r="UOW285" s="1144"/>
      <c r="UOX285" s="1144"/>
      <c r="UOY285" s="1144"/>
      <c r="UOZ285" s="1144"/>
      <c r="UPA285" s="1144"/>
      <c r="UPB285" s="1144"/>
      <c r="UPC285" s="1144"/>
      <c r="UPD285" s="1144"/>
      <c r="UPE285" s="1144"/>
      <c r="UPF285" s="1144"/>
      <c r="UPG285" s="1144"/>
      <c r="UPH285" s="1144"/>
      <c r="UPI285" s="1144"/>
      <c r="UPJ285" s="1144"/>
      <c r="UPK285" s="1144"/>
      <c r="UPL285" s="1144"/>
      <c r="UPM285" s="1144"/>
      <c r="UPN285" s="1144"/>
      <c r="UPO285" s="1144"/>
      <c r="UPP285" s="1144"/>
      <c r="UPQ285" s="1144"/>
      <c r="UPR285" s="1144"/>
      <c r="UPS285" s="1144"/>
      <c r="UPT285" s="1144"/>
      <c r="UPU285" s="1144"/>
      <c r="UPV285" s="1144"/>
      <c r="UPW285" s="1144"/>
      <c r="UPX285" s="1144"/>
      <c r="UPY285" s="1144"/>
      <c r="UPZ285" s="1144"/>
      <c r="UQA285" s="1144"/>
      <c r="UQB285" s="1144"/>
      <c r="UQC285" s="1144"/>
      <c r="UQD285" s="1144"/>
      <c r="UQE285" s="1144"/>
      <c r="UQF285" s="1144"/>
      <c r="UQG285" s="1144"/>
      <c r="UQH285" s="1144"/>
      <c r="UQI285" s="1144"/>
      <c r="UQJ285" s="1144"/>
      <c r="UQK285" s="1144"/>
      <c r="UQL285" s="1144"/>
      <c r="UQM285" s="1144"/>
      <c r="UQN285" s="1144"/>
      <c r="UQO285" s="1144"/>
      <c r="UQP285" s="1144"/>
      <c r="UQQ285" s="1144"/>
      <c r="UQR285" s="1144"/>
      <c r="UQS285" s="1144"/>
      <c r="UQT285" s="1144"/>
      <c r="UQU285" s="1144"/>
      <c r="UQV285" s="1144"/>
      <c r="UQW285" s="1144"/>
      <c r="UQX285" s="1144"/>
      <c r="UQY285" s="1144"/>
      <c r="UQZ285" s="1144"/>
      <c r="URA285" s="1144"/>
      <c r="URB285" s="1144"/>
      <c r="URC285" s="1144"/>
      <c r="URD285" s="1144"/>
      <c r="URE285" s="1144"/>
      <c r="URF285" s="1144"/>
      <c r="URG285" s="1144"/>
      <c r="URH285" s="1144"/>
      <c r="URI285" s="1144"/>
      <c r="URJ285" s="1144"/>
      <c r="URK285" s="1144"/>
      <c r="URL285" s="1144"/>
      <c r="URM285" s="1144"/>
      <c r="URN285" s="1144"/>
      <c r="URO285" s="1144"/>
      <c r="URP285" s="1144"/>
      <c r="URQ285" s="1144"/>
      <c r="URR285" s="1144"/>
      <c r="URS285" s="1144"/>
      <c r="URT285" s="1144"/>
      <c r="URU285" s="1144"/>
      <c r="URV285" s="1144"/>
      <c r="URW285" s="1144"/>
      <c r="URX285" s="1144"/>
      <c r="URY285" s="1144"/>
      <c r="URZ285" s="1144"/>
      <c r="USA285" s="1144"/>
      <c r="USB285" s="1144"/>
      <c r="USC285" s="1144"/>
      <c r="USD285" s="1144"/>
      <c r="USE285" s="1144"/>
      <c r="USF285" s="1144"/>
      <c r="USG285" s="1144"/>
      <c r="USH285" s="1144"/>
      <c r="USI285" s="1144"/>
      <c r="USJ285" s="1144"/>
      <c r="USK285" s="1144"/>
      <c r="USL285" s="1144"/>
      <c r="USM285" s="1144"/>
      <c r="USN285" s="1144"/>
      <c r="USO285" s="1144"/>
      <c r="USP285" s="1144"/>
      <c r="USQ285" s="1144"/>
      <c r="USR285" s="1144"/>
      <c r="USS285" s="1144"/>
      <c r="UST285" s="1144"/>
      <c r="USU285" s="1144"/>
      <c r="USV285" s="1144"/>
      <c r="USW285" s="1144"/>
      <c r="USX285" s="1144"/>
      <c r="USY285" s="1144"/>
      <c r="USZ285" s="1144"/>
      <c r="UTA285" s="1144"/>
      <c r="UTB285" s="1144"/>
      <c r="UTC285" s="1144"/>
      <c r="UTD285" s="1144"/>
      <c r="UTE285" s="1144"/>
      <c r="UTF285" s="1144"/>
      <c r="UTG285" s="1144"/>
      <c r="UTH285" s="1144"/>
      <c r="UTI285" s="1144"/>
      <c r="UTJ285" s="1144"/>
      <c r="UTK285" s="1144"/>
      <c r="UTL285" s="1144"/>
      <c r="UTM285" s="1144"/>
      <c r="UTN285" s="1144"/>
      <c r="UTO285" s="1144"/>
      <c r="UTP285" s="1144"/>
      <c r="UTQ285" s="1144"/>
      <c r="UTR285" s="1144"/>
      <c r="UTS285" s="1144"/>
      <c r="UTT285" s="1144"/>
      <c r="UTU285" s="1144"/>
      <c r="UTV285" s="1144"/>
      <c r="UTW285" s="1144"/>
      <c r="UTX285" s="1144"/>
      <c r="UTY285" s="1144"/>
      <c r="UTZ285" s="1144"/>
      <c r="UUA285" s="1144"/>
      <c r="UUB285" s="1144"/>
      <c r="UUC285" s="1144"/>
      <c r="UUD285" s="1144"/>
      <c r="UUE285" s="1144"/>
      <c r="UUF285" s="1144"/>
      <c r="UUG285" s="1144"/>
      <c r="UUH285" s="1144"/>
      <c r="UUI285" s="1144"/>
      <c r="UUJ285" s="1144"/>
      <c r="UUK285" s="1144"/>
      <c r="UUL285" s="1144"/>
      <c r="UUM285" s="1144"/>
      <c r="UUN285" s="1144"/>
      <c r="UUO285" s="1144"/>
      <c r="UUP285" s="1144"/>
      <c r="UUQ285" s="1144"/>
      <c r="UUR285" s="1144"/>
      <c r="UUS285" s="1144"/>
      <c r="UUT285" s="1144"/>
      <c r="UUU285" s="1144"/>
      <c r="UUV285" s="1144"/>
      <c r="UUW285" s="1144"/>
      <c r="UUX285" s="1144"/>
      <c r="UUY285" s="1144"/>
      <c r="UUZ285" s="1144"/>
      <c r="UVA285" s="1144"/>
      <c r="UVB285" s="1144"/>
      <c r="UVC285" s="1144"/>
      <c r="UVD285" s="1144"/>
      <c r="UVE285" s="1144"/>
      <c r="UVF285" s="1144"/>
      <c r="UVG285" s="1144"/>
      <c r="UVH285" s="1144"/>
      <c r="UVI285" s="1144"/>
      <c r="UVJ285" s="1144"/>
      <c r="UVK285" s="1144"/>
      <c r="UVL285" s="1144"/>
      <c r="UVM285" s="1144"/>
      <c r="UVN285" s="1144"/>
      <c r="UVO285" s="1144"/>
      <c r="UVP285" s="1144"/>
      <c r="UVQ285" s="1144"/>
      <c r="UVR285" s="1144"/>
      <c r="UVS285" s="1144"/>
      <c r="UVT285" s="1144"/>
      <c r="UVU285" s="1144"/>
      <c r="UVV285" s="1144"/>
      <c r="UVW285" s="1144"/>
      <c r="UVX285" s="1144"/>
      <c r="UVY285" s="1144"/>
      <c r="UVZ285" s="1144"/>
      <c r="UWA285" s="1144"/>
      <c r="UWB285" s="1144"/>
      <c r="UWC285" s="1144"/>
      <c r="UWD285" s="1144"/>
      <c r="UWE285" s="1144"/>
      <c r="UWF285" s="1144"/>
      <c r="UWG285" s="1144"/>
      <c r="UWH285" s="1144"/>
      <c r="UWI285" s="1144"/>
      <c r="UWJ285" s="1144"/>
      <c r="UWK285" s="1144"/>
      <c r="UWL285" s="1144"/>
      <c r="UWM285" s="1144"/>
      <c r="UWN285" s="1144"/>
      <c r="UWO285" s="1144"/>
      <c r="UWP285" s="1144"/>
      <c r="UWQ285" s="1144"/>
      <c r="UWR285" s="1144"/>
      <c r="UWS285" s="1144"/>
      <c r="UWT285" s="1144"/>
      <c r="UWU285" s="1144"/>
      <c r="UWV285" s="1144"/>
      <c r="UWW285" s="1144"/>
      <c r="UWX285" s="1144"/>
      <c r="UWY285" s="1144"/>
      <c r="UWZ285" s="1144"/>
      <c r="UXA285" s="1144"/>
      <c r="UXB285" s="1144"/>
      <c r="UXC285" s="1144"/>
      <c r="UXD285" s="1144"/>
      <c r="UXE285" s="1144"/>
      <c r="UXF285" s="1144"/>
      <c r="UXG285" s="1144"/>
      <c r="UXH285" s="1144"/>
      <c r="UXI285" s="1144"/>
      <c r="UXJ285" s="1144"/>
      <c r="UXK285" s="1144"/>
      <c r="UXL285" s="1144"/>
      <c r="UXM285" s="1144"/>
      <c r="UXN285" s="1144"/>
      <c r="UXO285" s="1144"/>
      <c r="UXP285" s="1144"/>
      <c r="UXQ285" s="1144"/>
      <c r="UXR285" s="1144"/>
      <c r="UXS285" s="1144"/>
      <c r="UXT285" s="1144"/>
      <c r="UXU285" s="1144"/>
      <c r="UXV285" s="1144"/>
      <c r="UXW285" s="1144"/>
      <c r="UXX285" s="1144"/>
      <c r="UXY285" s="1144"/>
      <c r="UXZ285" s="1144"/>
      <c r="UYA285" s="1144"/>
      <c r="UYB285" s="1144"/>
      <c r="UYC285" s="1144"/>
      <c r="UYD285" s="1144"/>
      <c r="UYE285" s="1144"/>
      <c r="UYF285" s="1144"/>
      <c r="UYG285" s="1144"/>
      <c r="UYH285" s="1144"/>
      <c r="UYI285" s="1144"/>
      <c r="UYJ285" s="1144"/>
      <c r="UYK285" s="1144"/>
      <c r="UYL285" s="1144"/>
      <c r="UYM285" s="1144"/>
      <c r="UYN285" s="1144"/>
      <c r="UYO285" s="1144"/>
      <c r="UYP285" s="1144"/>
      <c r="UYQ285" s="1144"/>
      <c r="UYR285" s="1144"/>
      <c r="UYS285" s="1144"/>
      <c r="UYT285" s="1144"/>
      <c r="UYU285" s="1144"/>
      <c r="UYV285" s="1144"/>
      <c r="UYW285" s="1144"/>
      <c r="UYX285" s="1144"/>
      <c r="UYY285" s="1144"/>
      <c r="UYZ285" s="1144"/>
      <c r="UZA285" s="1144"/>
      <c r="UZB285" s="1144"/>
      <c r="UZC285" s="1144"/>
      <c r="UZD285" s="1144"/>
      <c r="UZE285" s="1144"/>
      <c r="UZF285" s="1144"/>
      <c r="UZG285" s="1144"/>
      <c r="UZH285" s="1144"/>
      <c r="UZI285" s="1144"/>
      <c r="UZJ285" s="1144"/>
      <c r="UZK285" s="1144"/>
      <c r="UZL285" s="1144"/>
      <c r="UZM285" s="1144"/>
      <c r="UZN285" s="1144"/>
      <c r="UZO285" s="1144"/>
      <c r="UZP285" s="1144"/>
      <c r="UZQ285" s="1144"/>
      <c r="UZR285" s="1144"/>
      <c r="UZS285" s="1144"/>
      <c r="UZT285" s="1144"/>
      <c r="UZU285" s="1144"/>
      <c r="UZV285" s="1144"/>
      <c r="UZW285" s="1144"/>
      <c r="UZX285" s="1144"/>
      <c r="UZY285" s="1144"/>
      <c r="UZZ285" s="1144"/>
      <c r="VAA285" s="1144"/>
      <c r="VAB285" s="1144"/>
      <c r="VAC285" s="1144"/>
      <c r="VAD285" s="1144"/>
      <c r="VAE285" s="1144"/>
      <c r="VAF285" s="1144"/>
      <c r="VAG285" s="1144"/>
      <c r="VAH285" s="1144"/>
      <c r="VAI285" s="1144"/>
      <c r="VAJ285" s="1144"/>
      <c r="VAK285" s="1144"/>
      <c r="VAL285" s="1144"/>
      <c r="VAM285" s="1144"/>
      <c r="VAN285" s="1144"/>
      <c r="VAO285" s="1144"/>
      <c r="VAP285" s="1144"/>
      <c r="VAQ285" s="1144"/>
      <c r="VAR285" s="1144"/>
      <c r="VAS285" s="1144"/>
      <c r="VAT285" s="1144"/>
      <c r="VAU285" s="1144"/>
      <c r="VAV285" s="1144"/>
      <c r="VAW285" s="1144"/>
      <c r="VAX285" s="1144"/>
      <c r="VAY285" s="1144"/>
      <c r="VAZ285" s="1144"/>
      <c r="VBA285" s="1144"/>
      <c r="VBB285" s="1144"/>
      <c r="VBC285" s="1144"/>
      <c r="VBD285" s="1144"/>
      <c r="VBE285" s="1144"/>
      <c r="VBF285" s="1144"/>
      <c r="VBG285" s="1144"/>
      <c r="VBH285" s="1144"/>
      <c r="VBI285" s="1144"/>
      <c r="VBJ285" s="1144"/>
      <c r="VBK285" s="1144"/>
      <c r="VBL285" s="1144"/>
      <c r="VBM285" s="1144"/>
      <c r="VBN285" s="1144"/>
      <c r="VBO285" s="1144"/>
      <c r="VBP285" s="1144"/>
      <c r="VBQ285" s="1144"/>
      <c r="VBR285" s="1144"/>
      <c r="VBS285" s="1144"/>
      <c r="VBT285" s="1144"/>
      <c r="VBU285" s="1144"/>
      <c r="VBV285" s="1144"/>
      <c r="VBW285" s="1144"/>
      <c r="VBX285" s="1144"/>
      <c r="VBY285" s="1144"/>
      <c r="VBZ285" s="1144"/>
      <c r="VCA285" s="1144"/>
      <c r="VCB285" s="1144"/>
      <c r="VCC285" s="1144"/>
      <c r="VCD285" s="1144"/>
      <c r="VCE285" s="1144"/>
      <c r="VCF285" s="1144"/>
      <c r="VCG285" s="1144"/>
      <c r="VCH285" s="1144"/>
      <c r="VCI285" s="1144"/>
      <c r="VCJ285" s="1144"/>
      <c r="VCK285" s="1144"/>
      <c r="VCL285" s="1144"/>
      <c r="VCM285" s="1144"/>
      <c r="VCN285" s="1144"/>
      <c r="VCO285" s="1144"/>
      <c r="VCP285" s="1144"/>
      <c r="VCQ285" s="1144"/>
      <c r="VCR285" s="1144"/>
      <c r="VCS285" s="1144"/>
      <c r="VCT285" s="1144"/>
      <c r="VCU285" s="1144"/>
      <c r="VCV285" s="1144"/>
      <c r="VCW285" s="1144"/>
      <c r="VCX285" s="1144"/>
      <c r="VCY285" s="1144"/>
      <c r="VCZ285" s="1144"/>
      <c r="VDA285" s="1144"/>
      <c r="VDB285" s="1144"/>
      <c r="VDC285" s="1144"/>
      <c r="VDD285" s="1144"/>
      <c r="VDE285" s="1144"/>
      <c r="VDF285" s="1144"/>
      <c r="VDG285" s="1144"/>
      <c r="VDH285" s="1144"/>
      <c r="VDI285" s="1144"/>
      <c r="VDJ285" s="1144"/>
      <c r="VDK285" s="1144"/>
      <c r="VDL285" s="1144"/>
      <c r="VDM285" s="1144"/>
      <c r="VDN285" s="1144"/>
      <c r="VDO285" s="1144"/>
      <c r="VDP285" s="1144"/>
      <c r="VDQ285" s="1144"/>
      <c r="VDR285" s="1144"/>
      <c r="VDS285" s="1144"/>
      <c r="VDT285" s="1144"/>
      <c r="VDU285" s="1144"/>
      <c r="VDV285" s="1144"/>
      <c r="VDW285" s="1144"/>
      <c r="VDX285" s="1144"/>
      <c r="VDY285" s="1144"/>
      <c r="VDZ285" s="1144"/>
      <c r="VEA285" s="1144"/>
      <c r="VEB285" s="1144"/>
      <c r="VEC285" s="1144"/>
      <c r="VED285" s="1144"/>
      <c r="VEE285" s="1144"/>
      <c r="VEF285" s="1144"/>
      <c r="VEG285" s="1144"/>
      <c r="VEH285" s="1144"/>
      <c r="VEI285" s="1144"/>
      <c r="VEJ285" s="1144"/>
      <c r="VEK285" s="1144"/>
      <c r="VEL285" s="1144"/>
      <c r="VEM285" s="1144"/>
      <c r="VEN285" s="1144"/>
      <c r="VEO285" s="1144"/>
      <c r="VEP285" s="1144"/>
      <c r="VEQ285" s="1144"/>
      <c r="VER285" s="1144"/>
      <c r="VES285" s="1144"/>
      <c r="VET285" s="1144"/>
      <c r="VEU285" s="1144"/>
      <c r="VEV285" s="1144"/>
      <c r="VEW285" s="1144"/>
      <c r="VEX285" s="1144"/>
      <c r="VEY285" s="1144"/>
      <c r="VEZ285" s="1144"/>
      <c r="VFA285" s="1144"/>
      <c r="VFB285" s="1144"/>
      <c r="VFC285" s="1144"/>
      <c r="VFD285" s="1144"/>
      <c r="VFE285" s="1144"/>
      <c r="VFF285" s="1144"/>
      <c r="VFG285" s="1144"/>
      <c r="VFH285" s="1144"/>
      <c r="VFI285" s="1144"/>
      <c r="VFJ285" s="1144"/>
      <c r="VFK285" s="1144"/>
      <c r="VFL285" s="1144"/>
      <c r="VFM285" s="1144"/>
      <c r="VFN285" s="1144"/>
      <c r="VFO285" s="1144"/>
      <c r="VFP285" s="1144"/>
      <c r="VFQ285" s="1144"/>
      <c r="VFR285" s="1144"/>
      <c r="VFS285" s="1144"/>
      <c r="VFT285" s="1144"/>
      <c r="VFU285" s="1144"/>
      <c r="VFV285" s="1144"/>
      <c r="VFW285" s="1144"/>
      <c r="VFX285" s="1144"/>
      <c r="VFY285" s="1144"/>
      <c r="VFZ285" s="1144"/>
      <c r="VGA285" s="1144"/>
      <c r="VGB285" s="1144"/>
      <c r="VGC285" s="1144"/>
      <c r="VGD285" s="1144"/>
      <c r="VGE285" s="1144"/>
      <c r="VGF285" s="1144"/>
      <c r="VGG285" s="1144"/>
      <c r="VGH285" s="1144"/>
      <c r="VGI285" s="1144"/>
      <c r="VGJ285" s="1144"/>
      <c r="VGK285" s="1144"/>
      <c r="VGL285" s="1144"/>
      <c r="VGM285" s="1144"/>
      <c r="VGN285" s="1144"/>
      <c r="VGO285" s="1144"/>
      <c r="VGP285" s="1144"/>
      <c r="VGQ285" s="1144"/>
      <c r="VGR285" s="1144"/>
      <c r="VGS285" s="1144"/>
      <c r="VGT285" s="1144"/>
      <c r="VGU285" s="1144"/>
      <c r="VGV285" s="1144"/>
      <c r="VGW285" s="1144"/>
      <c r="VGX285" s="1144"/>
      <c r="VGY285" s="1144"/>
      <c r="VGZ285" s="1144"/>
      <c r="VHA285" s="1144"/>
      <c r="VHB285" s="1144"/>
      <c r="VHC285" s="1144"/>
      <c r="VHD285" s="1144"/>
      <c r="VHE285" s="1144"/>
      <c r="VHF285" s="1144"/>
      <c r="VHG285" s="1144"/>
      <c r="VHH285" s="1144"/>
      <c r="VHI285" s="1144"/>
      <c r="VHJ285" s="1144"/>
      <c r="VHK285" s="1144"/>
      <c r="VHL285" s="1144"/>
      <c r="VHM285" s="1144"/>
      <c r="VHN285" s="1144"/>
      <c r="VHO285" s="1144"/>
      <c r="VHP285" s="1144"/>
      <c r="VHQ285" s="1144"/>
      <c r="VHR285" s="1144"/>
      <c r="VHS285" s="1144"/>
      <c r="VHT285" s="1144"/>
      <c r="VHU285" s="1144"/>
      <c r="VHV285" s="1144"/>
      <c r="VHW285" s="1144"/>
      <c r="VHX285" s="1144"/>
      <c r="VHY285" s="1144"/>
      <c r="VHZ285" s="1144"/>
      <c r="VIA285" s="1144"/>
      <c r="VIB285" s="1144"/>
      <c r="VIC285" s="1144"/>
      <c r="VID285" s="1144"/>
      <c r="VIE285" s="1144"/>
      <c r="VIF285" s="1144"/>
      <c r="VIG285" s="1144"/>
      <c r="VIH285" s="1144"/>
      <c r="VII285" s="1144"/>
      <c r="VIJ285" s="1144"/>
      <c r="VIK285" s="1144"/>
      <c r="VIL285" s="1144"/>
      <c r="VIM285" s="1144"/>
      <c r="VIN285" s="1144"/>
      <c r="VIO285" s="1144"/>
      <c r="VIP285" s="1144"/>
      <c r="VIQ285" s="1144"/>
      <c r="VIR285" s="1144"/>
      <c r="VIS285" s="1144"/>
      <c r="VIT285" s="1144"/>
      <c r="VIU285" s="1144"/>
      <c r="VIV285" s="1144"/>
      <c r="VIW285" s="1144"/>
      <c r="VIX285" s="1144"/>
      <c r="VIY285" s="1144"/>
      <c r="VIZ285" s="1144"/>
      <c r="VJA285" s="1144"/>
      <c r="VJB285" s="1144"/>
      <c r="VJC285" s="1144"/>
      <c r="VJD285" s="1144"/>
      <c r="VJE285" s="1144"/>
      <c r="VJF285" s="1144"/>
      <c r="VJG285" s="1144"/>
      <c r="VJH285" s="1144"/>
      <c r="VJI285" s="1144"/>
      <c r="VJJ285" s="1144"/>
      <c r="VJK285" s="1144"/>
      <c r="VJL285" s="1144"/>
      <c r="VJM285" s="1144"/>
      <c r="VJN285" s="1144"/>
      <c r="VJO285" s="1144"/>
      <c r="VJP285" s="1144"/>
      <c r="VJQ285" s="1144"/>
      <c r="VJR285" s="1144"/>
      <c r="VJS285" s="1144"/>
      <c r="VJT285" s="1144"/>
      <c r="VJU285" s="1144"/>
      <c r="VJV285" s="1144"/>
      <c r="VJW285" s="1144"/>
      <c r="VJX285" s="1144"/>
      <c r="VJY285" s="1144"/>
      <c r="VJZ285" s="1144"/>
      <c r="VKA285" s="1144"/>
      <c r="VKB285" s="1144"/>
      <c r="VKC285" s="1144"/>
      <c r="VKD285" s="1144"/>
      <c r="VKE285" s="1144"/>
      <c r="VKF285" s="1144"/>
      <c r="VKG285" s="1144"/>
      <c r="VKH285" s="1144"/>
      <c r="VKI285" s="1144"/>
      <c r="VKJ285" s="1144"/>
      <c r="VKK285" s="1144"/>
      <c r="VKL285" s="1144"/>
      <c r="VKM285" s="1144"/>
      <c r="VKN285" s="1144"/>
      <c r="VKO285" s="1144"/>
      <c r="VKP285" s="1144"/>
      <c r="VKQ285" s="1144"/>
      <c r="VKR285" s="1144"/>
      <c r="VKS285" s="1144"/>
      <c r="VKT285" s="1144"/>
      <c r="VKU285" s="1144"/>
      <c r="VKV285" s="1144"/>
      <c r="VKW285" s="1144"/>
      <c r="VKX285" s="1144"/>
      <c r="VKY285" s="1144"/>
      <c r="VKZ285" s="1144"/>
      <c r="VLA285" s="1144"/>
      <c r="VLB285" s="1144"/>
      <c r="VLC285" s="1144"/>
      <c r="VLD285" s="1144"/>
      <c r="VLE285" s="1144"/>
      <c r="VLF285" s="1144"/>
      <c r="VLG285" s="1144"/>
      <c r="VLH285" s="1144"/>
      <c r="VLI285" s="1144"/>
      <c r="VLJ285" s="1144"/>
      <c r="VLK285" s="1144"/>
      <c r="VLL285" s="1144"/>
      <c r="VLM285" s="1144"/>
      <c r="VLN285" s="1144"/>
      <c r="VLO285" s="1144"/>
      <c r="VLP285" s="1144"/>
      <c r="VLQ285" s="1144"/>
      <c r="VLR285" s="1144"/>
      <c r="VLS285" s="1144"/>
      <c r="VLT285" s="1144"/>
      <c r="VLU285" s="1144"/>
      <c r="VLV285" s="1144"/>
      <c r="VLW285" s="1144"/>
      <c r="VLX285" s="1144"/>
      <c r="VLY285" s="1144"/>
      <c r="VLZ285" s="1144"/>
      <c r="VMA285" s="1144"/>
      <c r="VMB285" s="1144"/>
      <c r="VMC285" s="1144"/>
      <c r="VMD285" s="1144"/>
      <c r="VME285" s="1144"/>
      <c r="VMF285" s="1144"/>
      <c r="VMG285" s="1144"/>
      <c r="VMH285" s="1144"/>
      <c r="VMI285" s="1144"/>
      <c r="VMJ285" s="1144"/>
      <c r="VMK285" s="1144"/>
      <c r="VML285" s="1144"/>
      <c r="VMM285" s="1144"/>
      <c r="VMN285" s="1144"/>
      <c r="VMO285" s="1144"/>
      <c r="VMP285" s="1144"/>
      <c r="VMQ285" s="1144"/>
      <c r="VMR285" s="1144"/>
      <c r="VMS285" s="1144"/>
      <c r="VMT285" s="1144"/>
      <c r="VMU285" s="1144"/>
      <c r="VMV285" s="1144"/>
      <c r="VMW285" s="1144"/>
      <c r="VMX285" s="1144"/>
      <c r="VMY285" s="1144"/>
      <c r="VMZ285" s="1144"/>
      <c r="VNA285" s="1144"/>
      <c r="VNB285" s="1144"/>
      <c r="VNC285" s="1144"/>
      <c r="VND285" s="1144"/>
      <c r="VNE285" s="1144"/>
      <c r="VNF285" s="1144"/>
      <c r="VNG285" s="1144"/>
      <c r="VNH285" s="1144"/>
      <c r="VNI285" s="1144"/>
      <c r="VNJ285" s="1144"/>
      <c r="VNK285" s="1144"/>
      <c r="VNL285" s="1144"/>
      <c r="VNM285" s="1144"/>
      <c r="VNN285" s="1144"/>
      <c r="VNO285" s="1144"/>
      <c r="VNP285" s="1144"/>
      <c r="VNQ285" s="1144"/>
      <c r="VNR285" s="1144"/>
      <c r="VNS285" s="1144"/>
      <c r="VNT285" s="1144"/>
      <c r="VNU285" s="1144"/>
      <c r="VNV285" s="1144"/>
      <c r="VNW285" s="1144"/>
      <c r="VNX285" s="1144"/>
      <c r="VNY285" s="1144"/>
      <c r="VNZ285" s="1144"/>
      <c r="VOA285" s="1144"/>
      <c r="VOB285" s="1144"/>
      <c r="VOC285" s="1144"/>
      <c r="VOD285" s="1144"/>
      <c r="VOE285" s="1144"/>
      <c r="VOF285" s="1144"/>
      <c r="VOG285" s="1144"/>
      <c r="VOH285" s="1144"/>
      <c r="VOI285" s="1144"/>
      <c r="VOJ285" s="1144"/>
      <c r="VOK285" s="1144"/>
      <c r="VOL285" s="1144"/>
      <c r="VOM285" s="1144"/>
      <c r="VON285" s="1144"/>
      <c r="VOO285" s="1144"/>
      <c r="VOP285" s="1144"/>
      <c r="VOQ285" s="1144"/>
      <c r="VOR285" s="1144"/>
      <c r="VOS285" s="1144"/>
      <c r="VOT285" s="1144"/>
      <c r="VOU285" s="1144"/>
      <c r="VOV285" s="1144"/>
      <c r="VOW285" s="1144"/>
      <c r="VOX285" s="1144"/>
      <c r="VOY285" s="1144"/>
      <c r="VOZ285" s="1144"/>
      <c r="VPA285" s="1144"/>
      <c r="VPB285" s="1144"/>
      <c r="VPC285" s="1144"/>
      <c r="VPD285" s="1144"/>
      <c r="VPE285" s="1144"/>
      <c r="VPF285" s="1144"/>
      <c r="VPG285" s="1144"/>
      <c r="VPH285" s="1144"/>
      <c r="VPI285" s="1144"/>
      <c r="VPJ285" s="1144"/>
      <c r="VPK285" s="1144"/>
      <c r="VPL285" s="1144"/>
      <c r="VPM285" s="1144"/>
      <c r="VPN285" s="1144"/>
      <c r="VPO285" s="1144"/>
      <c r="VPP285" s="1144"/>
      <c r="VPQ285" s="1144"/>
      <c r="VPR285" s="1144"/>
      <c r="VPS285" s="1144"/>
      <c r="VPT285" s="1144"/>
      <c r="VPU285" s="1144"/>
      <c r="VPV285" s="1144"/>
      <c r="VPW285" s="1144"/>
      <c r="VPX285" s="1144"/>
      <c r="VPY285" s="1144"/>
      <c r="VPZ285" s="1144"/>
      <c r="VQA285" s="1144"/>
      <c r="VQB285" s="1144"/>
      <c r="VQC285" s="1144"/>
      <c r="VQD285" s="1144"/>
      <c r="VQE285" s="1144"/>
      <c r="VQF285" s="1144"/>
      <c r="VQG285" s="1144"/>
      <c r="VQH285" s="1144"/>
      <c r="VQI285" s="1144"/>
      <c r="VQJ285" s="1144"/>
      <c r="VQK285" s="1144"/>
      <c r="VQL285" s="1144"/>
      <c r="VQM285" s="1144"/>
      <c r="VQN285" s="1144"/>
      <c r="VQO285" s="1144"/>
      <c r="VQP285" s="1144"/>
      <c r="VQQ285" s="1144"/>
      <c r="VQR285" s="1144"/>
      <c r="VQS285" s="1144"/>
      <c r="VQT285" s="1144"/>
      <c r="VQU285" s="1144"/>
      <c r="VQV285" s="1144"/>
      <c r="VQW285" s="1144"/>
      <c r="VQX285" s="1144"/>
      <c r="VQY285" s="1144"/>
      <c r="VQZ285" s="1144"/>
      <c r="VRA285" s="1144"/>
      <c r="VRB285" s="1144"/>
      <c r="VRC285" s="1144"/>
      <c r="VRD285" s="1144"/>
      <c r="VRE285" s="1144"/>
      <c r="VRF285" s="1144"/>
      <c r="VRG285" s="1144"/>
      <c r="VRH285" s="1144"/>
      <c r="VRI285" s="1144"/>
      <c r="VRJ285" s="1144"/>
      <c r="VRK285" s="1144"/>
      <c r="VRL285" s="1144"/>
      <c r="VRM285" s="1144"/>
      <c r="VRN285" s="1144"/>
      <c r="VRO285" s="1144"/>
      <c r="VRP285" s="1144"/>
      <c r="VRQ285" s="1144"/>
      <c r="VRR285" s="1144"/>
      <c r="VRS285" s="1144"/>
      <c r="VRT285" s="1144"/>
      <c r="VRU285" s="1144"/>
      <c r="VRV285" s="1144"/>
      <c r="VRW285" s="1144"/>
      <c r="VRX285" s="1144"/>
      <c r="VRY285" s="1144"/>
      <c r="VRZ285" s="1144"/>
      <c r="VSA285" s="1144"/>
      <c r="VSB285" s="1144"/>
      <c r="VSC285" s="1144"/>
      <c r="VSD285" s="1144"/>
      <c r="VSE285" s="1144"/>
      <c r="VSF285" s="1144"/>
      <c r="VSG285" s="1144"/>
      <c r="VSH285" s="1144"/>
      <c r="VSI285" s="1144"/>
      <c r="VSJ285" s="1144"/>
      <c r="VSK285" s="1144"/>
      <c r="VSL285" s="1144"/>
      <c r="VSM285" s="1144"/>
      <c r="VSN285" s="1144"/>
      <c r="VSO285" s="1144"/>
      <c r="VSP285" s="1144"/>
      <c r="VSQ285" s="1144"/>
      <c r="VSR285" s="1144"/>
      <c r="VSS285" s="1144"/>
      <c r="VST285" s="1144"/>
      <c r="VSU285" s="1144"/>
      <c r="VSV285" s="1144"/>
      <c r="VSW285" s="1144"/>
      <c r="VSX285" s="1144"/>
      <c r="VSY285" s="1144"/>
      <c r="VSZ285" s="1144"/>
      <c r="VTA285" s="1144"/>
      <c r="VTB285" s="1144"/>
      <c r="VTC285" s="1144"/>
      <c r="VTD285" s="1144"/>
      <c r="VTE285" s="1144"/>
      <c r="VTF285" s="1144"/>
      <c r="VTG285" s="1144"/>
      <c r="VTH285" s="1144"/>
      <c r="VTI285" s="1144"/>
      <c r="VTJ285" s="1144"/>
      <c r="VTK285" s="1144"/>
      <c r="VTL285" s="1144"/>
      <c r="VTM285" s="1144"/>
      <c r="VTN285" s="1144"/>
      <c r="VTO285" s="1144"/>
      <c r="VTP285" s="1144"/>
      <c r="VTQ285" s="1144"/>
      <c r="VTR285" s="1144"/>
      <c r="VTS285" s="1144"/>
      <c r="VTT285" s="1144"/>
      <c r="VTU285" s="1144"/>
      <c r="VTV285" s="1144"/>
      <c r="VTW285" s="1144"/>
      <c r="VTX285" s="1144"/>
      <c r="VTY285" s="1144"/>
      <c r="VTZ285" s="1144"/>
      <c r="VUA285" s="1144"/>
      <c r="VUB285" s="1144"/>
      <c r="VUC285" s="1144"/>
      <c r="VUD285" s="1144"/>
      <c r="VUE285" s="1144"/>
      <c r="VUF285" s="1144"/>
      <c r="VUG285" s="1144"/>
      <c r="VUH285" s="1144"/>
      <c r="VUI285" s="1144"/>
      <c r="VUJ285" s="1144"/>
      <c r="VUK285" s="1144"/>
      <c r="VUL285" s="1144"/>
      <c r="VUM285" s="1144"/>
      <c r="VUN285" s="1144"/>
      <c r="VUO285" s="1144"/>
      <c r="VUP285" s="1144"/>
      <c r="VUQ285" s="1144"/>
      <c r="VUR285" s="1144"/>
      <c r="VUS285" s="1144"/>
      <c r="VUT285" s="1144"/>
      <c r="VUU285" s="1144"/>
      <c r="VUV285" s="1144"/>
      <c r="VUW285" s="1144"/>
      <c r="VUX285" s="1144"/>
      <c r="VUY285" s="1144"/>
      <c r="VUZ285" s="1144"/>
      <c r="VVA285" s="1144"/>
      <c r="VVB285" s="1144"/>
      <c r="VVC285" s="1144"/>
      <c r="VVD285" s="1144"/>
      <c r="VVE285" s="1144"/>
      <c r="VVF285" s="1144"/>
      <c r="VVG285" s="1144"/>
      <c r="VVH285" s="1144"/>
      <c r="VVI285" s="1144"/>
      <c r="VVJ285" s="1144"/>
      <c r="VVK285" s="1144"/>
      <c r="VVL285" s="1144"/>
      <c r="VVM285" s="1144"/>
      <c r="VVN285" s="1144"/>
      <c r="VVO285" s="1144"/>
      <c r="VVP285" s="1144"/>
      <c r="VVQ285" s="1144"/>
      <c r="VVR285" s="1144"/>
      <c r="VVS285" s="1144"/>
      <c r="VVT285" s="1144"/>
      <c r="VVU285" s="1144"/>
      <c r="VVV285" s="1144"/>
      <c r="VVW285" s="1144"/>
      <c r="VVX285" s="1144"/>
      <c r="VVY285" s="1144"/>
      <c r="VVZ285" s="1144"/>
      <c r="VWA285" s="1144"/>
      <c r="VWB285" s="1144"/>
      <c r="VWC285" s="1144"/>
      <c r="VWD285" s="1144"/>
      <c r="VWE285" s="1144"/>
      <c r="VWF285" s="1144"/>
      <c r="VWG285" s="1144"/>
      <c r="VWH285" s="1144"/>
      <c r="VWI285" s="1144"/>
      <c r="VWJ285" s="1144"/>
      <c r="VWK285" s="1144"/>
      <c r="VWL285" s="1144"/>
      <c r="VWM285" s="1144"/>
      <c r="VWN285" s="1144"/>
      <c r="VWO285" s="1144"/>
      <c r="VWP285" s="1144"/>
      <c r="VWQ285" s="1144"/>
      <c r="VWR285" s="1144"/>
      <c r="VWS285" s="1144"/>
      <c r="VWT285" s="1144"/>
      <c r="VWU285" s="1144"/>
      <c r="VWV285" s="1144"/>
      <c r="VWW285" s="1144"/>
      <c r="VWX285" s="1144"/>
      <c r="VWY285" s="1144"/>
      <c r="VWZ285" s="1144"/>
      <c r="VXA285" s="1144"/>
      <c r="VXB285" s="1144"/>
      <c r="VXC285" s="1144"/>
      <c r="VXD285" s="1144"/>
      <c r="VXE285" s="1144"/>
      <c r="VXF285" s="1144"/>
      <c r="VXG285" s="1144"/>
      <c r="VXH285" s="1144"/>
      <c r="VXI285" s="1144"/>
      <c r="VXJ285" s="1144"/>
      <c r="VXK285" s="1144"/>
      <c r="VXL285" s="1144"/>
      <c r="VXM285" s="1144"/>
      <c r="VXN285" s="1144"/>
      <c r="VXO285" s="1144"/>
      <c r="VXP285" s="1144"/>
      <c r="VXQ285" s="1144"/>
      <c r="VXR285" s="1144"/>
      <c r="VXS285" s="1144"/>
      <c r="VXT285" s="1144"/>
      <c r="VXU285" s="1144"/>
      <c r="VXV285" s="1144"/>
      <c r="VXW285" s="1144"/>
      <c r="VXX285" s="1144"/>
      <c r="VXY285" s="1144"/>
      <c r="VXZ285" s="1144"/>
      <c r="VYA285" s="1144"/>
      <c r="VYB285" s="1144"/>
      <c r="VYC285" s="1144"/>
      <c r="VYD285" s="1144"/>
      <c r="VYE285" s="1144"/>
      <c r="VYF285" s="1144"/>
      <c r="VYG285" s="1144"/>
      <c r="VYH285" s="1144"/>
      <c r="VYI285" s="1144"/>
      <c r="VYJ285" s="1144"/>
      <c r="VYK285" s="1144"/>
      <c r="VYL285" s="1144"/>
      <c r="VYM285" s="1144"/>
      <c r="VYN285" s="1144"/>
      <c r="VYO285" s="1144"/>
      <c r="VYP285" s="1144"/>
      <c r="VYQ285" s="1144"/>
      <c r="VYR285" s="1144"/>
      <c r="VYS285" s="1144"/>
      <c r="VYT285" s="1144"/>
      <c r="VYU285" s="1144"/>
      <c r="VYV285" s="1144"/>
      <c r="VYW285" s="1144"/>
      <c r="VYX285" s="1144"/>
      <c r="VYY285" s="1144"/>
      <c r="VYZ285" s="1144"/>
      <c r="VZA285" s="1144"/>
      <c r="VZB285" s="1144"/>
      <c r="VZC285" s="1144"/>
      <c r="VZD285" s="1144"/>
      <c r="VZE285" s="1144"/>
      <c r="VZF285" s="1144"/>
      <c r="VZG285" s="1144"/>
      <c r="VZH285" s="1144"/>
      <c r="VZI285" s="1144"/>
      <c r="VZJ285" s="1144"/>
      <c r="VZK285" s="1144"/>
      <c r="VZL285" s="1144"/>
      <c r="VZM285" s="1144"/>
      <c r="VZN285" s="1144"/>
      <c r="VZO285" s="1144"/>
      <c r="VZP285" s="1144"/>
      <c r="VZQ285" s="1144"/>
      <c r="VZR285" s="1144"/>
      <c r="VZS285" s="1144"/>
      <c r="VZT285" s="1144"/>
      <c r="VZU285" s="1144"/>
      <c r="VZV285" s="1144"/>
      <c r="VZW285" s="1144"/>
      <c r="VZX285" s="1144"/>
      <c r="VZY285" s="1144"/>
      <c r="VZZ285" s="1144"/>
      <c r="WAA285" s="1144"/>
      <c r="WAB285" s="1144"/>
      <c r="WAC285" s="1144"/>
      <c r="WAD285" s="1144"/>
      <c r="WAE285" s="1144"/>
      <c r="WAF285" s="1144"/>
      <c r="WAG285" s="1144"/>
      <c r="WAH285" s="1144"/>
      <c r="WAI285" s="1144"/>
      <c r="WAJ285" s="1144"/>
      <c r="WAK285" s="1144"/>
      <c r="WAL285" s="1144"/>
      <c r="WAM285" s="1144"/>
      <c r="WAN285" s="1144"/>
      <c r="WAO285" s="1144"/>
      <c r="WAP285" s="1144"/>
      <c r="WAQ285" s="1144"/>
      <c r="WAR285" s="1144"/>
      <c r="WAS285" s="1144"/>
      <c r="WAT285" s="1144"/>
      <c r="WAU285" s="1144"/>
      <c r="WAV285" s="1144"/>
      <c r="WAW285" s="1144"/>
      <c r="WAX285" s="1144"/>
      <c r="WAY285" s="1144"/>
      <c r="WAZ285" s="1144"/>
      <c r="WBA285" s="1144"/>
      <c r="WBB285" s="1144"/>
      <c r="WBC285" s="1144"/>
      <c r="WBD285" s="1144"/>
      <c r="WBE285" s="1144"/>
      <c r="WBF285" s="1144"/>
      <c r="WBG285" s="1144"/>
      <c r="WBH285" s="1144"/>
      <c r="WBI285" s="1144"/>
      <c r="WBJ285" s="1144"/>
      <c r="WBK285" s="1144"/>
      <c r="WBL285" s="1144"/>
      <c r="WBM285" s="1144"/>
      <c r="WBN285" s="1144"/>
      <c r="WBO285" s="1144"/>
      <c r="WBP285" s="1144"/>
      <c r="WBQ285" s="1144"/>
      <c r="WBR285" s="1144"/>
      <c r="WBS285" s="1144"/>
      <c r="WBT285" s="1144"/>
      <c r="WBU285" s="1144"/>
      <c r="WBV285" s="1144"/>
      <c r="WBW285" s="1144"/>
      <c r="WBX285" s="1144"/>
      <c r="WBY285" s="1144"/>
      <c r="WBZ285" s="1144"/>
      <c r="WCA285" s="1144"/>
      <c r="WCB285" s="1144"/>
      <c r="WCC285" s="1144"/>
      <c r="WCD285" s="1144"/>
      <c r="WCE285" s="1144"/>
      <c r="WCF285" s="1144"/>
      <c r="WCG285" s="1144"/>
      <c r="WCH285" s="1144"/>
      <c r="WCI285" s="1144"/>
      <c r="WCJ285" s="1144"/>
      <c r="WCK285" s="1144"/>
      <c r="WCL285" s="1144"/>
      <c r="WCM285" s="1144"/>
      <c r="WCN285" s="1144"/>
      <c r="WCO285" s="1144"/>
      <c r="WCP285" s="1144"/>
      <c r="WCQ285" s="1144"/>
      <c r="WCR285" s="1144"/>
      <c r="WCS285" s="1144"/>
      <c r="WCT285" s="1144"/>
      <c r="WCU285" s="1144"/>
      <c r="WCV285" s="1144"/>
      <c r="WCW285" s="1144"/>
      <c r="WCX285" s="1144"/>
      <c r="WCY285" s="1144"/>
      <c r="WCZ285" s="1144"/>
      <c r="WDA285" s="1144"/>
      <c r="WDB285" s="1144"/>
      <c r="WDC285" s="1144"/>
      <c r="WDD285" s="1144"/>
      <c r="WDE285" s="1144"/>
      <c r="WDF285" s="1144"/>
      <c r="WDG285" s="1144"/>
      <c r="WDH285" s="1144"/>
      <c r="WDI285" s="1144"/>
      <c r="WDJ285" s="1144"/>
      <c r="WDK285" s="1144"/>
      <c r="WDL285" s="1144"/>
      <c r="WDM285" s="1144"/>
      <c r="WDN285" s="1144"/>
      <c r="WDO285" s="1144"/>
      <c r="WDP285" s="1144"/>
      <c r="WDQ285" s="1144"/>
      <c r="WDR285" s="1144"/>
      <c r="WDS285" s="1144"/>
      <c r="WDT285" s="1144"/>
      <c r="WDU285" s="1144"/>
      <c r="WDV285" s="1144"/>
      <c r="WDW285" s="1144"/>
      <c r="WDX285" s="1144"/>
      <c r="WDY285" s="1144"/>
      <c r="WDZ285" s="1144"/>
      <c r="WEA285" s="1144"/>
      <c r="WEB285" s="1144"/>
      <c r="WEC285" s="1144"/>
      <c r="WED285" s="1144"/>
      <c r="WEE285" s="1144"/>
      <c r="WEF285" s="1144"/>
      <c r="WEG285" s="1144"/>
      <c r="WEH285" s="1144"/>
      <c r="WEI285" s="1144"/>
      <c r="WEJ285" s="1144"/>
      <c r="WEK285" s="1144"/>
      <c r="WEL285" s="1144"/>
      <c r="WEM285" s="1144"/>
      <c r="WEN285" s="1144"/>
      <c r="WEO285" s="1144"/>
      <c r="WEP285" s="1144"/>
      <c r="WEQ285" s="1144"/>
      <c r="WER285" s="1144"/>
      <c r="WES285" s="1144"/>
      <c r="WET285" s="1144"/>
      <c r="WEU285" s="1144"/>
      <c r="WEV285" s="1144"/>
      <c r="WEW285" s="1144"/>
      <c r="WEX285" s="1144"/>
      <c r="WEY285" s="1144"/>
      <c r="WEZ285" s="1144"/>
      <c r="WFA285" s="1144"/>
      <c r="WFB285" s="1144"/>
      <c r="WFC285" s="1144"/>
      <c r="WFD285" s="1144"/>
      <c r="WFE285" s="1144"/>
      <c r="WFF285" s="1144"/>
      <c r="WFG285" s="1144"/>
      <c r="WFH285" s="1144"/>
      <c r="WFI285" s="1144"/>
      <c r="WFJ285" s="1144"/>
      <c r="WFK285" s="1144"/>
      <c r="WFL285" s="1144"/>
      <c r="WFM285" s="1144"/>
      <c r="WFN285" s="1144"/>
      <c r="WFO285" s="1144"/>
      <c r="WFP285" s="1144"/>
      <c r="WFQ285" s="1144"/>
      <c r="WFR285" s="1144"/>
      <c r="WFS285" s="1144"/>
      <c r="WFT285" s="1144"/>
      <c r="WFU285" s="1144"/>
      <c r="WFV285" s="1144"/>
      <c r="WFW285" s="1144"/>
      <c r="WFX285" s="1144"/>
      <c r="WFY285" s="1144"/>
      <c r="WFZ285" s="1144"/>
      <c r="WGA285" s="1144"/>
      <c r="WGB285" s="1144"/>
      <c r="WGC285" s="1144"/>
      <c r="WGD285" s="1144"/>
      <c r="WGE285" s="1144"/>
      <c r="WGF285" s="1144"/>
      <c r="WGG285" s="1144"/>
      <c r="WGH285" s="1144"/>
      <c r="WGI285" s="1144"/>
      <c r="WGJ285" s="1144"/>
      <c r="WGK285" s="1144"/>
      <c r="WGL285" s="1144"/>
      <c r="WGM285" s="1144"/>
      <c r="WGN285" s="1144"/>
      <c r="WGO285" s="1144"/>
      <c r="WGP285" s="1144"/>
      <c r="WGQ285" s="1144"/>
      <c r="WGR285" s="1144"/>
      <c r="WGS285" s="1144"/>
      <c r="WGT285" s="1144"/>
      <c r="WGU285" s="1144"/>
      <c r="WGV285" s="1144"/>
      <c r="WGW285" s="1144"/>
      <c r="WGX285" s="1144"/>
      <c r="WGY285" s="1144"/>
      <c r="WGZ285" s="1144"/>
      <c r="WHA285" s="1144"/>
      <c r="WHB285" s="1144"/>
      <c r="WHC285" s="1144"/>
      <c r="WHD285" s="1144"/>
      <c r="WHE285" s="1144"/>
      <c r="WHF285" s="1144"/>
      <c r="WHG285" s="1144"/>
      <c r="WHH285" s="1144"/>
      <c r="WHI285" s="1144"/>
      <c r="WHJ285" s="1144"/>
      <c r="WHK285" s="1144"/>
      <c r="WHL285" s="1144"/>
      <c r="WHM285" s="1144"/>
      <c r="WHN285" s="1144"/>
      <c r="WHO285" s="1144"/>
      <c r="WHP285" s="1144"/>
      <c r="WHQ285" s="1144"/>
      <c r="WHR285" s="1144"/>
      <c r="WHS285" s="1144"/>
      <c r="WHT285" s="1144"/>
      <c r="WHU285" s="1144"/>
      <c r="WHV285" s="1144"/>
      <c r="WHW285" s="1144"/>
      <c r="WHX285" s="1144"/>
      <c r="WHY285" s="1144"/>
      <c r="WHZ285" s="1144"/>
      <c r="WIA285" s="1144"/>
      <c r="WIB285" s="1144"/>
      <c r="WIC285" s="1144"/>
      <c r="WID285" s="1144"/>
      <c r="WIE285" s="1144"/>
      <c r="WIF285" s="1144"/>
      <c r="WIG285" s="1144"/>
      <c r="WIH285" s="1144"/>
      <c r="WII285" s="1144"/>
      <c r="WIJ285" s="1144"/>
      <c r="WIK285" s="1144"/>
      <c r="WIL285" s="1144"/>
      <c r="WIM285" s="1144"/>
      <c r="WIN285" s="1144"/>
      <c r="WIO285" s="1144"/>
      <c r="WIP285" s="1144"/>
      <c r="WIQ285" s="1144"/>
      <c r="WIR285" s="1144"/>
      <c r="WIS285" s="1144"/>
      <c r="WIT285" s="1144"/>
      <c r="WIU285" s="1144"/>
      <c r="WIV285" s="1144"/>
      <c r="WIW285" s="1144"/>
      <c r="WIX285" s="1144"/>
      <c r="WIY285" s="1144"/>
      <c r="WIZ285" s="1144"/>
      <c r="WJA285" s="1144"/>
      <c r="WJB285" s="1144"/>
      <c r="WJC285" s="1144"/>
      <c r="WJD285" s="1144"/>
      <c r="WJE285" s="1144"/>
      <c r="WJF285" s="1144"/>
      <c r="WJG285" s="1144"/>
      <c r="WJH285" s="1144"/>
      <c r="WJI285" s="1144"/>
      <c r="WJJ285" s="1144"/>
      <c r="WJK285" s="1144"/>
      <c r="WJL285" s="1144"/>
      <c r="WJM285" s="1144"/>
      <c r="WJN285" s="1144"/>
      <c r="WJO285" s="1144"/>
      <c r="WJP285" s="1144"/>
      <c r="WJQ285" s="1144"/>
      <c r="WJR285" s="1144"/>
      <c r="WJS285" s="1144"/>
      <c r="WJT285" s="1144"/>
      <c r="WJU285" s="1144"/>
      <c r="WJV285" s="1144"/>
      <c r="WJW285" s="1144"/>
      <c r="WJX285" s="1144"/>
      <c r="WJY285" s="1144"/>
      <c r="WJZ285" s="1144"/>
      <c r="WKA285" s="1144"/>
      <c r="WKB285" s="1144"/>
      <c r="WKC285" s="1144"/>
      <c r="WKD285" s="1144"/>
      <c r="WKE285" s="1144"/>
      <c r="WKF285" s="1144"/>
      <c r="WKG285" s="1144"/>
      <c r="WKH285" s="1144"/>
      <c r="WKI285" s="1144"/>
      <c r="WKJ285" s="1144"/>
      <c r="WKK285" s="1144"/>
      <c r="WKL285" s="1144"/>
      <c r="WKM285" s="1144"/>
      <c r="WKN285" s="1144"/>
      <c r="WKO285" s="1144"/>
      <c r="WKP285" s="1144"/>
      <c r="WKQ285" s="1144"/>
      <c r="WKR285" s="1144"/>
      <c r="WKS285" s="1144"/>
      <c r="WKT285" s="1144"/>
      <c r="WKU285" s="1144"/>
      <c r="WKV285" s="1144"/>
      <c r="WKW285" s="1144"/>
      <c r="WKX285" s="1144"/>
      <c r="WKY285" s="1144"/>
      <c r="WKZ285" s="1144"/>
      <c r="WLA285" s="1144"/>
      <c r="WLB285" s="1144"/>
      <c r="WLC285" s="1144"/>
      <c r="WLD285" s="1144"/>
      <c r="WLE285" s="1144"/>
      <c r="WLF285" s="1144"/>
      <c r="WLG285" s="1144"/>
      <c r="WLH285" s="1144"/>
      <c r="WLI285" s="1144"/>
      <c r="WLJ285" s="1144"/>
      <c r="WLK285" s="1144"/>
      <c r="WLL285" s="1144"/>
      <c r="WLM285" s="1144"/>
      <c r="WLN285" s="1144"/>
      <c r="WLO285" s="1144"/>
      <c r="WLP285" s="1144"/>
      <c r="WLQ285" s="1144"/>
      <c r="WLR285" s="1144"/>
      <c r="WLS285" s="1144"/>
      <c r="WLT285" s="1144"/>
      <c r="WLU285" s="1144"/>
      <c r="WLV285" s="1144"/>
      <c r="WLW285" s="1144"/>
      <c r="WLX285" s="1144"/>
      <c r="WLY285" s="1144"/>
      <c r="WLZ285" s="1144"/>
      <c r="WMA285" s="1144"/>
      <c r="WMB285" s="1144"/>
      <c r="WMC285" s="1144"/>
      <c r="WMD285" s="1144"/>
      <c r="WME285" s="1144"/>
      <c r="WMF285" s="1144"/>
      <c r="WMG285" s="1144"/>
      <c r="WMH285" s="1144"/>
      <c r="WMI285" s="1144"/>
      <c r="WMJ285" s="1144"/>
      <c r="WMK285" s="1144"/>
      <c r="WML285" s="1144"/>
      <c r="WMM285" s="1144"/>
      <c r="WMN285" s="1144"/>
      <c r="WMO285" s="1144"/>
      <c r="WMP285" s="1144"/>
      <c r="WMQ285" s="1144"/>
      <c r="WMR285" s="1144"/>
      <c r="WMS285" s="1144"/>
      <c r="WMT285" s="1144"/>
      <c r="WMU285" s="1144"/>
      <c r="WMV285" s="1144"/>
      <c r="WMW285" s="1144"/>
      <c r="WMX285" s="1144"/>
      <c r="WMY285" s="1144"/>
      <c r="WMZ285" s="1144"/>
      <c r="WNA285" s="1144"/>
      <c r="WNB285" s="1144"/>
      <c r="WNC285" s="1144"/>
      <c r="WND285" s="1144"/>
      <c r="WNE285" s="1144"/>
      <c r="WNF285" s="1144"/>
      <c r="WNG285" s="1144"/>
      <c r="WNH285" s="1144"/>
      <c r="WNI285" s="1144"/>
      <c r="WNJ285" s="1144"/>
      <c r="WNK285" s="1144"/>
      <c r="WNL285" s="1144"/>
      <c r="WNM285" s="1144"/>
      <c r="WNN285" s="1144"/>
      <c r="WNO285" s="1144"/>
      <c r="WNP285" s="1144"/>
      <c r="WNQ285" s="1144"/>
      <c r="WNR285" s="1144"/>
      <c r="WNS285" s="1144"/>
      <c r="WNT285" s="1144"/>
      <c r="WNU285" s="1144"/>
      <c r="WNV285" s="1144"/>
      <c r="WNW285" s="1144"/>
      <c r="WNX285" s="1144"/>
      <c r="WNY285" s="1144"/>
      <c r="WNZ285" s="1144"/>
      <c r="WOA285" s="1144"/>
      <c r="WOB285" s="1144"/>
      <c r="WOC285" s="1144"/>
      <c r="WOD285" s="1144"/>
      <c r="WOE285" s="1144"/>
      <c r="WOF285" s="1144"/>
      <c r="WOG285" s="1144"/>
      <c r="WOH285" s="1144"/>
      <c r="WOI285" s="1144"/>
      <c r="WOJ285" s="1144"/>
      <c r="WOK285" s="1144"/>
      <c r="WOL285" s="1144"/>
      <c r="WOM285" s="1144"/>
      <c r="WON285" s="1144"/>
      <c r="WOO285" s="1144"/>
      <c r="WOP285" s="1144"/>
      <c r="WOQ285" s="1144"/>
      <c r="WOR285" s="1144"/>
      <c r="WOS285" s="1144"/>
      <c r="WOT285" s="1144"/>
      <c r="WOU285" s="1144"/>
      <c r="WOV285" s="1144"/>
      <c r="WOW285" s="1144"/>
      <c r="WOX285" s="1144"/>
      <c r="WOY285" s="1144"/>
      <c r="WOZ285" s="1144"/>
      <c r="WPA285" s="1144"/>
      <c r="WPB285" s="1144"/>
      <c r="WPC285" s="1144"/>
      <c r="WPD285" s="1144"/>
      <c r="WPE285" s="1144"/>
      <c r="WPF285" s="1144"/>
      <c r="WPG285" s="1144"/>
      <c r="WPH285" s="1144"/>
      <c r="WPI285" s="1144"/>
      <c r="WPJ285" s="1144"/>
      <c r="WPK285" s="1144"/>
      <c r="WPL285" s="1144"/>
      <c r="WPM285" s="1144"/>
      <c r="WPN285" s="1144"/>
      <c r="WPO285" s="1144"/>
      <c r="WPP285" s="1144"/>
      <c r="WPQ285" s="1144"/>
      <c r="WPR285" s="1144"/>
      <c r="WPS285" s="1144"/>
      <c r="WPT285" s="1144"/>
      <c r="WPU285" s="1144"/>
      <c r="WPV285" s="1144"/>
      <c r="WPW285" s="1144"/>
      <c r="WPX285" s="1144"/>
      <c r="WPY285" s="1144"/>
      <c r="WPZ285" s="1144"/>
      <c r="WQA285" s="1144"/>
      <c r="WQB285" s="1144"/>
      <c r="WQC285" s="1144"/>
      <c r="WQD285" s="1144"/>
      <c r="WQE285" s="1144"/>
      <c r="WQF285" s="1144"/>
      <c r="WQG285" s="1144"/>
      <c r="WQH285" s="1144"/>
      <c r="WQI285" s="1144"/>
      <c r="WQJ285" s="1144"/>
      <c r="WQK285" s="1144"/>
      <c r="WQL285" s="1144"/>
      <c r="WQM285" s="1144"/>
      <c r="WQN285" s="1144"/>
      <c r="WQO285" s="1144"/>
      <c r="WQP285" s="1144"/>
      <c r="WQQ285" s="1144"/>
      <c r="WQR285" s="1144"/>
      <c r="WQS285" s="1144"/>
      <c r="WQT285" s="1144"/>
      <c r="WQU285" s="1144"/>
      <c r="WQV285" s="1144"/>
      <c r="WQW285" s="1144"/>
      <c r="WQX285" s="1144"/>
      <c r="WQY285" s="1144"/>
      <c r="WQZ285" s="1144"/>
      <c r="WRA285" s="1144"/>
      <c r="WRB285" s="1144"/>
      <c r="WRC285" s="1144"/>
      <c r="WRD285" s="1144"/>
      <c r="WRE285" s="1144"/>
      <c r="WRF285" s="1144"/>
      <c r="WRG285" s="1144"/>
      <c r="WRH285" s="1144"/>
      <c r="WRI285" s="1144"/>
      <c r="WRJ285" s="1144"/>
      <c r="WRK285" s="1144"/>
      <c r="WRL285" s="1144"/>
      <c r="WRM285" s="1144"/>
      <c r="WRN285" s="1144"/>
      <c r="WRO285" s="1144"/>
      <c r="WRP285" s="1144"/>
      <c r="WRQ285" s="1144"/>
      <c r="WRR285" s="1144"/>
      <c r="WRS285" s="1144"/>
      <c r="WRT285" s="1144"/>
      <c r="WRU285" s="1144"/>
      <c r="WRV285" s="1144"/>
      <c r="WRW285" s="1144"/>
      <c r="WRX285" s="1144"/>
      <c r="WRY285" s="1144"/>
      <c r="WRZ285" s="1144"/>
      <c r="WSA285" s="1144"/>
      <c r="WSB285" s="1144"/>
      <c r="WSC285" s="1144"/>
      <c r="WSD285" s="1144"/>
      <c r="WSE285" s="1144"/>
      <c r="WSF285" s="1144"/>
      <c r="WSG285" s="1144"/>
      <c r="WSH285" s="1144"/>
      <c r="WSI285" s="1144"/>
      <c r="WSJ285" s="1144"/>
      <c r="WSK285" s="1144"/>
      <c r="WSL285" s="1144"/>
      <c r="WSM285" s="1144"/>
      <c r="WSN285" s="1144"/>
      <c r="WSO285" s="1144"/>
      <c r="WSP285" s="1144"/>
      <c r="WSQ285" s="1144"/>
      <c r="WSR285" s="1144"/>
      <c r="WSS285" s="1144"/>
      <c r="WST285" s="1144"/>
      <c r="WSU285" s="1144"/>
      <c r="WSV285" s="1144"/>
      <c r="WSW285" s="1144"/>
      <c r="WSX285" s="1144"/>
      <c r="WSY285" s="1144"/>
      <c r="WSZ285" s="1144"/>
      <c r="WTA285" s="1144"/>
      <c r="WTB285" s="1144"/>
      <c r="WTC285" s="1144"/>
      <c r="WTD285" s="1144"/>
      <c r="WTE285" s="1144"/>
      <c r="WTF285" s="1144"/>
      <c r="WTG285" s="1144"/>
      <c r="WTH285" s="1144"/>
      <c r="WTI285" s="1144"/>
      <c r="WTJ285" s="1144"/>
      <c r="WTK285" s="1144"/>
      <c r="WTL285" s="1144"/>
      <c r="WTM285" s="1144"/>
      <c r="WTN285" s="1144"/>
      <c r="WTO285" s="1144"/>
      <c r="WTP285" s="1144"/>
      <c r="WTQ285" s="1144"/>
      <c r="WTR285" s="1144"/>
      <c r="WTS285" s="1144"/>
      <c r="WTT285" s="1144"/>
      <c r="WTU285" s="1144"/>
      <c r="WTV285" s="1144"/>
      <c r="WTW285" s="1144"/>
      <c r="WTX285" s="1144"/>
      <c r="WTY285" s="1144"/>
      <c r="WTZ285" s="1144"/>
      <c r="WUA285" s="1144"/>
      <c r="WUB285" s="1144"/>
      <c r="WUC285" s="1144"/>
      <c r="WUD285" s="1144"/>
      <c r="WUE285" s="1144"/>
      <c r="WUF285" s="1144"/>
      <c r="WUG285" s="1144"/>
      <c r="WUH285" s="1144"/>
      <c r="WUI285" s="1144"/>
      <c r="WUJ285" s="1144"/>
      <c r="WUK285" s="1144"/>
      <c r="WUL285" s="1144"/>
      <c r="WUM285" s="1144"/>
      <c r="WUN285" s="1144"/>
      <c r="WUO285" s="1144"/>
      <c r="WUP285" s="1144"/>
      <c r="WUQ285" s="1144"/>
      <c r="WUR285" s="1144"/>
      <c r="WUS285" s="1144"/>
      <c r="WUT285" s="1144"/>
      <c r="WUU285" s="1144"/>
      <c r="WUV285" s="1144"/>
      <c r="WUW285" s="1144"/>
      <c r="WUX285" s="1144"/>
      <c r="WUY285" s="1144"/>
      <c r="WUZ285" s="1144"/>
      <c r="WVA285" s="1144"/>
      <c r="WVB285" s="1144"/>
      <c r="WVC285" s="1144"/>
      <c r="WVD285" s="1144"/>
      <c r="WVE285" s="1144"/>
      <c r="WVF285" s="1144"/>
      <c r="WVG285" s="1144"/>
      <c r="WVH285" s="1144"/>
      <c r="WVI285" s="1144"/>
      <c r="WVJ285" s="1144"/>
      <c r="WVK285" s="1144"/>
      <c r="WVL285" s="1144"/>
      <c r="WVM285" s="1144"/>
      <c r="WVN285" s="1144"/>
      <c r="WVO285" s="1144"/>
      <c r="WVP285" s="1144"/>
      <c r="WVQ285" s="1144"/>
      <c r="WVR285" s="1144"/>
      <c r="WVS285" s="1144"/>
      <c r="WVT285" s="1144"/>
      <c r="WVU285" s="1144"/>
      <c r="WVV285" s="1144"/>
      <c r="WVW285" s="1144"/>
      <c r="WVX285" s="1144"/>
      <c r="WVY285" s="1144"/>
      <c r="WVZ285" s="1144"/>
      <c r="WWA285" s="1144"/>
      <c r="WWB285" s="1144"/>
      <c r="WWC285" s="1144"/>
      <c r="WWD285" s="1144"/>
      <c r="WWE285" s="1144"/>
      <c r="WWF285" s="1144"/>
      <c r="WWG285" s="1144"/>
      <c r="WWH285" s="1144"/>
      <c r="WWI285" s="1144"/>
      <c r="WWJ285" s="1144"/>
      <c r="WWK285" s="1144"/>
      <c r="WWL285" s="1144"/>
      <c r="WWM285" s="1144"/>
      <c r="WWN285" s="1144"/>
      <c r="WWO285" s="1144"/>
      <c r="WWP285" s="1144"/>
      <c r="WWQ285" s="1144"/>
      <c r="WWR285" s="1144"/>
      <c r="WWS285" s="1144"/>
      <c r="WWT285" s="1144"/>
      <c r="WWU285" s="1144"/>
      <c r="WWV285" s="1144"/>
      <c r="WWW285" s="1144"/>
      <c r="WWX285" s="1144"/>
      <c r="WWY285" s="1144"/>
      <c r="WWZ285" s="1144"/>
      <c r="WXA285" s="1144"/>
      <c r="WXB285" s="1144"/>
      <c r="WXC285" s="1144"/>
      <c r="WXD285" s="1144"/>
      <c r="WXE285" s="1144"/>
      <c r="WXF285" s="1144"/>
      <c r="WXG285" s="1144"/>
      <c r="WXH285" s="1144"/>
      <c r="WXI285" s="1144"/>
      <c r="WXJ285" s="1144"/>
      <c r="WXK285" s="1144"/>
      <c r="WXL285" s="1144"/>
      <c r="WXM285" s="1144"/>
      <c r="WXN285" s="1144"/>
      <c r="WXO285" s="1144"/>
      <c r="WXP285" s="1144"/>
      <c r="WXQ285" s="1144"/>
      <c r="WXR285" s="1144"/>
      <c r="WXS285" s="1144"/>
      <c r="WXT285" s="1144"/>
      <c r="WXU285" s="1144"/>
      <c r="WXV285" s="1144"/>
      <c r="WXW285" s="1144"/>
      <c r="WXX285" s="1144"/>
      <c r="WXY285" s="1144"/>
      <c r="WXZ285" s="1144"/>
      <c r="WYA285" s="1144"/>
      <c r="WYB285" s="1144"/>
      <c r="WYC285" s="1144"/>
      <c r="WYD285" s="1144"/>
      <c r="WYE285" s="1144"/>
      <c r="WYF285" s="1144"/>
      <c r="WYG285" s="1144"/>
      <c r="WYH285" s="1144"/>
      <c r="WYI285" s="1144"/>
      <c r="WYJ285" s="1144"/>
      <c r="WYK285" s="1144"/>
      <c r="WYL285" s="1144"/>
      <c r="WYM285" s="1144"/>
      <c r="WYN285" s="1144"/>
      <c r="WYO285" s="1144"/>
      <c r="WYP285" s="1144"/>
      <c r="WYQ285" s="1144"/>
      <c r="WYR285" s="1144"/>
      <c r="WYS285" s="1144"/>
      <c r="WYT285" s="1144"/>
      <c r="WYU285" s="1144"/>
      <c r="WYV285" s="1144"/>
      <c r="WYW285" s="1144"/>
      <c r="WYX285" s="1144"/>
      <c r="WYY285" s="1144"/>
      <c r="WYZ285" s="1144"/>
      <c r="WZA285" s="1144"/>
      <c r="WZB285" s="1144"/>
      <c r="WZC285" s="1144"/>
      <c r="WZD285" s="1144"/>
      <c r="WZE285" s="1144"/>
      <c r="WZF285" s="1144"/>
      <c r="WZG285" s="1144"/>
      <c r="WZH285" s="1144"/>
      <c r="WZI285" s="1144"/>
      <c r="WZJ285" s="1144"/>
      <c r="WZK285" s="1144"/>
      <c r="WZL285" s="1144"/>
      <c r="WZM285" s="1144"/>
      <c r="WZN285" s="1144"/>
      <c r="WZO285" s="1144"/>
      <c r="WZP285" s="1144"/>
      <c r="WZQ285" s="1144"/>
      <c r="WZR285" s="1144"/>
      <c r="WZS285" s="1144"/>
      <c r="WZT285" s="1144"/>
      <c r="WZU285" s="1144"/>
      <c r="WZV285" s="1144"/>
      <c r="WZW285" s="1144"/>
      <c r="WZX285" s="1144"/>
      <c r="WZY285" s="1144"/>
      <c r="WZZ285" s="1144"/>
      <c r="XAA285" s="1144"/>
      <c r="XAB285" s="1144"/>
      <c r="XAC285" s="1144"/>
      <c r="XAD285" s="1144"/>
      <c r="XAE285" s="1144"/>
      <c r="XAF285" s="1144"/>
      <c r="XAG285" s="1144"/>
      <c r="XAH285" s="1144"/>
      <c r="XAI285" s="1144"/>
      <c r="XAJ285" s="1144"/>
      <c r="XAK285" s="1144"/>
      <c r="XAL285" s="1144"/>
      <c r="XAM285" s="1144"/>
      <c r="XAN285" s="1144"/>
      <c r="XAO285" s="1144"/>
      <c r="XAP285" s="1144"/>
      <c r="XAQ285" s="1144"/>
      <c r="XAR285" s="1144"/>
      <c r="XAS285" s="1144"/>
      <c r="XAT285" s="1144"/>
      <c r="XAU285" s="1144"/>
      <c r="XAV285" s="1144"/>
      <c r="XAW285" s="1144"/>
      <c r="XAX285" s="1144"/>
      <c r="XAY285" s="1144"/>
      <c r="XAZ285" s="1144"/>
      <c r="XBA285" s="1144"/>
      <c r="XBB285" s="1144"/>
      <c r="XBC285" s="1144"/>
      <c r="XBD285" s="1144"/>
      <c r="XBE285" s="1144"/>
      <c r="XBF285" s="1144"/>
      <c r="XBG285" s="1144"/>
      <c r="XBH285" s="1144"/>
      <c r="XBI285" s="1144"/>
      <c r="XBJ285" s="1144"/>
      <c r="XBK285" s="1144"/>
      <c r="XBL285" s="1144"/>
      <c r="XBM285" s="1144"/>
      <c r="XBN285" s="1144"/>
      <c r="XBO285" s="1144"/>
      <c r="XBP285" s="1144"/>
      <c r="XBQ285" s="1144"/>
      <c r="XBR285" s="1144"/>
      <c r="XBS285" s="1144"/>
      <c r="XBT285" s="1144"/>
      <c r="XBU285" s="1144"/>
      <c r="XBV285" s="1144"/>
      <c r="XBW285" s="1144"/>
      <c r="XBX285" s="1144"/>
      <c r="XBY285" s="1144"/>
      <c r="XBZ285" s="1144"/>
      <c r="XCA285" s="1144"/>
      <c r="XCB285" s="1144"/>
      <c r="XCC285" s="1144"/>
      <c r="XCD285" s="1144"/>
      <c r="XCE285" s="1144"/>
      <c r="XCF285" s="1144"/>
      <c r="XCG285" s="1144"/>
      <c r="XCH285" s="1144"/>
      <c r="XCI285" s="1144"/>
      <c r="XCJ285" s="1144"/>
      <c r="XCK285" s="1144"/>
      <c r="XCL285" s="1144"/>
      <c r="XCM285" s="1144"/>
      <c r="XCN285" s="1144"/>
      <c r="XCO285" s="1144"/>
      <c r="XCP285" s="1144"/>
      <c r="XCQ285" s="1144"/>
      <c r="XCR285" s="1144"/>
      <c r="XCS285" s="1144"/>
      <c r="XCT285" s="1144"/>
      <c r="XCU285" s="1144"/>
      <c r="XCV285" s="1144"/>
      <c r="XCW285" s="1144"/>
      <c r="XCX285" s="1144"/>
      <c r="XCY285" s="1144"/>
      <c r="XCZ285" s="1144"/>
      <c r="XDA285" s="1144"/>
      <c r="XDB285" s="1144"/>
      <c r="XDC285" s="1144"/>
      <c r="XDD285" s="1144"/>
      <c r="XDE285" s="1144"/>
      <c r="XDF285" s="1144"/>
      <c r="XDG285" s="1144"/>
      <c r="XDH285" s="1144"/>
      <c r="XDI285" s="1144"/>
      <c r="XDJ285" s="1144"/>
      <c r="XDK285" s="1144"/>
      <c r="XDL285" s="1144"/>
      <c r="XDM285" s="1144"/>
      <c r="XDN285" s="1144"/>
      <c r="XDO285" s="1144"/>
      <c r="XDP285" s="1144"/>
      <c r="XDQ285" s="1144"/>
      <c r="XDR285" s="1144"/>
      <c r="XDS285" s="1144"/>
      <c r="XDT285" s="1144"/>
      <c r="XDU285" s="1144"/>
      <c r="XDV285" s="1144"/>
      <c r="XDW285" s="1144"/>
      <c r="XDX285" s="1144"/>
      <c r="XDY285" s="1144"/>
      <c r="XDZ285" s="1144"/>
      <c r="XEA285" s="1144"/>
      <c r="XEB285" s="1144"/>
      <c r="XEC285" s="1144"/>
    </row>
    <row r="286" spans="1:16357" ht="12.75" hidden="1" customHeight="1" outlineLevel="1" x14ac:dyDescent="0.35">
      <c r="A286" s="17" t="s">
        <v>599</v>
      </c>
      <c r="B286" s="85"/>
      <c r="C286" s="89"/>
      <c r="D286" s="90"/>
      <c r="E286" s="90"/>
      <c r="F286" s="92"/>
      <c r="G286" s="85"/>
      <c r="H286" s="89"/>
      <c r="I286" s="90"/>
      <c r="J286" s="90"/>
      <c r="K286" s="90"/>
      <c r="L286" s="85"/>
      <c r="M286" s="90"/>
      <c r="N286" s="90"/>
      <c r="O286" s="90"/>
      <c r="P286" s="90"/>
      <c r="Q286" s="85"/>
      <c r="R286" s="38"/>
      <c r="S286" s="38"/>
      <c r="T286" s="38"/>
      <c r="U286" s="39"/>
      <c r="V286" s="85"/>
      <c r="W286" s="38"/>
      <c r="X286" s="38"/>
      <c r="Y286" s="38"/>
      <c r="Z286" s="39"/>
      <c r="AA286" s="54"/>
      <c r="AB286" s="87"/>
      <c r="AC286" s="38"/>
      <c r="AD286" s="38"/>
      <c r="AE286" s="38"/>
      <c r="AF286" s="85"/>
      <c r="AG286" s="38"/>
      <c r="AH286" s="38"/>
      <c r="AI286" s="38"/>
      <c r="AJ286" s="38"/>
      <c r="AK286" s="85"/>
      <c r="AL286" s="38"/>
      <c r="AM286" s="38"/>
      <c r="AN286" s="38"/>
      <c r="AO286" s="38"/>
      <c r="AP286" s="85"/>
      <c r="AQ286" s="38"/>
      <c r="AR286" s="38"/>
      <c r="AS286" s="38"/>
      <c r="AT286" s="38"/>
      <c r="AU286" s="86"/>
      <c r="AV286" s="45"/>
      <c r="AW286" s="38"/>
      <c r="AX286" s="38"/>
      <c r="AY286" s="38"/>
      <c r="AZ286" s="38"/>
      <c r="BA286" s="85"/>
      <c r="BB286" s="38"/>
      <c r="BC286" s="38"/>
      <c r="BD286" s="38"/>
      <c r="BE286" s="38"/>
      <c r="BF286" s="85"/>
      <c r="BG286" s="38"/>
      <c r="BH286" s="38"/>
      <c r="BI286" s="38"/>
      <c r="BJ286" s="38"/>
      <c r="BK286" s="85"/>
      <c r="BL286" s="38">
        <v>431.15100000000001</v>
      </c>
      <c r="BM286" s="38">
        <v>468.59699999999998</v>
      </c>
      <c r="BN286" s="38">
        <v>473.64100000000002</v>
      </c>
      <c r="BO286" s="38">
        <v>498.90699999999998</v>
      </c>
      <c r="BP286" s="85">
        <f>SUM(BL286:BO286)</f>
        <v>1872.296</v>
      </c>
      <c r="BQ286" s="38">
        <v>452.35300000000001</v>
      </c>
      <c r="BR286" s="38">
        <v>511.76200000000006</v>
      </c>
      <c r="BS286" s="38">
        <v>534.45600000000002</v>
      </c>
      <c r="BT286" s="38">
        <v>529.70000000000005</v>
      </c>
      <c r="BU286" s="85">
        <f>SUM(BQ286:BT286)</f>
        <v>2028.271</v>
      </c>
      <c r="BV286" s="1070">
        <v>471.05961889539788</v>
      </c>
      <c r="BW286" s="1070">
        <v>524.78747517963666</v>
      </c>
      <c r="BX286" s="1070">
        <v>553.59721687904812</v>
      </c>
      <c r="BY286" s="1070">
        <v>563.79337165483378</v>
      </c>
      <c r="BZ286" s="85">
        <f>SUM(BV286:BY286)</f>
        <v>2113.2376826089162</v>
      </c>
      <c r="CA286" s="38">
        <v>471.05961889539788</v>
      </c>
      <c r="CB286" s="38">
        <v>524.78747517963666</v>
      </c>
      <c r="CC286" s="38">
        <v>553.59721687904812</v>
      </c>
      <c r="CD286" s="38">
        <v>563.79337165483378</v>
      </c>
      <c r="CE286" s="85">
        <f>SUM(CA286:CD286)</f>
        <v>2113.2376826089162</v>
      </c>
      <c r="CF286" s="38">
        <v>518.98181746167938</v>
      </c>
      <c r="CG286" s="38">
        <v>553.30663194217823</v>
      </c>
      <c r="CH286" s="38">
        <v>580.21926193547165</v>
      </c>
      <c r="CI286" s="38">
        <v>584.34877468216507</v>
      </c>
      <c r="CJ286" s="85">
        <f>SUM(CF286:CI286)</f>
        <v>2236.8564860214942</v>
      </c>
      <c r="CK286" s="38">
        <v>526.98624028106804</v>
      </c>
      <c r="CL286" s="38">
        <v>565.20547861212947</v>
      </c>
      <c r="CM286" s="38">
        <v>599.78246677254617</v>
      </c>
      <c r="CN286" s="38">
        <v>605.00595624610276</v>
      </c>
      <c r="CO286" s="85">
        <f>SUM(CK286:CN286)</f>
        <v>2296.9801419118467</v>
      </c>
      <c r="CP286" s="38">
        <v>541.91691550656549</v>
      </c>
      <c r="CQ286" s="38">
        <v>582.13793220054629</v>
      </c>
      <c r="CR286" s="38">
        <v>614.97153981751285</v>
      </c>
      <c r="CS286" s="38">
        <v>612.95695260226466</v>
      </c>
      <c r="CT286" s="85">
        <f>SUM(CP286:CS286)</f>
        <v>2351.9833401268893</v>
      </c>
      <c r="CU286" s="38">
        <v>552.88526434859671</v>
      </c>
      <c r="CV286" s="38">
        <v>594.05716212694733</v>
      </c>
      <c r="CW286" s="38">
        <v>627.8655778281709</v>
      </c>
      <c r="CX286" s="38">
        <v>629.04687936817731</v>
      </c>
      <c r="CY286" s="85">
        <f>SUM(CU286:CX286)</f>
        <v>2403.8548836718919</v>
      </c>
      <c r="CZ286" s="38">
        <v>574.25299322731883</v>
      </c>
      <c r="DA286" s="38">
        <v>610.22043635621048</v>
      </c>
      <c r="DB286" s="38">
        <v>645.33226384966736</v>
      </c>
      <c r="DC286" s="38">
        <v>647.32811255341085</v>
      </c>
      <c r="DD286" s="85">
        <f>SUM(CZ286:DC286)</f>
        <v>2477.1338059866075</v>
      </c>
      <c r="DE286" s="38">
        <v>585.36555446885848</v>
      </c>
      <c r="DF286" s="38">
        <v>628.92122910764863</v>
      </c>
      <c r="DG286" s="38">
        <v>665.08382657541915</v>
      </c>
      <c r="DH286" s="38">
        <v>667.51708236109141</v>
      </c>
      <c r="DI286" s="85">
        <f>SUM(DE286:DH286)</f>
        <v>2546.8876925130176</v>
      </c>
      <c r="DJ286" s="38">
        <v>604.92490006532057</v>
      </c>
      <c r="DK286" s="38">
        <v>651.09321040178486</v>
      </c>
      <c r="DL286" s="38">
        <v>689.74114842966696</v>
      </c>
      <c r="DM286" s="38">
        <v>692.62743263105472</v>
      </c>
      <c r="DN286" s="85">
        <f>SUM(DJ286:DM286)</f>
        <v>2638.3866915278272</v>
      </c>
      <c r="DO286" s="38"/>
      <c r="DP286" s="38"/>
      <c r="DQ286" s="38"/>
      <c r="DR286" s="38"/>
      <c r="DS286" s="85"/>
      <c r="DT286" s="38"/>
      <c r="DU286" s="38"/>
      <c r="DV286" s="38"/>
      <c r="DW286" s="38"/>
      <c r="DX286" s="85"/>
      <c r="DY286" s="38"/>
      <c r="DZ286" s="38"/>
      <c r="EA286" s="38"/>
      <c r="EB286" s="38"/>
      <c r="EC286" s="85"/>
      <c r="ED286" s="46"/>
      <c r="EE286" s="37"/>
      <c r="EF286" s="286"/>
      <c r="EG286" s="25"/>
      <c r="EH286" s="25"/>
      <c r="EI286" s="25"/>
      <c r="EJ286" s="25"/>
      <c r="EK286" s="25"/>
      <c r="EL286" s="25"/>
      <c r="EM286" s="25"/>
      <c r="EN286" s="25"/>
      <c r="EO286" s="25"/>
      <c r="EP286" s="25"/>
      <c r="EQ286" s="25"/>
      <c r="ER286" s="25"/>
      <c r="ES286" s="25"/>
      <c r="ET286" s="25"/>
      <c r="EU286" s="25"/>
      <c r="EX286" s="25"/>
      <c r="EY286" s="294"/>
      <c r="EZ286" s="985"/>
      <c r="FA286" s="985"/>
      <c r="FB286" s="294"/>
      <c r="FC286" s="985"/>
      <c r="FD286" s="25"/>
      <c r="FK286" s="1069"/>
      <c r="FL286" s="1069"/>
      <c r="FM286" s="1069"/>
      <c r="FN286" s="1069"/>
      <c r="FO286" s="1069"/>
      <c r="FP286" s="1069"/>
      <c r="FQ286" s="1069"/>
      <c r="FR286" s="1069"/>
      <c r="FS286" s="1069"/>
      <c r="FT286" s="1069"/>
      <c r="FU286" s="1069"/>
      <c r="FV286" s="1069"/>
      <c r="FW286" s="1069"/>
      <c r="FX286" s="1069"/>
      <c r="FY286" s="1069"/>
      <c r="FZ286" s="1069"/>
      <c r="GA286" s="1069"/>
      <c r="GB286" s="1069"/>
      <c r="GC286" s="1069"/>
      <c r="GD286" s="1069"/>
      <c r="GE286" s="1069"/>
      <c r="GF286" s="1069"/>
      <c r="GG286" s="1069"/>
      <c r="GH286" s="1069"/>
      <c r="GI286" s="1069"/>
      <c r="GJ286" s="1069"/>
      <c r="GK286" s="1069"/>
      <c r="GL286" s="1069"/>
      <c r="GM286" s="1069"/>
      <c r="GN286" s="1069"/>
      <c r="GO286" s="1069"/>
      <c r="GP286" s="1069"/>
      <c r="GQ286" s="1069"/>
      <c r="GR286" s="1069"/>
      <c r="GS286" s="1069"/>
      <c r="GT286" s="1069"/>
      <c r="GU286" s="1069"/>
      <c r="GV286" s="1069"/>
      <c r="GW286" s="1069"/>
      <c r="GX286" s="1069"/>
      <c r="GY286" s="1069"/>
      <c r="GZ286" s="1069"/>
      <c r="HA286" s="1069"/>
      <c r="HB286" s="1069"/>
      <c r="HC286" s="1069"/>
      <c r="HD286" s="1069"/>
      <c r="HE286" s="1069"/>
      <c r="HF286" s="1069"/>
      <c r="HG286" s="1069"/>
      <c r="HH286" s="1069"/>
      <c r="HI286" s="1069"/>
      <c r="HJ286" s="1069"/>
      <c r="HK286" s="1069"/>
      <c r="HL286" s="1069"/>
      <c r="HM286" s="1069"/>
      <c r="HN286" s="1069"/>
      <c r="HO286" s="1069"/>
      <c r="HP286" s="1069"/>
      <c r="HQ286" s="1069"/>
      <c r="HR286" s="1069"/>
      <c r="HS286" s="1069"/>
      <c r="HT286" s="1069"/>
      <c r="HU286" s="1069"/>
      <c r="HV286" s="1069"/>
      <c r="HW286" s="1069"/>
      <c r="HX286" s="1069"/>
      <c r="HY286" s="1069"/>
      <c r="HZ286" s="1069"/>
      <c r="IA286" s="1069"/>
      <c r="IB286" s="1069"/>
      <c r="IC286" s="1069"/>
      <c r="ID286" s="1069"/>
      <c r="IE286" s="1069"/>
      <c r="IF286" s="1069"/>
      <c r="IG286" s="1069"/>
      <c r="IH286" s="1069"/>
      <c r="II286" s="1069"/>
      <c r="IJ286" s="1069"/>
      <c r="IK286" s="1069"/>
      <c r="IL286" s="1069"/>
      <c r="IM286" s="1069"/>
      <c r="IN286" s="1069"/>
      <c r="IO286" s="1069"/>
      <c r="IP286" s="1069"/>
      <c r="IQ286" s="1069"/>
      <c r="IR286" s="1069"/>
      <c r="IS286" s="1069"/>
      <c r="IT286" s="1069"/>
      <c r="IU286" s="1069"/>
      <c r="IV286" s="1069"/>
      <c r="IW286" s="1069"/>
      <c r="IX286" s="1069"/>
      <c r="IY286" s="1069"/>
      <c r="IZ286" s="1069"/>
      <c r="JA286" s="1069"/>
      <c r="JB286" s="1069"/>
      <c r="JC286" s="1069"/>
      <c r="JD286" s="1069"/>
      <c r="JE286" s="1069"/>
      <c r="JF286" s="1069"/>
      <c r="JG286" s="1069"/>
      <c r="JH286" s="1069"/>
      <c r="JI286" s="1069"/>
      <c r="JJ286" s="1069"/>
      <c r="JK286" s="1069"/>
      <c r="JL286" s="1069"/>
      <c r="JM286" s="1069"/>
      <c r="JN286" s="1069"/>
      <c r="JO286" s="1069"/>
      <c r="JP286" s="1069"/>
      <c r="JQ286" s="1069"/>
      <c r="JR286" s="1069"/>
      <c r="JS286" s="1069"/>
      <c r="JT286" s="1069"/>
      <c r="JU286" s="1069"/>
      <c r="JV286" s="1069"/>
      <c r="JW286" s="1069"/>
      <c r="JX286" s="1069"/>
      <c r="JY286" s="1069"/>
      <c r="JZ286" s="1069"/>
      <c r="KA286" s="1069"/>
      <c r="KB286" s="1069"/>
      <c r="KC286" s="1069"/>
      <c r="KD286" s="1069"/>
      <c r="KE286" s="1069"/>
      <c r="KF286" s="1069"/>
      <c r="KG286" s="1069"/>
      <c r="KH286" s="1069"/>
      <c r="KI286" s="1069"/>
      <c r="KJ286" s="1069"/>
      <c r="KK286" s="1069"/>
      <c r="KL286" s="1069"/>
      <c r="KM286" s="1069"/>
      <c r="KN286" s="1069"/>
      <c r="KO286" s="1069"/>
      <c r="KP286" s="1069"/>
      <c r="KQ286" s="1069"/>
      <c r="KR286" s="1069"/>
      <c r="KS286" s="1069"/>
      <c r="KT286" s="1069"/>
      <c r="KU286" s="1069"/>
      <c r="KV286" s="1069"/>
      <c r="KW286" s="1069"/>
      <c r="KX286" s="1069"/>
      <c r="KY286" s="1069"/>
      <c r="KZ286" s="1069"/>
      <c r="LA286" s="1069"/>
      <c r="LB286" s="1069"/>
      <c r="LC286" s="1069"/>
      <c r="LD286" s="1069"/>
      <c r="LE286" s="1069"/>
      <c r="LF286" s="1069"/>
      <c r="LG286" s="1069"/>
      <c r="LH286" s="1069"/>
      <c r="LI286" s="1069"/>
      <c r="LJ286" s="1069"/>
      <c r="LK286" s="1069"/>
      <c r="LL286" s="1069"/>
      <c r="LM286" s="1069"/>
      <c r="LN286" s="1069"/>
      <c r="LO286" s="1069"/>
      <c r="LP286" s="1069"/>
      <c r="LQ286" s="1069"/>
      <c r="LR286" s="1069"/>
      <c r="LS286" s="1069"/>
      <c r="LT286" s="1069"/>
      <c r="LU286" s="1069"/>
      <c r="LV286" s="1069"/>
      <c r="LW286" s="1069"/>
      <c r="LX286" s="1069"/>
      <c r="LY286" s="1069"/>
      <c r="LZ286" s="1069"/>
      <c r="MA286" s="1069"/>
      <c r="MB286" s="1069"/>
      <c r="MC286" s="1069"/>
      <c r="MD286" s="1069"/>
      <c r="ME286" s="1069"/>
      <c r="MF286" s="1069"/>
      <c r="MG286" s="1069"/>
      <c r="MH286" s="1069"/>
      <c r="MI286" s="1069"/>
      <c r="MJ286" s="1069"/>
      <c r="MK286" s="1069"/>
      <c r="ML286" s="1069"/>
      <c r="MM286" s="1069"/>
      <c r="MN286" s="1069"/>
      <c r="MO286" s="1069"/>
      <c r="MP286" s="1069"/>
      <c r="MQ286" s="1069"/>
      <c r="MR286" s="1069"/>
      <c r="MS286" s="1069"/>
      <c r="MT286" s="1069"/>
      <c r="MU286" s="1069"/>
      <c r="MV286" s="1069"/>
      <c r="MW286" s="1069"/>
      <c r="MX286" s="1069"/>
      <c r="MY286" s="1069"/>
      <c r="MZ286" s="1069"/>
      <c r="NA286" s="1069"/>
      <c r="NB286" s="1069"/>
      <c r="NC286" s="1069"/>
      <c r="ND286" s="1069"/>
      <c r="NE286" s="1069"/>
      <c r="NF286" s="1069"/>
      <c r="NG286" s="1069"/>
      <c r="NH286" s="1069"/>
      <c r="NI286" s="1069"/>
      <c r="NJ286" s="1069"/>
      <c r="NK286" s="1069"/>
      <c r="NL286" s="1069"/>
      <c r="NM286" s="1069"/>
      <c r="NN286" s="1069"/>
      <c r="NO286" s="1069"/>
      <c r="NP286" s="1069"/>
      <c r="NQ286" s="1069"/>
      <c r="NR286" s="1069"/>
      <c r="NS286" s="1069"/>
      <c r="NT286" s="1069"/>
      <c r="NU286" s="1069"/>
      <c r="NV286" s="1069"/>
      <c r="NW286" s="1069"/>
      <c r="NX286" s="1069"/>
      <c r="NY286" s="1069"/>
      <c r="NZ286" s="1069"/>
      <c r="OA286" s="1069"/>
      <c r="OB286" s="1069"/>
      <c r="OC286" s="1069"/>
      <c r="OD286" s="1069"/>
      <c r="OE286" s="1069"/>
      <c r="OF286" s="1069"/>
      <c r="OG286" s="1069"/>
      <c r="OH286" s="1069"/>
      <c r="OI286" s="1069"/>
      <c r="OJ286" s="1069"/>
      <c r="OK286" s="1069"/>
      <c r="OL286" s="1069"/>
      <c r="OM286" s="1069"/>
      <c r="ON286" s="1069"/>
      <c r="OO286" s="1069"/>
      <c r="OP286" s="1069"/>
      <c r="OQ286" s="1069"/>
      <c r="OR286" s="1069"/>
      <c r="OS286" s="1069"/>
      <c r="OT286" s="1069"/>
      <c r="OU286" s="1069"/>
      <c r="OV286" s="1069"/>
      <c r="OW286" s="1069"/>
      <c r="OX286" s="1069"/>
      <c r="OY286" s="1069"/>
      <c r="OZ286" s="1069"/>
      <c r="PA286" s="1069"/>
      <c r="PB286" s="1069"/>
      <c r="PC286" s="1069"/>
      <c r="PD286" s="1069"/>
      <c r="PE286" s="1069"/>
      <c r="PF286" s="1069"/>
      <c r="PG286" s="1069"/>
      <c r="PH286" s="1069"/>
      <c r="PI286" s="1069"/>
      <c r="PJ286" s="1069"/>
      <c r="PK286" s="1069"/>
      <c r="PL286" s="1069"/>
      <c r="PM286" s="1069"/>
      <c r="PN286" s="1069"/>
      <c r="PO286" s="1069"/>
      <c r="PP286" s="1069"/>
      <c r="PQ286" s="1069"/>
      <c r="PR286" s="1069"/>
      <c r="PS286" s="1069"/>
      <c r="PT286" s="1069"/>
      <c r="PU286" s="1069"/>
      <c r="PV286" s="1069"/>
      <c r="PW286" s="1069"/>
      <c r="PX286" s="1069"/>
      <c r="PY286" s="1069"/>
      <c r="PZ286" s="1069"/>
      <c r="QA286" s="1069"/>
      <c r="QB286" s="1069"/>
      <c r="QC286" s="1069"/>
      <c r="QD286" s="1069"/>
      <c r="QE286" s="1069"/>
      <c r="QF286" s="1069"/>
      <c r="QG286" s="1069"/>
      <c r="QH286" s="1069"/>
      <c r="QI286" s="1069"/>
      <c r="QJ286" s="1069"/>
      <c r="QK286" s="1069"/>
      <c r="QL286" s="1069"/>
      <c r="QM286" s="1069"/>
      <c r="QN286" s="1069"/>
      <c r="QO286" s="1069"/>
      <c r="QP286" s="1069"/>
      <c r="QQ286" s="1069"/>
      <c r="QR286" s="1069"/>
      <c r="QS286" s="1069"/>
      <c r="QT286" s="1069"/>
      <c r="QU286" s="1069"/>
      <c r="QV286" s="1069"/>
      <c r="QW286" s="1069"/>
      <c r="QX286" s="1069"/>
      <c r="QY286" s="1069"/>
      <c r="QZ286" s="1069"/>
      <c r="RA286" s="1069"/>
      <c r="RB286" s="1069"/>
      <c r="RC286" s="1069"/>
      <c r="RD286" s="1069"/>
      <c r="RE286" s="1069"/>
      <c r="RF286" s="1069"/>
      <c r="RG286" s="1069"/>
      <c r="RH286" s="1069"/>
      <c r="RI286" s="1069"/>
      <c r="RJ286" s="1069"/>
      <c r="RK286" s="1069"/>
      <c r="RL286" s="1069"/>
      <c r="RM286" s="1069"/>
      <c r="RN286" s="1069"/>
      <c r="RO286" s="1069"/>
      <c r="RP286" s="1069"/>
      <c r="RQ286" s="1069"/>
      <c r="RR286" s="1069"/>
      <c r="RS286" s="1069"/>
      <c r="RT286" s="1069"/>
      <c r="RU286" s="1069"/>
      <c r="RV286" s="1069"/>
      <c r="RW286" s="1069"/>
      <c r="RX286" s="1069"/>
      <c r="RY286" s="1069"/>
      <c r="RZ286" s="1069"/>
      <c r="SA286" s="1069"/>
      <c r="SB286" s="1069"/>
      <c r="SC286" s="1069"/>
      <c r="SD286" s="1069"/>
      <c r="SE286" s="1069"/>
      <c r="SF286" s="1069"/>
      <c r="SG286" s="1069"/>
      <c r="SH286" s="1069"/>
      <c r="SI286" s="1069"/>
      <c r="SJ286" s="1069"/>
      <c r="SK286" s="1069"/>
      <c r="SL286" s="1069"/>
      <c r="SM286" s="1069"/>
      <c r="SN286" s="1069"/>
      <c r="SO286" s="1069"/>
      <c r="SP286" s="1069"/>
      <c r="SQ286" s="1069"/>
      <c r="SR286" s="1069"/>
      <c r="SS286" s="1069"/>
      <c r="ST286" s="1069"/>
      <c r="SU286" s="1069"/>
      <c r="SV286" s="1069"/>
      <c r="SW286" s="1069"/>
      <c r="SX286" s="1069"/>
      <c r="SY286" s="1069"/>
      <c r="SZ286" s="1069"/>
      <c r="TA286" s="1069"/>
      <c r="TB286" s="1069"/>
      <c r="TC286" s="1069"/>
      <c r="TD286" s="1069"/>
      <c r="TE286" s="1069"/>
      <c r="TF286" s="1069"/>
      <c r="TG286" s="1069"/>
      <c r="TH286" s="1069"/>
      <c r="TI286" s="1069"/>
      <c r="TJ286" s="1069"/>
      <c r="TK286" s="1069"/>
      <c r="TL286" s="1069"/>
      <c r="TM286" s="1069"/>
      <c r="TN286" s="1069"/>
      <c r="TO286" s="1069"/>
      <c r="TP286" s="1069"/>
      <c r="TQ286" s="1069"/>
      <c r="TR286" s="1069"/>
      <c r="TS286" s="1069"/>
      <c r="TT286" s="1069"/>
      <c r="TU286" s="1069"/>
      <c r="TV286" s="1069"/>
      <c r="TW286" s="1069"/>
      <c r="TX286" s="1069"/>
      <c r="TY286" s="1069"/>
      <c r="TZ286" s="1069"/>
      <c r="UA286" s="1069"/>
      <c r="UB286" s="1069"/>
      <c r="UC286" s="1069"/>
      <c r="UD286" s="1069"/>
      <c r="UE286" s="1069"/>
      <c r="UF286" s="1069"/>
      <c r="UG286" s="1069"/>
      <c r="UH286" s="1069"/>
      <c r="UI286" s="1069"/>
      <c r="UJ286" s="1069"/>
      <c r="UK286" s="1069"/>
      <c r="UL286" s="1069"/>
      <c r="UM286" s="1069"/>
      <c r="UN286" s="1069"/>
      <c r="UO286" s="1069"/>
      <c r="UP286" s="1069"/>
      <c r="UQ286" s="1069"/>
      <c r="UR286" s="1069"/>
      <c r="US286" s="1069"/>
      <c r="UT286" s="1069"/>
      <c r="UU286" s="1069"/>
      <c r="UV286" s="1069"/>
      <c r="UW286" s="1069"/>
      <c r="UX286" s="1069"/>
      <c r="UY286" s="1069"/>
      <c r="UZ286" s="1069"/>
      <c r="VA286" s="1069"/>
      <c r="VB286" s="1069"/>
      <c r="VC286" s="1069"/>
      <c r="VD286" s="1069"/>
      <c r="VE286" s="1069"/>
      <c r="VF286" s="1069"/>
      <c r="VG286" s="1069"/>
      <c r="VH286" s="1069"/>
      <c r="VI286" s="1069"/>
      <c r="VJ286" s="1069"/>
      <c r="VK286" s="1069"/>
      <c r="VL286" s="1069"/>
      <c r="VM286" s="1069"/>
      <c r="VN286" s="1069"/>
      <c r="VO286" s="1069"/>
      <c r="VP286" s="1069"/>
      <c r="VQ286" s="1069"/>
      <c r="VR286" s="1069"/>
      <c r="VS286" s="1069"/>
      <c r="VT286" s="1069"/>
      <c r="VU286" s="1069"/>
      <c r="VV286" s="1069"/>
      <c r="VW286" s="1069"/>
      <c r="VX286" s="1069"/>
      <c r="VY286" s="1069"/>
      <c r="VZ286" s="1069"/>
      <c r="WA286" s="1069"/>
      <c r="WB286" s="1069"/>
      <c r="WC286" s="1069"/>
      <c r="WD286" s="1069"/>
      <c r="WE286" s="1069"/>
      <c r="WF286" s="1069"/>
      <c r="WG286" s="1069"/>
      <c r="WH286" s="1069"/>
      <c r="WI286" s="1069"/>
      <c r="WJ286" s="1069"/>
      <c r="WK286" s="1069"/>
      <c r="WL286" s="1069"/>
      <c r="WM286" s="1069"/>
      <c r="WN286" s="1069"/>
      <c r="WO286" s="1069"/>
      <c r="WP286" s="1069"/>
      <c r="WQ286" s="1069"/>
      <c r="WR286" s="1069"/>
      <c r="WS286" s="1069"/>
      <c r="WT286" s="1069"/>
      <c r="WU286" s="1069"/>
      <c r="WV286" s="1069"/>
      <c r="WW286" s="1069"/>
      <c r="WX286" s="1069"/>
      <c r="WY286" s="1069"/>
      <c r="WZ286" s="1069"/>
      <c r="XA286" s="1069"/>
      <c r="XB286" s="1069"/>
      <c r="XC286" s="1069"/>
      <c r="XD286" s="1069"/>
      <c r="XE286" s="1069"/>
      <c r="XF286" s="1069"/>
      <c r="XG286" s="1069"/>
      <c r="XH286" s="1069"/>
      <c r="XI286" s="1069"/>
      <c r="XJ286" s="1069"/>
      <c r="XK286" s="1069"/>
      <c r="XL286" s="1069"/>
      <c r="XM286" s="1069"/>
      <c r="XN286" s="1069"/>
      <c r="XO286" s="1069"/>
      <c r="XP286" s="1069"/>
      <c r="XQ286" s="1069"/>
      <c r="XR286" s="1069"/>
      <c r="XS286" s="1069"/>
      <c r="XT286" s="1069"/>
      <c r="XU286" s="1069"/>
      <c r="XV286" s="1069"/>
      <c r="XW286" s="1069"/>
      <c r="XX286" s="1069"/>
      <c r="XY286" s="1069"/>
      <c r="XZ286" s="1069"/>
      <c r="YA286" s="1069"/>
      <c r="YB286" s="1069"/>
      <c r="YC286" s="1069"/>
      <c r="YD286" s="1069"/>
      <c r="YE286" s="1069"/>
      <c r="YF286" s="1069"/>
      <c r="YG286" s="1069"/>
      <c r="YH286" s="1069"/>
      <c r="YI286" s="1069"/>
      <c r="YJ286" s="1069"/>
      <c r="YK286" s="1069"/>
      <c r="YL286" s="1069"/>
      <c r="YM286" s="1069"/>
      <c r="YN286" s="1069"/>
      <c r="YO286" s="1069"/>
      <c r="YP286" s="1069"/>
      <c r="YQ286" s="1069"/>
      <c r="YR286" s="1069"/>
      <c r="YS286" s="1069"/>
      <c r="YT286" s="1069"/>
      <c r="YU286" s="1069"/>
      <c r="YV286" s="1069"/>
      <c r="YW286" s="1069"/>
      <c r="YX286" s="1069"/>
      <c r="YY286" s="1069"/>
      <c r="YZ286" s="1069"/>
      <c r="ZA286" s="1069"/>
      <c r="ZB286" s="1069"/>
      <c r="ZC286" s="1069"/>
      <c r="ZD286" s="1069"/>
      <c r="ZE286" s="1069"/>
      <c r="ZF286" s="1069"/>
      <c r="ZG286" s="1069"/>
      <c r="ZH286" s="1069"/>
      <c r="ZI286" s="1069"/>
      <c r="ZJ286" s="1069"/>
      <c r="ZK286" s="1069"/>
      <c r="ZL286" s="1069"/>
      <c r="ZM286" s="1069"/>
      <c r="ZN286" s="1069"/>
      <c r="ZO286" s="1069"/>
      <c r="ZP286" s="1069"/>
      <c r="ZQ286" s="1069"/>
      <c r="ZR286" s="1069"/>
      <c r="ZS286" s="1069"/>
      <c r="ZT286" s="1069"/>
      <c r="ZU286" s="1069"/>
      <c r="ZV286" s="1069"/>
      <c r="ZW286" s="1069"/>
      <c r="ZX286" s="1069"/>
      <c r="ZY286" s="1069"/>
      <c r="ZZ286" s="1069"/>
      <c r="AAA286" s="1069"/>
      <c r="AAB286" s="1069"/>
      <c r="AAC286" s="1069"/>
      <c r="AAD286" s="1069"/>
      <c r="AAE286" s="1069"/>
      <c r="AAF286" s="1069"/>
      <c r="AAG286" s="1069"/>
      <c r="AAH286" s="1069"/>
      <c r="AAI286" s="1069"/>
      <c r="AAJ286" s="1069"/>
      <c r="AAK286" s="1069"/>
      <c r="AAL286" s="1069"/>
      <c r="AAM286" s="1069"/>
      <c r="AAN286" s="1069"/>
      <c r="AAO286" s="1069"/>
      <c r="AAP286" s="1069"/>
      <c r="AAQ286" s="1069"/>
      <c r="AAR286" s="1069"/>
      <c r="AAS286" s="1069"/>
      <c r="AAT286" s="1069"/>
      <c r="AAU286" s="1069"/>
      <c r="AAV286" s="1069"/>
      <c r="AAW286" s="1069"/>
      <c r="AAX286" s="1069"/>
      <c r="AAY286" s="1069"/>
      <c r="AAZ286" s="1069"/>
      <c r="ABA286" s="1069"/>
      <c r="ABB286" s="1069"/>
      <c r="ABC286" s="1069"/>
      <c r="ABD286" s="1069"/>
      <c r="ABE286" s="1069"/>
      <c r="ABF286" s="1069"/>
      <c r="ABG286" s="1069"/>
      <c r="ABH286" s="1069"/>
      <c r="ABI286" s="1069"/>
      <c r="ABJ286" s="1069"/>
      <c r="ABK286" s="1069"/>
      <c r="ABL286" s="1069"/>
      <c r="ABM286" s="1069"/>
      <c r="ABN286" s="1069"/>
      <c r="ABO286" s="1069"/>
      <c r="ABP286" s="1069"/>
      <c r="ABQ286" s="1069"/>
      <c r="ABR286" s="1069"/>
      <c r="ABS286" s="1069"/>
      <c r="ABT286" s="1069"/>
      <c r="ABU286" s="1069"/>
      <c r="ABV286" s="1069"/>
      <c r="ABW286" s="1069"/>
      <c r="ABX286" s="1069"/>
      <c r="ABY286" s="1069"/>
      <c r="ABZ286" s="1069"/>
      <c r="ACA286" s="1069"/>
      <c r="ACB286" s="1069"/>
      <c r="ACC286" s="1069"/>
      <c r="ACD286" s="1069"/>
      <c r="ACE286" s="1069"/>
      <c r="ACF286" s="1069"/>
      <c r="ACG286" s="1069"/>
      <c r="ACH286" s="1069"/>
      <c r="ACI286" s="1069"/>
      <c r="ACJ286" s="1069"/>
      <c r="ACK286" s="1069"/>
      <c r="ACL286" s="1069"/>
      <c r="ACM286" s="1069"/>
      <c r="ACN286" s="1069"/>
      <c r="ACO286" s="1069"/>
      <c r="ACP286" s="1069"/>
      <c r="ACQ286" s="1069"/>
      <c r="ACR286" s="1069"/>
      <c r="ACS286" s="1069"/>
      <c r="ACT286" s="1069"/>
      <c r="ACU286" s="1069"/>
      <c r="ACV286" s="1069"/>
      <c r="ACW286" s="1069"/>
      <c r="ACX286" s="1069"/>
      <c r="ACY286" s="1069"/>
      <c r="ACZ286" s="1069"/>
      <c r="ADA286" s="1069"/>
      <c r="ADB286" s="1069"/>
      <c r="ADC286" s="1069"/>
      <c r="ADD286" s="1069"/>
      <c r="ADE286" s="1069"/>
      <c r="ADF286" s="1069"/>
      <c r="ADG286" s="1069"/>
      <c r="ADH286" s="1069"/>
      <c r="ADI286" s="1069"/>
      <c r="ADJ286" s="1069"/>
      <c r="ADK286" s="1069"/>
      <c r="ADL286" s="1069"/>
      <c r="ADM286" s="1069"/>
      <c r="ADN286" s="1069"/>
      <c r="ADO286" s="1069"/>
      <c r="ADP286" s="1069"/>
      <c r="ADQ286" s="1069"/>
      <c r="ADR286" s="1069"/>
      <c r="ADS286" s="1069"/>
      <c r="ADT286" s="1069"/>
      <c r="ADU286" s="1069"/>
      <c r="ADV286" s="1069"/>
      <c r="ADW286" s="1069"/>
      <c r="ADX286" s="1069"/>
      <c r="ADY286" s="1069"/>
      <c r="ADZ286" s="1069"/>
      <c r="AEA286" s="1069"/>
      <c r="AEB286" s="1069"/>
      <c r="AEC286" s="1069"/>
      <c r="AED286" s="1069"/>
      <c r="AEE286" s="1069"/>
      <c r="AEF286" s="1069"/>
      <c r="AEG286" s="1069"/>
      <c r="AEH286" s="1069"/>
      <c r="AEI286" s="1069"/>
      <c r="AEJ286" s="1069"/>
      <c r="AEK286" s="1069"/>
      <c r="AEL286" s="1069"/>
      <c r="AEM286" s="1069"/>
      <c r="AEN286" s="1069"/>
      <c r="AEO286" s="1069"/>
      <c r="AEP286" s="1069"/>
      <c r="AEQ286" s="1069"/>
      <c r="AER286" s="1069"/>
      <c r="AES286" s="1069"/>
      <c r="AET286" s="1069"/>
      <c r="AEU286" s="1069"/>
      <c r="AEV286" s="1069"/>
      <c r="AEW286" s="1069"/>
      <c r="AEX286" s="1069"/>
      <c r="AEY286" s="1069"/>
      <c r="AEZ286" s="1069"/>
      <c r="AFA286" s="1069"/>
      <c r="AFB286" s="1069"/>
      <c r="AFC286" s="1069"/>
      <c r="AFD286" s="1069"/>
      <c r="AFE286" s="1069"/>
      <c r="AFF286" s="1069"/>
      <c r="AFG286" s="1069"/>
      <c r="AFH286" s="1069"/>
      <c r="AFI286" s="1069"/>
      <c r="AFJ286" s="1069"/>
      <c r="AFK286" s="1069"/>
      <c r="AFL286" s="1069"/>
      <c r="AFM286" s="1069"/>
      <c r="AFN286" s="1069"/>
      <c r="AFO286" s="1069"/>
      <c r="AFP286" s="1069"/>
      <c r="AFQ286" s="1069"/>
      <c r="AFR286" s="1069"/>
      <c r="AFS286" s="1069"/>
      <c r="AFT286" s="1069"/>
      <c r="AFU286" s="1069"/>
      <c r="AFV286" s="1069"/>
      <c r="AFW286" s="1069"/>
      <c r="AFX286" s="1069"/>
      <c r="AFY286" s="1069"/>
      <c r="AFZ286" s="1069"/>
      <c r="AGA286" s="1069"/>
      <c r="AGB286" s="1069"/>
      <c r="AGC286" s="1069"/>
      <c r="AGD286" s="1069"/>
      <c r="AGE286" s="1069"/>
      <c r="AGF286" s="1069"/>
      <c r="AGG286" s="1069"/>
      <c r="AGH286" s="1069"/>
      <c r="AGI286" s="1069"/>
      <c r="AGJ286" s="1069"/>
      <c r="AGK286" s="1069"/>
      <c r="AGL286" s="1069"/>
      <c r="AGM286" s="1069"/>
      <c r="AGN286" s="1069"/>
      <c r="AGO286" s="1069"/>
      <c r="AGP286" s="1069"/>
      <c r="AGQ286" s="1069"/>
      <c r="AGR286" s="1069"/>
      <c r="AGS286" s="1069"/>
      <c r="AGT286" s="1069"/>
      <c r="AGU286" s="1069"/>
      <c r="AGV286" s="1069"/>
      <c r="AGW286" s="1069"/>
      <c r="AGX286" s="1069"/>
      <c r="AGY286" s="1069"/>
      <c r="AGZ286" s="1069"/>
      <c r="AHA286" s="1069"/>
      <c r="AHB286" s="1069"/>
      <c r="AHC286" s="1069"/>
      <c r="AHD286" s="1069"/>
      <c r="AHE286" s="1069"/>
      <c r="AHF286" s="1069"/>
      <c r="AHG286" s="1069"/>
      <c r="AHH286" s="1069"/>
      <c r="AHI286" s="1069"/>
      <c r="AHJ286" s="1069"/>
      <c r="AHK286" s="1069"/>
      <c r="AHL286" s="1069"/>
      <c r="AHM286" s="1069"/>
      <c r="AHN286" s="1069"/>
      <c r="AHO286" s="1069"/>
      <c r="AHP286" s="1069"/>
      <c r="AHQ286" s="1069"/>
      <c r="AHR286" s="1069"/>
      <c r="AHS286" s="1069"/>
      <c r="AHT286" s="1069"/>
      <c r="AHU286" s="1069"/>
      <c r="AHV286" s="1069"/>
      <c r="AHW286" s="1069"/>
      <c r="AHX286" s="1069"/>
      <c r="AHY286" s="1069"/>
      <c r="AHZ286" s="1069"/>
      <c r="AIA286" s="1069"/>
      <c r="AIB286" s="1069"/>
      <c r="AIC286" s="1069"/>
      <c r="AID286" s="1069"/>
      <c r="AIE286" s="1069"/>
      <c r="AIF286" s="1069"/>
      <c r="AIG286" s="1069"/>
      <c r="AIH286" s="1069"/>
      <c r="AII286" s="1069"/>
      <c r="AIJ286" s="1069"/>
      <c r="AIK286" s="1069"/>
      <c r="AIL286" s="1069"/>
      <c r="AIM286" s="1069"/>
      <c r="AIN286" s="1069"/>
      <c r="AIO286" s="1069"/>
      <c r="AIP286" s="1069"/>
      <c r="AIQ286" s="1069"/>
      <c r="AIR286" s="1069"/>
      <c r="AIS286" s="1069"/>
      <c r="AIT286" s="1069"/>
      <c r="AIU286" s="1069"/>
      <c r="AIV286" s="1069"/>
      <c r="AIW286" s="1069"/>
      <c r="AIX286" s="1069"/>
      <c r="AIY286" s="1069"/>
      <c r="AIZ286" s="1069"/>
      <c r="AJA286" s="1069"/>
      <c r="AJB286" s="1069"/>
      <c r="AJC286" s="1069"/>
      <c r="AJD286" s="1069"/>
      <c r="AJE286" s="1069"/>
      <c r="AJF286" s="1069"/>
      <c r="AJG286" s="1069"/>
      <c r="AJH286" s="1069"/>
      <c r="AJI286" s="1069"/>
      <c r="AJJ286" s="1069"/>
      <c r="AJK286" s="1069"/>
      <c r="AJL286" s="1069"/>
      <c r="AJM286" s="1069"/>
      <c r="AJN286" s="1069"/>
      <c r="AJO286" s="1069"/>
      <c r="AJP286" s="1069"/>
      <c r="AJQ286" s="1069"/>
      <c r="AJR286" s="1069"/>
      <c r="AJS286" s="1069"/>
      <c r="AJT286" s="1069"/>
      <c r="AJU286" s="1069"/>
      <c r="AJV286" s="1069"/>
      <c r="AJW286" s="1069"/>
      <c r="AJX286" s="1069"/>
      <c r="AJY286" s="1069"/>
      <c r="AJZ286" s="1069"/>
      <c r="AKA286" s="1069"/>
      <c r="AKB286" s="1069"/>
      <c r="AKC286" s="1069"/>
      <c r="AKD286" s="1069"/>
      <c r="AKE286" s="1069"/>
      <c r="AKF286" s="1069"/>
      <c r="AKG286" s="1069"/>
      <c r="AKH286" s="1069"/>
      <c r="AKI286" s="1069"/>
      <c r="AKJ286" s="1069"/>
      <c r="AKK286" s="1069"/>
      <c r="AKL286" s="1069"/>
      <c r="AKM286" s="1069"/>
      <c r="AKN286" s="1069"/>
      <c r="AKO286" s="1069"/>
      <c r="AKP286" s="1069"/>
      <c r="AKQ286" s="1069"/>
      <c r="AKR286" s="1069"/>
      <c r="AKS286" s="1069"/>
      <c r="AKT286" s="1069"/>
      <c r="AKU286" s="1069"/>
      <c r="AKV286" s="1069"/>
      <c r="AKW286" s="1069"/>
      <c r="AKX286" s="1069"/>
      <c r="AKY286" s="1069"/>
      <c r="AKZ286" s="1069"/>
      <c r="ALA286" s="1069"/>
      <c r="ALB286" s="1069"/>
      <c r="ALC286" s="1069"/>
      <c r="ALD286" s="1069"/>
      <c r="ALE286" s="1069"/>
      <c r="ALF286" s="1069"/>
      <c r="ALG286" s="1069"/>
      <c r="ALH286" s="1069"/>
      <c r="ALI286" s="1069"/>
      <c r="ALJ286" s="1069"/>
      <c r="ALK286" s="1069"/>
      <c r="ALL286" s="1069"/>
      <c r="ALM286" s="1069"/>
      <c r="ALN286" s="1069"/>
      <c r="ALO286" s="1069"/>
      <c r="ALP286" s="1069"/>
      <c r="ALQ286" s="1069"/>
      <c r="ALR286" s="1069"/>
      <c r="ALS286" s="1069"/>
      <c r="ALT286" s="1069"/>
      <c r="ALU286" s="1069"/>
      <c r="ALV286" s="1069"/>
      <c r="ALW286" s="1069"/>
      <c r="ALX286" s="1069"/>
      <c r="ALY286" s="1069"/>
      <c r="ALZ286" s="1069"/>
      <c r="AMA286" s="1069"/>
      <c r="AMB286" s="1069"/>
      <c r="AMC286" s="1069"/>
      <c r="AMD286" s="1069"/>
      <c r="AME286" s="1069"/>
      <c r="AMF286" s="1069"/>
      <c r="AMG286" s="1069"/>
      <c r="AMH286" s="1069"/>
      <c r="AMI286" s="1069"/>
      <c r="AMJ286" s="1069"/>
      <c r="AMK286" s="1069"/>
      <c r="AML286" s="1069"/>
      <c r="AMM286" s="1069"/>
      <c r="AMN286" s="1069"/>
      <c r="AMO286" s="1069"/>
      <c r="AMP286" s="1069"/>
      <c r="AMQ286" s="1069"/>
      <c r="AMR286" s="1069"/>
      <c r="AMS286" s="1069"/>
      <c r="AMT286" s="1069"/>
      <c r="AMU286" s="1069"/>
      <c r="AMV286" s="1069"/>
      <c r="AMW286" s="1069"/>
      <c r="AMX286" s="1069"/>
      <c r="AMY286" s="1069"/>
      <c r="AMZ286" s="1069"/>
      <c r="ANA286" s="1069"/>
      <c r="ANB286" s="1069"/>
      <c r="ANC286" s="1069"/>
      <c r="AND286" s="1069"/>
      <c r="ANE286" s="1069"/>
      <c r="ANF286" s="1069"/>
      <c r="ANG286" s="1069"/>
      <c r="ANH286" s="1069"/>
      <c r="ANI286" s="1069"/>
      <c r="ANJ286" s="1069"/>
      <c r="ANK286" s="1069"/>
      <c r="ANL286" s="1069"/>
      <c r="ANM286" s="1069"/>
      <c r="ANN286" s="1069"/>
      <c r="ANO286" s="1069"/>
      <c r="ANP286" s="1069"/>
      <c r="ANQ286" s="1069"/>
      <c r="ANR286" s="1069"/>
      <c r="ANS286" s="1069"/>
      <c r="ANT286" s="1069"/>
      <c r="ANU286" s="1069"/>
      <c r="ANV286" s="1069"/>
      <c r="ANW286" s="1069"/>
      <c r="ANX286" s="1069"/>
      <c r="ANY286" s="1069"/>
      <c r="ANZ286" s="1069"/>
      <c r="AOA286" s="1069"/>
      <c r="AOB286" s="1069"/>
      <c r="AOC286" s="1069"/>
      <c r="AOD286" s="1069"/>
      <c r="AOE286" s="1069"/>
      <c r="AOF286" s="1069"/>
      <c r="AOG286" s="1069"/>
      <c r="AOH286" s="1069"/>
      <c r="AOI286" s="1069"/>
      <c r="AOJ286" s="1069"/>
      <c r="AOK286" s="1069"/>
      <c r="AOL286" s="1069"/>
      <c r="AOM286" s="1069"/>
      <c r="AON286" s="1069"/>
      <c r="AOO286" s="1069"/>
      <c r="AOP286" s="1069"/>
      <c r="AOQ286" s="1069"/>
      <c r="AOR286" s="1069"/>
      <c r="AOS286" s="1069"/>
      <c r="AOT286" s="1069"/>
      <c r="AOU286" s="1069"/>
      <c r="AOV286" s="1069"/>
      <c r="AOW286" s="1069"/>
      <c r="AOX286" s="1069"/>
      <c r="AOY286" s="1069"/>
      <c r="AOZ286" s="1069"/>
      <c r="APA286" s="1069"/>
      <c r="APB286" s="1069"/>
      <c r="APC286" s="1069"/>
      <c r="APD286" s="1069"/>
      <c r="APE286" s="1069"/>
      <c r="APF286" s="1069"/>
      <c r="APG286" s="1069"/>
      <c r="APH286" s="1069"/>
      <c r="API286" s="1069"/>
      <c r="APJ286" s="1069"/>
      <c r="APK286" s="1069"/>
      <c r="APL286" s="1069"/>
      <c r="APM286" s="1069"/>
      <c r="APN286" s="1069"/>
      <c r="APO286" s="1069"/>
      <c r="APP286" s="1069"/>
      <c r="APQ286" s="1069"/>
      <c r="APR286" s="1069"/>
      <c r="APS286" s="1069"/>
      <c r="APT286" s="1069"/>
      <c r="APU286" s="1069"/>
      <c r="APV286" s="1069"/>
      <c r="APW286" s="1069"/>
      <c r="APX286" s="1069"/>
      <c r="APY286" s="1069"/>
      <c r="APZ286" s="1069"/>
      <c r="AQA286" s="1069"/>
      <c r="AQB286" s="1069"/>
      <c r="AQC286" s="1069"/>
      <c r="AQD286" s="1069"/>
      <c r="AQE286" s="1069"/>
      <c r="AQF286" s="1069"/>
      <c r="AQG286" s="1069"/>
      <c r="AQH286" s="1069"/>
      <c r="AQI286" s="1069"/>
      <c r="AQJ286" s="1069"/>
      <c r="AQK286" s="1069"/>
      <c r="AQL286" s="1069"/>
      <c r="AQM286" s="1069"/>
      <c r="AQN286" s="1069"/>
      <c r="AQO286" s="1069"/>
      <c r="AQP286" s="1069"/>
      <c r="AQQ286" s="1069"/>
      <c r="AQR286" s="1069"/>
      <c r="AQS286" s="1069"/>
      <c r="AQT286" s="1069"/>
      <c r="AQU286" s="1069"/>
      <c r="AQV286" s="1069"/>
      <c r="AQW286" s="1069"/>
      <c r="AQX286" s="1069"/>
      <c r="AQY286" s="1069"/>
      <c r="AQZ286" s="1069"/>
      <c r="ARA286" s="1069"/>
      <c r="ARB286" s="1069"/>
      <c r="ARC286" s="1069"/>
      <c r="ARD286" s="1069"/>
      <c r="ARE286" s="1069"/>
      <c r="ARF286" s="1069"/>
      <c r="ARG286" s="1069"/>
      <c r="ARH286" s="1069"/>
      <c r="ARI286" s="1069"/>
      <c r="ARJ286" s="1069"/>
      <c r="ARK286" s="1069"/>
      <c r="ARL286" s="1069"/>
      <c r="ARM286" s="1069"/>
      <c r="ARN286" s="1069"/>
      <c r="ARO286" s="1069"/>
      <c r="ARP286" s="1069"/>
      <c r="ARQ286" s="1069"/>
      <c r="ARR286" s="1069"/>
      <c r="ARS286" s="1069"/>
      <c r="ART286" s="1069"/>
      <c r="ARU286" s="1069"/>
      <c r="ARV286" s="1069"/>
      <c r="ARW286" s="1069"/>
      <c r="ARX286" s="1069"/>
      <c r="ARY286" s="1069"/>
      <c r="ARZ286" s="1069"/>
      <c r="ASA286" s="1069"/>
      <c r="ASB286" s="1069"/>
      <c r="ASC286" s="1069"/>
      <c r="ASD286" s="1069"/>
      <c r="ASE286" s="1069"/>
      <c r="ASF286" s="1069"/>
      <c r="ASG286" s="1069"/>
      <c r="ASH286" s="1069"/>
      <c r="ASI286" s="1069"/>
      <c r="ASJ286" s="1069"/>
      <c r="ASK286" s="1069"/>
      <c r="ASL286" s="1069"/>
      <c r="ASM286" s="1069"/>
      <c r="ASN286" s="1069"/>
      <c r="ASO286" s="1069"/>
      <c r="ASP286" s="1069"/>
      <c r="ASQ286" s="1069"/>
      <c r="ASR286" s="1069"/>
      <c r="ASS286" s="1069"/>
      <c r="AST286" s="1069"/>
      <c r="ASU286" s="1069"/>
      <c r="ASV286" s="1069"/>
      <c r="ASW286" s="1069"/>
      <c r="ASX286" s="1069"/>
      <c r="ASY286" s="1069"/>
      <c r="ASZ286" s="1069"/>
      <c r="ATA286" s="1069"/>
      <c r="ATB286" s="1069"/>
      <c r="ATC286" s="1069"/>
      <c r="ATD286" s="1069"/>
      <c r="ATE286" s="1069"/>
      <c r="ATF286" s="1069"/>
      <c r="ATG286" s="1069"/>
      <c r="ATH286" s="1069"/>
      <c r="ATI286" s="1069"/>
      <c r="ATJ286" s="1069"/>
      <c r="ATK286" s="1069"/>
      <c r="ATL286" s="1069"/>
      <c r="ATM286" s="1069"/>
      <c r="ATN286" s="1069"/>
      <c r="ATO286" s="1069"/>
      <c r="ATP286" s="1069"/>
      <c r="ATQ286" s="1069"/>
      <c r="ATR286" s="1069"/>
      <c r="ATS286" s="1069"/>
      <c r="ATT286" s="1069"/>
      <c r="ATU286" s="1069"/>
      <c r="ATV286" s="1069"/>
      <c r="ATW286" s="1069"/>
      <c r="ATX286" s="1069"/>
      <c r="ATY286" s="1069"/>
      <c r="ATZ286" s="1069"/>
      <c r="AUA286" s="1069"/>
      <c r="AUB286" s="1069"/>
      <c r="AUC286" s="1069"/>
      <c r="AUD286" s="1069"/>
      <c r="AUE286" s="1069"/>
      <c r="AUF286" s="1069"/>
      <c r="AUG286" s="1069"/>
      <c r="AUH286" s="1069"/>
      <c r="AUI286" s="1069"/>
      <c r="AUJ286" s="1069"/>
      <c r="AUK286" s="1069"/>
      <c r="AUL286" s="1069"/>
      <c r="AUM286" s="1069"/>
      <c r="AUN286" s="1069"/>
      <c r="AUO286" s="1069"/>
      <c r="AUP286" s="1069"/>
      <c r="AUQ286" s="1069"/>
      <c r="AUR286" s="1069"/>
      <c r="AUS286" s="1069"/>
      <c r="AUT286" s="1069"/>
      <c r="AUU286" s="1069"/>
      <c r="AUV286" s="1069"/>
      <c r="AUW286" s="1069"/>
      <c r="AUX286" s="1069"/>
      <c r="AUY286" s="1069"/>
      <c r="AUZ286" s="1069"/>
      <c r="AVA286" s="1069"/>
      <c r="AVB286" s="1069"/>
      <c r="AVC286" s="1069"/>
      <c r="AVD286" s="1069"/>
      <c r="AVE286" s="1069"/>
      <c r="AVF286" s="1069"/>
      <c r="AVG286" s="1069"/>
      <c r="AVH286" s="1069"/>
      <c r="AVI286" s="1069"/>
      <c r="AVJ286" s="1069"/>
      <c r="AVK286" s="1069"/>
      <c r="AVL286" s="1069"/>
      <c r="AVM286" s="1069"/>
      <c r="AVN286" s="1069"/>
      <c r="AVO286" s="1069"/>
      <c r="AVP286" s="1069"/>
      <c r="AVQ286" s="1069"/>
      <c r="AVR286" s="1069"/>
      <c r="AVS286" s="1069"/>
      <c r="AVT286" s="1069"/>
      <c r="AVU286" s="1069"/>
      <c r="AVV286" s="1069"/>
      <c r="AVW286" s="1069"/>
      <c r="AVX286" s="1069"/>
      <c r="AVY286" s="1069"/>
      <c r="AVZ286" s="1069"/>
      <c r="AWA286" s="1069"/>
      <c r="AWB286" s="1069"/>
      <c r="AWC286" s="1069"/>
      <c r="AWD286" s="1069"/>
      <c r="AWE286" s="1069"/>
      <c r="AWF286" s="1069"/>
      <c r="AWG286" s="1069"/>
      <c r="AWH286" s="1069"/>
      <c r="AWI286" s="1069"/>
      <c r="AWJ286" s="1069"/>
      <c r="AWK286" s="1069"/>
      <c r="AWL286" s="1069"/>
      <c r="AWM286" s="1069"/>
      <c r="AWN286" s="1069"/>
      <c r="AWO286" s="1069"/>
      <c r="AWP286" s="1069"/>
      <c r="AWQ286" s="1069"/>
      <c r="AWR286" s="1069"/>
      <c r="AWS286" s="1069"/>
      <c r="AWT286" s="1069"/>
      <c r="AWU286" s="1069"/>
      <c r="AWV286" s="1069"/>
      <c r="AWW286" s="1069"/>
      <c r="AWX286" s="1069"/>
      <c r="AWY286" s="1069"/>
      <c r="AWZ286" s="1069"/>
      <c r="AXA286" s="1069"/>
      <c r="AXB286" s="1069"/>
      <c r="AXC286" s="1069"/>
      <c r="AXD286" s="1069"/>
      <c r="AXE286" s="1069"/>
      <c r="AXF286" s="1069"/>
      <c r="AXG286" s="1069"/>
      <c r="AXH286" s="1069"/>
      <c r="AXI286" s="1069"/>
      <c r="AXJ286" s="1069"/>
      <c r="AXK286" s="1069"/>
      <c r="AXL286" s="1069"/>
      <c r="AXM286" s="1069"/>
      <c r="AXN286" s="1069"/>
      <c r="AXO286" s="1069"/>
      <c r="AXP286" s="1069"/>
      <c r="AXQ286" s="1069"/>
      <c r="AXR286" s="1069"/>
      <c r="AXS286" s="1069"/>
      <c r="AXT286" s="1069"/>
      <c r="AXU286" s="1069"/>
      <c r="AXV286" s="1069"/>
      <c r="AXW286" s="1069"/>
      <c r="AXX286" s="1069"/>
      <c r="AXY286" s="1069"/>
      <c r="AXZ286" s="1069"/>
      <c r="AYA286" s="1069"/>
      <c r="AYB286" s="1069"/>
      <c r="AYC286" s="1069"/>
      <c r="AYD286" s="1069"/>
      <c r="AYE286" s="1069"/>
      <c r="AYF286" s="1069"/>
      <c r="AYG286" s="1069"/>
      <c r="AYH286" s="1069"/>
      <c r="AYI286" s="1069"/>
      <c r="AYJ286" s="1069"/>
      <c r="AYK286" s="1069"/>
      <c r="AYL286" s="1069"/>
      <c r="AYM286" s="1069"/>
      <c r="AYN286" s="1069"/>
      <c r="AYO286" s="1069"/>
      <c r="AYP286" s="1069"/>
      <c r="AYQ286" s="1069"/>
      <c r="AYR286" s="1069"/>
      <c r="AYS286" s="1069"/>
      <c r="AYT286" s="1069"/>
      <c r="AYU286" s="1069"/>
      <c r="AYV286" s="1069"/>
      <c r="AYW286" s="1069"/>
      <c r="AYX286" s="1069"/>
      <c r="AYY286" s="1069"/>
      <c r="AYZ286" s="1069"/>
      <c r="AZA286" s="1069"/>
      <c r="AZB286" s="1069"/>
      <c r="AZC286" s="1069"/>
      <c r="AZD286" s="1069"/>
      <c r="AZE286" s="1069"/>
      <c r="AZF286" s="1069"/>
      <c r="AZG286" s="1069"/>
      <c r="AZH286" s="1069"/>
      <c r="AZI286" s="1069"/>
      <c r="AZJ286" s="1069"/>
      <c r="AZK286" s="1069"/>
      <c r="AZL286" s="1069"/>
      <c r="AZM286" s="1069"/>
      <c r="AZN286" s="1069"/>
      <c r="AZO286" s="1069"/>
      <c r="AZP286" s="1069"/>
      <c r="AZQ286" s="1069"/>
      <c r="AZR286" s="1069"/>
      <c r="AZS286" s="1069"/>
      <c r="AZT286" s="1069"/>
      <c r="AZU286" s="1069"/>
      <c r="AZV286" s="1069"/>
      <c r="AZW286" s="1069"/>
      <c r="AZX286" s="1069"/>
      <c r="AZY286" s="1069"/>
      <c r="AZZ286" s="1069"/>
      <c r="BAA286" s="1069"/>
      <c r="BAB286" s="1069"/>
      <c r="BAC286" s="1069"/>
      <c r="BAD286" s="1069"/>
      <c r="BAE286" s="1069"/>
      <c r="BAF286" s="1069"/>
      <c r="BAG286" s="1069"/>
      <c r="BAH286" s="1069"/>
      <c r="BAI286" s="1069"/>
      <c r="BAJ286" s="1069"/>
      <c r="BAK286" s="1069"/>
      <c r="BAL286" s="1069"/>
      <c r="BAM286" s="1069"/>
      <c r="BAN286" s="1069"/>
      <c r="BAO286" s="1069"/>
      <c r="BAP286" s="1069"/>
      <c r="BAQ286" s="1069"/>
      <c r="BAR286" s="1069"/>
      <c r="BAS286" s="1069"/>
      <c r="BAT286" s="1069"/>
      <c r="BAU286" s="1069"/>
      <c r="BAV286" s="1069"/>
      <c r="BAW286" s="1069"/>
      <c r="BAX286" s="1069"/>
      <c r="BAY286" s="1069"/>
      <c r="BAZ286" s="1069"/>
      <c r="BBA286" s="1069"/>
      <c r="BBB286" s="1069"/>
      <c r="BBC286" s="1069"/>
      <c r="BBD286" s="1069"/>
      <c r="BBE286" s="1069"/>
      <c r="BBF286" s="1069"/>
      <c r="BBG286" s="1069"/>
      <c r="BBH286" s="1069"/>
      <c r="BBI286" s="1069"/>
      <c r="BBJ286" s="1069"/>
      <c r="BBK286" s="1069"/>
      <c r="BBL286" s="1069"/>
      <c r="BBM286" s="1069"/>
      <c r="BBN286" s="1069"/>
      <c r="BBO286" s="1069"/>
      <c r="BBP286" s="1069"/>
      <c r="BBQ286" s="1069"/>
      <c r="BBR286" s="1069"/>
      <c r="BBS286" s="1069"/>
      <c r="BBT286" s="1069"/>
      <c r="BBU286" s="1069"/>
      <c r="BBV286" s="1069"/>
      <c r="BBW286" s="1069"/>
      <c r="BBX286" s="1069"/>
      <c r="BBY286" s="1069"/>
      <c r="BBZ286" s="1069"/>
      <c r="BCA286" s="1069"/>
      <c r="BCB286" s="1069"/>
      <c r="BCC286" s="1069"/>
      <c r="BCD286" s="1069"/>
      <c r="BCE286" s="1069"/>
      <c r="BCF286" s="1069"/>
      <c r="BCG286" s="1069"/>
      <c r="BCH286" s="1069"/>
      <c r="BCI286" s="1069"/>
      <c r="BCJ286" s="1069"/>
      <c r="BCK286" s="1069"/>
      <c r="BCL286" s="1069"/>
      <c r="BCM286" s="1069"/>
      <c r="BCN286" s="1069"/>
      <c r="BCO286" s="1069"/>
      <c r="BCP286" s="1069"/>
      <c r="BCQ286" s="1069"/>
      <c r="BCR286" s="1069"/>
      <c r="BCS286" s="1069"/>
      <c r="BCT286" s="1069"/>
      <c r="BCU286" s="1069"/>
      <c r="BCV286" s="1069"/>
      <c r="BCW286" s="1069"/>
      <c r="BCX286" s="1069"/>
      <c r="BCY286" s="1069"/>
      <c r="BCZ286" s="1069"/>
      <c r="BDA286" s="1069"/>
      <c r="BDB286" s="1069"/>
      <c r="BDC286" s="1069"/>
      <c r="BDD286" s="1069"/>
      <c r="BDE286" s="1069"/>
      <c r="BDF286" s="1069"/>
      <c r="BDG286" s="1069"/>
      <c r="BDH286" s="1069"/>
      <c r="BDI286" s="1069"/>
      <c r="BDJ286" s="1069"/>
      <c r="BDK286" s="1069"/>
      <c r="BDL286" s="1069"/>
      <c r="BDM286" s="1069"/>
      <c r="BDN286" s="1069"/>
      <c r="BDO286" s="1069"/>
      <c r="BDP286" s="1069"/>
      <c r="BDQ286" s="1069"/>
      <c r="BDR286" s="1069"/>
      <c r="BDS286" s="1069"/>
      <c r="BDT286" s="1069"/>
      <c r="BDU286" s="1069"/>
      <c r="BDV286" s="1069"/>
      <c r="BDW286" s="1069"/>
      <c r="BDX286" s="1069"/>
      <c r="BDY286" s="1069"/>
      <c r="BDZ286" s="1069"/>
      <c r="BEA286" s="1069"/>
      <c r="BEB286" s="1069"/>
      <c r="BEC286" s="1069"/>
      <c r="BED286" s="1069"/>
      <c r="BEE286" s="1069"/>
      <c r="BEF286" s="1069"/>
      <c r="BEG286" s="1069"/>
      <c r="BEH286" s="1069"/>
      <c r="BEI286" s="1069"/>
      <c r="BEJ286" s="1069"/>
      <c r="BEK286" s="1069"/>
      <c r="BEL286" s="1069"/>
      <c r="BEM286" s="1069"/>
      <c r="BEN286" s="1069"/>
      <c r="BEO286" s="1069"/>
      <c r="BEP286" s="1069"/>
      <c r="BEQ286" s="1069"/>
      <c r="BER286" s="1069"/>
      <c r="BES286" s="1069"/>
      <c r="BET286" s="1069"/>
      <c r="BEU286" s="1069"/>
      <c r="BEV286" s="1069"/>
      <c r="BEW286" s="1069"/>
      <c r="BEX286" s="1069"/>
      <c r="BEY286" s="1069"/>
      <c r="BEZ286" s="1069"/>
      <c r="BFA286" s="1069"/>
      <c r="BFB286" s="1069"/>
      <c r="BFC286" s="1069"/>
      <c r="BFD286" s="1069"/>
      <c r="BFE286" s="1069"/>
      <c r="BFF286" s="1069"/>
      <c r="BFG286" s="1069"/>
      <c r="BFH286" s="1069"/>
      <c r="BFI286" s="1069"/>
      <c r="BFJ286" s="1069"/>
      <c r="BFK286" s="1069"/>
      <c r="BFL286" s="1069"/>
      <c r="BFM286" s="1069"/>
      <c r="BFN286" s="1069"/>
      <c r="BFO286" s="1069"/>
      <c r="BFP286" s="1069"/>
      <c r="BFQ286" s="1069"/>
      <c r="BFR286" s="1069"/>
      <c r="BFS286" s="1069"/>
      <c r="BFT286" s="1069"/>
      <c r="BFU286" s="1069"/>
      <c r="BFV286" s="1069"/>
      <c r="BFW286" s="1069"/>
      <c r="BFX286" s="1069"/>
      <c r="BFY286" s="1069"/>
      <c r="BFZ286" s="1069"/>
      <c r="BGA286" s="1069"/>
      <c r="BGB286" s="1069"/>
      <c r="BGC286" s="1069"/>
      <c r="BGD286" s="1069"/>
      <c r="BGE286" s="1069"/>
      <c r="BGF286" s="1069"/>
      <c r="BGG286" s="1069"/>
      <c r="BGH286" s="1069"/>
      <c r="BGI286" s="1069"/>
      <c r="BGJ286" s="1069"/>
      <c r="BGK286" s="1069"/>
      <c r="BGL286" s="1069"/>
      <c r="BGM286" s="1069"/>
      <c r="BGN286" s="1069"/>
      <c r="BGO286" s="1069"/>
      <c r="BGP286" s="1069"/>
      <c r="BGQ286" s="1069"/>
      <c r="BGR286" s="1069"/>
      <c r="BGS286" s="1069"/>
      <c r="BGT286" s="1069"/>
      <c r="BGU286" s="1069"/>
      <c r="BGV286" s="1069"/>
      <c r="BGW286" s="1069"/>
      <c r="BGX286" s="1069"/>
      <c r="BGY286" s="1069"/>
      <c r="BGZ286" s="1069"/>
      <c r="BHA286" s="1069"/>
      <c r="BHB286" s="1069"/>
      <c r="BHC286" s="1069"/>
      <c r="BHD286" s="1069"/>
      <c r="BHE286" s="1069"/>
      <c r="BHF286" s="1069"/>
      <c r="BHG286" s="1069"/>
      <c r="BHH286" s="1069"/>
      <c r="BHI286" s="1069"/>
      <c r="BHJ286" s="1069"/>
      <c r="BHK286" s="1069"/>
      <c r="BHL286" s="1069"/>
      <c r="BHM286" s="1069"/>
      <c r="BHN286" s="1069"/>
      <c r="BHO286" s="1069"/>
      <c r="BHP286" s="1069"/>
      <c r="BHQ286" s="1069"/>
      <c r="BHR286" s="1069"/>
      <c r="BHS286" s="1069"/>
      <c r="BHT286" s="1069"/>
      <c r="BHU286" s="1069"/>
      <c r="BHV286" s="1069"/>
      <c r="BHW286" s="1069"/>
      <c r="BHX286" s="1069"/>
      <c r="BHY286" s="1069"/>
      <c r="BHZ286" s="1069"/>
      <c r="BIA286" s="1069"/>
      <c r="BIB286" s="1069"/>
      <c r="BIC286" s="1069"/>
      <c r="BID286" s="1069"/>
      <c r="BIE286" s="1069"/>
      <c r="BIF286" s="1069"/>
      <c r="BIG286" s="1069"/>
      <c r="BIH286" s="1069"/>
      <c r="BII286" s="1069"/>
      <c r="BIJ286" s="1069"/>
      <c r="BIK286" s="1069"/>
      <c r="BIL286" s="1069"/>
      <c r="BIM286" s="1069"/>
      <c r="BIN286" s="1069"/>
      <c r="BIO286" s="1069"/>
      <c r="BIP286" s="1069"/>
      <c r="BIQ286" s="1069"/>
      <c r="BIR286" s="1069"/>
      <c r="BIS286" s="1069"/>
      <c r="BIT286" s="1069"/>
      <c r="BIU286" s="1069"/>
      <c r="BIV286" s="1069"/>
      <c r="BIW286" s="1069"/>
      <c r="BIX286" s="1069"/>
      <c r="BIY286" s="1069"/>
      <c r="BIZ286" s="1069"/>
      <c r="BJA286" s="1069"/>
      <c r="BJB286" s="1069"/>
      <c r="BJC286" s="1069"/>
      <c r="BJD286" s="1069"/>
      <c r="BJE286" s="1069"/>
      <c r="BJF286" s="1069"/>
      <c r="BJG286" s="1069"/>
      <c r="BJH286" s="1069"/>
      <c r="BJI286" s="1069"/>
      <c r="BJJ286" s="1069"/>
      <c r="BJK286" s="1069"/>
      <c r="BJL286" s="1069"/>
      <c r="BJM286" s="1069"/>
      <c r="BJN286" s="1069"/>
      <c r="BJO286" s="1069"/>
      <c r="BJP286" s="1069"/>
      <c r="BJQ286" s="1069"/>
      <c r="BJR286" s="1069"/>
      <c r="BJS286" s="1069"/>
      <c r="BJT286" s="1069"/>
      <c r="BJU286" s="1069"/>
      <c r="BJV286" s="1069"/>
      <c r="BJW286" s="1069"/>
      <c r="BJX286" s="1069"/>
      <c r="BJY286" s="1069"/>
      <c r="BJZ286" s="1069"/>
      <c r="BKA286" s="1069"/>
      <c r="BKB286" s="1069"/>
      <c r="BKC286" s="1069"/>
      <c r="BKD286" s="1069"/>
      <c r="BKE286" s="1069"/>
      <c r="BKF286" s="1069"/>
      <c r="BKG286" s="1069"/>
      <c r="BKH286" s="1069"/>
      <c r="BKI286" s="1069"/>
      <c r="BKJ286" s="1069"/>
      <c r="BKK286" s="1069"/>
      <c r="BKL286" s="1069"/>
      <c r="BKM286" s="1069"/>
      <c r="BKN286" s="1069"/>
      <c r="BKO286" s="1069"/>
      <c r="BKP286" s="1069"/>
      <c r="BKQ286" s="1069"/>
      <c r="BKR286" s="1069"/>
      <c r="BKS286" s="1069"/>
      <c r="BKT286" s="1069"/>
      <c r="BKU286" s="1069"/>
      <c r="BKV286" s="1069"/>
      <c r="BKW286" s="1069"/>
      <c r="BKX286" s="1069"/>
      <c r="BKY286" s="1069"/>
      <c r="BKZ286" s="1069"/>
      <c r="BLA286" s="1069"/>
      <c r="BLB286" s="1069"/>
      <c r="BLC286" s="1069"/>
      <c r="BLD286" s="1069"/>
      <c r="BLE286" s="1069"/>
      <c r="BLF286" s="1069"/>
      <c r="BLG286" s="1069"/>
      <c r="BLH286" s="1069"/>
      <c r="BLI286" s="1069"/>
      <c r="BLJ286" s="1069"/>
      <c r="BLK286" s="1069"/>
      <c r="BLL286" s="1069"/>
      <c r="BLM286" s="1069"/>
      <c r="BLN286" s="1069"/>
      <c r="BLO286" s="1069"/>
      <c r="BLP286" s="1069"/>
      <c r="BLQ286" s="1069"/>
      <c r="BLR286" s="1069"/>
      <c r="BLS286" s="1069"/>
      <c r="BLT286" s="1069"/>
      <c r="BLU286" s="1069"/>
      <c r="BLV286" s="1069"/>
      <c r="BLW286" s="1069"/>
      <c r="BLX286" s="1069"/>
      <c r="BLY286" s="1069"/>
      <c r="BLZ286" s="1069"/>
      <c r="BMA286" s="1069"/>
      <c r="BMB286" s="1069"/>
      <c r="BMC286" s="1069"/>
      <c r="BMD286" s="1069"/>
      <c r="BME286" s="1069"/>
      <c r="BMF286" s="1069"/>
      <c r="BMG286" s="1069"/>
      <c r="BMH286" s="1069"/>
      <c r="BMI286" s="1069"/>
      <c r="BMJ286" s="1069"/>
      <c r="BMK286" s="1069"/>
      <c r="BML286" s="1069"/>
      <c r="BMM286" s="1069"/>
      <c r="BMN286" s="1069"/>
      <c r="BMO286" s="1069"/>
      <c r="BMP286" s="1069"/>
      <c r="BMQ286" s="1069"/>
      <c r="BMR286" s="1069"/>
      <c r="BMS286" s="1069"/>
      <c r="BMT286" s="1069"/>
      <c r="BMU286" s="1069"/>
      <c r="BMV286" s="1069"/>
      <c r="BMW286" s="1069"/>
      <c r="BMX286" s="1069"/>
      <c r="BMY286" s="1069"/>
      <c r="BMZ286" s="1069"/>
      <c r="BNA286" s="1069"/>
      <c r="BNB286" s="1069"/>
      <c r="BNC286" s="1069"/>
      <c r="BND286" s="1069"/>
      <c r="BNE286" s="1069"/>
      <c r="BNF286" s="1069"/>
      <c r="BNG286" s="1069"/>
      <c r="BNH286" s="1069"/>
      <c r="BNI286" s="1069"/>
      <c r="BNJ286" s="1069"/>
      <c r="BNK286" s="1069"/>
      <c r="BNL286" s="1069"/>
      <c r="BNM286" s="1069"/>
      <c r="BNN286" s="1069"/>
      <c r="BNO286" s="1069"/>
      <c r="BNP286" s="1069"/>
      <c r="BNQ286" s="1069"/>
      <c r="BNR286" s="1069"/>
      <c r="BNS286" s="1069"/>
      <c r="BNT286" s="1069"/>
      <c r="BNU286" s="1069"/>
      <c r="BNV286" s="1069"/>
      <c r="BNW286" s="1069"/>
      <c r="BNX286" s="1069"/>
      <c r="BNY286" s="1069"/>
      <c r="BNZ286" s="1069"/>
      <c r="BOA286" s="1069"/>
      <c r="BOB286" s="1069"/>
      <c r="BOC286" s="1069"/>
      <c r="BOD286" s="1069"/>
      <c r="BOE286" s="1069"/>
      <c r="BOF286" s="1069"/>
      <c r="BOG286" s="1069"/>
      <c r="BOH286" s="1069"/>
      <c r="BOI286" s="1069"/>
      <c r="BOJ286" s="1069"/>
      <c r="BOK286" s="1069"/>
      <c r="BOL286" s="1069"/>
      <c r="BOM286" s="1069"/>
      <c r="BON286" s="1069"/>
      <c r="BOO286" s="1069"/>
      <c r="BOP286" s="1069"/>
      <c r="BOQ286" s="1069"/>
      <c r="BOR286" s="1069"/>
      <c r="BOS286" s="1069"/>
      <c r="BOT286" s="1069"/>
      <c r="BOU286" s="1069"/>
      <c r="BOV286" s="1069"/>
      <c r="BOW286" s="1069"/>
      <c r="BOX286" s="1069"/>
      <c r="BOY286" s="1069"/>
      <c r="BOZ286" s="1069"/>
      <c r="BPA286" s="1069"/>
      <c r="BPB286" s="1069"/>
      <c r="BPC286" s="1069"/>
      <c r="BPD286" s="1069"/>
      <c r="BPE286" s="1069"/>
      <c r="BPF286" s="1069"/>
      <c r="BPG286" s="1069"/>
      <c r="BPH286" s="1069"/>
      <c r="BPI286" s="1069"/>
      <c r="BPJ286" s="1069"/>
      <c r="BPK286" s="1069"/>
      <c r="BPL286" s="1069"/>
      <c r="BPM286" s="1069"/>
      <c r="BPN286" s="1069"/>
      <c r="BPO286" s="1069"/>
      <c r="BPP286" s="1069"/>
      <c r="BPQ286" s="1069"/>
      <c r="BPR286" s="1069"/>
      <c r="BPS286" s="1069"/>
      <c r="BPT286" s="1069"/>
      <c r="BPU286" s="1069"/>
      <c r="BPV286" s="1069"/>
      <c r="BPW286" s="1069"/>
      <c r="BPX286" s="1069"/>
      <c r="BPY286" s="1069"/>
      <c r="BPZ286" s="1069"/>
      <c r="BQA286" s="1069"/>
      <c r="BQB286" s="1069"/>
      <c r="BQC286" s="1069"/>
      <c r="BQD286" s="1069"/>
      <c r="BQE286" s="1069"/>
      <c r="BQF286" s="1069"/>
      <c r="BQG286" s="1069"/>
      <c r="BQH286" s="1069"/>
      <c r="BQI286" s="1069"/>
      <c r="BQJ286" s="1069"/>
      <c r="BQK286" s="1069"/>
      <c r="BQL286" s="1069"/>
      <c r="BQM286" s="1069"/>
      <c r="BQN286" s="1069"/>
      <c r="BQO286" s="1069"/>
      <c r="BQP286" s="1069"/>
      <c r="BQQ286" s="1069"/>
      <c r="BQR286" s="1069"/>
      <c r="BQS286" s="1069"/>
      <c r="BQT286" s="1069"/>
      <c r="BQU286" s="1069"/>
      <c r="BQV286" s="1069"/>
      <c r="BQW286" s="1069"/>
      <c r="BQX286" s="1069"/>
      <c r="BQY286" s="1069"/>
      <c r="BQZ286" s="1069"/>
      <c r="BRA286" s="1069"/>
      <c r="BRB286" s="1069"/>
      <c r="BRC286" s="1069"/>
      <c r="BRD286" s="1069"/>
      <c r="BRE286" s="1069"/>
      <c r="BRF286" s="1069"/>
      <c r="BRG286" s="1069"/>
      <c r="BRH286" s="1069"/>
      <c r="BRI286" s="1069"/>
      <c r="BRJ286" s="1069"/>
      <c r="BRK286" s="1069"/>
      <c r="BRL286" s="1069"/>
      <c r="BRM286" s="1069"/>
      <c r="BRN286" s="1069"/>
      <c r="BRO286" s="1069"/>
      <c r="BRP286" s="1069"/>
      <c r="BRQ286" s="1069"/>
      <c r="BRR286" s="1069"/>
      <c r="BRS286" s="1069"/>
      <c r="BRT286" s="1069"/>
      <c r="BRU286" s="1069"/>
      <c r="BRV286" s="1069"/>
      <c r="BRW286" s="1069"/>
      <c r="BRX286" s="1069"/>
      <c r="BRY286" s="1069"/>
      <c r="BRZ286" s="1069"/>
      <c r="BSA286" s="1069"/>
      <c r="BSB286" s="1069"/>
      <c r="BSC286" s="1069"/>
      <c r="BSD286" s="1069"/>
      <c r="BSE286" s="1069"/>
      <c r="BSF286" s="1069"/>
      <c r="BSG286" s="1069"/>
      <c r="BSH286" s="1069"/>
      <c r="BSI286" s="1069"/>
      <c r="BSJ286" s="1069"/>
      <c r="BSK286" s="1069"/>
      <c r="BSL286" s="1069"/>
      <c r="BSM286" s="1069"/>
      <c r="BSN286" s="1069"/>
      <c r="BSO286" s="1069"/>
      <c r="BSP286" s="1069"/>
      <c r="BSQ286" s="1069"/>
      <c r="BSR286" s="1069"/>
      <c r="BSS286" s="1069"/>
      <c r="BST286" s="1069"/>
      <c r="BSU286" s="1069"/>
      <c r="BSV286" s="1069"/>
      <c r="BSW286" s="1069"/>
      <c r="BSX286" s="1069"/>
      <c r="BSY286" s="1069"/>
      <c r="BSZ286" s="1069"/>
      <c r="BTA286" s="1069"/>
      <c r="BTB286" s="1069"/>
      <c r="BTC286" s="1069"/>
      <c r="BTD286" s="1069"/>
      <c r="BTE286" s="1069"/>
      <c r="BTF286" s="1069"/>
      <c r="BTG286" s="1069"/>
      <c r="BTH286" s="1069"/>
      <c r="BTI286" s="1069"/>
      <c r="BTJ286" s="1069"/>
      <c r="BTK286" s="1069"/>
      <c r="BTL286" s="1069"/>
      <c r="BTM286" s="1069"/>
      <c r="BTN286" s="1069"/>
      <c r="BTO286" s="1069"/>
      <c r="BTP286" s="1069"/>
      <c r="BTQ286" s="1069"/>
      <c r="BTR286" s="1069"/>
      <c r="BTS286" s="1069"/>
      <c r="BTT286" s="1069"/>
      <c r="BTU286" s="1069"/>
      <c r="BTV286" s="1069"/>
      <c r="BTW286" s="1069"/>
      <c r="BTX286" s="1069"/>
      <c r="BTY286" s="1069"/>
      <c r="BTZ286" s="1069"/>
      <c r="BUA286" s="1069"/>
      <c r="BUB286" s="1069"/>
      <c r="BUC286" s="1069"/>
      <c r="BUD286" s="1069"/>
      <c r="BUE286" s="1069"/>
      <c r="BUF286" s="1069"/>
      <c r="BUG286" s="1069"/>
      <c r="BUH286" s="1069"/>
      <c r="BUI286" s="1069"/>
      <c r="BUJ286" s="1069"/>
      <c r="BUK286" s="1069"/>
      <c r="BUL286" s="1069"/>
      <c r="BUM286" s="1069"/>
      <c r="BUN286" s="1069"/>
      <c r="BUO286" s="1069"/>
      <c r="BUP286" s="1069"/>
      <c r="BUQ286" s="1069"/>
      <c r="BUR286" s="1069"/>
      <c r="BUS286" s="1069"/>
      <c r="BUT286" s="1069"/>
      <c r="BUU286" s="1069"/>
      <c r="BUV286" s="1069"/>
      <c r="BUW286" s="1069"/>
      <c r="BUX286" s="1069"/>
      <c r="BUY286" s="1069"/>
      <c r="BUZ286" s="1069"/>
      <c r="BVA286" s="1069"/>
      <c r="BVB286" s="1069"/>
      <c r="BVC286" s="1069"/>
      <c r="BVD286" s="1069"/>
      <c r="BVE286" s="1069"/>
      <c r="BVF286" s="1069"/>
      <c r="BVG286" s="1069"/>
      <c r="BVH286" s="1069"/>
      <c r="BVI286" s="1069"/>
      <c r="BVJ286" s="1069"/>
      <c r="BVK286" s="1069"/>
      <c r="BVL286" s="1069"/>
      <c r="BVM286" s="1069"/>
      <c r="BVN286" s="1069"/>
      <c r="BVO286" s="1069"/>
      <c r="BVP286" s="1069"/>
      <c r="BVQ286" s="1069"/>
      <c r="BVR286" s="1069"/>
      <c r="BVS286" s="1069"/>
      <c r="BVT286" s="1069"/>
      <c r="BVU286" s="1069"/>
      <c r="BVV286" s="1069"/>
      <c r="BVW286" s="1069"/>
      <c r="BVX286" s="1069"/>
      <c r="BVY286" s="1069"/>
      <c r="BVZ286" s="1069"/>
      <c r="BWA286" s="1069"/>
      <c r="BWB286" s="1069"/>
      <c r="BWC286" s="1069"/>
      <c r="BWD286" s="1069"/>
      <c r="BWE286" s="1069"/>
      <c r="BWF286" s="1069"/>
      <c r="BWG286" s="1069"/>
      <c r="BWH286" s="1069"/>
      <c r="BWI286" s="1069"/>
      <c r="BWJ286" s="1069"/>
      <c r="BWK286" s="1069"/>
      <c r="BWL286" s="1069"/>
      <c r="BWM286" s="1069"/>
      <c r="BWN286" s="1069"/>
      <c r="BWO286" s="1069"/>
      <c r="BWP286" s="1069"/>
      <c r="BWQ286" s="1069"/>
      <c r="BWR286" s="1069"/>
      <c r="BWS286" s="1069"/>
      <c r="BWT286" s="1069"/>
      <c r="BWU286" s="1069"/>
      <c r="BWV286" s="1069"/>
      <c r="BWW286" s="1069"/>
      <c r="BWX286" s="1069"/>
      <c r="BWY286" s="1069"/>
      <c r="BWZ286" s="1069"/>
      <c r="BXA286" s="1069"/>
      <c r="BXB286" s="1069"/>
      <c r="BXC286" s="1069"/>
      <c r="BXD286" s="1069"/>
      <c r="BXE286" s="1069"/>
      <c r="BXF286" s="1069"/>
      <c r="BXG286" s="1069"/>
      <c r="BXH286" s="1069"/>
      <c r="BXI286" s="1069"/>
      <c r="BXJ286" s="1069"/>
      <c r="BXK286" s="1069"/>
      <c r="BXL286" s="1069"/>
      <c r="BXM286" s="1069"/>
      <c r="BXN286" s="1069"/>
      <c r="BXO286" s="1069"/>
      <c r="BXP286" s="1069"/>
      <c r="BXQ286" s="1069"/>
      <c r="BXR286" s="1069"/>
      <c r="BXS286" s="1069"/>
      <c r="BXT286" s="1069"/>
      <c r="BXU286" s="1069"/>
      <c r="BXV286" s="1069"/>
      <c r="BXW286" s="1069"/>
      <c r="BXX286" s="1069"/>
      <c r="BXY286" s="1069"/>
      <c r="BXZ286" s="1069"/>
      <c r="BYA286" s="1069"/>
      <c r="BYB286" s="1069"/>
      <c r="BYC286" s="1069"/>
      <c r="BYD286" s="1069"/>
      <c r="BYE286" s="1069"/>
      <c r="BYF286" s="1069"/>
      <c r="BYG286" s="1069"/>
      <c r="BYH286" s="1069"/>
      <c r="BYI286" s="1069"/>
      <c r="BYJ286" s="1069"/>
      <c r="BYK286" s="1069"/>
      <c r="BYL286" s="1069"/>
      <c r="BYM286" s="1069"/>
      <c r="BYN286" s="1069"/>
      <c r="BYO286" s="1069"/>
      <c r="BYP286" s="1069"/>
      <c r="BYQ286" s="1069"/>
      <c r="BYR286" s="1069"/>
      <c r="BYS286" s="1069"/>
      <c r="BYT286" s="1069"/>
      <c r="BYU286" s="1069"/>
      <c r="BYV286" s="1069"/>
      <c r="BYW286" s="1069"/>
      <c r="BYX286" s="1069"/>
      <c r="BYY286" s="1069"/>
      <c r="BYZ286" s="1069"/>
      <c r="BZA286" s="1069"/>
      <c r="BZB286" s="1069"/>
      <c r="BZC286" s="1069"/>
      <c r="BZD286" s="1069"/>
      <c r="BZE286" s="1069"/>
      <c r="BZF286" s="1069"/>
      <c r="BZG286" s="1069"/>
      <c r="BZH286" s="1069"/>
      <c r="BZI286" s="1069"/>
      <c r="BZJ286" s="1069"/>
      <c r="BZK286" s="1069"/>
      <c r="BZL286" s="1069"/>
      <c r="BZM286" s="1069"/>
      <c r="BZN286" s="1069"/>
      <c r="BZO286" s="1069"/>
      <c r="BZP286" s="1069"/>
      <c r="BZQ286" s="1069"/>
      <c r="BZR286" s="1069"/>
      <c r="BZS286" s="1069"/>
      <c r="BZT286" s="1069"/>
      <c r="BZU286" s="1069"/>
      <c r="BZV286" s="1069"/>
      <c r="BZW286" s="1069"/>
      <c r="BZX286" s="1069"/>
      <c r="BZY286" s="1069"/>
      <c r="BZZ286" s="1069"/>
      <c r="CAA286" s="1069"/>
      <c r="CAB286" s="1069"/>
      <c r="CAC286" s="1069"/>
      <c r="CAD286" s="1069"/>
      <c r="CAE286" s="1069"/>
      <c r="CAF286" s="1069"/>
      <c r="CAG286" s="1069"/>
      <c r="CAH286" s="1069"/>
      <c r="CAI286" s="1069"/>
      <c r="CAJ286" s="1069"/>
      <c r="CAK286" s="1069"/>
      <c r="CAL286" s="1069"/>
      <c r="CAM286" s="1069"/>
      <c r="CAN286" s="1069"/>
      <c r="CAO286" s="1069"/>
      <c r="CAP286" s="1069"/>
      <c r="CAQ286" s="1069"/>
      <c r="CAR286" s="1069"/>
      <c r="CAS286" s="1069"/>
      <c r="CAT286" s="1069"/>
      <c r="CAU286" s="1069"/>
      <c r="CAV286" s="1069"/>
      <c r="CAW286" s="1069"/>
      <c r="CAX286" s="1069"/>
      <c r="CAY286" s="1069"/>
      <c r="CAZ286" s="1069"/>
      <c r="CBA286" s="1069"/>
      <c r="CBB286" s="1069"/>
      <c r="CBC286" s="1069"/>
      <c r="CBD286" s="1069"/>
      <c r="CBE286" s="1069"/>
      <c r="CBF286" s="1069"/>
      <c r="CBG286" s="1069"/>
      <c r="CBH286" s="1069"/>
      <c r="CBI286" s="1069"/>
      <c r="CBJ286" s="1069"/>
      <c r="CBK286" s="1069"/>
      <c r="CBL286" s="1069"/>
      <c r="CBM286" s="1069"/>
      <c r="CBN286" s="1069"/>
      <c r="CBO286" s="1069"/>
      <c r="CBP286" s="1069"/>
      <c r="CBQ286" s="1069"/>
      <c r="CBR286" s="1069"/>
      <c r="CBS286" s="1069"/>
      <c r="CBT286" s="1069"/>
      <c r="CBU286" s="1069"/>
      <c r="CBV286" s="1069"/>
      <c r="CBW286" s="1069"/>
      <c r="CBX286" s="1069"/>
      <c r="CBY286" s="1069"/>
      <c r="CBZ286" s="1069"/>
      <c r="CCA286" s="1069"/>
      <c r="CCB286" s="1069"/>
      <c r="CCC286" s="1069"/>
      <c r="CCD286" s="1069"/>
      <c r="CCE286" s="1069"/>
      <c r="CCF286" s="1069"/>
      <c r="CCG286" s="1069"/>
      <c r="CCH286" s="1069"/>
      <c r="CCI286" s="1069"/>
      <c r="CCJ286" s="1069"/>
      <c r="CCK286" s="1069"/>
      <c r="CCL286" s="1069"/>
      <c r="CCM286" s="1069"/>
      <c r="CCN286" s="1069"/>
      <c r="CCO286" s="1069"/>
      <c r="CCP286" s="1069"/>
      <c r="CCQ286" s="1069"/>
      <c r="CCR286" s="1069"/>
      <c r="CCS286" s="1069"/>
      <c r="CCT286" s="1069"/>
      <c r="CCU286" s="1069"/>
      <c r="CCV286" s="1069"/>
      <c r="CCW286" s="1069"/>
      <c r="CCX286" s="1069"/>
      <c r="CCY286" s="1069"/>
      <c r="CCZ286" s="1069"/>
      <c r="CDA286" s="1069"/>
      <c r="CDB286" s="1069"/>
      <c r="CDC286" s="1069"/>
      <c r="CDD286" s="1069"/>
      <c r="CDE286" s="1069"/>
      <c r="CDF286" s="1069"/>
      <c r="CDG286" s="1069"/>
      <c r="CDH286" s="1069"/>
      <c r="CDI286" s="1069"/>
      <c r="CDJ286" s="1069"/>
      <c r="CDK286" s="1069"/>
      <c r="CDL286" s="1069"/>
      <c r="CDM286" s="1069"/>
      <c r="CDN286" s="1069"/>
      <c r="CDO286" s="1069"/>
      <c r="CDP286" s="1069"/>
      <c r="CDQ286" s="1069"/>
      <c r="CDR286" s="1069"/>
      <c r="CDS286" s="1069"/>
      <c r="CDT286" s="1069"/>
      <c r="CDU286" s="1069"/>
      <c r="CDV286" s="1069"/>
      <c r="CDW286" s="1069"/>
      <c r="CDX286" s="1069"/>
      <c r="CDY286" s="1069"/>
      <c r="CDZ286" s="1069"/>
      <c r="CEA286" s="1069"/>
      <c r="CEB286" s="1069"/>
      <c r="CEC286" s="1069"/>
      <c r="CED286" s="1069"/>
      <c r="CEE286" s="1069"/>
      <c r="CEF286" s="1069"/>
      <c r="CEG286" s="1069"/>
      <c r="CEH286" s="1069"/>
      <c r="CEI286" s="1069"/>
      <c r="CEJ286" s="1069"/>
      <c r="CEK286" s="1069"/>
      <c r="CEL286" s="1069"/>
      <c r="CEM286" s="1069"/>
      <c r="CEN286" s="1069"/>
      <c r="CEO286" s="1069"/>
      <c r="CEP286" s="1069"/>
      <c r="CEQ286" s="1069"/>
      <c r="CER286" s="1069"/>
      <c r="CES286" s="1069"/>
      <c r="CET286" s="1069"/>
      <c r="CEU286" s="1069"/>
      <c r="CEV286" s="1069"/>
      <c r="CEW286" s="1069"/>
      <c r="CEX286" s="1069"/>
      <c r="CEY286" s="1069"/>
      <c r="CEZ286" s="1069"/>
      <c r="CFA286" s="1069"/>
      <c r="CFB286" s="1069"/>
      <c r="CFC286" s="1069"/>
      <c r="CFD286" s="1069"/>
      <c r="CFE286" s="1069"/>
      <c r="CFF286" s="1069"/>
      <c r="CFG286" s="1069"/>
      <c r="CFH286" s="1069"/>
      <c r="CFI286" s="1069"/>
      <c r="CFJ286" s="1069"/>
      <c r="CFK286" s="1069"/>
      <c r="CFL286" s="1069"/>
      <c r="CFM286" s="1069"/>
      <c r="CFN286" s="1069"/>
      <c r="CFO286" s="1069"/>
      <c r="CFP286" s="1069"/>
      <c r="CFQ286" s="1069"/>
      <c r="CFR286" s="1069"/>
      <c r="CFS286" s="1069"/>
      <c r="CFT286" s="1069"/>
      <c r="CFU286" s="1069"/>
      <c r="CFV286" s="1069"/>
      <c r="CFW286" s="1069"/>
      <c r="CFX286" s="1069"/>
      <c r="CFY286" s="1069"/>
      <c r="CFZ286" s="1069"/>
      <c r="CGA286" s="1069"/>
      <c r="CGB286" s="1069"/>
      <c r="CGC286" s="1069"/>
      <c r="CGD286" s="1069"/>
      <c r="CGE286" s="1069"/>
      <c r="CGF286" s="1069"/>
      <c r="CGG286" s="1069"/>
      <c r="CGH286" s="1069"/>
      <c r="CGI286" s="1069"/>
      <c r="CGJ286" s="1069"/>
      <c r="CGK286" s="1069"/>
      <c r="CGL286" s="1069"/>
      <c r="CGM286" s="1069"/>
      <c r="CGN286" s="1069"/>
      <c r="CGO286" s="1069"/>
      <c r="CGP286" s="1069"/>
      <c r="CGQ286" s="1069"/>
      <c r="CGR286" s="1069"/>
      <c r="CGS286" s="1069"/>
      <c r="CGT286" s="1069"/>
      <c r="CGU286" s="1069"/>
      <c r="CGV286" s="1069"/>
      <c r="CGW286" s="1069"/>
      <c r="CGX286" s="1069"/>
      <c r="CGY286" s="1069"/>
      <c r="CGZ286" s="1069"/>
      <c r="CHA286" s="1069"/>
      <c r="CHB286" s="1069"/>
      <c r="CHC286" s="1069"/>
      <c r="CHD286" s="1069"/>
      <c r="CHE286" s="1069"/>
      <c r="CHF286" s="1069"/>
      <c r="CHG286" s="1069"/>
      <c r="CHH286" s="1069"/>
      <c r="CHI286" s="1069"/>
      <c r="CHJ286" s="1069"/>
      <c r="CHK286" s="1069"/>
      <c r="CHL286" s="1069"/>
      <c r="CHM286" s="1069"/>
      <c r="CHN286" s="1069"/>
      <c r="CHO286" s="1069"/>
      <c r="CHP286" s="1069"/>
      <c r="CHQ286" s="1069"/>
      <c r="CHR286" s="1069"/>
      <c r="CHS286" s="1069"/>
      <c r="CHT286" s="1069"/>
      <c r="CHU286" s="1069"/>
      <c r="CHV286" s="1069"/>
      <c r="CHW286" s="1069"/>
      <c r="CHX286" s="1069"/>
      <c r="CHY286" s="1069"/>
      <c r="CHZ286" s="1069"/>
      <c r="CIA286" s="1069"/>
      <c r="CIB286" s="1069"/>
      <c r="CIC286" s="1069"/>
      <c r="CID286" s="1069"/>
      <c r="CIE286" s="1069"/>
      <c r="CIF286" s="1069"/>
      <c r="CIG286" s="1069"/>
      <c r="CIH286" s="1069"/>
      <c r="CII286" s="1069"/>
      <c r="CIJ286" s="1069"/>
      <c r="CIK286" s="1069"/>
      <c r="CIL286" s="1069"/>
      <c r="CIM286" s="1069"/>
      <c r="CIN286" s="1069"/>
      <c r="CIO286" s="1069"/>
      <c r="CIP286" s="1069"/>
      <c r="CIQ286" s="1069"/>
      <c r="CIR286" s="1069"/>
      <c r="CIS286" s="1069"/>
      <c r="CIT286" s="1069"/>
      <c r="CIU286" s="1069"/>
      <c r="CIV286" s="1069"/>
      <c r="CIW286" s="1069"/>
      <c r="CIX286" s="1069"/>
      <c r="CIY286" s="1069"/>
      <c r="CIZ286" s="1069"/>
      <c r="CJA286" s="1069"/>
      <c r="CJB286" s="1069"/>
      <c r="CJC286" s="1069"/>
      <c r="CJD286" s="1069"/>
      <c r="CJE286" s="1069"/>
      <c r="CJF286" s="1069"/>
      <c r="CJG286" s="1069"/>
      <c r="CJH286" s="1069"/>
      <c r="CJI286" s="1069"/>
      <c r="CJJ286" s="1069"/>
      <c r="CJK286" s="1069"/>
      <c r="CJL286" s="1069"/>
      <c r="CJM286" s="1069"/>
      <c r="CJN286" s="1069"/>
      <c r="CJO286" s="1069"/>
      <c r="CJP286" s="1069"/>
      <c r="CJQ286" s="1069"/>
      <c r="CJR286" s="1069"/>
      <c r="CJS286" s="1069"/>
      <c r="CJT286" s="1069"/>
      <c r="CJU286" s="1069"/>
      <c r="CJV286" s="1069"/>
      <c r="CJW286" s="1069"/>
      <c r="CJX286" s="1069"/>
      <c r="CJY286" s="1069"/>
      <c r="CJZ286" s="1069"/>
      <c r="CKA286" s="1069"/>
      <c r="CKB286" s="1069"/>
      <c r="CKC286" s="1069"/>
      <c r="CKD286" s="1069"/>
      <c r="CKE286" s="1069"/>
      <c r="CKF286" s="1069"/>
      <c r="CKG286" s="1069"/>
      <c r="CKH286" s="1069"/>
      <c r="CKI286" s="1069"/>
      <c r="CKJ286" s="1069"/>
      <c r="CKK286" s="1069"/>
      <c r="CKL286" s="1069"/>
      <c r="CKM286" s="1069"/>
      <c r="CKN286" s="1069"/>
      <c r="CKO286" s="1069"/>
      <c r="CKP286" s="1069"/>
      <c r="CKQ286" s="1069"/>
      <c r="CKR286" s="1069"/>
      <c r="CKS286" s="1069"/>
      <c r="CKT286" s="1069"/>
      <c r="CKU286" s="1069"/>
      <c r="CKV286" s="1069"/>
      <c r="CKW286" s="1069"/>
      <c r="CKX286" s="1069"/>
      <c r="CKY286" s="1069"/>
      <c r="CKZ286" s="1069"/>
      <c r="CLA286" s="1069"/>
      <c r="CLB286" s="1069"/>
      <c r="CLC286" s="1069"/>
      <c r="CLD286" s="1069"/>
      <c r="CLE286" s="1069"/>
      <c r="CLF286" s="1069"/>
      <c r="CLG286" s="1069"/>
      <c r="CLH286" s="1069"/>
      <c r="CLI286" s="1069"/>
      <c r="CLJ286" s="1069"/>
      <c r="CLK286" s="1069"/>
      <c r="CLL286" s="1069"/>
      <c r="CLM286" s="1069"/>
      <c r="CLN286" s="1069"/>
      <c r="CLO286" s="1069"/>
      <c r="CLP286" s="1069"/>
      <c r="CLQ286" s="1069"/>
      <c r="CLR286" s="1069"/>
      <c r="CLS286" s="1069"/>
      <c r="CLT286" s="1069"/>
      <c r="CLU286" s="1069"/>
      <c r="CLV286" s="1069"/>
      <c r="CLW286" s="1069"/>
      <c r="CLX286" s="1069"/>
      <c r="CLY286" s="1069"/>
      <c r="CLZ286" s="1069"/>
      <c r="CMA286" s="1069"/>
      <c r="CMB286" s="1069"/>
      <c r="CMC286" s="1069"/>
      <c r="CMD286" s="1069"/>
      <c r="CME286" s="1069"/>
      <c r="CMF286" s="1069"/>
      <c r="CMG286" s="1069"/>
      <c r="CMH286" s="1069"/>
      <c r="CMI286" s="1069"/>
      <c r="CMJ286" s="1069"/>
      <c r="CMK286" s="1069"/>
      <c r="CML286" s="1069"/>
      <c r="CMM286" s="1069"/>
      <c r="CMN286" s="1069"/>
      <c r="CMO286" s="1069"/>
      <c r="CMP286" s="1069"/>
      <c r="CMQ286" s="1069"/>
      <c r="CMR286" s="1069"/>
      <c r="CMS286" s="1069"/>
      <c r="CMT286" s="1069"/>
      <c r="CMU286" s="1069"/>
      <c r="CMV286" s="1069"/>
      <c r="CMW286" s="1069"/>
      <c r="CMX286" s="1069"/>
      <c r="CMY286" s="1069"/>
      <c r="CMZ286" s="1069"/>
      <c r="CNA286" s="1069"/>
      <c r="CNB286" s="1069"/>
      <c r="CNC286" s="1069"/>
      <c r="CND286" s="1069"/>
      <c r="CNE286" s="1069"/>
      <c r="CNF286" s="1069"/>
      <c r="CNG286" s="1069"/>
      <c r="CNH286" s="1069"/>
      <c r="CNI286" s="1069"/>
      <c r="CNJ286" s="1069"/>
      <c r="CNK286" s="1069"/>
      <c r="CNL286" s="1069"/>
      <c r="CNM286" s="1069"/>
      <c r="CNN286" s="1069"/>
      <c r="CNO286" s="1069"/>
      <c r="CNP286" s="1069"/>
      <c r="CNQ286" s="1069"/>
      <c r="CNR286" s="1069"/>
      <c r="CNS286" s="1069"/>
      <c r="CNT286" s="1069"/>
      <c r="CNU286" s="1069"/>
      <c r="CNV286" s="1069"/>
      <c r="CNW286" s="1069"/>
      <c r="CNX286" s="1069"/>
      <c r="CNY286" s="1069"/>
      <c r="CNZ286" s="1069"/>
      <c r="COA286" s="1069"/>
      <c r="COB286" s="1069"/>
      <c r="COC286" s="1069"/>
      <c r="COD286" s="1069"/>
      <c r="COE286" s="1069"/>
      <c r="COF286" s="1069"/>
      <c r="COG286" s="1069"/>
      <c r="COH286" s="1069"/>
      <c r="COI286" s="1069"/>
      <c r="COJ286" s="1069"/>
      <c r="COK286" s="1069"/>
      <c r="COL286" s="1069"/>
      <c r="COM286" s="1069"/>
      <c r="CON286" s="1069"/>
      <c r="COO286" s="1069"/>
      <c r="COP286" s="1069"/>
      <c r="COQ286" s="1069"/>
      <c r="COR286" s="1069"/>
      <c r="COS286" s="1069"/>
      <c r="COT286" s="1069"/>
      <c r="COU286" s="1069"/>
      <c r="COV286" s="1069"/>
      <c r="COW286" s="1069"/>
      <c r="COX286" s="1069"/>
      <c r="COY286" s="1069"/>
      <c r="COZ286" s="1069"/>
      <c r="CPA286" s="1069"/>
      <c r="CPB286" s="1069"/>
      <c r="CPC286" s="1069"/>
      <c r="CPD286" s="1069"/>
      <c r="CPE286" s="1069"/>
      <c r="CPF286" s="1069"/>
      <c r="CPG286" s="1069"/>
      <c r="CPH286" s="1069"/>
      <c r="CPI286" s="1069"/>
      <c r="CPJ286" s="1069"/>
      <c r="CPK286" s="1069"/>
      <c r="CPL286" s="1069"/>
      <c r="CPM286" s="1069"/>
      <c r="CPN286" s="1069"/>
      <c r="CPO286" s="1069"/>
      <c r="CPP286" s="1069"/>
      <c r="CPQ286" s="1069"/>
      <c r="CPR286" s="1069"/>
      <c r="CPS286" s="1069"/>
      <c r="CPT286" s="1069"/>
      <c r="CPU286" s="1069"/>
      <c r="CPV286" s="1069"/>
      <c r="CPW286" s="1069"/>
      <c r="CPX286" s="1069"/>
      <c r="CPY286" s="1069"/>
      <c r="CPZ286" s="1069"/>
      <c r="CQA286" s="1069"/>
      <c r="CQB286" s="1069"/>
      <c r="CQC286" s="1069"/>
      <c r="CQD286" s="1069"/>
      <c r="CQE286" s="1069"/>
      <c r="CQF286" s="1069"/>
      <c r="CQG286" s="1069"/>
      <c r="CQH286" s="1069"/>
      <c r="CQI286" s="1069"/>
      <c r="CQJ286" s="1069"/>
      <c r="CQK286" s="1069"/>
      <c r="CQL286" s="1069"/>
      <c r="CQM286" s="1069"/>
      <c r="CQN286" s="1069"/>
      <c r="CQO286" s="1069"/>
      <c r="CQP286" s="1069"/>
      <c r="CQQ286" s="1069"/>
      <c r="CQR286" s="1069"/>
      <c r="CQS286" s="1069"/>
      <c r="CQT286" s="1069"/>
      <c r="CQU286" s="1069"/>
      <c r="CQV286" s="1069"/>
      <c r="CQW286" s="1069"/>
      <c r="CQX286" s="1069"/>
      <c r="CQY286" s="1069"/>
      <c r="CQZ286" s="1069"/>
      <c r="CRA286" s="1069"/>
      <c r="CRB286" s="1069"/>
      <c r="CRC286" s="1069"/>
      <c r="CRD286" s="1069"/>
      <c r="CRE286" s="1069"/>
      <c r="CRF286" s="1069"/>
      <c r="CRG286" s="1069"/>
      <c r="CRH286" s="1069"/>
      <c r="CRI286" s="1069"/>
      <c r="CRJ286" s="1069"/>
      <c r="CRK286" s="1069"/>
      <c r="CRL286" s="1069"/>
      <c r="CRM286" s="1069"/>
      <c r="CRN286" s="1069"/>
      <c r="CRO286" s="1069"/>
      <c r="CRP286" s="1069"/>
      <c r="CRQ286" s="1069"/>
      <c r="CRR286" s="1069"/>
      <c r="CRS286" s="1069"/>
      <c r="CRT286" s="1069"/>
      <c r="CRU286" s="1069"/>
      <c r="CRV286" s="1069"/>
      <c r="CRW286" s="1069"/>
      <c r="CRX286" s="1069"/>
      <c r="CRY286" s="1069"/>
      <c r="CRZ286" s="1069"/>
      <c r="CSA286" s="1069"/>
      <c r="CSB286" s="1069"/>
      <c r="CSC286" s="1069"/>
      <c r="CSD286" s="1069"/>
      <c r="CSE286" s="1069"/>
      <c r="CSF286" s="1069"/>
      <c r="CSG286" s="1069"/>
      <c r="CSH286" s="1069"/>
      <c r="CSI286" s="1069"/>
      <c r="CSJ286" s="1069"/>
      <c r="CSK286" s="1069"/>
      <c r="CSL286" s="1069"/>
      <c r="CSM286" s="1069"/>
      <c r="CSN286" s="1069"/>
      <c r="CSO286" s="1069"/>
      <c r="CSP286" s="1069"/>
      <c r="CSQ286" s="1069"/>
      <c r="CSR286" s="1069"/>
      <c r="CSS286" s="1069"/>
      <c r="CST286" s="1069"/>
      <c r="CSU286" s="1069"/>
      <c r="CSV286" s="1069"/>
      <c r="CSW286" s="1069"/>
      <c r="CSX286" s="1069"/>
      <c r="CSY286" s="1069"/>
      <c r="CSZ286" s="1069"/>
      <c r="CTA286" s="1069"/>
      <c r="CTB286" s="1069"/>
      <c r="CTC286" s="1069"/>
      <c r="CTD286" s="1069"/>
      <c r="CTE286" s="1069"/>
      <c r="CTF286" s="1069"/>
      <c r="CTG286" s="1069"/>
      <c r="CTH286" s="1069"/>
      <c r="CTI286" s="1069"/>
      <c r="CTJ286" s="1069"/>
      <c r="CTK286" s="1069"/>
      <c r="CTL286" s="1069"/>
      <c r="CTM286" s="1069"/>
      <c r="CTN286" s="1069"/>
      <c r="CTO286" s="1069"/>
      <c r="CTP286" s="1069"/>
      <c r="CTQ286" s="1069"/>
      <c r="CTR286" s="1069"/>
      <c r="CTS286" s="1069"/>
      <c r="CTT286" s="1069"/>
      <c r="CTU286" s="1069"/>
      <c r="CTV286" s="1069"/>
      <c r="CTW286" s="1069"/>
      <c r="CTX286" s="1069"/>
      <c r="CTY286" s="1069"/>
      <c r="CTZ286" s="1069"/>
      <c r="CUA286" s="1069"/>
      <c r="CUB286" s="1069"/>
      <c r="CUC286" s="1069"/>
      <c r="CUD286" s="1069"/>
      <c r="CUE286" s="1069"/>
      <c r="CUF286" s="1069"/>
      <c r="CUG286" s="1069"/>
      <c r="CUH286" s="1069"/>
      <c r="CUI286" s="1069"/>
      <c r="CUJ286" s="1069"/>
      <c r="CUK286" s="1069"/>
      <c r="CUL286" s="1069"/>
      <c r="CUM286" s="1069"/>
      <c r="CUN286" s="1069"/>
      <c r="CUO286" s="1069"/>
      <c r="CUP286" s="1069"/>
      <c r="CUQ286" s="1069"/>
      <c r="CUR286" s="1069"/>
      <c r="CUS286" s="1069"/>
      <c r="CUT286" s="1069"/>
      <c r="CUU286" s="1069"/>
      <c r="CUV286" s="1069"/>
      <c r="CUW286" s="1069"/>
      <c r="CUX286" s="1069"/>
      <c r="CUY286" s="1069"/>
      <c r="CUZ286" s="1069"/>
      <c r="CVA286" s="1069"/>
      <c r="CVB286" s="1069"/>
      <c r="CVC286" s="1069"/>
      <c r="CVD286" s="1069"/>
      <c r="CVE286" s="1069"/>
      <c r="CVF286" s="1069"/>
      <c r="CVG286" s="1069"/>
      <c r="CVH286" s="1069"/>
      <c r="CVI286" s="1069"/>
      <c r="CVJ286" s="1069"/>
      <c r="CVK286" s="1069"/>
      <c r="CVL286" s="1069"/>
      <c r="CVM286" s="1069"/>
      <c r="CVN286" s="1069"/>
      <c r="CVO286" s="1069"/>
      <c r="CVP286" s="1069"/>
      <c r="CVQ286" s="1069"/>
      <c r="CVR286" s="1069"/>
      <c r="CVS286" s="1069"/>
      <c r="CVT286" s="1069"/>
      <c r="CVU286" s="1069"/>
      <c r="CVV286" s="1069"/>
      <c r="CVW286" s="1069"/>
      <c r="CVX286" s="1069"/>
      <c r="CVY286" s="1069"/>
      <c r="CVZ286" s="1069"/>
      <c r="CWA286" s="1069"/>
      <c r="CWB286" s="1069"/>
      <c r="CWC286" s="1069"/>
      <c r="CWD286" s="1069"/>
      <c r="CWE286" s="1069"/>
      <c r="CWF286" s="1069"/>
      <c r="CWG286" s="1069"/>
      <c r="CWH286" s="1069"/>
      <c r="CWI286" s="1069"/>
      <c r="CWJ286" s="1069"/>
      <c r="CWK286" s="1069"/>
      <c r="CWL286" s="1069"/>
      <c r="CWM286" s="1069"/>
      <c r="CWN286" s="1069"/>
      <c r="CWO286" s="1069"/>
      <c r="CWP286" s="1069"/>
      <c r="CWQ286" s="1069"/>
      <c r="CWR286" s="1069"/>
      <c r="CWS286" s="1069"/>
      <c r="CWT286" s="1069"/>
      <c r="CWU286" s="1069"/>
      <c r="CWV286" s="1069"/>
      <c r="CWW286" s="1069"/>
      <c r="CWX286" s="1069"/>
      <c r="CWY286" s="1069"/>
      <c r="CWZ286" s="1069"/>
      <c r="CXA286" s="1069"/>
      <c r="CXB286" s="1069"/>
      <c r="CXC286" s="1069"/>
      <c r="CXD286" s="1069"/>
      <c r="CXE286" s="1069"/>
      <c r="CXF286" s="1069"/>
      <c r="CXG286" s="1069"/>
      <c r="CXH286" s="1069"/>
      <c r="CXI286" s="1069"/>
      <c r="CXJ286" s="1069"/>
      <c r="CXK286" s="1069"/>
      <c r="CXL286" s="1069"/>
      <c r="CXM286" s="1069"/>
      <c r="CXN286" s="1069"/>
      <c r="CXO286" s="1069"/>
      <c r="CXP286" s="1069"/>
      <c r="CXQ286" s="1069"/>
      <c r="CXR286" s="1069"/>
      <c r="CXS286" s="1069"/>
      <c r="CXT286" s="1069"/>
      <c r="CXU286" s="1069"/>
      <c r="CXV286" s="1069"/>
      <c r="CXW286" s="1069"/>
      <c r="CXX286" s="1069"/>
      <c r="CXY286" s="1069"/>
      <c r="CXZ286" s="1069"/>
      <c r="CYA286" s="1069"/>
      <c r="CYB286" s="1069"/>
      <c r="CYC286" s="1069"/>
      <c r="CYD286" s="1069"/>
      <c r="CYE286" s="1069"/>
      <c r="CYF286" s="1069"/>
      <c r="CYG286" s="1069"/>
      <c r="CYH286" s="1069"/>
      <c r="CYI286" s="1069"/>
      <c r="CYJ286" s="1069"/>
      <c r="CYK286" s="1069"/>
      <c r="CYL286" s="1069"/>
      <c r="CYM286" s="1069"/>
      <c r="CYN286" s="1069"/>
      <c r="CYO286" s="1069"/>
      <c r="CYP286" s="1069"/>
      <c r="CYQ286" s="1069"/>
      <c r="CYR286" s="1069"/>
      <c r="CYS286" s="1069"/>
      <c r="CYT286" s="1069"/>
      <c r="CYU286" s="1069"/>
      <c r="CYV286" s="1069"/>
      <c r="CYW286" s="1069"/>
      <c r="CYX286" s="1069"/>
      <c r="CYY286" s="1069"/>
      <c r="CYZ286" s="1069"/>
      <c r="CZA286" s="1069"/>
      <c r="CZB286" s="1069"/>
      <c r="CZC286" s="1069"/>
      <c r="CZD286" s="1069"/>
      <c r="CZE286" s="1069"/>
      <c r="CZF286" s="1069"/>
      <c r="CZG286" s="1069"/>
      <c r="CZH286" s="1069"/>
      <c r="CZI286" s="1069"/>
      <c r="CZJ286" s="1069"/>
      <c r="CZK286" s="1069"/>
      <c r="CZL286" s="1069"/>
      <c r="CZM286" s="1069"/>
      <c r="CZN286" s="1069"/>
      <c r="CZO286" s="1069"/>
      <c r="CZP286" s="1069"/>
      <c r="CZQ286" s="1069"/>
      <c r="CZR286" s="1069"/>
      <c r="CZS286" s="1069"/>
      <c r="CZT286" s="1069"/>
      <c r="CZU286" s="1069"/>
      <c r="CZV286" s="1069"/>
      <c r="CZW286" s="1069"/>
      <c r="CZX286" s="1069"/>
      <c r="CZY286" s="1069"/>
      <c r="CZZ286" s="1069"/>
      <c r="DAA286" s="1069"/>
      <c r="DAB286" s="1069"/>
      <c r="DAC286" s="1069"/>
      <c r="DAD286" s="1069"/>
      <c r="DAE286" s="1069"/>
      <c r="DAF286" s="1069"/>
      <c r="DAG286" s="1069"/>
      <c r="DAH286" s="1069"/>
      <c r="DAI286" s="1069"/>
      <c r="DAJ286" s="1069"/>
      <c r="DAK286" s="1069"/>
      <c r="DAL286" s="1069"/>
      <c r="DAM286" s="1069"/>
      <c r="DAN286" s="1069"/>
      <c r="DAO286" s="1069"/>
      <c r="DAP286" s="1069"/>
      <c r="DAQ286" s="1069"/>
      <c r="DAR286" s="1069"/>
      <c r="DAS286" s="1069"/>
      <c r="DAT286" s="1069"/>
      <c r="DAU286" s="1069"/>
      <c r="DAV286" s="1069"/>
      <c r="DAW286" s="1069"/>
      <c r="DAX286" s="1069"/>
      <c r="DAY286" s="1069"/>
      <c r="DAZ286" s="1069"/>
      <c r="DBA286" s="1069"/>
      <c r="DBB286" s="1069"/>
      <c r="DBC286" s="1069"/>
      <c r="DBD286" s="1069"/>
      <c r="DBE286" s="1069"/>
      <c r="DBF286" s="1069"/>
      <c r="DBG286" s="1069"/>
      <c r="DBH286" s="1069"/>
      <c r="DBI286" s="1069"/>
      <c r="DBJ286" s="1069"/>
      <c r="DBK286" s="1069"/>
      <c r="DBL286" s="1069"/>
      <c r="DBM286" s="1069"/>
      <c r="DBN286" s="1069"/>
      <c r="DBO286" s="1069"/>
      <c r="DBP286" s="1069"/>
      <c r="DBQ286" s="1069"/>
      <c r="DBR286" s="1069"/>
      <c r="DBS286" s="1069"/>
      <c r="DBT286" s="1069"/>
      <c r="DBU286" s="1069"/>
      <c r="DBV286" s="1069"/>
      <c r="DBW286" s="1069"/>
      <c r="DBX286" s="1069"/>
      <c r="DBY286" s="1069"/>
      <c r="DBZ286" s="1069"/>
      <c r="DCA286" s="1069"/>
      <c r="DCB286" s="1069"/>
      <c r="DCC286" s="1069"/>
      <c r="DCD286" s="1069"/>
      <c r="DCE286" s="1069"/>
      <c r="DCF286" s="1069"/>
      <c r="DCG286" s="1069"/>
      <c r="DCH286" s="1069"/>
      <c r="DCI286" s="1069"/>
      <c r="DCJ286" s="1069"/>
      <c r="DCK286" s="1069"/>
      <c r="DCL286" s="1069"/>
      <c r="DCM286" s="1069"/>
      <c r="DCN286" s="1069"/>
      <c r="DCO286" s="1069"/>
      <c r="DCP286" s="1069"/>
      <c r="DCQ286" s="1069"/>
      <c r="DCR286" s="1069"/>
      <c r="DCS286" s="1069"/>
      <c r="DCT286" s="1069"/>
      <c r="DCU286" s="1069"/>
      <c r="DCV286" s="1069"/>
      <c r="DCW286" s="1069"/>
      <c r="DCX286" s="1069"/>
      <c r="DCY286" s="1069"/>
      <c r="DCZ286" s="1069"/>
      <c r="DDA286" s="1069"/>
      <c r="DDB286" s="1069"/>
      <c r="DDC286" s="1069"/>
      <c r="DDD286" s="1069"/>
      <c r="DDE286" s="1069"/>
      <c r="DDF286" s="1069"/>
      <c r="DDG286" s="1069"/>
      <c r="DDH286" s="1069"/>
      <c r="DDI286" s="1069"/>
      <c r="DDJ286" s="1069"/>
      <c r="DDK286" s="1069"/>
      <c r="DDL286" s="1069"/>
      <c r="DDM286" s="1069"/>
      <c r="DDN286" s="1069"/>
      <c r="DDO286" s="1069"/>
      <c r="DDP286" s="1069"/>
      <c r="DDQ286" s="1069"/>
      <c r="DDR286" s="1069"/>
      <c r="DDS286" s="1069"/>
      <c r="DDT286" s="1069"/>
      <c r="DDU286" s="1069"/>
      <c r="DDV286" s="1069"/>
      <c r="DDW286" s="1069"/>
      <c r="DDX286" s="1069"/>
      <c r="DDY286" s="1069"/>
      <c r="DDZ286" s="1069"/>
      <c r="DEA286" s="1069"/>
      <c r="DEB286" s="1069"/>
      <c r="DEC286" s="1069"/>
      <c r="DED286" s="1069"/>
      <c r="DEE286" s="1069"/>
      <c r="DEF286" s="1069"/>
      <c r="DEG286" s="1069"/>
      <c r="DEH286" s="1069"/>
      <c r="DEI286" s="1069"/>
      <c r="DEJ286" s="1069"/>
      <c r="DEK286" s="1069"/>
      <c r="DEL286" s="1069"/>
      <c r="DEM286" s="1069"/>
      <c r="DEN286" s="1069"/>
      <c r="DEO286" s="1069"/>
      <c r="DEP286" s="1069"/>
      <c r="DEQ286" s="1069"/>
      <c r="DER286" s="1069"/>
      <c r="DES286" s="1069"/>
      <c r="DET286" s="1069"/>
      <c r="DEU286" s="1069"/>
      <c r="DEV286" s="1069"/>
      <c r="DEW286" s="1069"/>
      <c r="DEX286" s="1069"/>
      <c r="DEY286" s="1069"/>
      <c r="DEZ286" s="1069"/>
      <c r="DFA286" s="1069"/>
      <c r="DFB286" s="1069"/>
      <c r="DFC286" s="1069"/>
      <c r="DFD286" s="1069"/>
      <c r="DFE286" s="1069"/>
      <c r="DFF286" s="1069"/>
      <c r="DFG286" s="1069"/>
      <c r="DFH286" s="1069"/>
      <c r="DFI286" s="1069"/>
      <c r="DFJ286" s="1069"/>
      <c r="DFK286" s="1069"/>
      <c r="DFL286" s="1069"/>
      <c r="DFM286" s="1069"/>
      <c r="DFN286" s="1069"/>
      <c r="DFO286" s="1069"/>
      <c r="DFP286" s="1069"/>
      <c r="DFQ286" s="1069"/>
      <c r="DFR286" s="1069"/>
      <c r="DFS286" s="1069"/>
      <c r="DFT286" s="1069"/>
      <c r="DFU286" s="1069"/>
      <c r="DFV286" s="1069"/>
      <c r="DFW286" s="1069"/>
      <c r="DFX286" s="1069"/>
      <c r="DFY286" s="1069"/>
      <c r="DFZ286" s="1069"/>
      <c r="DGA286" s="1069"/>
      <c r="DGB286" s="1069"/>
      <c r="DGC286" s="1069"/>
      <c r="DGD286" s="1069"/>
      <c r="DGE286" s="1069"/>
      <c r="DGF286" s="1069"/>
      <c r="DGG286" s="1069"/>
      <c r="DGH286" s="1069"/>
      <c r="DGI286" s="1069"/>
      <c r="DGJ286" s="1069"/>
      <c r="DGK286" s="1069"/>
      <c r="DGL286" s="1069"/>
      <c r="DGM286" s="1069"/>
      <c r="DGN286" s="1069"/>
      <c r="DGO286" s="1069"/>
      <c r="DGP286" s="1069"/>
      <c r="DGQ286" s="1069"/>
      <c r="DGR286" s="1069"/>
      <c r="DGS286" s="1069"/>
      <c r="DGT286" s="1069"/>
      <c r="DGU286" s="1069"/>
      <c r="DGV286" s="1069"/>
      <c r="DGW286" s="1069"/>
      <c r="DGX286" s="1069"/>
      <c r="DGY286" s="1069"/>
      <c r="DGZ286" s="1069"/>
      <c r="DHA286" s="1069"/>
      <c r="DHB286" s="1069"/>
      <c r="DHC286" s="1069"/>
      <c r="DHD286" s="1069"/>
      <c r="DHE286" s="1069"/>
      <c r="DHF286" s="1069"/>
      <c r="DHG286" s="1069"/>
      <c r="DHH286" s="1069"/>
      <c r="DHI286" s="1069"/>
      <c r="DHJ286" s="1069"/>
      <c r="DHK286" s="1069"/>
      <c r="DHL286" s="1069"/>
      <c r="DHM286" s="1069"/>
      <c r="DHN286" s="1069"/>
      <c r="DHO286" s="1069"/>
      <c r="DHP286" s="1069"/>
      <c r="DHQ286" s="1069"/>
      <c r="DHR286" s="1069"/>
      <c r="DHS286" s="1069"/>
      <c r="DHT286" s="1069"/>
      <c r="DHU286" s="1069"/>
      <c r="DHV286" s="1069"/>
      <c r="DHW286" s="1069"/>
      <c r="DHX286" s="1069"/>
      <c r="DHY286" s="1069"/>
      <c r="DHZ286" s="1069"/>
      <c r="DIA286" s="1069"/>
      <c r="DIB286" s="1069"/>
      <c r="DIC286" s="1069"/>
      <c r="DID286" s="1069"/>
      <c r="DIE286" s="1069"/>
      <c r="DIF286" s="1069"/>
      <c r="DIG286" s="1069"/>
      <c r="DIH286" s="1069"/>
      <c r="DII286" s="1069"/>
      <c r="DIJ286" s="1069"/>
      <c r="DIK286" s="1069"/>
      <c r="DIL286" s="1069"/>
      <c r="DIM286" s="1069"/>
      <c r="DIN286" s="1069"/>
      <c r="DIO286" s="1069"/>
      <c r="DIP286" s="1069"/>
      <c r="DIQ286" s="1069"/>
      <c r="DIR286" s="1069"/>
      <c r="DIS286" s="1069"/>
      <c r="DIT286" s="1069"/>
      <c r="DIU286" s="1069"/>
      <c r="DIV286" s="1069"/>
      <c r="DIW286" s="1069"/>
      <c r="DIX286" s="1069"/>
      <c r="DIY286" s="1069"/>
      <c r="DIZ286" s="1069"/>
      <c r="DJA286" s="1069"/>
      <c r="DJB286" s="1069"/>
      <c r="DJC286" s="1069"/>
      <c r="DJD286" s="1069"/>
      <c r="DJE286" s="1069"/>
      <c r="DJF286" s="1069"/>
      <c r="DJG286" s="1069"/>
      <c r="DJH286" s="1069"/>
      <c r="DJI286" s="1069"/>
      <c r="DJJ286" s="1069"/>
      <c r="DJK286" s="1069"/>
      <c r="DJL286" s="1069"/>
      <c r="DJM286" s="1069"/>
      <c r="DJN286" s="1069"/>
      <c r="DJO286" s="1069"/>
      <c r="DJP286" s="1069"/>
      <c r="DJQ286" s="1069"/>
      <c r="DJR286" s="1069"/>
      <c r="DJS286" s="1069"/>
      <c r="DJT286" s="1069"/>
      <c r="DJU286" s="1069"/>
      <c r="DJV286" s="1069"/>
      <c r="DJW286" s="1069"/>
      <c r="DJX286" s="1069"/>
      <c r="DJY286" s="1069"/>
      <c r="DJZ286" s="1069"/>
      <c r="DKA286" s="1069"/>
      <c r="DKB286" s="1069"/>
      <c r="DKC286" s="1069"/>
      <c r="DKD286" s="1069"/>
      <c r="DKE286" s="1069"/>
      <c r="DKF286" s="1069"/>
      <c r="DKG286" s="1069"/>
      <c r="DKH286" s="1069"/>
      <c r="DKI286" s="1069"/>
      <c r="DKJ286" s="1069"/>
      <c r="DKK286" s="1069"/>
      <c r="DKL286" s="1069"/>
      <c r="DKM286" s="1069"/>
      <c r="DKN286" s="1069"/>
      <c r="DKO286" s="1069"/>
      <c r="DKP286" s="1069"/>
      <c r="DKQ286" s="1069"/>
      <c r="DKR286" s="1069"/>
      <c r="DKS286" s="1069"/>
      <c r="DKT286" s="1069"/>
      <c r="DKU286" s="1069"/>
      <c r="DKV286" s="1069"/>
      <c r="DKW286" s="1069"/>
      <c r="DKX286" s="1069"/>
      <c r="DKY286" s="1069"/>
      <c r="DKZ286" s="1069"/>
      <c r="DLA286" s="1069"/>
      <c r="DLB286" s="1069"/>
      <c r="DLC286" s="1069"/>
      <c r="DLD286" s="1069"/>
      <c r="DLE286" s="1069"/>
      <c r="DLF286" s="1069"/>
      <c r="DLG286" s="1069"/>
      <c r="DLH286" s="1069"/>
      <c r="DLI286" s="1069"/>
      <c r="DLJ286" s="1069"/>
      <c r="DLK286" s="1069"/>
      <c r="DLL286" s="1069"/>
      <c r="DLM286" s="1069"/>
      <c r="DLN286" s="1069"/>
      <c r="DLO286" s="1069"/>
      <c r="DLP286" s="1069"/>
      <c r="DLQ286" s="1069"/>
      <c r="DLR286" s="1069"/>
      <c r="DLS286" s="1069"/>
      <c r="DLT286" s="1069"/>
      <c r="DLU286" s="1069"/>
      <c r="DLV286" s="1069"/>
      <c r="DLW286" s="1069"/>
      <c r="DLX286" s="1069"/>
      <c r="DLY286" s="1069"/>
      <c r="DLZ286" s="1069"/>
      <c r="DMA286" s="1069"/>
      <c r="DMB286" s="1069"/>
      <c r="DMC286" s="1069"/>
      <c r="DMD286" s="1069"/>
      <c r="DME286" s="1069"/>
      <c r="DMF286" s="1069"/>
      <c r="DMG286" s="1069"/>
      <c r="DMH286" s="1069"/>
      <c r="DMI286" s="1069"/>
      <c r="DMJ286" s="1069"/>
      <c r="DMK286" s="1069"/>
      <c r="DML286" s="1069"/>
      <c r="DMM286" s="1069"/>
      <c r="DMN286" s="1069"/>
      <c r="DMO286" s="1069"/>
      <c r="DMP286" s="1069"/>
      <c r="DMQ286" s="1069"/>
      <c r="DMR286" s="1069"/>
      <c r="DMS286" s="1069"/>
      <c r="DMT286" s="1069"/>
      <c r="DMU286" s="1069"/>
      <c r="DMV286" s="1069"/>
      <c r="DMW286" s="1069"/>
      <c r="DMX286" s="1069"/>
      <c r="DMY286" s="1069"/>
      <c r="DMZ286" s="1069"/>
      <c r="DNA286" s="1069"/>
      <c r="DNB286" s="1069"/>
      <c r="DNC286" s="1069"/>
      <c r="DND286" s="1069"/>
      <c r="DNE286" s="1069"/>
      <c r="DNF286" s="1069"/>
      <c r="DNG286" s="1069"/>
      <c r="DNH286" s="1069"/>
      <c r="DNI286" s="1069"/>
      <c r="DNJ286" s="1069"/>
      <c r="DNK286" s="1069"/>
      <c r="DNL286" s="1069"/>
      <c r="DNM286" s="1069"/>
      <c r="DNN286" s="1069"/>
      <c r="DNO286" s="1069"/>
      <c r="DNP286" s="1069"/>
      <c r="DNQ286" s="1069"/>
      <c r="DNR286" s="1069"/>
      <c r="DNS286" s="1069"/>
      <c r="DNT286" s="1069"/>
      <c r="DNU286" s="1069"/>
      <c r="DNV286" s="1069"/>
      <c r="DNW286" s="1069"/>
      <c r="DNX286" s="1069"/>
      <c r="DNY286" s="1069"/>
      <c r="DNZ286" s="1069"/>
      <c r="DOA286" s="1069"/>
      <c r="DOB286" s="1069"/>
      <c r="DOC286" s="1069"/>
      <c r="DOD286" s="1069"/>
      <c r="DOE286" s="1069"/>
      <c r="DOF286" s="1069"/>
      <c r="DOG286" s="1069"/>
      <c r="DOH286" s="1069"/>
      <c r="DOI286" s="1069"/>
      <c r="DOJ286" s="1069"/>
      <c r="DOK286" s="1069"/>
      <c r="DOL286" s="1069"/>
      <c r="DOM286" s="1069"/>
      <c r="DON286" s="1069"/>
      <c r="DOO286" s="1069"/>
      <c r="DOP286" s="1069"/>
      <c r="DOQ286" s="1069"/>
      <c r="DOR286" s="1069"/>
      <c r="DOS286" s="1069"/>
      <c r="DOT286" s="1069"/>
      <c r="DOU286" s="1069"/>
      <c r="DOV286" s="1069"/>
      <c r="DOW286" s="1069"/>
      <c r="DOX286" s="1069"/>
      <c r="DOY286" s="1069"/>
      <c r="DOZ286" s="1069"/>
      <c r="DPA286" s="1069"/>
      <c r="DPB286" s="1069"/>
      <c r="DPC286" s="1069"/>
      <c r="DPD286" s="1069"/>
      <c r="DPE286" s="1069"/>
      <c r="DPF286" s="1069"/>
      <c r="DPG286" s="1069"/>
      <c r="DPH286" s="1069"/>
      <c r="DPI286" s="1069"/>
      <c r="DPJ286" s="1069"/>
      <c r="DPK286" s="1069"/>
      <c r="DPL286" s="1069"/>
      <c r="DPM286" s="1069"/>
      <c r="DPN286" s="1069"/>
      <c r="DPO286" s="1069"/>
      <c r="DPP286" s="1069"/>
      <c r="DPQ286" s="1069"/>
      <c r="DPR286" s="1069"/>
      <c r="DPS286" s="1069"/>
      <c r="DPT286" s="1069"/>
      <c r="DPU286" s="1069"/>
      <c r="DPV286" s="1069"/>
      <c r="DPW286" s="1069"/>
      <c r="DPX286" s="1069"/>
      <c r="DPY286" s="1069"/>
      <c r="DPZ286" s="1069"/>
      <c r="DQA286" s="1069"/>
      <c r="DQB286" s="1069"/>
      <c r="DQC286" s="1069"/>
      <c r="DQD286" s="1069"/>
      <c r="DQE286" s="1069"/>
      <c r="DQF286" s="1069"/>
      <c r="DQG286" s="1069"/>
      <c r="DQH286" s="1069"/>
      <c r="DQI286" s="1069"/>
      <c r="DQJ286" s="1069"/>
      <c r="DQK286" s="1069"/>
      <c r="DQL286" s="1069"/>
      <c r="DQM286" s="1069"/>
      <c r="DQN286" s="1069"/>
      <c r="DQO286" s="1069"/>
      <c r="DQP286" s="1069"/>
      <c r="DQQ286" s="1069"/>
      <c r="DQR286" s="1069"/>
      <c r="DQS286" s="1069"/>
      <c r="DQT286" s="1069"/>
      <c r="DQU286" s="1069"/>
      <c r="DQV286" s="1069"/>
      <c r="DQW286" s="1069"/>
      <c r="DQX286" s="1069"/>
      <c r="DQY286" s="1069"/>
      <c r="DQZ286" s="1069"/>
      <c r="DRA286" s="1069"/>
      <c r="DRB286" s="1069"/>
      <c r="DRC286" s="1069"/>
      <c r="DRD286" s="1069"/>
      <c r="DRE286" s="1069"/>
      <c r="DRF286" s="1069"/>
      <c r="DRG286" s="1069"/>
      <c r="DRH286" s="1069"/>
      <c r="DRI286" s="1069"/>
      <c r="DRJ286" s="1069"/>
      <c r="DRK286" s="1069"/>
      <c r="DRL286" s="1069"/>
      <c r="DRM286" s="1069"/>
      <c r="DRN286" s="1069"/>
      <c r="DRO286" s="1069"/>
      <c r="DRP286" s="1069"/>
      <c r="DRQ286" s="1069"/>
      <c r="DRR286" s="1069"/>
      <c r="DRS286" s="1069"/>
      <c r="DRT286" s="1069"/>
      <c r="DRU286" s="1069"/>
      <c r="DRV286" s="1069"/>
      <c r="DRW286" s="1069"/>
      <c r="DRX286" s="1069"/>
      <c r="DRY286" s="1069"/>
      <c r="DRZ286" s="1069"/>
      <c r="DSA286" s="1069"/>
      <c r="DSB286" s="1069"/>
      <c r="DSC286" s="1069"/>
      <c r="DSD286" s="1069"/>
      <c r="DSE286" s="1069"/>
      <c r="DSF286" s="1069"/>
      <c r="DSG286" s="1069"/>
      <c r="DSH286" s="1069"/>
      <c r="DSI286" s="1069"/>
      <c r="DSJ286" s="1069"/>
      <c r="DSK286" s="1069"/>
      <c r="DSL286" s="1069"/>
      <c r="DSM286" s="1069"/>
      <c r="DSN286" s="1069"/>
      <c r="DSO286" s="1069"/>
      <c r="DSP286" s="1069"/>
      <c r="DSQ286" s="1069"/>
      <c r="DSR286" s="1069"/>
      <c r="DSS286" s="1069"/>
      <c r="DST286" s="1069"/>
      <c r="DSU286" s="1069"/>
      <c r="DSV286" s="1069"/>
      <c r="DSW286" s="1069"/>
      <c r="DSX286" s="1069"/>
      <c r="DSY286" s="1069"/>
      <c r="DSZ286" s="1069"/>
      <c r="DTA286" s="1069"/>
      <c r="DTB286" s="1069"/>
      <c r="DTC286" s="1069"/>
      <c r="DTD286" s="1069"/>
      <c r="DTE286" s="1069"/>
      <c r="DTF286" s="1069"/>
      <c r="DTG286" s="1069"/>
      <c r="DTH286" s="1069"/>
      <c r="DTI286" s="1069"/>
      <c r="DTJ286" s="1069"/>
      <c r="DTK286" s="1069"/>
      <c r="DTL286" s="1069"/>
      <c r="DTM286" s="1069"/>
      <c r="DTN286" s="1069"/>
      <c r="DTO286" s="1069"/>
      <c r="DTP286" s="1069"/>
      <c r="DTQ286" s="1069"/>
      <c r="DTR286" s="1069"/>
      <c r="DTS286" s="1069"/>
      <c r="DTT286" s="1069"/>
      <c r="DTU286" s="1069"/>
      <c r="DTV286" s="1069"/>
      <c r="DTW286" s="1069"/>
      <c r="DTX286" s="1069"/>
      <c r="DTY286" s="1069"/>
      <c r="DTZ286" s="1069"/>
      <c r="DUA286" s="1069"/>
      <c r="DUB286" s="1069"/>
      <c r="DUC286" s="1069"/>
      <c r="DUD286" s="1069"/>
      <c r="DUE286" s="1069"/>
      <c r="DUF286" s="1069"/>
      <c r="DUG286" s="1069"/>
      <c r="DUH286" s="1069"/>
      <c r="DUI286" s="1069"/>
      <c r="DUJ286" s="1069"/>
      <c r="DUK286" s="1069"/>
      <c r="DUL286" s="1069"/>
      <c r="DUM286" s="1069"/>
      <c r="DUN286" s="1069"/>
      <c r="DUO286" s="1069"/>
      <c r="DUP286" s="1069"/>
      <c r="DUQ286" s="1069"/>
      <c r="DUR286" s="1069"/>
      <c r="DUS286" s="1069"/>
      <c r="DUT286" s="1069"/>
      <c r="DUU286" s="1069"/>
      <c r="DUV286" s="1069"/>
      <c r="DUW286" s="1069"/>
      <c r="DUX286" s="1069"/>
      <c r="DUY286" s="1069"/>
      <c r="DUZ286" s="1069"/>
      <c r="DVA286" s="1069"/>
      <c r="DVB286" s="1069"/>
      <c r="DVC286" s="1069"/>
      <c r="DVD286" s="1069"/>
      <c r="DVE286" s="1069"/>
      <c r="DVF286" s="1069"/>
      <c r="DVG286" s="1069"/>
      <c r="DVH286" s="1069"/>
      <c r="DVI286" s="1069"/>
      <c r="DVJ286" s="1069"/>
      <c r="DVK286" s="1069"/>
      <c r="DVL286" s="1069"/>
      <c r="DVM286" s="1069"/>
      <c r="DVN286" s="1069"/>
      <c r="DVO286" s="1069"/>
      <c r="DVP286" s="1069"/>
      <c r="DVQ286" s="1069"/>
      <c r="DVR286" s="1069"/>
      <c r="DVS286" s="1069"/>
      <c r="DVT286" s="1069"/>
      <c r="DVU286" s="1069"/>
      <c r="DVV286" s="1069"/>
      <c r="DVW286" s="1069"/>
      <c r="DVX286" s="1069"/>
      <c r="DVY286" s="1069"/>
      <c r="DVZ286" s="1069"/>
      <c r="DWA286" s="1069"/>
      <c r="DWB286" s="1069"/>
      <c r="DWC286" s="1069"/>
      <c r="DWD286" s="1069"/>
      <c r="DWE286" s="1069"/>
      <c r="DWF286" s="1069"/>
      <c r="DWG286" s="1069"/>
      <c r="DWH286" s="1069"/>
      <c r="DWI286" s="1069"/>
      <c r="DWJ286" s="1069"/>
      <c r="DWK286" s="1069"/>
      <c r="DWL286" s="1069"/>
      <c r="DWM286" s="1069"/>
      <c r="DWN286" s="1069"/>
      <c r="DWO286" s="1069"/>
      <c r="DWP286" s="1069"/>
      <c r="DWQ286" s="1069"/>
      <c r="DWR286" s="1069"/>
      <c r="DWS286" s="1069"/>
      <c r="DWT286" s="1069"/>
      <c r="DWU286" s="1069"/>
      <c r="DWV286" s="1069"/>
      <c r="DWW286" s="1069"/>
      <c r="DWX286" s="1069"/>
      <c r="DWY286" s="1069"/>
      <c r="DWZ286" s="1069"/>
      <c r="DXA286" s="1069"/>
      <c r="DXB286" s="1069"/>
      <c r="DXC286" s="1069"/>
      <c r="DXD286" s="1069"/>
      <c r="DXE286" s="1069"/>
      <c r="DXF286" s="1069"/>
      <c r="DXG286" s="1069"/>
      <c r="DXH286" s="1069"/>
      <c r="DXI286" s="1069"/>
      <c r="DXJ286" s="1069"/>
      <c r="DXK286" s="1069"/>
      <c r="DXL286" s="1069"/>
      <c r="DXM286" s="1069"/>
      <c r="DXN286" s="1069"/>
      <c r="DXO286" s="1069"/>
      <c r="DXP286" s="1069"/>
      <c r="DXQ286" s="1069"/>
      <c r="DXR286" s="1069"/>
      <c r="DXS286" s="1069"/>
      <c r="DXT286" s="1069"/>
      <c r="DXU286" s="1069"/>
      <c r="DXV286" s="1069"/>
      <c r="DXW286" s="1069"/>
      <c r="DXX286" s="1069"/>
      <c r="DXY286" s="1069"/>
      <c r="DXZ286" s="1069"/>
      <c r="DYA286" s="1069"/>
      <c r="DYB286" s="1069"/>
      <c r="DYC286" s="1069"/>
      <c r="DYD286" s="1069"/>
      <c r="DYE286" s="1069"/>
      <c r="DYF286" s="1069"/>
      <c r="DYG286" s="1069"/>
      <c r="DYH286" s="1069"/>
      <c r="DYI286" s="1069"/>
      <c r="DYJ286" s="1069"/>
      <c r="DYK286" s="1069"/>
      <c r="DYL286" s="1069"/>
      <c r="DYM286" s="1069"/>
      <c r="DYN286" s="1069"/>
      <c r="DYO286" s="1069"/>
      <c r="DYP286" s="1069"/>
      <c r="DYQ286" s="1069"/>
      <c r="DYR286" s="1069"/>
      <c r="DYS286" s="1069"/>
      <c r="DYT286" s="1069"/>
      <c r="DYU286" s="1069"/>
      <c r="DYV286" s="1069"/>
      <c r="DYW286" s="1069"/>
      <c r="DYX286" s="1069"/>
      <c r="DYY286" s="1069"/>
      <c r="DYZ286" s="1069"/>
      <c r="DZA286" s="1069"/>
      <c r="DZB286" s="1069"/>
      <c r="DZC286" s="1069"/>
      <c r="DZD286" s="1069"/>
      <c r="DZE286" s="1069"/>
      <c r="DZF286" s="1069"/>
      <c r="DZG286" s="1069"/>
      <c r="DZH286" s="1069"/>
      <c r="DZI286" s="1069"/>
      <c r="DZJ286" s="1069"/>
      <c r="DZK286" s="1069"/>
      <c r="DZL286" s="1069"/>
      <c r="DZM286" s="1069"/>
      <c r="DZN286" s="1069"/>
      <c r="DZO286" s="1069"/>
      <c r="DZP286" s="1069"/>
      <c r="DZQ286" s="1069"/>
      <c r="DZR286" s="1069"/>
      <c r="DZS286" s="1069"/>
      <c r="DZT286" s="1069"/>
      <c r="DZU286" s="1069"/>
      <c r="DZV286" s="1069"/>
      <c r="DZW286" s="1069"/>
      <c r="DZX286" s="1069"/>
      <c r="DZY286" s="1069"/>
      <c r="DZZ286" s="1069"/>
      <c r="EAA286" s="1069"/>
      <c r="EAB286" s="1069"/>
      <c r="EAC286" s="1069"/>
      <c r="EAD286" s="1069"/>
      <c r="EAE286" s="1069"/>
      <c r="EAF286" s="1069"/>
      <c r="EAG286" s="1069"/>
      <c r="EAH286" s="1069"/>
      <c r="EAI286" s="1069"/>
      <c r="EAJ286" s="1069"/>
      <c r="EAK286" s="1069"/>
      <c r="EAL286" s="1069"/>
      <c r="EAM286" s="1069"/>
      <c r="EAN286" s="1069"/>
      <c r="EAO286" s="1069"/>
      <c r="EAP286" s="1069"/>
      <c r="EAQ286" s="1069"/>
      <c r="EAR286" s="1069"/>
      <c r="EAS286" s="1069"/>
      <c r="EAT286" s="1069"/>
      <c r="EAU286" s="1069"/>
      <c r="EAV286" s="1069"/>
      <c r="EAW286" s="1069"/>
      <c r="EAX286" s="1069"/>
      <c r="EAY286" s="1069"/>
      <c r="EAZ286" s="1069"/>
      <c r="EBA286" s="1069"/>
      <c r="EBB286" s="1069"/>
      <c r="EBC286" s="1069"/>
      <c r="EBD286" s="1069"/>
      <c r="EBE286" s="1069"/>
      <c r="EBF286" s="1069"/>
      <c r="EBG286" s="1069"/>
      <c r="EBH286" s="1069"/>
      <c r="EBI286" s="1069"/>
      <c r="EBJ286" s="1069"/>
      <c r="EBK286" s="1069"/>
      <c r="EBL286" s="1069"/>
      <c r="EBM286" s="1069"/>
      <c r="EBN286" s="1069"/>
      <c r="EBO286" s="1069"/>
      <c r="EBP286" s="1069"/>
      <c r="EBQ286" s="1069"/>
      <c r="EBR286" s="1069"/>
      <c r="EBS286" s="1069"/>
      <c r="EBT286" s="1069"/>
      <c r="EBU286" s="1069"/>
      <c r="EBV286" s="1069"/>
      <c r="EBW286" s="1069"/>
      <c r="EBX286" s="1069"/>
      <c r="EBY286" s="1069"/>
      <c r="EBZ286" s="1069"/>
      <c r="ECA286" s="1069"/>
      <c r="ECB286" s="1069"/>
      <c r="ECC286" s="1069"/>
      <c r="ECD286" s="1069"/>
      <c r="ECE286" s="1069"/>
      <c r="ECF286" s="1069"/>
      <c r="ECG286" s="1069"/>
      <c r="ECH286" s="1069"/>
      <c r="ECI286" s="1069"/>
      <c r="ECJ286" s="1069"/>
      <c r="ECK286" s="1069"/>
      <c r="ECL286" s="1069"/>
      <c r="ECM286" s="1069"/>
      <c r="ECN286" s="1069"/>
      <c r="ECO286" s="1069"/>
      <c r="ECP286" s="1069"/>
      <c r="ECQ286" s="1069"/>
      <c r="ECR286" s="1069"/>
      <c r="ECS286" s="1069"/>
      <c r="ECT286" s="1069"/>
      <c r="ECU286" s="1069"/>
      <c r="ECV286" s="1069"/>
      <c r="ECW286" s="1069"/>
      <c r="ECX286" s="1069"/>
      <c r="ECY286" s="1069"/>
      <c r="ECZ286" s="1069"/>
      <c r="EDA286" s="1069"/>
      <c r="EDB286" s="1069"/>
      <c r="EDC286" s="1069"/>
      <c r="EDD286" s="1069"/>
      <c r="EDE286" s="1069"/>
      <c r="EDF286" s="1069"/>
      <c r="EDG286" s="1069"/>
      <c r="EDH286" s="1069"/>
      <c r="EDI286" s="1069"/>
      <c r="EDJ286" s="1069"/>
      <c r="EDK286" s="1069"/>
      <c r="EDL286" s="1069"/>
      <c r="EDM286" s="1069"/>
      <c r="EDN286" s="1069"/>
      <c r="EDO286" s="1069"/>
      <c r="EDP286" s="1069"/>
      <c r="EDQ286" s="1069"/>
      <c r="EDR286" s="1069"/>
      <c r="EDS286" s="1069"/>
      <c r="EDT286" s="1069"/>
      <c r="EDU286" s="1069"/>
      <c r="EDV286" s="1069"/>
      <c r="EDW286" s="1069"/>
      <c r="EDX286" s="1069"/>
      <c r="EDY286" s="1069"/>
      <c r="EDZ286" s="1069"/>
      <c r="EEA286" s="1069"/>
      <c r="EEB286" s="1069"/>
      <c r="EEC286" s="1069"/>
      <c r="EED286" s="1069"/>
      <c r="EEE286" s="1069"/>
      <c r="EEF286" s="1069"/>
      <c r="EEG286" s="1069"/>
      <c r="EEH286" s="1069"/>
      <c r="EEI286" s="1069"/>
      <c r="EEJ286" s="1069"/>
      <c r="EEK286" s="1069"/>
      <c r="EEL286" s="1069"/>
      <c r="EEM286" s="1069"/>
      <c r="EEN286" s="1069"/>
      <c r="EEO286" s="1069"/>
      <c r="EEP286" s="1069"/>
      <c r="EEQ286" s="1069"/>
      <c r="EER286" s="1069"/>
      <c r="EES286" s="1069"/>
      <c r="EET286" s="1069"/>
      <c r="EEU286" s="1069"/>
      <c r="EEV286" s="1069"/>
      <c r="EEW286" s="1069"/>
      <c r="EEX286" s="1069"/>
      <c r="EEY286" s="1069"/>
      <c r="EEZ286" s="1069"/>
      <c r="EFA286" s="1069"/>
      <c r="EFB286" s="1069"/>
      <c r="EFC286" s="1069"/>
      <c r="EFD286" s="1069"/>
      <c r="EFE286" s="1069"/>
      <c r="EFF286" s="1069"/>
      <c r="EFG286" s="1069"/>
      <c r="EFH286" s="1069"/>
      <c r="EFI286" s="1069"/>
      <c r="EFJ286" s="1069"/>
      <c r="EFK286" s="1069"/>
      <c r="EFL286" s="1069"/>
      <c r="EFM286" s="1069"/>
      <c r="EFN286" s="1069"/>
      <c r="EFO286" s="1069"/>
      <c r="EFP286" s="1069"/>
      <c r="EFQ286" s="1069"/>
      <c r="EFR286" s="1069"/>
      <c r="EFS286" s="1069"/>
      <c r="EFT286" s="1069"/>
      <c r="EFU286" s="1069"/>
      <c r="EFV286" s="1069"/>
      <c r="EFW286" s="1069"/>
      <c r="EFX286" s="1069"/>
      <c r="EFY286" s="1069"/>
      <c r="EFZ286" s="1069"/>
      <c r="EGA286" s="1069"/>
      <c r="EGB286" s="1069"/>
      <c r="EGC286" s="1069"/>
      <c r="EGD286" s="1069"/>
      <c r="EGE286" s="1069"/>
      <c r="EGF286" s="1069"/>
      <c r="EGG286" s="1069"/>
      <c r="EGH286" s="1069"/>
      <c r="EGI286" s="1069"/>
      <c r="EGJ286" s="1069"/>
      <c r="EGK286" s="1069"/>
      <c r="EGL286" s="1069"/>
      <c r="EGM286" s="1069"/>
      <c r="EGN286" s="1069"/>
      <c r="EGO286" s="1069"/>
      <c r="EGP286" s="1069"/>
      <c r="EGQ286" s="1069"/>
      <c r="EGR286" s="1069"/>
      <c r="EGS286" s="1069"/>
      <c r="EGT286" s="1069"/>
      <c r="EGU286" s="1069"/>
      <c r="EGV286" s="1069"/>
      <c r="EGW286" s="1069"/>
      <c r="EGX286" s="1069"/>
      <c r="EGY286" s="1069"/>
      <c r="EGZ286" s="1069"/>
      <c r="EHA286" s="1069"/>
      <c r="EHB286" s="1069"/>
      <c r="EHC286" s="1069"/>
      <c r="EHD286" s="1069"/>
      <c r="EHE286" s="1069"/>
      <c r="EHF286" s="1069"/>
      <c r="EHG286" s="1069"/>
      <c r="EHH286" s="1069"/>
      <c r="EHI286" s="1069"/>
      <c r="EHJ286" s="1069"/>
      <c r="EHK286" s="1069"/>
      <c r="EHL286" s="1069"/>
      <c r="EHM286" s="1069"/>
      <c r="EHN286" s="1069"/>
      <c r="EHO286" s="1069"/>
      <c r="EHP286" s="1069"/>
      <c r="EHQ286" s="1069"/>
      <c r="EHR286" s="1069"/>
      <c r="EHS286" s="1069"/>
      <c r="EHT286" s="1069"/>
      <c r="EHU286" s="1069"/>
      <c r="EHV286" s="1069"/>
      <c r="EHW286" s="1069"/>
      <c r="EHX286" s="1069"/>
      <c r="EHY286" s="1069"/>
      <c r="EHZ286" s="1069"/>
      <c r="EIA286" s="1069"/>
      <c r="EIB286" s="1069"/>
      <c r="EIC286" s="1069"/>
      <c r="EID286" s="1069"/>
      <c r="EIE286" s="1069"/>
      <c r="EIF286" s="1069"/>
      <c r="EIG286" s="1069"/>
      <c r="EIH286" s="1069"/>
      <c r="EII286" s="1069"/>
      <c r="EIJ286" s="1069"/>
      <c r="EIK286" s="1069"/>
      <c r="EIL286" s="1069"/>
      <c r="EIM286" s="1069"/>
      <c r="EIN286" s="1069"/>
      <c r="EIO286" s="1069"/>
      <c r="EIP286" s="1069"/>
      <c r="EIQ286" s="1069"/>
      <c r="EIR286" s="1069"/>
      <c r="EIS286" s="1069"/>
      <c r="EIT286" s="1069"/>
      <c r="EIU286" s="1069"/>
      <c r="EIV286" s="1069"/>
      <c r="EIW286" s="1069"/>
      <c r="EIX286" s="1069"/>
      <c r="EIY286" s="1069"/>
      <c r="EIZ286" s="1069"/>
      <c r="EJA286" s="1069"/>
      <c r="EJB286" s="1069"/>
      <c r="EJC286" s="1069"/>
      <c r="EJD286" s="1069"/>
      <c r="EJE286" s="1069"/>
      <c r="EJF286" s="1069"/>
      <c r="EJG286" s="1069"/>
      <c r="EJH286" s="1069"/>
      <c r="EJI286" s="1069"/>
      <c r="EJJ286" s="1069"/>
      <c r="EJK286" s="1069"/>
      <c r="EJL286" s="1069"/>
      <c r="EJM286" s="1069"/>
      <c r="EJN286" s="1069"/>
      <c r="EJO286" s="1069"/>
      <c r="EJP286" s="1069"/>
      <c r="EJQ286" s="1069"/>
      <c r="EJR286" s="1069"/>
      <c r="EJS286" s="1069"/>
      <c r="EJT286" s="1069"/>
      <c r="EJU286" s="1069"/>
      <c r="EJV286" s="1069"/>
      <c r="EJW286" s="1069"/>
      <c r="EJX286" s="1069"/>
      <c r="EJY286" s="1069"/>
      <c r="EJZ286" s="1069"/>
      <c r="EKA286" s="1069"/>
      <c r="EKB286" s="1069"/>
      <c r="EKC286" s="1069"/>
      <c r="EKD286" s="1069"/>
      <c r="EKE286" s="1069"/>
      <c r="EKF286" s="1069"/>
      <c r="EKG286" s="1069"/>
      <c r="EKH286" s="1069"/>
      <c r="EKI286" s="1069"/>
      <c r="EKJ286" s="1069"/>
      <c r="EKK286" s="1069"/>
      <c r="EKL286" s="1069"/>
      <c r="EKM286" s="1069"/>
      <c r="EKN286" s="1069"/>
      <c r="EKO286" s="1069"/>
      <c r="EKP286" s="1069"/>
      <c r="EKQ286" s="1069"/>
      <c r="EKR286" s="1069"/>
      <c r="EKS286" s="1069"/>
      <c r="EKT286" s="1069"/>
      <c r="EKU286" s="1069"/>
      <c r="EKV286" s="1069"/>
      <c r="EKW286" s="1069"/>
      <c r="EKX286" s="1069"/>
      <c r="EKY286" s="1069"/>
      <c r="EKZ286" s="1069"/>
      <c r="ELA286" s="1069"/>
      <c r="ELB286" s="1069"/>
      <c r="ELC286" s="1069"/>
      <c r="ELD286" s="1069"/>
      <c r="ELE286" s="1069"/>
      <c r="ELF286" s="1069"/>
      <c r="ELG286" s="1069"/>
      <c r="ELH286" s="1069"/>
      <c r="ELI286" s="1069"/>
      <c r="ELJ286" s="1069"/>
      <c r="ELK286" s="1069"/>
      <c r="ELL286" s="1069"/>
      <c r="ELM286" s="1069"/>
      <c r="ELN286" s="1069"/>
      <c r="ELO286" s="1069"/>
      <c r="ELP286" s="1069"/>
      <c r="ELQ286" s="1069"/>
      <c r="ELR286" s="1069"/>
      <c r="ELS286" s="1069"/>
      <c r="ELT286" s="1069"/>
      <c r="ELU286" s="1069"/>
      <c r="ELV286" s="1069"/>
      <c r="ELW286" s="1069"/>
      <c r="ELX286" s="1069"/>
      <c r="ELY286" s="1069"/>
      <c r="ELZ286" s="1069"/>
      <c r="EMA286" s="1069"/>
      <c r="EMB286" s="1069"/>
      <c r="EMC286" s="1069"/>
      <c r="EMD286" s="1069"/>
      <c r="EME286" s="1069"/>
      <c r="EMF286" s="1069"/>
      <c r="EMG286" s="1069"/>
      <c r="EMH286" s="1069"/>
      <c r="EMI286" s="1069"/>
      <c r="EMJ286" s="1069"/>
      <c r="EMK286" s="1069"/>
      <c r="EML286" s="1069"/>
      <c r="EMM286" s="1069"/>
      <c r="EMN286" s="1069"/>
      <c r="EMO286" s="1069"/>
      <c r="EMP286" s="1069"/>
      <c r="EMQ286" s="1069"/>
      <c r="EMR286" s="1069"/>
      <c r="EMS286" s="1069"/>
      <c r="EMT286" s="1069"/>
      <c r="EMU286" s="1069"/>
      <c r="EMV286" s="1069"/>
      <c r="EMW286" s="1069"/>
      <c r="EMX286" s="1069"/>
      <c r="EMY286" s="1069"/>
      <c r="EMZ286" s="1069"/>
      <c r="ENA286" s="1069"/>
      <c r="ENB286" s="1069"/>
      <c r="ENC286" s="1069"/>
      <c r="END286" s="1069"/>
      <c r="ENE286" s="1069"/>
      <c r="ENF286" s="1069"/>
      <c r="ENG286" s="1069"/>
      <c r="ENH286" s="1069"/>
      <c r="ENI286" s="1069"/>
      <c r="ENJ286" s="1069"/>
      <c r="ENK286" s="1069"/>
      <c r="ENL286" s="1069"/>
      <c r="ENM286" s="1069"/>
      <c r="ENN286" s="1069"/>
      <c r="ENO286" s="1069"/>
      <c r="ENP286" s="1069"/>
      <c r="ENQ286" s="1069"/>
      <c r="ENR286" s="1069"/>
      <c r="ENS286" s="1069"/>
      <c r="ENT286" s="1069"/>
      <c r="ENU286" s="1069"/>
      <c r="ENV286" s="1069"/>
      <c r="ENW286" s="1069"/>
      <c r="ENX286" s="1069"/>
      <c r="ENY286" s="1069"/>
      <c r="ENZ286" s="1069"/>
      <c r="EOA286" s="1069"/>
      <c r="EOB286" s="1069"/>
      <c r="EOC286" s="1069"/>
      <c r="EOD286" s="1069"/>
      <c r="EOE286" s="1069"/>
      <c r="EOF286" s="1069"/>
      <c r="EOG286" s="1069"/>
      <c r="EOH286" s="1069"/>
      <c r="EOI286" s="1069"/>
      <c r="EOJ286" s="1069"/>
      <c r="EOK286" s="1069"/>
      <c r="EOL286" s="1069"/>
      <c r="EOM286" s="1069"/>
      <c r="EON286" s="1069"/>
      <c r="EOO286" s="1069"/>
      <c r="EOP286" s="1069"/>
      <c r="EOQ286" s="1069"/>
      <c r="EOR286" s="1069"/>
      <c r="EOS286" s="1069"/>
      <c r="EOT286" s="1069"/>
      <c r="EOU286" s="1069"/>
      <c r="EOV286" s="1069"/>
      <c r="EOW286" s="1069"/>
      <c r="EOX286" s="1069"/>
      <c r="EOY286" s="1069"/>
      <c r="EOZ286" s="1069"/>
      <c r="EPA286" s="1069"/>
      <c r="EPB286" s="1069"/>
      <c r="EPC286" s="1069"/>
      <c r="EPD286" s="1069"/>
      <c r="EPE286" s="1069"/>
      <c r="EPF286" s="1069"/>
      <c r="EPG286" s="1069"/>
      <c r="EPH286" s="1069"/>
      <c r="EPI286" s="1069"/>
      <c r="EPJ286" s="1069"/>
      <c r="EPK286" s="1069"/>
      <c r="EPL286" s="1069"/>
      <c r="EPM286" s="1069"/>
      <c r="EPN286" s="1069"/>
      <c r="EPO286" s="1069"/>
      <c r="EPP286" s="1069"/>
      <c r="EPQ286" s="1069"/>
      <c r="EPR286" s="1069"/>
      <c r="EPS286" s="1069"/>
      <c r="EPT286" s="1069"/>
      <c r="EPU286" s="1069"/>
      <c r="EPV286" s="1069"/>
      <c r="EPW286" s="1069"/>
      <c r="EPX286" s="1069"/>
      <c r="EPY286" s="1069"/>
      <c r="EPZ286" s="1069"/>
      <c r="EQA286" s="1069"/>
      <c r="EQB286" s="1069"/>
      <c r="EQC286" s="1069"/>
      <c r="EQD286" s="1069"/>
      <c r="EQE286" s="1069"/>
      <c r="EQF286" s="1069"/>
      <c r="EQG286" s="1069"/>
      <c r="EQH286" s="1069"/>
      <c r="EQI286" s="1069"/>
      <c r="EQJ286" s="1069"/>
      <c r="EQK286" s="1069"/>
      <c r="EQL286" s="1069"/>
      <c r="EQM286" s="1069"/>
      <c r="EQN286" s="1069"/>
      <c r="EQO286" s="1069"/>
      <c r="EQP286" s="1069"/>
      <c r="EQQ286" s="1069"/>
      <c r="EQR286" s="1069"/>
      <c r="EQS286" s="1069"/>
      <c r="EQT286" s="1069"/>
      <c r="EQU286" s="1069"/>
      <c r="EQV286" s="1069"/>
      <c r="EQW286" s="1069"/>
      <c r="EQX286" s="1069"/>
      <c r="EQY286" s="1069"/>
      <c r="EQZ286" s="1069"/>
      <c r="ERA286" s="1069"/>
      <c r="ERB286" s="1069"/>
      <c r="ERC286" s="1069"/>
      <c r="ERD286" s="1069"/>
      <c r="ERE286" s="1069"/>
      <c r="ERF286" s="1069"/>
      <c r="ERG286" s="1069"/>
      <c r="ERH286" s="1069"/>
      <c r="ERI286" s="1069"/>
      <c r="ERJ286" s="1069"/>
      <c r="ERK286" s="1069"/>
      <c r="ERL286" s="1069"/>
      <c r="ERM286" s="1069"/>
      <c r="ERN286" s="1069"/>
      <c r="ERO286" s="1069"/>
      <c r="ERP286" s="1069"/>
      <c r="ERQ286" s="1069"/>
      <c r="ERR286" s="1069"/>
      <c r="ERS286" s="1069"/>
      <c r="ERT286" s="1069"/>
      <c r="ERU286" s="1069"/>
      <c r="ERV286" s="1069"/>
      <c r="ERW286" s="1069"/>
      <c r="ERX286" s="1069"/>
      <c r="ERY286" s="1069"/>
      <c r="ERZ286" s="1069"/>
      <c r="ESA286" s="1069"/>
      <c r="ESB286" s="1069"/>
      <c r="ESC286" s="1069"/>
      <c r="ESD286" s="1069"/>
      <c r="ESE286" s="1069"/>
      <c r="ESF286" s="1069"/>
      <c r="ESG286" s="1069"/>
      <c r="ESH286" s="1069"/>
      <c r="ESI286" s="1069"/>
      <c r="ESJ286" s="1069"/>
      <c r="ESK286" s="1069"/>
      <c r="ESL286" s="1069"/>
      <c r="ESM286" s="1069"/>
      <c r="ESN286" s="1069"/>
      <c r="ESO286" s="1069"/>
      <c r="ESP286" s="1069"/>
      <c r="ESQ286" s="1069"/>
      <c r="ESR286" s="1069"/>
      <c r="ESS286" s="1069"/>
      <c r="EST286" s="1069"/>
      <c r="ESU286" s="1069"/>
      <c r="ESV286" s="1069"/>
      <c r="ESW286" s="1069"/>
      <c r="ESX286" s="1069"/>
      <c r="ESY286" s="1069"/>
      <c r="ESZ286" s="1069"/>
      <c r="ETA286" s="1069"/>
      <c r="ETB286" s="1069"/>
      <c r="ETC286" s="1069"/>
      <c r="ETD286" s="1069"/>
      <c r="ETE286" s="1069"/>
      <c r="ETF286" s="1069"/>
      <c r="ETG286" s="1069"/>
      <c r="ETH286" s="1069"/>
      <c r="ETI286" s="1069"/>
      <c r="ETJ286" s="1069"/>
      <c r="ETK286" s="1069"/>
      <c r="ETL286" s="1069"/>
      <c r="ETM286" s="1069"/>
      <c r="ETN286" s="1069"/>
      <c r="ETO286" s="1069"/>
      <c r="ETP286" s="1069"/>
      <c r="ETQ286" s="1069"/>
      <c r="ETR286" s="1069"/>
      <c r="ETS286" s="1069"/>
      <c r="ETT286" s="1069"/>
      <c r="ETU286" s="1069"/>
      <c r="ETV286" s="1069"/>
      <c r="ETW286" s="1069"/>
      <c r="ETX286" s="1069"/>
      <c r="ETY286" s="1069"/>
      <c r="ETZ286" s="1069"/>
      <c r="EUA286" s="1069"/>
      <c r="EUB286" s="1069"/>
      <c r="EUC286" s="1069"/>
      <c r="EUD286" s="1069"/>
      <c r="EUE286" s="1069"/>
      <c r="EUF286" s="1069"/>
      <c r="EUG286" s="1069"/>
      <c r="EUH286" s="1069"/>
      <c r="EUI286" s="1069"/>
      <c r="EUJ286" s="1069"/>
      <c r="EUK286" s="1069"/>
      <c r="EUL286" s="1069"/>
      <c r="EUM286" s="1069"/>
      <c r="EUN286" s="1069"/>
      <c r="EUO286" s="1069"/>
      <c r="EUP286" s="1069"/>
      <c r="EUQ286" s="1069"/>
      <c r="EUR286" s="1069"/>
      <c r="EUS286" s="1069"/>
      <c r="EUT286" s="1069"/>
      <c r="EUU286" s="1069"/>
      <c r="EUV286" s="1069"/>
      <c r="EUW286" s="1069"/>
      <c r="EUX286" s="1069"/>
      <c r="EUY286" s="1069"/>
      <c r="EUZ286" s="1069"/>
      <c r="EVA286" s="1069"/>
      <c r="EVB286" s="1069"/>
      <c r="EVC286" s="1069"/>
      <c r="EVD286" s="1069"/>
      <c r="EVE286" s="1069"/>
      <c r="EVF286" s="1069"/>
      <c r="EVG286" s="1069"/>
      <c r="EVH286" s="1069"/>
      <c r="EVI286" s="1069"/>
      <c r="EVJ286" s="1069"/>
      <c r="EVK286" s="1069"/>
      <c r="EVL286" s="1069"/>
      <c r="EVM286" s="1069"/>
      <c r="EVN286" s="1069"/>
      <c r="EVO286" s="1069"/>
      <c r="EVP286" s="1069"/>
      <c r="EVQ286" s="1069"/>
      <c r="EVR286" s="1069"/>
      <c r="EVS286" s="1069"/>
      <c r="EVT286" s="1069"/>
      <c r="EVU286" s="1069"/>
      <c r="EVV286" s="1069"/>
      <c r="EVW286" s="1069"/>
      <c r="EVX286" s="1069"/>
      <c r="EVY286" s="1069"/>
      <c r="EVZ286" s="1069"/>
      <c r="EWA286" s="1069"/>
      <c r="EWB286" s="1069"/>
      <c r="EWC286" s="1069"/>
      <c r="EWD286" s="1069"/>
      <c r="EWE286" s="1069"/>
      <c r="EWF286" s="1069"/>
      <c r="EWG286" s="1069"/>
      <c r="EWH286" s="1069"/>
      <c r="EWI286" s="1069"/>
      <c r="EWJ286" s="1069"/>
      <c r="EWK286" s="1069"/>
      <c r="EWL286" s="1069"/>
      <c r="EWM286" s="1069"/>
      <c r="EWN286" s="1069"/>
      <c r="EWO286" s="1069"/>
      <c r="EWP286" s="1069"/>
      <c r="EWQ286" s="1069"/>
      <c r="EWR286" s="1069"/>
      <c r="EWS286" s="1069"/>
      <c r="EWT286" s="1069"/>
      <c r="EWU286" s="1069"/>
      <c r="EWV286" s="1069"/>
      <c r="EWW286" s="1069"/>
      <c r="EWX286" s="1069"/>
      <c r="EWY286" s="1069"/>
      <c r="EWZ286" s="1069"/>
      <c r="EXA286" s="1069"/>
      <c r="EXB286" s="1069"/>
      <c r="EXC286" s="1069"/>
      <c r="EXD286" s="1069"/>
      <c r="EXE286" s="1069"/>
      <c r="EXF286" s="1069"/>
      <c r="EXG286" s="1069"/>
      <c r="EXH286" s="1069"/>
      <c r="EXI286" s="1069"/>
      <c r="EXJ286" s="1069"/>
      <c r="EXK286" s="1069"/>
      <c r="EXL286" s="1069"/>
      <c r="EXM286" s="1069"/>
      <c r="EXN286" s="1069"/>
      <c r="EXO286" s="1069"/>
      <c r="EXP286" s="1069"/>
      <c r="EXQ286" s="1069"/>
      <c r="EXR286" s="1069"/>
      <c r="EXS286" s="1069"/>
      <c r="EXT286" s="1069"/>
      <c r="EXU286" s="1069"/>
      <c r="EXV286" s="1069"/>
      <c r="EXW286" s="1069"/>
      <c r="EXX286" s="1069"/>
      <c r="EXY286" s="1069"/>
      <c r="EXZ286" s="1069"/>
      <c r="EYA286" s="1069"/>
      <c r="EYB286" s="1069"/>
      <c r="EYC286" s="1069"/>
      <c r="EYD286" s="1069"/>
      <c r="EYE286" s="1069"/>
      <c r="EYF286" s="1069"/>
      <c r="EYG286" s="1069"/>
      <c r="EYH286" s="1069"/>
      <c r="EYI286" s="1069"/>
      <c r="EYJ286" s="1069"/>
      <c r="EYK286" s="1069"/>
      <c r="EYL286" s="1069"/>
      <c r="EYM286" s="1069"/>
      <c r="EYN286" s="1069"/>
      <c r="EYO286" s="1069"/>
      <c r="EYP286" s="1069"/>
      <c r="EYQ286" s="1069"/>
      <c r="EYR286" s="1069"/>
      <c r="EYS286" s="1069"/>
      <c r="EYT286" s="1069"/>
      <c r="EYU286" s="1069"/>
      <c r="EYV286" s="1069"/>
      <c r="EYW286" s="1069"/>
      <c r="EYX286" s="1069"/>
      <c r="EYY286" s="1069"/>
      <c r="EYZ286" s="1069"/>
      <c r="EZA286" s="1069"/>
      <c r="EZB286" s="1069"/>
      <c r="EZC286" s="1069"/>
      <c r="EZD286" s="1069"/>
      <c r="EZE286" s="1069"/>
      <c r="EZF286" s="1069"/>
      <c r="EZG286" s="1069"/>
      <c r="EZH286" s="1069"/>
      <c r="EZI286" s="1069"/>
      <c r="EZJ286" s="1069"/>
      <c r="EZK286" s="1069"/>
      <c r="EZL286" s="1069"/>
      <c r="EZM286" s="1069"/>
      <c r="EZN286" s="1069"/>
      <c r="EZO286" s="1069"/>
      <c r="EZP286" s="1069"/>
      <c r="EZQ286" s="1069"/>
      <c r="EZR286" s="1069"/>
      <c r="EZS286" s="1069"/>
      <c r="EZT286" s="1069"/>
      <c r="EZU286" s="1069"/>
      <c r="EZV286" s="1069"/>
      <c r="EZW286" s="1069"/>
      <c r="EZX286" s="1069"/>
      <c r="EZY286" s="1069"/>
      <c r="EZZ286" s="1069"/>
      <c r="FAA286" s="1069"/>
      <c r="FAB286" s="1069"/>
      <c r="FAC286" s="1069"/>
      <c r="FAD286" s="1069"/>
      <c r="FAE286" s="1069"/>
      <c r="FAF286" s="1069"/>
      <c r="FAG286" s="1069"/>
      <c r="FAH286" s="1069"/>
      <c r="FAI286" s="1069"/>
      <c r="FAJ286" s="1069"/>
      <c r="FAK286" s="1069"/>
      <c r="FAL286" s="1069"/>
      <c r="FAM286" s="1069"/>
      <c r="FAN286" s="1069"/>
      <c r="FAO286" s="1069"/>
      <c r="FAP286" s="1069"/>
      <c r="FAQ286" s="1069"/>
      <c r="FAR286" s="1069"/>
      <c r="FAS286" s="1069"/>
      <c r="FAT286" s="1069"/>
      <c r="FAU286" s="1069"/>
      <c r="FAV286" s="1069"/>
      <c r="FAW286" s="1069"/>
      <c r="FAX286" s="1069"/>
      <c r="FAY286" s="1069"/>
      <c r="FAZ286" s="1069"/>
      <c r="FBA286" s="1069"/>
      <c r="FBB286" s="1069"/>
      <c r="FBC286" s="1069"/>
      <c r="FBD286" s="1069"/>
      <c r="FBE286" s="1069"/>
      <c r="FBF286" s="1069"/>
      <c r="FBG286" s="1069"/>
      <c r="FBH286" s="1069"/>
      <c r="FBI286" s="1069"/>
      <c r="FBJ286" s="1069"/>
      <c r="FBK286" s="1069"/>
      <c r="FBL286" s="1069"/>
      <c r="FBM286" s="1069"/>
      <c r="FBN286" s="1069"/>
      <c r="FBO286" s="1069"/>
      <c r="FBP286" s="1069"/>
      <c r="FBQ286" s="1069"/>
      <c r="FBR286" s="1069"/>
      <c r="FBS286" s="1069"/>
      <c r="FBT286" s="1069"/>
      <c r="FBU286" s="1069"/>
      <c r="FBV286" s="1069"/>
      <c r="FBW286" s="1069"/>
      <c r="FBX286" s="1069"/>
      <c r="FBY286" s="1069"/>
      <c r="FBZ286" s="1069"/>
      <c r="FCA286" s="1069"/>
      <c r="FCB286" s="1069"/>
      <c r="FCC286" s="1069"/>
      <c r="FCD286" s="1069"/>
      <c r="FCE286" s="1069"/>
      <c r="FCF286" s="1069"/>
      <c r="FCG286" s="1069"/>
      <c r="FCH286" s="1069"/>
      <c r="FCI286" s="1069"/>
      <c r="FCJ286" s="1069"/>
      <c r="FCK286" s="1069"/>
      <c r="FCL286" s="1069"/>
      <c r="FCM286" s="1069"/>
      <c r="FCN286" s="1069"/>
      <c r="FCO286" s="1069"/>
      <c r="FCP286" s="1069"/>
      <c r="FCQ286" s="1069"/>
      <c r="FCR286" s="1069"/>
      <c r="FCS286" s="1069"/>
      <c r="FCT286" s="1069"/>
      <c r="FCU286" s="1069"/>
      <c r="FCV286" s="1069"/>
      <c r="FCW286" s="1069"/>
      <c r="FCX286" s="1069"/>
      <c r="FCY286" s="1069"/>
      <c r="FCZ286" s="1069"/>
      <c r="FDA286" s="1069"/>
      <c r="FDB286" s="1069"/>
      <c r="FDC286" s="1069"/>
      <c r="FDD286" s="1069"/>
      <c r="FDE286" s="1069"/>
      <c r="FDF286" s="1069"/>
      <c r="FDG286" s="1069"/>
      <c r="FDH286" s="1069"/>
      <c r="FDI286" s="1069"/>
      <c r="FDJ286" s="1069"/>
      <c r="FDK286" s="1069"/>
      <c r="FDL286" s="1069"/>
      <c r="FDM286" s="1069"/>
      <c r="FDN286" s="1069"/>
      <c r="FDO286" s="1069"/>
      <c r="FDP286" s="1069"/>
      <c r="FDQ286" s="1069"/>
      <c r="FDR286" s="1069"/>
      <c r="FDS286" s="1069"/>
      <c r="FDT286" s="1069"/>
      <c r="FDU286" s="1069"/>
      <c r="FDV286" s="1069"/>
      <c r="FDW286" s="1069"/>
      <c r="FDX286" s="1069"/>
      <c r="FDY286" s="1069"/>
      <c r="FDZ286" s="1069"/>
      <c r="FEA286" s="1069"/>
      <c r="FEB286" s="1069"/>
      <c r="FEC286" s="1069"/>
      <c r="FED286" s="1069"/>
      <c r="FEE286" s="1069"/>
      <c r="FEF286" s="1069"/>
      <c r="FEG286" s="1069"/>
      <c r="FEH286" s="1069"/>
      <c r="FEI286" s="1069"/>
      <c r="FEJ286" s="1069"/>
      <c r="FEK286" s="1069"/>
      <c r="FEL286" s="1069"/>
      <c r="FEM286" s="1069"/>
      <c r="FEN286" s="1069"/>
      <c r="FEO286" s="1069"/>
      <c r="FEP286" s="1069"/>
      <c r="FEQ286" s="1069"/>
      <c r="FER286" s="1069"/>
      <c r="FES286" s="1069"/>
      <c r="FET286" s="1069"/>
      <c r="FEU286" s="1069"/>
      <c r="FEV286" s="1069"/>
      <c r="FEW286" s="1069"/>
      <c r="FEX286" s="1069"/>
      <c r="FEY286" s="1069"/>
      <c r="FEZ286" s="1069"/>
      <c r="FFA286" s="1069"/>
      <c r="FFB286" s="1069"/>
      <c r="FFC286" s="1069"/>
      <c r="FFD286" s="1069"/>
      <c r="FFE286" s="1069"/>
      <c r="FFF286" s="1069"/>
      <c r="FFG286" s="1069"/>
      <c r="FFH286" s="1069"/>
      <c r="FFI286" s="1069"/>
      <c r="FFJ286" s="1069"/>
      <c r="FFK286" s="1069"/>
      <c r="FFL286" s="1069"/>
      <c r="FFM286" s="1069"/>
      <c r="FFN286" s="1069"/>
      <c r="FFO286" s="1069"/>
      <c r="FFP286" s="1069"/>
      <c r="FFQ286" s="1069"/>
      <c r="FFR286" s="1069"/>
      <c r="FFS286" s="1069"/>
      <c r="FFT286" s="1069"/>
      <c r="FFU286" s="1069"/>
      <c r="FFV286" s="1069"/>
      <c r="FFW286" s="1069"/>
      <c r="FFX286" s="1069"/>
      <c r="FFY286" s="1069"/>
      <c r="FFZ286" s="1069"/>
      <c r="FGA286" s="1069"/>
      <c r="FGB286" s="1069"/>
      <c r="FGC286" s="1069"/>
      <c r="FGD286" s="1069"/>
      <c r="FGE286" s="1069"/>
      <c r="FGF286" s="1069"/>
      <c r="FGG286" s="1069"/>
      <c r="FGH286" s="1069"/>
      <c r="FGI286" s="1069"/>
      <c r="FGJ286" s="1069"/>
      <c r="FGK286" s="1069"/>
      <c r="FGL286" s="1069"/>
      <c r="FGM286" s="1069"/>
      <c r="FGN286" s="1069"/>
      <c r="FGO286" s="1069"/>
      <c r="FGP286" s="1069"/>
      <c r="FGQ286" s="1069"/>
      <c r="FGR286" s="1069"/>
      <c r="FGS286" s="1069"/>
      <c r="FGT286" s="1069"/>
      <c r="FGU286" s="1069"/>
      <c r="FGV286" s="1069"/>
      <c r="FGW286" s="1069"/>
      <c r="FGX286" s="1069"/>
      <c r="FGY286" s="1069"/>
      <c r="FGZ286" s="1069"/>
      <c r="FHA286" s="1069"/>
      <c r="FHB286" s="1069"/>
      <c r="FHC286" s="1069"/>
      <c r="FHD286" s="1069"/>
      <c r="FHE286" s="1069"/>
      <c r="FHF286" s="1069"/>
      <c r="FHG286" s="1069"/>
      <c r="FHH286" s="1069"/>
      <c r="FHI286" s="1069"/>
      <c r="FHJ286" s="1069"/>
      <c r="FHK286" s="1069"/>
      <c r="FHL286" s="1069"/>
      <c r="FHM286" s="1069"/>
      <c r="FHN286" s="1069"/>
      <c r="FHO286" s="1069"/>
      <c r="FHP286" s="1069"/>
      <c r="FHQ286" s="1069"/>
      <c r="FHR286" s="1069"/>
      <c r="FHS286" s="1069"/>
      <c r="FHT286" s="1069"/>
      <c r="FHU286" s="1069"/>
      <c r="FHV286" s="1069"/>
      <c r="FHW286" s="1069"/>
      <c r="FHX286" s="1069"/>
      <c r="FHY286" s="1069"/>
      <c r="FHZ286" s="1069"/>
      <c r="FIA286" s="1069"/>
      <c r="FIB286" s="1069"/>
      <c r="FIC286" s="1069"/>
      <c r="FID286" s="1069"/>
      <c r="FIE286" s="1069"/>
      <c r="FIF286" s="1069"/>
      <c r="FIG286" s="1069"/>
      <c r="FIH286" s="1069"/>
      <c r="FII286" s="1069"/>
      <c r="FIJ286" s="1069"/>
      <c r="FIK286" s="1069"/>
      <c r="FIL286" s="1069"/>
      <c r="FIM286" s="1069"/>
      <c r="FIN286" s="1069"/>
      <c r="FIO286" s="1069"/>
      <c r="FIP286" s="1069"/>
      <c r="FIQ286" s="1069"/>
      <c r="FIR286" s="1069"/>
      <c r="FIS286" s="1069"/>
      <c r="FIT286" s="1069"/>
      <c r="FIU286" s="1069"/>
      <c r="FIV286" s="1069"/>
      <c r="FIW286" s="1069"/>
      <c r="FIX286" s="1069"/>
      <c r="FIY286" s="1069"/>
      <c r="FIZ286" s="1069"/>
      <c r="FJA286" s="1069"/>
      <c r="FJB286" s="1069"/>
      <c r="FJC286" s="1069"/>
      <c r="FJD286" s="1069"/>
      <c r="FJE286" s="1069"/>
      <c r="FJF286" s="1069"/>
      <c r="FJG286" s="1069"/>
      <c r="FJH286" s="1069"/>
      <c r="FJI286" s="1069"/>
      <c r="FJJ286" s="1069"/>
      <c r="FJK286" s="1069"/>
      <c r="FJL286" s="1069"/>
      <c r="FJM286" s="1069"/>
      <c r="FJN286" s="1069"/>
      <c r="FJO286" s="1069"/>
      <c r="FJP286" s="1069"/>
      <c r="FJQ286" s="1069"/>
      <c r="FJR286" s="1069"/>
      <c r="FJS286" s="1069"/>
      <c r="FJT286" s="1069"/>
      <c r="FJU286" s="1069"/>
      <c r="FJV286" s="1069"/>
      <c r="FJW286" s="1069"/>
      <c r="FJX286" s="1069"/>
      <c r="FJY286" s="1069"/>
      <c r="FJZ286" s="1069"/>
      <c r="FKA286" s="1069"/>
      <c r="FKB286" s="1069"/>
      <c r="FKC286" s="1069"/>
      <c r="FKD286" s="1069"/>
      <c r="FKE286" s="1069"/>
      <c r="FKF286" s="1069"/>
      <c r="FKG286" s="1069"/>
      <c r="FKH286" s="1069"/>
      <c r="FKI286" s="1069"/>
      <c r="FKJ286" s="1069"/>
      <c r="FKK286" s="1069"/>
      <c r="FKL286" s="1069"/>
      <c r="FKM286" s="1069"/>
      <c r="FKN286" s="1069"/>
      <c r="FKO286" s="1069"/>
      <c r="FKP286" s="1069"/>
      <c r="FKQ286" s="1069"/>
      <c r="FKR286" s="1069"/>
      <c r="FKS286" s="1069"/>
      <c r="FKT286" s="1069"/>
      <c r="FKU286" s="1069"/>
      <c r="FKV286" s="1069"/>
      <c r="FKW286" s="1069"/>
      <c r="FKX286" s="1069"/>
      <c r="FKY286" s="1069"/>
      <c r="FKZ286" s="1069"/>
      <c r="FLA286" s="1069"/>
      <c r="FLB286" s="1069"/>
      <c r="FLC286" s="1069"/>
      <c r="FLD286" s="1069"/>
      <c r="FLE286" s="1069"/>
      <c r="FLF286" s="1069"/>
      <c r="FLG286" s="1069"/>
      <c r="FLH286" s="1069"/>
      <c r="FLI286" s="1069"/>
      <c r="FLJ286" s="1069"/>
      <c r="FLK286" s="1069"/>
      <c r="FLL286" s="1069"/>
      <c r="FLM286" s="1069"/>
      <c r="FLN286" s="1069"/>
      <c r="FLO286" s="1069"/>
      <c r="FLP286" s="1069"/>
      <c r="FLQ286" s="1069"/>
      <c r="FLR286" s="1069"/>
      <c r="FLS286" s="1069"/>
      <c r="FLT286" s="1069"/>
      <c r="FLU286" s="1069"/>
      <c r="FLV286" s="1069"/>
      <c r="FLW286" s="1069"/>
      <c r="FLX286" s="1069"/>
      <c r="FLY286" s="1069"/>
      <c r="FLZ286" s="1069"/>
      <c r="FMA286" s="1069"/>
      <c r="FMB286" s="1069"/>
      <c r="FMC286" s="1069"/>
      <c r="FMD286" s="1069"/>
      <c r="FME286" s="1069"/>
      <c r="FMF286" s="1069"/>
      <c r="FMG286" s="1069"/>
      <c r="FMH286" s="1069"/>
      <c r="FMI286" s="1069"/>
      <c r="FMJ286" s="1069"/>
      <c r="FMK286" s="1069"/>
      <c r="FML286" s="1069"/>
      <c r="FMM286" s="1069"/>
      <c r="FMN286" s="1069"/>
      <c r="FMO286" s="1069"/>
      <c r="FMP286" s="1069"/>
      <c r="FMQ286" s="1069"/>
      <c r="FMR286" s="1069"/>
      <c r="FMS286" s="1069"/>
      <c r="FMT286" s="1069"/>
      <c r="FMU286" s="1069"/>
      <c r="FMV286" s="1069"/>
      <c r="FMW286" s="1069"/>
      <c r="FMX286" s="1069"/>
      <c r="FMY286" s="1069"/>
      <c r="FMZ286" s="1069"/>
      <c r="FNA286" s="1069"/>
      <c r="FNB286" s="1069"/>
      <c r="FNC286" s="1069"/>
      <c r="FND286" s="1069"/>
      <c r="FNE286" s="1069"/>
      <c r="FNF286" s="1069"/>
      <c r="FNG286" s="1069"/>
      <c r="FNH286" s="1069"/>
      <c r="FNI286" s="1069"/>
      <c r="FNJ286" s="1069"/>
      <c r="FNK286" s="1069"/>
      <c r="FNL286" s="1069"/>
      <c r="FNM286" s="1069"/>
      <c r="FNN286" s="1069"/>
      <c r="FNO286" s="1069"/>
      <c r="FNP286" s="1069"/>
      <c r="FNQ286" s="1069"/>
      <c r="FNR286" s="1069"/>
      <c r="FNS286" s="1069"/>
      <c r="FNT286" s="1069"/>
      <c r="FNU286" s="1069"/>
      <c r="FNV286" s="1069"/>
      <c r="FNW286" s="1069"/>
      <c r="FNX286" s="1069"/>
      <c r="FNY286" s="1069"/>
      <c r="FNZ286" s="1069"/>
      <c r="FOA286" s="1069"/>
      <c r="FOB286" s="1069"/>
      <c r="FOC286" s="1069"/>
      <c r="FOD286" s="1069"/>
      <c r="FOE286" s="1069"/>
      <c r="FOF286" s="1069"/>
      <c r="FOG286" s="1069"/>
      <c r="FOH286" s="1069"/>
      <c r="FOI286" s="1069"/>
      <c r="FOJ286" s="1069"/>
      <c r="FOK286" s="1069"/>
      <c r="FOL286" s="1069"/>
      <c r="FOM286" s="1069"/>
      <c r="FON286" s="1069"/>
      <c r="FOO286" s="1069"/>
      <c r="FOP286" s="1069"/>
      <c r="FOQ286" s="1069"/>
      <c r="FOR286" s="1069"/>
      <c r="FOS286" s="1069"/>
      <c r="FOT286" s="1069"/>
      <c r="FOU286" s="1069"/>
      <c r="FOV286" s="1069"/>
      <c r="FOW286" s="1069"/>
      <c r="FOX286" s="1069"/>
      <c r="FOY286" s="1069"/>
      <c r="FOZ286" s="1069"/>
      <c r="FPA286" s="1069"/>
      <c r="FPB286" s="1069"/>
      <c r="FPC286" s="1069"/>
      <c r="FPD286" s="1069"/>
      <c r="FPE286" s="1069"/>
      <c r="FPF286" s="1069"/>
      <c r="FPG286" s="1069"/>
      <c r="FPH286" s="1069"/>
      <c r="FPI286" s="1069"/>
      <c r="FPJ286" s="1069"/>
      <c r="FPK286" s="1069"/>
      <c r="FPL286" s="1069"/>
      <c r="FPM286" s="1069"/>
      <c r="FPN286" s="1069"/>
      <c r="FPO286" s="1069"/>
      <c r="FPP286" s="1069"/>
      <c r="FPQ286" s="1069"/>
      <c r="FPR286" s="1069"/>
      <c r="FPS286" s="1069"/>
      <c r="FPT286" s="1069"/>
      <c r="FPU286" s="1069"/>
      <c r="FPV286" s="1069"/>
      <c r="FPW286" s="1069"/>
      <c r="FPX286" s="1069"/>
      <c r="FPY286" s="1069"/>
      <c r="FPZ286" s="1069"/>
      <c r="FQA286" s="1069"/>
      <c r="FQB286" s="1069"/>
      <c r="FQC286" s="1069"/>
      <c r="FQD286" s="1069"/>
      <c r="FQE286" s="1069"/>
      <c r="FQF286" s="1069"/>
      <c r="FQG286" s="1069"/>
      <c r="FQH286" s="1069"/>
      <c r="FQI286" s="1069"/>
      <c r="FQJ286" s="1069"/>
      <c r="FQK286" s="1069"/>
      <c r="FQL286" s="1069"/>
      <c r="FQM286" s="1069"/>
      <c r="FQN286" s="1069"/>
      <c r="FQO286" s="1069"/>
      <c r="FQP286" s="1069"/>
      <c r="FQQ286" s="1069"/>
      <c r="FQR286" s="1069"/>
      <c r="FQS286" s="1069"/>
      <c r="FQT286" s="1069"/>
      <c r="FQU286" s="1069"/>
      <c r="FQV286" s="1069"/>
      <c r="FQW286" s="1069"/>
      <c r="FQX286" s="1069"/>
      <c r="FQY286" s="1069"/>
      <c r="FQZ286" s="1069"/>
      <c r="FRA286" s="1069"/>
      <c r="FRB286" s="1069"/>
      <c r="FRC286" s="1069"/>
      <c r="FRD286" s="1069"/>
      <c r="FRE286" s="1069"/>
      <c r="FRF286" s="1069"/>
      <c r="FRG286" s="1069"/>
      <c r="FRH286" s="1069"/>
      <c r="FRI286" s="1069"/>
      <c r="FRJ286" s="1069"/>
      <c r="FRK286" s="1069"/>
      <c r="FRL286" s="1069"/>
      <c r="FRM286" s="1069"/>
      <c r="FRN286" s="1069"/>
      <c r="FRO286" s="1069"/>
      <c r="FRP286" s="1069"/>
      <c r="FRQ286" s="1069"/>
      <c r="FRR286" s="1069"/>
      <c r="FRS286" s="1069"/>
      <c r="FRT286" s="1069"/>
      <c r="FRU286" s="1069"/>
      <c r="FRV286" s="1069"/>
      <c r="FRW286" s="1069"/>
      <c r="FRX286" s="1069"/>
      <c r="FRY286" s="1069"/>
      <c r="FRZ286" s="1069"/>
      <c r="FSA286" s="1069"/>
      <c r="FSB286" s="1069"/>
      <c r="FSC286" s="1069"/>
      <c r="FSD286" s="1069"/>
      <c r="FSE286" s="1069"/>
      <c r="FSF286" s="1069"/>
      <c r="FSG286" s="1069"/>
      <c r="FSH286" s="1069"/>
      <c r="FSI286" s="1069"/>
      <c r="FSJ286" s="1069"/>
      <c r="FSK286" s="1069"/>
      <c r="FSL286" s="1069"/>
      <c r="FSM286" s="1069"/>
      <c r="FSN286" s="1069"/>
      <c r="FSO286" s="1069"/>
      <c r="FSP286" s="1069"/>
      <c r="FSQ286" s="1069"/>
      <c r="FSR286" s="1069"/>
      <c r="FSS286" s="1069"/>
      <c r="FST286" s="1069"/>
      <c r="FSU286" s="1069"/>
      <c r="FSV286" s="1069"/>
      <c r="FSW286" s="1069"/>
      <c r="FSX286" s="1069"/>
      <c r="FSY286" s="1069"/>
      <c r="FSZ286" s="1069"/>
      <c r="FTA286" s="1069"/>
      <c r="FTB286" s="1069"/>
      <c r="FTC286" s="1069"/>
      <c r="FTD286" s="1069"/>
      <c r="FTE286" s="1069"/>
      <c r="FTF286" s="1069"/>
      <c r="FTG286" s="1069"/>
      <c r="FTH286" s="1069"/>
      <c r="FTI286" s="1069"/>
      <c r="FTJ286" s="1069"/>
      <c r="FTK286" s="1069"/>
      <c r="FTL286" s="1069"/>
      <c r="FTM286" s="1069"/>
      <c r="FTN286" s="1069"/>
      <c r="FTO286" s="1069"/>
      <c r="FTP286" s="1069"/>
      <c r="FTQ286" s="1069"/>
      <c r="FTR286" s="1069"/>
      <c r="FTS286" s="1069"/>
      <c r="FTT286" s="1069"/>
      <c r="FTU286" s="1069"/>
      <c r="FTV286" s="1069"/>
      <c r="FTW286" s="1069"/>
      <c r="FTX286" s="1069"/>
      <c r="FTY286" s="1069"/>
      <c r="FTZ286" s="1069"/>
      <c r="FUA286" s="1069"/>
      <c r="FUB286" s="1069"/>
      <c r="FUC286" s="1069"/>
      <c r="FUD286" s="1069"/>
      <c r="FUE286" s="1069"/>
      <c r="FUF286" s="1069"/>
      <c r="FUG286" s="1069"/>
      <c r="FUH286" s="1069"/>
      <c r="FUI286" s="1069"/>
      <c r="FUJ286" s="1069"/>
      <c r="FUK286" s="1069"/>
      <c r="FUL286" s="1069"/>
      <c r="FUM286" s="1069"/>
      <c r="FUN286" s="1069"/>
      <c r="FUO286" s="1069"/>
      <c r="FUP286" s="1069"/>
      <c r="FUQ286" s="1069"/>
      <c r="FUR286" s="1069"/>
      <c r="FUS286" s="1069"/>
      <c r="FUT286" s="1069"/>
      <c r="FUU286" s="1069"/>
      <c r="FUV286" s="1069"/>
      <c r="FUW286" s="1069"/>
      <c r="FUX286" s="1069"/>
      <c r="FUY286" s="1069"/>
      <c r="FUZ286" s="1069"/>
      <c r="FVA286" s="1069"/>
      <c r="FVB286" s="1069"/>
      <c r="FVC286" s="1069"/>
      <c r="FVD286" s="1069"/>
      <c r="FVE286" s="1069"/>
      <c r="FVF286" s="1069"/>
      <c r="FVG286" s="1069"/>
      <c r="FVH286" s="1069"/>
      <c r="FVI286" s="1069"/>
      <c r="FVJ286" s="1069"/>
      <c r="FVK286" s="1069"/>
      <c r="FVL286" s="1069"/>
      <c r="FVM286" s="1069"/>
      <c r="FVN286" s="1069"/>
      <c r="FVO286" s="1069"/>
      <c r="FVP286" s="1069"/>
      <c r="FVQ286" s="1069"/>
      <c r="FVR286" s="1069"/>
      <c r="FVS286" s="1069"/>
      <c r="FVT286" s="1069"/>
      <c r="FVU286" s="1069"/>
      <c r="FVV286" s="1069"/>
      <c r="FVW286" s="1069"/>
      <c r="FVX286" s="1069"/>
      <c r="FVY286" s="1069"/>
      <c r="FVZ286" s="1069"/>
      <c r="FWA286" s="1069"/>
      <c r="FWB286" s="1069"/>
      <c r="FWC286" s="1069"/>
      <c r="FWD286" s="1069"/>
      <c r="FWE286" s="1069"/>
      <c r="FWF286" s="1069"/>
      <c r="FWG286" s="1069"/>
      <c r="FWH286" s="1069"/>
      <c r="FWI286" s="1069"/>
      <c r="FWJ286" s="1069"/>
      <c r="FWK286" s="1069"/>
      <c r="FWL286" s="1069"/>
      <c r="FWM286" s="1069"/>
      <c r="FWN286" s="1069"/>
      <c r="FWO286" s="1069"/>
      <c r="FWP286" s="1069"/>
      <c r="FWQ286" s="1069"/>
      <c r="FWR286" s="1069"/>
      <c r="FWS286" s="1069"/>
      <c r="FWT286" s="1069"/>
      <c r="FWU286" s="1069"/>
      <c r="FWV286" s="1069"/>
      <c r="FWW286" s="1069"/>
      <c r="FWX286" s="1069"/>
      <c r="FWY286" s="1069"/>
      <c r="FWZ286" s="1069"/>
      <c r="FXA286" s="1069"/>
      <c r="FXB286" s="1069"/>
      <c r="FXC286" s="1069"/>
      <c r="FXD286" s="1069"/>
      <c r="FXE286" s="1069"/>
      <c r="FXF286" s="1069"/>
      <c r="FXG286" s="1069"/>
      <c r="FXH286" s="1069"/>
      <c r="FXI286" s="1069"/>
      <c r="FXJ286" s="1069"/>
      <c r="FXK286" s="1069"/>
      <c r="FXL286" s="1069"/>
      <c r="FXM286" s="1069"/>
      <c r="FXN286" s="1069"/>
      <c r="FXO286" s="1069"/>
      <c r="FXP286" s="1069"/>
      <c r="FXQ286" s="1069"/>
      <c r="FXR286" s="1069"/>
      <c r="FXS286" s="1069"/>
      <c r="FXT286" s="1069"/>
      <c r="FXU286" s="1069"/>
      <c r="FXV286" s="1069"/>
      <c r="FXW286" s="1069"/>
      <c r="FXX286" s="1069"/>
      <c r="FXY286" s="1069"/>
      <c r="FXZ286" s="1069"/>
      <c r="FYA286" s="1069"/>
      <c r="FYB286" s="1069"/>
      <c r="FYC286" s="1069"/>
      <c r="FYD286" s="1069"/>
      <c r="FYE286" s="1069"/>
      <c r="FYF286" s="1069"/>
      <c r="FYG286" s="1069"/>
      <c r="FYH286" s="1069"/>
      <c r="FYI286" s="1069"/>
      <c r="FYJ286" s="1069"/>
      <c r="FYK286" s="1069"/>
      <c r="FYL286" s="1069"/>
      <c r="FYM286" s="1069"/>
      <c r="FYN286" s="1069"/>
      <c r="FYO286" s="1069"/>
      <c r="FYP286" s="1069"/>
      <c r="FYQ286" s="1069"/>
      <c r="FYR286" s="1069"/>
      <c r="FYS286" s="1069"/>
      <c r="FYT286" s="1069"/>
      <c r="FYU286" s="1069"/>
      <c r="FYV286" s="1069"/>
      <c r="FYW286" s="1069"/>
      <c r="FYX286" s="1069"/>
      <c r="FYY286" s="1069"/>
      <c r="FYZ286" s="1069"/>
      <c r="FZA286" s="1069"/>
      <c r="FZB286" s="1069"/>
      <c r="FZC286" s="1069"/>
      <c r="FZD286" s="1069"/>
      <c r="FZE286" s="1069"/>
      <c r="FZF286" s="1069"/>
      <c r="FZG286" s="1069"/>
      <c r="FZH286" s="1069"/>
      <c r="FZI286" s="1069"/>
      <c r="FZJ286" s="1069"/>
      <c r="FZK286" s="1069"/>
      <c r="FZL286" s="1069"/>
      <c r="FZM286" s="1069"/>
      <c r="FZN286" s="1069"/>
      <c r="FZO286" s="1069"/>
      <c r="FZP286" s="1069"/>
      <c r="FZQ286" s="1069"/>
      <c r="FZR286" s="1069"/>
      <c r="FZS286" s="1069"/>
      <c r="FZT286" s="1069"/>
      <c r="FZU286" s="1069"/>
      <c r="FZV286" s="1069"/>
      <c r="FZW286" s="1069"/>
      <c r="FZX286" s="1069"/>
      <c r="FZY286" s="1069"/>
      <c r="FZZ286" s="1069"/>
      <c r="GAA286" s="1069"/>
      <c r="GAB286" s="1069"/>
      <c r="GAC286" s="1069"/>
      <c r="GAD286" s="1069"/>
      <c r="GAE286" s="1069"/>
      <c r="GAF286" s="1069"/>
      <c r="GAG286" s="1069"/>
      <c r="GAH286" s="1069"/>
      <c r="GAI286" s="1069"/>
      <c r="GAJ286" s="1069"/>
      <c r="GAK286" s="1069"/>
      <c r="GAL286" s="1069"/>
      <c r="GAM286" s="1069"/>
      <c r="GAN286" s="1069"/>
      <c r="GAO286" s="1069"/>
      <c r="GAP286" s="1069"/>
      <c r="GAQ286" s="1069"/>
      <c r="GAR286" s="1069"/>
      <c r="GAS286" s="1069"/>
      <c r="GAT286" s="1069"/>
      <c r="GAU286" s="1069"/>
      <c r="GAV286" s="1069"/>
      <c r="GAW286" s="1069"/>
      <c r="GAX286" s="1069"/>
      <c r="GAY286" s="1069"/>
      <c r="GAZ286" s="1069"/>
      <c r="GBA286" s="1069"/>
      <c r="GBB286" s="1069"/>
      <c r="GBC286" s="1069"/>
      <c r="GBD286" s="1069"/>
      <c r="GBE286" s="1069"/>
      <c r="GBF286" s="1069"/>
      <c r="GBG286" s="1069"/>
      <c r="GBH286" s="1069"/>
      <c r="GBI286" s="1069"/>
      <c r="GBJ286" s="1069"/>
      <c r="GBK286" s="1069"/>
      <c r="GBL286" s="1069"/>
      <c r="GBM286" s="1069"/>
      <c r="GBN286" s="1069"/>
      <c r="GBO286" s="1069"/>
      <c r="GBP286" s="1069"/>
      <c r="GBQ286" s="1069"/>
      <c r="GBR286" s="1069"/>
      <c r="GBS286" s="1069"/>
      <c r="GBT286" s="1069"/>
      <c r="GBU286" s="1069"/>
      <c r="GBV286" s="1069"/>
      <c r="GBW286" s="1069"/>
      <c r="GBX286" s="1069"/>
      <c r="GBY286" s="1069"/>
      <c r="GBZ286" s="1069"/>
      <c r="GCA286" s="1069"/>
      <c r="GCB286" s="1069"/>
      <c r="GCC286" s="1069"/>
      <c r="GCD286" s="1069"/>
      <c r="GCE286" s="1069"/>
      <c r="GCF286" s="1069"/>
      <c r="GCG286" s="1069"/>
      <c r="GCH286" s="1069"/>
      <c r="GCI286" s="1069"/>
      <c r="GCJ286" s="1069"/>
      <c r="GCK286" s="1069"/>
      <c r="GCL286" s="1069"/>
      <c r="GCM286" s="1069"/>
      <c r="GCN286" s="1069"/>
      <c r="GCO286" s="1069"/>
      <c r="GCP286" s="1069"/>
      <c r="GCQ286" s="1069"/>
      <c r="GCR286" s="1069"/>
      <c r="GCS286" s="1069"/>
      <c r="GCT286" s="1069"/>
      <c r="GCU286" s="1069"/>
      <c r="GCV286" s="1069"/>
      <c r="GCW286" s="1069"/>
      <c r="GCX286" s="1069"/>
      <c r="GCY286" s="1069"/>
      <c r="GCZ286" s="1069"/>
      <c r="GDA286" s="1069"/>
      <c r="GDB286" s="1069"/>
      <c r="GDC286" s="1069"/>
      <c r="GDD286" s="1069"/>
      <c r="GDE286" s="1069"/>
      <c r="GDF286" s="1069"/>
      <c r="GDG286" s="1069"/>
      <c r="GDH286" s="1069"/>
      <c r="GDI286" s="1069"/>
      <c r="GDJ286" s="1069"/>
      <c r="GDK286" s="1069"/>
      <c r="GDL286" s="1069"/>
      <c r="GDM286" s="1069"/>
      <c r="GDN286" s="1069"/>
      <c r="GDO286" s="1069"/>
      <c r="GDP286" s="1069"/>
      <c r="GDQ286" s="1069"/>
      <c r="GDR286" s="1069"/>
      <c r="GDS286" s="1069"/>
      <c r="GDT286" s="1069"/>
      <c r="GDU286" s="1069"/>
      <c r="GDV286" s="1069"/>
      <c r="GDW286" s="1069"/>
      <c r="GDX286" s="1069"/>
      <c r="GDY286" s="1069"/>
      <c r="GDZ286" s="1069"/>
      <c r="GEA286" s="1069"/>
      <c r="GEB286" s="1069"/>
      <c r="GEC286" s="1069"/>
      <c r="GED286" s="1069"/>
      <c r="GEE286" s="1069"/>
      <c r="GEF286" s="1069"/>
      <c r="GEG286" s="1069"/>
      <c r="GEH286" s="1069"/>
      <c r="GEI286" s="1069"/>
      <c r="GEJ286" s="1069"/>
      <c r="GEK286" s="1069"/>
      <c r="GEL286" s="1069"/>
      <c r="GEM286" s="1069"/>
      <c r="GEN286" s="1069"/>
      <c r="GEO286" s="1069"/>
      <c r="GEP286" s="1069"/>
      <c r="GEQ286" s="1069"/>
      <c r="GER286" s="1069"/>
      <c r="GES286" s="1069"/>
      <c r="GET286" s="1069"/>
      <c r="GEU286" s="1069"/>
      <c r="GEV286" s="1069"/>
      <c r="GEW286" s="1069"/>
      <c r="GEX286" s="1069"/>
      <c r="GEY286" s="1069"/>
      <c r="GEZ286" s="1069"/>
      <c r="GFA286" s="1069"/>
      <c r="GFB286" s="1069"/>
      <c r="GFC286" s="1069"/>
      <c r="GFD286" s="1069"/>
      <c r="GFE286" s="1069"/>
      <c r="GFF286" s="1069"/>
      <c r="GFG286" s="1069"/>
      <c r="GFH286" s="1069"/>
      <c r="GFI286" s="1069"/>
      <c r="GFJ286" s="1069"/>
      <c r="GFK286" s="1069"/>
      <c r="GFL286" s="1069"/>
      <c r="GFM286" s="1069"/>
      <c r="GFN286" s="1069"/>
      <c r="GFO286" s="1069"/>
      <c r="GFP286" s="1069"/>
      <c r="GFQ286" s="1069"/>
      <c r="GFR286" s="1069"/>
      <c r="GFS286" s="1069"/>
      <c r="GFT286" s="1069"/>
      <c r="GFU286" s="1069"/>
      <c r="GFV286" s="1069"/>
      <c r="GFW286" s="1069"/>
      <c r="GFX286" s="1069"/>
      <c r="GFY286" s="1069"/>
      <c r="GFZ286" s="1069"/>
      <c r="GGA286" s="1069"/>
      <c r="GGB286" s="1069"/>
      <c r="GGC286" s="1069"/>
      <c r="GGD286" s="1069"/>
      <c r="GGE286" s="1069"/>
      <c r="GGF286" s="1069"/>
      <c r="GGG286" s="1069"/>
      <c r="GGH286" s="1069"/>
      <c r="GGI286" s="1069"/>
      <c r="GGJ286" s="1069"/>
      <c r="GGK286" s="1069"/>
      <c r="GGL286" s="1069"/>
      <c r="GGM286" s="1069"/>
      <c r="GGN286" s="1069"/>
      <c r="GGO286" s="1069"/>
      <c r="GGP286" s="1069"/>
      <c r="GGQ286" s="1069"/>
      <c r="GGR286" s="1069"/>
      <c r="GGS286" s="1069"/>
      <c r="GGT286" s="1069"/>
      <c r="GGU286" s="1069"/>
      <c r="GGV286" s="1069"/>
      <c r="GGW286" s="1069"/>
      <c r="GGX286" s="1069"/>
      <c r="GGY286" s="1069"/>
      <c r="GGZ286" s="1069"/>
      <c r="GHA286" s="1069"/>
      <c r="GHB286" s="1069"/>
      <c r="GHC286" s="1069"/>
      <c r="GHD286" s="1069"/>
      <c r="GHE286" s="1069"/>
      <c r="GHF286" s="1069"/>
      <c r="GHG286" s="1069"/>
      <c r="GHH286" s="1069"/>
      <c r="GHI286" s="1069"/>
      <c r="GHJ286" s="1069"/>
      <c r="GHK286" s="1069"/>
      <c r="GHL286" s="1069"/>
      <c r="GHM286" s="1069"/>
      <c r="GHN286" s="1069"/>
      <c r="GHO286" s="1069"/>
      <c r="GHP286" s="1069"/>
      <c r="GHQ286" s="1069"/>
      <c r="GHR286" s="1069"/>
      <c r="GHS286" s="1069"/>
      <c r="GHT286" s="1069"/>
      <c r="GHU286" s="1069"/>
      <c r="GHV286" s="1069"/>
      <c r="GHW286" s="1069"/>
      <c r="GHX286" s="1069"/>
      <c r="GHY286" s="1069"/>
      <c r="GHZ286" s="1069"/>
      <c r="GIA286" s="1069"/>
      <c r="GIB286" s="1069"/>
      <c r="GIC286" s="1069"/>
      <c r="GID286" s="1069"/>
      <c r="GIE286" s="1069"/>
      <c r="GIF286" s="1069"/>
      <c r="GIG286" s="1069"/>
      <c r="GIH286" s="1069"/>
      <c r="GII286" s="1069"/>
      <c r="GIJ286" s="1069"/>
      <c r="GIK286" s="1069"/>
      <c r="GIL286" s="1069"/>
      <c r="GIM286" s="1069"/>
      <c r="GIN286" s="1069"/>
      <c r="GIO286" s="1069"/>
      <c r="GIP286" s="1069"/>
      <c r="GIQ286" s="1069"/>
      <c r="GIR286" s="1069"/>
      <c r="GIS286" s="1069"/>
      <c r="GIT286" s="1069"/>
      <c r="GIU286" s="1069"/>
      <c r="GIV286" s="1069"/>
      <c r="GIW286" s="1069"/>
      <c r="GIX286" s="1069"/>
      <c r="GIY286" s="1069"/>
      <c r="GIZ286" s="1069"/>
      <c r="GJA286" s="1069"/>
      <c r="GJB286" s="1069"/>
      <c r="GJC286" s="1069"/>
      <c r="GJD286" s="1069"/>
      <c r="GJE286" s="1069"/>
      <c r="GJF286" s="1069"/>
      <c r="GJG286" s="1069"/>
      <c r="GJH286" s="1069"/>
      <c r="GJI286" s="1069"/>
      <c r="GJJ286" s="1069"/>
      <c r="GJK286" s="1069"/>
      <c r="GJL286" s="1069"/>
      <c r="GJM286" s="1069"/>
      <c r="GJN286" s="1069"/>
      <c r="GJO286" s="1069"/>
      <c r="GJP286" s="1069"/>
      <c r="GJQ286" s="1069"/>
      <c r="GJR286" s="1069"/>
      <c r="GJS286" s="1069"/>
      <c r="GJT286" s="1069"/>
      <c r="GJU286" s="1069"/>
      <c r="GJV286" s="1069"/>
      <c r="GJW286" s="1069"/>
      <c r="GJX286" s="1069"/>
      <c r="GJY286" s="1069"/>
      <c r="GJZ286" s="1069"/>
      <c r="GKA286" s="1069"/>
      <c r="GKB286" s="1069"/>
      <c r="GKC286" s="1069"/>
      <c r="GKD286" s="1069"/>
      <c r="GKE286" s="1069"/>
      <c r="GKF286" s="1069"/>
      <c r="GKG286" s="1069"/>
      <c r="GKH286" s="1069"/>
      <c r="GKI286" s="1069"/>
      <c r="GKJ286" s="1069"/>
      <c r="GKK286" s="1069"/>
      <c r="GKL286" s="1069"/>
      <c r="GKM286" s="1069"/>
      <c r="GKN286" s="1069"/>
      <c r="GKO286" s="1069"/>
      <c r="GKP286" s="1069"/>
      <c r="GKQ286" s="1069"/>
      <c r="GKR286" s="1069"/>
      <c r="GKS286" s="1069"/>
      <c r="GKT286" s="1069"/>
      <c r="GKU286" s="1069"/>
      <c r="GKV286" s="1069"/>
      <c r="GKW286" s="1069"/>
      <c r="GKX286" s="1069"/>
      <c r="GKY286" s="1069"/>
      <c r="GKZ286" s="1069"/>
      <c r="GLA286" s="1069"/>
      <c r="GLB286" s="1069"/>
      <c r="GLC286" s="1069"/>
      <c r="GLD286" s="1069"/>
      <c r="GLE286" s="1069"/>
      <c r="GLF286" s="1069"/>
      <c r="GLG286" s="1069"/>
      <c r="GLH286" s="1069"/>
      <c r="GLI286" s="1069"/>
      <c r="GLJ286" s="1069"/>
      <c r="GLK286" s="1069"/>
      <c r="GLL286" s="1069"/>
      <c r="GLM286" s="1069"/>
      <c r="GLN286" s="1069"/>
      <c r="GLO286" s="1069"/>
      <c r="GLP286" s="1069"/>
      <c r="GLQ286" s="1069"/>
      <c r="GLR286" s="1069"/>
      <c r="GLS286" s="1069"/>
      <c r="GLT286" s="1069"/>
      <c r="GLU286" s="1069"/>
      <c r="GLV286" s="1069"/>
      <c r="GLW286" s="1069"/>
      <c r="GLX286" s="1069"/>
      <c r="GLY286" s="1069"/>
      <c r="GLZ286" s="1069"/>
      <c r="GMA286" s="1069"/>
      <c r="GMB286" s="1069"/>
      <c r="GMC286" s="1069"/>
      <c r="GMD286" s="1069"/>
      <c r="GME286" s="1069"/>
      <c r="GMF286" s="1069"/>
      <c r="GMG286" s="1069"/>
      <c r="GMH286" s="1069"/>
      <c r="GMI286" s="1069"/>
      <c r="GMJ286" s="1069"/>
      <c r="GMK286" s="1069"/>
      <c r="GML286" s="1069"/>
      <c r="GMM286" s="1069"/>
      <c r="GMN286" s="1069"/>
      <c r="GMO286" s="1069"/>
      <c r="GMP286" s="1069"/>
      <c r="GMQ286" s="1069"/>
      <c r="GMR286" s="1069"/>
      <c r="GMS286" s="1069"/>
      <c r="GMT286" s="1069"/>
      <c r="GMU286" s="1069"/>
      <c r="GMV286" s="1069"/>
      <c r="GMW286" s="1069"/>
      <c r="GMX286" s="1069"/>
      <c r="GMY286" s="1069"/>
      <c r="GMZ286" s="1069"/>
      <c r="GNA286" s="1069"/>
      <c r="GNB286" s="1069"/>
      <c r="GNC286" s="1069"/>
      <c r="GND286" s="1069"/>
      <c r="GNE286" s="1069"/>
      <c r="GNF286" s="1069"/>
      <c r="GNG286" s="1069"/>
      <c r="GNH286" s="1069"/>
      <c r="GNI286" s="1069"/>
      <c r="GNJ286" s="1069"/>
      <c r="GNK286" s="1069"/>
      <c r="GNL286" s="1069"/>
      <c r="GNM286" s="1069"/>
      <c r="GNN286" s="1069"/>
      <c r="GNO286" s="1069"/>
      <c r="GNP286" s="1069"/>
      <c r="GNQ286" s="1069"/>
      <c r="GNR286" s="1069"/>
      <c r="GNS286" s="1069"/>
      <c r="GNT286" s="1069"/>
      <c r="GNU286" s="1069"/>
      <c r="GNV286" s="1069"/>
      <c r="GNW286" s="1069"/>
      <c r="GNX286" s="1069"/>
      <c r="GNY286" s="1069"/>
      <c r="GNZ286" s="1069"/>
      <c r="GOA286" s="1069"/>
      <c r="GOB286" s="1069"/>
      <c r="GOC286" s="1069"/>
      <c r="GOD286" s="1069"/>
      <c r="GOE286" s="1069"/>
      <c r="GOF286" s="1069"/>
      <c r="GOG286" s="1069"/>
      <c r="GOH286" s="1069"/>
      <c r="GOI286" s="1069"/>
      <c r="GOJ286" s="1069"/>
      <c r="GOK286" s="1069"/>
      <c r="GOL286" s="1069"/>
      <c r="GOM286" s="1069"/>
      <c r="GON286" s="1069"/>
      <c r="GOO286" s="1069"/>
      <c r="GOP286" s="1069"/>
      <c r="GOQ286" s="1069"/>
      <c r="GOR286" s="1069"/>
      <c r="GOS286" s="1069"/>
      <c r="GOT286" s="1069"/>
      <c r="GOU286" s="1069"/>
      <c r="GOV286" s="1069"/>
      <c r="GOW286" s="1069"/>
      <c r="GOX286" s="1069"/>
      <c r="GOY286" s="1069"/>
      <c r="GOZ286" s="1069"/>
      <c r="GPA286" s="1069"/>
      <c r="GPB286" s="1069"/>
      <c r="GPC286" s="1069"/>
      <c r="GPD286" s="1069"/>
      <c r="GPE286" s="1069"/>
      <c r="GPF286" s="1069"/>
      <c r="GPG286" s="1069"/>
      <c r="GPH286" s="1069"/>
      <c r="GPI286" s="1069"/>
      <c r="GPJ286" s="1069"/>
      <c r="GPK286" s="1069"/>
      <c r="GPL286" s="1069"/>
      <c r="GPM286" s="1069"/>
      <c r="GPN286" s="1069"/>
      <c r="GPO286" s="1069"/>
      <c r="GPP286" s="1069"/>
      <c r="GPQ286" s="1069"/>
      <c r="GPR286" s="1069"/>
      <c r="GPS286" s="1069"/>
      <c r="GPT286" s="1069"/>
      <c r="GPU286" s="1069"/>
      <c r="GPV286" s="1069"/>
      <c r="GPW286" s="1069"/>
      <c r="GPX286" s="1069"/>
      <c r="GPY286" s="1069"/>
      <c r="GPZ286" s="1069"/>
      <c r="GQA286" s="1069"/>
      <c r="GQB286" s="1069"/>
      <c r="GQC286" s="1069"/>
      <c r="GQD286" s="1069"/>
      <c r="GQE286" s="1069"/>
      <c r="GQF286" s="1069"/>
      <c r="GQG286" s="1069"/>
      <c r="GQH286" s="1069"/>
      <c r="GQI286" s="1069"/>
      <c r="GQJ286" s="1069"/>
      <c r="GQK286" s="1069"/>
      <c r="GQL286" s="1069"/>
      <c r="GQM286" s="1069"/>
      <c r="GQN286" s="1069"/>
      <c r="GQO286" s="1069"/>
      <c r="GQP286" s="1069"/>
      <c r="GQQ286" s="1069"/>
      <c r="GQR286" s="1069"/>
      <c r="GQS286" s="1069"/>
      <c r="GQT286" s="1069"/>
      <c r="GQU286" s="1069"/>
      <c r="GQV286" s="1069"/>
      <c r="GQW286" s="1069"/>
      <c r="GQX286" s="1069"/>
      <c r="GQY286" s="1069"/>
      <c r="GQZ286" s="1069"/>
      <c r="GRA286" s="1069"/>
      <c r="GRB286" s="1069"/>
      <c r="GRC286" s="1069"/>
      <c r="GRD286" s="1069"/>
      <c r="GRE286" s="1069"/>
      <c r="GRF286" s="1069"/>
      <c r="GRG286" s="1069"/>
      <c r="GRH286" s="1069"/>
      <c r="GRI286" s="1069"/>
      <c r="GRJ286" s="1069"/>
      <c r="GRK286" s="1069"/>
      <c r="GRL286" s="1069"/>
      <c r="GRM286" s="1069"/>
      <c r="GRN286" s="1069"/>
      <c r="GRO286" s="1069"/>
      <c r="GRP286" s="1069"/>
      <c r="GRQ286" s="1069"/>
      <c r="GRR286" s="1069"/>
      <c r="GRS286" s="1069"/>
      <c r="GRT286" s="1069"/>
      <c r="GRU286" s="1069"/>
      <c r="GRV286" s="1069"/>
      <c r="GRW286" s="1069"/>
      <c r="GRX286" s="1069"/>
      <c r="GRY286" s="1069"/>
      <c r="GRZ286" s="1069"/>
      <c r="GSA286" s="1069"/>
      <c r="GSB286" s="1069"/>
      <c r="GSC286" s="1069"/>
      <c r="GSD286" s="1069"/>
      <c r="GSE286" s="1069"/>
      <c r="GSF286" s="1069"/>
      <c r="GSG286" s="1069"/>
      <c r="GSH286" s="1069"/>
      <c r="GSI286" s="1069"/>
      <c r="GSJ286" s="1069"/>
      <c r="GSK286" s="1069"/>
      <c r="GSL286" s="1069"/>
      <c r="GSM286" s="1069"/>
      <c r="GSN286" s="1069"/>
      <c r="GSO286" s="1069"/>
      <c r="GSP286" s="1069"/>
      <c r="GSQ286" s="1069"/>
      <c r="GSR286" s="1069"/>
      <c r="GSS286" s="1069"/>
      <c r="GST286" s="1069"/>
      <c r="GSU286" s="1069"/>
      <c r="GSV286" s="1069"/>
      <c r="GSW286" s="1069"/>
      <c r="GSX286" s="1069"/>
      <c r="GSY286" s="1069"/>
      <c r="GSZ286" s="1069"/>
      <c r="GTA286" s="1069"/>
      <c r="GTB286" s="1069"/>
      <c r="GTC286" s="1069"/>
      <c r="GTD286" s="1069"/>
      <c r="GTE286" s="1069"/>
      <c r="GTF286" s="1069"/>
      <c r="GTG286" s="1069"/>
      <c r="GTH286" s="1069"/>
      <c r="GTI286" s="1069"/>
      <c r="GTJ286" s="1069"/>
      <c r="GTK286" s="1069"/>
      <c r="GTL286" s="1069"/>
      <c r="GTM286" s="1069"/>
      <c r="GTN286" s="1069"/>
      <c r="GTO286" s="1069"/>
      <c r="GTP286" s="1069"/>
      <c r="GTQ286" s="1069"/>
      <c r="GTR286" s="1069"/>
      <c r="GTS286" s="1069"/>
      <c r="GTT286" s="1069"/>
      <c r="GTU286" s="1069"/>
      <c r="GTV286" s="1069"/>
      <c r="GTW286" s="1069"/>
      <c r="GTX286" s="1069"/>
      <c r="GTY286" s="1069"/>
      <c r="GTZ286" s="1069"/>
      <c r="GUA286" s="1069"/>
      <c r="GUB286" s="1069"/>
      <c r="GUC286" s="1069"/>
      <c r="GUD286" s="1069"/>
      <c r="GUE286" s="1069"/>
      <c r="GUF286" s="1069"/>
      <c r="GUG286" s="1069"/>
      <c r="GUH286" s="1069"/>
      <c r="GUI286" s="1069"/>
      <c r="GUJ286" s="1069"/>
      <c r="GUK286" s="1069"/>
      <c r="GUL286" s="1069"/>
      <c r="GUM286" s="1069"/>
      <c r="GUN286" s="1069"/>
      <c r="GUO286" s="1069"/>
      <c r="GUP286" s="1069"/>
      <c r="GUQ286" s="1069"/>
      <c r="GUR286" s="1069"/>
      <c r="GUS286" s="1069"/>
      <c r="GUT286" s="1069"/>
      <c r="GUU286" s="1069"/>
      <c r="GUV286" s="1069"/>
      <c r="GUW286" s="1069"/>
      <c r="GUX286" s="1069"/>
      <c r="GUY286" s="1069"/>
      <c r="GUZ286" s="1069"/>
      <c r="GVA286" s="1069"/>
      <c r="GVB286" s="1069"/>
      <c r="GVC286" s="1069"/>
      <c r="GVD286" s="1069"/>
      <c r="GVE286" s="1069"/>
      <c r="GVF286" s="1069"/>
      <c r="GVG286" s="1069"/>
      <c r="GVH286" s="1069"/>
      <c r="GVI286" s="1069"/>
      <c r="GVJ286" s="1069"/>
      <c r="GVK286" s="1069"/>
      <c r="GVL286" s="1069"/>
      <c r="GVM286" s="1069"/>
      <c r="GVN286" s="1069"/>
      <c r="GVO286" s="1069"/>
      <c r="GVP286" s="1069"/>
      <c r="GVQ286" s="1069"/>
      <c r="GVR286" s="1069"/>
      <c r="GVS286" s="1069"/>
      <c r="GVT286" s="1069"/>
      <c r="GVU286" s="1069"/>
      <c r="GVV286" s="1069"/>
      <c r="GVW286" s="1069"/>
      <c r="GVX286" s="1069"/>
      <c r="GVY286" s="1069"/>
      <c r="GVZ286" s="1069"/>
      <c r="GWA286" s="1069"/>
      <c r="GWB286" s="1069"/>
      <c r="GWC286" s="1069"/>
      <c r="GWD286" s="1069"/>
      <c r="GWE286" s="1069"/>
      <c r="GWF286" s="1069"/>
      <c r="GWG286" s="1069"/>
      <c r="GWH286" s="1069"/>
      <c r="GWI286" s="1069"/>
      <c r="GWJ286" s="1069"/>
      <c r="GWK286" s="1069"/>
      <c r="GWL286" s="1069"/>
      <c r="GWM286" s="1069"/>
      <c r="GWN286" s="1069"/>
      <c r="GWO286" s="1069"/>
      <c r="GWP286" s="1069"/>
      <c r="GWQ286" s="1069"/>
      <c r="GWR286" s="1069"/>
      <c r="GWS286" s="1069"/>
      <c r="GWT286" s="1069"/>
      <c r="GWU286" s="1069"/>
      <c r="GWV286" s="1069"/>
      <c r="GWW286" s="1069"/>
      <c r="GWX286" s="1069"/>
      <c r="GWY286" s="1069"/>
      <c r="GWZ286" s="1069"/>
      <c r="GXA286" s="1069"/>
      <c r="GXB286" s="1069"/>
      <c r="GXC286" s="1069"/>
      <c r="GXD286" s="1069"/>
      <c r="GXE286" s="1069"/>
      <c r="GXF286" s="1069"/>
      <c r="GXG286" s="1069"/>
      <c r="GXH286" s="1069"/>
      <c r="GXI286" s="1069"/>
      <c r="GXJ286" s="1069"/>
      <c r="GXK286" s="1069"/>
      <c r="GXL286" s="1069"/>
      <c r="GXM286" s="1069"/>
      <c r="GXN286" s="1069"/>
      <c r="GXO286" s="1069"/>
      <c r="GXP286" s="1069"/>
      <c r="GXQ286" s="1069"/>
      <c r="GXR286" s="1069"/>
      <c r="GXS286" s="1069"/>
      <c r="GXT286" s="1069"/>
      <c r="GXU286" s="1069"/>
      <c r="GXV286" s="1069"/>
      <c r="GXW286" s="1069"/>
      <c r="GXX286" s="1069"/>
      <c r="GXY286" s="1069"/>
      <c r="GXZ286" s="1069"/>
      <c r="GYA286" s="1069"/>
      <c r="GYB286" s="1069"/>
      <c r="GYC286" s="1069"/>
      <c r="GYD286" s="1069"/>
      <c r="GYE286" s="1069"/>
      <c r="GYF286" s="1069"/>
      <c r="GYG286" s="1069"/>
      <c r="GYH286" s="1069"/>
      <c r="GYI286" s="1069"/>
      <c r="GYJ286" s="1069"/>
      <c r="GYK286" s="1069"/>
      <c r="GYL286" s="1069"/>
      <c r="GYM286" s="1069"/>
      <c r="GYN286" s="1069"/>
      <c r="GYO286" s="1069"/>
      <c r="GYP286" s="1069"/>
      <c r="GYQ286" s="1069"/>
      <c r="GYR286" s="1069"/>
      <c r="GYS286" s="1069"/>
      <c r="GYT286" s="1069"/>
      <c r="GYU286" s="1069"/>
      <c r="GYV286" s="1069"/>
      <c r="GYW286" s="1069"/>
      <c r="GYX286" s="1069"/>
      <c r="GYY286" s="1069"/>
      <c r="GYZ286" s="1069"/>
      <c r="GZA286" s="1069"/>
      <c r="GZB286" s="1069"/>
      <c r="GZC286" s="1069"/>
      <c r="GZD286" s="1069"/>
      <c r="GZE286" s="1069"/>
      <c r="GZF286" s="1069"/>
      <c r="GZG286" s="1069"/>
      <c r="GZH286" s="1069"/>
      <c r="GZI286" s="1069"/>
      <c r="GZJ286" s="1069"/>
      <c r="GZK286" s="1069"/>
      <c r="GZL286" s="1069"/>
      <c r="GZM286" s="1069"/>
      <c r="GZN286" s="1069"/>
      <c r="GZO286" s="1069"/>
      <c r="GZP286" s="1069"/>
      <c r="GZQ286" s="1069"/>
      <c r="GZR286" s="1069"/>
      <c r="GZS286" s="1069"/>
      <c r="GZT286" s="1069"/>
      <c r="GZU286" s="1069"/>
      <c r="GZV286" s="1069"/>
      <c r="GZW286" s="1069"/>
      <c r="GZX286" s="1069"/>
      <c r="GZY286" s="1069"/>
      <c r="GZZ286" s="1069"/>
      <c r="HAA286" s="1069"/>
      <c r="HAB286" s="1069"/>
      <c r="HAC286" s="1069"/>
      <c r="HAD286" s="1069"/>
      <c r="HAE286" s="1069"/>
      <c r="HAF286" s="1069"/>
      <c r="HAG286" s="1069"/>
      <c r="HAH286" s="1069"/>
      <c r="HAI286" s="1069"/>
      <c r="HAJ286" s="1069"/>
      <c r="HAK286" s="1069"/>
      <c r="HAL286" s="1069"/>
      <c r="HAM286" s="1069"/>
      <c r="HAN286" s="1069"/>
      <c r="HAO286" s="1069"/>
      <c r="HAP286" s="1069"/>
      <c r="HAQ286" s="1069"/>
      <c r="HAR286" s="1069"/>
      <c r="HAS286" s="1069"/>
      <c r="HAT286" s="1069"/>
      <c r="HAU286" s="1069"/>
      <c r="HAV286" s="1069"/>
      <c r="HAW286" s="1069"/>
      <c r="HAX286" s="1069"/>
      <c r="HAY286" s="1069"/>
      <c r="HAZ286" s="1069"/>
      <c r="HBA286" s="1069"/>
      <c r="HBB286" s="1069"/>
      <c r="HBC286" s="1069"/>
      <c r="HBD286" s="1069"/>
      <c r="HBE286" s="1069"/>
      <c r="HBF286" s="1069"/>
      <c r="HBG286" s="1069"/>
      <c r="HBH286" s="1069"/>
      <c r="HBI286" s="1069"/>
      <c r="HBJ286" s="1069"/>
      <c r="HBK286" s="1069"/>
      <c r="HBL286" s="1069"/>
      <c r="HBM286" s="1069"/>
      <c r="HBN286" s="1069"/>
      <c r="HBO286" s="1069"/>
      <c r="HBP286" s="1069"/>
      <c r="HBQ286" s="1069"/>
      <c r="HBR286" s="1069"/>
      <c r="HBS286" s="1069"/>
      <c r="HBT286" s="1069"/>
      <c r="HBU286" s="1069"/>
      <c r="HBV286" s="1069"/>
      <c r="HBW286" s="1069"/>
      <c r="HBX286" s="1069"/>
      <c r="HBY286" s="1069"/>
      <c r="HBZ286" s="1069"/>
      <c r="HCA286" s="1069"/>
      <c r="HCB286" s="1069"/>
      <c r="HCC286" s="1069"/>
      <c r="HCD286" s="1069"/>
      <c r="HCE286" s="1069"/>
      <c r="HCF286" s="1069"/>
      <c r="HCG286" s="1069"/>
      <c r="HCH286" s="1069"/>
      <c r="HCI286" s="1069"/>
      <c r="HCJ286" s="1069"/>
      <c r="HCK286" s="1069"/>
      <c r="HCL286" s="1069"/>
      <c r="HCM286" s="1069"/>
      <c r="HCN286" s="1069"/>
      <c r="HCO286" s="1069"/>
      <c r="HCP286" s="1069"/>
      <c r="HCQ286" s="1069"/>
      <c r="HCR286" s="1069"/>
      <c r="HCS286" s="1069"/>
      <c r="HCT286" s="1069"/>
      <c r="HCU286" s="1069"/>
      <c r="HCV286" s="1069"/>
      <c r="HCW286" s="1069"/>
      <c r="HCX286" s="1069"/>
      <c r="HCY286" s="1069"/>
      <c r="HCZ286" s="1069"/>
      <c r="HDA286" s="1069"/>
      <c r="HDB286" s="1069"/>
      <c r="HDC286" s="1069"/>
      <c r="HDD286" s="1069"/>
      <c r="HDE286" s="1069"/>
      <c r="HDF286" s="1069"/>
      <c r="HDG286" s="1069"/>
      <c r="HDH286" s="1069"/>
      <c r="HDI286" s="1069"/>
      <c r="HDJ286" s="1069"/>
      <c r="HDK286" s="1069"/>
      <c r="HDL286" s="1069"/>
      <c r="HDM286" s="1069"/>
      <c r="HDN286" s="1069"/>
      <c r="HDO286" s="1069"/>
      <c r="HDP286" s="1069"/>
      <c r="HDQ286" s="1069"/>
      <c r="HDR286" s="1069"/>
      <c r="HDS286" s="1069"/>
      <c r="HDT286" s="1069"/>
      <c r="HDU286" s="1069"/>
      <c r="HDV286" s="1069"/>
      <c r="HDW286" s="1069"/>
      <c r="HDX286" s="1069"/>
      <c r="HDY286" s="1069"/>
      <c r="HDZ286" s="1069"/>
      <c r="HEA286" s="1069"/>
      <c r="HEB286" s="1069"/>
      <c r="HEC286" s="1069"/>
      <c r="HED286" s="1069"/>
      <c r="HEE286" s="1069"/>
      <c r="HEF286" s="1069"/>
      <c r="HEG286" s="1069"/>
      <c r="HEH286" s="1069"/>
      <c r="HEI286" s="1069"/>
      <c r="HEJ286" s="1069"/>
      <c r="HEK286" s="1069"/>
      <c r="HEL286" s="1069"/>
      <c r="HEM286" s="1069"/>
      <c r="HEN286" s="1069"/>
      <c r="HEO286" s="1069"/>
      <c r="HEP286" s="1069"/>
      <c r="HEQ286" s="1069"/>
      <c r="HER286" s="1069"/>
      <c r="HES286" s="1069"/>
      <c r="HET286" s="1069"/>
      <c r="HEU286" s="1069"/>
      <c r="HEV286" s="1069"/>
      <c r="HEW286" s="1069"/>
      <c r="HEX286" s="1069"/>
      <c r="HEY286" s="1069"/>
      <c r="HEZ286" s="1069"/>
      <c r="HFA286" s="1069"/>
      <c r="HFB286" s="1069"/>
      <c r="HFC286" s="1069"/>
      <c r="HFD286" s="1069"/>
      <c r="HFE286" s="1069"/>
      <c r="HFF286" s="1069"/>
      <c r="HFG286" s="1069"/>
      <c r="HFH286" s="1069"/>
      <c r="HFI286" s="1069"/>
      <c r="HFJ286" s="1069"/>
      <c r="HFK286" s="1069"/>
      <c r="HFL286" s="1069"/>
      <c r="HFM286" s="1069"/>
      <c r="HFN286" s="1069"/>
      <c r="HFO286" s="1069"/>
      <c r="HFP286" s="1069"/>
      <c r="HFQ286" s="1069"/>
      <c r="HFR286" s="1069"/>
      <c r="HFS286" s="1069"/>
      <c r="HFT286" s="1069"/>
      <c r="HFU286" s="1069"/>
      <c r="HFV286" s="1069"/>
      <c r="HFW286" s="1069"/>
      <c r="HFX286" s="1069"/>
      <c r="HFY286" s="1069"/>
      <c r="HFZ286" s="1069"/>
      <c r="HGA286" s="1069"/>
      <c r="HGB286" s="1069"/>
      <c r="HGC286" s="1069"/>
      <c r="HGD286" s="1069"/>
      <c r="HGE286" s="1069"/>
      <c r="HGF286" s="1069"/>
      <c r="HGG286" s="1069"/>
      <c r="HGH286" s="1069"/>
      <c r="HGI286" s="1069"/>
      <c r="HGJ286" s="1069"/>
      <c r="HGK286" s="1069"/>
      <c r="HGL286" s="1069"/>
      <c r="HGM286" s="1069"/>
      <c r="HGN286" s="1069"/>
      <c r="HGO286" s="1069"/>
      <c r="HGP286" s="1069"/>
      <c r="HGQ286" s="1069"/>
      <c r="HGR286" s="1069"/>
      <c r="HGS286" s="1069"/>
      <c r="HGT286" s="1069"/>
      <c r="HGU286" s="1069"/>
      <c r="HGV286" s="1069"/>
      <c r="HGW286" s="1069"/>
      <c r="HGX286" s="1069"/>
      <c r="HGY286" s="1069"/>
      <c r="HGZ286" s="1069"/>
      <c r="HHA286" s="1069"/>
      <c r="HHB286" s="1069"/>
      <c r="HHC286" s="1069"/>
      <c r="HHD286" s="1069"/>
      <c r="HHE286" s="1069"/>
      <c r="HHF286" s="1069"/>
      <c r="HHG286" s="1069"/>
      <c r="HHH286" s="1069"/>
      <c r="HHI286" s="1069"/>
      <c r="HHJ286" s="1069"/>
      <c r="HHK286" s="1069"/>
      <c r="HHL286" s="1069"/>
      <c r="HHM286" s="1069"/>
      <c r="HHN286" s="1069"/>
      <c r="HHO286" s="1069"/>
      <c r="HHP286" s="1069"/>
      <c r="HHQ286" s="1069"/>
      <c r="HHR286" s="1069"/>
      <c r="HHS286" s="1069"/>
      <c r="HHT286" s="1069"/>
      <c r="HHU286" s="1069"/>
      <c r="HHV286" s="1069"/>
      <c r="HHW286" s="1069"/>
      <c r="HHX286" s="1069"/>
      <c r="HHY286" s="1069"/>
      <c r="HHZ286" s="1069"/>
      <c r="HIA286" s="1069"/>
      <c r="HIB286" s="1069"/>
      <c r="HIC286" s="1069"/>
      <c r="HID286" s="1069"/>
      <c r="HIE286" s="1069"/>
      <c r="HIF286" s="1069"/>
      <c r="HIG286" s="1069"/>
      <c r="HIH286" s="1069"/>
      <c r="HII286" s="1069"/>
      <c r="HIJ286" s="1069"/>
      <c r="HIK286" s="1069"/>
      <c r="HIL286" s="1069"/>
      <c r="HIM286" s="1069"/>
      <c r="HIN286" s="1069"/>
      <c r="HIO286" s="1069"/>
      <c r="HIP286" s="1069"/>
      <c r="HIQ286" s="1069"/>
      <c r="HIR286" s="1069"/>
      <c r="HIS286" s="1069"/>
      <c r="HIT286" s="1069"/>
      <c r="HIU286" s="1069"/>
      <c r="HIV286" s="1069"/>
      <c r="HIW286" s="1069"/>
      <c r="HIX286" s="1069"/>
      <c r="HIY286" s="1069"/>
      <c r="HIZ286" s="1069"/>
      <c r="HJA286" s="1069"/>
      <c r="HJB286" s="1069"/>
      <c r="HJC286" s="1069"/>
      <c r="HJD286" s="1069"/>
      <c r="HJE286" s="1069"/>
      <c r="HJF286" s="1069"/>
      <c r="HJG286" s="1069"/>
      <c r="HJH286" s="1069"/>
      <c r="HJI286" s="1069"/>
      <c r="HJJ286" s="1069"/>
      <c r="HJK286" s="1069"/>
      <c r="HJL286" s="1069"/>
      <c r="HJM286" s="1069"/>
      <c r="HJN286" s="1069"/>
      <c r="HJO286" s="1069"/>
      <c r="HJP286" s="1069"/>
      <c r="HJQ286" s="1069"/>
      <c r="HJR286" s="1069"/>
      <c r="HJS286" s="1069"/>
      <c r="HJT286" s="1069"/>
      <c r="HJU286" s="1069"/>
      <c r="HJV286" s="1069"/>
      <c r="HJW286" s="1069"/>
      <c r="HJX286" s="1069"/>
      <c r="HJY286" s="1069"/>
      <c r="HJZ286" s="1069"/>
      <c r="HKA286" s="1069"/>
      <c r="HKB286" s="1069"/>
      <c r="HKC286" s="1069"/>
      <c r="HKD286" s="1069"/>
      <c r="HKE286" s="1069"/>
      <c r="HKF286" s="1069"/>
      <c r="HKG286" s="1069"/>
      <c r="HKH286" s="1069"/>
      <c r="HKI286" s="1069"/>
      <c r="HKJ286" s="1069"/>
      <c r="HKK286" s="1069"/>
      <c r="HKL286" s="1069"/>
      <c r="HKM286" s="1069"/>
      <c r="HKN286" s="1069"/>
      <c r="HKO286" s="1069"/>
      <c r="HKP286" s="1069"/>
      <c r="HKQ286" s="1069"/>
      <c r="HKR286" s="1069"/>
      <c r="HKS286" s="1069"/>
      <c r="HKT286" s="1069"/>
      <c r="HKU286" s="1069"/>
      <c r="HKV286" s="1069"/>
      <c r="HKW286" s="1069"/>
      <c r="HKX286" s="1069"/>
      <c r="HKY286" s="1069"/>
      <c r="HKZ286" s="1069"/>
      <c r="HLA286" s="1069"/>
      <c r="HLB286" s="1069"/>
      <c r="HLC286" s="1069"/>
      <c r="HLD286" s="1069"/>
      <c r="HLE286" s="1069"/>
      <c r="HLF286" s="1069"/>
      <c r="HLG286" s="1069"/>
      <c r="HLH286" s="1069"/>
      <c r="HLI286" s="1069"/>
      <c r="HLJ286" s="1069"/>
      <c r="HLK286" s="1069"/>
      <c r="HLL286" s="1069"/>
      <c r="HLM286" s="1069"/>
      <c r="HLN286" s="1069"/>
      <c r="HLO286" s="1069"/>
      <c r="HLP286" s="1069"/>
      <c r="HLQ286" s="1069"/>
      <c r="HLR286" s="1069"/>
      <c r="HLS286" s="1069"/>
      <c r="HLT286" s="1069"/>
      <c r="HLU286" s="1069"/>
      <c r="HLV286" s="1069"/>
      <c r="HLW286" s="1069"/>
      <c r="HLX286" s="1069"/>
      <c r="HLY286" s="1069"/>
      <c r="HLZ286" s="1069"/>
      <c r="HMA286" s="1069"/>
      <c r="HMB286" s="1069"/>
      <c r="HMC286" s="1069"/>
      <c r="HMD286" s="1069"/>
      <c r="HME286" s="1069"/>
      <c r="HMF286" s="1069"/>
      <c r="HMG286" s="1069"/>
      <c r="HMH286" s="1069"/>
      <c r="HMI286" s="1069"/>
      <c r="HMJ286" s="1069"/>
      <c r="HMK286" s="1069"/>
      <c r="HML286" s="1069"/>
      <c r="HMM286" s="1069"/>
      <c r="HMN286" s="1069"/>
      <c r="HMO286" s="1069"/>
      <c r="HMP286" s="1069"/>
      <c r="HMQ286" s="1069"/>
      <c r="HMR286" s="1069"/>
      <c r="HMS286" s="1069"/>
      <c r="HMT286" s="1069"/>
      <c r="HMU286" s="1069"/>
      <c r="HMV286" s="1069"/>
      <c r="HMW286" s="1069"/>
      <c r="HMX286" s="1069"/>
      <c r="HMY286" s="1069"/>
      <c r="HMZ286" s="1069"/>
      <c r="HNA286" s="1069"/>
      <c r="HNB286" s="1069"/>
      <c r="HNC286" s="1069"/>
      <c r="HND286" s="1069"/>
      <c r="HNE286" s="1069"/>
      <c r="HNF286" s="1069"/>
      <c r="HNG286" s="1069"/>
      <c r="HNH286" s="1069"/>
      <c r="HNI286" s="1069"/>
      <c r="HNJ286" s="1069"/>
      <c r="HNK286" s="1069"/>
      <c r="HNL286" s="1069"/>
      <c r="HNM286" s="1069"/>
      <c r="HNN286" s="1069"/>
      <c r="HNO286" s="1069"/>
      <c r="HNP286" s="1069"/>
      <c r="HNQ286" s="1069"/>
      <c r="HNR286" s="1069"/>
      <c r="HNS286" s="1069"/>
      <c r="HNT286" s="1069"/>
      <c r="HNU286" s="1069"/>
      <c r="HNV286" s="1069"/>
      <c r="HNW286" s="1069"/>
      <c r="HNX286" s="1069"/>
      <c r="HNY286" s="1069"/>
      <c r="HNZ286" s="1069"/>
      <c r="HOA286" s="1069"/>
      <c r="HOB286" s="1069"/>
      <c r="HOC286" s="1069"/>
      <c r="HOD286" s="1069"/>
      <c r="HOE286" s="1069"/>
      <c r="HOF286" s="1069"/>
      <c r="HOG286" s="1069"/>
      <c r="HOH286" s="1069"/>
      <c r="HOI286" s="1069"/>
      <c r="HOJ286" s="1069"/>
      <c r="HOK286" s="1069"/>
      <c r="HOL286" s="1069"/>
      <c r="HOM286" s="1069"/>
      <c r="HON286" s="1069"/>
      <c r="HOO286" s="1069"/>
      <c r="HOP286" s="1069"/>
      <c r="HOQ286" s="1069"/>
      <c r="HOR286" s="1069"/>
      <c r="HOS286" s="1069"/>
      <c r="HOT286" s="1069"/>
      <c r="HOU286" s="1069"/>
      <c r="HOV286" s="1069"/>
      <c r="HOW286" s="1069"/>
      <c r="HOX286" s="1069"/>
      <c r="HOY286" s="1069"/>
      <c r="HOZ286" s="1069"/>
      <c r="HPA286" s="1069"/>
      <c r="HPB286" s="1069"/>
      <c r="HPC286" s="1069"/>
      <c r="HPD286" s="1069"/>
      <c r="HPE286" s="1069"/>
      <c r="HPF286" s="1069"/>
      <c r="HPG286" s="1069"/>
      <c r="HPH286" s="1069"/>
      <c r="HPI286" s="1069"/>
      <c r="HPJ286" s="1069"/>
      <c r="HPK286" s="1069"/>
      <c r="HPL286" s="1069"/>
      <c r="HPM286" s="1069"/>
      <c r="HPN286" s="1069"/>
      <c r="HPO286" s="1069"/>
      <c r="HPP286" s="1069"/>
      <c r="HPQ286" s="1069"/>
      <c r="HPR286" s="1069"/>
      <c r="HPS286" s="1069"/>
      <c r="HPT286" s="1069"/>
      <c r="HPU286" s="1069"/>
      <c r="HPV286" s="1069"/>
      <c r="HPW286" s="1069"/>
      <c r="HPX286" s="1069"/>
      <c r="HPY286" s="1069"/>
      <c r="HPZ286" s="1069"/>
      <c r="HQA286" s="1069"/>
      <c r="HQB286" s="1069"/>
      <c r="HQC286" s="1069"/>
      <c r="HQD286" s="1069"/>
      <c r="HQE286" s="1069"/>
      <c r="HQF286" s="1069"/>
      <c r="HQG286" s="1069"/>
      <c r="HQH286" s="1069"/>
      <c r="HQI286" s="1069"/>
      <c r="HQJ286" s="1069"/>
      <c r="HQK286" s="1069"/>
      <c r="HQL286" s="1069"/>
      <c r="HQM286" s="1069"/>
      <c r="HQN286" s="1069"/>
      <c r="HQO286" s="1069"/>
      <c r="HQP286" s="1069"/>
      <c r="HQQ286" s="1069"/>
      <c r="HQR286" s="1069"/>
      <c r="HQS286" s="1069"/>
      <c r="HQT286" s="1069"/>
      <c r="HQU286" s="1069"/>
      <c r="HQV286" s="1069"/>
      <c r="HQW286" s="1069"/>
      <c r="HQX286" s="1069"/>
      <c r="HQY286" s="1069"/>
      <c r="HQZ286" s="1069"/>
      <c r="HRA286" s="1069"/>
      <c r="HRB286" s="1069"/>
      <c r="HRC286" s="1069"/>
      <c r="HRD286" s="1069"/>
      <c r="HRE286" s="1069"/>
      <c r="HRF286" s="1069"/>
      <c r="HRG286" s="1069"/>
      <c r="HRH286" s="1069"/>
      <c r="HRI286" s="1069"/>
      <c r="HRJ286" s="1069"/>
      <c r="HRK286" s="1069"/>
      <c r="HRL286" s="1069"/>
      <c r="HRM286" s="1069"/>
      <c r="HRN286" s="1069"/>
      <c r="HRO286" s="1069"/>
      <c r="HRP286" s="1069"/>
      <c r="HRQ286" s="1069"/>
      <c r="HRR286" s="1069"/>
      <c r="HRS286" s="1069"/>
      <c r="HRT286" s="1069"/>
      <c r="HRU286" s="1069"/>
      <c r="HRV286" s="1069"/>
      <c r="HRW286" s="1069"/>
      <c r="HRX286" s="1069"/>
      <c r="HRY286" s="1069"/>
      <c r="HRZ286" s="1069"/>
      <c r="HSA286" s="1069"/>
      <c r="HSB286" s="1069"/>
      <c r="HSC286" s="1069"/>
      <c r="HSD286" s="1069"/>
      <c r="HSE286" s="1069"/>
      <c r="HSF286" s="1069"/>
      <c r="HSG286" s="1069"/>
      <c r="HSH286" s="1069"/>
      <c r="HSI286" s="1069"/>
      <c r="HSJ286" s="1069"/>
      <c r="HSK286" s="1069"/>
      <c r="HSL286" s="1069"/>
      <c r="HSM286" s="1069"/>
      <c r="HSN286" s="1069"/>
      <c r="HSO286" s="1069"/>
      <c r="HSP286" s="1069"/>
      <c r="HSQ286" s="1069"/>
      <c r="HSR286" s="1069"/>
      <c r="HSS286" s="1069"/>
      <c r="HST286" s="1069"/>
      <c r="HSU286" s="1069"/>
      <c r="HSV286" s="1069"/>
      <c r="HSW286" s="1069"/>
      <c r="HSX286" s="1069"/>
      <c r="HSY286" s="1069"/>
      <c r="HSZ286" s="1069"/>
      <c r="HTA286" s="1069"/>
      <c r="HTB286" s="1069"/>
      <c r="HTC286" s="1069"/>
      <c r="HTD286" s="1069"/>
      <c r="HTE286" s="1069"/>
      <c r="HTF286" s="1069"/>
      <c r="HTG286" s="1069"/>
      <c r="HTH286" s="1069"/>
      <c r="HTI286" s="1069"/>
      <c r="HTJ286" s="1069"/>
      <c r="HTK286" s="1069"/>
      <c r="HTL286" s="1069"/>
      <c r="HTM286" s="1069"/>
      <c r="HTN286" s="1069"/>
      <c r="HTO286" s="1069"/>
      <c r="HTP286" s="1069"/>
      <c r="HTQ286" s="1069"/>
      <c r="HTR286" s="1069"/>
      <c r="HTS286" s="1069"/>
      <c r="HTT286" s="1069"/>
      <c r="HTU286" s="1069"/>
      <c r="HTV286" s="1069"/>
      <c r="HTW286" s="1069"/>
      <c r="HTX286" s="1069"/>
      <c r="HTY286" s="1069"/>
      <c r="HTZ286" s="1069"/>
      <c r="HUA286" s="1069"/>
      <c r="HUB286" s="1069"/>
      <c r="HUC286" s="1069"/>
      <c r="HUD286" s="1069"/>
      <c r="HUE286" s="1069"/>
      <c r="HUF286" s="1069"/>
      <c r="HUG286" s="1069"/>
      <c r="HUH286" s="1069"/>
      <c r="HUI286" s="1069"/>
      <c r="HUJ286" s="1069"/>
      <c r="HUK286" s="1069"/>
      <c r="HUL286" s="1069"/>
      <c r="HUM286" s="1069"/>
      <c r="HUN286" s="1069"/>
      <c r="HUO286" s="1069"/>
      <c r="HUP286" s="1069"/>
      <c r="HUQ286" s="1069"/>
      <c r="HUR286" s="1069"/>
      <c r="HUS286" s="1069"/>
      <c r="HUT286" s="1069"/>
      <c r="HUU286" s="1069"/>
      <c r="HUV286" s="1069"/>
      <c r="HUW286" s="1069"/>
      <c r="HUX286" s="1069"/>
      <c r="HUY286" s="1069"/>
      <c r="HUZ286" s="1069"/>
      <c r="HVA286" s="1069"/>
      <c r="HVB286" s="1069"/>
      <c r="HVC286" s="1069"/>
      <c r="HVD286" s="1069"/>
      <c r="HVE286" s="1069"/>
      <c r="HVF286" s="1069"/>
      <c r="HVG286" s="1069"/>
      <c r="HVH286" s="1069"/>
      <c r="HVI286" s="1069"/>
      <c r="HVJ286" s="1069"/>
      <c r="HVK286" s="1069"/>
      <c r="HVL286" s="1069"/>
      <c r="HVM286" s="1069"/>
      <c r="HVN286" s="1069"/>
      <c r="HVO286" s="1069"/>
      <c r="HVP286" s="1069"/>
      <c r="HVQ286" s="1069"/>
      <c r="HVR286" s="1069"/>
      <c r="HVS286" s="1069"/>
      <c r="HVT286" s="1069"/>
      <c r="HVU286" s="1069"/>
      <c r="HVV286" s="1069"/>
      <c r="HVW286" s="1069"/>
      <c r="HVX286" s="1069"/>
      <c r="HVY286" s="1069"/>
      <c r="HVZ286" s="1069"/>
      <c r="HWA286" s="1069"/>
      <c r="HWB286" s="1069"/>
      <c r="HWC286" s="1069"/>
      <c r="HWD286" s="1069"/>
      <c r="HWE286" s="1069"/>
      <c r="HWF286" s="1069"/>
      <c r="HWG286" s="1069"/>
      <c r="HWH286" s="1069"/>
      <c r="HWI286" s="1069"/>
      <c r="HWJ286" s="1069"/>
      <c r="HWK286" s="1069"/>
      <c r="HWL286" s="1069"/>
      <c r="HWM286" s="1069"/>
      <c r="HWN286" s="1069"/>
      <c r="HWO286" s="1069"/>
      <c r="HWP286" s="1069"/>
      <c r="HWQ286" s="1069"/>
      <c r="HWR286" s="1069"/>
      <c r="HWS286" s="1069"/>
      <c r="HWT286" s="1069"/>
      <c r="HWU286" s="1069"/>
      <c r="HWV286" s="1069"/>
      <c r="HWW286" s="1069"/>
      <c r="HWX286" s="1069"/>
      <c r="HWY286" s="1069"/>
      <c r="HWZ286" s="1069"/>
      <c r="HXA286" s="1069"/>
      <c r="HXB286" s="1069"/>
      <c r="HXC286" s="1069"/>
      <c r="HXD286" s="1069"/>
      <c r="HXE286" s="1069"/>
      <c r="HXF286" s="1069"/>
      <c r="HXG286" s="1069"/>
      <c r="HXH286" s="1069"/>
      <c r="HXI286" s="1069"/>
      <c r="HXJ286" s="1069"/>
      <c r="HXK286" s="1069"/>
      <c r="HXL286" s="1069"/>
      <c r="HXM286" s="1069"/>
      <c r="HXN286" s="1069"/>
      <c r="HXO286" s="1069"/>
      <c r="HXP286" s="1069"/>
      <c r="HXQ286" s="1069"/>
      <c r="HXR286" s="1069"/>
      <c r="HXS286" s="1069"/>
      <c r="HXT286" s="1069"/>
      <c r="HXU286" s="1069"/>
      <c r="HXV286" s="1069"/>
      <c r="HXW286" s="1069"/>
      <c r="HXX286" s="1069"/>
      <c r="HXY286" s="1069"/>
      <c r="HXZ286" s="1069"/>
      <c r="HYA286" s="1069"/>
      <c r="HYB286" s="1069"/>
      <c r="HYC286" s="1069"/>
      <c r="HYD286" s="1069"/>
      <c r="HYE286" s="1069"/>
      <c r="HYF286" s="1069"/>
      <c r="HYG286" s="1069"/>
      <c r="HYH286" s="1069"/>
      <c r="HYI286" s="1069"/>
      <c r="HYJ286" s="1069"/>
      <c r="HYK286" s="1069"/>
      <c r="HYL286" s="1069"/>
      <c r="HYM286" s="1069"/>
      <c r="HYN286" s="1069"/>
      <c r="HYO286" s="1069"/>
      <c r="HYP286" s="1069"/>
      <c r="HYQ286" s="1069"/>
      <c r="HYR286" s="1069"/>
      <c r="HYS286" s="1069"/>
      <c r="HYT286" s="1069"/>
      <c r="HYU286" s="1069"/>
      <c r="HYV286" s="1069"/>
      <c r="HYW286" s="1069"/>
      <c r="HYX286" s="1069"/>
      <c r="HYY286" s="1069"/>
      <c r="HYZ286" s="1069"/>
      <c r="HZA286" s="1069"/>
      <c r="HZB286" s="1069"/>
      <c r="HZC286" s="1069"/>
      <c r="HZD286" s="1069"/>
      <c r="HZE286" s="1069"/>
      <c r="HZF286" s="1069"/>
      <c r="HZG286" s="1069"/>
      <c r="HZH286" s="1069"/>
      <c r="HZI286" s="1069"/>
      <c r="HZJ286" s="1069"/>
      <c r="HZK286" s="1069"/>
      <c r="HZL286" s="1069"/>
      <c r="HZM286" s="1069"/>
      <c r="HZN286" s="1069"/>
      <c r="HZO286" s="1069"/>
      <c r="HZP286" s="1069"/>
      <c r="HZQ286" s="1069"/>
      <c r="HZR286" s="1069"/>
      <c r="HZS286" s="1069"/>
      <c r="HZT286" s="1069"/>
      <c r="HZU286" s="1069"/>
      <c r="HZV286" s="1069"/>
      <c r="HZW286" s="1069"/>
      <c r="HZX286" s="1069"/>
      <c r="HZY286" s="1069"/>
      <c r="HZZ286" s="1069"/>
      <c r="IAA286" s="1069"/>
      <c r="IAB286" s="1069"/>
      <c r="IAC286" s="1069"/>
      <c r="IAD286" s="1069"/>
      <c r="IAE286" s="1069"/>
      <c r="IAF286" s="1069"/>
      <c r="IAG286" s="1069"/>
      <c r="IAH286" s="1069"/>
      <c r="IAI286" s="1069"/>
      <c r="IAJ286" s="1069"/>
      <c r="IAK286" s="1069"/>
      <c r="IAL286" s="1069"/>
      <c r="IAM286" s="1069"/>
      <c r="IAN286" s="1069"/>
      <c r="IAO286" s="1069"/>
      <c r="IAP286" s="1069"/>
      <c r="IAQ286" s="1069"/>
      <c r="IAR286" s="1069"/>
      <c r="IAS286" s="1069"/>
      <c r="IAT286" s="1069"/>
      <c r="IAU286" s="1069"/>
      <c r="IAV286" s="1069"/>
      <c r="IAW286" s="1069"/>
      <c r="IAX286" s="1069"/>
      <c r="IAY286" s="1069"/>
      <c r="IAZ286" s="1069"/>
      <c r="IBA286" s="1069"/>
      <c r="IBB286" s="1069"/>
      <c r="IBC286" s="1069"/>
      <c r="IBD286" s="1069"/>
      <c r="IBE286" s="1069"/>
      <c r="IBF286" s="1069"/>
      <c r="IBG286" s="1069"/>
      <c r="IBH286" s="1069"/>
      <c r="IBI286" s="1069"/>
      <c r="IBJ286" s="1069"/>
      <c r="IBK286" s="1069"/>
      <c r="IBL286" s="1069"/>
      <c r="IBM286" s="1069"/>
      <c r="IBN286" s="1069"/>
      <c r="IBO286" s="1069"/>
      <c r="IBP286" s="1069"/>
      <c r="IBQ286" s="1069"/>
      <c r="IBR286" s="1069"/>
      <c r="IBS286" s="1069"/>
      <c r="IBT286" s="1069"/>
      <c r="IBU286" s="1069"/>
      <c r="IBV286" s="1069"/>
      <c r="IBW286" s="1069"/>
      <c r="IBX286" s="1069"/>
      <c r="IBY286" s="1069"/>
      <c r="IBZ286" s="1069"/>
      <c r="ICA286" s="1069"/>
      <c r="ICB286" s="1069"/>
      <c r="ICC286" s="1069"/>
      <c r="ICD286" s="1069"/>
      <c r="ICE286" s="1069"/>
      <c r="ICF286" s="1069"/>
      <c r="ICG286" s="1069"/>
      <c r="ICH286" s="1069"/>
      <c r="ICI286" s="1069"/>
      <c r="ICJ286" s="1069"/>
      <c r="ICK286" s="1069"/>
      <c r="ICL286" s="1069"/>
      <c r="ICM286" s="1069"/>
      <c r="ICN286" s="1069"/>
      <c r="ICO286" s="1069"/>
      <c r="ICP286" s="1069"/>
      <c r="ICQ286" s="1069"/>
      <c r="ICR286" s="1069"/>
      <c r="ICS286" s="1069"/>
      <c r="ICT286" s="1069"/>
      <c r="ICU286" s="1069"/>
      <c r="ICV286" s="1069"/>
      <c r="ICW286" s="1069"/>
      <c r="ICX286" s="1069"/>
      <c r="ICY286" s="1069"/>
      <c r="ICZ286" s="1069"/>
      <c r="IDA286" s="1069"/>
      <c r="IDB286" s="1069"/>
      <c r="IDC286" s="1069"/>
      <c r="IDD286" s="1069"/>
      <c r="IDE286" s="1069"/>
      <c r="IDF286" s="1069"/>
      <c r="IDG286" s="1069"/>
      <c r="IDH286" s="1069"/>
      <c r="IDI286" s="1069"/>
      <c r="IDJ286" s="1069"/>
      <c r="IDK286" s="1069"/>
      <c r="IDL286" s="1069"/>
      <c r="IDM286" s="1069"/>
      <c r="IDN286" s="1069"/>
      <c r="IDO286" s="1069"/>
      <c r="IDP286" s="1069"/>
      <c r="IDQ286" s="1069"/>
      <c r="IDR286" s="1069"/>
      <c r="IDS286" s="1069"/>
      <c r="IDT286" s="1069"/>
      <c r="IDU286" s="1069"/>
      <c r="IDV286" s="1069"/>
      <c r="IDW286" s="1069"/>
      <c r="IDX286" s="1069"/>
      <c r="IDY286" s="1069"/>
      <c r="IDZ286" s="1069"/>
      <c r="IEA286" s="1069"/>
      <c r="IEB286" s="1069"/>
      <c r="IEC286" s="1069"/>
      <c r="IED286" s="1069"/>
      <c r="IEE286" s="1069"/>
      <c r="IEF286" s="1069"/>
      <c r="IEG286" s="1069"/>
      <c r="IEH286" s="1069"/>
      <c r="IEI286" s="1069"/>
      <c r="IEJ286" s="1069"/>
      <c r="IEK286" s="1069"/>
      <c r="IEL286" s="1069"/>
      <c r="IEM286" s="1069"/>
      <c r="IEN286" s="1069"/>
      <c r="IEO286" s="1069"/>
      <c r="IEP286" s="1069"/>
      <c r="IEQ286" s="1069"/>
      <c r="IER286" s="1069"/>
      <c r="IES286" s="1069"/>
      <c r="IET286" s="1069"/>
      <c r="IEU286" s="1069"/>
      <c r="IEV286" s="1069"/>
      <c r="IEW286" s="1069"/>
      <c r="IEX286" s="1069"/>
      <c r="IEY286" s="1069"/>
      <c r="IEZ286" s="1069"/>
      <c r="IFA286" s="1069"/>
      <c r="IFB286" s="1069"/>
      <c r="IFC286" s="1069"/>
      <c r="IFD286" s="1069"/>
      <c r="IFE286" s="1069"/>
      <c r="IFF286" s="1069"/>
      <c r="IFG286" s="1069"/>
      <c r="IFH286" s="1069"/>
      <c r="IFI286" s="1069"/>
      <c r="IFJ286" s="1069"/>
      <c r="IFK286" s="1069"/>
      <c r="IFL286" s="1069"/>
      <c r="IFM286" s="1069"/>
      <c r="IFN286" s="1069"/>
      <c r="IFO286" s="1069"/>
      <c r="IFP286" s="1069"/>
      <c r="IFQ286" s="1069"/>
      <c r="IFR286" s="1069"/>
      <c r="IFS286" s="1069"/>
      <c r="IFT286" s="1069"/>
      <c r="IFU286" s="1069"/>
      <c r="IFV286" s="1069"/>
      <c r="IFW286" s="1069"/>
      <c r="IFX286" s="1069"/>
      <c r="IFY286" s="1069"/>
      <c r="IFZ286" s="1069"/>
      <c r="IGA286" s="1069"/>
      <c r="IGB286" s="1069"/>
      <c r="IGC286" s="1069"/>
      <c r="IGD286" s="1069"/>
      <c r="IGE286" s="1069"/>
      <c r="IGF286" s="1069"/>
      <c r="IGG286" s="1069"/>
      <c r="IGH286" s="1069"/>
      <c r="IGI286" s="1069"/>
      <c r="IGJ286" s="1069"/>
      <c r="IGK286" s="1069"/>
      <c r="IGL286" s="1069"/>
      <c r="IGM286" s="1069"/>
      <c r="IGN286" s="1069"/>
      <c r="IGO286" s="1069"/>
      <c r="IGP286" s="1069"/>
      <c r="IGQ286" s="1069"/>
      <c r="IGR286" s="1069"/>
      <c r="IGS286" s="1069"/>
      <c r="IGT286" s="1069"/>
      <c r="IGU286" s="1069"/>
      <c r="IGV286" s="1069"/>
      <c r="IGW286" s="1069"/>
      <c r="IGX286" s="1069"/>
      <c r="IGY286" s="1069"/>
      <c r="IGZ286" s="1069"/>
      <c r="IHA286" s="1069"/>
      <c r="IHB286" s="1069"/>
      <c r="IHC286" s="1069"/>
      <c r="IHD286" s="1069"/>
      <c r="IHE286" s="1069"/>
      <c r="IHF286" s="1069"/>
      <c r="IHG286" s="1069"/>
      <c r="IHH286" s="1069"/>
      <c r="IHI286" s="1069"/>
      <c r="IHJ286" s="1069"/>
      <c r="IHK286" s="1069"/>
      <c r="IHL286" s="1069"/>
      <c r="IHM286" s="1069"/>
      <c r="IHN286" s="1069"/>
      <c r="IHO286" s="1069"/>
      <c r="IHP286" s="1069"/>
      <c r="IHQ286" s="1069"/>
      <c r="IHR286" s="1069"/>
      <c r="IHS286" s="1069"/>
      <c r="IHT286" s="1069"/>
      <c r="IHU286" s="1069"/>
      <c r="IHV286" s="1069"/>
      <c r="IHW286" s="1069"/>
      <c r="IHX286" s="1069"/>
      <c r="IHY286" s="1069"/>
      <c r="IHZ286" s="1069"/>
      <c r="IIA286" s="1069"/>
      <c r="IIB286" s="1069"/>
      <c r="IIC286" s="1069"/>
      <c r="IID286" s="1069"/>
      <c r="IIE286" s="1069"/>
      <c r="IIF286" s="1069"/>
      <c r="IIG286" s="1069"/>
      <c r="IIH286" s="1069"/>
      <c r="III286" s="1069"/>
      <c r="IIJ286" s="1069"/>
      <c r="IIK286" s="1069"/>
      <c r="IIL286" s="1069"/>
      <c r="IIM286" s="1069"/>
      <c r="IIN286" s="1069"/>
      <c r="IIO286" s="1069"/>
      <c r="IIP286" s="1069"/>
      <c r="IIQ286" s="1069"/>
      <c r="IIR286" s="1069"/>
      <c r="IIS286" s="1069"/>
      <c r="IIT286" s="1069"/>
      <c r="IIU286" s="1069"/>
      <c r="IIV286" s="1069"/>
      <c r="IIW286" s="1069"/>
      <c r="IIX286" s="1069"/>
      <c r="IIY286" s="1069"/>
      <c r="IIZ286" s="1069"/>
      <c r="IJA286" s="1069"/>
      <c r="IJB286" s="1069"/>
      <c r="IJC286" s="1069"/>
      <c r="IJD286" s="1069"/>
      <c r="IJE286" s="1069"/>
      <c r="IJF286" s="1069"/>
      <c r="IJG286" s="1069"/>
      <c r="IJH286" s="1069"/>
      <c r="IJI286" s="1069"/>
      <c r="IJJ286" s="1069"/>
      <c r="IJK286" s="1069"/>
      <c r="IJL286" s="1069"/>
      <c r="IJM286" s="1069"/>
      <c r="IJN286" s="1069"/>
      <c r="IJO286" s="1069"/>
      <c r="IJP286" s="1069"/>
      <c r="IJQ286" s="1069"/>
      <c r="IJR286" s="1069"/>
      <c r="IJS286" s="1069"/>
      <c r="IJT286" s="1069"/>
      <c r="IJU286" s="1069"/>
      <c r="IJV286" s="1069"/>
      <c r="IJW286" s="1069"/>
      <c r="IJX286" s="1069"/>
      <c r="IJY286" s="1069"/>
      <c r="IJZ286" s="1069"/>
      <c r="IKA286" s="1069"/>
      <c r="IKB286" s="1069"/>
      <c r="IKC286" s="1069"/>
      <c r="IKD286" s="1069"/>
      <c r="IKE286" s="1069"/>
      <c r="IKF286" s="1069"/>
      <c r="IKG286" s="1069"/>
      <c r="IKH286" s="1069"/>
      <c r="IKI286" s="1069"/>
      <c r="IKJ286" s="1069"/>
      <c r="IKK286" s="1069"/>
      <c r="IKL286" s="1069"/>
      <c r="IKM286" s="1069"/>
      <c r="IKN286" s="1069"/>
      <c r="IKO286" s="1069"/>
      <c r="IKP286" s="1069"/>
      <c r="IKQ286" s="1069"/>
      <c r="IKR286" s="1069"/>
      <c r="IKS286" s="1069"/>
      <c r="IKT286" s="1069"/>
      <c r="IKU286" s="1069"/>
      <c r="IKV286" s="1069"/>
      <c r="IKW286" s="1069"/>
      <c r="IKX286" s="1069"/>
      <c r="IKY286" s="1069"/>
      <c r="IKZ286" s="1069"/>
      <c r="ILA286" s="1069"/>
      <c r="ILB286" s="1069"/>
      <c r="ILC286" s="1069"/>
      <c r="ILD286" s="1069"/>
      <c r="ILE286" s="1069"/>
      <c r="ILF286" s="1069"/>
      <c r="ILG286" s="1069"/>
      <c r="ILH286" s="1069"/>
      <c r="ILI286" s="1069"/>
      <c r="ILJ286" s="1069"/>
      <c r="ILK286" s="1069"/>
      <c r="ILL286" s="1069"/>
      <c r="ILM286" s="1069"/>
      <c r="ILN286" s="1069"/>
      <c r="ILO286" s="1069"/>
      <c r="ILP286" s="1069"/>
      <c r="ILQ286" s="1069"/>
      <c r="ILR286" s="1069"/>
      <c r="ILS286" s="1069"/>
      <c r="ILT286" s="1069"/>
      <c r="ILU286" s="1069"/>
      <c r="ILV286" s="1069"/>
      <c r="ILW286" s="1069"/>
      <c r="ILX286" s="1069"/>
      <c r="ILY286" s="1069"/>
      <c r="ILZ286" s="1069"/>
      <c r="IMA286" s="1069"/>
      <c r="IMB286" s="1069"/>
      <c r="IMC286" s="1069"/>
      <c r="IMD286" s="1069"/>
      <c r="IME286" s="1069"/>
      <c r="IMF286" s="1069"/>
      <c r="IMG286" s="1069"/>
      <c r="IMH286" s="1069"/>
      <c r="IMI286" s="1069"/>
      <c r="IMJ286" s="1069"/>
      <c r="IMK286" s="1069"/>
      <c r="IML286" s="1069"/>
      <c r="IMM286" s="1069"/>
      <c r="IMN286" s="1069"/>
      <c r="IMO286" s="1069"/>
      <c r="IMP286" s="1069"/>
      <c r="IMQ286" s="1069"/>
      <c r="IMR286" s="1069"/>
      <c r="IMS286" s="1069"/>
      <c r="IMT286" s="1069"/>
      <c r="IMU286" s="1069"/>
      <c r="IMV286" s="1069"/>
      <c r="IMW286" s="1069"/>
      <c r="IMX286" s="1069"/>
      <c r="IMY286" s="1069"/>
      <c r="IMZ286" s="1069"/>
      <c r="INA286" s="1069"/>
      <c r="INB286" s="1069"/>
      <c r="INC286" s="1069"/>
      <c r="IND286" s="1069"/>
      <c r="INE286" s="1069"/>
      <c r="INF286" s="1069"/>
      <c r="ING286" s="1069"/>
      <c r="INH286" s="1069"/>
      <c r="INI286" s="1069"/>
      <c r="INJ286" s="1069"/>
      <c r="INK286" s="1069"/>
      <c r="INL286" s="1069"/>
      <c r="INM286" s="1069"/>
      <c r="INN286" s="1069"/>
      <c r="INO286" s="1069"/>
      <c r="INP286" s="1069"/>
      <c r="INQ286" s="1069"/>
      <c r="INR286" s="1069"/>
      <c r="INS286" s="1069"/>
      <c r="INT286" s="1069"/>
      <c r="INU286" s="1069"/>
      <c r="INV286" s="1069"/>
      <c r="INW286" s="1069"/>
      <c r="INX286" s="1069"/>
      <c r="INY286" s="1069"/>
      <c r="INZ286" s="1069"/>
      <c r="IOA286" s="1069"/>
      <c r="IOB286" s="1069"/>
      <c r="IOC286" s="1069"/>
      <c r="IOD286" s="1069"/>
      <c r="IOE286" s="1069"/>
      <c r="IOF286" s="1069"/>
      <c r="IOG286" s="1069"/>
      <c r="IOH286" s="1069"/>
      <c r="IOI286" s="1069"/>
      <c r="IOJ286" s="1069"/>
      <c r="IOK286" s="1069"/>
      <c r="IOL286" s="1069"/>
      <c r="IOM286" s="1069"/>
      <c r="ION286" s="1069"/>
      <c r="IOO286" s="1069"/>
      <c r="IOP286" s="1069"/>
      <c r="IOQ286" s="1069"/>
      <c r="IOR286" s="1069"/>
      <c r="IOS286" s="1069"/>
      <c r="IOT286" s="1069"/>
      <c r="IOU286" s="1069"/>
      <c r="IOV286" s="1069"/>
      <c r="IOW286" s="1069"/>
      <c r="IOX286" s="1069"/>
      <c r="IOY286" s="1069"/>
      <c r="IOZ286" s="1069"/>
      <c r="IPA286" s="1069"/>
      <c r="IPB286" s="1069"/>
      <c r="IPC286" s="1069"/>
      <c r="IPD286" s="1069"/>
      <c r="IPE286" s="1069"/>
      <c r="IPF286" s="1069"/>
      <c r="IPG286" s="1069"/>
      <c r="IPH286" s="1069"/>
      <c r="IPI286" s="1069"/>
      <c r="IPJ286" s="1069"/>
      <c r="IPK286" s="1069"/>
      <c r="IPL286" s="1069"/>
      <c r="IPM286" s="1069"/>
      <c r="IPN286" s="1069"/>
      <c r="IPO286" s="1069"/>
      <c r="IPP286" s="1069"/>
      <c r="IPQ286" s="1069"/>
      <c r="IPR286" s="1069"/>
      <c r="IPS286" s="1069"/>
      <c r="IPT286" s="1069"/>
      <c r="IPU286" s="1069"/>
      <c r="IPV286" s="1069"/>
      <c r="IPW286" s="1069"/>
      <c r="IPX286" s="1069"/>
      <c r="IPY286" s="1069"/>
      <c r="IPZ286" s="1069"/>
      <c r="IQA286" s="1069"/>
      <c r="IQB286" s="1069"/>
      <c r="IQC286" s="1069"/>
      <c r="IQD286" s="1069"/>
      <c r="IQE286" s="1069"/>
      <c r="IQF286" s="1069"/>
      <c r="IQG286" s="1069"/>
      <c r="IQH286" s="1069"/>
      <c r="IQI286" s="1069"/>
      <c r="IQJ286" s="1069"/>
      <c r="IQK286" s="1069"/>
      <c r="IQL286" s="1069"/>
      <c r="IQM286" s="1069"/>
      <c r="IQN286" s="1069"/>
      <c r="IQO286" s="1069"/>
      <c r="IQP286" s="1069"/>
      <c r="IQQ286" s="1069"/>
      <c r="IQR286" s="1069"/>
      <c r="IQS286" s="1069"/>
      <c r="IQT286" s="1069"/>
      <c r="IQU286" s="1069"/>
      <c r="IQV286" s="1069"/>
      <c r="IQW286" s="1069"/>
      <c r="IQX286" s="1069"/>
      <c r="IQY286" s="1069"/>
      <c r="IQZ286" s="1069"/>
      <c r="IRA286" s="1069"/>
      <c r="IRB286" s="1069"/>
      <c r="IRC286" s="1069"/>
      <c r="IRD286" s="1069"/>
      <c r="IRE286" s="1069"/>
      <c r="IRF286" s="1069"/>
      <c r="IRG286" s="1069"/>
      <c r="IRH286" s="1069"/>
      <c r="IRI286" s="1069"/>
      <c r="IRJ286" s="1069"/>
      <c r="IRK286" s="1069"/>
      <c r="IRL286" s="1069"/>
      <c r="IRM286" s="1069"/>
      <c r="IRN286" s="1069"/>
      <c r="IRO286" s="1069"/>
      <c r="IRP286" s="1069"/>
      <c r="IRQ286" s="1069"/>
      <c r="IRR286" s="1069"/>
      <c r="IRS286" s="1069"/>
      <c r="IRT286" s="1069"/>
      <c r="IRU286" s="1069"/>
      <c r="IRV286" s="1069"/>
      <c r="IRW286" s="1069"/>
      <c r="IRX286" s="1069"/>
      <c r="IRY286" s="1069"/>
      <c r="IRZ286" s="1069"/>
      <c r="ISA286" s="1069"/>
      <c r="ISB286" s="1069"/>
      <c r="ISC286" s="1069"/>
      <c r="ISD286" s="1069"/>
      <c r="ISE286" s="1069"/>
      <c r="ISF286" s="1069"/>
      <c r="ISG286" s="1069"/>
      <c r="ISH286" s="1069"/>
      <c r="ISI286" s="1069"/>
      <c r="ISJ286" s="1069"/>
      <c r="ISK286" s="1069"/>
      <c r="ISL286" s="1069"/>
      <c r="ISM286" s="1069"/>
      <c r="ISN286" s="1069"/>
      <c r="ISO286" s="1069"/>
      <c r="ISP286" s="1069"/>
      <c r="ISQ286" s="1069"/>
      <c r="ISR286" s="1069"/>
      <c r="ISS286" s="1069"/>
      <c r="IST286" s="1069"/>
      <c r="ISU286" s="1069"/>
      <c r="ISV286" s="1069"/>
      <c r="ISW286" s="1069"/>
      <c r="ISX286" s="1069"/>
      <c r="ISY286" s="1069"/>
      <c r="ISZ286" s="1069"/>
      <c r="ITA286" s="1069"/>
      <c r="ITB286" s="1069"/>
      <c r="ITC286" s="1069"/>
      <c r="ITD286" s="1069"/>
      <c r="ITE286" s="1069"/>
      <c r="ITF286" s="1069"/>
      <c r="ITG286" s="1069"/>
      <c r="ITH286" s="1069"/>
      <c r="ITI286" s="1069"/>
      <c r="ITJ286" s="1069"/>
      <c r="ITK286" s="1069"/>
      <c r="ITL286" s="1069"/>
      <c r="ITM286" s="1069"/>
      <c r="ITN286" s="1069"/>
      <c r="ITO286" s="1069"/>
      <c r="ITP286" s="1069"/>
      <c r="ITQ286" s="1069"/>
      <c r="ITR286" s="1069"/>
      <c r="ITS286" s="1069"/>
      <c r="ITT286" s="1069"/>
      <c r="ITU286" s="1069"/>
      <c r="ITV286" s="1069"/>
      <c r="ITW286" s="1069"/>
      <c r="ITX286" s="1069"/>
      <c r="ITY286" s="1069"/>
      <c r="ITZ286" s="1069"/>
      <c r="IUA286" s="1069"/>
      <c r="IUB286" s="1069"/>
      <c r="IUC286" s="1069"/>
      <c r="IUD286" s="1069"/>
      <c r="IUE286" s="1069"/>
      <c r="IUF286" s="1069"/>
      <c r="IUG286" s="1069"/>
      <c r="IUH286" s="1069"/>
      <c r="IUI286" s="1069"/>
      <c r="IUJ286" s="1069"/>
      <c r="IUK286" s="1069"/>
      <c r="IUL286" s="1069"/>
      <c r="IUM286" s="1069"/>
      <c r="IUN286" s="1069"/>
      <c r="IUO286" s="1069"/>
      <c r="IUP286" s="1069"/>
      <c r="IUQ286" s="1069"/>
      <c r="IUR286" s="1069"/>
      <c r="IUS286" s="1069"/>
      <c r="IUT286" s="1069"/>
      <c r="IUU286" s="1069"/>
      <c r="IUV286" s="1069"/>
      <c r="IUW286" s="1069"/>
      <c r="IUX286" s="1069"/>
      <c r="IUY286" s="1069"/>
      <c r="IUZ286" s="1069"/>
      <c r="IVA286" s="1069"/>
      <c r="IVB286" s="1069"/>
      <c r="IVC286" s="1069"/>
      <c r="IVD286" s="1069"/>
      <c r="IVE286" s="1069"/>
      <c r="IVF286" s="1069"/>
      <c r="IVG286" s="1069"/>
      <c r="IVH286" s="1069"/>
      <c r="IVI286" s="1069"/>
      <c r="IVJ286" s="1069"/>
      <c r="IVK286" s="1069"/>
      <c r="IVL286" s="1069"/>
      <c r="IVM286" s="1069"/>
      <c r="IVN286" s="1069"/>
      <c r="IVO286" s="1069"/>
      <c r="IVP286" s="1069"/>
      <c r="IVQ286" s="1069"/>
      <c r="IVR286" s="1069"/>
      <c r="IVS286" s="1069"/>
      <c r="IVT286" s="1069"/>
      <c r="IVU286" s="1069"/>
      <c r="IVV286" s="1069"/>
      <c r="IVW286" s="1069"/>
      <c r="IVX286" s="1069"/>
      <c r="IVY286" s="1069"/>
      <c r="IVZ286" s="1069"/>
      <c r="IWA286" s="1069"/>
      <c r="IWB286" s="1069"/>
      <c r="IWC286" s="1069"/>
      <c r="IWD286" s="1069"/>
      <c r="IWE286" s="1069"/>
      <c r="IWF286" s="1069"/>
      <c r="IWG286" s="1069"/>
      <c r="IWH286" s="1069"/>
      <c r="IWI286" s="1069"/>
      <c r="IWJ286" s="1069"/>
      <c r="IWK286" s="1069"/>
      <c r="IWL286" s="1069"/>
      <c r="IWM286" s="1069"/>
      <c r="IWN286" s="1069"/>
      <c r="IWO286" s="1069"/>
      <c r="IWP286" s="1069"/>
      <c r="IWQ286" s="1069"/>
      <c r="IWR286" s="1069"/>
      <c r="IWS286" s="1069"/>
      <c r="IWT286" s="1069"/>
      <c r="IWU286" s="1069"/>
      <c r="IWV286" s="1069"/>
      <c r="IWW286" s="1069"/>
      <c r="IWX286" s="1069"/>
      <c r="IWY286" s="1069"/>
      <c r="IWZ286" s="1069"/>
      <c r="IXA286" s="1069"/>
      <c r="IXB286" s="1069"/>
      <c r="IXC286" s="1069"/>
      <c r="IXD286" s="1069"/>
      <c r="IXE286" s="1069"/>
      <c r="IXF286" s="1069"/>
      <c r="IXG286" s="1069"/>
      <c r="IXH286" s="1069"/>
      <c r="IXI286" s="1069"/>
      <c r="IXJ286" s="1069"/>
      <c r="IXK286" s="1069"/>
      <c r="IXL286" s="1069"/>
      <c r="IXM286" s="1069"/>
      <c r="IXN286" s="1069"/>
      <c r="IXO286" s="1069"/>
      <c r="IXP286" s="1069"/>
      <c r="IXQ286" s="1069"/>
      <c r="IXR286" s="1069"/>
      <c r="IXS286" s="1069"/>
      <c r="IXT286" s="1069"/>
      <c r="IXU286" s="1069"/>
      <c r="IXV286" s="1069"/>
      <c r="IXW286" s="1069"/>
      <c r="IXX286" s="1069"/>
      <c r="IXY286" s="1069"/>
      <c r="IXZ286" s="1069"/>
      <c r="IYA286" s="1069"/>
      <c r="IYB286" s="1069"/>
      <c r="IYC286" s="1069"/>
      <c r="IYD286" s="1069"/>
      <c r="IYE286" s="1069"/>
      <c r="IYF286" s="1069"/>
      <c r="IYG286" s="1069"/>
      <c r="IYH286" s="1069"/>
      <c r="IYI286" s="1069"/>
      <c r="IYJ286" s="1069"/>
      <c r="IYK286" s="1069"/>
      <c r="IYL286" s="1069"/>
      <c r="IYM286" s="1069"/>
      <c r="IYN286" s="1069"/>
      <c r="IYO286" s="1069"/>
      <c r="IYP286" s="1069"/>
      <c r="IYQ286" s="1069"/>
      <c r="IYR286" s="1069"/>
      <c r="IYS286" s="1069"/>
      <c r="IYT286" s="1069"/>
      <c r="IYU286" s="1069"/>
      <c r="IYV286" s="1069"/>
      <c r="IYW286" s="1069"/>
      <c r="IYX286" s="1069"/>
      <c r="IYY286" s="1069"/>
      <c r="IYZ286" s="1069"/>
      <c r="IZA286" s="1069"/>
      <c r="IZB286" s="1069"/>
      <c r="IZC286" s="1069"/>
      <c r="IZD286" s="1069"/>
      <c r="IZE286" s="1069"/>
      <c r="IZF286" s="1069"/>
      <c r="IZG286" s="1069"/>
      <c r="IZH286" s="1069"/>
      <c r="IZI286" s="1069"/>
      <c r="IZJ286" s="1069"/>
      <c r="IZK286" s="1069"/>
      <c r="IZL286" s="1069"/>
      <c r="IZM286" s="1069"/>
      <c r="IZN286" s="1069"/>
      <c r="IZO286" s="1069"/>
      <c r="IZP286" s="1069"/>
      <c r="IZQ286" s="1069"/>
      <c r="IZR286" s="1069"/>
      <c r="IZS286" s="1069"/>
      <c r="IZT286" s="1069"/>
      <c r="IZU286" s="1069"/>
      <c r="IZV286" s="1069"/>
      <c r="IZW286" s="1069"/>
      <c r="IZX286" s="1069"/>
      <c r="IZY286" s="1069"/>
      <c r="IZZ286" s="1069"/>
      <c r="JAA286" s="1069"/>
      <c r="JAB286" s="1069"/>
      <c r="JAC286" s="1069"/>
      <c r="JAD286" s="1069"/>
      <c r="JAE286" s="1069"/>
      <c r="JAF286" s="1069"/>
      <c r="JAG286" s="1069"/>
      <c r="JAH286" s="1069"/>
      <c r="JAI286" s="1069"/>
      <c r="JAJ286" s="1069"/>
      <c r="JAK286" s="1069"/>
      <c r="JAL286" s="1069"/>
      <c r="JAM286" s="1069"/>
      <c r="JAN286" s="1069"/>
      <c r="JAO286" s="1069"/>
      <c r="JAP286" s="1069"/>
      <c r="JAQ286" s="1069"/>
      <c r="JAR286" s="1069"/>
      <c r="JAS286" s="1069"/>
      <c r="JAT286" s="1069"/>
      <c r="JAU286" s="1069"/>
      <c r="JAV286" s="1069"/>
      <c r="JAW286" s="1069"/>
      <c r="JAX286" s="1069"/>
      <c r="JAY286" s="1069"/>
      <c r="JAZ286" s="1069"/>
      <c r="JBA286" s="1069"/>
      <c r="JBB286" s="1069"/>
      <c r="JBC286" s="1069"/>
      <c r="JBD286" s="1069"/>
      <c r="JBE286" s="1069"/>
      <c r="JBF286" s="1069"/>
      <c r="JBG286" s="1069"/>
      <c r="JBH286" s="1069"/>
      <c r="JBI286" s="1069"/>
      <c r="JBJ286" s="1069"/>
      <c r="JBK286" s="1069"/>
      <c r="JBL286" s="1069"/>
      <c r="JBM286" s="1069"/>
      <c r="JBN286" s="1069"/>
      <c r="JBO286" s="1069"/>
      <c r="JBP286" s="1069"/>
      <c r="JBQ286" s="1069"/>
      <c r="JBR286" s="1069"/>
      <c r="JBS286" s="1069"/>
      <c r="JBT286" s="1069"/>
      <c r="JBU286" s="1069"/>
      <c r="JBV286" s="1069"/>
      <c r="JBW286" s="1069"/>
      <c r="JBX286" s="1069"/>
      <c r="JBY286" s="1069"/>
      <c r="JBZ286" s="1069"/>
      <c r="JCA286" s="1069"/>
      <c r="JCB286" s="1069"/>
      <c r="JCC286" s="1069"/>
      <c r="JCD286" s="1069"/>
      <c r="JCE286" s="1069"/>
      <c r="JCF286" s="1069"/>
      <c r="JCG286" s="1069"/>
      <c r="JCH286" s="1069"/>
      <c r="JCI286" s="1069"/>
      <c r="JCJ286" s="1069"/>
      <c r="JCK286" s="1069"/>
      <c r="JCL286" s="1069"/>
      <c r="JCM286" s="1069"/>
      <c r="JCN286" s="1069"/>
      <c r="JCO286" s="1069"/>
      <c r="JCP286" s="1069"/>
      <c r="JCQ286" s="1069"/>
      <c r="JCR286" s="1069"/>
      <c r="JCS286" s="1069"/>
      <c r="JCT286" s="1069"/>
      <c r="JCU286" s="1069"/>
      <c r="JCV286" s="1069"/>
      <c r="JCW286" s="1069"/>
      <c r="JCX286" s="1069"/>
      <c r="JCY286" s="1069"/>
      <c r="JCZ286" s="1069"/>
      <c r="JDA286" s="1069"/>
      <c r="JDB286" s="1069"/>
      <c r="JDC286" s="1069"/>
      <c r="JDD286" s="1069"/>
      <c r="JDE286" s="1069"/>
      <c r="JDF286" s="1069"/>
      <c r="JDG286" s="1069"/>
      <c r="JDH286" s="1069"/>
      <c r="JDI286" s="1069"/>
      <c r="JDJ286" s="1069"/>
      <c r="JDK286" s="1069"/>
      <c r="JDL286" s="1069"/>
      <c r="JDM286" s="1069"/>
      <c r="JDN286" s="1069"/>
      <c r="JDO286" s="1069"/>
      <c r="JDP286" s="1069"/>
      <c r="JDQ286" s="1069"/>
      <c r="JDR286" s="1069"/>
      <c r="JDS286" s="1069"/>
      <c r="JDT286" s="1069"/>
      <c r="JDU286" s="1069"/>
      <c r="JDV286" s="1069"/>
      <c r="JDW286" s="1069"/>
      <c r="JDX286" s="1069"/>
      <c r="JDY286" s="1069"/>
      <c r="JDZ286" s="1069"/>
      <c r="JEA286" s="1069"/>
      <c r="JEB286" s="1069"/>
      <c r="JEC286" s="1069"/>
      <c r="JED286" s="1069"/>
      <c r="JEE286" s="1069"/>
      <c r="JEF286" s="1069"/>
      <c r="JEG286" s="1069"/>
      <c r="JEH286" s="1069"/>
      <c r="JEI286" s="1069"/>
      <c r="JEJ286" s="1069"/>
      <c r="JEK286" s="1069"/>
      <c r="JEL286" s="1069"/>
      <c r="JEM286" s="1069"/>
      <c r="JEN286" s="1069"/>
      <c r="JEO286" s="1069"/>
      <c r="JEP286" s="1069"/>
      <c r="JEQ286" s="1069"/>
      <c r="JER286" s="1069"/>
      <c r="JES286" s="1069"/>
      <c r="JET286" s="1069"/>
      <c r="JEU286" s="1069"/>
      <c r="JEV286" s="1069"/>
      <c r="JEW286" s="1069"/>
      <c r="JEX286" s="1069"/>
      <c r="JEY286" s="1069"/>
      <c r="JEZ286" s="1069"/>
      <c r="JFA286" s="1069"/>
      <c r="JFB286" s="1069"/>
      <c r="JFC286" s="1069"/>
      <c r="JFD286" s="1069"/>
      <c r="JFE286" s="1069"/>
      <c r="JFF286" s="1069"/>
      <c r="JFG286" s="1069"/>
      <c r="JFH286" s="1069"/>
      <c r="JFI286" s="1069"/>
      <c r="JFJ286" s="1069"/>
      <c r="JFK286" s="1069"/>
      <c r="JFL286" s="1069"/>
      <c r="JFM286" s="1069"/>
      <c r="JFN286" s="1069"/>
      <c r="JFO286" s="1069"/>
      <c r="JFP286" s="1069"/>
      <c r="JFQ286" s="1069"/>
      <c r="JFR286" s="1069"/>
      <c r="JFS286" s="1069"/>
      <c r="JFT286" s="1069"/>
      <c r="JFU286" s="1069"/>
      <c r="JFV286" s="1069"/>
      <c r="JFW286" s="1069"/>
      <c r="JFX286" s="1069"/>
      <c r="JFY286" s="1069"/>
      <c r="JFZ286" s="1069"/>
      <c r="JGA286" s="1069"/>
      <c r="JGB286" s="1069"/>
      <c r="JGC286" s="1069"/>
      <c r="JGD286" s="1069"/>
      <c r="JGE286" s="1069"/>
      <c r="JGF286" s="1069"/>
      <c r="JGG286" s="1069"/>
      <c r="JGH286" s="1069"/>
      <c r="JGI286" s="1069"/>
      <c r="JGJ286" s="1069"/>
      <c r="JGK286" s="1069"/>
      <c r="JGL286" s="1069"/>
      <c r="JGM286" s="1069"/>
      <c r="JGN286" s="1069"/>
      <c r="JGO286" s="1069"/>
      <c r="JGP286" s="1069"/>
      <c r="JGQ286" s="1069"/>
      <c r="JGR286" s="1069"/>
      <c r="JGS286" s="1069"/>
      <c r="JGT286" s="1069"/>
      <c r="JGU286" s="1069"/>
      <c r="JGV286" s="1069"/>
      <c r="JGW286" s="1069"/>
      <c r="JGX286" s="1069"/>
      <c r="JGY286" s="1069"/>
      <c r="JGZ286" s="1069"/>
      <c r="JHA286" s="1069"/>
      <c r="JHB286" s="1069"/>
      <c r="JHC286" s="1069"/>
      <c r="JHD286" s="1069"/>
      <c r="JHE286" s="1069"/>
      <c r="JHF286" s="1069"/>
      <c r="JHG286" s="1069"/>
      <c r="JHH286" s="1069"/>
      <c r="JHI286" s="1069"/>
      <c r="JHJ286" s="1069"/>
      <c r="JHK286" s="1069"/>
      <c r="JHL286" s="1069"/>
      <c r="JHM286" s="1069"/>
      <c r="JHN286" s="1069"/>
      <c r="JHO286" s="1069"/>
      <c r="JHP286" s="1069"/>
      <c r="JHQ286" s="1069"/>
      <c r="JHR286" s="1069"/>
      <c r="JHS286" s="1069"/>
      <c r="JHT286" s="1069"/>
      <c r="JHU286" s="1069"/>
      <c r="JHV286" s="1069"/>
      <c r="JHW286" s="1069"/>
      <c r="JHX286" s="1069"/>
      <c r="JHY286" s="1069"/>
      <c r="JHZ286" s="1069"/>
      <c r="JIA286" s="1069"/>
      <c r="JIB286" s="1069"/>
      <c r="JIC286" s="1069"/>
      <c r="JID286" s="1069"/>
      <c r="JIE286" s="1069"/>
      <c r="JIF286" s="1069"/>
      <c r="JIG286" s="1069"/>
      <c r="JIH286" s="1069"/>
      <c r="JII286" s="1069"/>
      <c r="JIJ286" s="1069"/>
      <c r="JIK286" s="1069"/>
      <c r="JIL286" s="1069"/>
      <c r="JIM286" s="1069"/>
      <c r="JIN286" s="1069"/>
      <c r="JIO286" s="1069"/>
      <c r="JIP286" s="1069"/>
      <c r="JIQ286" s="1069"/>
      <c r="JIR286" s="1069"/>
      <c r="JIS286" s="1069"/>
      <c r="JIT286" s="1069"/>
      <c r="JIU286" s="1069"/>
      <c r="JIV286" s="1069"/>
      <c r="JIW286" s="1069"/>
      <c r="JIX286" s="1069"/>
      <c r="JIY286" s="1069"/>
      <c r="JIZ286" s="1069"/>
      <c r="JJA286" s="1069"/>
      <c r="JJB286" s="1069"/>
      <c r="JJC286" s="1069"/>
      <c r="JJD286" s="1069"/>
      <c r="JJE286" s="1069"/>
      <c r="JJF286" s="1069"/>
      <c r="JJG286" s="1069"/>
      <c r="JJH286" s="1069"/>
      <c r="JJI286" s="1069"/>
      <c r="JJJ286" s="1069"/>
      <c r="JJK286" s="1069"/>
      <c r="JJL286" s="1069"/>
      <c r="JJM286" s="1069"/>
      <c r="JJN286" s="1069"/>
      <c r="JJO286" s="1069"/>
      <c r="JJP286" s="1069"/>
      <c r="JJQ286" s="1069"/>
      <c r="JJR286" s="1069"/>
      <c r="JJS286" s="1069"/>
      <c r="JJT286" s="1069"/>
      <c r="JJU286" s="1069"/>
      <c r="JJV286" s="1069"/>
      <c r="JJW286" s="1069"/>
      <c r="JJX286" s="1069"/>
      <c r="JJY286" s="1069"/>
      <c r="JJZ286" s="1069"/>
      <c r="JKA286" s="1069"/>
      <c r="JKB286" s="1069"/>
      <c r="JKC286" s="1069"/>
      <c r="JKD286" s="1069"/>
      <c r="JKE286" s="1069"/>
      <c r="JKF286" s="1069"/>
      <c r="JKG286" s="1069"/>
      <c r="JKH286" s="1069"/>
      <c r="JKI286" s="1069"/>
      <c r="JKJ286" s="1069"/>
      <c r="JKK286" s="1069"/>
      <c r="JKL286" s="1069"/>
      <c r="JKM286" s="1069"/>
      <c r="JKN286" s="1069"/>
      <c r="JKO286" s="1069"/>
      <c r="JKP286" s="1069"/>
      <c r="JKQ286" s="1069"/>
      <c r="JKR286" s="1069"/>
      <c r="JKS286" s="1069"/>
      <c r="JKT286" s="1069"/>
      <c r="JKU286" s="1069"/>
      <c r="JKV286" s="1069"/>
      <c r="JKW286" s="1069"/>
      <c r="JKX286" s="1069"/>
      <c r="JKY286" s="1069"/>
      <c r="JKZ286" s="1069"/>
      <c r="JLA286" s="1069"/>
      <c r="JLB286" s="1069"/>
      <c r="JLC286" s="1069"/>
      <c r="JLD286" s="1069"/>
      <c r="JLE286" s="1069"/>
      <c r="JLF286" s="1069"/>
      <c r="JLG286" s="1069"/>
      <c r="JLH286" s="1069"/>
      <c r="JLI286" s="1069"/>
      <c r="JLJ286" s="1069"/>
      <c r="JLK286" s="1069"/>
      <c r="JLL286" s="1069"/>
      <c r="JLM286" s="1069"/>
      <c r="JLN286" s="1069"/>
      <c r="JLO286" s="1069"/>
      <c r="JLP286" s="1069"/>
      <c r="JLQ286" s="1069"/>
      <c r="JLR286" s="1069"/>
      <c r="JLS286" s="1069"/>
      <c r="JLT286" s="1069"/>
      <c r="JLU286" s="1069"/>
      <c r="JLV286" s="1069"/>
      <c r="JLW286" s="1069"/>
      <c r="JLX286" s="1069"/>
      <c r="JLY286" s="1069"/>
      <c r="JLZ286" s="1069"/>
      <c r="JMA286" s="1069"/>
      <c r="JMB286" s="1069"/>
      <c r="JMC286" s="1069"/>
      <c r="JMD286" s="1069"/>
      <c r="JME286" s="1069"/>
      <c r="JMF286" s="1069"/>
      <c r="JMG286" s="1069"/>
      <c r="JMH286" s="1069"/>
      <c r="JMI286" s="1069"/>
      <c r="JMJ286" s="1069"/>
      <c r="JMK286" s="1069"/>
      <c r="JML286" s="1069"/>
      <c r="JMM286" s="1069"/>
      <c r="JMN286" s="1069"/>
      <c r="JMO286" s="1069"/>
      <c r="JMP286" s="1069"/>
      <c r="JMQ286" s="1069"/>
      <c r="JMR286" s="1069"/>
      <c r="JMS286" s="1069"/>
      <c r="JMT286" s="1069"/>
      <c r="JMU286" s="1069"/>
      <c r="JMV286" s="1069"/>
      <c r="JMW286" s="1069"/>
      <c r="JMX286" s="1069"/>
      <c r="JMY286" s="1069"/>
      <c r="JMZ286" s="1069"/>
      <c r="JNA286" s="1069"/>
      <c r="JNB286" s="1069"/>
      <c r="JNC286" s="1069"/>
      <c r="JND286" s="1069"/>
      <c r="JNE286" s="1069"/>
      <c r="JNF286" s="1069"/>
      <c r="JNG286" s="1069"/>
      <c r="JNH286" s="1069"/>
      <c r="JNI286" s="1069"/>
      <c r="JNJ286" s="1069"/>
      <c r="JNK286" s="1069"/>
      <c r="JNL286" s="1069"/>
      <c r="JNM286" s="1069"/>
      <c r="JNN286" s="1069"/>
      <c r="JNO286" s="1069"/>
      <c r="JNP286" s="1069"/>
      <c r="JNQ286" s="1069"/>
      <c r="JNR286" s="1069"/>
      <c r="JNS286" s="1069"/>
      <c r="JNT286" s="1069"/>
      <c r="JNU286" s="1069"/>
      <c r="JNV286" s="1069"/>
      <c r="JNW286" s="1069"/>
      <c r="JNX286" s="1069"/>
      <c r="JNY286" s="1069"/>
      <c r="JNZ286" s="1069"/>
      <c r="JOA286" s="1069"/>
      <c r="JOB286" s="1069"/>
      <c r="JOC286" s="1069"/>
      <c r="JOD286" s="1069"/>
      <c r="JOE286" s="1069"/>
      <c r="JOF286" s="1069"/>
      <c r="JOG286" s="1069"/>
      <c r="JOH286" s="1069"/>
      <c r="JOI286" s="1069"/>
      <c r="JOJ286" s="1069"/>
      <c r="JOK286" s="1069"/>
      <c r="JOL286" s="1069"/>
      <c r="JOM286" s="1069"/>
      <c r="JON286" s="1069"/>
      <c r="JOO286" s="1069"/>
      <c r="JOP286" s="1069"/>
      <c r="JOQ286" s="1069"/>
      <c r="JOR286" s="1069"/>
      <c r="JOS286" s="1069"/>
      <c r="JOT286" s="1069"/>
      <c r="JOU286" s="1069"/>
      <c r="JOV286" s="1069"/>
      <c r="JOW286" s="1069"/>
      <c r="JOX286" s="1069"/>
      <c r="JOY286" s="1069"/>
      <c r="JOZ286" s="1069"/>
      <c r="JPA286" s="1069"/>
      <c r="JPB286" s="1069"/>
      <c r="JPC286" s="1069"/>
      <c r="JPD286" s="1069"/>
      <c r="JPE286" s="1069"/>
      <c r="JPF286" s="1069"/>
      <c r="JPG286" s="1069"/>
      <c r="JPH286" s="1069"/>
      <c r="JPI286" s="1069"/>
      <c r="JPJ286" s="1069"/>
      <c r="JPK286" s="1069"/>
      <c r="JPL286" s="1069"/>
      <c r="JPM286" s="1069"/>
      <c r="JPN286" s="1069"/>
      <c r="JPO286" s="1069"/>
      <c r="JPP286" s="1069"/>
      <c r="JPQ286" s="1069"/>
      <c r="JPR286" s="1069"/>
      <c r="JPS286" s="1069"/>
      <c r="JPT286" s="1069"/>
      <c r="JPU286" s="1069"/>
      <c r="JPV286" s="1069"/>
      <c r="JPW286" s="1069"/>
      <c r="JPX286" s="1069"/>
      <c r="JPY286" s="1069"/>
      <c r="JPZ286" s="1069"/>
      <c r="JQA286" s="1069"/>
      <c r="JQB286" s="1069"/>
      <c r="JQC286" s="1069"/>
      <c r="JQD286" s="1069"/>
      <c r="JQE286" s="1069"/>
      <c r="JQF286" s="1069"/>
      <c r="JQG286" s="1069"/>
      <c r="JQH286" s="1069"/>
      <c r="JQI286" s="1069"/>
      <c r="JQJ286" s="1069"/>
      <c r="JQK286" s="1069"/>
      <c r="JQL286" s="1069"/>
      <c r="JQM286" s="1069"/>
      <c r="JQN286" s="1069"/>
      <c r="JQO286" s="1069"/>
      <c r="JQP286" s="1069"/>
      <c r="JQQ286" s="1069"/>
      <c r="JQR286" s="1069"/>
      <c r="JQS286" s="1069"/>
      <c r="JQT286" s="1069"/>
      <c r="JQU286" s="1069"/>
      <c r="JQV286" s="1069"/>
      <c r="JQW286" s="1069"/>
      <c r="JQX286" s="1069"/>
      <c r="JQY286" s="1069"/>
      <c r="JQZ286" s="1069"/>
      <c r="JRA286" s="1069"/>
      <c r="JRB286" s="1069"/>
      <c r="JRC286" s="1069"/>
      <c r="JRD286" s="1069"/>
      <c r="JRE286" s="1069"/>
      <c r="JRF286" s="1069"/>
      <c r="JRG286" s="1069"/>
      <c r="JRH286" s="1069"/>
      <c r="JRI286" s="1069"/>
      <c r="JRJ286" s="1069"/>
      <c r="JRK286" s="1069"/>
      <c r="JRL286" s="1069"/>
      <c r="JRM286" s="1069"/>
      <c r="JRN286" s="1069"/>
      <c r="JRO286" s="1069"/>
      <c r="JRP286" s="1069"/>
      <c r="JRQ286" s="1069"/>
      <c r="JRR286" s="1069"/>
      <c r="JRS286" s="1069"/>
      <c r="JRT286" s="1069"/>
      <c r="JRU286" s="1069"/>
      <c r="JRV286" s="1069"/>
      <c r="JRW286" s="1069"/>
      <c r="JRX286" s="1069"/>
      <c r="JRY286" s="1069"/>
      <c r="JRZ286" s="1069"/>
      <c r="JSA286" s="1069"/>
      <c r="JSB286" s="1069"/>
      <c r="JSC286" s="1069"/>
      <c r="JSD286" s="1069"/>
      <c r="JSE286" s="1069"/>
      <c r="JSF286" s="1069"/>
      <c r="JSG286" s="1069"/>
      <c r="JSH286" s="1069"/>
      <c r="JSI286" s="1069"/>
      <c r="JSJ286" s="1069"/>
      <c r="JSK286" s="1069"/>
      <c r="JSL286" s="1069"/>
      <c r="JSM286" s="1069"/>
      <c r="JSN286" s="1069"/>
      <c r="JSO286" s="1069"/>
      <c r="JSP286" s="1069"/>
      <c r="JSQ286" s="1069"/>
      <c r="JSR286" s="1069"/>
      <c r="JSS286" s="1069"/>
      <c r="JST286" s="1069"/>
      <c r="JSU286" s="1069"/>
      <c r="JSV286" s="1069"/>
      <c r="JSW286" s="1069"/>
      <c r="JSX286" s="1069"/>
      <c r="JSY286" s="1069"/>
      <c r="JSZ286" s="1069"/>
      <c r="JTA286" s="1069"/>
      <c r="JTB286" s="1069"/>
      <c r="JTC286" s="1069"/>
      <c r="JTD286" s="1069"/>
      <c r="JTE286" s="1069"/>
      <c r="JTF286" s="1069"/>
      <c r="JTG286" s="1069"/>
      <c r="JTH286" s="1069"/>
      <c r="JTI286" s="1069"/>
      <c r="JTJ286" s="1069"/>
      <c r="JTK286" s="1069"/>
      <c r="JTL286" s="1069"/>
      <c r="JTM286" s="1069"/>
      <c r="JTN286" s="1069"/>
      <c r="JTO286" s="1069"/>
      <c r="JTP286" s="1069"/>
      <c r="JTQ286" s="1069"/>
      <c r="JTR286" s="1069"/>
      <c r="JTS286" s="1069"/>
      <c r="JTT286" s="1069"/>
      <c r="JTU286" s="1069"/>
      <c r="JTV286" s="1069"/>
      <c r="JTW286" s="1069"/>
      <c r="JTX286" s="1069"/>
      <c r="JTY286" s="1069"/>
      <c r="JTZ286" s="1069"/>
      <c r="JUA286" s="1069"/>
      <c r="JUB286" s="1069"/>
      <c r="JUC286" s="1069"/>
      <c r="JUD286" s="1069"/>
      <c r="JUE286" s="1069"/>
      <c r="JUF286" s="1069"/>
      <c r="JUG286" s="1069"/>
      <c r="JUH286" s="1069"/>
      <c r="JUI286" s="1069"/>
      <c r="JUJ286" s="1069"/>
      <c r="JUK286" s="1069"/>
      <c r="JUL286" s="1069"/>
      <c r="JUM286" s="1069"/>
      <c r="JUN286" s="1069"/>
      <c r="JUO286" s="1069"/>
      <c r="JUP286" s="1069"/>
      <c r="JUQ286" s="1069"/>
      <c r="JUR286" s="1069"/>
      <c r="JUS286" s="1069"/>
      <c r="JUT286" s="1069"/>
      <c r="JUU286" s="1069"/>
      <c r="JUV286" s="1069"/>
      <c r="JUW286" s="1069"/>
      <c r="JUX286" s="1069"/>
      <c r="JUY286" s="1069"/>
      <c r="JUZ286" s="1069"/>
      <c r="JVA286" s="1069"/>
      <c r="JVB286" s="1069"/>
      <c r="JVC286" s="1069"/>
      <c r="JVD286" s="1069"/>
      <c r="JVE286" s="1069"/>
      <c r="JVF286" s="1069"/>
      <c r="JVG286" s="1069"/>
      <c r="JVH286" s="1069"/>
      <c r="JVI286" s="1069"/>
      <c r="JVJ286" s="1069"/>
      <c r="JVK286" s="1069"/>
      <c r="JVL286" s="1069"/>
      <c r="JVM286" s="1069"/>
      <c r="JVN286" s="1069"/>
      <c r="JVO286" s="1069"/>
      <c r="JVP286" s="1069"/>
      <c r="JVQ286" s="1069"/>
      <c r="JVR286" s="1069"/>
      <c r="JVS286" s="1069"/>
      <c r="JVT286" s="1069"/>
      <c r="JVU286" s="1069"/>
      <c r="JVV286" s="1069"/>
      <c r="JVW286" s="1069"/>
      <c r="JVX286" s="1069"/>
      <c r="JVY286" s="1069"/>
      <c r="JVZ286" s="1069"/>
      <c r="JWA286" s="1069"/>
      <c r="JWB286" s="1069"/>
      <c r="JWC286" s="1069"/>
      <c r="JWD286" s="1069"/>
      <c r="JWE286" s="1069"/>
      <c r="JWF286" s="1069"/>
      <c r="JWG286" s="1069"/>
      <c r="JWH286" s="1069"/>
      <c r="JWI286" s="1069"/>
      <c r="JWJ286" s="1069"/>
      <c r="JWK286" s="1069"/>
      <c r="JWL286" s="1069"/>
      <c r="JWM286" s="1069"/>
      <c r="JWN286" s="1069"/>
      <c r="JWO286" s="1069"/>
      <c r="JWP286" s="1069"/>
      <c r="JWQ286" s="1069"/>
      <c r="JWR286" s="1069"/>
      <c r="JWS286" s="1069"/>
      <c r="JWT286" s="1069"/>
      <c r="JWU286" s="1069"/>
      <c r="JWV286" s="1069"/>
      <c r="JWW286" s="1069"/>
      <c r="JWX286" s="1069"/>
      <c r="JWY286" s="1069"/>
      <c r="JWZ286" s="1069"/>
      <c r="JXA286" s="1069"/>
      <c r="JXB286" s="1069"/>
      <c r="JXC286" s="1069"/>
      <c r="JXD286" s="1069"/>
      <c r="JXE286" s="1069"/>
      <c r="JXF286" s="1069"/>
      <c r="JXG286" s="1069"/>
      <c r="JXH286" s="1069"/>
      <c r="JXI286" s="1069"/>
      <c r="JXJ286" s="1069"/>
      <c r="JXK286" s="1069"/>
      <c r="JXL286" s="1069"/>
      <c r="JXM286" s="1069"/>
      <c r="JXN286" s="1069"/>
      <c r="JXO286" s="1069"/>
      <c r="JXP286" s="1069"/>
      <c r="JXQ286" s="1069"/>
      <c r="JXR286" s="1069"/>
      <c r="JXS286" s="1069"/>
      <c r="JXT286" s="1069"/>
      <c r="JXU286" s="1069"/>
      <c r="JXV286" s="1069"/>
      <c r="JXW286" s="1069"/>
      <c r="JXX286" s="1069"/>
      <c r="JXY286" s="1069"/>
      <c r="JXZ286" s="1069"/>
      <c r="JYA286" s="1069"/>
      <c r="JYB286" s="1069"/>
      <c r="JYC286" s="1069"/>
      <c r="JYD286" s="1069"/>
      <c r="JYE286" s="1069"/>
      <c r="JYF286" s="1069"/>
      <c r="JYG286" s="1069"/>
      <c r="JYH286" s="1069"/>
      <c r="JYI286" s="1069"/>
      <c r="JYJ286" s="1069"/>
      <c r="JYK286" s="1069"/>
      <c r="JYL286" s="1069"/>
      <c r="JYM286" s="1069"/>
      <c r="JYN286" s="1069"/>
      <c r="JYO286" s="1069"/>
      <c r="JYP286" s="1069"/>
      <c r="JYQ286" s="1069"/>
      <c r="JYR286" s="1069"/>
      <c r="JYS286" s="1069"/>
      <c r="JYT286" s="1069"/>
      <c r="JYU286" s="1069"/>
      <c r="JYV286" s="1069"/>
      <c r="JYW286" s="1069"/>
      <c r="JYX286" s="1069"/>
      <c r="JYY286" s="1069"/>
      <c r="JYZ286" s="1069"/>
      <c r="JZA286" s="1069"/>
      <c r="JZB286" s="1069"/>
      <c r="JZC286" s="1069"/>
      <c r="JZD286" s="1069"/>
      <c r="JZE286" s="1069"/>
      <c r="JZF286" s="1069"/>
      <c r="JZG286" s="1069"/>
      <c r="JZH286" s="1069"/>
      <c r="JZI286" s="1069"/>
      <c r="JZJ286" s="1069"/>
      <c r="JZK286" s="1069"/>
      <c r="JZL286" s="1069"/>
      <c r="JZM286" s="1069"/>
      <c r="JZN286" s="1069"/>
      <c r="JZO286" s="1069"/>
      <c r="JZP286" s="1069"/>
      <c r="JZQ286" s="1069"/>
      <c r="JZR286" s="1069"/>
      <c r="JZS286" s="1069"/>
      <c r="JZT286" s="1069"/>
      <c r="JZU286" s="1069"/>
      <c r="JZV286" s="1069"/>
      <c r="JZW286" s="1069"/>
      <c r="JZX286" s="1069"/>
      <c r="JZY286" s="1069"/>
      <c r="JZZ286" s="1069"/>
      <c r="KAA286" s="1069"/>
      <c r="KAB286" s="1069"/>
      <c r="KAC286" s="1069"/>
      <c r="KAD286" s="1069"/>
      <c r="KAE286" s="1069"/>
      <c r="KAF286" s="1069"/>
      <c r="KAG286" s="1069"/>
      <c r="KAH286" s="1069"/>
      <c r="KAI286" s="1069"/>
      <c r="KAJ286" s="1069"/>
      <c r="KAK286" s="1069"/>
      <c r="KAL286" s="1069"/>
      <c r="KAM286" s="1069"/>
      <c r="KAN286" s="1069"/>
      <c r="KAO286" s="1069"/>
      <c r="KAP286" s="1069"/>
      <c r="KAQ286" s="1069"/>
      <c r="KAR286" s="1069"/>
      <c r="KAS286" s="1069"/>
      <c r="KAT286" s="1069"/>
      <c r="KAU286" s="1069"/>
      <c r="KAV286" s="1069"/>
      <c r="KAW286" s="1069"/>
      <c r="KAX286" s="1069"/>
      <c r="KAY286" s="1069"/>
      <c r="KAZ286" s="1069"/>
      <c r="KBA286" s="1069"/>
      <c r="KBB286" s="1069"/>
      <c r="KBC286" s="1069"/>
      <c r="KBD286" s="1069"/>
      <c r="KBE286" s="1069"/>
      <c r="KBF286" s="1069"/>
      <c r="KBG286" s="1069"/>
      <c r="KBH286" s="1069"/>
      <c r="KBI286" s="1069"/>
      <c r="KBJ286" s="1069"/>
      <c r="KBK286" s="1069"/>
      <c r="KBL286" s="1069"/>
      <c r="KBM286" s="1069"/>
      <c r="KBN286" s="1069"/>
      <c r="KBO286" s="1069"/>
      <c r="KBP286" s="1069"/>
      <c r="KBQ286" s="1069"/>
      <c r="KBR286" s="1069"/>
      <c r="KBS286" s="1069"/>
      <c r="KBT286" s="1069"/>
      <c r="KBU286" s="1069"/>
      <c r="KBV286" s="1069"/>
      <c r="KBW286" s="1069"/>
      <c r="KBX286" s="1069"/>
      <c r="KBY286" s="1069"/>
      <c r="KBZ286" s="1069"/>
      <c r="KCA286" s="1069"/>
      <c r="KCB286" s="1069"/>
      <c r="KCC286" s="1069"/>
      <c r="KCD286" s="1069"/>
      <c r="KCE286" s="1069"/>
      <c r="KCF286" s="1069"/>
      <c r="KCG286" s="1069"/>
      <c r="KCH286" s="1069"/>
      <c r="KCI286" s="1069"/>
      <c r="KCJ286" s="1069"/>
      <c r="KCK286" s="1069"/>
      <c r="KCL286" s="1069"/>
      <c r="KCM286" s="1069"/>
      <c r="KCN286" s="1069"/>
      <c r="KCO286" s="1069"/>
      <c r="KCP286" s="1069"/>
      <c r="KCQ286" s="1069"/>
      <c r="KCR286" s="1069"/>
      <c r="KCS286" s="1069"/>
      <c r="KCT286" s="1069"/>
      <c r="KCU286" s="1069"/>
      <c r="KCV286" s="1069"/>
      <c r="KCW286" s="1069"/>
      <c r="KCX286" s="1069"/>
      <c r="KCY286" s="1069"/>
      <c r="KCZ286" s="1069"/>
      <c r="KDA286" s="1069"/>
      <c r="KDB286" s="1069"/>
      <c r="KDC286" s="1069"/>
      <c r="KDD286" s="1069"/>
      <c r="KDE286" s="1069"/>
      <c r="KDF286" s="1069"/>
      <c r="KDG286" s="1069"/>
      <c r="KDH286" s="1069"/>
      <c r="KDI286" s="1069"/>
      <c r="KDJ286" s="1069"/>
      <c r="KDK286" s="1069"/>
      <c r="KDL286" s="1069"/>
      <c r="KDM286" s="1069"/>
      <c r="KDN286" s="1069"/>
      <c r="KDO286" s="1069"/>
      <c r="KDP286" s="1069"/>
      <c r="KDQ286" s="1069"/>
      <c r="KDR286" s="1069"/>
      <c r="KDS286" s="1069"/>
      <c r="KDT286" s="1069"/>
      <c r="KDU286" s="1069"/>
      <c r="KDV286" s="1069"/>
      <c r="KDW286" s="1069"/>
      <c r="KDX286" s="1069"/>
      <c r="KDY286" s="1069"/>
      <c r="KDZ286" s="1069"/>
      <c r="KEA286" s="1069"/>
      <c r="KEB286" s="1069"/>
      <c r="KEC286" s="1069"/>
      <c r="KED286" s="1069"/>
      <c r="KEE286" s="1069"/>
      <c r="KEF286" s="1069"/>
      <c r="KEG286" s="1069"/>
      <c r="KEH286" s="1069"/>
      <c r="KEI286" s="1069"/>
      <c r="KEJ286" s="1069"/>
      <c r="KEK286" s="1069"/>
      <c r="KEL286" s="1069"/>
      <c r="KEM286" s="1069"/>
      <c r="KEN286" s="1069"/>
      <c r="KEO286" s="1069"/>
      <c r="KEP286" s="1069"/>
      <c r="KEQ286" s="1069"/>
      <c r="KER286" s="1069"/>
      <c r="KES286" s="1069"/>
      <c r="KET286" s="1069"/>
      <c r="KEU286" s="1069"/>
      <c r="KEV286" s="1069"/>
      <c r="KEW286" s="1069"/>
      <c r="KEX286" s="1069"/>
      <c r="KEY286" s="1069"/>
      <c r="KEZ286" s="1069"/>
      <c r="KFA286" s="1069"/>
      <c r="KFB286" s="1069"/>
      <c r="KFC286" s="1069"/>
      <c r="KFD286" s="1069"/>
      <c r="KFE286" s="1069"/>
      <c r="KFF286" s="1069"/>
      <c r="KFG286" s="1069"/>
      <c r="KFH286" s="1069"/>
      <c r="KFI286" s="1069"/>
      <c r="KFJ286" s="1069"/>
      <c r="KFK286" s="1069"/>
      <c r="KFL286" s="1069"/>
      <c r="KFM286" s="1069"/>
      <c r="KFN286" s="1069"/>
      <c r="KFO286" s="1069"/>
      <c r="KFP286" s="1069"/>
      <c r="KFQ286" s="1069"/>
      <c r="KFR286" s="1069"/>
      <c r="KFS286" s="1069"/>
      <c r="KFT286" s="1069"/>
      <c r="KFU286" s="1069"/>
      <c r="KFV286" s="1069"/>
      <c r="KFW286" s="1069"/>
      <c r="KFX286" s="1069"/>
      <c r="KFY286" s="1069"/>
      <c r="KFZ286" s="1069"/>
      <c r="KGA286" s="1069"/>
      <c r="KGB286" s="1069"/>
      <c r="KGC286" s="1069"/>
      <c r="KGD286" s="1069"/>
      <c r="KGE286" s="1069"/>
      <c r="KGF286" s="1069"/>
      <c r="KGG286" s="1069"/>
      <c r="KGH286" s="1069"/>
      <c r="KGI286" s="1069"/>
      <c r="KGJ286" s="1069"/>
      <c r="KGK286" s="1069"/>
      <c r="KGL286" s="1069"/>
      <c r="KGM286" s="1069"/>
      <c r="KGN286" s="1069"/>
      <c r="KGO286" s="1069"/>
      <c r="KGP286" s="1069"/>
      <c r="KGQ286" s="1069"/>
      <c r="KGR286" s="1069"/>
      <c r="KGS286" s="1069"/>
      <c r="KGT286" s="1069"/>
      <c r="KGU286" s="1069"/>
      <c r="KGV286" s="1069"/>
      <c r="KGW286" s="1069"/>
      <c r="KGX286" s="1069"/>
      <c r="KGY286" s="1069"/>
      <c r="KGZ286" s="1069"/>
      <c r="KHA286" s="1069"/>
      <c r="KHB286" s="1069"/>
      <c r="KHC286" s="1069"/>
      <c r="KHD286" s="1069"/>
      <c r="KHE286" s="1069"/>
      <c r="KHF286" s="1069"/>
      <c r="KHG286" s="1069"/>
      <c r="KHH286" s="1069"/>
      <c r="KHI286" s="1069"/>
      <c r="KHJ286" s="1069"/>
      <c r="KHK286" s="1069"/>
      <c r="KHL286" s="1069"/>
      <c r="KHM286" s="1069"/>
      <c r="KHN286" s="1069"/>
      <c r="KHO286" s="1069"/>
      <c r="KHP286" s="1069"/>
      <c r="KHQ286" s="1069"/>
      <c r="KHR286" s="1069"/>
      <c r="KHS286" s="1069"/>
      <c r="KHT286" s="1069"/>
      <c r="KHU286" s="1069"/>
      <c r="KHV286" s="1069"/>
      <c r="KHW286" s="1069"/>
      <c r="KHX286" s="1069"/>
      <c r="KHY286" s="1069"/>
      <c r="KHZ286" s="1069"/>
      <c r="KIA286" s="1069"/>
      <c r="KIB286" s="1069"/>
      <c r="KIC286" s="1069"/>
      <c r="KID286" s="1069"/>
      <c r="KIE286" s="1069"/>
      <c r="KIF286" s="1069"/>
      <c r="KIG286" s="1069"/>
      <c r="KIH286" s="1069"/>
      <c r="KII286" s="1069"/>
      <c r="KIJ286" s="1069"/>
      <c r="KIK286" s="1069"/>
      <c r="KIL286" s="1069"/>
      <c r="KIM286" s="1069"/>
      <c r="KIN286" s="1069"/>
      <c r="KIO286" s="1069"/>
      <c r="KIP286" s="1069"/>
      <c r="KIQ286" s="1069"/>
      <c r="KIR286" s="1069"/>
      <c r="KIS286" s="1069"/>
      <c r="KIT286" s="1069"/>
      <c r="KIU286" s="1069"/>
      <c r="KIV286" s="1069"/>
      <c r="KIW286" s="1069"/>
      <c r="KIX286" s="1069"/>
      <c r="KIY286" s="1069"/>
      <c r="KIZ286" s="1069"/>
      <c r="KJA286" s="1069"/>
      <c r="KJB286" s="1069"/>
      <c r="KJC286" s="1069"/>
      <c r="KJD286" s="1069"/>
      <c r="KJE286" s="1069"/>
      <c r="KJF286" s="1069"/>
      <c r="KJG286" s="1069"/>
      <c r="KJH286" s="1069"/>
      <c r="KJI286" s="1069"/>
      <c r="KJJ286" s="1069"/>
      <c r="KJK286" s="1069"/>
      <c r="KJL286" s="1069"/>
      <c r="KJM286" s="1069"/>
      <c r="KJN286" s="1069"/>
      <c r="KJO286" s="1069"/>
      <c r="KJP286" s="1069"/>
      <c r="KJQ286" s="1069"/>
      <c r="KJR286" s="1069"/>
      <c r="KJS286" s="1069"/>
      <c r="KJT286" s="1069"/>
      <c r="KJU286" s="1069"/>
      <c r="KJV286" s="1069"/>
      <c r="KJW286" s="1069"/>
      <c r="KJX286" s="1069"/>
      <c r="KJY286" s="1069"/>
      <c r="KJZ286" s="1069"/>
      <c r="KKA286" s="1069"/>
      <c r="KKB286" s="1069"/>
      <c r="KKC286" s="1069"/>
      <c r="KKD286" s="1069"/>
      <c r="KKE286" s="1069"/>
      <c r="KKF286" s="1069"/>
      <c r="KKG286" s="1069"/>
      <c r="KKH286" s="1069"/>
      <c r="KKI286" s="1069"/>
      <c r="KKJ286" s="1069"/>
      <c r="KKK286" s="1069"/>
      <c r="KKL286" s="1069"/>
      <c r="KKM286" s="1069"/>
      <c r="KKN286" s="1069"/>
      <c r="KKO286" s="1069"/>
      <c r="KKP286" s="1069"/>
      <c r="KKQ286" s="1069"/>
      <c r="KKR286" s="1069"/>
      <c r="KKS286" s="1069"/>
      <c r="KKT286" s="1069"/>
      <c r="KKU286" s="1069"/>
      <c r="KKV286" s="1069"/>
      <c r="KKW286" s="1069"/>
      <c r="KKX286" s="1069"/>
      <c r="KKY286" s="1069"/>
      <c r="KKZ286" s="1069"/>
      <c r="KLA286" s="1069"/>
      <c r="KLB286" s="1069"/>
      <c r="KLC286" s="1069"/>
      <c r="KLD286" s="1069"/>
      <c r="KLE286" s="1069"/>
      <c r="KLF286" s="1069"/>
      <c r="KLG286" s="1069"/>
      <c r="KLH286" s="1069"/>
      <c r="KLI286" s="1069"/>
      <c r="KLJ286" s="1069"/>
      <c r="KLK286" s="1069"/>
      <c r="KLL286" s="1069"/>
      <c r="KLM286" s="1069"/>
      <c r="KLN286" s="1069"/>
      <c r="KLO286" s="1069"/>
      <c r="KLP286" s="1069"/>
      <c r="KLQ286" s="1069"/>
      <c r="KLR286" s="1069"/>
      <c r="KLS286" s="1069"/>
      <c r="KLT286" s="1069"/>
      <c r="KLU286" s="1069"/>
      <c r="KLV286" s="1069"/>
      <c r="KLW286" s="1069"/>
      <c r="KLX286" s="1069"/>
      <c r="KLY286" s="1069"/>
      <c r="KLZ286" s="1069"/>
      <c r="KMA286" s="1069"/>
      <c r="KMB286" s="1069"/>
      <c r="KMC286" s="1069"/>
      <c r="KMD286" s="1069"/>
      <c r="KME286" s="1069"/>
      <c r="KMF286" s="1069"/>
      <c r="KMG286" s="1069"/>
      <c r="KMH286" s="1069"/>
      <c r="KMI286" s="1069"/>
      <c r="KMJ286" s="1069"/>
      <c r="KMK286" s="1069"/>
      <c r="KML286" s="1069"/>
      <c r="KMM286" s="1069"/>
      <c r="KMN286" s="1069"/>
      <c r="KMO286" s="1069"/>
      <c r="KMP286" s="1069"/>
      <c r="KMQ286" s="1069"/>
      <c r="KMR286" s="1069"/>
      <c r="KMS286" s="1069"/>
      <c r="KMT286" s="1069"/>
      <c r="KMU286" s="1069"/>
      <c r="KMV286" s="1069"/>
      <c r="KMW286" s="1069"/>
      <c r="KMX286" s="1069"/>
      <c r="KMY286" s="1069"/>
      <c r="KMZ286" s="1069"/>
      <c r="KNA286" s="1069"/>
      <c r="KNB286" s="1069"/>
      <c r="KNC286" s="1069"/>
      <c r="KND286" s="1069"/>
      <c r="KNE286" s="1069"/>
      <c r="KNF286" s="1069"/>
      <c r="KNG286" s="1069"/>
      <c r="KNH286" s="1069"/>
      <c r="KNI286" s="1069"/>
      <c r="KNJ286" s="1069"/>
      <c r="KNK286" s="1069"/>
      <c r="KNL286" s="1069"/>
      <c r="KNM286" s="1069"/>
      <c r="KNN286" s="1069"/>
      <c r="KNO286" s="1069"/>
      <c r="KNP286" s="1069"/>
      <c r="KNQ286" s="1069"/>
      <c r="KNR286" s="1069"/>
      <c r="KNS286" s="1069"/>
      <c r="KNT286" s="1069"/>
      <c r="KNU286" s="1069"/>
      <c r="KNV286" s="1069"/>
      <c r="KNW286" s="1069"/>
      <c r="KNX286" s="1069"/>
      <c r="KNY286" s="1069"/>
      <c r="KNZ286" s="1069"/>
      <c r="KOA286" s="1069"/>
      <c r="KOB286" s="1069"/>
      <c r="KOC286" s="1069"/>
      <c r="KOD286" s="1069"/>
      <c r="KOE286" s="1069"/>
      <c r="KOF286" s="1069"/>
      <c r="KOG286" s="1069"/>
      <c r="KOH286" s="1069"/>
      <c r="KOI286" s="1069"/>
      <c r="KOJ286" s="1069"/>
      <c r="KOK286" s="1069"/>
      <c r="KOL286" s="1069"/>
      <c r="KOM286" s="1069"/>
      <c r="KON286" s="1069"/>
      <c r="KOO286" s="1069"/>
      <c r="KOP286" s="1069"/>
      <c r="KOQ286" s="1069"/>
      <c r="KOR286" s="1069"/>
      <c r="KOS286" s="1069"/>
      <c r="KOT286" s="1069"/>
      <c r="KOU286" s="1069"/>
      <c r="KOV286" s="1069"/>
      <c r="KOW286" s="1069"/>
      <c r="KOX286" s="1069"/>
      <c r="KOY286" s="1069"/>
      <c r="KOZ286" s="1069"/>
      <c r="KPA286" s="1069"/>
      <c r="KPB286" s="1069"/>
      <c r="KPC286" s="1069"/>
      <c r="KPD286" s="1069"/>
      <c r="KPE286" s="1069"/>
      <c r="KPF286" s="1069"/>
      <c r="KPG286" s="1069"/>
      <c r="KPH286" s="1069"/>
      <c r="KPI286" s="1069"/>
      <c r="KPJ286" s="1069"/>
      <c r="KPK286" s="1069"/>
      <c r="KPL286" s="1069"/>
      <c r="KPM286" s="1069"/>
      <c r="KPN286" s="1069"/>
      <c r="KPO286" s="1069"/>
      <c r="KPP286" s="1069"/>
      <c r="KPQ286" s="1069"/>
      <c r="KPR286" s="1069"/>
      <c r="KPS286" s="1069"/>
      <c r="KPT286" s="1069"/>
      <c r="KPU286" s="1069"/>
      <c r="KPV286" s="1069"/>
      <c r="KPW286" s="1069"/>
      <c r="KPX286" s="1069"/>
      <c r="KPY286" s="1069"/>
      <c r="KPZ286" s="1069"/>
      <c r="KQA286" s="1069"/>
      <c r="KQB286" s="1069"/>
      <c r="KQC286" s="1069"/>
      <c r="KQD286" s="1069"/>
      <c r="KQE286" s="1069"/>
      <c r="KQF286" s="1069"/>
      <c r="KQG286" s="1069"/>
      <c r="KQH286" s="1069"/>
      <c r="KQI286" s="1069"/>
      <c r="KQJ286" s="1069"/>
      <c r="KQK286" s="1069"/>
      <c r="KQL286" s="1069"/>
      <c r="KQM286" s="1069"/>
      <c r="KQN286" s="1069"/>
      <c r="KQO286" s="1069"/>
      <c r="KQP286" s="1069"/>
      <c r="KQQ286" s="1069"/>
      <c r="KQR286" s="1069"/>
      <c r="KQS286" s="1069"/>
      <c r="KQT286" s="1069"/>
      <c r="KQU286" s="1069"/>
      <c r="KQV286" s="1069"/>
      <c r="KQW286" s="1069"/>
      <c r="KQX286" s="1069"/>
      <c r="KQY286" s="1069"/>
      <c r="KQZ286" s="1069"/>
      <c r="KRA286" s="1069"/>
      <c r="KRB286" s="1069"/>
      <c r="KRC286" s="1069"/>
      <c r="KRD286" s="1069"/>
      <c r="KRE286" s="1069"/>
      <c r="KRF286" s="1069"/>
      <c r="KRG286" s="1069"/>
      <c r="KRH286" s="1069"/>
      <c r="KRI286" s="1069"/>
      <c r="KRJ286" s="1069"/>
      <c r="KRK286" s="1069"/>
      <c r="KRL286" s="1069"/>
      <c r="KRM286" s="1069"/>
      <c r="KRN286" s="1069"/>
      <c r="KRO286" s="1069"/>
      <c r="KRP286" s="1069"/>
      <c r="KRQ286" s="1069"/>
      <c r="KRR286" s="1069"/>
      <c r="KRS286" s="1069"/>
      <c r="KRT286" s="1069"/>
      <c r="KRU286" s="1069"/>
      <c r="KRV286" s="1069"/>
      <c r="KRW286" s="1069"/>
      <c r="KRX286" s="1069"/>
      <c r="KRY286" s="1069"/>
      <c r="KRZ286" s="1069"/>
      <c r="KSA286" s="1069"/>
      <c r="KSB286" s="1069"/>
      <c r="KSC286" s="1069"/>
      <c r="KSD286" s="1069"/>
      <c r="KSE286" s="1069"/>
      <c r="KSF286" s="1069"/>
      <c r="KSG286" s="1069"/>
      <c r="KSH286" s="1069"/>
      <c r="KSI286" s="1069"/>
      <c r="KSJ286" s="1069"/>
      <c r="KSK286" s="1069"/>
      <c r="KSL286" s="1069"/>
      <c r="KSM286" s="1069"/>
      <c r="KSN286" s="1069"/>
      <c r="KSO286" s="1069"/>
      <c r="KSP286" s="1069"/>
      <c r="KSQ286" s="1069"/>
      <c r="KSR286" s="1069"/>
      <c r="KSS286" s="1069"/>
      <c r="KST286" s="1069"/>
      <c r="KSU286" s="1069"/>
      <c r="KSV286" s="1069"/>
      <c r="KSW286" s="1069"/>
      <c r="KSX286" s="1069"/>
      <c r="KSY286" s="1069"/>
      <c r="KSZ286" s="1069"/>
      <c r="KTA286" s="1069"/>
      <c r="KTB286" s="1069"/>
      <c r="KTC286" s="1069"/>
      <c r="KTD286" s="1069"/>
      <c r="KTE286" s="1069"/>
      <c r="KTF286" s="1069"/>
      <c r="KTG286" s="1069"/>
      <c r="KTH286" s="1069"/>
      <c r="KTI286" s="1069"/>
      <c r="KTJ286" s="1069"/>
      <c r="KTK286" s="1069"/>
      <c r="KTL286" s="1069"/>
      <c r="KTM286" s="1069"/>
      <c r="KTN286" s="1069"/>
      <c r="KTO286" s="1069"/>
      <c r="KTP286" s="1069"/>
      <c r="KTQ286" s="1069"/>
      <c r="KTR286" s="1069"/>
      <c r="KTS286" s="1069"/>
      <c r="KTT286" s="1069"/>
      <c r="KTU286" s="1069"/>
      <c r="KTV286" s="1069"/>
      <c r="KTW286" s="1069"/>
      <c r="KTX286" s="1069"/>
      <c r="KTY286" s="1069"/>
      <c r="KTZ286" s="1069"/>
      <c r="KUA286" s="1069"/>
      <c r="KUB286" s="1069"/>
      <c r="KUC286" s="1069"/>
      <c r="KUD286" s="1069"/>
      <c r="KUE286" s="1069"/>
      <c r="KUF286" s="1069"/>
      <c r="KUG286" s="1069"/>
      <c r="KUH286" s="1069"/>
      <c r="KUI286" s="1069"/>
      <c r="KUJ286" s="1069"/>
      <c r="KUK286" s="1069"/>
      <c r="KUL286" s="1069"/>
      <c r="KUM286" s="1069"/>
      <c r="KUN286" s="1069"/>
      <c r="KUO286" s="1069"/>
      <c r="KUP286" s="1069"/>
      <c r="KUQ286" s="1069"/>
      <c r="KUR286" s="1069"/>
      <c r="KUS286" s="1069"/>
      <c r="KUT286" s="1069"/>
      <c r="KUU286" s="1069"/>
      <c r="KUV286" s="1069"/>
      <c r="KUW286" s="1069"/>
      <c r="KUX286" s="1069"/>
      <c r="KUY286" s="1069"/>
      <c r="KUZ286" s="1069"/>
      <c r="KVA286" s="1069"/>
      <c r="KVB286" s="1069"/>
      <c r="KVC286" s="1069"/>
      <c r="KVD286" s="1069"/>
      <c r="KVE286" s="1069"/>
      <c r="KVF286" s="1069"/>
      <c r="KVG286" s="1069"/>
      <c r="KVH286" s="1069"/>
      <c r="KVI286" s="1069"/>
      <c r="KVJ286" s="1069"/>
      <c r="KVK286" s="1069"/>
      <c r="KVL286" s="1069"/>
      <c r="KVM286" s="1069"/>
      <c r="KVN286" s="1069"/>
      <c r="KVO286" s="1069"/>
      <c r="KVP286" s="1069"/>
      <c r="KVQ286" s="1069"/>
      <c r="KVR286" s="1069"/>
      <c r="KVS286" s="1069"/>
      <c r="KVT286" s="1069"/>
      <c r="KVU286" s="1069"/>
      <c r="KVV286" s="1069"/>
      <c r="KVW286" s="1069"/>
      <c r="KVX286" s="1069"/>
      <c r="KVY286" s="1069"/>
      <c r="KVZ286" s="1069"/>
      <c r="KWA286" s="1069"/>
      <c r="KWB286" s="1069"/>
      <c r="KWC286" s="1069"/>
      <c r="KWD286" s="1069"/>
      <c r="KWE286" s="1069"/>
      <c r="KWF286" s="1069"/>
      <c r="KWG286" s="1069"/>
      <c r="KWH286" s="1069"/>
      <c r="KWI286" s="1069"/>
      <c r="KWJ286" s="1069"/>
      <c r="KWK286" s="1069"/>
      <c r="KWL286" s="1069"/>
      <c r="KWM286" s="1069"/>
      <c r="KWN286" s="1069"/>
      <c r="KWO286" s="1069"/>
      <c r="KWP286" s="1069"/>
      <c r="KWQ286" s="1069"/>
      <c r="KWR286" s="1069"/>
      <c r="KWS286" s="1069"/>
      <c r="KWT286" s="1069"/>
      <c r="KWU286" s="1069"/>
      <c r="KWV286" s="1069"/>
      <c r="KWW286" s="1069"/>
      <c r="KWX286" s="1069"/>
      <c r="KWY286" s="1069"/>
      <c r="KWZ286" s="1069"/>
      <c r="KXA286" s="1069"/>
      <c r="KXB286" s="1069"/>
      <c r="KXC286" s="1069"/>
      <c r="KXD286" s="1069"/>
      <c r="KXE286" s="1069"/>
      <c r="KXF286" s="1069"/>
      <c r="KXG286" s="1069"/>
      <c r="KXH286" s="1069"/>
      <c r="KXI286" s="1069"/>
      <c r="KXJ286" s="1069"/>
      <c r="KXK286" s="1069"/>
      <c r="KXL286" s="1069"/>
      <c r="KXM286" s="1069"/>
      <c r="KXN286" s="1069"/>
      <c r="KXO286" s="1069"/>
      <c r="KXP286" s="1069"/>
      <c r="KXQ286" s="1069"/>
      <c r="KXR286" s="1069"/>
      <c r="KXS286" s="1069"/>
      <c r="KXT286" s="1069"/>
      <c r="KXU286" s="1069"/>
      <c r="KXV286" s="1069"/>
      <c r="KXW286" s="1069"/>
      <c r="KXX286" s="1069"/>
      <c r="KXY286" s="1069"/>
      <c r="KXZ286" s="1069"/>
      <c r="KYA286" s="1069"/>
      <c r="KYB286" s="1069"/>
      <c r="KYC286" s="1069"/>
      <c r="KYD286" s="1069"/>
      <c r="KYE286" s="1069"/>
      <c r="KYF286" s="1069"/>
      <c r="KYG286" s="1069"/>
      <c r="KYH286" s="1069"/>
      <c r="KYI286" s="1069"/>
      <c r="KYJ286" s="1069"/>
      <c r="KYK286" s="1069"/>
      <c r="KYL286" s="1069"/>
      <c r="KYM286" s="1069"/>
      <c r="KYN286" s="1069"/>
      <c r="KYO286" s="1069"/>
      <c r="KYP286" s="1069"/>
      <c r="KYQ286" s="1069"/>
      <c r="KYR286" s="1069"/>
      <c r="KYS286" s="1069"/>
      <c r="KYT286" s="1069"/>
      <c r="KYU286" s="1069"/>
      <c r="KYV286" s="1069"/>
      <c r="KYW286" s="1069"/>
      <c r="KYX286" s="1069"/>
      <c r="KYY286" s="1069"/>
      <c r="KYZ286" s="1069"/>
      <c r="KZA286" s="1069"/>
      <c r="KZB286" s="1069"/>
      <c r="KZC286" s="1069"/>
      <c r="KZD286" s="1069"/>
      <c r="KZE286" s="1069"/>
      <c r="KZF286" s="1069"/>
      <c r="KZG286" s="1069"/>
      <c r="KZH286" s="1069"/>
      <c r="KZI286" s="1069"/>
      <c r="KZJ286" s="1069"/>
      <c r="KZK286" s="1069"/>
      <c r="KZL286" s="1069"/>
      <c r="KZM286" s="1069"/>
      <c r="KZN286" s="1069"/>
      <c r="KZO286" s="1069"/>
      <c r="KZP286" s="1069"/>
      <c r="KZQ286" s="1069"/>
      <c r="KZR286" s="1069"/>
      <c r="KZS286" s="1069"/>
      <c r="KZT286" s="1069"/>
      <c r="KZU286" s="1069"/>
      <c r="KZV286" s="1069"/>
      <c r="KZW286" s="1069"/>
      <c r="KZX286" s="1069"/>
      <c r="KZY286" s="1069"/>
      <c r="KZZ286" s="1069"/>
      <c r="LAA286" s="1069"/>
      <c r="LAB286" s="1069"/>
      <c r="LAC286" s="1069"/>
      <c r="LAD286" s="1069"/>
      <c r="LAE286" s="1069"/>
      <c r="LAF286" s="1069"/>
      <c r="LAG286" s="1069"/>
      <c r="LAH286" s="1069"/>
      <c r="LAI286" s="1069"/>
      <c r="LAJ286" s="1069"/>
      <c r="LAK286" s="1069"/>
      <c r="LAL286" s="1069"/>
      <c r="LAM286" s="1069"/>
      <c r="LAN286" s="1069"/>
      <c r="LAO286" s="1069"/>
      <c r="LAP286" s="1069"/>
      <c r="LAQ286" s="1069"/>
      <c r="LAR286" s="1069"/>
      <c r="LAS286" s="1069"/>
      <c r="LAT286" s="1069"/>
      <c r="LAU286" s="1069"/>
      <c r="LAV286" s="1069"/>
      <c r="LAW286" s="1069"/>
      <c r="LAX286" s="1069"/>
      <c r="LAY286" s="1069"/>
      <c r="LAZ286" s="1069"/>
      <c r="LBA286" s="1069"/>
      <c r="LBB286" s="1069"/>
      <c r="LBC286" s="1069"/>
      <c r="LBD286" s="1069"/>
      <c r="LBE286" s="1069"/>
      <c r="LBF286" s="1069"/>
      <c r="LBG286" s="1069"/>
      <c r="LBH286" s="1069"/>
      <c r="LBI286" s="1069"/>
      <c r="LBJ286" s="1069"/>
      <c r="LBK286" s="1069"/>
      <c r="LBL286" s="1069"/>
      <c r="LBM286" s="1069"/>
      <c r="LBN286" s="1069"/>
      <c r="LBO286" s="1069"/>
      <c r="LBP286" s="1069"/>
      <c r="LBQ286" s="1069"/>
      <c r="LBR286" s="1069"/>
      <c r="LBS286" s="1069"/>
      <c r="LBT286" s="1069"/>
      <c r="LBU286" s="1069"/>
      <c r="LBV286" s="1069"/>
      <c r="LBW286" s="1069"/>
      <c r="LBX286" s="1069"/>
      <c r="LBY286" s="1069"/>
      <c r="LBZ286" s="1069"/>
      <c r="LCA286" s="1069"/>
      <c r="LCB286" s="1069"/>
      <c r="LCC286" s="1069"/>
      <c r="LCD286" s="1069"/>
      <c r="LCE286" s="1069"/>
      <c r="LCF286" s="1069"/>
      <c r="LCG286" s="1069"/>
      <c r="LCH286" s="1069"/>
      <c r="LCI286" s="1069"/>
      <c r="LCJ286" s="1069"/>
      <c r="LCK286" s="1069"/>
      <c r="LCL286" s="1069"/>
      <c r="LCM286" s="1069"/>
      <c r="LCN286" s="1069"/>
      <c r="LCO286" s="1069"/>
      <c r="LCP286" s="1069"/>
      <c r="LCQ286" s="1069"/>
      <c r="LCR286" s="1069"/>
      <c r="LCS286" s="1069"/>
      <c r="LCT286" s="1069"/>
      <c r="LCU286" s="1069"/>
      <c r="LCV286" s="1069"/>
      <c r="LCW286" s="1069"/>
      <c r="LCX286" s="1069"/>
      <c r="LCY286" s="1069"/>
      <c r="LCZ286" s="1069"/>
      <c r="LDA286" s="1069"/>
      <c r="LDB286" s="1069"/>
      <c r="LDC286" s="1069"/>
      <c r="LDD286" s="1069"/>
      <c r="LDE286" s="1069"/>
      <c r="LDF286" s="1069"/>
      <c r="LDG286" s="1069"/>
      <c r="LDH286" s="1069"/>
      <c r="LDI286" s="1069"/>
      <c r="LDJ286" s="1069"/>
      <c r="LDK286" s="1069"/>
      <c r="LDL286" s="1069"/>
      <c r="LDM286" s="1069"/>
      <c r="LDN286" s="1069"/>
      <c r="LDO286" s="1069"/>
      <c r="LDP286" s="1069"/>
      <c r="LDQ286" s="1069"/>
      <c r="LDR286" s="1069"/>
      <c r="LDS286" s="1069"/>
      <c r="LDT286" s="1069"/>
      <c r="LDU286" s="1069"/>
      <c r="LDV286" s="1069"/>
      <c r="LDW286" s="1069"/>
      <c r="LDX286" s="1069"/>
      <c r="LDY286" s="1069"/>
      <c r="LDZ286" s="1069"/>
      <c r="LEA286" s="1069"/>
      <c r="LEB286" s="1069"/>
      <c r="LEC286" s="1069"/>
      <c r="LED286" s="1069"/>
      <c r="LEE286" s="1069"/>
      <c r="LEF286" s="1069"/>
      <c r="LEG286" s="1069"/>
      <c r="LEH286" s="1069"/>
      <c r="LEI286" s="1069"/>
      <c r="LEJ286" s="1069"/>
      <c r="LEK286" s="1069"/>
      <c r="LEL286" s="1069"/>
      <c r="LEM286" s="1069"/>
      <c r="LEN286" s="1069"/>
      <c r="LEO286" s="1069"/>
      <c r="LEP286" s="1069"/>
      <c r="LEQ286" s="1069"/>
      <c r="LER286" s="1069"/>
      <c r="LES286" s="1069"/>
      <c r="LET286" s="1069"/>
      <c r="LEU286" s="1069"/>
      <c r="LEV286" s="1069"/>
      <c r="LEW286" s="1069"/>
      <c r="LEX286" s="1069"/>
      <c r="LEY286" s="1069"/>
      <c r="LEZ286" s="1069"/>
      <c r="LFA286" s="1069"/>
      <c r="LFB286" s="1069"/>
      <c r="LFC286" s="1069"/>
      <c r="LFD286" s="1069"/>
      <c r="LFE286" s="1069"/>
      <c r="LFF286" s="1069"/>
      <c r="LFG286" s="1069"/>
      <c r="LFH286" s="1069"/>
      <c r="LFI286" s="1069"/>
      <c r="LFJ286" s="1069"/>
      <c r="LFK286" s="1069"/>
      <c r="LFL286" s="1069"/>
      <c r="LFM286" s="1069"/>
      <c r="LFN286" s="1069"/>
      <c r="LFO286" s="1069"/>
      <c r="LFP286" s="1069"/>
      <c r="LFQ286" s="1069"/>
      <c r="LFR286" s="1069"/>
      <c r="LFS286" s="1069"/>
      <c r="LFT286" s="1069"/>
      <c r="LFU286" s="1069"/>
      <c r="LFV286" s="1069"/>
      <c r="LFW286" s="1069"/>
      <c r="LFX286" s="1069"/>
      <c r="LFY286" s="1069"/>
      <c r="LFZ286" s="1069"/>
      <c r="LGA286" s="1069"/>
      <c r="LGB286" s="1069"/>
      <c r="LGC286" s="1069"/>
      <c r="LGD286" s="1069"/>
      <c r="LGE286" s="1069"/>
      <c r="LGF286" s="1069"/>
      <c r="LGG286" s="1069"/>
      <c r="LGH286" s="1069"/>
      <c r="LGI286" s="1069"/>
      <c r="LGJ286" s="1069"/>
      <c r="LGK286" s="1069"/>
      <c r="LGL286" s="1069"/>
      <c r="LGM286" s="1069"/>
      <c r="LGN286" s="1069"/>
      <c r="LGO286" s="1069"/>
      <c r="LGP286" s="1069"/>
      <c r="LGQ286" s="1069"/>
      <c r="LGR286" s="1069"/>
      <c r="LGS286" s="1069"/>
      <c r="LGT286" s="1069"/>
      <c r="LGU286" s="1069"/>
      <c r="LGV286" s="1069"/>
      <c r="LGW286" s="1069"/>
      <c r="LGX286" s="1069"/>
      <c r="LGY286" s="1069"/>
      <c r="LGZ286" s="1069"/>
      <c r="LHA286" s="1069"/>
      <c r="LHB286" s="1069"/>
      <c r="LHC286" s="1069"/>
      <c r="LHD286" s="1069"/>
      <c r="LHE286" s="1069"/>
      <c r="LHF286" s="1069"/>
      <c r="LHG286" s="1069"/>
      <c r="LHH286" s="1069"/>
      <c r="LHI286" s="1069"/>
      <c r="LHJ286" s="1069"/>
      <c r="LHK286" s="1069"/>
      <c r="LHL286" s="1069"/>
      <c r="LHM286" s="1069"/>
      <c r="LHN286" s="1069"/>
      <c r="LHO286" s="1069"/>
      <c r="LHP286" s="1069"/>
      <c r="LHQ286" s="1069"/>
      <c r="LHR286" s="1069"/>
      <c r="LHS286" s="1069"/>
      <c r="LHT286" s="1069"/>
      <c r="LHU286" s="1069"/>
      <c r="LHV286" s="1069"/>
      <c r="LHW286" s="1069"/>
      <c r="LHX286" s="1069"/>
      <c r="LHY286" s="1069"/>
      <c r="LHZ286" s="1069"/>
      <c r="LIA286" s="1069"/>
      <c r="LIB286" s="1069"/>
      <c r="LIC286" s="1069"/>
      <c r="LID286" s="1069"/>
      <c r="LIE286" s="1069"/>
      <c r="LIF286" s="1069"/>
      <c r="LIG286" s="1069"/>
      <c r="LIH286" s="1069"/>
      <c r="LII286" s="1069"/>
      <c r="LIJ286" s="1069"/>
      <c r="LIK286" s="1069"/>
      <c r="LIL286" s="1069"/>
      <c r="LIM286" s="1069"/>
      <c r="LIN286" s="1069"/>
      <c r="LIO286" s="1069"/>
      <c r="LIP286" s="1069"/>
      <c r="LIQ286" s="1069"/>
      <c r="LIR286" s="1069"/>
      <c r="LIS286" s="1069"/>
      <c r="LIT286" s="1069"/>
      <c r="LIU286" s="1069"/>
      <c r="LIV286" s="1069"/>
      <c r="LIW286" s="1069"/>
      <c r="LIX286" s="1069"/>
      <c r="LIY286" s="1069"/>
      <c r="LIZ286" s="1069"/>
      <c r="LJA286" s="1069"/>
      <c r="LJB286" s="1069"/>
      <c r="LJC286" s="1069"/>
      <c r="LJD286" s="1069"/>
      <c r="LJE286" s="1069"/>
      <c r="LJF286" s="1069"/>
      <c r="LJG286" s="1069"/>
      <c r="LJH286" s="1069"/>
      <c r="LJI286" s="1069"/>
      <c r="LJJ286" s="1069"/>
      <c r="LJK286" s="1069"/>
      <c r="LJL286" s="1069"/>
      <c r="LJM286" s="1069"/>
      <c r="LJN286" s="1069"/>
      <c r="LJO286" s="1069"/>
      <c r="LJP286" s="1069"/>
      <c r="LJQ286" s="1069"/>
      <c r="LJR286" s="1069"/>
      <c r="LJS286" s="1069"/>
      <c r="LJT286" s="1069"/>
      <c r="LJU286" s="1069"/>
      <c r="LJV286" s="1069"/>
      <c r="LJW286" s="1069"/>
      <c r="LJX286" s="1069"/>
      <c r="LJY286" s="1069"/>
      <c r="LJZ286" s="1069"/>
      <c r="LKA286" s="1069"/>
      <c r="LKB286" s="1069"/>
      <c r="LKC286" s="1069"/>
      <c r="LKD286" s="1069"/>
      <c r="LKE286" s="1069"/>
      <c r="LKF286" s="1069"/>
      <c r="LKG286" s="1069"/>
      <c r="LKH286" s="1069"/>
      <c r="LKI286" s="1069"/>
      <c r="LKJ286" s="1069"/>
      <c r="LKK286" s="1069"/>
      <c r="LKL286" s="1069"/>
      <c r="LKM286" s="1069"/>
      <c r="LKN286" s="1069"/>
      <c r="LKO286" s="1069"/>
      <c r="LKP286" s="1069"/>
      <c r="LKQ286" s="1069"/>
      <c r="LKR286" s="1069"/>
      <c r="LKS286" s="1069"/>
      <c r="LKT286" s="1069"/>
      <c r="LKU286" s="1069"/>
      <c r="LKV286" s="1069"/>
      <c r="LKW286" s="1069"/>
      <c r="LKX286" s="1069"/>
      <c r="LKY286" s="1069"/>
      <c r="LKZ286" s="1069"/>
      <c r="LLA286" s="1069"/>
      <c r="LLB286" s="1069"/>
      <c r="LLC286" s="1069"/>
      <c r="LLD286" s="1069"/>
      <c r="LLE286" s="1069"/>
      <c r="LLF286" s="1069"/>
      <c r="LLG286" s="1069"/>
      <c r="LLH286" s="1069"/>
      <c r="LLI286" s="1069"/>
      <c r="LLJ286" s="1069"/>
      <c r="LLK286" s="1069"/>
      <c r="LLL286" s="1069"/>
      <c r="LLM286" s="1069"/>
      <c r="LLN286" s="1069"/>
      <c r="LLO286" s="1069"/>
      <c r="LLP286" s="1069"/>
      <c r="LLQ286" s="1069"/>
      <c r="LLR286" s="1069"/>
      <c r="LLS286" s="1069"/>
      <c r="LLT286" s="1069"/>
      <c r="LLU286" s="1069"/>
      <c r="LLV286" s="1069"/>
      <c r="LLW286" s="1069"/>
      <c r="LLX286" s="1069"/>
      <c r="LLY286" s="1069"/>
      <c r="LLZ286" s="1069"/>
      <c r="LMA286" s="1069"/>
      <c r="LMB286" s="1069"/>
      <c r="LMC286" s="1069"/>
      <c r="LMD286" s="1069"/>
      <c r="LME286" s="1069"/>
      <c r="LMF286" s="1069"/>
      <c r="LMG286" s="1069"/>
      <c r="LMH286" s="1069"/>
      <c r="LMI286" s="1069"/>
      <c r="LMJ286" s="1069"/>
      <c r="LMK286" s="1069"/>
      <c r="LML286" s="1069"/>
      <c r="LMM286" s="1069"/>
      <c r="LMN286" s="1069"/>
      <c r="LMO286" s="1069"/>
      <c r="LMP286" s="1069"/>
      <c r="LMQ286" s="1069"/>
      <c r="LMR286" s="1069"/>
      <c r="LMS286" s="1069"/>
      <c r="LMT286" s="1069"/>
      <c r="LMU286" s="1069"/>
      <c r="LMV286" s="1069"/>
      <c r="LMW286" s="1069"/>
      <c r="LMX286" s="1069"/>
      <c r="LMY286" s="1069"/>
      <c r="LMZ286" s="1069"/>
      <c r="LNA286" s="1069"/>
      <c r="LNB286" s="1069"/>
      <c r="LNC286" s="1069"/>
      <c r="LND286" s="1069"/>
      <c r="LNE286" s="1069"/>
      <c r="LNF286" s="1069"/>
      <c r="LNG286" s="1069"/>
      <c r="LNH286" s="1069"/>
      <c r="LNI286" s="1069"/>
      <c r="LNJ286" s="1069"/>
      <c r="LNK286" s="1069"/>
      <c r="LNL286" s="1069"/>
      <c r="LNM286" s="1069"/>
      <c r="LNN286" s="1069"/>
      <c r="LNO286" s="1069"/>
      <c r="LNP286" s="1069"/>
      <c r="LNQ286" s="1069"/>
      <c r="LNR286" s="1069"/>
      <c r="LNS286" s="1069"/>
      <c r="LNT286" s="1069"/>
      <c r="LNU286" s="1069"/>
      <c r="LNV286" s="1069"/>
      <c r="LNW286" s="1069"/>
      <c r="LNX286" s="1069"/>
      <c r="LNY286" s="1069"/>
      <c r="LNZ286" s="1069"/>
      <c r="LOA286" s="1069"/>
      <c r="LOB286" s="1069"/>
      <c r="LOC286" s="1069"/>
      <c r="LOD286" s="1069"/>
      <c r="LOE286" s="1069"/>
      <c r="LOF286" s="1069"/>
      <c r="LOG286" s="1069"/>
      <c r="LOH286" s="1069"/>
      <c r="LOI286" s="1069"/>
      <c r="LOJ286" s="1069"/>
      <c r="LOK286" s="1069"/>
      <c r="LOL286" s="1069"/>
      <c r="LOM286" s="1069"/>
      <c r="LON286" s="1069"/>
      <c r="LOO286" s="1069"/>
      <c r="LOP286" s="1069"/>
      <c r="LOQ286" s="1069"/>
      <c r="LOR286" s="1069"/>
      <c r="LOS286" s="1069"/>
      <c r="LOT286" s="1069"/>
      <c r="LOU286" s="1069"/>
      <c r="LOV286" s="1069"/>
      <c r="LOW286" s="1069"/>
      <c r="LOX286" s="1069"/>
      <c r="LOY286" s="1069"/>
      <c r="LOZ286" s="1069"/>
      <c r="LPA286" s="1069"/>
      <c r="LPB286" s="1069"/>
      <c r="LPC286" s="1069"/>
      <c r="LPD286" s="1069"/>
      <c r="LPE286" s="1069"/>
      <c r="LPF286" s="1069"/>
      <c r="LPG286" s="1069"/>
      <c r="LPH286" s="1069"/>
      <c r="LPI286" s="1069"/>
      <c r="LPJ286" s="1069"/>
      <c r="LPK286" s="1069"/>
      <c r="LPL286" s="1069"/>
      <c r="LPM286" s="1069"/>
      <c r="LPN286" s="1069"/>
      <c r="LPO286" s="1069"/>
      <c r="LPP286" s="1069"/>
      <c r="LPQ286" s="1069"/>
      <c r="LPR286" s="1069"/>
      <c r="LPS286" s="1069"/>
      <c r="LPT286" s="1069"/>
      <c r="LPU286" s="1069"/>
      <c r="LPV286" s="1069"/>
      <c r="LPW286" s="1069"/>
      <c r="LPX286" s="1069"/>
      <c r="LPY286" s="1069"/>
      <c r="LPZ286" s="1069"/>
      <c r="LQA286" s="1069"/>
      <c r="LQB286" s="1069"/>
      <c r="LQC286" s="1069"/>
      <c r="LQD286" s="1069"/>
      <c r="LQE286" s="1069"/>
      <c r="LQF286" s="1069"/>
      <c r="LQG286" s="1069"/>
      <c r="LQH286" s="1069"/>
      <c r="LQI286" s="1069"/>
      <c r="LQJ286" s="1069"/>
      <c r="LQK286" s="1069"/>
      <c r="LQL286" s="1069"/>
      <c r="LQM286" s="1069"/>
      <c r="LQN286" s="1069"/>
      <c r="LQO286" s="1069"/>
      <c r="LQP286" s="1069"/>
      <c r="LQQ286" s="1069"/>
      <c r="LQR286" s="1069"/>
      <c r="LQS286" s="1069"/>
      <c r="LQT286" s="1069"/>
      <c r="LQU286" s="1069"/>
      <c r="LQV286" s="1069"/>
      <c r="LQW286" s="1069"/>
      <c r="LQX286" s="1069"/>
      <c r="LQY286" s="1069"/>
      <c r="LQZ286" s="1069"/>
      <c r="LRA286" s="1069"/>
      <c r="LRB286" s="1069"/>
      <c r="LRC286" s="1069"/>
      <c r="LRD286" s="1069"/>
      <c r="LRE286" s="1069"/>
      <c r="LRF286" s="1069"/>
      <c r="LRG286" s="1069"/>
      <c r="LRH286" s="1069"/>
      <c r="LRI286" s="1069"/>
      <c r="LRJ286" s="1069"/>
      <c r="LRK286" s="1069"/>
      <c r="LRL286" s="1069"/>
      <c r="LRM286" s="1069"/>
      <c r="LRN286" s="1069"/>
      <c r="LRO286" s="1069"/>
      <c r="LRP286" s="1069"/>
      <c r="LRQ286" s="1069"/>
      <c r="LRR286" s="1069"/>
      <c r="LRS286" s="1069"/>
      <c r="LRT286" s="1069"/>
      <c r="LRU286" s="1069"/>
      <c r="LRV286" s="1069"/>
      <c r="LRW286" s="1069"/>
      <c r="LRX286" s="1069"/>
      <c r="LRY286" s="1069"/>
      <c r="LRZ286" s="1069"/>
      <c r="LSA286" s="1069"/>
      <c r="LSB286" s="1069"/>
      <c r="LSC286" s="1069"/>
      <c r="LSD286" s="1069"/>
      <c r="LSE286" s="1069"/>
      <c r="LSF286" s="1069"/>
      <c r="LSG286" s="1069"/>
      <c r="LSH286" s="1069"/>
      <c r="LSI286" s="1069"/>
      <c r="LSJ286" s="1069"/>
      <c r="LSK286" s="1069"/>
      <c r="LSL286" s="1069"/>
      <c r="LSM286" s="1069"/>
      <c r="LSN286" s="1069"/>
      <c r="LSO286" s="1069"/>
      <c r="LSP286" s="1069"/>
      <c r="LSQ286" s="1069"/>
      <c r="LSR286" s="1069"/>
      <c r="LSS286" s="1069"/>
      <c r="LST286" s="1069"/>
      <c r="LSU286" s="1069"/>
      <c r="LSV286" s="1069"/>
      <c r="LSW286" s="1069"/>
      <c r="LSX286" s="1069"/>
      <c r="LSY286" s="1069"/>
      <c r="LSZ286" s="1069"/>
      <c r="LTA286" s="1069"/>
      <c r="LTB286" s="1069"/>
      <c r="LTC286" s="1069"/>
      <c r="LTD286" s="1069"/>
      <c r="LTE286" s="1069"/>
      <c r="LTF286" s="1069"/>
      <c r="LTG286" s="1069"/>
      <c r="LTH286" s="1069"/>
      <c r="LTI286" s="1069"/>
      <c r="LTJ286" s="1069"/>
      <c r="LTK286" s="1069"/>
      <c r="LTL286" s="1069"/>
      <c r="LTM286" s="1069"/>
      <c r="LTN286" s="1069"/>
      <c r="LTO286" s="1069"/>
      <c r="LTP286" s="1069"/>
      <c r="LTQ286" s="1069"/>
      <c r="LTR286" s="1069"/>
      <c r="LTS286" s="1069"/>
      <c r="LTT286" s="1069"/>
      <c r="LTU286" s="1069"/>
      <c r="LTV286" s="1069"/>
      <c r="LTW286" s="1069"/>
      <c r="LTX286" s="1069"/>
      <c r="LTY286" s="1069"/>
      <c r="LTZ286" s="1069"/>
      <c r="LUA286" s="1069"/>
      <c r="LUB286" s="1069"/>
      <c r="LUC286" s="1069"/>
      <c r="LUD286" s="1069"/>
      <c r="LUE286" s="1069"/>
      <c r="LUF286" s="1069"/>
      <c r="LUG286" s="1069"/>
      <c r="LUH286" s="1069"/>
      <c r="LUI286" s="1069"/>
      <c r="LUJ286" s="1069"/>
      <c r="LUK286" s="1069"/>
      <c r="LUL286" s="1069"/>
      <c r="LUM286" s="1069"/>
      <c r="LUN286" s="1069"/>
      <c r="LUO286" s="1069"/>
      <c r="LUP286" s="1069"/>
      <c r="LUQ286" s="1069"/>
      <c r="LUR286" s="1069"/>
      <c r="LUS286" s="1069"/>
      <c r="LUT286" s="1069"/>
      <c r="LUU286" s="1069"/>
      <c r="LUV286" s="1069"/>
      <c r="LUW286" s="1069"/>
      <c r="LUX286" s="1069"/>
      <c r="LUY286" s="1069"/>
      <c r="LUZ286" s="1069"/>
      <c r="LVA286" s="1069"/>
      <c r="LVB286" s="1069"/>
      <c r="LVC286" s="1069"/>
      <c r="LVD286" s="1069"/>
      <c r="LVE286" s="1069"/>
      <c r="LVF286" s="1069"/>
      <c r="LVG286" s="1069"/>
      <c r="LVH286" s="1069"/>
      <c r="LVI286" s="1069"/>
      <c r="LVJ286" s="1069"/>
      <c r="LVK286" s="1069"/>
      <c r="LVL286" s="1069"/>
      <c r="LVM286" s="1069"/>
      <c r="LVN286" s="1069"/>
      <c r="LVO286" s="1069"/>
      <c r="LVP286" s="1069"/>
      <c r="LVQ286" s="1069"/>
      <c r="LVR286" s="1069"/>
      <c r="LVS286" s="1069"/>
      <c r="LVT286" s="1069"/>
      <c r="LVU286" s="1069"/>
      <c r="LVV286" s="1069"/>
      <c r="LVW286" s="1069"/>
      <c r="LVX286" s="1069"/>
      <c r="LVY286" s="1069"/>
      <c r="LVZ286" s="1069"/>
      <c r="LWA286" s="1069"/>
      <c r="LWB286" s="1069"/>
      <c r="LWC286" s="1069"/>
      <c r="LWD286" s="1069"/>
      <c r="LWE286" s="1069"/>
      <c r="LWF286" s="1069"/>
      <c r="LWG286" s="1069"/>
      <c r="LWH286" s="1069"/>
      <c r="LWI286" s="1069"/>
      <c r="LWJ286" s="1069"/>
      <c r="LWK286" s="1069"/>
      <c r="LWL286" s="1069"/>
      <c r="LWM286" s="1069"/>
      <c r="LWN286" s="1069"/>
      <c r="LWO286" s="1069"/>
      <c r="LWP286" s="1069"/>
      <c r="LWQ286" s="1069"/>
      <c r="LWR286" s="1069"/>
      <c r="LWS286" s="1069"/>
      <c r="LWT286" s="1069"/>
      <c r="LWU286" s="1069"/>
      <c r="LWV286" s="1069"/>
      <c r="LWW286" s="1069"/>
      <c r="LWX286" s="1069"/>
      <c r="LWY286" s="1069"/>
      <c r="LWZ286" s="1069"/>
      <c r="LXA286" s="1069"/>
      <c r="LXB286" s="1069"/>
      <c r="LXC286" s="1069"/>
      <c r="LXD286" s="1069"/>
      <c r="LXE286" s="1069"/>
      <c r="LXF286" s="1069"/>
      <c r="LXG286" s="1069"/>
      <c r="LXH286" s="1069"/>
      <c r="LXI286" s="1069"/>
      <c r="LXJ286" s="1069"/>
      <c r="LXK286" s="1069"/>
      <c r="LXL286" s="1069"/>
      <c r="LXM286" s="1069"/>
      <c r="LXN286" s="1069"/>
      <c r="LXO286" s="1069"/>
      <c r="LXP286" s="1069"/>
      <c r="LXQ286" s="1069"/>
      <c r="LXR286" s="1069"/>
      <c r="LXS286" s="1069"/>
      <c r="LXT286" s="1069"/>
      <c r="LXU286" s="1069"/>
      <c r="LXV286" s="1069"/>
      <c r="LXW286" s="1069"/>
      <c r="LXX286" s="1069"/>
      <c r="LXY286" s="1069"/>
      <c r="LXZ286" s="1069"/>
      <c r="LYA286" s="1069"/>
      <c r="LYB286" s="1069"/>
      <c r="LYC286" s="1069"/>
      <c r="LYD286" s="1069"/>
      <c r="LYE286" s="1069"/>
      <c r="LYF286" s="1069"/>
      <c r="LYG286" s="1069"/>
      <c r="LYH286" s="1069"/>
      <c r="LYI286" s="1069"/>
      <c r="LYJ286" s="1069"/>
      <c r="LYK286" s="1069"/>
      <c r="LYL286" s="1069"/>
      <c r="LYM286" s="1069"/>
      <c r="LYN286" s="1069"/>
      <c r="LYO286" s="1069"/>
      <c r="LYP286" s="1069"/>
      <c r="LYQ286" s="1069"/>
      <c r="LYR286" s="1069"/>
      <c r="LYS286" s="1069"/>
      <c r="LYT286" s="1069"/>
      <c r="LYU286" s="1069"/>
      <c r="LYV286" s="1069"/>
      <c r="LYW286" s="1069"/>
      <c r="LYX286" s="1069"/>
      <c r="LYY286" s="1069"/>
      <c r="LYZ286" s="1069"/>
      <c r="LZA286" s="1069"/>
      <c r="LZB286" s="1069"/>
      <c r="LZC286" s="1069"/>
      <c r="LZD286" s="1069"/>
      <c r="LZE286" s="1069"/>
      <c r="LZF286" s="1069"/>
      <c r="LZG286" s="1069"/>
      <c r="LZH286" s="1069"/>
      <c r="LZI286" s="1069"/>
      <c r="LZJ286" s="1069"/>
      <c r="LZK286" s="1069"/>
      <c r="LZL286" s="1069"/>
      <c r="LZM286" s="1069"/>
      <c r="LZN286" s="1069"/>
      <c r="LZO286" s="1069"/>
      <c r="LZP286" s="1069"/>
      <c r="LZQ286" s="1069"/>
      <c r="LZR286" s="1069"/>
      <c r="LZS286" s="1069"/>
      <c r="LZT286" s="1069"/>
      <c r="LZU286" s="1069"/>
      <c r="LZV286" s="1069"/>
      <c r="LZW286" s="1069"/>
      <c r="LZX286" s="1069"/>
      <c r="LZY286" s="1069"/>
      <c r="LZZ286" s="1069"/>
      <c r="MAA286" s="1069"/>
      <c r="MAB286" s="1069"/>
      <c r="MAC286" s="1069"/>
      <c r="MAD286" s="1069"/>
      <c r="MAE286" s="1069"/>
      <c r="MAF286" s="1069"/>
      <c r="MAG286" s="1069"/>
      <c r="MAH286" s="1069"/>
      <c r="MAI286" s="1069"/>
      <c r="MAJ286" s="1069"/>
      <c r="MAK286" s="1069"/>
      <c r="MAL286" s="1069"/>
      <c r="MAM286" s="1069"/>
      <c r="MAN286" s="1069"/>
      <c r="MAO286" s="1069"/>
      <c r="MAP286" s="1069"/>
      <c r="MAQ286" s="1069"/>
      <c r="MAR286" s="1069"/>
      <c r="MAS286" s="1069"/>
      <c r="MAT286" s="1069"/>
      <c r="MAU286" s="1069"/>
      <c r="MAV286" s="1069"/>
      <c r="MAW286" s="1069"/>
      <c r="MAX286" s="1069"/>
      <c r="MAY286" s="1069"/>
      <c r="MAZ286" s="1069"/>
      <c r="MBA286" s="1069"/>
      <c r="MBB286" s="1069"/>
      <c r="MBC286" s="1069"/>
      <c r="MBD286" s="1069"/>
      <c r="MBE286" s="1069"/>
      <c r="MBF286" s="1069"/>
      <c r="MBG286" s="1069"/>
      <c r="MBH286" s="1069"/>
      <c r="MBI286" s="1069"/>
      <c r="MBJ286" s="1069"/>
      <c r="MBK286" s="1069"/>
      <c r="MBL286" s="1069"/>
      <c r="MBM286" s="1069"/>
      <c r="MBN286" s="1069"/>
      <c r="MBO286" s="1069"/>
      <c r="MBP286" s="1069"/>
      <c r="MBQ286" s="1069"/>
      <c r="MBR286" s="1069"/>
      <c r="MBS286" s="1069"/>
      <c r="MBT286" s="1069"/>
      <c r="MBU286" s="1069"/>
      <c r="MBV286" s="1069"/>
      <c r="MBW286" s="1069"/>
      <c r="MBX286" s="1069"/>
      <c r="MBY286" s="1069"/>
      <c r="MBZ286" s="1069"/>
      <c r="MCA286" s="1069"/>
      <c r="MCB286" s="1069"/>
      <c r="MCC286" s="1069"/>
      <c r="MCD286" s="1069"/>
      <c r="MCE286" s="1069"/>
      <c r="MCF286" s="1069"/>
      <c r="MCG286" s="1069"/>
      <c r="MCH286" s="1069"/>
      <c r="MCI286" s="1069"/>
      <c r="MCJ286" s="1069"/>
      <c r="MCK286" s="1069"/>
      <c r="MCL286" s="1069"/>
      <c r="MCM286" s="1069"/>
      <c r="MCN286" s="1069"/>
      <c r="MCO286" s="1069"/>
      <c r="MCP286" s="1069"/>
      <c r="MCQ286" s="1069"/>
      <c r="MCR286" s="1069"/>
      <c r="MCS286" s="1069"/>
      <c r="MCT286" s="1069"/>
      <c r="MCU286" s="1069"/>
      <c r="MCV286" s="1069"/>
      <c r="MCW286" s="1069"/>
      <c r="MCX286" s="1069"/>
      <c r="MCY286" s="1069"/>
      <c r="MCZ286" s="1069"/>
      <c r="MDA286" s="1069"/>
      <c r="MDB286" s="1069"/>
      <c r="MDC286" s="1069"/>
      <c r="MDD286" s="1069"/>
      <c r="MDE286" s="1069"/>
      <c r="MDF286" s="1069"/>
      <c r="MDG286" s="1069"/>
      <c r="MDH286" s="1069"/>
      <c r="MDI286" s="1069"/>
      <c r="MDJ286" s="1069"/>
      <c r="MDK286" s="1069"/>
      <c r="MDL286" s="1069"/>
      <c r="MDM286" s="1069"/>
      <c r="MDN286" s="1069"/>
      <c r="MDO286" s="1069"/>
      <c r="MDP286" s="1069"/>
      <c r="MDQ286" s="1069"/>
      <c r="MDR286" s="1069"/>
      <c r="MDS286" s="1069"/>
      <c r="MDT286" s="1069"/>
      <c r="MDU286" s="1069"/>
      <c r="MDV286" s="1069"/>
      <c r="MDW286" s="1069"/>
      <c r="MDX286" s="1069"/>
      <c r="MDY286" s="1069"/>
      <c r="MDZ286" s="1069"/>
      <c r="MEA286" s="1069"/>
      <c r="MEB286" s="1069"/>
      <c r="MEC286" s="1069"/>
      <c r="MED286" s="1069"/>
      <c r="MEE286" s="1069"/>
      <c r="MEF286" s="1069"/>
      <c r="MEG286" s="1069"/>
      <c r="MEH286" s="1069"/>
      <c r="MEI286" s="1069"/>
      <c r="MEJ286" s="1069"/>
      <c r="MEK286" s="1069"/>
      <c r="MEL286" s="1069"/>
      <c r="MEM286" s="1069"/>
      <c r="MEN286" s="1069"/>
      <c r="MEO286" s="1069"/>
      <c r="MEP286" s="1069"/>
      <c r="MEQ286" s="1069"/>
      <c r="MER286" s="1069"/>
      <c r="MES286" s="1069"/>
      <c r="MET286" s="1069"/>
      <c r="MEU286" s="1069"/>
      <c r="MEV286" s="1069"/>
      <c r="MEW286" s="1069"/>
      <c r="MEX286" s="1069"/>
      <c r="MEY286" s="1069"/>
      <c r="MEZ286" s="1069"/>
      <c r="MFA286" s="1069"/>
      <c r="MFB286" s="1069"/>
      <c r="MFC286" s="1069"/>
      <c r="MFD286" s="1069"/>
      <c r="MFE286" s="1069"/>
      <c r="MFF286" s="1069"/>
      <c r="MFG286" s="1069"/>
      <c r="MFH286" s="1069"/>
      <c r="MFI286" s="1069"/>
      <c r="MFJ286" s="1069"/>
      <c r="MFK286" s="1069"/>
      <c r="MFL286" s="1069"/>
      <c r="MFM286" s="1069"/>
      <c r="MFN286" s="1069"/>
      <c r="MFO286" s="1069"/>
      <c r="MFP286" s="1069"/>
      <c r="MFQ286" s="1069"/>
      <c r="MFR286" s="1069"/>
      <c r="MFS286" s="1069"/>
      <c r="MFT286" s="1069"/>
      <c r="MFU286" s="1069"/>
      <c r="MFV286" s="1069"/>
      <c r="MFW286" s="1069"/>
      <c r="MFX286" s="1069"/>
      <c r="MFY286" s="1069"/>
      <c r="MFZ286" s="1069"/>
      <c r="MGA286" s="1069"/>
      <c r="MGB286" s="1069"/>
      <c r="MGC286" s="1069"/>
      <c r="MGD286" s="1069"/>
      <c r="MGE286" s="1069"/>
      <c r="MGF286" s="1069"/>
      <c r="MGG286" s="1069"/>
      <c r="MGH286" s="1069"/>
      <c r="MGI286" s="1069"/>
      <c r="MGJ286" s="1069"/>
      <c r="MGK286" s="1069"/>
      <c r="MGL286" s="1069"/>
      <c r="MGM286" s="1069"/>
      <c r="MGN286" s="1069"/>
      <c r="MGO286" s="1069"/>
      <c r="MGP286" s="1069"/>
      <c r="MGQ286" s="1069"/>
      <c r="MGR286" s="1069"/>
      <c r="MGS286" s="1069"/>
      <c r="MGT286" s="1069"/>
      <c r="MGU286" s="1069"/>
      <c r="MGV286" s="1069"/>
      <c r="MGW286" s="1069"/>
      <c r="MGX286" s="1069"/>
      <c r="MGY286" s="1069"/>
      <c r="MGZ286" s="1069"/>
      <c r="MHA286" s="1069"/>
      <c r="MHB286" s="1069"/>
      <c r="MHC286" s="1069"/>
      <c r="MHD286" s="1069"/>
      <c r="MHE286" s="1069"/>
      <c r="MHF286" s="1069"/>
      <c r="MHG286" s="1069"/>
      <c r="MHH286" s="1069"/>
      <c r="MHI286" s="1069"/>
      <c r="MHJ286" s="1069"/>
      <c r="MHK286" s="1069"/>
      <c r="MHL286" s="1069"/>
      <c r="MHM286" s="1069"/>
      <c r="MHN286" s="1069"/>
      <c r="MHO286" s="1069"/>
      <c r="MHP286" s="1069"/>
      <c r="MHQ286" s="1069"/>
      <c r="MHR286" s="1069"/>
      <c r="MHS286" s="1069"/>
      <c r="MHT286" s="1069"/>
      <c r="MHU286" s="1069"/>
      <c r="MHV286" s="1069"/>
      <c r="MHW286" s="1069"/>
      <c r="MHX286" s="1069"/>
      <c r="MHY286" s="1069"/>
      <c r="MHZ286" s="1069"/>
      <c r="MIA286" s="1069"/>
      <c r="MIB286" s="1069"/>
      <c r="MIC286" s="1069"/>
      <c r="MID286" s="1069"/>
      <c r="MIE286" s="1069"/>
      <c r="MIF286" s="1069"/>
      <c r="MIG286" s="1069"/>
      <c r="MIH286" s="1069"/>
      <c r="MII286" s="1069"/>
      <c r="MIJ286" s="1069"/>
      <c r="MIK286" s="1069"/>
      <c r="MIL286" s="1069"/>
      <c r="MIM286" s="1069"/>
      <c r="MIN286" s="1069"/>
      <c r="MIO286" s="1069"/>
      <c r="MIP286" s="1069"/>
      <c r="MIQ286" s="1069"/>
      <c r="MIR286" s="1069"/>
      <c r="MIS286" s="1069"/>
      <c r="MIT286" s="1069"/>
      <c r="MIU286" s="1069"/>
      <c r="MIV286" s="1069"/>
      <c r="MIW286" s="1069"/>
      <c r="MIX286" s="1069"/>
      <c r="MIY286" s="1069"/>
      <c r="MIZ286" s="1069"/>
      <c r="MJA286" s="1069"/>
      <c r="MJB286" s="1069"/>
      <c r="MJC286" s="1069"/>
      <c r="MJD286" s="1069"/>
      <c r="MJE286" s="1069"/>
      <c r="MJF286" s="1069"/>
      <c r="MJG286" s="1069"/>
      <c r="MJH286" s="1069"/>
      <c r="MJI286" s="1069"/>
      <c r="MJJ286" s="1069"/>
      <c r="MJK286" s="1069"/>
      <c r="MJL286" s="1069"/>
      <c r="MJM286" s="1069"/>
      <c r="MJN286" s="1069"/>
      <c r="MJO286" s="1069"/>
      <c r="MJP286" s="1069"/>
      <c r="MJQ286" s="1069"/>
      <c r="MJR286" s="1069"/>
      <c r="MJS286" s="1069"/>
      <c r="MJT286" s="1069"/>
      <c r="MJU286" s="1069"/>
      <c r="MJV286" s="1069"/>
      <c r="MJW286" s="1069"/>
      <c r="MJX286" s="1069"/>
      <c r="MJY286" s="1069"/>
      <c r="MJZ286" s="1069"/>
      <c r="MKA286" s="1069"/>
      <c r="MKB286" s="1069"/>
      <c r="MKC286" s="1069"/>
      <c r="MKD286" s="1069"/>
      <c r="MKE286" s="1069"/>
      <c r="MKF286" s="1069"/>
      <c r="MKG286" s="1069"/>
      <c r="MKH286" s="1069"/>
      <c r="MKI286" s="1069"/>
      <c r="MKJ286" s="1069"/>
      <c r="MKK286" s="1069"/>
      <c r="MKL286" s="1069"/>
      <c r="MKM286" s="1069"/>
      <c r="MKN286" s="1069"/>
      <c r="MKO286" s="1069"/>
      <c r="MKP286" s="1069"/>
      <c r="MKQ286" s="1069"/>
      <c r="MKR286" s="1069"/>
      <c r="MKS286" s="1069"/>
      <c r="MKT286" s="1069"/>
      <c r="MKU286" s="1069"/>
      <c r="MKV286" s="1069"/>
      <c r="MKW286" s="1069"/>
      <c r="MKX286" s="1069"/>
      <c r="MKY286" s="1069"/>
      <c r="MKZ286" s="1069"/>
      <c r="MLA286" s="1069"/>
      <c r="MLB286" s="1069"/>
      <c r="MLC286" s="1069"/>
      <c r="MLD286" s="1069"/>
      <c r="MLE286" s="1069"/>
      <c r="MLF286" s="1069"/>
      <c r="MLG286" s="1069"/>
      <c r="MLH286" s="1069"/>
      <c r="MLI286" s="1069"/>
      <c r="MLJ286" s="1069"/>
      <c r="MLK286" s="1069"/>
      <c r="MLL286" s="1069"/>
      <c r="MLM286" s="1069"/>
      <c r="MLN286" s="1069"/>
      <c r="MLO286" s="1069"/>
      <c r="MLP286" s="1069"/>
      <c r="MLQ286" s="1069"/>
      <c r="MLR286" s="1069"/>
      <c r="MLS286" s="1069"/>
      <c r="MLT286" s="1069"/>
      <c r="MLU286" s="1069"/>
      <c r="MLV286" s="1069"/>
      <c r="MLW286" s="1069"/>
      <c r="MLX286" s="1069"/>
      <c r="MLY286" s="1069"/>
      <c r="MLZ286" s="1069"/>
      <c r="MMA286" s="1069"/>
      <c r="MMB286" s="1069"/>
      <c r="MMC286" s="1069"/>
      <c r="MMD286" s="1069"/>
      <c r="MME286" s="1069"/>
      <c r="MMF286" s="1069"/>
      <c r="MMG286" s="1069"/>
      <c r="MMH286" s="1069"/>
      <c r="MMI286" s="1069"/>
      <c r="MMJ286" s="1069"/>
      <c r="MMK286" s="1069"/>
      <c r="MML286" s="1069"/>
      <c r="MMM286" s="1069"/>
      <c r="MMN286" s="1069"/>
      <c r="MMO286" s="1069"/>
      <c r="MMP286" s="1069"/>
      <c r="MMQ286" s="1069"/>
      <c r="MMR286" s="1069"/>
      <c r="MMS286" s="1069"/>
      <c r="MMT286" s="1069"/>
      <c r="MMU286" s="1069"/>
      <c r="MMV286" s="1069"/>
      <c r="MMW286" s="1069"/>
      <c r="MMX286" s="1069"/>
      <c r="MMY286" s="1069"/>
      <c r="MMZ286" s="1069"/>
      <c r="MNA286" s="1069"/>
      <c r="MNB286" s="1069"/>
      <c r="MNC286" s="1069"/>
      <c r="MND286" s="1069"/>
      <c r="MNE286" s="1069"/>
      <c r="MNF286" s="1069"/>
      <c r="MNG286" s="1069"/>
      <c r="MNH286" s="1069"/>
      <c r="MNI286" s="1069"/>
      <c r="MNJ286" s="1069"/>
      <c r="MNK286" s="1069"/>
      <c r="MNL286" s="1069"/>
      <c r="MNM286" s="1069"/>
      <c r="MNN286" s="1069"/>
      <c r="MNO286" s="1069"/>
      <c r="MNP286" s="1069"/>
      <c r="MNQ286" s="1069"/>
      <c r="MNR286" s="1069"/>
      <c r="MNS286" s="1069"/>
      <c r="MNT286" s="1069"/>
      <c r="MNU286" s="1069"/>
      <c r="MNV286" s="1069"/>
      <c r="MNW286" s="1069"/>
      <c r="MNX286" s="1069"/>
      <c r="MNY286" s="1069"/>
      <c r="MNZ286" s="1069"/>
      <c r="MOA286" s="1069"/>
      <c r="MOB286" s="1069"/>
      <c r="MOC286" s="1069"/>
      <c r="MOD286" s="1069"/>
      <c r="MOE286" s="1069"/>
      <c r="MOF286" s="1069"/>
      <c r="MOG286" s="1069"/>
      <c r="MOH286" s="1069"/>
      <c r="MOI286" s="1069"/>
      <c r="MOJ286" s="1069"/>
      <c r="MOK286" s="1069"/>
      <c r="MOL286" s="1069"/>
      <c r="MOM286" s="1069"/>
      <c r="MON286" s="1069"/>
      <c r="MOO286" s="1069"/>
      <c r="MOP286" s="1069"/>
      <c r="MOQ286" s="1069"/>
      <c r="MOR286" s="1069"/>
      <c r="MOS286" s="1069"/>
      <c r="MOT286" s="1069"/>
      <c r="MOU286" s="1069"/>
      <c r="MOV286" s="1069"/>
      <c r="MOW286" s="1069"/>
      <c r="MOX286" s="1069"/>
      <c r="MOY286" s="1069"/>
      <c r="MOZ286" s="1069"/>
      <c r="MPA286" s="1069"/>
      <c r="MPB286" s="1069"/>
      <c r="MPC286" s="1069"/>
      <c r="MPD286" s="1069"/>
      <c r="MPE286" s="1069"/>
      <c r="MPF286" s="1069"/>
      <c r="MPG286" s="1069"/>
      <c r="MPH286" s="1069"/>
      <c r="MPI286" s="1069"/>
      <c r="MPJ286" s="1069"/>
      <c r="MPK286" s="1069"/>
      <c r="MPL286" s="1069"/>
      <c r="MPM286" s="1069"/>
      <c r="MPN286" s="1069"/>
      <c r="MPO286" s="1069"/>
      <c r="MPP286" s="1069"/>
      <c r="MPQ286" s="1069"/>
      <c r="MPR286" s="1069"/>
      <c r="MPS286" s="1069"/>
      <c r="MPT286" s="1069"/>
      <c r="MPU286" s="1069"/>
      <c r="MPV286" s="1069"/>
      <c r="MPW286" s="1069"/>
      <c r="MPX286" s="1069"/>
      <c r="MPY286" s="1069"/>
      <c r="MPZ286" s="1069"/>
      <c r="MQA286" s="1069"/>
      <c r="MQB286" s="1069"/>
      <c r="MQC286" s="1069"/>
      <c r="MQD286" s="1069"/>
      <c r="MQE286" s="1069"/>
      <c r="MQF286" s="1069"/>
      <c r="MQG286" s="1069"/>
      <c r="MQH286" s="1069"/>
      <c r="MQI286" s="1069"/>
      <c r="MQJ286" s="1069"/>
      <c r="MQK286" s="1069"/>
      <c r="MQL286" s="1069"/>
      <c r="MQM286" s="1069"/>
      <c r="MQN286" s="1069"/>
      <c r="MQO286" s="1069"/>
      <c r="MQP286" s="1069"/>
      <c r="MQQ286" s="1069"/>
      <c r="MQR286" s="1069"/>
      <c r="MQS286" s="1069"/>
      <c r="MQT286" s="1069"/>
      <c r="MQU286" s="1069"/>
      <c r="MQV286" s="1069"/>
      <c r="MQW286" s="1069"/>
      <c r="MQX286" s="1069"/>
      <c r="MQY286" s="1069"/>
      <c r="MQZ286" s="1069"/>
      <c r="MRA286" s="1069"/>
      <c r="MRB286" s="1069"/>
      <c r="MRC286" s="1069"/>
      <c r="MRD286" s="1069"/>
      <c r="MRE286" s="1069"/>
      <c r="MRF286" s="1069"/>
      <c r="MRG286" s="1069"/>
      <c r="MRH286" s="1069"/>
      <c r="MRI286" s="1069"/>
      <c r="MRJ286" s="1069"/>
      <c r="MRK286" s="1069"/>
      <c r="MRL286" s="1069"/>
      <c r="MRM286" s="1069"/>
      <c r="MRN286" s="1069"/>
      <c r="MRO286" s="1069"/>
      <c r="MRP286" s="1069"/>
      <c r="MRQ286" s="1069"/>
      <c r="MRR286" s="1069"/>
      <c r="MRS286" s="1069"/>
      <c r="MRT286" s="1069"/>
      <c r="MRU286" s="1069"/>
      <c r="MRV286" s="1069"/>
      <c r="MRW286" s="1069"/>
      <c r="MRX286" s="1069"/>
      <c r="MRY286" s="1069"/>
      <c r="MRZ286" s="1069"/>
      <c r="MSA286" s="1069"/>
      <c r="MSB286" s="1069"/>
      <c r="MSC286" s="1069"/>
      <c r="MSD286" s="1069"/>
      <c r="MSE286" s="1069"/>
      <c r="MSF286" s="1069"/>
      <c r="MSG286" s="1069"/>
      <c r="MSH286" s="1069"/>
      <c r="MSI286" s="1069"/>
      <c r="MSJ286" s="1069"/>
      <c r="MSK286" s="1069"/>
      <c r="MSL286" s="1069"/>
      <c r="MSM286" s="1069"/>
      <c r="MSN286" s="1069"/>
      <c r="MSO286" s="1069"/>
      <c r="MSP286" s="1069"/>
      <c r="MSQ286" s="1069"/>
      <c r="MSR286" s="1069"/>
      <c r="MSS286" s="1069"/>
      <c r="MST286" s="1069"/>
      <c r="MSU286" s="1069"/>
      <c r="MSV286" s="1069"/>
      <c r="MSW286" s="1069"/>
      <c r="MSX286" s="1069"/>
      <c r="MSY286" s="1069"/>
      <c r="MSZ286" s="1069"/>
      <c r="MTA286" s="1069"/>
      <c r="MTB286" s="1069"/>
      <c r="MTC286" s="1069"/>
      <c r="MTD286" s="1069"/>
      <c r="MTE286" s="1069"/>
      <c r="MTF286" s="1069"/>
      <c r="MTG286" s="1069"/>
      <c r="MTH286" s="1069"/>
      <c r="MTI286" s="1069"/>
      <c r="MTJ286" s="1069"/>
      <c r="MTK286" s="1069"/>
      <c r="MTL286" s="1069"/>
      <c r="MTM286" s="1069"/>
      <c r="MTN286" s="1069"/>
      <c r="MTO286" s="1069"/>
      <c r="MTP286" s="1069"/>
      <c r="MTQ286" s="1069"/>
      <c r="MTR286" s="1069"/>
      <c r="MTS286" s="1069"/>
      <c r="MTT286" s="1069"/>
      <c r="MTU286" s="1069"/>
      <c r="MTV286" s="1069"/>
      <c r="MTW286" s="1069"/>
      <c r="MTX286" s="1069"/>
      <c r="MTY286" s="1069"/>
      <c r="MTZ286" s="1069"/>
      <c r="MUA286" s="1069"/>
      <c r="MUB286" s="1069"/>
      <c r="MUC286" s="1069"/>
      <c r="MUD286" s="1069"/>
      <c r="MUE286" s="1069"/>
      <c r="MUF286" s="1069"/>
      <c r="MUG286" s="1069"/>
      <c r="MUH286" s="1069"/>
      <c r="MUI286" s="1069"/>
      <c r="MUJ286" s="1069"/>
      <c r="MUK286" s="1069"/>
      <c r="MUL286" s="1069"/>
      <c r="MUM286" s="1069"/>
      <c r="MUN286" s="1069"/>
      <c r="MUO286" s="1069"/>
      <c r="MUP286" s="1069"/>
      <c r="MUQ286" s="1069"/>
      <c r="MUR286" s="1069"/>
      <c r="MUS286" s="1069"/>
      <c r="MUT286" s="1069"/>
      <c r="MUU286" s="1069"/>
      <c r="MUV286" s="1069"/>
      <c r="MUW286" s="1069"/>
      <c r="MUX286" s="1069"/>
      <c r="MUY286" s="1069"/>
      <c r="MUZ286" s="1069"/>
      <c r="MVA286" s="1069"/>
      <c r="MVB286" s="1069"/>
      <c r="MVC286" s="1069"/>
      <c r="MVD286" s="1069"/>
      <c r="MVE286" s="1069"/>
      <c r="MVF286" s="1069"/>
      <c r="MVG286" s="1069"/>
      <c r="MVH286" s="1069"/>
      <c r="MVI286" s="1069"/>
      <c r="MVJ286" s="1069"/>
      <c r="MVK286" s="1069"/>
      <c r="MVL286" s="1069"/>
      <c r="MVM286" s="1069"/>
      <c r="MVN286" s="1069"/>
      <c r="MVO286" s="1069"/>
      <c r="MVP286" s="1069"/>
      <c r="MVQ286" s="1069"/>
      <c r="MVR286" s="1069"/>
      <c r="MVS286" s="1069"/>
      <c r="MVT286" s="1069"/>
      <c r="MVU286" s="1069"/>
      <c r="MVV286" s="1069"/>
      <c r="MVW286" s="1069"/>
      <c r="MVX286" s="1069"/>
      <c r="MVY286" s="1069"/>
      <c r="MVZ286" s="1069"/>
      <c r="MWA286" s="1069"/>
      <c r="MWB286" s="1069"/>
      <c r="MWC286" s="1069"/>
      <c r="MWD286" s="1069"/>
      <c r="MWE286" s="1069"/>
      <c r="MWF286" s="1069"/>
      <c r="MWG286" s="1069"/>
      <c r="MWH286" s="1069"/>
      <c r="MWI286" s="1069"/>
      <c r="MWJ286" s="1069"/>
      <c r="MWK286" s="1069"/>
      <c r="MWL286" s="1069"/>
      <c r="MWM286" s="1069"/>
      <c r="MWN286" s="1069"/>
      <c r="MWO286" s="1069"/>
      <c r="MWP286" s="1069"/>
      <c r="MWQ286" s="1069"/>
      <c r="MWR286" s="1069"/>
      <c r="MWS286" s="1069"/>
      <c r="MWT286" s="1069"/>
      <c r="MWU286" s="1069"/>
      <c r="MWV286" s="1069"/>
      <c r="MWW286" s="1069"/>
      <c r="MWX286" s="1069"/>
      <c r="MWY286" s="1069"/>
      <c r="MWZ286" s="1069"/>
      <c r="MXA286" s="1069"/>
      <c r="MXB286" s="1069"/>
      <c r="MXC286" s="1069"/>
      <c r="MXD286" s="1069"/>
      <c r="MXE286" s="1069"/>
      <c r="MXF286" s="1069"/>
      <c r="MXG286" s="1069"/>
      <c r="MXH286" s="1069"/>
      <c r="MXI286" s="1069"/>
      <c r="MXJ286" s="1069"/>
      <c r="MXK286" s="1069"/>
      <c r="MXL286" s="1069"/>
      <c r="MXM286" s="1069"/>
      <c r="MXN286" s="1069"/>
      <c r="MXO286" s="1069"/>
      <c r="MXP286" s="1069"/>
      <c r="MXQ286" s="1069"/>
      <c r="MXR286" s="1069"/>
      <c r="MXS286" s="1069"/>
      <c r="MXT286" s="1069"/>
      <c r="MXU286" s="1069"/>
      <c r="MXV286" s="1069"/>
      <c r="MXW286" s="1069"/>
      <c r="MXX286" s="1069"/>
      <c r="MXY286" s="1069"/>
      <c r="MXZ286" s="1069"/>
      <c r="MYA286" s="1069"/>
      <c r="MYB286" s="1069"/>
      <c r="MYC286" s="1069"/>
      <c r="MYD286" s="1069"/>
      <c r="MYE286" s="1069"/>
      <c r="MYF286" s="1069"/>
      <c r="MYG286" s="1069"/>
      <c r="MYH286" s="1069"/>
      <c r="MYI286" s="1069"/>
      <c r="MYJ286" s="1069"/>
      <c r="MYK286" s="1069"/>
      <c r="MYL286" s="1069"/>
      <c r="MYM286" s="1069"/>
      <c r="MYN286" s="1069"/>
      <c r="MYO286" s="1069"/>
      <c r="MYP286" s="1069"/>
      <c r="MYQ286" s="1069"/>
      <c r="MYR286" s="1069"/>
      <c r="MYS286" s="1069"/>
      <c r="MYT286" s="1069"/>
      <c r="MYU286" s="1069"/>
      <c r="MYV286" s="1069"/>
      <c r="MYW286" s="1069"/>
      <c r="MYX286" s="1069"/>
      <c r="MYY286" s="1069"/>
      <c r="MYZ286" s="1069"/>
      <c r="MZA286" s="1069"/>
      <c r="MZB286" s="1069"/>
      <c r="MZC286" s="1069"/>
      <c r="MZD286" s="1069"/>
      <c r="MZE286" s="1069"/>
      <c r="MZF286" s="1069"/>
      <c r="MZG286" s="1069"/>
      <c r="MZH286" s="1069"/>
      <c r="MZI286" s="1069"/>
      <c r="MZJ286" s="1069"/>
      <c r="MZK286" s="1069"/>
      <c r="MZL286" s="1069"/>
      <c r="MZM286" s="1069"/>
      <c r="MZN286" s="1069"/>
      <c r="MZO286" s="1069"/>
      <c r="MZP286" s="1069"/>
      <c r="MZQ286" s="1069"/>
      <c r="MZR286" s="1069"/>
      <c r="MZS286" s="1069"/>
      <c r="MZT286" s="1069"/>
      <c r="MZU286" s="1069"/>
      <c r="MZV286" s="1069"/>
      <c r="MZW286" s="1069"/>
      <c r="MZX286" s="1069"/>
      <c r="MZY286" s="1069"/>
      <c r="MZZ286" s="1069"/>
      <c r="NAA286" s="1069"/>
      <c r="NAB286" s="1069"/>
      <c r="NAC286" s="1069"/>
      <c r="NAD286" s="1069"/>
      <c r="NAE286" s="1069"/>
      <c r="NAF286" s="1069"/>
      <c r="NAG286" s="1069"/>
      <c r="NAH286" s="1069"/>
      <c r="NAI286" s="1069"/>
      <c r="NAJ286" s="1069"/>
      <c r="NAK286" s="1069"/>
      <c r="NAL286" s="1069"/>
      <c r="NAM286" s="1069"/>
      <c r="NAN286" s="1069"/>
      <c r="NAO286" s="1069"/>
      <c r="NAP286" s="1069"/>
      <c r="NAQ286" s="1069"/>
      <c r="NAR286" s="1069"/>
      <c r="NAS286" s="1069"/>
      <c r="NAT286" s="1069"/>
      <c r="NAU286" s="1069"/>
      <c r="NAV286" s="1069"/>
      <c r="NAW286" s="1069"/>
      <c r="NAX286" s="1069"/>
      <c r="NAY286" s="1069"/>
      <c r="NAZ286" s="1069"/>
      <c r="NBA286" s="1069"/>
      <c r="NBB286" s="1069"/>
      <c r="NBC286" s="1069"/>
      <c r="NBD286" s="1069"/>
      <c r="NBE286" s="1069"/>
      <c r="NBF286" s="1069"/>
      <c r="NBG286" s="1069"/>
      <c r="NBH286" s="1069"/>
      <c r="NBI286" s="1069"/>
      <c r="NBJ286" s="1069"/>
      <c r="NBK286" s="1069"/>
      <c r="NBL286" s="1069"/>
      <c r="NBM286" s="1069"/>
      <c r="NBN286" s="1069"/>
      <c r="NBO286" s="1069"/>
      <c r="NBP286" s="1069"/>
      <c r="NBQ286" s="1069"/>
      <c r="NBR286" s="1069"/>
      <c r="NBS286" s="1069"/>
      <c r="NBT286" s="1069"/>
      <c r="NBU286" s="1069"/>
      <c r="NBV286" s="1069"/>
      <c r="NBW286" s="1069"/>
      <c r="NBX286" s="1069"/>
      <c r="NBY286" s="1069"/>
      <c r="NBZ286" s="1069"/>
      <c r="NCA286" s="1069"/>
      <c r="NCB286" s="1069"/>
      <c r="NCC286" s="1069"/>
      <c r="NCD286" s="1069"/>
      <c r="NCE286" s="1069"/>
      <c r="NCF286" s="1069"/>
      <c r="NCG286" s="1069"/>
      <c r="NCH286" s="1069"/>
      <c r="NCI286" s="1069"/>
      <c r="NCJ286" s="1069"/>
      <c r="NCK286" s="1069"/>
      <c r="NCL286" s="1069"/>
      <c r="NCM286" s="1069"/>
      <c r="NCN286" s="1069"/>
      <c r="NCO286" s="1069"/>
      <c r="NCP286" s="1069"/>
      <c r="NCQ286" s="1069"/>
      <c r="NCR286" s="1069"/>
      <c r="NCS286" s="1069"/>
      <c r="NCT286" s="1069"/>
      <c r="NCU286" s="1069"/>
      <c r="NCV286" s="1069"/>
      <c r="NCW286" s="1069"/>
      <c r="NCX286" s="1069"/>
      <c r="NCY286" s="1069"/>
      <c r="NCZ286" s="1069"/>
      <c r="NDA286" s="1069"/>
      <c r="NDB286" s="1069"/>
      <c r="NDC286" s="1069"/>
      <c r="NDD286" s="1069"/>
      <c r="NDE286" s="1069"/>
      <c r="NDF286" s="1069"/>
      <c r="NDG286" s="1069"/>
      <c r="NDH286" s="1069"/>
      <c r="NDI286" s="1069"/>
      <c r="NDJ286" s="1069"/>
      <c r="NDK286" s="1069"/>
      <c r="NDL286" s="1069"/>
      <c r="NDM286" s="1069"/>
      <c r="NDN286" s="1069"/>
      <c r="NDO286" s="1069"/>
      <c r="NDP286" s="1069"/>
      <c r="NDQ286" s="1069"/>
      <c r="NDR286" s="1069"/>
      <c r="NDS286" s="1069"/>
      <c r="NDT286" s="1069"/>
      <c r="NDU286" s="1069"/>
      <c r="NDV286" s="1069"/>
      <c r="NDW286" s="1069"/>
      <c r="NDX286" s="1069"/>
      <c r="NDY286" s="1069"/>
      <c r="NDZ286" s="1069"/>
      <c r="NEA286" s="1069"/>
      <c r="NEB286" s="1069"/>
      <c r="NEC286" s="1069"/>
      <c r="NED286" s="1069"/>
      <c r="NEE286" s="1069"/>
      <c r="NEF286" s="1069"/>
      <c r="NEG286" s="1069"/>
      <c r="NEH286" s="1069"/>
      <c r="NEI286" s="1069"/>
      <c r="NEJ286" s="1069"/>
      <c r="NEK286" s="1069"/>
      <c r="NEL286" s="1069"/>
      <c r="NEM286" s="1069"/>
      <c r="NEN286" s="1069"/>
      <c r="NEO286" s="1069"/>
      <c r="NEP286" s="1069"/>
      <c r="NEQ286" s="1069"/>
      <c r="NER286" s="1069"/>
      <c r="NES286" s="1069"/>
      <c r="NET286" s="1069"/>
      <c r="NEU286" s="1069"/>
      <c r="NEV286" s="1069"/>
      <c r="NEW286" s="1069"/>
      <c r="NEX286" s="1069"/>
      <c r="NEY286" s="1069"/>
      <c r="NEZ286" s="1069"/>
      <c r="NFA286" s="1069"/>
      <c r="NFB286" s="1069"/>
      <c r="NFC286" s="1069"/>
      <c r="NFD286" s="1069"/>
      <c r="NFE286" s="1069"/>
      <c r="NFF286" s="1069"/>
      <c r="NFG286" s="1069"/>
      <c r="NFH286" s="1069"/>
      <c r="NFI286" s="1069"/>
      <c r="NFJ286" s="1069"/>
      <c r="NFK286" s="1069"/>
      <c r="NFL286" s="1069"/>
      <c r="NFM286" s="1069"/>
      <c r="NFN286" s="1069"/>
      <c r="NFO286" s="1069"/>
      <c r="NFP286" s="1069"/>
      <c r="NFQ286" s="1069"/>
      <c r="NFR286" s="1069"/>
      <c r="NFS286" s="1069"/>
      <c r="NFT286" s="1069"/>
      <c r="NFU286" s="1069"/>
      <c r="NFV286" s="1069"/>
      <c r="NFW286" s="1069"/>
      <c r="NFX286" s="1069"/>
      <c r="NFY286" s="1069"/>
      <c r="NFZ286" s="1069"/>
      <c r="NGA286" s="1069"/>
      <c r="NGB286" s="1069"/>
      <c r="NGC286" s="1069"/>
      <c r="NGD286" s="1069"/>
      <c r="NGE286" s="1069"/>
      <c r="NGF286" s="1069"/>
      <c r="NGG286" s="1069"/>
      <c r="NGH286" s="1069"/>
      <c r="NGI286" s="1069"/>
      <c r="NGJ286" s="1069"/>
      <c r="NGK286" s="1069"/>
      <c r="NGL286" s="1069"/>
      <c r="NGM286" s="1069"/>
      <c r="NGN286" s="1069"/>
      <c r="NGO286" s="1069"/>
      <c r="NGP286" s="1069"/>
      <c r="NGQ286" s="1069"/>
      <c r="NGR286" s="1069"/>
      <c r="NGS286" s="1069"/>
      <c r="NGT286" s="1069"/>
      <c r="NGU286" s="1069"/>
      <c r="NGV286" s="1069"/>
      <c r="NGW286" s="1069"/>
      <c r="NGX286" s="1069"/>
      <c r="NGY286" s="1069"/>
      <c r="NGZ286" s="1069"/>
      <c r="NHA286" s="1069"/>
      <c r="NHB286" s="1069"/>
      <c r="NHC286" s="1069"/>
      <c r="NHD286" s="1069"/>
      <c r="NHE286" s="1069"/>
      <c r="NHF286" s="1069"/>
      <c r="NHG286" s="1069"/>
      <c r="NHH286" s="1069"/>
      <c r="NHI286" s="1069"/>
      <c r="NHJ286" s="1069"/>
      <c r="NHK286" s="1069"/>
      <c r="NHL286" s="1069"/>
      <c r="NHM286" s="1069"/>
      <c r="NHN286" s="1069"/>
      <c r="NHO286" s="1069"/>
      <c r="NHP286" s="1069"/>
      <c r="NHQ286" s="1069"/>
      <c r="NHR286" s="1069"/>
      <c r="NHS286" s="1069"/>
      <c r="NHT286" s="1069"/>
      <c r="NHU286" s="1069"/>
      <c r="NHV286" s="1069"/>
      <c r="NHW286" s="1069"/>
      <c r="NHX286" s="1069"/>
      <c r="NHY286" s="1069"/>
      <c r="NHZ286" s="1069"/>
      <c r="NIA286" s="1069"/>
      <c r="NIB286" s="1069"/>
      <c r="NIC286" s="1069"/>
      <c r="NID286" s="1069"/>
      <c r="NIE286" s="1069"/>
      <c r="NIF286" s="1069"/>
      <c r="NIG286" s="1069"/>
      <c r="NIH286" s="1069"/>
      <c r="NII286" s="1069"/>
      <c r="NIJ286" s="1069"/>
      <c r="NIK286" s="1069"/>
      <c r="NIL286" s="1069"/>
      <c r="NIM286" s="1069"/>
      <c r="NIN286" s="1069"/>
      <c r="NIO286" s="1069"/>
      <c r="NIP286" s="1069"/>
      <c r="NIQ286" s="1069"/>
      <c r="NIR286" s="1069"/>
      <c r="NIS286" s="1069"/>
      <c r="NIT286" s="1069"/>
      <c r="NIU286" s="1069"/>
      <c r="NIV286" s="1069"/>
      <c r="NIW286" s="1069"/>
      <c r="NIX286" s="1069"/>
      <c r="NIY286" s="1069"/>
      <c r="NIZ286" s="1069"/>
      <c r="NJA286" s="1069"/>
      <c r="NJB286" s="1069"/>
      <c r="NJC286" s="1069"/>
      <c r="NJD286" s="1069"/>
      <c r="NJE286" s="1069"/>
      <c r="NJF286" s="1069"/>
      <c r="NJG286" s="1069"/>
      <c r="NJH286" s="1069"/>
      <c r="NJI286" s="1069"/>
      <c r="NJJ286" s="1069"/>
      <c r="NJK286" s="1069"/>
      <c r="NJL286" s="1069"/>
      <c r="NJM286" s="1069"/>
      <c r="NJN286" s="1069"/>
      <c r="NJO286" s="1069"/>
      <c r="NJP286" s="1069"/>
      <c r="NJQ286" s="1069"/>
      <c r="NJR286" s="1069"/>
      <c r="NJS286" s="1069"/>
      <c r="NJT286" s="1069"/>
      <c r="NJU286" s="1069"/>
      <c r="NJV286" s="1069"/>
      <c r="NJW286" s="1069"/>
      <c r="NJX286" s="1069"/>
      <c r="NJY286" s="1069"/>
      <c r="NJZ286" s="1069"/>
      <c r="NKA286" s="1069"/>
      <c r="NKB286" s="1069"/>
      <c r="NKC286" s="1069"/>
      <c r="NKD286" s="1069"/>
      <c r="NKE286" s="1069"/>
      <c r="NKF286" s="1069"/>
      <c r="NKG286" s="1069"/>
      <c r="NKH286" s="1069"/>
      <c r="NKI286" s="1069"/>
      <c r="NKJ286" s="1069"/>
      <c r="NKK286" s="1069"/>
      <c r="NKL286" s="1069"/>
      <c r="NKM286" s="1069"/>
      <c r="NKN286" s="1069"/>
      <c r="NKO286" s="1069"/>
      <c r="NKP286" s="1069"/>
      <c r="NKQ286" s="1069"/>
      <c r="NKR286" s="1069"/>
      <c r="NKS286" s="1069"/>
      <c r="NKT286" s="1069"/>
      <c r="NKU286" s="1069"/>
      <c r="NKV286" s="1069"/>
      <c r="NKW286" s="1069"/>
      <c r="NKX286" s="1069"/>
      <c r="NKY286" s="1069"/>
      <c r="NKZ286" s="1069"/>
      <c r="NLA286" s="1069"/>
      <c r="NLB286" s="1069"/>
      <c r="NLC286" s="1069"/>
      <c r="NLD286" s="1069"/>
      <c r="NLE286" s="1069"/>
      <c r="NLF286" s="1069"/>
      <c r="NLG286" s="1069"/>
      <c r="NLH286" s="1069"/>
      <c r="NLI286" s="1069"/>
      <c r="NLJ286" s="1069"/>
      <c r="NLK286" s="1069"/>
      <c r="NLL286" s="1069"/>
      <c r="NLM286" s="1069"/>
      <c r="NLN286" s="1069"/>
      <c r="NLO286" s="1069"/>
      <c r="NLP286" s="1069"/>
      <c r="NLQ286" s="1069"/>
      <c r="NLR286" s="1069"/>
      <c r="NLS286" s="1069"/>
      <c r="NLT286" s="1069"/>
      <c r="NLU286" s="1069"/>
      <c r="NLV286" s="1069"/>
      <c r="NLW286" s="1069"/>
      <c r="NLX286" s="1069"/>
      <c r="NLY286" s="1069"/>
      <c r="NLZ286" s="1069"/>
      <c r="NMA286" s="1069"/>
      <c r="NMB286" s="1069"/>
      <c r="NMC286" s="1069"/>
      <c r="NMD286" s="1069"/>
      <c r="NME286" s="1069"/>
      <c r="NMF286" s="1069"/>
      <c r="NMG286" s="1069"/>
      <c r="NMH286" s="1069"/>
      <c r="NMI286" s="1069"/>
      <c r="NMJ286" s="1069"/>
      <c r="NMK286" s="1069"/>
      <c r="NML286" s="1069"/>
      <c r="NMM286" s="1069"/>
      <c r="NMN286" s="1069"/>
      <c r="NMO286" s="1069"/>
      <c r="NMP286" s="1069"/>
      <c r="NMQ286" s="1069"/>
      <c r="NMR286" s="1069"/>
      <c r="NMS286" s="1069"/>
      <c r="NMT286" s="1069"/>
      <c r="NMU286" s="1069"/>
      <c r="NMV286" s="1069"/>
      <c r="NMW286" s="1069"/>
      <c r="NMX286" s="1069"/>
      <c r="NMY286" s="1069"/>
      <c r="NMZ286" s="1069"/>
      <c r="NNA286" s="1069"/>
      <c r="NNB286" s="1069"/>
      <c r="NNC286" s="1069"/>
      <c r="NND286" s="1069"/>
      <c r="NNE286" s="1069"/>
      <c r="NNF286" s="1069"/>
      <c r="NNG286" s="1069"/>
      <c r="NNH286" s="1069"/>
      <c r="NNI286" s="1069"/>
      <c r="NNJ286" s="1069"/>
      <c r="NNK286" s="1069"/>
      <c r="NNL286" s="1069"/>
      <c r="NNM286" s="1069"/>
      <c r="NNN286" s="1069"/>
      <c r="NNO286" s="1069"/>
      <c r="NNP286" s="1069"/>
      <c r="NNQ286" s="1069"/>
      <c r="NNR286" s="1069"/>
      <c r="NNS286" s="1069"/>
      <c r="NNT286" s="1069"/>
      <c r="NNU286" s="1069"/>
      <c r="NNV286" s="1069"/>
      <c r="NNW286" s="1069"/>
      <c r="NNX286" s="1069"/>
      <c r="NNY286" s="1069"/>
      <c r="NNZ286" s="1069"/>
      <c r="NOA286" s="1069"/>
      <c r="NOB286" s="1069"/>
      <c r="NOC286" s="1069"/>
      <c r="NOD286" s="1069"/>
      <c r="NOE286" s="1069"/>
      <c r="NOF286" s="1069"/>
      <c r="NOG286" s="1069"/>
      <c r="NOH286" s="1069"/>
      <c r="NOI286" s="1069"/>
      <c r="NOJ286" s="1069"/>
      <c r="NOK286" s="1069"/>
      <c r="NOL286" s="1069"/>
      <c r="NOM286" s="1069"/>
      <c r="NON286" s="1069"/>
      <c r="NOO286" s="1069"/>
      <c r="NOP286" s="1069"/>
      <c r="NOQ286" s="1069"/>
      <c r="NOR286" s="1069"/>
      <c r="NOS286" s="1069"/>
      <c r="NOT286" s="1069"/>
      <c r="NOU286" s="1069"/>
      <c r="NOV286" s="1069"/>
      <c r="NOW286" s="1069"/>
      <c r="NOX286" s="1069"/>
      <c r="NOY286" s="1069"/>
      <c r="NOZ286" s="1069"/>
      <c r="NPA286" s="1069"/>
      <c r="NPB286" s="1069"/>
      <c r="NPC286" s="1069"/>
      <c r="NPD286" s="1069"/>
      <c r="NPE286" s="1069"/>
      <c r="NPF286" s="1069"/>
      <c r="NPG286" s="1069"/>
      <c r="NPH286" s="1069"/>
      <c r="NPI286" s="1069"/>
      <c r="NPJ286" s="1069"/>
      <c r="NPK286" s="1069"/>
      <c r="NPL286" s="1069"/>
      <c r="NPM286" s="1069"/>
      <c r="NPN286" s="1069"/>
      <c r="NPO286" s="1069"/>
      <c r="NPP286" s="1069"/>
      <c r="NPQ286" s="1069"/>
      <c r="NPR286" s="1069"/>
      <c r="NPS286" s="1069"/>
      <c r="NPT286" s="1069"/>
      <c r="NPU286" s="1069"/>
      <c r="NPV286" s="1069"/>
      <c r="NPW286" s="1069"/>
      <c r="NPX286" s="1069"/>
      <c r="NPY286" s="1069"/>
      <c r="NPZ286" s="1069"/>
      <c r="NQA286" s="1069"/>
      <c r="NQB286" s="1069"/>
      <c r="NQC286" s="1069"/>
      <c r="NQD286" s="1069"/>
      <c r="NQE286" s="1069"/>
      <c r="NQF286" s="1069"/>
      <c r="NQG286" s="1069"/>
      <c r="NQH286" s="1069"/>
      <c r="NQI286" s="1069"/>
      <c r="NQJ286" s="1069"/>
      <c r="NQK286" s="1069"/>
      <c r="NQL286" s="1069"/>
      <c r="NQM286" s="1069"/>
      <c r="NQN286" s="1069"/>
      <c r="NQO286" s="1069"/>
      <c r="NQP286" s="1069"/>
      <c r="NQQ286" s="1069"/>
      <c r="NQR286" s="1069"/>
      <c r="NQS286" s="1069"/>
      <c r="NQT286" s="1069"/>
      <c r="NQU286" s="1069"/>
      <c r="NQV286" s="1069"/>
      <c r="NQW286" s="1069"/>
      <c r="NQX286" s="1069"/>
      <c r="NQY286" s="1069"/>
      <c r="NQZ286" s="1069"/>
      <c r="NRA286" s="1069"/>
      <c r="NRB286" s="1069"/>
      <c r="NRC286" s="1069"/>
      <c r="NRD286" s="1069"/>
      <c r="NRE286" s="1069"/>
      <c r="NRF286" s="1069"/>
      <c r="NRG286" s="1069"/>
      <c r="NRH286" s="1069"/>
      <c r="NRI286" s="1069"/>
      <c r="NRJ286" s="1069"/>
      <c r="NRK286" s="1069"/>
      <c r="NRL286" s="1069"/>
      <c r="NRM286" s="1069"/>
      <c r="NRN286" s="1069"/>
      <c r="NRO286" s="1069"/>
      <c r="NRP286" s="1069"/>
      <c r="NRQ286" s="1069"/>
      <c r="NRR286" s="1069"/>
      <c r="NRS286" s="1069"/>
      <c r="NRT286" s="1069"/>
      <c r="NRU286" s="1069"/>
      <c r="NRV286" s="1069"/>
      <c r="NRW286" s="1069"/>
      <c r="NRX286" s="1069"/>
      <c r="NRY286" s="1069"/>
      <c r="NRZ286" s="1069"/>
      <c r="NSA286" s="1069"/>
      <c r="NSB286" s="1069"/>
      <c r="NSC286" s="1069"/>
      <c r="NSD286" s="1069"/>
      <c r="NSE286" s="1069"/>
      <c r="NSF286" s="1069"/>
      <c r="NSG286" s="1069"/>
      <c r="NSH286" s="1069"/>
      <c r="NSI286" s="1069"/>
      <c r="NSJ286" s="1069"/>
      <c r="NSK286" s="1069"/>
      <c r="NSL286" s="1069"/>
      <c r="NSM286" s="1069"/>
      <c r="NSN286" s="1069"/>
      <c r="NSO286" s="1069"/>
      <c r="NSP286" s="1069"/>
      <c r="NSQ286" s="1069"/>
      <c r="NSR286" s="1069"/>
      <c r="NSS286" s="1069"/>
      <c r="NST286" s="1069"/>
      <c r="NSU286" s="1069"/>
      <c r="NSV286" s="1069"/>
      <c r="NSW286" s="1069"/>
      <c r="NSX286" s="1069"/>
      <c r="NSY286" s="1069"/>
      <c r="NSZ286" s="1069"/>
      <c r="NTA286" s="1069"/>
      <c r="NTB286" s="1069"/>
      <c r="NTC286" s="1069"/>
      <c r="NTD286" s="1069"/>
      <c r="NTE286" s="1069"/>
      <c r="NTF286" s="1069"/>
      <c r="NTG286" s="1069"/>
      <c r="NTH286" s="1069"/>
      <c r="NTI286" s="1069"/>
      <c r="NTJ286" s="1069"/>
      <c r="NTK286" s="1069"/>
      <c r="NTL286" s="1069"/>
      <c r="NTM286" s="1069"/>
      <c r="NTN286" s="1069"/>
      <c r="NTO286" s="1069"/>
      <c r="NTP286" s="1069"/>
      <c r="NTQ286" s="1069"/>
      <c r="NTR286" s="1069"/>
      <c r="NTS286" s="1069"/>
      <c r="NTT286" s="1069"/>
      <c r="NTU286" s="1069"/>
      <c r="NTV286" s="1069"/>
      <c r="NTW286" s="1069"/>
      <c r="NTX286" s="1069"/>
      <c r="NTY286" s="1069"/>
      <c r="NTZ286" s="1069"/>
      <c r="NUA286" s="1069"/>
      <c r="NUB286" s="1069"/>
      <c r="NUC286" s="1069"/>
      <c r="NUD286" s="1069"/>
      <c r="NUE286" s="1069"/>
      <c r="NUF286" s="1069"/>
      <c r="NUG286" s="1069"/>
      <c r="NUH286" s="1069"/>
      <c r="NUI286" s="1069"/>
      <c r="NUJ286" s="1069"/>
      <c r="NUK286" s="1069"/>
      <c r="NUL286" s="1069"/>
      <c r="NUM286" s="1069"/>
      <c r="NUN286" s="1069"/>
      <c r="NUO286" s="1069"/>
      <c r="NUP286" s="1069"/>
      <c r="NUQ286" s="1069"/>
      <c r="NUR286" s="1069"/>
      <c r="NUS286" s="1069"/>
      <c r="NUT286" s="1069"/>
      <c r="NUU286" s="1069"/>
      <c r="NUV286" s="1069"/>
      <c r="NUW286" s="1069"/>
      <c r="NUX286" s="1069"/>
      <c r="NUY286" s="1069"/>
      <c r="NUZ286" s="1069"/>
      <c r="NVA286" s="1069"/>
      <c r="NVB286" s="1069"/>
      <c r="NVC286" s="1069"/>
      <c r="NVD286" s="1069"/>
      <c r="NVE286" s="1069"/>
      <c r="NVF286" s="1069"/>
      <c r="NVG286" s="1069"/>
      <c r="NVH286" s="1069"/>
      <c r="NVI286" s="1069"/>
      <c r="NVJ286" s="1069"/>
      <c r="NVK286" s="1069"/>
      <c r="NVL286" s="1069"/>
      <c r="NVM286" s="1069"/>
      <c r="NVN286" s="1069"/>
      <c r="NVO286" s="1069"/>
      <c r="NVP286" s="1069"/>
      <c r="NVQ286" s="1069"/>
      <c r="NVR286" s="1069"/>
      <c r="NVS286" s="1069"/>
      <c r="NVT286" s="1069"/>
      <c r="NVU286" s="1069"/>
      <c r="NVV286" s="1069"/>
      <c r="NVW286" s="1069"/>
      <c r="NVX286" s="1069"/>
      <c r="NVY286" s="1069"/>
      <c r="NVZ286" s="1069"/>
      <c r="NWA286" s="1069"/>
      <c r="NWB286" s="1069"/>
      <c r="NWC286" s="1069"/>
      <c r="NWD286" s="1069"/>
      <c r="NWE286" s="1069"/>
      <c r="NWF286" s="1069"/>
      <c r="NWG286" s="1069"/>
      <c r="NWH286" s="1069"/>
      <c r="NWI286" s="1069"/>
      <c r="NWJ286" s="1069"/>
      <c r="NWK286" s="1069"/>
      <c r="NWL286" s="1069"/>
      <c r="NWM286" s="1069"/>
      <c r="NWN286" s="1069"/>
      <c r="NWO286" s="1069"/>
      <c r="NWP286" s="1069"/>
      <c r="NWQ286" s="1069"/>
      <c r="NWR286" s="1069"/>
      <c r="NWS286" s="1069"/>
      <c r="NWT286" s="1069"/>
      <c r="NWU286" s="1069"/>
      <c r="NWV286" s="1069"/>
      <c r="NWW286" s="1069"/>
      <c r="NWX286" s="1069"/>
      <c r="NWY286" s="1069"/>
      <c r="NWZ286" s="1069"/>
      <c r="NXA286" s="1069"/>
      <c r="NXB286" s="1069"/>
      <c r="NXC286" s="1069"/>
      <c r="NXD286" s="1069"/>
      <c r="NXE286" s="1069"/>
      <c r="NXF286" s="1069"/>
      <c r="NXG286" s="1069"/>
      <c r="NXH286" s="1069"/>
      <c r="NXI286" s="1069"/>
      <c r="NXJ286" s="1069"/>
      <c r="NXK286" s="1069"/>
      <c r="NXL286" s="1069"/>
      <c r="NXM286" s="1069"/>
      <c r="NXN286" s="1069"/>
      <c r="NXO286" s="1069"/>
      <c r="NXP286" s="1069"/>
      <c r="NXQ286" s="1069"/>
      <c r="NXR286" s="1069"/>
      <c r="NXS286" s="1069"/>
      <c r="NXT286" s="1069"/>
      <c r="NXU286" s="1069"/>
      <c r="NXV286" s="1069"/>
      <c r="NXW286" s="1069"/>
      <c r="NXX286" s="1069"/>
      <c r="NXY286" s="1069"/>
      <c r="NXZ286" s="1069"/>
      <c r="NYA286" s="1069"/>
      <c r="NYB286" s="1069"/>
      <c r="NYC286" s="1069"/>
      <c r="NYD286" s="1069"/>
      <c r="NYE286" s="1069"/>
      <c r="NYF286" s="1069"/>
      <c r="NYG286" s="1069"/>
      <c r="NYH286" s="1069"/>
      <c r="NYI286" s="1069"/>
      <c r="NYJ286" s="1069"/>
      <c r="NYK286" s="1069"/>
      <c r="NYL286" s="1069"/>
      <c r="NYM286" s="1069"/>
      <c r="NYN286" s="1069"/>
      <c r="NYO286" s="1069"/>
      <c r="NYP286" s="1069"/>
      <c r="NYQ286" s="1069"/>
      <c r="NYR286" s="1069"/>
      <c r="NYS286" s="1069"/>
      <c r="NYT286" s="1069"/>
      <c r="NYU286" s="1069"/>
      <c r="NYV286" s="1069"/>
      <c r="NYW286" s="1069"/>
      <c r="NYX286" s="1069"/>
      <c r="NYY286" s="1069"/>
      <c r="NYZ286" s="1069"/>
      <c r="NZA286" s="1069"/>
      <c r="NZB286" s="1069"/>
      <c r="NZC286" s="1069"/>
      <c r="NZD286" s="1069"/>
      <c r="NZE286" s="1069"/>
      <c r="NZF286" s="1069"/>
      <c r="NZG286" s="1069"/>
      <c r="NZH286" s="1069"/>
      <c r="NZI286" s="1069"/>
      <c r="NZJ286" s="1069"/>
      <c r="NZK286" s="1069"/>
      <c r="NZL286" s="1069"/>
      <c r="NZM286" s="1069"/>
      <c r="NZN286" s="1069"/>
      <c r="NZO286" s="1069"/>
      <c r="NZP286" s="1069"/>
      <c r="NZQ286" s="1069"/>
      <c r="NZR286" s="1069"/>
      <c r="NZS286" s="1069"/>
      <c r="NZT286" s="1069"/>
      <c r="NZU286" s="1069"/>
      <c r="NZV286" s="1069"/>
      <c r="NZW286" s="1069"/>
      <c r="NZX286" s="1069"/>
      <c r="NZY286" s="1069"/>
      <c r="NZZ286" s="1069"/>
      <c r="OAA286" s="1069"/>
      <c r="OAB286" s="1069"/>
      <c r="OAC286" s="1069"/>
      <c r="OAD286" s="1069"/>
      <c r="OAE286" s="1069"/>
      <c r="OAF286" s="1069"/>
      <c r="OAG286" s="1069"/>
      <c r="OAH286" s="1069"/>
      <c r="OAI286" s="1069"/>
      <c r="OAJ286" s="1069"/>
      <c r="OAK286" s="1069"/>
      <c r="OAL286" s="1069"/>
      <c r="OAM286" s="1069"/>
      <c r="OAN286" s="1069"/>
      <c r="OAO286" s="1069"/>
      <c r="OAP286" s="1069"/>
      <c r="OAQ286" s="1069"/>
      <c r="OAR286" s="1069"/>
      <c r="OAS286" s="1069"/>
      <c r="OAT286" s="1069"/>
      <c r="OAU286" s="1069"/>
      <c r="OAV286" s="1069"/>
      <c r="OAW286" s="1069"/>
      <c r="OAX286" s="1069"/>
      <c r="OAY286" s="1069"/>
      <c r="OAZ286" s="1069"/>
      <c r="OBA286" s="1069"/>
      <c r="OBB286" s="1069"/>
      <c r="OBC286" s="1069"/>
      <c r="OBD286" s="1069"/>
      <c r="OBE286" s="1069"/>
      <c r="OBF286" s="1069"/>
      <c r="OBG286" s="1069"/>
      <c r="OBH286" s="1069"/>
      <c r="OBI286" s="1069"/>
      <c r="OBJ286" s="1069"/>
      <c r="OBK286" s="1069"/>
      <c r="OBL286" s="1069"/>
      <c r="OBM286" s="1069"/>
      <c r="OBN286" s="1069"/>
      <c r="OBO286" s="1069"/>
      <c r="OBP286" s="1069"/>
      <c r="OBQ286" s="1069"/>
      <c r="OBR286" s="1069"/>
      <c r="OBS286" s="1069"/>
      <c r="OBT286" s="1069"/>
      <c r="OBU286" s="1069"/>
      <c r="OBV286" s="1069"/>
      <c r="OBW286" s="1069"/>
      <c r="OBX286" s="1069"/>
      <c r="OBY286" s="1069"/>
      <c r="OBZ286" s="1069"/>
      <c r="OCA286" s="1069"/>
      <c r="OCB286" s="1069"/>
      <c r="OCC286" s="1069"/>
      <c r="OCD286" s="1069"/>
      <c r="OCE286" s="1069"/>
      <c r="OCF286" s="1069"/>
      <c r="OCG286" s="1069"/>
      <c r="OCH286" s="1069"/>
      <c r="OCI286" s="1069"/>
      <c r="OCJ286" s="1069"/>
      <c r="OCK286" s="1069"/>
      <c r="OCL286" s="1069"/>
      <c r="OCM286" s="1069"/>
      <c r="OCN286" s="1069"/>
      <c r="OCO286" s="1069"/>
      <c r="OCP286" s="1069"/>
      <c r="OCQ286" s="1069"/>
      <c r="OCR286" s="1069"/>
      <c r="OCS286" s="1069"/>
      <c r="OCT286" s="1069"/>
      <c r="OCU286" s="1069"/>
      <c r="OCV286" s="1069"/>
      <c r="OCW286" s="1069"/>
      <c r="OCX286" s="1069"/>
      <c r="OCY286" s="1069"/>
      <c r="OCZ286" s="1069"/>
      <c r="ODA286" s="1069"/>
      <c r="ODB286" s="1069"/>
      <c r="ODC286" s="1069"/>
      <c r="ODD286" s="1069"/>
      <c r="ODE286" s="1069"/>
      <c r="ODF286" s="1069"/>
      <c r="ODG286" s="1069"/>
      <c r="ODH286" s="1069"/>
      <c r="ODI286" s="1069"/>
      <c r="ODJ286" s="1069"/>
      <c r="ODK286" s="1069"/>
      <c r="ODL286" s="1069"/>
      <c r="ODM286" s="1069"/>
      <c r="ODN286" s="1069"/>
      <c r="ODO286" s="1069"/>
      <c r="ODP286" s="1069"/>
      <c r="ODQ286" s="1069"/>
      <c r="ODR286" s="1069"/>
      <c r="ODS286" s="1069"/>
      <c r="ODT286" s="1069"/>
      <c r="ODU286" s="1069"/>
      <c r="ODV286" s="1069"/>
      <c r="ODW286" s="1069"/>
      <c r="ODX286" s="1069"/>
      <c r="ODY286" s="1069"/>
      <c r="ODZ286" s="1069"/>
      <c r="OEA286" s="1069"/>
      <c r="OEB286" s="1069"/>
      <c r="OEC286" s="1069"/>
      <c r="OED286" s="1069"/>
      <c r="OEE286" s="1069"/>
      <c r="OEF286" s="1069"/>
      <c r="OEG286" s="1069"/>
      <c r="OEH286" s="1069"/>
      <c r="OEI286" s="1069"/>
      <c r="OEJ286" s="1069"/>
      <c r="OEK286" s="1069"/>
      <c r="OEL286" s="1069"/>
      <c r="OEM286" s="1069"/>
      <c r="OEN286" s="1069"/>
      <c r="OEO286" s="1069"/>
      <c r="OEP286" s="1069"/>
      <c r="OEQ286" s="1069"/>
      <c r="OER286" s="1069"/>
      <c r="OES286" s="1069"/>
      <c r="OET286" s="1069"/>
      <c r="OEU286" s="1069"/>
      <c r="OEV286" s="1069"/>
      <c r="OEW286" s="1069"/>
      <c r="OEX286" s="1069"/>
      <c r="OEY286" s="1069"/>
      <c r="OEZ286" s="1069"/>
      <c r="OFA286" s="1069"/>
      <c r="OFB286" s="1069"/>
      <c r="OFC286" s="1069"/>
      <c r="OFD286" s="1069"/>
      <c r="OFE286" s="1069"/>
      <c r="OFF286" s="1069"/>
      <c r="OFG286" s="1069"/>
      <c r="OFH286" s="1069"/>
      <c r="OFI286" s="1069"/>
      <c r="OFJ286" s="1069"/>
      <c r="OFK286" s="1069"/>
      <c r="OFL286" s="1069"/>
      <c r="OFM286" s="1069"/>
      <c r="OFN286" s="1069"/>
      <c r="OFO286" s="1069"/>
      <c r="OFP286" s="1069"/>
      <c r="OFQ286" s="1069"/>
      <c r="OFR286" s="1069"/>
      <c r="OFS286" s="1069"/>
      <c r="OFT286" s="1069"/>
      <c r="OFU286" s="1069"/>
      <c r="OFV286" s="1069"/>
      <c r="OFW286" s="1069"/>
      <c r="OFX286" s="1069"/>
      <c r="OFY286" s="1069"/>
      <c r="OFZ286" s="1069"/>
      <c r="OGA286" s="1069"/>
      <c r="OGB286" s="1069"/>
      <c r="OGC286" s="1069"/>
      <c r="OGD286" s="1069"/>
      <c r="OGE286" s="1069"/>
      <c r="OGF286" s="1069"/>
      <c r="OGG286" s="1069"/>
      <c r="OGH286" s="1069"/>
      <c r="OGI286" s="1069"/>
      <c r="OGJ286" s="1069"/>
      <c r="OGK286" s="1069"/>
      <c r="OGL286" s="1069"/>
      <c r="OGM286" s="1069"/>
      <c r="OGN286" s="1069"/>
      <c r="OGO286" s="1069"/>
      <c r="OGP286" s="1069"/>
      <c r="OGQ286" s="1069"/>
      <c r="OGR286" s="1069"/>
      <c r="OGS286" s="1069"/>
      <c r="OGT286" s="1069"/>
      <c r="OGU286" s="1069"/>
      <c r="OGV286" s="1069"/>
      <c r="OGW286" s="1069"/>
      <c r="OGX286" s="1069"/>
      <c r="OGY286" s="1069"/>
      <c r="OGZ286" s="1069"/>
      <c r="OHA286" s="1069"/>
      <c r="OHB286" s="1069"/>
      <c r="OHC286" s="1069"/>
      <c r="OHD286" s="1069"/>
      <c r="OHE286" s="1069"/>
      <c r="OHF286" s="1069"/>
      <c r="OHG286" s="1069"/>
      <c r="OHH286" s="1069"/>
      <c r="OHI286" s="1069"/>
      <c r="OHJ286" s="1069"/>
      <c r="OHK286" s="1069"/>
      <c r="OHL286" s="1069"/>
      <c r="OHM286" s="1069"/>
      <c r="OHN286" s="1069"/>
      <c r="OHO286" s="1069"/>
      <c r="OHP286" s="1069"/>
      <c r="OHQ286" s="1069"/>
      <c r="OHR286" s="1069"/>
      <c r="OHS286" s="1069"/>
      <c r="OHT286" s="1069"/>
      <c r="OHU286" s="1069"/>
      <c r="OHV286" s="1069"/>
      <c r="OHW286" s="1069"/>
      <c r="OHX286" s="1069"/>
      <c r="OHY286" s="1069"/>
      <c r="OHZ286" s="1069"/>
      <c r="OIA286" s="1069"/>
      <c r="OIB286" s="1069"/>
      <c r="OIC286" s="1069"/>
      <c r="OID286" s="1069"/>
      <c r="OIE286" s="1069"/>
      <c r="OIF286" s="1069"/>
      <c r="OIG286" s="1069"/>
      <c r="OIH286" s="1069"/>
      <c r="OII286" s="1069"/>
      <c r="OIJ286" s="1069"/>
      <c r="OIK286" s="1069"/>
      <c r="OIL286" s="1069"/>
      <c r="OIM286" s="1069"/>
      <c r="OIN286" s="1069"/>
      <c r="OIO286" s="1069"/>
      <c r="OIP286" s="1069"/>
      <c r="OIQ286" s="1069"/>
      <c r="OIR286" s="1069"/>
      <c r="OIS286" s="1069"/>
      <c r="OIT286" s="1069"/>
      <c r="OIU286" s="1069"/>
      <c r="OIV286" s="1069"/>
      <c r="OIW286" s="1069"/>
      <c r="OIX286" s="1069"/>
      <c r="OIY286" s="1069"/>
      <c r="OIZ286" s="1069"/>
      <c r="OJA286" s="1069"/>
      <c r="OJB286" s="1069"/>
      <c r="OJC286" s="1069"/>
      <c r="OJD286" s="1069"/>
      <c r="OJE286" s="1069"/>
      <c r="OJF286" s="1069"/>
      <c r="OJG286" s="1069"/>
      <c r="OJH286" s="1069"/>
      <c r="OJI286" s="1069"/>
      <c r="OJJ286" s="1069"/>
      <c r="OJK286" s="1069"/>
      <c r="OJL286" s="1069"/>
      <c r="OJM286" s="1069"/>
      <c r="OJN286" s="1069"/>
      <c r="OJO286" s="1069"/>
      <c r="OJP286" s="1069"/>
      <c r="OJQ286" s="1069"/>
      <c r="OJR286" s="1069"/>
      <c r="OJS286" s="1069"/>
      <c r="OJT286" s="1069"/>
      <c r="OJU286" s="1069"/>
      <c r="OJV286" s="1069"/>
      <c r="OJW286" s="1069"/>
      <c r="OJX286" s="1069"/>
      <c r="OJY286" s="1069"/>
      <c r="OJZ286" s="1069"/>
      <c r="OKA286" s="1069"/>
      <c r="OKB286" s="1069"/>
      <c r="OKC286" s="1069"/>
      <c r="OKD286" s="1069"/>
      <c r="OKE286" s="1069"/>
      <c r="OKF286" s="1069"/>
      <c r="OKG286" s="1069"/>
      <c r="OKH286" s="1069"/>
      <c r="OKI286" s="1069"/>
      <c r="OKJ286" s="1069"/>
      <c r="OKK286" s="1069"/>
      <c r="OKL286" s="1069"/>
      <c r="OKM286" s="1069"/>
      <c r="OKN286" s="1069"/>
      <c r="OKO286" s="1069"/>
      <c r="OKP286" s="1069"/>
      <c r="OKQ286" s="1069"/>
      <c r="OKR286" s="1069"/>
      <c r="OKS286" s="1069"/>
      <c r="OKT286" s="1069"/>
      <c r="OKU286" s="1069"/>
      <c r="OKV286" s="1069"/>
      <c r="OKW286" s="1069"/>
      <c r="OKX286" s="1069"/>
      <c r="OKY286" s="1069"/>
      <c r="OKZ286" s="1069"/>
      <c r="OLA286" s="1069"/>
      <c r="OLB286" s="1069"/>
      <c r="OLC286" s="1069"/>
      <c r="OLD286" s="1069"/>
      <c r="OLE286" s="1069"/>
      <c r="OLF286" s="1069"/>
      <c r="OLG286" s="1069"/>
      <c r="OLH286" s="1069"/>
      <c r="OLI286" s="1069"/>
      <c r="OLJ286" s="1069"/>
      <c r="OLK286" s="1069"/>
      <c r="OLL286" s="1069"/>
      <c r="OLM286" s="1069"/>
      <c r="OLN286" s="1069"/>
      <c r="OLO286" s="1069"/>
      <c r="OLP286" s="1069"/>
      <c r="OLQ286" s="1069"/>
      <c r="OLR286" s="1069"/>
      <c r="OLS286" s="1069"/>
      <c r="OLT286" s="1069"/>
      <c r="OLU286" s="1069"/>
      <c r="OLV286" s="1069"/>
      <c r="OLW286" s="1069"/>
      <c r="OLX286" s="1069"/>
      <c r="OLY286" s="1069"/>
      <c r="OLZ286" s="1069"/>
      <c r="OMA286" s="1069"/>
      <c r="OMB286" s="1069"/>
      <c r="OMC286" s="1069"/>
      <c r="OMD286" s="1069"/>
      <c r="OME286" s="1069"/>
      <c r="OMF286" s="1069"/>
      <c r="OMG286" s="1069"/>
      <c r="OMH286" s="1069"/>
      <c r="OMI286" s="1069"/>
      <c r="OMJ286" s="1069"/>
      <c r="OMK286" s="1069"/>
      <c r="OML286" s="1069"/>
      <c r="OMM286" s="1069"/>
      <c r="OMN286" s="1069"/>
      <c r="OMO286" s="1069"/>
      <c r="OMP286" s="1069"/>
      <c r="OMQ286" s="1069"/>
      <c r="OMR286" s="1069"/>
      <c r="OMS286" s="1069"/>
      <c r="OMT286" s="1069"/>
      <c r="OMU286" s="1069"/>
      <c r="OMV286" s="1069"/>
      <c r="OMW286" s="1069"/>
      <c r="OMX286" s="1069"/>
      <c r="OMY286" s="1069"/>
      <c r="OMZ286" s="1069"/>
      <c r="ONA286" s="1069"/>
      <c r="ONB286" s="1069"/>
      <c r="ONC286" s="1069"/>
      <c r="OND286" s="1069"/>
      <c r="ONE286" s="1069"/>
      <c r="ONF286" s="1069"/>
      <c r="ONG286" s="1069"/>
      <c r="ONH286" s="1069"/>
      <c r="ONI286" s="1069"/>
      <c r="ONJ286" s="1069"/>
      <c r="ONK286" s="1069"/>
      <c r="ONL286" s="1069"/>
      <c r="ONM286" s="1069"/>
      <c r="ONN286" s="1069"/>
      <c r="ONO286" s="1069"/>
      <c r="ONP286" s="1069"/>
      <c r="ONQ286" s="1069"/>
      <c r="ONR286" s="1069"/>
      <c r="ONS286" s="1069"/>
      <c r="ONT286" s="1069"/>
      <c r="ONU286" s="1069"/>
      <c r="ONV286" s="1069"/>
      <c r="ONW286" s="1069"/>
      <c r="ONX286" s="1069"/>
      <c r="ONY286" s="1069"/>
      <c r="ONZ286" s="1069"/>
      <c r="OOA286" s="1069"/>
      <c r="OOB286" s="1069"/>
      <c r="OOC286" s="1069"/>
      <c r="OOD286" s="1069"/>
      <c r="OOE286" s="1069"/>
      <c r="OOF286" s="1069"/>
      <c r="OOG286" s="1069"/>
      <c r="OOH286" s="1069"/>
      <c r="OOI286" s="1069"/>
      <c r="OOJ286" s="1069"/>
      <c r="OOK286" s="1069"/>
      <c r="OOL286" s="1069"/>
      <c r="OOM286" s="1069"/>
      <c r="OON286" s="1069"/>
      <c r="OOO286" s="1069"/>
      <c r="OOP286" s="1069"/>
      <c r="OOQ286" s="1069"/>
      <c r="OOR286" s="1069"/>
      <c r="OOS286" s="1069"/>
      <c r="OOT286" s="1069"/>
      <c r="OOU286" s="1069"/>
      <c r="OOV286" s="1069"/>
      <c r="OOW286" s="1069"/>
      <c r="OOX286" s="1069"/>
      <c r="OOY286" s="1069"/>
      <c r="OOZ286" s="1069"/>
      <c r="OPA286" s="1069"/>
      <c r="OPB286" s="1069"/>
      <c r="OPC286" s="1069"/>
      <c r="OPD286" s="1069"/>
      <c r="OPE286" s="1069"/>
      <c r="OPF286" s="1069"/>
      <c r="OPG286" s="1069"/>
      <c r="OPH286" s="1069"/>
      <c r="OPI286" s="1069"/>
      <c r="OPJ286" s="1069"/>
      <c r="OPK286" s="1069"/>
      <c r="OPL286" s="1069"/>
      <c r="OPM286" s="1069"/>
      <c r="OPN286" s="1069"/>
      <c r="OPO286" s="1069"/>
      <c r="OPP286" s="1069"/>
      <c r="OPQ286" s="1069"/>
      <c r="OPR286" s="1069"/>
      <c r="OPS286" s="1069"/>
      <c r="OPT286" s="1069"/>
      <c r="OPU286" s="1069"/>
      <c r="OPV286" s="1069"/>
      <c r="OPW286" s="1069"/>
      <c r="OPX286" s="1069"/>
      <c r="OPY286" s="1069"/>
      <c r="OPZ286" s="1069"/>
      <c r="OQA286" s="1069"/>
      <c r="OQB286" s="1069"/>
      <c r="OQC286" s="1069"/>
      <c r="OQD286" s="1069"/>
      <c r="OQE286" s="1069"/>
      <c r="OQF286" s="1069"/>
      <c r="OQG286" s="1069"/>
      <c r="OQH286" s="1069"/>
      <c r="OQI286" s="1069"/>
      <c r="OQJ286" s="1069"/>
      <c r="OQK286" s="1069"/>
      <c r="OQL286" s="1069"/>
      <c r="OQM286" s="1069"/>
      <c r="OQN286" s="1069"/>
      <c r="OQO286" s="1069"/>
      <c r="OQP286" s="1069"/>
      <c r="OQQ286" s="1069"/>
      <c r="OQR286" s="1069"/>
      <c r="OQS286" s="1069"/>
      <c r="OQT286" s="1069"/>
      <c r="OQU286" s="1069"/>
      <c r="OQV286" s="1069"/>
      <c r="OQW286" s="1069"/>
      <c r="OQX286" s="1069"/>
      <c r="OQY286" s="1069"/>
      <c r="OQZ286" s="1069"/>
      <c r="ORA286" s="1069"/>
      <c r="ORB286" s="1069"/>
      <c r="ORC286" s="1069"/>
      <c r="ORD286" s="1069"/>
      <c r="ORE286" s="1069"/>
      <c r="ORF286" s="1069"/>
      <c r="ORG286" s="1069"/>
      <c r="ORH286" s="1069"/>
      <c r="ORI286" s="1069"/>
      <c r="ORJ286" s="1069"/>
      <c r="ORK286" s="1069"/>
      <c r="ORL286" s="1069"/>
      <c r="ORM286" s="1069"/>
      <c r="ORN286" s="1069"/>
      <c r="ORO286" s="1069"/>
      <c r="ORP286" s="1069"/>
      <c r="ORQ286" s="1069"/>
      <c r="ORR286" s="1069"/>
      <c r="ORS286" s="1069"/>
      <c r="ORT286" s="1069"/>
      <c r="ORU286" s="1069"/>
      <c r="ORV286" s="1069"/>
      <c r="ORW286" s="1069"/>
      <c r="ORX286" s="1069"/>
      <c r="ORY286" s="1069"/>
      <c r="ORZ286" s="1069"/>
      <c r="OSA286" s="1069"/>
      <c r="OSB286" s="1069"/>
      <c r="OSC286" s="1069"/>
      <c r="OSD286" s="1069"/>
      <c r="OSE286" s="1069"/>
      <c r="OSF286" s="1069"/>
      <c r="OSG286" s="1069"/>
      <c r="OSH286" s="1069"/>
      <c r="OSI286" s="1069"/>
      <c r="OSJ286" s="1069"/>
      <c r="OSK286" s="1069"/>
      <c r="OSL286" s="1069"/>
      <c r="OSM286" s="1069"/>
      <c r="OSN286" s="1069"/>
      <c r="OSO286" s="1069"/>
      <c r="OSP286" s="1069"/>
      <c r="OSQ286" s="1069"/>
      <c r="OSR286" s="1069"/>
      <c r="OSS286" s="1069"/>
      <c r="OST286" s="1069"/>
      <c r="OSU286" s="1069"/>
      <c r="OSV286" s="1069"/>
      <c r="OSW286" s="1069"/>
      <c r="OSX286" s="1069"/>
      <c r="OSY286" s="1069"/>
      <c r="OSZ286" s="1069"/>
      <c r="OTA286" s="1069"/>
      <c r="OTB286" s="1069"/>
      <c r="OTC286" s="1069"/>
      <c r="OTD286" s="1069"/>
      <c r="OTE286" s="1069"/>
      <c r="OTF286" s="1069"/>
      <c r="OTG286" s="1069"/>
      <c r="OTH286" s="1069"/>
      <c r="OTI286" s="1069"/>
      <c r="OTJ286" s="1069"/>
      <c r="OTK286" s="1069"/>
      <c r="OTL286" s="1069"/>
      <c r="OTM286" s="1069"/>
      <c r="OTN286" s="1069"/>
      <c r="OTO286" s="1069"/>
      <c r="OTP286" s="1069"/>
      <c r="OTQ286" s="1069"/>
      <c r="OTR286" s="1069"/>
      <c r="OTS286" s="1069"/>
      <c r="OTT286" s="1069"/>
      <c r="OTU286" s="1069"/>
      <c r="OTV286" s="1069"/>
      <c r="OTW286" s="1069"/>
      <c r="OTX286" s="1069"/>
      <c r="OTY286" s="1069"/>
      <c r="OTZ286" s="1069"/>
      <c r="OUA286" s="1069"/>
      <c r="OUB286" s="1069"/>
      <c r="OUC286" s="1069"/>
      <c r="OUD286" s="1069"/>
      <c r="OUE286" s="1069"/>
      <c r="OUF286" s="1069"/>
      <c r="OUG286" s="1069"/>
      <c r="OUH286" s="1069"/>
      <c r="OUI286" s="1069"/>
      <c r="OUJ286" s="1069"/>
      <c r="OUK286" s="1069"/>
      <c r="OUL286" s="1069"/>
      <c r="OUM286" s="1069"/>
      <c r="OUN286" s="1069"/>
      <c r="OUO286" s="1069"/>
      <c r="OUP286" s="1069"/>
      <c r="OUQ286" s="1069"/>
      <c r="OUR286" s="1069"/>
      <c r="OUS286" s="1069"/>
      <c r="OUT286" s="1069"/>
      <c r="OUU286" s="1069"/>
      <c r="OUV286" s="1069"/>
      <c r="OUW286" s="1069"/>
      <c r="OUX286" s="1069"/>
      <c r="OUY286" s="1069"/>
      <c r="OUZ286" s="1069"/>
      <c r="OVA286" s="1069"/>
      <c r="OVB286" s="1069"/>
      <c r="OVC286" s="1069"/>
      <c r="OVD286" s="1069"/>
      <c r="OVE286" s="1069"/>
      <c r="OVF286" s="1069"/>
      <c r="OVG286" s="1069"/>
      <c r="OVH286" s="1069"/>
      <c r="OVI286" s="1069"/>
      <c r="OVJ286" s="1069"/>
      <c r="OVK286" s="1069"/>
      <c r="OVL286" s="1069"/>
      <c r="OVM286" s="1069"/>
      <c r="OVN286" s="1069"/>
      <c r="OVO286" s="1069"/>
      <c r="OVP286" s="1069"/>
      <c r="OVQ286" s="1069"/>
      <c r="OVR286" s="1069"/>
      <c r="OVS286" s="1069"/>
      <c r="OVT286" s="1069"/>
      <c r="OVU286" s="1069"/>
      <c r="OVV286" s="1069"/>
      <c r="OVW286" s="1069"/>
      <c r="OVX286" s="1069"/>
      <c r="OVY286" s="1069"/>
      <c r="OVZ286" s="1069"/>
      <c r="OWA286" s="1069"/>
      <c r="OWB286" s="1069"/>
      <c r="OWC286" s="1069"/>
      <c r="OWD286" s="1069"/>
      <c r="OWE286" s="1069"/>
      <c r="OWF286" s="1069"/>
      <c r="OWG286" s="1069"/>
      <c r="OWH286" s="1069"/>
      <c r="OWI286" s="1069"/>
      <c r="OWJ286" s="1069"/>
      <c r="OWK286" s="1069"/>
      <c r="OWL286" s="1069"/>
      <c r="OWM286" s="1069"/>
      <c r="OWN286" s="1069"/>
      <c r="OWO286" s="1069"/>
      <c r="OWP286" s="1069"/>
      <c r="OWQ286" s="1069"/>
      <c r="OWR286" s="1069"/>
      <c r="OWS286" s="1069"/>
      <c r="OWT286" s="1069"/>
      <c r="OWU286" s="1069"/>
      <c r="OWV286" s="1069"/>
      <c r="OWW286" s="1069"/>
      <c r="OWX286" s="1069"/>
      <c r="OWY286" s="1069"/>
      <c r="OWZ286" s="1069"/>
      <c r="OXA286" s="1069"/>
      <c r="OXB286" s="1069"/>
      <c r="OXC286" s="1069"/>
      <c r="OXD286" s="1069"/>
      <c r="OXE286" s="1069"/>
      <c r="OXF286" s="1069"/>
      <c r="OXG286" s="1069"/>
      <c r="OXH286" s="1069"/>
      <c r="OXI286" s="1069"/>
      <c r="OXJ286" s="1069"/>
      <c r="OXK286" s="1069"/>
      <c r="OXL286" s="1069"/>
      <c r="OXM286" s="1069"/>
      <c r="OXN286" s="1069"/>
      <c r="OXO286" s="1069"/>
      <c r="OXP286" s="1069"/>
      <c r="OXQ286" s="1069"/>
      <c r="OXR286" s="1069"/>
      <c r="OXS286" s="1069"/>
      <c r="OXT286" s="1069"/>
      <c r="OXU286" s="1069"/>
      <c r="OXV286" s="1069"/>
      <c r="OXW286" s="1069"/>
      <c r="OXX286" s="1069"/>
      <c r="OXY286" s="1069"/>
      <c r="OXZ286" s="1069"/>
      <c r="OYA286" s="1069"/>
      <c r="OYB286" s="1069"/>
      <c r="OYC286" s="1069"/>
      <c r="OYD286" s="1069"/>
      <c r="OYE286" s="1069"/>
      <c r="OYF286" s="1069"/>
      <c r="OYG286" s="1069"/>
      <c r="OYH286" s="1069"/>
      <c r="OYI286" s="1069"/>
      <c r="OYJ286" s="1069"/>
      <c r="OYK286" s="1069"/>
      <c r="OYL286" s="1069"/>
      <c r="OYM286" s="1069"/>
      <c r="OYN286" s="1069"/>
      <c r="OYO286" s="1069"/>
      <c r="OYP286" s="1069"/>
      <c r="OYQ286" s="1069"/>
      <c r="OYR286" s="1069"/>
      <c r="OYS286" s="1069"/>
      <c r="OYT286" s="1069"/>
      <c r="OYU286" s="1069"/>
      <c r="OYV286" s="1069"/>
      <c r="OYW286" s="1069"/>
      <c r="OYX286" s="1069"/>
      <c r="OYY286" s="1069"/>
      <c r="OYZ286" s="1069"/>
      <c r="OZA286" s="1069"/>
      <c r="OZB286" s="1069"/>
      <c r="OZC286" s="1069"/>
      <c r="OZD286" s="1069"/>
      <c r="OZE286" s="1069"/>
      <c r="OZF286" s="1069"/>
      <c r="OZG286" s="1069"/>
      <c r="OZH286" s="1069"/>
      <c r="OZI286" s="1069"/>
      <c r="OZJ286" s="1069"/>
      <c r="OZK286" s="1069"/>
      <c r="OZL286" s="1069"/>
      <c r="OZM286" s="1069"/>
      <c r="OZN286" s="1069"/>
      <c r="OZO286" s="1069"/>
      <c r="OZP286" s="1069"/>
      <c r="OZQ286" s="1069"/>
      <c r="OZR286" s="1069"/>
      <c r="OZS286" s="1069"/>
      <c r="OZT286" s="1069"/>
      <c r="OZU286" s="1069"/>
      <c r="OZV286" s="1069"/>
      <c r="OZW286" s="1069"/>
      <c r="OZX286" s="1069"/>
      <c r="OZY286" s="1069"/>
      <c r="OZZ286" s="1069"/>
      <c r="PAA286" s="1069"/>
      <c r="PAB286" s="1069"/>
      <c r="PAC286" s="1069"/>
      <c r="PAD286" s="1069"/>
      <c r="PAE286" s="1069"/>
      <c r="PAF286" s="1069"/>
      <c r="PAG286" s="1069"/>
      <c r="PAH286" s="1069"/>
      <c r="PAI286" s="1069"/>
      <c r="PAJ286" s="1069"/>
      <c r="PAK286" s="1069"/>
      <c r="PAL286" s="1069"/>
      <c r="PAM286" s="1069"/>
      <c r="PAN286" s="1069"/>
      <c r="PAO286" s="1069"/>
      <c r="PAP286" s="1069"/>
      <c r="PAQ286" s="1069"/>
      <c r="PAR286" s="1069"/>
      <c r="PAS286" s="1069"/>
      <c r="PAT286" s="1069"/>
      <c r="PAU286" s="1069"/>
      <c r="PAV286" s="1069"/>
      <c r="PAW286" s="1069"/>
      <c r="PAX286" s="1069"/>
      <c r="PAY286" s="1069"/>
      <c r="PAZ286" s="1069"/>
      <c r="PBA286" s="1069"/>
      <c r="PBB286" s="1069"/>
      <c r="PBC286" s="1069"/>
      <c r="PBD286" s="1069"/>
      <c r="PBE286" s="1069"/>
      <c r="PBF286" s="1069"/>
      <c r="PBG286" s="1069"/>
      <c r="PBH286" s="1069"/>
      <c r="PBI286" s="1069"/>
      <c r="PBJ286" s="1069"/>
      <c r="PBK286" s="1069"/>
      <c r="PBL286" s="1069"/>
      <c r="PBM286" s="1069"/>
      <c r="PBN286" s="1069"/>
      <c r="PBO286" s="1069"/>
      <c r="PBP286" s="1069"/>
      <c r="PBQ286" s="1069"/>
      <c r="PBR286" s="1069"/>
      <c r="PBS286" s="1069"/>
      <c r="PBT286" s="1069"/>
      <c r="PBU286" s="1069"/>
      <c r="PBV286" s="1069"/>
      <c r="PBW286" s="1069"/>
      <c r="PBX286" s="1069"/>
      <c r="PBY286" s="1069"/>
      <c r="PBZ286" s="1069"/>
      <c r="PCA286" s="1069"/>
      <c r="PCB286" s="1069"/>
      <c r="PCC286" s="1069"/>
      <c r="PCD286" s="1069"/>
      <c r="PCE286" s="1069"/>
      <c r="PCF286" s="1069"/>
      <c r="PCG286" s="1069"/>
      <c r="PCH286" s="1069"/>
      <c r="PCI286" s="1069"/>
      <c r="PCJ286" s="1069"/>
      <c r="PCK286" s="1069"/>
      <c r="PCL286" s="1069"/>
      <c r="PCM286" s="1069"/>
      <c r="PCN286" s="1069"/>
      <c r="PCO286" s="1069"/>
      <c r="PCP286" s="1069"/>
      <c r="PCQ286" s="1069"/>
      <c r="PCR286" s="1069"/>
      <c r="PCS286" s="1069"/>
      <c r="PCT286" s="1069"/>
      <c r="PCU286" s="1069"/>
      <c r="PCV286" s="1069"/>
      <c r="PCW286" s="1069"/>
      <c r="PCX286" s="1069"/>
      <c r="PCY286" s="1069"/>
      <c r="PCZ286" s="1069"/>
      <c r="PDA286" s="1069"/>
      <c r="PDB286" s="1069"/>
      <c r="PDC286" s="1069"/>
      <c r="PDD286" s="1069"/>
      <c r="PDE286" s="1069"/>
      <c r="PDF286" s="1069"/>
      <c r="PDG286" s="1069"/>
      <c r="PDH286" s="1069"/>
      <c r="PDI286" s="1069"/>
      <c r="PDJ286" s="1069"/>
      <c r="PDK286" s="1069"/>
      <c r="PDL286" s="1069"/>
      <c r="PDM286" s="1069"/>
      <c r="PDN286" s="1069"/>
      <c r="PDO286" s="1069"/>
      <c r="PDP286" s="1069"/>
      <c r="PDQ286" s="1069"/>
      <c r="PDR286" s="1069"/>
      <c r="PDS286" s="1069"/>
      <c r="PDT286" s="1069"/>
      <c r="PDU286" s="1069"/>
      <c r="PDV286" s="1069"/>
      <c r="PDW286" s="1069"/>
      <c r="PDX286" s="1069"/>
      <c r="PDY286" s="1069"/>
      <c r="PDZ286" s="1069"/>
      <c r="PEA286" s="1069"/>
      <c r="PEB286" s="1069"/>
      <c r="PEC286" s="1069"/>
      <c r="PED286" s="1069"/>
      <c r="PEE286" s="1069"/>
      <c r="PEF286" s="1069"/>
      <c r="PEG286" s="1069"/>
      <c r="PEH286" s="1069"/>
      <c r="PEI286" s="1069"/>
      <c r="PEJ286" s="1069"/>
      <c r="PEK286" s="1069"/>
      <c r="PEL286" s="1069"/>
      <c r="PEM286" s="1069"/>
      <c r="PEN286" s="1069"/>
      <c r="PEO286" s="1069"/>
      <c r="PEP286" s="1069"/>
      <c r="PEQ286" s="1069"/>
      <c r="PER286" s="1069"/>
      <c r="PES286" s="1069"/>
      <c r="PET286" s="1069"/>
      <c r="PEU286" s="1069"/>
      <c r="PEV286" s="1069"/>
      <c r="PEW286" s="1069"/>
      <c r="PEX286" s="1069"/>
      <c r="PEY286" s="1069"/>
      <c r="PEZ286" s="1069"/>
      <c r="PFA286" s="1069"/>
      <c r="PFB286" s="1069"/>
      <c r="PFC286" s="1069"/>
      <c r="PFD286" s="1069"/>
      <c r="PFE286" s="1069"/>
      <c r="PFF286" s="1069"/>
      <c r="PFG286" s="1069"/>
      <c r="PFH286" s="1069"/>
      <c r="PFI286" s="1069"/>
      <c r="PFJ286" s="1069"/>
      <c r="PFK286" s="1069"/>
      <c r="PFL286" s="1069"/>
      <c r="PFM286" s="1069"/>
      <c r="PFN286" s="1069"/>
      <c r="PFO286" s="1069"/>
      <c r="PFP286" s="1069"/>
      <c r="PFQ286" s="1069"/>
      <c r="PFR286" s="1069"/>
      <c r="PFS286" s="1069"/>
      <c r="PFT286" s="1069"/>
      <c r="PFU286" s="1069"/>
      <c r="PFV286" s="1069"/>
      <c r="PFW286" s="1069"/>
      <c r="PFX286" s="1069"/>
      <c r="PFY286" s="1069"/>
      <c r="PFZ286" s="1069"/>
      <c r="PGA286" s="1069"/>
      <c r="PGB286" s="1069"/>
      <c r="PGC286" s="1069"/>
      <c r="PGD286" s="1069"/>
      <c r="PGE286" s="1069"/>
      <c r="PGF286" s="1069"/>
      <c r="PGG286" s="1069"/>
      <c r="PGH286" s="1069"/>
      <c r="PGI286" s="1069"/>
      <c r="PGJ286" s="1069"/>
      <c r="PGK286" s="1069"/>
      <c r="PGL286" s="1069"/>
      <c r="PGM286" s="1069"/>
      <c r="PGN286" s="1069"/>
      <c r="PGO286" s="1069"/>
      <c r="PGP286" s="1069"/>
      <c r="PGQ286" s="1069"/>
      <c r="PGR286" s="1069"/>
      <c r="PGS286" s="1069"/>
      <c r="PGT286" s="1069"/>
      <c r="PGU286" s="1069"/>
      <c r="PGV286" s="1069"/>
      <c r="PGW286" s="1069"/>
      <c r="PGX286" s="1069"/>
      <c r="PGY286" s="1069"/>
      <c r="PGZ286" s="1069"/>
      <c r="PHA286" s="1069"/>
      <c r="PHB286" s="1069"/>
      <c r="PHC286" s="1069"/>
      <c r="PHD286" s="1069"/>
      <c r="PHE286" s="1069"/>
      <c r="PHF286" s="1069"/>
      <c r="PHG286" s="1069"/>
      <c r="PHH286" s="1069"/>
      <c r="PHI286" s="1069"/>
      <c r="PHJ286" s="1069"/>
      <c r="PHK286" s="1069"/>
      <c r="PHL286" s="1069"/>
      <c r="PHM286" s="1069"/>
      <c r="PHN286" s="1069"/>
      <c r="PHO286" s="1069"/>
      <c r="PHP286" s="1069"/>
      <c r="PHQ286" s="1069"/>
      <c r="PHR286" s="1069"/>
      <c r="PHS286" s="1069"/>
      <c r="PHT286" s="1069"/>
      <c r="PHU286" s="1069"/>
      <c r="PHV286" s="1069"/>
      <c r="PHW286" s="1069"/>
      <c r="PHX286" s="1069"/>
      <c r="PHY286" s="1069"/>
      <c r="PHZ286" s="1069"/>
      <c r="PIA286" s="1069"/>
      <c r="PIB286" s="1069"/>
      <c r="PIC286" s="1069"/>
      <c r="PID286" s="1069"/>
      <c r="PIE286" s="1069"/>
      <c r="PIF286" s="1069"/>
      <c r="PIG286" s="1069"/>
      <c r="PIH286" s="1069"/>
      <c r="PII286" s="1069"/>
      <c r="PIJ286" s="1069"/>
      <c r="PIK286" s="1069"/>
      <c r="PIL286" s="1069"/>
      <c r="PIM286" s="1069"/>
      <c r="PIN286" s="1069"/>
      <c r="PIO286" s="1069"/>
      <c r="PIP286" s="1069"/>
      <c r="PIQ286" s="1069"/>
      <c r="PIR286" s="1069"/>
      <c r="PIS286" s="1069"/>
      <c r="PIT286" s="1069"/>
      <c r="PIU286" s="1069"/>
      <c r="PIV286" s="1069"/>
      <c r="PIW286" s="1069"/>
      <c r="PIX286" s="1069"/>
      <c r="PIY286" s="1069"/>
      <c r="PIZ286" s="1069"/>
      <c r="PJA286" s="1069"/>
      <c r="PJB286" s="1069"/>
      <c r="PJC286" s="1069"/>
      <c r="PJD286" s="1069"/>
      <c r="PJE286" s="1069"/>
      <c r="PJF286" s="1069"/>
      <c r="PJG286" s="1069"/>
      <c r="PJH286" s="1069"/>
      <c r="PJI286" s="1069"/>
      <c r="PJJ286" s="1069"/>
      <c r="PJK286" s="1069"/>
      <c r="PJL286" s="1069"/>
      <c r="PJM286" s="1069"/>
      <c r="PJN286" s="1069"/>
      <c r="PJO286" s="1069"/>
      <c r="PJP286" s="1069"/>
      <c r="PJQ286" s="1069"/>
      <c r="PJR286" s="1069"/>
      <c r="PJS286" s="1069"/>
      <c r="PJT286" s="1069"/>
      <c r="PJU286" s="1069"/>
      <c r="PJV286" s="1069"/>
      <c r="PJW286" s="1069"/>
      <c r="PJX286" s="1069"/>
      <c r="PJY286" s="1069"/>
      <c r="PJZ286" s="1069"/>
      <c r="PKA286" s="1069"/>
      <c r="PKB286" s="1069"/>
      <c r="PKC286" s="1069"/>
      <c r="PKD286" s="1069"/>
      <c r="PKE286" s="1069"/>
      <c r="PKF286" s="1069"/>
      <c r="PKG286" s="1069"/>
      <c r="PKH286" s="1069"/>
      <c r="PKI286" s="1069"/>
      <c r="PKJ286" s="1069"/>
      <c r="PKK286" s="1069"/>
      <c r="PKL286" s="1069"/>
      <c r="PKM286" s="1069"/>
      <c r="PKN286" s="1069"/>
      <c r="PKO286" s="1069"/>
      <c r="PKP286" s="1069"/>
      <c r="PKQ286" s="1069"/>
      <c r="PKR286" s="1069"/>
      <c r="PKS286" s="1069"/>
      <c r="PKT286" s="1069"/>
      <c r="PKU286" s="1069"/>
      <c r="PKV286" s="1069"/>
      <c r="PKW286" s="1069"/>
      <c r="PKX286" s="1069"/>
      <c r="PKY286" s="1069"/>
      <c r="PKZ286" s="1069"/>
      <c r="PLA286" s="1069"/>
      <c r="PLB286" s="1069"/>
      <c r="PLC286" s="1069"/>
      <c r="PLD286" s="1069"/>
      <c r="PLE286" s="1069"/>
      <c r="PLF286" s="1069"/>
      <c r="PLG286" s="1069"/>
      <c r="PLH286" s="1069"/>
      <c r="PLI286" s="1069"/>
      <c r="PLJ286" s="1069"/>
      <c r="PLK286" s="1069"/>
      <c r="PLL286" s="1069"/>
      <c r="PLM286" s="1069"/>
      <c r="PLN286" s="1069"/>
      <c r="PLO286" s="1069"/>
      <c r="PLP286" s="1069"/>
      <c r="PLQ286" s="1069"/>
      <c r="PLR286" s="1069"/>
      <c r="PLS286" s="1069"/>
      <c r="PLT286" s="1069"/>
      <c r="PLU286" s="1069"/>
      <c r="PLV286" s="1069"/>
      <c r="PLW286" s="1069"/>
      <c r="PLX286" s="1069"/>
      <c r="PLY286" s="1069"/>
      <c r="PLZ286" s="1069"/>
      <c r="PMA286" s="1069"/>
      <c r="PMB286" s="1069"/>
      <c r="PMC286" s="1069"/>
      <c r="PMD286" s="1069"/>
      <c r="PME286" s="1069"/>
      <c r="PMF286" s="1069"/>
      <c r="PMG286" s="1069"/>
      <c r="PMH286" s="1069"/>
      <c r="PMI286" s="1069"/>
      <c r="PMJ286" s="1069"/>
      <c r="PMK286" s="1069"/>
      <c r="PML286" s="1069"/>
      <c r="PMM286" s="1069"/>
      <c r="PMN286" s="1069"/>
      <c r="PMO286" s="1069"/>
      <c r="PMP286" s="1069"/>
      <c r="PMQ286" s="1069"/>
      <c r="PMR286" s="1069"/>
      <c r="PMS286" s="1069"/>
      <c r="PMT286" s="1069"/>
      <c r="PMU286" s="1069"/>
      <c r="PMV286" s="1069"/>
      <c r="PMW286" s="1069"/>
      <c r="PMX286" s="1069"/>
      <c r="PMY286" s="1069"/>
      <c r="PMZ286" s="1069"/>
      <c r="PNA286" s="1069"/>
      <c r="PNB286" s="1069"/>
      <c r="PNC286" s="1069"/>
      <c r="PND286" s="1069"/>
      <c r="PNE286" s="1069"/>
      <c r="PNF286" s="1069"/>
      <c r="PNG286" s="1069"/>
      <c r="PNH286" s="1069"/>
      <c r="PNI286" s="1069"/>
      <c r="PNJ286" s="1069"/>
      <c r="PNK286" s="1069"/>
      <c r="PNL286" s="1069"/>
      <c r="PNM286" s="1069"/>
      <c r="PNN286" s="1069"/>
      <c r="PNO286" s="1069"/>
      <c r="PNP286" s="1069"/>
      <c r="PNQ286" s="1069"/>
      <c r="PNR286" s="1069"/>
      <c r="PNS286" s="1069"/>
      <c r="PNT286" s="1069"/>
      <c r="PNU286" s="1069"/>
      <c r="PNV286" s="1069"/>
      <c r="PNW286" s="1069"/>
      <c r="PNX286" s="1069"/>
      <c r="PNY286" s="1069"/>
      <c r="PNZ286" s="1069"/>
      <c r="POA286" s="1069"/>
      <c r="POB286" s="1069"/>
      <c r="POC286" s="1069"/>
      <c r="POD286" s="1069"/>
      <c r="POE286" s="1069"/>
      <c r="POF286" s="1069"/>
      <c r="POG286" s="1069"/>
      <c r="POH286" s="1069"/>
      <c r="POI286" s="1069"/>
      <c r="POJ286" s="1069"/>
      <c r="POK286" s="1069"/>
      <c r="POL286" s="1069"/>
      <c r="POM286" s="1069"/>
      <c r="PON286" s="1069"/>
      <c r="POO286" s="1069"/>
      <c r="POP286" s="1069"/>
      <c r="POQ286" s="1069"/>
      <c r="POR286" s="1069"/>
      <c r="POS286" s="1069"/>
      <c r="POT286" s="1069"/>
      <c r="POU286" s="1069"/>
      <c r="POV286" s="1069"/>
      <c r="POW286" s="1069"/>
      <c r="POX286" s="1069"/>
      <c r="POY286" s="1069"/>
      <c r="POZ286" s="1069"/>
      <c r="PPA286" s="1069"/>
      <c r="PPB286" s="1069"/>
      <c r="PPC286" s="1069"/>
      <c r="PPD286" s="1069"/>
      <c r="PPE286" s="1069"/>
      <c r="PPF286" s="1069"/>
      <c r="PPG286" s="1069"/>
      <c r="PPH286" s="1069"/>
      <c r="PPI286" s="1069"/>
      <c r="PPJ286" s="1069"/>
      <c r="PPK286" s="1069"/>
      <c r="PPL286" s="1069"/>
      <c r="PPM286" s="1069"/>
      <c r="PPN286" s="1069"/>
      <c r="PPO286" s="1069"/>
      <c r="PPP286" s="1069"/>
      <c r="PPQ286" s="1069"/>
      <c r="PPR286" s="1069"/>
      <c r="PPS286" s="1069"/>
      <c r="PPT286" s="1069"/>
      <c r="PPU286" s="1069"/>
      <c r="PPV286" s="1069"/>
      <c r="PPW286" s="1069"/>
      <c r="PPX286" s="1069"/>
      <c r="PPY286" s="1069"/>
      <c r="PPZ286" s="1069"/>
      <c r="PQA286" s="1069"/>
      <c r="PQB286" s="1069"/>
      <c r="PQC286" s="1069"/>
      <c r="PQD286" s="1069"/>
      <c r="PQE286" s="1069"/>
      <c r="PQF286" s="1069"/>
      <c r="PQG286" s="1069"/>
      <c r="PQH286" s="1069"/>
      <c r="PQI286" s="1069"/>
      <c r="PQJ286" s="1069"/>
      <c r="PQK286" s="1069"/>
      <c r="PQL286" s="1069"/>
      <c r="PQM286" s="1069"/>
      <c r="PQN286" s="1069"/>
      <c r="PQO286" s="1069"/>
      <c r="PQP286" s="1069"/>
      <c r="PQQ286" s="1069"/>
      <c r="PQR286" s="1069"/>
      <c r="PQS286" s="1069"/>
      <c r="PQT286" s="1069"/>
      <c r="PQU286" s="1069"/>
      <c r="PQV286" s="1069"/>
      <c r="PQW286" s="1069"/>
      <c r="PQX286" s="1069"/>
      <c r="PQY286" s="1069"/>
      <c r="PQZ286" s="1069"/>
      <c r="PRA286" s="1069"/>
      <c r="PRB286" s="1069"/>
      <c r="PRC286" s="1069"/>
      <c r="PRD286" s="1069"/>
      <c r="PRE286" s="1069"/>
      <c r="PRF286" s="1069"/>
      <c r="PRG286" s="1069"/>
      <c r="PRH286" s="1069"/>
      <c r="PRI286" s="1069"/>
      <c r="PRJ286" s="1069"/>
      <c r="PRK286" s="1069"/>
      <c r="PRL286" s="1069"/>
      <c r="PRM286" s="1069"/>
      <c r="PRN286" s="1069"/>
      <c r="PRO286" s="1069"/>
      <c r="PRP286" s="1069"/>
      <c r="PRQ286" s="1069"/>
      <c r="PRR286" s="1069"/>
      <c r="PRS286" s="1069"/>
      <c r="PRT286" s="1069"/>
      <c r="PRU286" s="1069"/>
      <c r="PRV286" s="1069"/>
      <c r="PRW286" s="1069"/>
      <c r="PRX286" s="1069"/>
      <c r="PRY286" s="1069"/>
      <c r="PRZ286" s="1069"/>
      <c r="PSA286" s="1069"/>
      <c r="PSB286" s="1069"/>
      <c r="PSC286" s="1069"/>
      <c r="PSD286" s="1069"/>
      <c r="PSE286" s="1069"/>
      <c r="PSF286" s="1069"/>
      <c r="PSG286" s="1069"/>
      <c r="PSH286" s="1069"/>
      <c r="PSI286" s="1069"/>
      <c r="PSJ286" s="1069"/>
      <c r="PSK286" s="1069"/>
      <c r="PSL286" s="1069"/>
      <c r="PSM286" s="1069"/>
      <c r="PSN286" s="1069"/>
      <c r="PSO286" s="1069"/>
      <c r="PSP286" s="1069"/>
      <c r="PSQ286" s="1069"/>
      <c r="PSR286" s="1069"/>
      <c r="PSS286" s="1069"/>
      <c r="PST286" s="1069"/>
      <c r="PSU286" s="1069"/>
      <c r="PSV286" s="1069"/>
      <c r="PSW286" s="1069"/>
      <c r="PSX286" s="1069"/>
      <c r="PSY286" s="1069"/>
      <c r="PSZ286" s="1069"/>
      <c r="PTA286" s="1069"/>
      <c r="PTB286" s="1069"/>
      <c r="PTC286" s="1069"/>
      <c r="PTD286" s="1069"/>
      <c r="PTE286" s="1069"/>
      <c r="PTF286" s="1069"/>
      <c r="PTG286" s="1069"/>
      <c r="PTH286" s="1069"/>
      <c r="PTI286" s="1069"/>
      <c r="PTJ286" s="1069"/>
      <c r="PTK286" s="1069"/>
      <c r="PTL286" s="1069"/>
      <c r="PTM286" s="1069"/>
      <c r="PTN286" s="1069"/>
      <c r="PTO286" s="1069"/>
      <c r="PTP286" s="1069"/>
      <c r="PTQ286" s="1069"/>
      <c r="PTR286" s="1069"/>
      <c r="PTS286" s="1069"/>
      <c r="PTT286" s="1069"/>
      <c r="PTU286" s="1069"/>
      <c r="PTV286" s="1069"/>
      <c r="PTW286" s="1069"/>
      <c r="PTX286" s="1069"/>
      <c r="PTY286" s="1069"/>
      <c r="PTZ286" s="1069"/>
      <c r="PUA286" s="1069"/>
      <c r="PUB286" s="1069"/>
      <c r="PUC286" s="1069"/>
      <c r="PUD286" s="1069"/>
      <c r="PUE286" s="1069"/>
      <c r="PUF286" s="1069"/>
      <c r="PUG286" s="1069"/>
      <c r="PUH286" s="1069"/>
      <c r="PUI286" s="1069"/>
      <c r="PUJ286" s="1069"/>
      <c r="PUK286" s="1069"/>
      <c r="PUL286" s="1069"/>
      <c r="PUM286" s="1069"/>
      <c r="PUN286" s="1069"/>
      <c r="PUO286" s="1069"/>
      <c r="PUP286" s="1069"/>
      <c r="PUQ286" s="1069"/>
      <c r="PUR286" s="1069"/>
      <c r="PUS286" s="1069"/>
      <c r="PUT286" s="1069"/>
      <c r="PUU286" s="1069"/>
      <c r="PUV286" s="1069"/>
      <c r="PUW286" s="1069"/>
      <c r="PUX286" s="1069"/>
      <c r="PUY286" s="1069"/>
      <c r="PUZ286" s="1069"/>
      <c r="PVA286" s="1069"/>
      <c r="PVB286" s="1069"/>
      <c r="PVC286" s="1069"/>
      <c r="PVD286" s="1069"/>
      <c r="PVE286" s="1069"/>
      <c r="PVF286" s="1069"/>
      <c r="PVG286" s="1069"/>
      <c r="PVH286" s="1069"/>
      <c r="PVI286" s="1069"/>
      <c r="PVJ286" s="1069"/>
      <c r="PVK286" s="1069"/>
      <c r="PVL286" s="1069"/>
      <c r="PVM286" s="1069"/>
      <c r="PVN286" s="1069"/>
      <c r="PVO286" s="1069"/>
      <c r="PVP286" s="1069"/>
      <c r="PVQ286" s="1069"/>
      <c r="PVR286" s="1069"/>
      <c r="PVS286" s="1069"/>
      <c r="PVT286" s="1069"/>
      <c r="PVU286" s="1069"/>
      <c r="PVV286" s="1069"/>
      <c r="PVW286" s="1069"/>
      <c r="PVX286" s="1069"/>
      <c r="PVY286" s="1069"/>
      <c r="PVZ286" s="1069"/>
      <c r="PWA286" s="1069"/>
      <c r="PWB286" s="1069"/>
      <c r="PWC286" s="1069"/>
      <c r="PWD286" s="1069"/>
      <c r="PWE286" s="1069"/>
      <c r="PWF286" s="1069"/>
      <c r="PWG286" s="1069"/>
      <c r="PWH286" s="1069"/>
      <c r="PWI286" s="1069"/>
      <c r="PWJ286" s="1069"/>
      <c r="PWK286" s="1069"/>
      <c r="PWL286" s="1069"/>
      <c r="PWM286" s="1069"/>
      <c r="PWN286" s="1069"/>
      <c r="PWO286" s="1069"/>
      <c r="PWP286" s="1069"/>
      <c r="PWQ286" s="1069"/>
      <c r="PWR286" s="1069"/>
      <c r="PWS286" s="1069"/>
      <c r="PWT286" s="1069"/>
      <c r="PWU286" s="1069"/>
      <c r="PWV286" s="1069"/>
      <c r="PWW286" s="1069"/>
      <c r="PWX286" s="1069"/>
      <c r="PWY286" s="1069"/>
      <c r="PWZ286" s="1069"/>
      <c r="PXA286" s="1069"/>
      <c r="PXB286" s="1069"/>
      <c r="PXC286" s="1069"/>
      <c r="PXD286" s="1069"/>
      <c r="PXE286" s="1069"/>
      <c r="PXF286" s="1069"/>
      <c r="PXG286" s="1069"/>
      <c r="PXH286" s="1069"/>
      <c r="PXI286" s="1069"/>
      <c r="PXJ286" s="1069"/>
      <c r="PXK286" s="1069"/>
      <c r="PXL286" s="1069"/>
      <c r="PXM286" s="1069"/>
      <c r="PXN286" s="1069"/>
      <c r="PXO286" s="1069"/>
      <c r="PXP286" s="1069"/>
      <c r="PXQ286" s="1069"/>
      <c r="PXR286" s="1069"/>
      <c r="PXS286" s="1069"/>
      <c r="PXT286" s="1069"/>
      <c r="PXU286" s="1069"/>
      <c r="PXV286" s="1069"/>
      <c r="PXW286" s="1069"/>
      <c r="PXX286" s="1069"/>
      <c r="PXY286" s="1069"/>
      <c r="PXZ286" s="1069"/>
      <c r="PYA286" s="1069"/>
      <c r="PYB286" s="1069"/>
      <c r="PYC286" s="1069"/>
      <c r="PYD286" s="1069"/>
      <c r="PYE286" s="1069"/>
      <c r="PYF286" s="1069"/>
      <c r="PYG286" s="1069"/>
      <c r="PYH286" s="1069"/>
      <c r="PYI286" s="1069"/>
      <c r="PYJ286" s="1069"/>
      <c r="PYK286" s="1069"/>
      <c r="PYL286" s="1069"/>
      <c r="PYM286" s="1069"/>
      <c r="PYN286" s="1069"/>
      <c r="PYO286" s="1069"/>
      <c r="PYP286" s="1069"/>
      <c r="PYQ286" s="1069"/>
      <c r="PYR286" s="1069"/>
      <c r="PYS286" s="1069"/>
      <c r="PYT286" s="1069"/>
      <c r="PYU286" s="1069"/>
      <c r="PYV286" s="1069"/>
      <c r="PYW286" s="1069"/>
      <c r="PYX286" s="1069"/>
      <c r="PYY286" s="1069"/>
      <c r="PYZ286" s="1069"/>
      <c r="PZA286" s="1069"/>
      <c r="PZB286" s="1069"/>
      <c r="PZC286" s="1069"/>
      <c r="PZD286" s="1069"/>
      <c r="PZE286" s="1069"/>
      <c r="PZF286" s="1069"/>
      <c r="PZG286" s="1069"/>
      <c r="PZH286" s="1069"/>
      <c r="PZI286" s="1069"/>
      <c r="PZJ286" s="1069"/>
      <c r="PZK286" s="1069"/>
      <c r="PZL286" s="1069"/>
      <c r="PZM286" s="1069"/>
      <c r="PZN286" s="1069"/>
      <c r="PZO286" s="1069"/>
      <c r="PZP286" s="1069"/>
      <c r="PZQ286" s="1069"/>
      <c r="PZR286" s="1069"/>
      <c r="PZS286" s="1069"/>
      <c r="PZT286" s="1069"/>
      <c r="PZU286" s="1069"/>
      <c r="PZV286" s="1069"/>
      <c r="PZW286" s="1069"/>
      <c r="PZX286" s="1069"/>
      <c r="PZY286" s="1069"/>
      <c r="PZZ286" s="1069"/>
      <c r="QAA286" s="1069"/>
      <c r="QAB286" s="1069"/>
      <c r="QAC286" s="1069"/>
      <c r="QAD286" s="1069"/>
      <c r="QAE286" s="1069"/>
      <c r="QAF286" s="1069"/>
      <c r="QAG286" s="1069"/>
      <c r="QAH286" s="1069"/>
      <c r="QAI286" s="1069"/>
      <c r="QAJ286" s="1069"/>
      <c r="QAK286" s="1069"/>
      <c r="QAL286" s="1069"/>
      <c r="QAM286" s="1069"/>
      <c r="QAN286" s="1069"/>
      <c r="QAO286" s="1069"/>
      <c r="QAP286" s="1069"/>
      <c r="QAQ286" s="1069"/>
      <c r="QAR286" s="1069"/>
      <c r="QAS286" s="1069"/>
      <c r="QAT286" s="1069"/>
      <c r="QAU286" s="1069"/>
      <c r="QAV286" s="1069"/>
      <c r="QAW286" s="1069"/>
      <c r="QAX286" s="1069"/>
      <c r="QAY286" s="1069"/>
      <c r="QAZ286" s="1069"/>
      <c r="QBA286" s="1069"/>
      <c r="QBB286" s="1069"/>
      <c r="QBC286" s="1069"/>
      <c r="QBD286" s="1069"/>
      <c r="QBE286" s="1069"/>
      <c r="QBF286" s="1069"/>
      <c r="QBG286" s="1069"/>
      <c r="QBH286" s="1069"/>
      <c r="QBI286" s="1069"/>
      <c r="QBJ286" s="1069"/>
      <c r="QBK286" s="1069"/>
      <c r="QBL286" s="1069"/>
      <c r="QBM286" s="1069"/>
      <c r="QBN286" s="1069"/>
      <c r="QBO286" s="1069"/>
      <c r="QBP286" s="1069"/>
      <c r="QBQ286" s="1069"/>
      <c r="QBR286" s="1069"/>
      <c r="QBS286" s="1069"/>
      <c r="QBT286" s="1069"/>
      <c r="QBU286" s="1069"/>
      <c r="QBV286" s="1069"/>
      <c r="QBW286" s="1069"/>
      <c r="QBX286" s="1069"/>
      <c r="QBY286" s="1069"/>
      <c r="QBZ286" s="1069"/>
      <c r="QCA286" s="1069"/>
      <c r="QCB286" s="1069"/>
      <c r="QCC286" s="1069"/>
      <c r="QCD286" s="1069"/>
      <c r="QCE286" s="1069"/>
      <c r="QCF286" s="1069"/>
      <c r="QCG286" s="1069"/>
      <c r="QCH286" s="1069"/>
      <c r="QCI286" s="1069"/>
      <c r="QCJ286" s="1069"/>
      <c r="QCK286" s="1069"/>
      <c r="QCL286" s="1069"/>
      <c r="QCM286" s="1069"/>
      <c r="QCN286" s="1069"/>
      <c r="QCO286" s="1069"/>
      <c r="QCP286" s="1069"/>
      <c r="QCQ286" s="1069"/>
      <c r="QCR286" s="1069"/>
      <c r="QCS286" s="1069"/>
      <c r="QCT286" s="1069"/>
      <c r="QCU286" s="1069"/>
      <c r="QCV286" s="1069"/>
      <c r="QCW286" s="1069"/>
      <c r="QCX286" s="1069"/>
      <c r="QCY286" s="1069"/>
      <c r="QCZ286" s="1069"/>
      <c r="QDA286" s="1069"/>
      <c r="QDB286" s="1069"/>
      <c r="QDC286" s="1069"/>
      <c r="QDD286" s="1069"/>
      <c r="QDE286" s="1069"/>
      <c r="QDF286" s="1069"/>
      <c r="QDG286" s="1069"/>
      <c r="QDH286" s="1069"/>
      <c r="QDI286" s="1069"/>
      <c r="QDJ286" s="1069"/>
      <c r="QDK286" s="1069"/>
      <c r="QDL286" s="1069"/>
      <c r="QDM286" s="1069"/>
      <c r="QDN286" s="1069"/>
      <c r="QDO286" s="1069"/>
      <c r="QDP286" s="1069"/>
      <c r="QDQ286" s="1069"/>
      <c r="QDR286" s="1069"/>
      <c r="QDS286" s="1069"/>
      <c r="QDT286" s="1069"/>
      <c r="QDU286" s="1069"/>
      <c r="QDV286" s="1069"/>
      <c r="QDW286" s="1069"/>
      <c r="QDX286" s="1069"/>
      <c r="QDY286" s="1069"/>
      <c r="QDZ286" s="1069"/>
      <c r="QEA286" s="1069"/>
      <c r="QEB286" s="1069"/>
      <c r="QEC286" s="1069"/>
      <c r="QED286" s="1069"/>
      <c r="QEE286" s="1069"/>
      <c r="QEF286" s="1069"/>
      <c r="QEG286" s="1069"/>
      <c r="QEH286" s="1069"/>
      <c r="QEI286" s="1069"/>
      <c r="QEJ286" s="1069"/>
      <c r="QEK286" s="1069"/>
      <c r="QEL286" s="1069"/>
      <c r="QEM286" s="1069"/>
      <c r="QEN286" s="1069"/>
      <c r="QEO286" s="1069"/>
      <c r="QEP286" s="1069"/>
      <c r="QEQ286" s="1069"/>
      <c r="QER286" s="1069"/>
      <c r="QES286" s="1069"/>
      <c r="QET286" s="1069"/>
      <c r="QEU286" s="1069"/>
      <c r="QEV286" s="1069"/>
      <c r="QEW286" s="1069"/>
      <c r="QEX286" s="1069"/>
      <c r="QEY286" s="1069"/>
      <c r="QEZ286" s="1069"/>
      <c r="QFA286" s="1069"/>
      <c r="QFB286" s="1069"/>
      <c r="QFC286" s="1069"/>
      <c r="QFD286" s="1069"/>
      <c r="QFE286" s="1069"/>
      <c r="QFF286" s="1069"/>
      <c r="QFG286" s="1069"/>
      <c r="QFH286" s="1069"/>
      <c r="QFI286" s="1069"/>
      <c r="QFJ286" s="1069"/>
      <c r="QFK286" s="1069"/>
      <c r="QFL286" s="1069"/>
      <c r="QFM286" s="1069"/>
      <c r="QFN286" s="1069"/>
      <c r="QFO286" s="1069"/>
      <c r="QFP286" s="1069"/>
      <c r="QFQ286" s="1069"/>
      <c r="QFR286" s="1069"/>
      <c r="QFS286" s="1069"/>
      <c r="QFT286" s="1069"/>
      <c r="QFU286" s="1069"/>
      <c r="QFV286" s="1069"/>
      <c r="QFW286" s="1069"/>
      <c r="QFX286" s="1069"/>
      <c r="QFY286" s="1069"/>
      <c r="QFZ286" s="1069"/>
      <c r="QGA286" s="1069"/>
      <c r="QGB286" s="1069"/>
      <c r="QGC286" s="1069"/>
      <c r="QGD286" s="1069"/>
      <c r="QGE286" s="1069"/>
      <c r="QGF286" s="1069"/>
      <c r="QGG286" s="1069"/>
      <c r="QGH286" s="1069"/>
      <c r="QGI286" s="1069"/>
      <c r="QGJ286" s="1069"/>
      <c r="QGK286" s="1069"/>
      <c r="QGL286" s="1069"/>
      <c r="QGM286" s="1069"/>
      <c r="QGN286" s="1069"/>
      <c r="QGO286" s="1069"/>
      <c r="QGP286" s="1069"/>
      <c r="QGQ286" s="1069"/>
      <c r="QGR286" s="1069"/>
      <c r="QGS286" s="1069"/>
      <c r="QGT286" s="1069"/>
      <c r="QGU286" s="1069"/>
      <c r="QGV286" s="1069"/>
      <c r="QGW286" s="1069"/>
      <c r="QGX286" s="1069"/>
      <c r="QGY286" s="1069"/>
      <c r="QGZ286" s="1069"/>
      <c r="QHA286" s="1069"/>
      <c r="QHB286" s="1069"/>
      <c r="QHC286" s="1069"/>
      <c r="QHD286" s="1069"/>
      <c r="QHE286" s="1069"/>
      <c r="QHF286" s="1069"/>
      <c r="QHG286" s="1069"/>
      <c r="QHH286" s="1069"/>
      <c r="QHI286" s="1069"/>
      <c r="QHJ286" s="1069"/>
      <c r="QHK286" s="1069"/>
      <c r="QHL286" s="1069"/>
      <c r="QHM286" s="1069"/>
      <c r="QHN286" s="1069"/>
      <c r="QHO286" s="1069"/>
      <c r="QHP286" s="1069"/>
      <c r="QHQ286" s="1069"/>
      <c r="QHR286" s="1069"/>
      <c r="QHS286" s="1069"/>
      <c r="QHT286" s="1069"/>
      <c r="QHU286" s="1069"/>
      <c r="QHV286" s="1069"/>
      <c r="QHW286" s="1069"/>
      <c r="QHX286" s="1069"/>
      <c r="QHY286" s="1069"/>
      <c r="QHZ286" s="1069"/>
      <c r="QIA286" s="1069"/>
      <c r="QIB286" s="1069"/>
      <c r="QIC286" s="1069"/>
      <c r="QID286" s="1069"/>
      <c r="QIE286" s="1069"/>
      <c r="QIF286" s="1069"/>
      <c r="QIG286" s="1069"/>
      <c r="QIH286" s="1069"/>
      <c r="QII286" s="1069"/>
      <c r="QIJ286" s="1069"/>
      <c r="QIK286" s="1069"/>
      <c r="QIL286" s="1069"/>
      <c r="QIM286" s="1069"/>
      <c r="QIN286" s="1069"/>
      <c r="QIO286" s="1069"/>
      <c r="QIP286" s="1069"/>
      <c r="QIQ286" s="1069"/>
      <c r="QIR286" s="1069"/>
      <c r="QIS286" s="1069"/>
      <c r="QIT286" s="1069"/>
      <c r="QIU286" s="1069"/>
      <c r="QIV286" s="1069"/>
      <c r="QIW286" s="1069"/>
      <c r="QIX286" s="1069"/>
      <c r="QIY286" s="1069"/>
      <c r="QIZ286" s="1069"/>
      <c r="QJA286" s="1069"/>
      <c r="QJB286" s="1069"/>
      <c r="QJC286" s="1069"/>
      <c r="QJD286" s="1069"/>
      <c r="QJE286" s="1069"/>
      <c r="QJF286" s="1069"/>
      <c r="QJG286" s="1069"/>
      <c r="QJH286" s="1069"/>
      <c r="QJI286" s="1069"/>
      <c r="QJJ286" s="1069"/>
      <c r="QJK286" s="1069"/>
      <c r="QJL286" s="1069"/>
      <c r="QJM286" s="1069"/>
      <c r="QJN286" s="1069"/>
      <c r="QJO286" s="1069"/>
      <c r="QJP286" s="1069"/>
      <c r="QJQ286" s="1069"/>
      <c r="QJR286" s="1069"/>
      <c r="QJS286" s="1069"/>
      <c r="QJT286" s="1069"/>
      <c r="QJU286" s="1069"/>
      <c r="QJV286" s="1069"/>
      <c r="QJW286" s="1069"/>
      <c r="QJX286" s="1069"/>
      <c r="QJY286" s="1069"/>
      <c r="QJZ286" s="1069"/>
      <c r="QKA286" s="1069"/>
      <c r="QKB286" s="1069"/>
      <c r="QKC286" s="1069"/>
      <c r="QKD286" s="1069"/>
      <c r="QKE286" s="1069"/>
      <c r="QKF286" s="1069"/>
      <c r="QKG286" s="1069"/>
      <c r="QKH286" s="1069"/>
      <c r="QKI286" s="1069"/>
      <c r="QKJ286" s="1069"/>
      <c r="QKK286" s="1069"/>
      <c r="QKL286" s="1069"/>
      <c r="QKM286" s="1069"/>
      <c r="QKN286" s="1069"/>
      <c r="QKO286" s="1069"/>
      <c r="QKP286" s="1069"/>
      <c r="QKQ286" s="1069"/>
      <c r="QKR286" s="1069"/>
      <c r="QKS286" s="1069"/>
      <c r="QKT286" s="1069"/>
      <c r="QKU286" s="1069"/>
      <c r="QKV286" s="1069"/>
      <c r="QKW286" s="1069"/>
      <c r="QKX286" s="1069"/>
      <c r="QKY286" s="1069"/>
      <c r="QKZ286" s="1069"/>
      <c r="QLA286" s="1069"/>
      <c r="QLB286" s="1069"/>
      <c r="QLC286" s="1069"/>
      <c r="QLD286" s="1069"/>
      <c r="QLE286" s="1069"/>
      <c r="QLF286" s="1069"/>
      <c r="QLG286" s="1069"/>
      <c r="QLH286" s="1069"/>
      <c r="QLI286" s="1069"/>
      <c r="QLJ286" s="1069"/>
      <c r="QLK286" s="1069"/>
      <c r="QLL286" s="1069"/>
      <c r="QLM286" s="1069"/>
      <c r="QLN286" s="1069"/>
      <c r="QLO286" s="1069"/>
      <c r="QLP286" s="1069"/>
      <c r="QLQ286" s="1069"/>
      <c r="QLR286" s="1069"/>
      <c r="QLS286" s="1069"/>
      <c r="QLT286" s="1069"/>
      <c r="QLU286" s="1069"/>
      <c r="QLV286" s="1069"/>
      <c r="QLW286" s="1069"/>
      <c r="QLX286" s="1069"/>
      <c r="QLY286" s="1069"/>
      <c r="QLZ286" s="1069"/>
      <c r="QMA286" s="1069"/>
      <c r="QMB286" s="1069"/>
      <c r="QMC286" s="1069"/>
      <c r="QMD286" s="1069"/>
      <c r="QME286" s="1069"/>
      <c r="QMF286" s="1069"/>
      <c r="QMG286" s="1069"/>
      <c r="QMH286" s="1069"/>
      <c r="QMI286" s="1069"/>
      <c r="QMJ286" s="1069"/>
      <c r="QMK286" s="1069"/>
      <c r="QML286" s="1069"/>
      <c r="QMM286" s="1069"/>
      <c r="QMN286" s="1069"/>
      <c r="QMO286" s="1069"/>
      <c r="QMP286" s="1069"/>
      <c r="QMQ286" s="1069"/>
      <c r="QMR286" s="1069"/>
      <c r="QMS286" s="1069"/>
      <c r="QMT286" s="1069"/>
      <c r="QMU286" s="1069"/>
      <c r="QMV286" s="1069"/>
      <c r="QMW286" s="1069"/>
      <c r="QMX286" s="1069"/>
      <c r="QMY286" s="1069"/>
      <c r="QMZ286" s="1069"/>
      <c r="QNA286" s="1069"/>
      <c r="QNB286" s="1069"/>
      <c r="QNC286" s="1069"/>
      <c r="QND286" s="1069"/>
      <c r="QNE286" s="1069"/>
      <c r="QNF286" s="1069"/>
      <c r="QNG286" s="1069"/>
      <c r="QNH286" s="1069"/>
      <c r="QNI286" s="1069"/>
      <c r="QNJ286" s="1069"/>
      <c r="QNK286" s="1069"/>
      <c r="QNL286" s="1069"/>
      <c r="QNM286" s="1069"/>
      <c r="QNN286" s="1069"/>
      <c r="QNO286" s="1069"/>
      <c r="QNP286" s="1069"/>
      <c r="QNQ286" s="1069"/>
      <c r="QNR286" s="1069"/>
      <c r="QNS286" s="1069"/>
      <c r="QNT286" s="1069"/>
      <c r="QNU286" s="1069"/>
      <c r="QNV286" s="1069"/>
      <c r="QNW286" s="1069"/>
      <c r="QNX286" s="1069"/>
      <c r="QNY286" s="1069"/>
      <c r="QNZ286" s="1069"/>
      <c r="QOA286" s="1069"/>
      <c r="QOB286" s="1069"/>
      <c r="QOC286" s="1069"/>
      <c r="QOD286" s="1069"/>
      <c r="QOE286" s="1069"/>
      <c r="QOF286" s="1069"/>
      <c r="QOG286" s="1069"/>
      <c r="QOH286" s="1069"/>
      <c r="QOI286" s="1069"/>
      <c r="QOJ286" s="1069"/>
      <c r="QOK286" s="1069"/>
      <c r="QOL286" s="1069"/>
      <c r="QOM286" s="1069"/>
      <c r="QON286" s="1069"/>
      <c r="QOO286" s="1069"/>
      <c r="QOP286" s="1069"/>
      <c r="QOQ286" s="1069"/>
      <c r="QOR286" s="1069"/>
      <c r="QOS286" s="1069"/>
      <c r="QOT286" s="1069"/>
      <c r="QOU286" s="1069"/>
      <c r="QOV286" s="1069"/>
      <c r="QOW286" s="1069"/>
      <c r="QOX286" s="1069"/>
      <c r="QOY286" s="1069"/>
      <c r="QOZ286" s="1069"/>
      <c r="QPA286" s="1069"/>
      <c r="QPB286" s="1069"/>
      <c r="QPC286" s="1069"/>
      <c r="QPD286" s="1069"/>
      <c r="QPE286" s="1069"/>
      <c r="QPF286" s="1069"/>
      <c r="QPG286" s="1069"/>
      <c r="QPH286" s="1069"/>
      <c r="QPI286" s="1069"/>
      <c r="QPJ286" s="1069"/>
      <c r="QPK286" s="1069"/>
      <c r="QPL286" s="1069"/>
      <c r="QPM286" s="1069"/>
      <c r="QPN286" s="1069"/>
      <c r="QPO286" s="1069"/>
      <c r="QPP286" s="1069"/>
      <c r="QPQ286" s="1069"/>
      <c r="QPR286" s="1069"/>
      <c r="QPS286" s="1069"/>
      <c r="QPT286" s="1069"/>
      <c r="QPU286" s="1069"/>
      <c r="QPV286" s="1069"/>
      <c r="QPW286" s="1069"/>
      <c r="QPX286" s="1069"/>
      <c r="QPY286" s="1069"/>
      <c r="QPZ286" s="1069"/>
      <c r="QQA286" s="1069"/>
      <c r="QQB286" s="1069"/>
      <c r="QQC286" s="1069"/>
      <c r="QQD286" s="1069"/>
      <c r="QQE286" s="1069"/>
      <c r="QQF286" s="1069"/>
      <c r="QQG286" s="1069"/>
      <c r="QQH286" s="1069"/>
      <c r="QQI286" s="1069"/>
      <c r="QQJ286" s="1069"/>
      <c r="QQK286" s="1069"/>
      <c r="QQL286" s="1069"/>
      <c r="QQM286" s="1069"/>
      <c r="QQN286" s="1069"/>
      <c r="QQO286" s="1069"/>
      <c r="QQP286" s="1069"/>
      <c r="QQQ286" s="1069"/>
      <c r="QQR286" s="1069"/>
      <c r="QQS286" s="1069"/>
      <c r="QQT286" s="1069"/>
      <c r="QQU286" s="1069"/>
      <c r="QQV286" s="1069"/>
      <c r="QQW286" s="1069"/>
      <c r="QQX286" s="1069"/>
      <c r="QQY286" s="1069"/>
      <c r="QQZ286" s="1069"/>
      <c r="QRA286" s="1069"/>
      <c r="QRB286" s="1069"/>
      <c r="QRC286" s="1069"/>
      <c r="QRD286" s="1069"/>
      <c r="QRE286" s="1069"/>
      <c r="QRF286" s="1069"/>
      <c r="QRG286" s="1069"/>
      <c r="QRH286" s="1069"/>
      <c r="QRI286" s="1069"/>
      <c r="QRJ286" s="1069"/>
      <c r="QRK286" s="1069"/>
      <c r="QRL286" s="1069"/>
      <c r="QRM286" s="1069"/>
      <c r="QRN286" s="1069"/>
      <c r="QRO286" s="1069"/>
      <c r="QRP286" s="1069"/>
      <c r="QRQ286" s="1069"/>
      <c r="QRR286" s="1069"/>
      <c r="QRS286" s="1069"/>
      <c r="QRT286" s="1069"/>
      <c r="QRU286" s="1069"/>
      <c r="QRV286" s="1069"/>
      <c r="QRW286" s="1069"/>
      <c r="QRX286" s="1069"/>
      <c r="QRY286" s="1069"/>
      <c r="QRZ286" s="1069"/>
      <c r="QSA286" s="1069"/>
      <c r="QSB286" s="1069"/>
      <c r="QSC286" s="1069"/>
      <c r="QSD286" s="1069"/>
      <c r="QSE286" s="1069"/>
      <c r="QSF286" s="1069"/>
      <c r="QSG286" s="1069"/>
      <c r="QSH286" s="1069"/>
      <c r="QSI286" s="1069"/>
      <c r="QSJ286" s="1069"/>
      <c r="QSK286" s="1069"/>
      <c r="QSL286" s="1069"/>
      <c r="QSM286" s="1069"/>
      <c r="QSN286" s="1069"/>
      <c r="QSO286" s="1069"/>
      <c r="QSP286" s="1069"/>
      <c r="QSQ286" s="1069"/>
      <c r="QSR286" s="1069"/>
      <c r="QSS286" s="1069"/>
      <c r="QST286" s="1069"/>
      <c r="QSU286" s="1069"/>
      <c r="QSV286" s="1069"/>
      <c r="QSW286" s="1069"/>
      <c r="QSX286" s="1069"/>
      <c r="QSY286" s="1069"/>
      <c r="QSZ286" s="1069"/>
      <c r="QTA286" s="1069"/>
      <c r="QTB286" s="1069"/>
      <c r="QTC286" s="1069"/>
      <c r="QTD286" s="1069"/>
      <c r="QTE286" s="1069"/>
      <c r="QTF286" s="1069"/>
      <c r="QTG286" s="1069"/>
      <c r="QTH286" s="1069"/>
      <c r="QTI286" s="1069"/>
      <c r="QTJ286" s="1069"/>
      <c r="QTK286" s="1069"/>
      <c r="QTL286" s="1069"/>
      <c r="QTM286" s="1069"/>
      <c r="QTN286" s="1069"/>
      <c r="QTO286" s="1069"/>
      <c r="QTP286" s="1069"/>
      <c r="QTQ286" s="1069"/>
      <c r="QTR286" s="1069"/>
      <c r="QTS286" s="1069"/>
      <c r="QTT286" s="1069"/>
      <c r="QTU286" s="1069"/>
      <c r="QTV286" s="1069"/>
      <c r="QTW286" s="1069"/>
      <c r="QTX286" s="1069"/>
      <c r="QTY286" s="1069"/>
      <c r="QTZ286" s="1069"/>
      <c r="QUA286" s="1069"/>
      <c r="QUB286" s="1069"/>
      <c r="QUC286" s="1069"/>
      <c r="QUD286" s="1069"/>
      <c r="QUE286" s="1069"/>
      <c r="QUF286" s="1069"/>
      <c r="QUG286" s="1069"/>
      <c r="QUH286" s="1069"/>
      <c r="QUI286" s="1069"/>
      <c r="QUJ286" s="1069"/>
      <c r="QUK286" s="1069"/>
      <c r="QUL286" s="1069"/>
      <c r="QUM286" s="1069"/>
      <c r="QUN286" s="1069"/>
      <c r="QUO286" s="1069"/>
      <c r="QUP286" s="1069"/>
      <c r="QUQ286" s="1069"/>
      <c r="QUR286" s="1069"/>
      <c r="QUS286" s="1069"/>
      <c r="QUT286" s="1069"/>
      <c r="QUU286" s="1069"/>
      <c r="QUV286" s="1069"/>
      <c r="QUW286" s="1069"/>
      <c r="QUX286" s="1069"/>
      <c r="QUY286" s="1069"/>
      <c r="QUZ286" s="1069"/>
      <c r="QVA286" s="1069"/>
      <c r="QVB286" s="1069"/>
      <c r="QVC286" s="1069"/>
      <c r="QVD286" s="1069"/>
      <c r="QVE286" s="1069"/>
      <c r="QVF286" s="1069"/>
      <c r="QVG286" s="1069"/>
      <c r="QVH286" s="1069"/>
      <c r="QVI286" s="1069"/>
      <c r="QVJ286" s="1069"/>
      <c r="QVK286" s="1069"/>
      <c r="QVL286" s="1069"/>
      <c r="QVM286" s="1069"/>
      <c r="QVN286" s="1069"/>
      <c r="QVO286" s="1069"/>
      <c r="QVP286" s="1069"/>
      <c r="QVQ286" s="1069"/>
      <c r="QVR286" s="1069"/>
      <c r="QVS286" s="1069"/>
      <c r="QVT286" s="1069"/>
      <c r="QVU286" s="1069"/>
      <c r="QVV286" s="1069"/>
      <c r="QVW286" s="1069"/>
      <c r="QVX286" s="1069"/>
      <c r="QVY286" s="1069"/>
      <c r="QVZ286" s="1069"/>
      <c r="QWA286" s="1069"/>
      <c r="QWB286" s="1069"/>
      <c r="QWC286" s="1069"/>
      <c r="QWD286" s="1069"/>
      <c r="QWE286" s="1069"/>
      <c r="QWF286" s="1069"/>
      <c r="QWG286" s="1069"/>
      <c r="QWH286" s="1069"/>
      <c r="QWI286" s="1069"/>
      <c r="QWJ286" s="1069"/>
      <c r="QWK286" s="1069"/>
      <c r="QWL286" s="1069"/>
      <c r="QWM286" s="1069"/>
      <c r="QWN286" s="1069"/>
      <c r="QWO286" s="1069"/>
      <c r="QWP286" s="1069"/>
      <c r="QWQ286" s="1069"/>
      <c r="QWR286" s="1069"/>
      <c r="QWS286" s="1069"/>
      <c r="QWT286" s="1069"/>
      <c r="QWU286" s="1069"/>
      <c r="QWV286" s="1069"/>
      <c r="QWW286" s="1069"/>
      <c r="QWX286" s="1069"/>
      <c r="QWY286" s="1069"/>
      <c r="QWZ286" s="1069"/>
      <c r="QXA286" s="1069"/>
      <c r="QXB286" s="1069"/>
      <c r="QXC286" s="1069"/>
      <c r="QXD286" s="1069"/>
      <c r="QXE286" s="1069"/>
      <c r="QXF286" s="1069"/>
      <c r="QXG286" s="1069"/>
      <c r="QXH286" s="1069"/>
      <c r="QXI286" s="1069"/>
      <c r="QXJ286" s="1069"/>
      <c r="QXK286" s="1069"/>
      <c r="QXL286" s="1069"/>
      <c r="QXM286" s="1069"/>
      <c r="QXN286" s="1069"/>
      <c r="QXO286" s="1069"/>
      <c r="QXP286" s="1069"/>
      <c r="QXQ286" s="1069"/>
      <c r="QXR286" s="1069"/>
      <c r="QXS286" s="1069"/>
      <c r="QXT286" s="1069"/>
      <c r="QXU286" s="1069"/>
      <c r="QXV286" s="1069"/>
      <c r="QXW286" s="1069"/>
      <c r="QXX286" s="1069"/>
      <c r="QXY286" s="1069"/>
      <c r="QXZ286" s="1069"/>
      <c r="QYA286" s="1069"/>
      <c r="QYB286" s="1069"/>
      <c r="QYC286" s="1069"/>
      <c r="QYD286" s="1069"/>
      <c r="QYE286" s="1069"/>
      <c r="QYF286" s="1069"/>
      <c r="QYG286" s="1069"/>
      <c r="QYH286" s="1069"/>
      <c r="QYI286" s="1069"/>
      <c r="QYJ286" s="1069"/>
      <c r="QYK286" s="1069"/>
      <c r="QYL286" s="1069"/>
      <c r="QYM286" s="1069"/>
      <c r="QYN286" s="1069"/>
      <c r="QYO286" s="1069"/>
      <c r="QYP286" s="1069"/>
      <c r="QYQ286" s="1069"/>
      <c r="QYR286" s="1069"/>
      <c r="QYS286" s="1069"/>
      <c r="QYT286" s="1069"/>
      <c r="QYU286" s="1069"/>
      <c r="QYV286" s="1069"/>
      <c r="QYW286" s="1069"/>
      <c r="QYX286" s="1069"/>
      <c r="QYY286" s="1069"/>
      <c r="QYZ286" s="1069"/>
      <c r="QZA286" s="1069"/>
      <c r="QZB286" s="1069"/>
      <c r="QZC286" s="1069"/>
      <c r="QZD286" s="1069"/>
      <c r="QZE286" s="1069"/>
      <c r="QZF286" s="1069"/>
      <c r="QZG286" s="1069"/>
      <c r="QZH286" s="1069"/>
      <c r="QZI286" s="1069"/>
      <c r="QZJ286" s="1069"/>
      <c r="QZK286" s="1069"/>
      <c r="QZL286" s="1069"/>
      <c r="QZM286" s="1069"/>
      <c r="QZN286" s="1069"/>
      <c r="QZO286" s="1069"/>
      <c r="QZP286" s="1069"/>
      <c r="QZQ286" s="1069"/>
      <c r="QZR286" s="1069"/>
      <c r="QZS286" s="1069"/>
      <c r="QZT286" s="1069"/>
      <c r="QZU286" s="1069"/>
      <c r="QZV286" s="1069"/>
      <c r="QZW286" s="1069"/>
      <c r="QZX286" s="1069"/>
      <c r="QZY286" s="1069"/>
      <c r="QZZ286" s="1069"/>
      <c r="RAA286" s="1069"/>
      <c r="RAB286" s="1069"/>
      <c r="RAC286" s="1069"/>
      <c r="RAD286" s="1069"/>
      <c r="RAE286" s="1069"/>
      <c r="RAF286" s="1069"/>
      <c r="RAG286" s="1069"/>
      <c r="RAH286" s="1069"/>
      <c r="RAI286" s="1069"/>
      <c r="RAJ286" s="1069"/>
      <c r="RAK286" s="1069"/>
      <c r="RAL286" s="1069"/>
      <c r="RAM286" s="1069"/>
      <c r="RAN286" s="1069"/>
      <c r="RAO286" s="1069"/>
      <c r="RAP286" s="1069"/>
      <c r="RAQ286" s="1069"/>
      <c r="RAR286" s="1069"/>
      <c r="RAS286" s="1069"/>
      <c r="RAT286" s="1069"/>
      <c r="RAU286" s="1069"/>
      <c r="RAV286" s="1069"/>
      <c r="RAW286" s="1069"/>
      <c r="RAX286" s="1069"/>
      <c r="RAY286" s="1069"/>
      <c r="RAZ286" s="1069"/>
      <c r="RBA286" s="1069"/>
      <c r="RBB286" s="1069"/>
      <c r="RBC286" s="1069"/>
      <c r="RBD286" s="1069"/>
      <c r="RBE286" s="1069"/>
      <c r="RBF286" s="1069"/>
      <c r="RBG286" s="1069"/>
      <c r="RBH286" s="1069"/>
      <c r="RBI286" s="1069"/>
      <c r="RBJ286" s="1069"/>
      <c r="RBK286" s="1069"/>
      <c r="RBL286" s="1069"/>
      <c r="RBM286" s="1069"/>
      <c r="RBN286" s="1069"/>
      <c r="RBO286" s="1069"/>
      <c r="RBP286" s="1069"/>
      <c r="RBQ286" s="1069"/>
      <c r="RBR286" s="1069"/>
      <c r="RBS286" s="1069"/>
      <c r="RBT286" s="1069"/>
      <c r="RBU286" s="1069"/>
      <c r="RBV286" s="1069"/>
      <c r="RBW286" s="1069"/>
      <c r="RBX286" s="1069"/>
      <c r="RBY286" s="1069"/>
      <c r="RBZ286" s="1069"/>
      <c r="RCA286" s="1069"/>
      <c r="RCB286" s="1069"/>
      <c r="RCC286" s="1069"/>
      <c r="RCD286" s="1069"/>
      <c r="RCE286" s="1069"/>
      <c r="RCF286" s="1069"/>
      <c r="RCG286" s="1069"/>
      <c r="RCH286" s="1069"/>
      <c r="RCI286" s="1069"/>
      <c r="RCJ286" s="1069"/>
      <c r="RCK286" s="1069"/>
      <c r="RCL286" s="1069"/>
      <c r="RCM286" s="1069"/>
      <c r="RCN286" s="1069"/>
      <c r="RCO286" s="1069"/>
      <c r="RCP286" s="1069"/>
      <c r="RCQ286" s="1069"/>
      <c r="RCR286" s="1069"/>
      <c r="RCS286" s="1069"/>
      <c r="RCT286" s="1069"/>
      <c r="RCU286" s="1069"/>
      <c r="RCV286" s="1069"/>
      <c r="RCW286" s="1069"/>
      <c r="RCX286" s="1069"/>
      <c r="RCY286" s="1069"/>
      <c r="RCZ286" s="1069"/>
      <c r="RDA286" s="1069"/>
      <c r="RDB286" s="1069"/>
      <c r="RDC286" s="1069"/>
      <c r="RDD286" s="1069"/>
      <c r="RDE286" s="1069"/>
      <c r="RDF286" s="1069"/>
      <c r="RDG286" s="1069"/>
      <c r="RDH286" s="1069"/>
      <c r="RDI286" s="1069"/>
      <c r="RDJ286" s="1069"/>
      <c r="RDK286" s="1069"/>
      <c r="RDL286" s="1069"/>
      <c r="RDM286" s="1069"/>
      <c r="RDN286" s="1069"/>
      <c r="RDO286" s="1069"/>
      <c r="RDP286" s="1069"/>
      <c r="RDQ286" s="1069"/>
      <c r="RDR286" s="1069"/>
      <c r="RDS286" s="1069"/>
      <c r="RDT286" s="1069"/>
      <c r="RDU286" s="1069"/>
      <c r="RDV286" s="1069"/>
      <c r="RDW286" s="1069"/>
      <c r="RDX286" s="1069"/>
      <c r="RDY286" s="1069"/>
      <c r="RDZ286" s="1069"/>
      <c r="REA286" s="1069"/>
      <c r="REB286" s="1069"/>
      <c r="REC286" s="1069"/>
      <c r="RED286" s="1069"/>
      <c r="REE286" s="1069"/>
      <c r="REF286" s="1069"/>
      <c r="REG286" s="1069"/>
      <c r="REH286" s="1069"/>
      <c r="REI286" s="1069"/>
      <c r="REJ286" s="1069"/>
      <c r="REK286" s="1069"/>
      <c r="REL286" s="1069"/>
      <c r="REM286" s="1069"/>
      <c r="REN286" s="1069"/>
      <c r="REO286" s="1069"/>
      <c r="REP286" s="1069"/>
      <c r="REQ286" s="1069"/>
      <c r="RER286" s="1069"/>
      <c r="RES286" s="1069"/>
      <c r="RET286" s="1069"/>
      <c r="REU286" s="1069"/>
      <c r="REV286" s="1069"/>
      <c r="REW286" s="1069"/>
      <c r="REX286" s="1069"/>
      <c r="REY286" s="1069"/>
      <c r="REZ286" s="1069"/>
      <c r="RFA286" s="1069"/>
      <c r="RFB286" s="1069"/>
      <c r="RFC286" s="1069"/>
      <c r="RFD286" s="1069"/>
      <c r="RFE286" s="1069"/>
      <c r="RFF286" s="1069"/>
      <c r="RFG286" s="1069"/>
      <c r="RFH286" s="1069"/>
      <c r="RFI286" s="1069"/>
      <c r="RFJ286" s="1069"/>
      <c r="RFK286" s="1069"/>
      <c r="RFL286" s="1069"/>
      <c r="RFM286" s="1069"/>
      <c r="RFN286" s="1069"/>
      <c r="RFO286" s="1069"/>
      <c r="RFP286" s="1069"/>
      <c r="RFQ286" s="1069"/>
      <c r="RFR286" s="1069"/>
      <c r="RFS286" s="1069"/>
      <c r="RFT286" s="1069"/>
      <c r="RFU286" s="1069"/>
      <c r="RFV286" s="1069"/>
      <c r="RFW286" s="1069"/>
      <c r="RFX286" s="1069"/>
      <c r="RFY286" s="1069"/>
      <c r="RFZ286" s="1069"/>
      <c r="RGA286" s="1069"/>
      <c r="RGB286" s="1069"/>
      <c r="RGC286" s="1069"/>
      <c r="RGD286" s="1069"/>
      <c r="RGE286" s="1069"/>
      <c r="RGF286" s="1069"/>
      <c r="RGG286" s="1069"/>
      <c r="RGH286" s="1069"/>
      <c r="RGI286" s="1069"/>
      <c r="RGJ286" s="1069"/>
      <c r="RGK286" s="1069"/>
      <c r="RGL286" s="1069"/>
      <c r="RGM286" s="1069"/>
      <c r="RGN286" s="1069"/>
      <c r="RGO286" s="1069"/>
      <c r="RGP286" s="1069"/>
      <c r="RGQ286" s="1069"/>
      <c r="RGR286" s="1069"/>
      <c r="RGS286" s="1069"/>
      <c r="RGT286" s="1069"/>
      <c r="RGU286" s="1069"/>
      <c r="RGV286" s="1069"/>
      <c r="RGW286" s="1069"/>
      <c r="RGX286" s="1069"/>
      <c r="RGY286" s="1069"/>
      <c r="RGZ286" s="1069"/>
      <c r="RHA286" s="1069"/>
      <c r="RHB286" s="1069"/>
      <c r="RHC286" s="1069"/>
      <c r="RHD286" s="1069"/>
      <c r="RHE286" s="1069"/>
      <c r="RHF286" s="1069"/>
      <c r="RHG286" s="1069"/>
      <c r="RHH286" s="1069"/>
      <c r="RHI286" s="1069"/>
      <c r="RHJ286" s="1069"/>
      <c r="RHK286" s="1069"/>
      <c r="RHL286" s="1069"/>
      <c r="RHM286" s="1069"/>
      <c r="RHN286" s="1069"/>
      <c r="RHO286" s="1069"/>
      <c r="RHP286" s="1069"/>
      <c r="RHQ286" s="1069"/>
      <c r="RHR286" s="1069"/>
      <c r="RHS286" s="1069"/>
      <c r="RHT286" s="1069"/>
      <c r="RHU286" s="1069"/>
      <c r="RHV286" s="1069"/>
      <c r="RHW286" s="1069"/>
      <c r="RHX286" s="1069"/>
      <c r="RHY286" s="1069"/>
      <c r="RHZ286" s="1069"/>
      <c r="RIA286" s="1069"/>
      <c r="RIB286" s="1069"/>
      <c r="RIC286" s="1069"/>
      <c r="RID286" s="1069"/>
      <c r="RIE286" s="1069"/>
      <c r="RIF286" s="1069"/>
      <c r="RIG286" s="1069"/>
      <c r="RIH286" s="1069"/>
      <c r="RII286" s="1069"/>
      <c r="RIJ286" s="1069"/>
      <c r="RIK286" s="1069"/>
      <c r="RIL286" s="1069"/>
      <c r="RIM286" s="1069"/>
      <c r="RIN286" s="1069"/>
      <c r="RIO286" s="1069"/>
      <c r="RIP286" s="1069"/>
      <c r="RIQ286" s="1069"/>
      <c r="RIR286" s="1069"/>
      <c r="RIS286" s="1069"/>
      <c r="RIT286" s="1069"/>
      <c r="RIU286" s="1069"/>
      <c r="RIV286" s="1069"/>
      <c r="RIW286" s="1069"/>
      <c r="RIX286" s="1069"/>
      <c r="RIY286" s="1069"/>
      <c r="RIZ286" s="1069"/>
      <c r="RJA286" s="1069"/>
      <c r="RJB286" s="1069"/>
      <c r="RJC286" s="1069"/>
      <c r="RJD286" s="1069"/>
      <c r="RJE286" s="1069"/>
      <c r="RJF286" s="1069"/>
      <c r="RJG286" s="1069"/>
      <c r="RJH286" s="1069"/>
      <c r="RJI286" s="1069"/>
      <c r="RJJ286" s="1069"/>
      <c r="RJK286" s="1069"/>
      <c r="RJL286" s="1069"/>
      <c r="RJM286" s="1069"/>
      <c r="RJN286" s="1069"/>
      <c r="RJO286" s="1069"/>
      <c r="RJP286" s="1069"/>
      <c r="RJQ286" s="1069"/>
      <c r="RJR286" s="1069"/>
      <c r="RJS286" s="1069"/>
      <c r="RJT286" s="1069"/>
      <c r="RJU286" s="1069"/>
      <c r="RJV286" s="1069"/>
      <c r="RJW286" s="1069"/>
      <c r="RJX286" s="1069"/>
      <c r="RJY286" s="1069"/>
      <c r="RJZ286" s="1069"/>
      <c r="RKA286" s="1069"/>
      <c r="RKB286" s="1069"/>
      <c r="RKC286" s="1069"/>
      <c r="RKD286" s="1069"/>
      <c r="RKE286" s="1069"/>
      <c r="RKF286" s="1069"/>
      <c r="RKG286" s="1069"/>
      <c r="RKH286" s="1069"/>
      <c r="RKI286" s="1069"/>
      <c r="RKJ286" s="1069"/>
      <c r="RKK286" s="1069"/>
      <c r="RKL286" s="1069"/>
      <c r="RKM286" s="1069"/>
      <c r="RKN286" s="1069"/>
      <c r="RKO286" s="1069"/>
      <c r="RKP286" s="1069"/>
      <c r="RKQ286" s="1069"/>
      <c r="RKR286" s="1069"/>
      <c r="RKS286" s="1069"/>
      <c r="RKT286" s="1069"/>
      <c r="RKU286" s="1069"/>
      <c r="RKV286" s="1069"/>
      <c r="RKW286" s="1069"/>
      <c r="RKX286" s="1069"/>
      <c r="RKY286" s="1069"/>
      <c r="RKZ286" s="1069"/>
      <c r="RLA286" s="1069"/>
      <c r="RLB286" s="1069"/>
      <c r="RLC286" s="1069"/>
      <c r="RLD286" s="1069"/>
      <c r="RLE286" s="1069"/>
      <c r="RLF286" s="1069"/>
      <c r="RLG286" s="1069"/>
      <c r="RLH286" s="1069"/>
      <c r="RLI286" s="1069"/>
      <c r="RLJ286" s="1069"/>
      <c r="RLK286" s="1069"/>
      <c r="RLL286" s="1069"/>
      <c r="RLM286" s="1069"/>
      <c r="RLN286" s="1069"/>
      <c r="RLO286" s="1069"/>
      <c r="RLP286" s="1069"/>
      <c r="RLQ286" s="1069"/>
      <c r="RLR286" s="1069"/>
      <c r="RLS286" s="1069"/>
      <c r="RLT286" s="1069"/>
      <c r="RLU286" s="1069"/>
      <c r="RLV286" s="1069"/>
      <c r="RLW286" s="1069"/>
      <c r="RLX286" s="1069"/>
      <c r="RLY286" s="1069"/>
      <c r="RLZ286" s="1069"/>
      <c r="RMA286" s="1069"/>
      <c r="RMB286" s="1069"/>
      <c r="RMC286" s="1069"/>
      <c r="RMD286" s="1069"/>
      <c r="RME286" s="1069"/>
      <c r="RMF286" s="1069"/>
      <c r="RMG286" s="1069"/>
      <c r="RMH286" s="1069"/>
      <c r="RMI286" s="1069"/>
      <c r="RMJ286" s="1069"/>
      <c r="RMK286" s="1069"/>
      <c r="RML286" s="1069"/>
      <c r="RMM286" s="1069"/>
      <c r="RMN286" s="1069"/>
      <c r="RMO286" s="1069"/>
      <c r="RMP286" s="1069"/>
      <c r="RMQ286" s="1069"/>
      <c r="RMR286" s="1069"/>
      <c r="RMS286" s="1069"/>
      <c r="RMT286" s="1069"/>
      <c r="RMU286" s="1069"/>
      <c r="RMV286" s="1069"/>
      <c r="RMW286" s="1069"/>
      <c r="RMX286" s="1069"/>
      <c r="RMY286" s="1069"/>
      <c r="RMZ286" s="1069"/>
      <c r="RNA286" s="1069"/>
      <c r="RNB286" s="1069"/>
      <c r="RNC286" s="1069"/>
      <c r="RND286" s="1069"/>
      <c r="RNE286" s="1069"/>
      <c r="RNF286" s="1069"/>
      <c r="RNG286" s="1069"/>
      <c r="RNH286" s="1069"/>
      <c r="RNI286" s="1069"/>
      <c r="RNJ286" s="1069"/>
      <c r="RNK286" s="1069"/>
      <c r="RNL286" s="1069"/>
      <c r="RNM286" s="1069"/>
      <c r="RNN286" s="1069"/>
      <c r="RNO286" s="1069"/>
      <c r="RNP286" s="1069"/>
      <c r="RNQ286" s="1069"/>
      <c r="RNR286" s="1069"/>
      <c r="RNS286" s="1069"/>
      <c r="RNT286" s="1069"/>
      <c r="RNU286" s="1069"/>
      <c r="RNV286" s="1069"/>
      <c r="RNW286" s="1069"/>
      <c r="RNX286" s="1069"/>
      <c r="RNY286" s="1069"/>
      <c r="RNZ286" s="1069"/>
      <c r="ROA286" s="1069"/>
      <c r="ROB286" s="1069"/>
      <c r="ROC286" s="1069"/>
      <c r="ROD286" s="1069"/>
      <c r="ROE286" s="1069"/>
      <c r="ROF286" s="1069"/>
      <c r="ROG286" s="1069"/>
      <c r="ROH286" s="1069"/>
      <c r="ROI286" s="1069"/>
      <c r="ROJ286" s="1069"/>
      <c r="ROK286" s="1069"/>
      <c r="ROL286" s="1069"/>
      <c r="ROM286" s="1069"/>
      <c r="RON286" s="1069"/>
      <c r="ROO286" s="1069"/>
      <c r="ROP286" s="1069"/>
      <c r="ROQ286" s="1069"/>
      <c r="ROR286" s="1069"/>
      <c r="ROS286" s="1069"/>
      <c r="ROT286" s="1069"/>
      <c r="ROU286" s="1069"/>
      <c r="ROV286" s="1069"/>
      <c r="ROW286" s="1069"/>
      <c r="ROX286" s="1069"/>
      <c r="ROY286" s="1069"/>
      <c r="ROZ286" s="1069"/>
      <c r="RPA286" s="1069"/>
      <c r="RPB286" s="1069"/>
      <c r="RPC286" s="1069"/>
      <c r="RPD286" s="1069"/>
      <c r="RPE286" s="1069"/>
      <c r="RPF286" s="1069"/>
      <c r="RPG286" s="1069"/>
      <c r="RPH286" s="1069"/>
      <c r="RPI286" s="1069"/>
      <c r="RPJ286" s="1069"/>
      <c r="RPK286" s="1069"/>
      <c r="RPL286" s="1069"/>
      <c r="RPM286" s="1069"/>
      <c r="RPN286" s="1069"/>
      <c r="RPO286" s="1069"/>
      <c r="RPP286" s="1069"/>
      <c r="RPQ286" s="1069"/>
      <c r="RPR286" s="1069"/>
      <c r="RPS286" s="1069"/>
      <c r="RPT286" s="1069"/>
      <c r="RPU286" s="1069"/>
      <c r="RPV286" s="1069"/>
      <c r="RPW286" s="1069"/>
      <c r="RPX286" s="1069"/>
      <c r="RPY286" s="1069"/>
      <c r="RPZ286" s="1069"/>
      <c r="RQA286" s="1069"/>
      <c r="RQB286" s="1069"/>
      <c r="RQC286" s="1069"/>
      <c r="RQD286" s="1069"/>
      <c r="RQE286" s="1069"/>
      <c r="RQF286" s="1069"/>
      <c r="RQG286" s="1069"/>
      <c r="RQH286" s="1069"/>
      <c r="RQI286" s="1069"/>
      <c r="RQJ286" s="1069"/>
      <c r="RQK286" s="1069"/>
      <c r="RQL286" s="1069"/>
      <c r="RQM286" s="1069"/>
      <c r="RQN286" s="1069"/>
      <c r="RQO286" s="1069"/>
      <c r="RQP286" s="1069"/>
      <c r="RQQ286" s="1069"/>
      <c r="RQR286" s="1069"/>
      <c r="RQS286" s="1069"/>
      <c r="RQT286" s="1069"/>
      <c r="RQU286" s="1069"/>
      <c r="RQV286" s="1069"/>
      <c r="RQW286" s="1069"/>
      <c r="RQX286" s="1069"/>
      <c r="RQY286" s="1069"/>
      <c r="RQZ286" s="1069"/>
      <c r="RRA286" s="1069"/>
      <c r="RRB286" s="1069"/>
      <c r="RRC286" s="1069"/>
      <c r="RRD286" s="1069"/>
      <c r="RRE286" s="1069"/>
      <c r="RRF286" s="1069"/>
      <c r="RRG286" s="1069"/>
      <c r="RRH286" s="1069"/>
      <c r="RRI286" s="1069"/>
      <c r="RRJ286" s="1069"/>
      <c r="RRK286" s="1069"/>
      <c r="RRL286" s="1069"/>
      <c r="RRM286" s="1069"/>
      <c r="RRN286" s="1069"/>
      <c r="RRO286" s="1069"/>
      <c r="RRP286" s="1069"/>
      <c r="RRQ286" s="1069"/>
      <c r="RRR286" s="1069"/>
      <c r="RRS286" s="1069"/>
      <c r="RRT286" s="1069"/>
      <c r="RRU286" s="1069"/>
      <c r="RRV286" s="1069"/>
      <c r="RRW286" s="1069"/>
      <c r="RRX286" s="1069"/>
      <c r="RRY286" s="1069"/>
      <c r="RRZ286" s="1069"/>
      <c r="RSA286" s="1069"/>
      <c r="RSB286" s="1069"/>
      <c r="RSC286" s="1069"/>
      <c r="RSD286" s="1069"/>
      <c r="RSE286" s="1069"/>
      <c r="RSF286" s="1069"/>
      <c r="RSG286" s="1069"/>
      <c r="RSH286" s="1069"/>
      <c r="RSI286" s="1069"/>
      <c r="RSJ286" s="1069"/>
      <c r="RSK286" s="1069"/>
      <c r="RSL286" s="1069"/>
      <c r="RSM286" s="1069"/>
      <c r="RSN286" s="1069"/>
      <c r="RSO286" s="1069"/>
      <c r="RSP286" s="1069"/>
      <c r="RSQ286" s="1069"/>
      <c r="RSR286" s="1069"/>
      <c r="RSS286" s="1069"/>
      <c r="RST286" s="1069"/>
      <c r="RSU286" s="1069"/>
      <c r="RSV286" s="1069"/>
      <c r="RSW286" s="1069"/>
      <c r="RSX286" s="1069"/>
      <c r="RSY286" s="1069"/>
      <c r="RSZ286" s="1069"/>
      <c r="RTA286" s="1069"/>
      <c r="RTB286" s="1069"/>
      <c r="RTC286" s="1069"/>
      <c r="RTD286" s="1069"/>
      <c r="RTE286" s="1069"/>
      <c r="RTF286" s="1069"/>
      <c r="RTG286" s="1069"/>
      <c r="RTH286" s="1069"/>
      <c r="RTI286" s="1069"/>
      <c r="RTJ286" s="1069"/>
      <c r="RTK286" s="1069"/>
      <c r="RTL286" s="1069"/>
      <c r="RTM286" s="1069"/>
      <c r="RTN286" s="1069"/>
      <c r="RTO286" s="1069"/>
      <c r="RTP286" s="1069"/>
      <c r="RTQ286" s="1069"/>
      <c r="RTR286" s="1069"/>
      <c r="RTS286" s="1069"/>
      <c r="RTT286" s="1069"/>
      <c r="RTU286" s="1069"/>
      <c r="RTV286" s="1069"/>
      <c r="RTW286" s="1069"/>
      <c r="RTX286" s="1069"/>
      <c r="RTY286" s="1069"/>
      <c r="RTZ286" s="1069"/>
      <c r="RUA286" s="1069"/>
      <c r="RUB286" s="1069"/>
      <c r="RUC286" s="1069"/>
      <c r="RUD286" s="1069"/>
      <c r="RUE286" s="1069"/>
      <c r="RUF286" s="1069"/>
      <c r="RUG286" s="1069"/>
      <c r="RUH286" s="1069"/>
      <c r="RUI286" s="1069"/>
      <c r="RUJ286" s="1069"/>
      <c r="RUK286" s="1069"/>
      <c r="RUL286" s="1069"/>
      <c r="RUM286" s="1069"/>
      <c r="RUN286" s="1069"/>
      <c r="RUO286" s="1069"/>
      <c r="RUP286" s="1069"/>
      <c r="RUQ286" s="1069"/>
      <c r="RUR286" s="1069"/>
      <c r="RUS286" s="1069"/>
      <c r="RUT286" s="1069"/>
      <c r="RUU286" s="1069"/>
      <c r="RUV286" s="1069"/>
      <c r="RUW286" s="1069"/>
      <c r="RUX286" s="1069"/>
      <c r="RUY286" s="1069"/>
      <c r="RUZ286" s="1069"/>
      <c r="RVA286" s="1069"/>
      <c r="RVB286" s="1069"/>
      <c r="RVC286" s="1069"/>
      <c r="RVD286" s="1069"/>
      <c r="RVE286" s="1069"/>
      <c r="RVF286" s="1069"/>
      <c r="RVG286" s="1069"/>
      <c r="RVH286" s="1069"/>
      <c r="RVI286" s="1069"/>
      <c r="RVJ286" s="1069"/>
      <c r="RVK286" s="1069"/>
      <c r="RVL286" s="1069"/>
      <c r="RVM286" s="1069"/>
      <c r="RVN286" s="1069"/>
      <c r="RVO286" s="1069"/>
      <c r="RVP286" s="1069"/>
      <c r="RVQ286" s="1069"/>
      <c r="RVR286" s="1069"/>
      <c r="RVS286" s="1069"/>
      <c r="RVT286" s="1069"/>
      <c r="RVU286" s="1069"/>
      <c r="RVV286" s="1069"/>
      <c r="RVW286" s="1069"/>
      <c r="RVX286" s="1069"/>
      <c r="RVY286" s="1069"/>
      <c r="RVZ286" s="1069"/>
      <c r="RWA286" s="1069"/>
      <c r="RWB286" s="1069"/>
      <c r="RWC286" s="1069"/>
      <c r="RWD286" s="1069"/>
      <c r="RWE286" s="1069"/>
      <c r="RWF286" s="1069"/>
      <c r="RWG286" s="1069"/>
      <c r="RWH286" s="1069"/>
      <c r="RWI286" s="1069"/>
      <c r="RWJ286" s="1069"/>
      <c r="RWK286" s="1069"/>
      <c r="RWL286" s="1069"/>
      <c r="RWM286" s="1069"/>
      <c r="RWN286" s="1069"/>
      <c r="RWO286" s="1069"/>
      <c r="RWP286" s="1069"/>
      <c r="RWQ286" s="1069"/>
      <c r="RWR286" s="1069"/>
      <c r="RWS286" s="1069"/>
      <c r="RWT286" s="1069"/>
      <c r="RWU286" s="1069"/>
      <c r="RWV286" s="1069"/>
      <c r="RWW286" s="1069"/>
      <c r="RWX286" s="1069"/>
      <c r="RWY286" s="1069"/>
      <c r="RWZ286" s="1069"/>
      <c r="RXA286" s="1069"/>
      <c r="RXB286" s="1069"/>
      <c r="RXC286" s="1069"/>
      <c r="RXD286" s="1069"/>
      <c r="RXE286" s="1069"/>
      <c r="RXF286" s="1069"/>
      <c r="RXG286" s="1069"/>
      <c r="RXH286" s="1069"/>
      <c r="RXI286" s="1069"/>
      <c r="RXJ286" s="1069"/>
      <c r="RXK286" s="1069"/>
      <c r="RXL286" s="1069"/>
      <c r="RXM286" s="1069"/>
      <c r="RXN286" s="1069"/>
      <c r="RXO286" s="1069"/>
      <c r="RXP286" s="1069"/>
      <c r="RXQ286" s="1069"/>
      <c r="RXR286" s="1069"/>
      <c r="RXS286" s="1069"/>
      <c r="RXT286" s="1069"/>
      <c r="RXU286" s="1069"/>
      <c r="RXV286" s="1069"/>
      <c r="RXW286" s="1069"/>
      <c r="RXX286" s="1069"/>
      <c r="RXY286" s="1069"/>
      <c r="RXZ286" s="1069"/>
      <c r="RYA286" s="1069"/>
      <c r="RYB286" s="1069"/>
      <c r="RYC286" s="1069"/>
      <c r="RYD286" s="1069"/>
      <c r="RYE286" s="1069"/>
      <c r="RYF286" s="1069"/>
      <c r="RYG286" s="1069"/>
      <c r="RYH286" s="1069"/>
      <c r="RYI286" s="1069"/>
      <c r="RYJ286" s="1069"/>
      <c r="RYK286" s="1069"/>
      <c r="RYL286" s="1069"/>
      <c r="RYM286" s="1069"/>
      <c r="RYN286" s="1069"/>
      <c r="RYO286" s="1069"/>
      <c r="RYP286" s="1069"/>
      <c r="RYQ286" s="1069"/>
      <c r="RYR286" s="1069"/>
      <c r="RYS286" s="1069"/>
      <c r="RYT286" s="1069"/>
      <c r="RYU286" s="1069"/>
      <c r="RYV286" s="1069"/>
      <c r="RYW286" s="1069"/>
      <c r="RYX286" s="1069"/>
      <c r="RYY286" s="1069"/>
      <c r="RYZ286" s="1069"/>
      <c r="RZA286" s="1069"/>
      <c r="RZB286" s="1069"/>
      <c r="RZC286" s="1069"/>
      <c r="RZD286" s="1069"/>
      <c r="RZE286" s="1069"/>
      <c r="RZF286" s="1069"/>
      <c r="RZG286" s="1069"/>
      <c r="RZH286" s="1069"/>
      <c r="RZI286" s="1069"/>
      <c r="RZJ286" s="1069"/>
      <c r="RZK286" s="1069"/>
      <c r="RZL286" s="1069"/>
      <c r="RZM286" s="1069"/>
      <c r="RZN286" s="1069"/>
      <c r="RZO286" s="1069"/>
      <c r="RZP286" s="1069"/>
      <c r="RZQ286" s="1069"/>
      <c r="RZR286" s="1069"/>
      <c r="RZS286" s="1069"/>
      <c r="RZT286" s="1069"/>
      <c r="RZU286" s="1069"/>
      <c r="RZV286" s="1069"/>
      <c r="RZW286" s="1069"/>
      <c r="RZX286" s="1069"/>
      <c r="RZY286" s="1069"/>
      <c r="RZZ286" s="1069"/>
      <c r="SAA286" s="1069"/>
      <c r="SAB286" s="1069"/>
      <c r="SAC286" s="1069"/>
      <c r="SAD286" s="1069"/>
      <c r="SAE286" s="1069"/>
      <c r="SAF286" s="1069"/>
      <c r="SAG286" s="1069"/>
      <c r="SAH286" s="1069"/>
      <c r="SAI286" s="1069"/>
      <c r="SAJ286" s="1069"/>
      <c r="SAK286" s="1069"/>
      <c r="SAL286" s="1069"/>
      <c r="SAM286" s="1069"/>
      <c r="SAN286" s="1069"/>
      <c r="SAO286" s="1069"/>
      <c r="SAP286" s="1069"/>
      <c r="SAQ286" s="1069"/>
      <c r="SAR286" s="1069"/>
      <c r="SAS286" s="1069"/>
      <c r="SAT286" s="1069"/>
      <c r="SAU286" s="1069"/>
      <c r="SAV286" s="1069"/>
      <c r="SAW286" s="1069"/>
      <c r="SAX286" s="1069"/>
      <c r="SAY286" s="1069"/>
      <c r="SAZ286" s="1069"/>
      <c r="SBA286" s="1069"/>
      <c r="SBB286" s="1069"/>
      <c r="SBC286" s="1069"/>
      <c r="SBD286" s="1069"/>
      <c r="SBE286" s="1069"/>
      <c r="SBF286" s="1069"/>
      <c r="SBG286" s="1069"/>
      <c r="SBH286" s="1069"/>
      <c r="SBI286" s="1069"/>
      <c r="SBJ286" s="1069"/>
      <c r="SBK286" s="1069"/>
      <c r="SBL286" s="1069"/>
      <c r="SBM286" s="1069"/>
      <c r="SBN286" s="1069"/>
      <c r="SBO286" s="1069"/>
      <c r="SBP286" s="1069"/>
      <c r="SBQ286" s="1069"/>
      <c r="SBR286" s="1069"/>
      <c r="SBS286" s="1069"/>
      <c r="SBT286" s="1069"/>
      <c r="SBU286" s="1069"/>
      <c r="SBV286" s="1069"/>
      <c r="SBW286" s="1069"/>
      <c r="SBX286" s="1069"/>
      <c r="SBY286" s="1069"/>
      <c r="SBZ286" s="1069"/>
      <c r="SCA286" s="1069"/>
      <c r="SCB286" s="1069"/>
      <c r="SCC286" s="1069"/>
      <c r="SCD286" s="1069"/>
      <c r="SCE286" s="1069"/>
      <c r="SCF286" s="1069"/>
      <c r="SCG286" s="1069"/>
      <c r="SCH286" s="1069"/>
      <c r="SCI286" s="1069"/>
      <c r="SCJ286" s="1069"/>
      <c r="SCK286" s="1069"/>
      <c r="SCL286" s="1069"/>
      <c r="SCM286" s="1069"/>
      <c r="SCN286" s="1069"/>
      <c r="SCO286" s="1069"/>
      <c r="SCP286" s="1069"/>
      <c r="SCQ286" s="1069"/>
      <c r="SCR286" s="1069"/>
      <c r="SCS286" s="1069"/>
      <c r="SCT286" s="1069"/>
      <c r="SCU286" s="1069"/>
      <c r="SCV286" s="1069"/>
      <c r="SCW286" s="1069"/>
      <c r="SCX286" s="1069"/>
      <c r="SCY286" s="1069"/>
      <c r="SCZ286" s="1069"/>
      <c r="SDA286" s="1069"/>
      <c r="SDB286" s="1069"/>
      <c r="SDC286" s="1069"/>
      <c r="SDD286" s="1069"/>
      <c r="SDE286" s="1069"/>
      <c r="SDF286" s="1069"/>
      <c r="SDG286" s="1069"/>
      <c r="SDH286" s="1069"/>
      <c r="SDI286" s="1069"/>
      <c r="SDJ286" s="1069"/>
      <c r="SDK286" s="1069"/>
      <c r="SDL286" s="1069"/>
      <c r="SDM286" s="1069"/>
      <c r="SDN286" s="1069"/>
      <c r="SDO286" s="1069"/>
      <c r="SDP286" s="1069"/>
      <c r="SDQ286" s="1069"/>
      <c r="SDR286" s="1069"/>
      <c r="SDS286" s="1069"/>
      <c r="SDT286" s="1069"/>
      <c r="SDU286" s="1069"/>
      <c r="SDV286" s="1069"/>
      <c r="SDW286" s="1069"/>
      <c r="SDX286" s="1069"/>
      <c r="SDY286" s="1069"/>
      <c r="SDZ286" s="1069"/>
      <c r="SEA286" s="1069"/>
      <c r="SEB286" s="1069"/>
      <c r="SEC286" s="1069"/>
      <c r="SED286" s="1069"/>
      <c r="SEE286" s="1069"/>
      <c r="SEF286" s="1069"/>
      <c r="SEG286" s="1069"/>
      <c r="SEH286" s="1069"/>
      <c r="SEI286" s="1069"/>
      <c r="SEJ286" s="1069"/>
      <c r="SEK286" s="1069"/>
      <c r="SEL286" s="1069"/>
      <c r="SEM286" s="1069"/>
      <c r="SEN286" s="1069"/>
      <c r="SEO286" s="1069"/>
      <c r="SEP286" s="1069"/>
      <c r="SEQ286" s="1069"/>
      <c r="SER286" s="1069"/>
      <c r="SES286" s="1069"/>
      <c r="SET286" s="1069"/>
      <c r="SEU286" s="1069"/>
      <c r="SEV286" s="1069"/>
      <c r="SEW286" s="1069"/>
      <c r="SEX286" s="1069"/>
      <c r="SEY286" s="1069"/>
      <c r="SEZ286" s="1069"/>
      <c r="SFA286" s="1069"/>
      <c r="SFB286" s="1069"/>
      <c r="SFC286" s="1069"/>
      <c r="SFD286" s="1069"/>
      <c r="SFE286" s="1069"/>
      <c r="SFF286" s="1069"/>
      <c r="SFG286" s="1069"/>
      <c r="SFH286" s="1069"/>
      <c r="SFI286" s="1069"/>
      <c r="SFJ286" s="1069"/>
      <c r="SFK286" s="1069"/>
      <c r="SFL286" s="1069"/>
      <c r="SFM286" s="1069"/>
      <c r="SFN286" s="1069"/>
      <c r="SFO286" s="1069"/>
      <c r="SFP286" s="1069"/>
      <c r="SFQ286" s="1069"/>
      <c r="SFR286" s="1069"/>
      <c r="SFS286" s="1069"/>
      <c r="SFT286" s="1069"/>
      <c r="SFU286" s="1069"/>
      <c r="SFV286" s="1069"/>
      <c r="SFW286" s="1069"/>
      <c r="SFX286" s="1069"/>
      <c r="SFY286" s="1069"/>
      <c r="SFZ286" s="1069"/>
      <c r="SGA286" s="1069"/>
      <c r="SGB286" s="1069"/>
      <c r="SGC286" s="1069"/>
      <c r="SGD286" s="1069"/>
      <c r="SGE286" s="1069"/>
      <c r="SGF286" s="1069"/>
      <c r="SGG286" s="1069"/>
      <c r="SGH286" s="1069"/>
      <c r="SGI286" s="1069"/>
      <c r="SGJ286" s="1069"/>
      <c r="SGK286" s="1069"/>
      <c r="SGL286" s="1069"/>
      <c r="SGM286" s="1069"/>
      <c r="SGN286" s="1069"/>
      <c r="SGO286" s="1069"/>
      <c r="SGP286" s="1069"/>
      <c r="SGQ286" s="1069"/>
      <c r="SGR286" s="1069"/>
      <c r="SGS286" s="1069"/>
      <c r="SGT286" s="1069"/>
      <c r="SGU286" s="1069"/>
      <c r="SGV286" s="1069"/>
      <c r="SGW286" s="1069"/>
      <c r="SGX286" s="1069"/>
      <c r="SGY286" s="1069"/>
      <c r="SGZ286" s="1069"/>
      <c r="SHA286" s="1069"/>
      <c r="SHB286" s="1069"/>
      <c r="SHC286" s="1069"/>
      <c r="SHD286" s="1069"/>
      <c r="SHE286" s="1069"/>
      <c r="SHF286" s="1069"/>
      <c r="SHG286" s="1069"/>
      <c r="SHH286" s="1069"/>
      <c r="SHI286" s="1069"/>
      <c r="SHJ286" s="1069"/>
      <c r="SHK286" s="1069"/>
      <c r="SHL286" s="1069"/>
      <c r="SHM286" s="1069"/>
      <c r="SHN286" s="1069"/>
      <c r="SHO286" s="1069"/>
      <c r="SHP286" s="1069"/>
      <c r="SHQ286" s="1069"/>
      <c r="SHR286" s="1069"/>
      <c r="SHS286" s="1069"/>
      <c r="SHT286" s="1069"/>
      <c r="SHU286" s="1069"/>
      <c r="SHV286" s="1069"/>
      <c r="SHW286" s="1069"/>
      <c r="SHX286" s="1069"/>
      <c r="SHY286" s="1069"/>
      <c r="SHZ286" s="1069"/>
      <c r="SIA286" s="1069"/>
      <c r="SIB286" s="1069"/>
      <c r="SIC286" s="1069"/>
      <c r="SID286" s="1069"/>
      <c r="SIE286" s="1069"/>
      <c r="SIF286" s="1069"/>
      <c r="SIG286" s="1069"/>
      <c r="SIH286" s="1069"/>
      <c r="SII286" s="1069"/>
      <c r="SIJ286" s="1069"/>
      <c r="SIK286" s="1069"/>
      <c r="SIL286" s="1069"/>
      <c r="SIM286" s="1069"/>
      <c r="SIN286" s="1069"/>
      <c r="SIO286" s="1069"/>
      <c r="SIP286" s="1069"/>
      <c r="SIQ286" s="1069"/>
      <c r="SIR286" s="1069"/>
      <c r="SIS286" s="1069"/>
      <c r="SIT286" s="1069"/>
      <c r="SIU286" s="1069"/>
      <c r="SIV286" s="1069"/>
      <c r="SIW286" s="1069"/>
      <c r="SIX286" s="1069"/>
      <c r="SIY286" s="1069"/>
      <c r="SIZ286" s="1069"/>
      <c r="SJA286" s="1069"/>
      <c r="SJB286" s="1069"/>
      <c r="SJC286" s="1069"/>
      <c r="SJD286" s="1069"/>
      <c r="SJE286" s="1069"/>
      <c r="SJF286" s="1069"/>
      <c r="SJG286" s="1069"/>
      <c r="SJH286" s="1069"/>
      <c r="SJI286" s="1069"/>
      <c r="SJJ286" s="1069"/>
      <c r="SJK286" s="1069"/>
      <c r="SJL286" s="1069"/>
      <c r="SJM286" s="1069"/>
      <c r="SJN286" s="1069"/>
      <c r="SJO286" s="1069"/>
      <c r="SJP286" s="1069"/>
      <c r="SJQ286" s="1069"/>
      <c r="SJR286" s="1069"/>
      <c r="SJS286" s="1069"/>
      <c r="SJT286" s="1069"/>
      <c r="SJU286" s="1069"/>
      <c r="SJV286" s="1069"/>
      <c r="SJW286" s="1069"/>
      <c r="SJX286" s="1069"/>
      <c r="SJY286" s="1069"/>
      <c r="SJZ286" s="1069"/>
      <c r="SKA286" s="1069"/>
      <c r="SKB286" s="1069"/>
      <c r="SKC286" s="1069"/>
      <c r="SKD286" s="1069"/>
      <c r="SKE286" s="1069"/>
      <c r="SKF286" s="1069"/>
      <c r="SKG286" s="1069"/>
      <c r="SKH286" s="1069"/>
      <c r="SKI286" s="1069"/>
      <c r="SKJ286" s="1069"/>
      <c r="SKK286" s="1069"/>
      <c r="SKL286" s="1069"/>
      <c r="SKM286" s="1069"/>
      <c r="SKN286" s="1069"/>
      <c r="SKO286" s="1069"/>
      <c r="SKP286" s="1069"/>
      <c r="SKQ286" s="1069"/>
      <c r="SKR286" s="1069"/>
      <c r="SKS286" s="1069"/>
      <c r="SKT286" s="1069"/>
      <c r="SKU286" s="1069"/>
      <c r="SKV286" s="1069"/>
      <c r="SKW286" s="1069"/>
      <c r="SKX286" s="1069"/>
      <c r="SKY286" s="1069"/>
      <c r="SKZ286" s="1069"/>
      <c r="SLA286" s="1069"/>
      <c r="SLB286" s="1069"/>
      <c r="SLC286" s="1069"/>
      <c r="SLD286" s="1069"/>
      <c r="SLE286" s="1069"/>
      <c r="SLF286" s="1069"/>
      <c r="SLG286" s="1069"/>
      <c r="SLH286" s="1069"/>
      <c r="SLI286" s="1069"/>
      <c r="SLJ286" s="1069"/>
      <c r="SLK286" s="1069"/>
      <c r="SLL286" s="1069"/>
      <c r="SLM286" s="1069"/>
      <c r="SLN286" s="1069"/>
      <c r="SLO286" s="1069"/>
      <c r="SLP286" s="1069"/>
      <c r="SLQ286" s="1069"/>
      <c r="SLR286" s="1069"/>
      <c r="SLS286" s="1069"/>
      <c r="SLT286" s="1069"/>
      <c r="SLU286" s="1069"/>
      <c r="SLV286" s="1069"/>
      <c r="SLW286" s="1069"/>
      <c r="SLX286" s="1069"/>
      <c r="SLY286" s="1069"/>
      <c r="SLZ286" s="1069"/>
      <c r="SMA286" s="1069"/>
      <c r="SMB286" s="1069"/>
      <c r="SMC286" s="1069"/>
      <c r="SMD286" s="1069"/>
      <c r="SME286" s="1069"/>
      <c r="SMF286" s="1069"/>
      <c r="SMG286" s="1069"/>
      <c r="SMH286" s="1069"/>
      <c r="SMI286" s="1069"/>
      <c r="SMJ286" s="1069"/>
      <c r="SMK286" s="1069"/>
      <c r="SML286" s="1069"/>
      <c r="SMM286" s="1069"/>
      <c r="SMN286" s="1069"/>
      <c r="SMO286" s="1069"/>
      <c r="SMP286" s="1069"/>
      <c r="SMQ286" s="1069"/>
      <c r="SMR286" s="1069"/>
      <c r="SMS286" s="1069"/>
      <c r="SMT286" s="1069"/>
      <c r="SMU286" s="1069"/>
      <c r="SMV286" s="1069"/>
      <c r="SMW286" s="1069"/>
      <c r="SMX286" s="1069"/>
      <c r="SMY286" s="1069"/>
      <c r="SMZ286" s="1069"/>
      <c r="SNA286" s="1069"/>
      <c r="SNB286" s="1069"/>
      <c r="SNC286" s="1069"/>
      <c r="SND286" s="1069"/>
      <c r="SNE286" s="1069"/>
      <c r="SNF286" s="1069"/>
      <c r="SNG286" s="1069"/>
      <c r="SNH286" s="1069"/>
      <c r="SNI286" s="1069"/>
      <c r="SNJ286" s="1069"/>
      <c r="SNK286" s="1069"/>
      <c r="SNL286" s="1069"/>
      <c r="SNM286" s="1069"/>
      <c r="SNN286" s="1069"/>
      <c r="SNO286" s="1069"/>
      <c r="SNP286" s="1069"/>
      <c r="SNQ286" s="1069"/>
      <c r="SNR286" s="1069"/>
      <c r="SNS286" s="1069"/>
      <c r="SNT286" s="1069"/>
      <c r="SNU286" s="1069"/>
      <c r="SNV286" s="1069"/>
      <c r="SNW286" s="1069"/>
      <c r="SNX286" s="1069"/>
      <c r="SNY286" s="1069"/>
      <c r="SNZ286" s="1069"/>
      <c r="SOA286" s="1069"/>
      <c r="SOB286" s="1069"/>
      <c r="SOC286" s="1069"/>
      <c r="SOD286" s="1069"/>
      <c r="SOE286" s="1069"/>
      <c r="SOF286" s="1069"/>
      <c r="SOG286" s="1069"/>
      <c r="SOH286" s="1069"/>
      <c r="SOI286" s="1069"/>
      <c r="SOJ286" s="1069"/>
      <c r="SOK286" s="1069"/>
      <c r="SOL286" s="1069"/>
      <c r="SOM286" s="1069"/>
      <c r="SON286" s="1069"/>
      <c r="SOO286" s="1069"/>
      <c r="SOP286" s="1069"/>
      <c r="SOQ286" s="1069"/>
      <c r="SOR286" s="1069"/>
      <c r="SOS286" s="1069"/>
      <c r="SOT286" s="1069"/>
      <c r="SOU286" s="1069"/>
      <c r="SOV286" s="1069"/>
      <c r="SOW286" s="1069"/>
      <c r="SOX286" s="1069"/>
      <c r="SOY286" s="1069"/>
      <c r="SOZ286" s="1069"/>
      <c r="SPA286" s="1069"/>
      <c r="SPB286" s="1069"/>
      <c r="SPC286" s="1069"/>
      <c r="SPD286" s="1069"/>
      <c r="SPE286" s="1069"/>
      <c r="SPF286" s="1069"/>
      <c r="SPG286" s="1069"/>
      <c r="SPH286" s="1069"/>
      <c r="SPI286" s="1069"/>
      <c r="SPJ286" s="1069"/>
      <c r="SPK286" s="1069"/>
      <c r="SPL286" s="1069"/>
      <c r="SPM286" s="1069"/>
      <c r="SPN286" s="1069"/>
      <c r="SPO286" s="1069"/>
      <c r="SPP286" s="1069"/>
      <c r="SPQ286" s="1069"/>
      <c r="SPR286" s="1069"/>
      <c r="SPS286" s="1069"/>
      <c r="SPT286" s="1069"/>
      <c r="SPU286" s="1069"/>
      <c r="SPV286" s="1069"/>
      <c r="SPW286" s="1069"/>
      <c r="SPX286" s="1069"/>
      <c r="SPY286" s="1069"/>
      <c r="SPZ286" s="1069"/>
      <c r="SQA286" s="1069"/>
      <c r="SQB286" s="1069"/>
      <c r="SQC286" s="1069"/>
      <c r="SQD286" s="1069"/>
      <c r="SQE286" s="1069"/>
      <c r="SQF286" s="1069"/>
      <c r="SQG286" s="1069"/>
      <c r="SQH286" s="1069"/>
      <c r="SQI286" s="1069"/>
      <c r="SQJ286" s="1069"/>
      <c r="SQK286" s="1069"/>
      <c r="SQL286" s="1069"/>
      <c r="SQM286" s="1069"/>
      <c r="SQN286" s="1069"/>
      <c r="SQO286" s="1069"/>
      <c r="SQP286" s="1069"/>
      <c r="SQQ286" s="1069"/>
      <c r="SQR286" s="1069"/>
      <c r="SQS286" s="1069"/>
      <c r="SQT286" s="1069"/>
      <c r="SQU286" s="1069"/>
      <c r="SQV286" s="1069"/>
      <c r="SQW286" s="1069"/>
      <c r="SQX286" s="1069"/>
      <c r="SQY286" s="1069"/>
      <c r="SQZ286" s="1069"/>
      <c r="SRA286" s="1069"/>
      <c r="SRB286" s="1069"/>
      <c r="SRC286" s="1069"/>
      <c r="SRD286" s="1069"/>
      <c r="SRE286" s="1069"/>
      <c r="SRF286" s="1069"/>
      <c r="SRG286" s="1069"/>
      <c r="SRH286" s="1069"/>
      <c r="SRI286" s="1069"/>
      <c r="SRJ286" s="1069"/>
      <c r="SRK286" s="1069"/>
      <c r="SRL286" s="1069"/>
      <c r="SRM286" s="1069"/>
      <c r="SRN286" s="1069"/>
      <c r="SRO286" s="1069"/>
      <c r="SRP286" s="1069"/>
      <c r="SRQ286" s="1069"/>
      <c r="SRR286" s="1069"/>
      <c r="SRS286" s="1069"/>
      <c r="SRT286" s="1069"/>
      <c r="SRU286" s="1069"/>
      <c r="SRV286" s="1069"/>
      <c r="SRW286" s="1069"/>
      <c r="SRX286" s="1069"/>
      <c r="SRY286" s="1069"/>
      <c r="SRZ286" s="1069"/>
      <c r="SSA286" s="1069"/>
      <c r="SSB286" s="1069"/>
      <c r="SSC286" s="1069"/>
      <c r="SSD286" s="1069"/>
      <c r="SSE286" s="1069"/>
      <c r="SSF286" s="1069"/>
      <c r="SSG286" s="1069"/>
      <c r="SSH286" s="1069"/>
      <c r="SSI286" s="1069"/>
      <c r="SSJ286" s="1069"/>
      <c r="SSK286" s="1069"/>
      <c r="SSL286" s="1069"/>
      <c r="SSM286" s="1069"/>
      <c r="SSN286" s="1069"/>
      <c r="SSO286" s="1069"/>
      <c r="SSP286" s="1069"/>
      <c r="SSQ286" s="1069"/>
      <c r="SSR286" s="1069"/>
      <c r="SSS286" s="1069"/>
      <c r="SST286" s="1069"/>
      <c r="SSU286" s="1069"/>
      <c r="SSV286" s="1069"/>
      <c r="SSW286" s="1069"/>
      <c r="SSX286" s="1069"/>
      <c r="SSY286" s="1069"/>
      <c r="SSZ286" s="1069"/>
      <c r="STA286" s="1069"/>
      <c r="STB286" s="1069"/>
      <c r="STC286" s="1069"/>
      <c r="STD286" s="1069"/>
      <c r="STE286" s="1069"/>
      <c r="STF286" s="1069"/>
      <c r="STG286" s="1069"/>
      <c r="STH286" s="1069"/>
      <c r="STI286" s="1069"/>
      <c r="STJ286" s="1069"/>
      <c r="STK286" s="1069"/>
      <c r="STL286" s="1069"/>
      <c r="STM286" s="1069"/>
      <c r="STN286" s="1069"/>
      <c r="STO286" s="1069"/>
      <c r="STP286" s="1069"/>
      <c r="STQ286" s="1069"/>
      <c r="STR286" s="1069"/>
      <c r="STS286" s="1069"/>
      <c r="STT286" s="1069"/>
      <c r="STU286" s="1069"/>
      <c r="STV286" s="1069"/>
      <c r="STW286" s="1069"/>
      <c r="STX286" s="1069"/>
      <c r="STY286" s="1069"/>
      <c r="STZ286" s="1069"/>
      <c r="SUA286" s="1069"/>
      <c r="SUB286" s="1069"/>
      <c r="SUC286" s="1069"/>
      <c r="SUD286" s="1069"/>
      <c r="SUE286" s="1069"/>
      <c r="SUF286" s="1069"/>
      <c r="SUG286" s="1069"/>
      <c r="SUH286" s="1069"/>
      <c r="SUI286" s="1069"/>
      <c r="SUJ286" s="1069"/>
      <c r="SUK286" s="1069"/>
      <c r="SUL286" s="1069"/>
      <c r="SUM286" s="1069"/>
      <c r="SUN286" s="1069"/>
      <c r="SUO286" s="1069"/>
      <c r="SUP286" s="1069"/>
      <c r="SUQ286" s="1069"/>
      <c r="SUR286" s="1069"/>
      <c r="SUS286" s="1069"/>
      <c r="SUT286" s="1069"/>
      <c r="SUU286" s="1069"/>
      <c r="SUV286" s="1069"/>
      <c r="SUW286" s="1069"/>
      <c r="SUX286" s="1069"/>
      <c r="SUY286" s="1069"/>
      <c r="SUZ286" s="1069"/>
      <c r="SVA286" s="1069"/>
      <c r="SVB286" s="1069"/>
      <c r="SVC286" s="1069"/>
      <c r="SVD286" s="1069"/>
      <c r="SVE286" s="1069"/>
      <c r="SVF286" s="1069"/>
      <c r="SVG286" s="1069"/>
      <c r="SVH286" s="1069"/>
      <c r="SVI286" s="1069"/>
      <c r="SVJ286" s="1069"/>
      <c r="SVK286" s="1069"/>
      <c r="SVL286" s="1069"/>
      <c r="SVM286" s="1069"/>
      <c r="SVN286" s="1069"/>
      <c r="SVO286" s="1069"/>
      <c r="SVP286" s="1069"/>
      <c r="SVQ286" s="1069"/>
      <c r="SVR286" s="1069"/>
      <c r="SVS286" s="1069"/>
      <c r="SVT286" s="1069"/>
      <c r="SVU286" s="1069"/>
      <c r="SVV286" s="1069"/>
      <c r="SVW286" s="1069"/>
      <c r="SVX286" s="1069"/>
      <c r="SVY286" s="1069"/>
      <c r="SVZ286" s="1069"/>
      <c r="SWA286" s="1069"/>
      <c r="SWB286" s="1069"/>
      <c r="SWC286" s="1069"/>
      <c r="SWD286" s="1069"/>
      <c r="SWE286" s="1069"/>
      <c r="SWF286" s="1069"/>
      <c r="SWG286" s="1069"/>
      <c r="SWH286" s="1069"/>
      <c r="SWI286" s="1069"/>
      <c r="SWJ286" s="1069"/>
      <c r="SWK286" s="1069"/>
      <c r="SWL286" s="1069"/>
      <c r="SWM286" s="1069"/>
      <c r="SWN286" s="1069"/>
      <c r="SWO286" s="1069"/>
      <c r="SWP286" s="1069"/>
      <c r="SWQ286" s="1069"/>
      <c r="SWR286" s="1069"/>
      <c r="SWS286" s="1069"/>
      <c r="SWT286" s="1069"/>
      <c r="SWU286" s="1069"/>
      <c r="SWV286" s="1069"/>
      <c r="SWW286" s="1069"/>
      <c r="SWX286" s="1069"/>
      <c r="SWY286" s="1069"/>
      <c r="SWZ286" s="1069"/>
      <c r="SXA286" s="1069"/>
      <c r="SXB286" s="1069"/>
      <c r="SXC286" s="1069"/>
      <c r="SXD286" s="1069"/>
      <c r="SXE286" s="1069"/>
      <c r="SXF286" s="1069"/>
      <c r="SXG286" s="1069"/>
      <c r="SXH286" s="1069"/>
      <c r="SXI286" s="1069"/>
      <c r="SXJ286" s="1069"/>
      <c r="SXK286" s="1069"/>
      <c r="SXL286" s="1069"/>
      <c r="SXM286" s="1069"/>
      <c r="SXN286" s="1069"/>
      <c r="SXO286" s="1069"/>
      <c r="SXP286" s="1069"/>
      <c r="SXQ286" s="1069"/>
      <c r="SXR286" s="1069"/>
      <c r="SXS286" s="1069"/>
      <c r="SXT286" s="1069"/>
      <c r="SXU286" s="1069"/>
      <c r="SXV286" s="1069"/>
      <c r="SXW286" s="1069"/>
      <c r="SXX286" s="1069"/>
      <c r="SXY286" s="1069"/>
      <c r="SXZ286" s="1069"/>
      <c r="SYA286" s="1069"/>
      <c r="SYB286" s="1069"/>
      <c r="SYC286" s="1069"/>
      <c r="SYD286" s="1069"/>
      <c r="SYE286" s="1069"/>
      <c r="SYF286" s="1069"/>
      <c r="SYG286" s="1069"/>
      <c r="SYH286" s="1069"/>
      <c r="SYI286" s="1069"/>
      <c r="SYJ286" s="1069"/>
      <c r="SYK286" s="1069"/>
      <c r="SYL286" s="1069"/>
      <c r="SYM286" s="1069"/>
      <c r="SYN286" s="1069"/>
      <c r="SYO286" s="1069"/>
      <c r="SYP286" s="1069"/>
      <c r="SYQ286" s="1069"/>
      <c r="SYR286" s="1069"/>
      <c r="SYS286" s="1069"/>
      <c r="SYT286" s="1069"/>
      <c r="SYU286" s="1069"/>
      <c r="SYV286" s="1069"/>
      <c r="SYW286" s="1069"/>
      <c r="SYX286" s="1069"/>
      <c r="SYY286" s="1069"/>
      <c r="SYZ286" s="1069"/>
      <c r="SZA286" s="1069"/>
      <c r="SZB286" s="1069"/>
      <c r="SZC286" s="1069"/>
      <c r="SZD286" s="1069"/>
      <c r="SZE286" s="1069"/>
      <c r="SZF286" s="1069"/>
      <c r="SZG286" s="1069"/>
      <c r="SZH286" s="1069"/>
      <c r="SZI286" s="1069"/>
      <c r="SZJ286" s="1069"/>
      <c r="SZK286" s="1069"/>
      <c r="SZL286" s="1069"/>
      <c r="SZM286" s="1069"/>
      <c r="SZN286" s="1069"/>
      <c r="SZO286" s="1069"/>
      <c r="SZP286" s="1069"/>
      <c r="SZQ286" s="1069"/>
      <c r="SZR286" s="1069"/>
      <c r="SZS286" s="1069"/>
      <c r="SZT286" s="1069"/>
      <c r="SZU286" s="1069"/>
      <c r="SZV286" s="1069"/>
      <c r="SZW286" s="1069"/>
      <c r="SZX286" s="1069"/>
      <c r="SZY286" s="1069"/>
      <c r="SZZ286" s="1069"/>
      <c r="TAA286" s="1069"/>
      <c r="TAB286" s="1069"/>
      <c r="TAC286" s="1069"/>
      <c r="TAD286" s="1069"/>
      <c r="TAE286" s="1069"/>
      <c r="TAF286" s="1069"/>
      <c r="TAG286" s="1069"/>
      <c r="TAH286" s="1069"/>
      <c r="TAI286" s="1069"/>
      <c r="TAJ286" s="1069"/>
      <c r="TAK286" s="1069"/>
      <c r="TAL286" s="1069"/>
      <c r="TAM286" s="1069"/>
      <c r="TAN286" s="1069"/>
      <c r="TAO286" s="1069"/>
      <c r="TAP286" s="1069"/>
      <c r="TAQ286" s="1069"/>
      <c r="TAR286" s="1069"/>
      <c r="TAS286" s="1069"/>
      <c r="TAT286" s="1069"/>
      <c r="TAU286" s="1069"/>
      <c r="TAV286" s="1069"/>
      <c r="TAW286" s="1069"/>
      <c r="TAX286" s="1069"/>
      <c r="TAY286" s="1069"/>
      <c r="TAZ286" s="1069"/>
      <c r="TBA286" s="1069"/>
      <c r="TBB286" s="1069"/>
      <c r="TBC286" s="1069"/>
      <c r="TBD286" s="1069"/>
      <c r="TBE286" s="1069"/>
      <c r="TBF286" s="1069"/>
      <c r="TBG286" s="1069"/>
      <c r="TBH286" s="1069"/>
      <c r="TBI286" s="1069"/>
      <c r="TBJ286" s="1069"/>
      <c r="TBK286" s="1069"/>
      <c r="TBL286" s="1069"/>
      <c r="TBM286" s="1069"/>
      <c r="TBN286" s="1069"/>
      <c r="TBO286" s="1069"/>
      <c r="TBP286" s="1069"/>
      <c r="TBQ286" s="1069"/>
      <c r="TBR286" s="1069"/>
      <c r="TBS286" s="1069"/>
      <c r="TBT286" s="1069"/>
      <c r="TBU286" s="1069"/>
      <c r="TBV286" s="1069"/>
      <c r="TBW286" s="1069"/>
      <c r="TBX286" s="1069"/>
      <c r="TBY286" s="1069"/>
      <c r="TBZ286" s="1069"/>
      <c r="TCA286" s="1069"/>
      <c r="TCB286" s="1069"/>
      <c r="TCC286" s="1069"/>
      <c r="TCD286" s="1069"/>
      <c r="TCE286" s="1069"/>
      <c r="TCF286" s="1069"/>
      <c r="TCG286" s="1069"/>
      <c r="TCH286" s="1069"/>
      <c r="TCI286" s="1069"/>
      <c r="TCJ286" s="1069"/>
      <c r="TCK286" s="1069"/>
      <c r="TCL286" s="1069"/>
      <c r="TCM286" s="1069"/>
      <c r="TCN286" s="1069"/>
      <c r="TCO286" s="1069"/>
      <c r="TCP286" s="1069"/>
      <c r="TCQ286" s="1069"/>
      <c r="TCR286" s="1069"/>
      <c r="TCS286" s="1069"/>
      <c r="TCT286" s="1069"/>
      <c r="TCU286" s="1069"/>
      <c r="TCV286" s="1069"/>
      <c r="TCW286" s="1069"/>
      <c r="TCX286" s="1069"/>
      <c r="TCY286" s="1069"/>
      <c r="TCZ286" s="1069"/>
      <c r="TDA286" s="1069"/>
      <c r="TDB286" s="1069"/>
      <c r="TDC286" s="1069"/>
      <c r="TDD286" s="1069"/>
      <c r="TDE286" s="1069"/>
      <c r="TDF286" s="1069"/>
      <c r="TDG286" s="1069"/>
      <c r="TDH286" s="1069"/>
      <c r="TDI286" s="1069"/>
      <c r="TDJ286" s="1069"/>
      <c r="TDK286" s="1069"/>
      <c r="TDL286" s="1069"/>
      <c r="TDM286" s="1069"/>
      <c r="TDN286" s="1069"/>
      <c r="TDO286" s="1069"/>
      <c r="TDP286" s="1069"/>
      <c r="TDQ286" s="1069"/>
      <c r="TDR286" s="1069"/>
      <c r="TDS286" s="1069"/>
      <c r="TDT286" s="1069"/>
      <c r="TDU286" s="1069"/>
      <c r="TDV286" s="1069"/>
      <c r="TDW286" s="1069"/>
      <c r="TDX286" s="1069"/>
      <c r="TDY286" s="1069"/>
      <c r="TDZ286" s="1069"/>
      <c r="TEA286" s="1069"/>
      <c r="TEB286" s="1069"/>
      <c r="TEC286" s="1069"/>
      <c r="TED286" s="1069"/>
      <c r="TEE286" s="1069"/>
      <c r="TEF286" s="1069"/>
      <c r="TEG286" s="1069"/>
      <c r="TEH286" s="1069"/>
      <c r="TEI286" s="1069"/>
      <c r="TEJ286" s="1069"/>
      <c r="TEK286" s="1069"/>
      <c r="TEL286" s="1069"/>
      <c r="TEM286" s="1069"/>
      <c r="TEN286" s="1069"/>
      <c r="TEO286" s="1069"/>
      <c r="TEP286" s="1069"/>
      <c r="TEQ286" s="1069"/>
      <c r="TER286" s="1069"/>
      <c r="TES286" s="1069"/>
      <c r="TET286" s="1069"/>
      <c r="TEU286" s="1069"/>
      <c r="TEV286" s="1069"/>
      <c r="TEW286" s="1069"/>
      <c r="TEX286" s="1069"/>
      <c r="TEY286" s="1069"/>
      <c r="TEZ286" s="1069"/>
      <c r="TFA286" s="1069"/>
      <c r="TFB286" s="1069"/>
      <c r="TFC286" s="1069"/>
      <c r="TFD286" s="1069"/>
      <c r="TFE286" s="1069"/>
      <c r="TFF286" s="1069"/>
      <c r="TFG286" s="1069"/>
      <c r="TFH286" s="1069"/>
      <c r="TFI286" s="1069"/>
      <c r="TFJ286" s="1069"/>
      <c r="TFK286" s="1069"/>
      <c r="TFL286" s="1069"/>
      <c r="TFM286" s="1069"/>
      <c r="TFN286" s="1069"/>
      <c r="TFO286" s="1069"/>
      <c r="TFP286" s="1069"/>
      <c r="TFQ286" s="1069"/>
      <c r="TFR286" s="1069"/>
      <c r="TFS286" s="1069"/>
      <c r="TFT286" s="1069"/>
      <c r="TFU286" s="1069"/>
      <c r="TFV286" s="1069"/>
      <c r="TFW286" s="1069"/>
      <c r="TFX286" s="1069"/>
      <c r="TFY286" s="1069"/>
      <c r="TFZ286" s="1069"/>
      <c r="TGA286" s="1069"/>
      <c r="TGB286" s="1069"/>
      <c r="TGC286" s="1069"/>
      <c r="TGD286" s="1069"/>
      <c r="TGE286" s="1069"/>
      <c r="TGF286" s="1069"/>
      <c r="TGG286" s="1069"/>
      <c r="TGH286" s="1069"/>
      <c r="TGI286" s="1069"/>
      <c r="TGJ286" s="1069"/>
      <c r="TGK286" s="1069"/>
      <c r="TGL286" s="1069"/>
      <c r="TGM286" s="1069"/>
      <c r="TGN286" s="1069"/>
      <c r="TGO286" s="1069"/>
      <c r="TGP286" s="1069"/>
      <c r="TGQ286" s="1069"/>
      <c r="TGR286" s="1069"/>
      <c r="TGS286" s="1069"/>
      <c r="TGT286" s="1069"/>
      <c r="TGU286" s="1069"/>
      <c r="TGV286" s="1069"/>
      <c r="TGW286" s="1069"/>
      <c r="TGX286" s="1069"/>
      <c r="TGY286" s="1069"/>
      <c r="TGZ286" s="1069"/>
      <c r="THA286" s="1069"/>
      <c r="THB286" s="1069"/>
      <c r="THC286" s="1069"/>
      <c r="THD286" s="1069"/>
      <c r="THE286" s="1069"/>
      <c r="THF286" s="1069"/>
      <c r="THG286" s="1069"/>
      <c r="THH286" s="1069"/>
      <c r="THI286" s="1069"/>
      <c r="THJ286" s="1069"/>
      <c r="THK286" s="1069"/>
      <c r="THL286" s="1069"/>
      <c r="THM286" s="1069"/>
      <c r="THN286" s="1069"/>
      <c r="THO286" s="1069"/>
      <c r="THP286" s="1069"/>
      <c r="THQ286" s="1069"/>
      <c r="THR286" s="1069"/>
      <c r="THS286" s="1069"/>
      <c r="THT286" s="1069"/>
      <c r="THU286" s="1069"/>
      <c r="THV286" s="1069"/>
      <c r="THW286" s="1069"/>
      <c r="THX286" s="1069"/>
      <c r="THY286" s="1069"/>
      <c r="THZ286" s="1069"/>
      <c r="TIA286" s="1069"/>
      <c r="TIB286" s="1069"/>
      <c r="TIC286" s="1069"/>
      <c r="TID286" s="1069"/>
      <c r="TIE286" s="1069"/>
      <c r="TIF286" s="1069"/>
      <c r="TIG286" s="1069"/>
      <c r="TIH286" s="1069"/>
      <c r="TII286" s="1069"/>
      <c r="TIJ286" s="1069"/>
      <c r="TIK286" s="1069"/>
      <c r="TIL286" s="1069"/>
      <c r="TIM286" s="1069"/>
      <c r="TIN286" s="1069"/>
      <c r="TIO286" s="1069"/>
      <c r="TIP286" s="1069"/>
      <c r="TIQ286" s="1069"/>
      <c r="TIR286" s="1069"/>
      <c r="TIS286" s="1069"/>
      <c r="TIT286" s="1069"/>
      <c r="TIU286" s="1069"/>
      <c r="TIV286" s="1069"/>
      <c r="TIW286" s="1069"/>
      <c r="TIX286" s="1069"/>
      <c r="TIY286" s="1069"/>
      <c r="TIZ286" s="1069"/>
      <c r="TJA286" s="1069"/>
      <c r="TJB286" s="1069"/>
      <c r="TJC286" s="1069"/>
      <c r="TJD286" s="1069"/>
      <c r="TJE286" s="1069"/>
      <c r="TJF286" s="1069"/>
      <c r="TJG286" s="1069"/>
      <c r="TJH286" s="1069"/>
      <c r="TJI286" s="1069"/>
      <c r="TJJ286" s="1069"/>
      <c r="TJK286" s="1069"/>
      <c r="TJL286" s="1069"/>
      <c r="TJM286" s="1069"/>
      <c r="TJN286" s="1069"/>
      <c r="TJO286" s="1069"/>
      <c r="TJP286" s="1069"/>
      <c r="TJQ286" s="1069"/>
      <c r="TJR286" s="1069"/>
      <c r="TJS286" s="1069"/>
      <c r="TJT286" s="1069"/>
      <c r="TJU286" s="1069"/>
      <c r="TJV286" s="1069"/>
      <c r="TJW286" s="1069"/>
      <c r="TJX286" s="1069"/>
      <c r="TJY286" s="1069"/>
      <c r="TJZ286" s="1069"/>
      <c r="TKA286" s="1069"/>
      <c r="TKB286" s="1069"/>
      <c r="TKC286" s="1069"/>
      <c r="TKD286" s="1069"/>
      <c r="TKE286" s="1069"/>
      <c r="TKF286" s="1069"/>
      <c r="TKG286" s="1069"/>
      <c r="TKH286" s="1069"/>
      <c r="TKI286" s="1069"/>
      <c r="TKJ286" s="1069"/>
      <c r="TKK286" s="1069"/>
      <c r="TKL286" s="1069"/>
      <c r="TKM286" s="1069"/>
      <c r="TKN286" s="1069"/>
      <c r="TKO286" s="1069"/>
      <c r="TKP286" s="1069"/>
      <c r="TKQ286" s="1069"/>
      <c r="TKR286" s="1069"/>
      <c r="TKS286" s="1069"/>
      <c r="TKT286" s="1069"/>
      <c r="TKU286" s="1069"/>
      <c r="TKV286" s="1069"/>
      <c r="TKW286" s="1069"/>
      <c r="TKX286" s="1069"/>
      <c r="TKY286" s="1069"/>
      <c r="TKZ286" s="1069"/>
      <c r="TLA286" s="1069"/>
      <c r="TLB286" s="1069"/>
      <c r="TLC286" s="1069"/>
      <c r="TLD286" s="1069"/>
      <c r="TLE286" s="1069"/>
      <c r="TLF286" s="1069"/>
      <c r="TLG286" s="1069"/>
      <c r="TLH286" s="1069"/>
      <c r="TLI286" s="1069"/>
      <c r="TLJ286" s="1069"/>
      <c r="TLK286" s="1069"/>
      <c r="TLL286" s="1069"/>
      <c r="TLM286" s="1069"/>
      <c r="TLN286" s="1069"/>
      <c r="TLO286" s="1069"/>
      <c r="TLP286" s="1069"/>
      <c r="TLQ286" s="1069"/>
      <c r="TLR286" s="1069"/>
      <c r="TLS286" s="1069"/>
      <c r="TLT286" s="1069"/>
      <c r="TLU286" s="1069"/>
      <c r="TLV286" s="1069"/>
      <c r="TLW286" s="1069"/>
      <c r="TLX286" s="1069"/>
      <c r="TLY286" s="1069"/>
      <c r="TLZ286" s="1069"/>
      <c r="TMA286" s="1069"/>
      <c r="TMB286" s="1069"/>
      <c r="TMC286" s="1069"/>
      <c r="TMD286" s="1069"/>
      <c r="TME286" s="1069"/>
      <c r="TMF286" s="1069"/>
      <c r="TMG286" s="1069"/>
      <c r="TMH286" s="1069"/>
      <c r="TMI286" s="1069"/>
      <c r="TMJ286" s="1069"/>
      <c r="TMK286" s="1069"/>
      <c r="TML286" s="1069"/>
      <c r="TMM286" s="1069"/>
      <c r="TMN286" s="1069"/>
      <c r="TMO286" s="1069"/>
      <c r="TMP286" s="1069"/>
      <c r="TMQ286" s="1069"/>
      <c r="TMR286" s="1069"/>
      <c r="TMS286" s="1069"/>
      <c r="TMT286" s="1069"/>
      <c r="TMU286" s="1069"/>
      <c r="TMV286" s="1069"/>
      <c r="TMW286" s="1069"/>
      <c r="TMX286" s="1069"/>
      <c r="TMY286" s="1069"/>
      <c r="TMZ286" s="1069"/>
      <c r="TNA286" s="1069"/>
      <c r="TNB286" s="1069"/>
      <c r="TNC286" s="1069"/>
      <c r="TND286" s="1069"/>
      <c r="TNE286" s="1069"/>
      <c r="TNF286" s="1069"/>
      <c r="TNG286" s="1069"/>
      <c r="TNH286" s="1069"/>
      <c r="TNI286" s="1069"/>
      <c r="TNJ286" s="1069"/>
      <c r="TNK286" s="1069"/>
      <c r="TNL286" s="1069"/>
      <c r="TNM286" s="1069"/>
      <c r="TNN286" s="1069"/>
      <c r="TNO286" s="1069"/>
      <c r="TNP286" s="1069"/>
      <c r="TNQ286" s="1069"/>
      <c r="TNR286" s="1069"/>
      <c r="TNS286" s="1069"/>
      <c r="TNT286" s="1069"/>
      <c r="TNU286" s="1069"/>
      <c r="TNV286" s="1069"/>
      <c r="TNW286" s="1069"/>
      <c r="TNX286" s="1069"/>
      <c r="TNY286" s="1069"/>
      <c r="TNZ286" s="1069"/>
      <c r="TOA286" s="1069"/>
      <c r="TOB286" s="1069"/>
      <c r="TOC286" s="1069"/>
      <c r="TOD286" s="1069"/>
      <c r="TOE286" s="1069"/>
      <c r="TOF286" s="1069"/>
      <c r="TOG286" s="1069"/>
      <c r="TOH286" s="1069"/>
      <c r="TOI286" s="1069"/>
      <c r="TOJ286" s="1069"/>
      <c r="TOK286" s="1069"/>
      <c r="TOL286" s="1069"/>
      <c r="TOM286" s="1069"/>
      <c r="TON286" s="1069"/>
      <c r="TOO286" s="1069"/>
      <c r="TOP286" s="1069"/>
      <c r="TOQ286" s="1069"/>
      <c r="TOR286" s="1069"/>
      <c r="TOS286" s="1069"/>
      <c r="TOT286" s="1069"/>
      <c r="TOU286" s="1069"/>
      <c r="TOV286" s="1069"/>
      <c r="TOW286" s="1069"/>
      <c r="TOX286" s="1069"/>
      <c r="TOY286" s="1069"/>
      <c r="TOZ286" s="1069"/>
      <c r="TPA286" s="1069"/>
      <c r="TPB286" s="1069"/>
      <c r="TPC286" s="1069"/>
      <c r="TPD286" s="1069"/>
      <c r="TPE286" s="1069"/>
      <c r="TPF286" s="1069"/>
      <c r="TPG286" s="1069"/>
      <c r="TPH286" s="1069"/>
      <c r="TPI286" s="1069"/>
      <c r="TPJ286" s="1069"/>
      <c r="TPK286" s="1069"/>
      <c r="TPL286" s="1069"/>
      <c r="TPM286" s="1069"/>
      <c r="TPN286" s="1069"/>
      <c r="TPO286" s="1069"/>
      <c r="TPP286" s="1069"/>
      <c r="TPQ286" s="1069"/>
      <c r="TPR286" s="1069"/>
      <c r="TPS286" s="1069"/>
      <c r="TPT286" s="1069"/>
      <c r="TPU286" s="1069"/>
      <c r="TPV286" s="1069"/>
      <c r="TPW286" s="1069"/>
      <c r="TPX286" s="1069"/>
      <c r="TPY286" s="1069"/>
      <c r="TPZ286" s="1069"/>
      <c r="TQA286" s="1069"/>
      <c r="TQB286" s="1069"/>
      <c r="TQC286" s="1069"/>
      <c r="TQD286" s="1069"/>
      <c r="TQE286" s="1069"/>
      <c r="TQF286" s="1069"/>
      <c r="TQG286" s="1069"/>
      <c r="TQH286" s="1069"/>
      <c r="TQI286" s="1069"/>
      <c r="TQJ286" s="1069"/>
      <c r="TQK286" s="1069"/>
      <c r="TQL286" s="1069"/>
      <c r="TQM286" s="1069"/>
      <c r="TQN286" s="1069"/>
      <c r="TQO286" s="1069"/>
      <c r="TQP286" s="1069"/>
      <c r="TQQ286" s="1069"/>
      <c r="TQR286" s="1069"/>
      <c r="TQS286" s="1069"/>
      <c r="TQT286" s="1069"/>
      <c r="TQU286" s="1069"/>
      <c r="TQV286" s="1069"/>
      <c r="TQW286" s="1069"/>
      <c r="TQX286" s="1069"/>
      <c r="TQY286" s="1069"/>
      <c r="TQZ286" s="1069"/>
      <c r="TRA286" s="1069"/>
      <c r="TRB286" s="1069"/>
      <c r="TRC286" s="1069"/>
      <c r="TRD286" s="1069"/>
      <c r="TRE286" s="1069"/>
      <c r="TRF286" s="1069"/>
      <c r="TRG286" s="1069"/>
      <c r="TRH286" s="1069"/>
      <c r="TRI286" s="1069"/>
      <c r="TRJ286" s="1069"/>
      <c r="TRK286" s="1069"/>
      <c r="TRL286" s="1069"/>
      <c r="TRM286" s="1069"/>
      <c r="TRN286" s="1069"/>
      <c r="TRO286" s="1069"/>
      <c r="TRP286" s="1069"/>
      <c r="TRQ286" s="1069"/>
      <c r="TRR286" s="1069"/>
      <c r="TRS286" s="1069"/>
      <c r="TRT286" s="1069"/>
      <c r="TRU286" s="1069"/>
      <c r="TRV286" s="1069"/>
      <c r="TRW286" s="1069"/>
      <c r="TRX286" s="1069"/>
      <c r="TRY286" s="1069"/>
      <c r="TRZ286" s="1069"/>
      <c r="TSA286" s="1069"/>
      <c r="TSB286" s="1069"/>
      <c r="TSC286" s="1069"/>
      <c r="TSD286" s="1069"/>
      <c r="TSE286" s="1069"/>
      <c r="TSF286" s="1069"/>
      <c r="TSG286" s="1069"/>
      <c r="TSH286" s="1069"/>
      <c r="TSI286" s="1069"/>
      <c r="TSJ286" s="1069"/>
      <c r="TSK286" s="1069"/>
      <c r="TSL286" s="1069"/>
      <c r="TSM286" s="1069"/>
      <c r="TSN286" s="1069"/>
      <c r="TSO286" s="1069"/>
      <c r="TSP286" s="1069"/>
      <c r="TSQ286" s="1069"/>
      <c r="TSR286" s="1069"/>
      <c r="TSS286" s="1069"/>
      <c r="TST286" s="1069"/>
      <c r="TSU286" s="1069"/>
      <c r="TSV286" s="1069"/>
      <c r="TSW286" s="1069"/>
      <c r="TSX286" s="1069"/>
      <c r="TSY286" s="1069"/>
      <c r="TSZ286" s="1069"/>
      <c r="TTA286" s="1069"/>
      <c r="TTB286" s="1069"/>
      <c r="TTC286" s="1069"/>
      <c r="TTD286" s="1069"/>
      <c r="TTE286" s="1069"/>
      <c r="TTF286" s="1069"/>
      <c r="TTG286" s="1069"/>
      <c r="TTH286" s="1069"/>
      <c r="TTI286" s="1069"/>
      <c r="TTJ286" s="1069"/>
      <c r="TTK286" s="1069"/>
      <c r="TTL286" s="1069"/>
      <c r="TTM286" s="1069"/>
      <c r="TTN286" s="1069"/>
      <c r="TTO286" s="1069"/>
      <c r="TTP286" s="1069"/>
      <c r="TTQ286" s="1069"/>
      <c r="TTR286" s="1069"/>
      <c r="TTS286" s="1069"/>
      <c r="TTT286" s="1069"/>
      <c r="TTU286" s="1069"/>
      <c r="TTV286" s="1069"/>
      <c r="TTW286" s="1069"/>
      <c r="TTX286" s="1069"/>
      <c r="TTY286" s="1069"/>
      <c r="TTZ286" s="1069"/>
      <c r="TUA286" s="1069"/>
      <c r="TUB286" s="1069"/>
      <c r="TUC286" s="1069"/>
      <c r="TUD286" s="1069"/>
      <c r="TUE286" s="1069"/>
      <c r="TUF286" s="1069"/>
      <c r="TUG286" s="1069"/>
      <c r="TUH286" s="1069"/>
      <c r="TUI286" s="1069"/>
      <c r="TUJ286" s="1069"/>
      <c r="TUK286" s="1069"/>
      <c r="TUL286" s="1069"/>
      <c r="TUM286" s="1069"/>
      <c r="TUN286" s="1069"/>
      <c r="TUO286" s="1069"/>
      <c r="TUP286" s="1069"/>
      <c r="TUQ286" s="1069"/>
      <c r="TUR286" s="1069"/>
      <c r="TUS286" s="1069"/>
      <c r="TUT286" s="1069"/>
      <c r="TUU286" s="1069"/>
      <c r="TUV286" s="1069"/>
      <c r="TUW286" s="1069"/>
      <c r="TUX286" s="1069"/>
      <c r="TUY286" s="1069"/>
      <c r="TUZ286" s="1069"/>
      <c r="TVA286" s="1069"/>
      <c r="TVB286" s="1069"/>
      <c r="TVC286" s="1069"/>
      <c r="TVD286" s="1069"/>
      <c r="TVE286" s="1069"/>
      <c r="TVF286" s="1069"/>
      <c r="TVG286" s="1069"/>
      <c r="TVH286" s="1069"/>
      <c r="TVI286" s="1069"/>
      <c r="TVJ286" s="1069"/>
      <c r="TVK286" s="1069"/>
      <c r="TVL286" s="1069"/>
      <c r="TVM286" s="1069"/>
      <c r="TVN286" s="1069"/>
      <c r="TVO286" s="1069"/>
      <c r="TVP286" s="1069"/>
      <c r="TVQ286" s="1069"/>
      <c r="TVR286" s="1069"/>
      <c r="TVS286" s="1069"/>
      <c r="TVT286" s="1069"/>
      <c r="TVU286" s="1069"/>
      <c r="TVV286" s="1069"/>
      <c r="TVW286" s="1069"/>
      <c r="TVX286" s="1069"/>
      <c r="TVY286" s="1069"/>
      <c r="TVZ286" s="1069"/>
      <c r="TWA286" s="1069"/>
      <c r="TWB286" s="1069"/>
      <c r="TWC286" s="1069"/>
      <c r="TWD286" s="1069"/>
      <c r="TWE286" s="1069"/>
      <c r="TWF286" s="1069"/>
      <c r="TWG286" s="1069"/>
      <c r="TWH286" s="1069"/>
      <c r="TWI286" s="1069"/>
      <c r="TWJ286" s="1069"/>
      <c r="TWK286" s="1069"/>
      <c r="TWL286" s="1069"/>
      <c r="TWM286" s="1069"/>
      <c r="TWN286" s="1069"/>
      <c r="TWO286" s="1069"/>
      <c r="TWP286" s="1069"/>
      <c r="TWQ286" s="1069"/>
      <c r="TWR286" s="1069"/>
      <c r="TWS286" s="1069"/>
      <c r="TWT286" s="1069"/>
      <c r="TWU286" s="1069"/>
      <c r="TWV286" s="1069"/>
      <c r="TWW286" s="1069"/>
      <c r="TWX286" s="1069"/>
      <c r="TWY286" s="1069"/>
      <c r="TWZ286" s="1069"/>
      <c r="TXA286" s="1069"/>
      <c r="TXB286" s="1069"/>
      <c r="TXC286" s="1069"/>
      <c r="TXD286" s="1069"/>
      <c r="TXE286" s="1069"/>
      <c r="TXF286" s="1069"/>
      <c r="TXG286" s="1069"/>
      <c r="TXH286" s="1069"/>
      <c r="TXI286" s="1069"/>
      <c r="TXJ286" s="1069"/>
      <c r="TXK286" s="1069"/>
      <c r="TXL286" s="1069"/>
      <c r="TXM286" s="1069"/>
      <c r="TXN286" s="1069"/>
      <c r="TXO286" s="1069"/>
      <c r="TXP286" s="1069"/>
      <c r="TXQ286" s="1069"/>
      <c r="TXR286" s="1069"/>
      <c r="TXS286" s="1069"/>
      <c r="TXT286" s="1069"/>
      <c r="TXU286" s="1069"/>
      <c r="TXV286" s="1069"/>
      <c r="TXW286" s="1069"/>
      <c r="TXX286" s="1069"/>
      <c r="TXY286" s="1069"/>
      <c r="TXZ286" s="1069"/>
      <c r="TYA286" s="1069"/>
      <c r="TYB286" s="1069"/>
      <c r="TYC286" s="1069"/>
      <c r="TYD286" s="1069"/>
      <c r="TYE286" s="1069"/>
      <c r="TYF286" s="1069"/>
      <c r="TYG286" s="1069"/>
      <c r="TYH286" s="1069"/>
      <c r="TYI286" s="1069"/>
      <c r="TYJ286" s="1069"/>
      <c r="TYK286" s="1069"/>
      <c r="TYL286" s="1069"/>
      <c r="TYM286" s="1069"/>
      <c r="TYN286" s="1069"/>
      <c r="TYO286" s="1069"/>
      <c r="TYP286" s="1069"/>
      <c r="TYQ286" s="1069"/>
      <c r="TYR286" s="1069"/>
      <c r="TYS286" s="1069"/>
      <c r="TYT286" s="1069"/>
      <c r="TYU286" s="1069"/>
      <c r="TYV286" s="1069"/>
      <c r="TYW286" s="1069"/>
      <c r="TYX286" s="1069"/>
      <c r="TYY286" s="1069"/>
      <c r="TYZ286" s="1069"/>
      <c r="TZA286" s="1069"/>
      <c r="TZB286" s="1069"/>
      <c r="TZC286" s="1069"/>
      <c r="TZD286" s="1069"/>
      <c r="TZE286" s="1069"/>
      <c r="TZF286" s="1069"/>
      <c r="TZG286" s="1069"/>
      <c r="TZH286" s="1069"/>
      <c r="TZI286" s="1069"/>
      <c r="TZJ286" s="1069"/>
      <c r="TZK286" s="1069"/>
      <c r="TZL286" s="1069"/>
      <c r="TZM286" s="1069"/>
      <c r="TZN286" s="1069"/>
      <c r="TZO286" s="1069"/>
      <c r="TZP286" s="1069"/>
      <c r="TZQ286" s="1069"/>
      <c r="TZR286" s="1069"/>
      <c r="TZS286" s="1069"/>
      <c r="TZT286" s="1069"/>
      <c r="TZU286" s="1069"/>
      <c r="TZV286" s="1069"/>
      <c r="TZW286" s="1069"/>
      <c r="TZX286" s="1069"/>
      <c r="TZY286" s="1069"/>
      <c r="TZZ286" s="1069"/>
      <c r="UAA286" s="1069"/>
      <c r="UAB286" s="1069"/>
      <c r="UAC286" s="1069"/>
      <c r="UAD286" s="1069"/>
      <c r="UAE286" s="1069"/>
      <c r="UAF286" s="1069"/>
      <c r="UAG286" s="1069"/>
      <c r="UAH286" s="1069"/>
      <c r="UAI286" s="1069"/>
      <c r="UAJ286" s="1069"/>
      <c r="UAK286" s="1069"/>
      <c r="UAL286" s="1069"/>
      <c r="UAM286" s="1069"/>
      <c r="UAN286" s="1069"/>
      <c r="UAO286" s="1069"/>
      <c r="UAP286" s="1069"/>
      <c r="UAQ286" s="1069"/>
      <c r="UAR286" s="1069"/>
      <c r="UAS286" s="1069"/>
      <c r="UAT286" s="1069"/>
      <c r="UAU286" s="1069"/>
      <c r="UAV286" s="1069"/>
      <c r="UAW286" s="1069"/>
      <c r="UAX286" s="1069"/>
      <c r="UAY286" s="1069"/>
      <c r="UAZ286" s="1069"/>
      <c r="UBA286" s="1069"/>
      <c r="UBB286" s="1069"/>
      <c r="UBC286" s="1069"/>
      <c r="UBD286" s="1069"/>
      <c r="UBE286" s="1069"/>
      <c r="UBF286" s="1069"/>
      <c r="UBG286" s="1069"/>
      <c r="UBH286" s="1069"/>
      <c r="UBI286" s="1069"/>
      <c r="UBJ286" s="1069"/>
      <c r="UBK286" s="1069"/>
      <c r="UBL286" s="1069"/>
      <c r="UBM286" s="1069"/>
      <c r="UBN286" s="1069"/>
      <c r="UBO286" s="1069"/>
      <c r="UBP286" s="1069"/>
      <c r="UBQ286" s="1069"/>
      <c r="UBR286" s="1069"/>
      <c r="UBS286" s="1069"/>
      <c r="UBT286" s="1069"/>
      <c r="UBU286" s="1069"/>
      <c r="UBV286" s="1069"/>
      <c r="UBW286" s="1069"/>
      <c r="UBX286" s="1069"/>
      <c r="UBY286" s="1069"/>
      <c r="UBZ286" s="1069"/>
      <c r="UCA286" s="1069"/>
      <c r="UCB286" s="1069"/>
      <c r="UCC286" s="1069"/>
      <c r="UCD286" s="1069"/>
      <c r="UCE286" s="1069"/>
      <c r="UCF286" s="1069"/>
      <c r="UCG286" s="1069"/>
      <c r="UCH286" s="1069"/>
      <c r="UCI286" s="1069"/>
      <c r="UCJ286" s="1069"/>
      <c r="UCK286" s="1069"/>
      <c r="UCL286" s="1069"/>
      <c r="UCM286" s="1069"/>
      <c r="UCN286" s="1069"/>
      <c r="UCO286" s="1069"/>
      <c r="UCP286" s="1069"/>
      <c r="UCQ286" s="1069"/>
      <c r="UCR286" s="1069"/>
      <c r="UCS286" s="1069"/>
      <c r="UCT286" s="1069"/>
      <c r="UCU286" s="1069"/>
      <c r="UCV286" s="1069"/>
      <c r="UCW286" s="1069"/>
      <c r="UCX286" s="1069"/>
      <c r="UCY286" s="1069"/>
      <c r="UCZ286" s="1069"/>
      <c r="UDA286" s="1069"/>
      <c r="UDB286" s="1069"/>
      <c r="UDC286" s="1069"/>
      <c r="UDD286" s="1069"/>
      <c r="UDE286" s="1069"/>
      <c r="UDF286" s="1069"/>
      <c r="UDG286" s="1069"/>
      <c r="UDH286" s="1069"/>
      <c r="UDI286" s="1069"/>
      <c r="UDJ286" s="1069"/>
      <c r="UDK286" s="1069"/>
      <c r="UDL286" s="1069"/>
      <c r="UDM286" s="1069"/>
      <c r="UDN286" s="1069"/>
      <c r="UDO286" s="1069"/>
      <c r="UDP286" s="1069"/>
      <c r="UDQ286" s="1069"/>
      <c r="UDR286" s="1069"/>
      <c r="UDS286" s="1069"/>
      <c r="UDT286" s="1069"/>
      <c r="UDU286" s="1069"/>
      <c r="UDV286" s="1069"/>
      <c r="UDW286" s="1069"/>
      <c r="UDX286" s="1069"/>
      <c r="UDY286" s="1069"/>
      <c r="UDZ286" s="1069"/>
      <c r="UEA286" s="1069"/>
      <c r="UEB286" s="1069"/>
      <c r="UEC286" s="1069"/>
      <c r="UED286" s="1069"/>
      <c r="UEE286" s="1069"/>
      <c r="UEF286" s="1069"/>
      <c r="UEG286" s="1069"/>
      <c r="UEH286" s="1069"/>
      <c r="UEI286" s="1069"/>
      <c r="UEJ286" s="1069"/>
      <c r="UEK286" s="1069"/>
      <c r="UEL286" s="1069"/>
      <c r="UEM286" s="1069"/>
      <c r="UEN286" s="1069"/>
      <c r="UEO286" s="1069"/>
      <c r="UEP286" s="1069"/>
      <c r="UEQ286" s="1069"/>
      <c r="UER286" s="1069"/>
      <c r="UES286" s="1069"/>
      <c r="UET286" s="1069"/>
      <c r="UEU286" s="1069"/>
      <c r="UEV286" s="1069"/>
      <c r="UEW286" s="1069"/>
      <c r="UEX286" s="1069"/>
      <c r="UEY286" s="1069"/>
      <c r="UEZ286" s="1069"/>
      <c r="UFA286" s="1069"/>
      <c r="UFB286" s="1069"/>
      <c r="UFC286" s="1069"/>
      <c r="UFD286" s="1069"/>
      <c r="UFE286" s="1069"/>
      <c r="UFF286" s="1069"/>
      <c r="UFG286" s="1069"/>
      <c r="UFH286" s="1069"/>
      <c r="UFI286" s="1069"/>
      <c r="UFJ286" s="1069"/>
      <c r="UFK286" s="1069"/>
      <c r="UFL286" s="1069"/>
      <c r="UFM286" s="1069"/>
      <c r="UFN286" s="1069"/>
      <c r="UFO286" s="1069"/>
      <c r="UFP286" s="1069"/>
      <c r="UFQ286" s="1069"/>
      <c r="UFR286" s="1069"/>
      <c r="UFS286" s="1069"/>
      <c r="UFT286" s="1069"/>
      <c r="UFU286" s="1069"/>
      <c r="UFV286" s="1069"/>
      <c r="UFW286" s="1069"/>
      <c r="UFX286" s="1069"/>
      <c r="UFY286" s="1069"/>
      <c r="UFZ286" s="1069"/>
      <c r="UGA286" s="1069"/>
      <c r="UGB286" s="1069"/>
      <c r="UGC286" s="1069"/>
      <c r="UGD286" s="1069"/>
      <c r="UGE286" s="1069"/>
      <c r="UGF286" s="1069"/>
      <c r="UGG286" s="1069"/>
      <c r="UGH286" s="1069"/>
      <c r="UGI286" s="1069"/>
      <c r="UGJ286" s="1069"/>
      <c r="UGK286" s="1069"/>
      <c r="UGL286" s="1069"/>
      <c r="UGM286" s="1069"/>
      <c r="UGN286" s="1069"/>
      <c r="UGO286" s="1069"/>
      <c r="UGP286" s="1069"/>
      <c r="UGQ286" s="1069"/>
      <c r="UGR286" s="1069"/>
      <c r="UGS286" s="1069"/>
      <c r="UGT286" s="1069"/>
      <c r="UGU286" s="1069"/>
      <c r="UGV286" s="1069"/>
      <c r="UGW286" s="1069"/>
      <c r="UGX286" s="1069"/>
      <c r="UGY286" s="1069"/>
      <c r="UGZ286" s="1069"/>
      <c r="UHA286" s="1069"/>
      <c r="UHB286" s="1069"/>
      <c r="UHC286" s="1069"/>
      <c r="UHD286" s="1069"/>
      <c r="UHE286" s="1069"/>
      <c r="UHF286" s="1069"/>
      <c r="UHG286" s="1069"/>
      <c r="UHH286" s="1069"/>
      <c r="UHI286" s="1069"/>
      <c r="UHJ286" s="1069"/>
      <c r="UHK286" s="1069"/>
      <c r="UHL286" s="1069"/>
      <c r="UHM286" s="1069"/>
      <c r="UHN286" s="1069"/>
      <c r="UHO286" s="1069"/>
      <c r="UHP286" s="1069"/>
      <c r="UHQ286" s="1069"/>
      <c r="UHR286" s="1069"/>
      <c r="UHS286" s="1069"/>
      <c r="UHT286" s="1069"/>
      <c r="UHU286" s="1069"/>
      <c r="UHV286" s="1069"/>
      <c r="UHW286" s="1069"/>
      <c r="UHX286" s="1069"/>
      <c r="UHY286" s="1069"/>
      <c r="UHZ286" s="1069"/>
      <c r="UIA286" s="1069"/>
      <c r="UIB286" s="1069"/>
      <c r="UIC286" s="1069"/>
      <c r="UID286" s="1069"/>
      <c r="UIE286" s="1069"/>
      <c r="UIF286" s="1069"/>
      <c r="UIG286" s="1069"/>
      <c r="UIH286" s="1069"/>
      <c r="UII286" s="1069"/>
      <c r="UIJ286" s="1069"/>
      <c r="UIK286" s="1069"/>
      <c r="UIL286" s="1069"/>
      <c r="UIM286" s="1069"/>
      <c r="UIN286" s="1069"/>
      <c r="UIO286" s="1069"/>
      <c r="UIP286" s="1069"/>
      <c r="UIQ286" s="1069"/>
      <c r="UIR286" s="1069"/>
      <c r="UIS286" s="1069"/>
      <c r="UIT286" s="1069"/>
      <c r="UIU286" s="1069"/>
      <c r="UIV286" s="1069"/>
      <c r="UIW286" s="1069"/>
      <c r="UIX286" s="1069"/>
      <c r="UIY286" s="1069"/>
      <c r="UIZ286" s="1069"/>
      <c r="UJA286" s="1069"/>
      <c r="UJB286" s="1069"/>
      <c r="UJC286" s="1069"/>
      <c r="UJD286" s="1069"/>
      <c r="UJE286" s="1069"/>
      <c r="UJF286" s="1069"/>
      <c r="UJG286" s="1069"/>
      <c r="UJH286" s="1069"/>
      <c r="UJI286" s="1069"/>
      <c r="UJJ286" s="1069"/>
      <c r="UJK286" s="1069"/>
      <c r="UJL286" s="1069"/>
      <c r="UJM286" s="1069"/>
      <c r="UJN286" s="1069"/>
      <c r="UJO286" s="1069"/>
      <c r="UJP286" s="1069"/>
      <c r="UJQ286" s="1069"/>
      <c r="UJR286" s="1069"/>
      <c r="UJS286" s="1069"/>
      <c r="UJT286" s="1069"/>
      <c r="UJU286" s="1069"/>
      <c r="UJV286" s="1069"/>
      <c r="UJW286" s="1069"/>
      <c r="UJX286" s="1069"/>
      <c r="UJY286" s="1069"/>
      <c r="UJZ286" s="1069"/>
      <c r="UKA286" s="1069"/>
      <c r="UKB286" s="1069"/>
      <c r="UKC286" s="1069"/>
      <c r="UKD286" s="1069"/>
      <c r="UKE286" s="1069"/>
      <c r="UKF286" s="1069"/>
      <c r="UKG286" s="1069"/>
      <c r="UKH286" s="1069"/>
      <c r="UKI286" s="1069"/>
      <c r="UKJ286" s="1069"/>
      <c r="UKK286" s="1069"/>
      <c r="UKL286" s="1069"/>
      <c r="UKM286" s="1069"/>
      <c r="UKN286" s="1069"/>
      <c r="UKO286" s="1069"/>
      <c r="UKP286" s="1069"/>
      <c r="UKQ286" s="1069"/>
      <c r="UKR286" s="1069"/>
      <c r="UKS286" s="1069"/>
      <c r="UKT286" s="1069"/>
      <c r="UKU286" s="1069"/>
      <c r="UKV286" s="1069"/>
      <c r="UKW286" s="1069"/>
      <c r="UKX286" s="1069"/>
      <c r="UKY286" s="1069"/>
      <c r="UKZ286" s="1069"/>
      <c r="ULA286" s="1069"/>
      <c r="ULB286" s="1069"/>
      <c r="ULC286" s="1069"/>
      <c r="ULD286" s="1069"/>
      <c r="ULE286" s="1069"/>
      <c r="ULF286" s="1069"/>
      <c r="ULG286" s="1069"/>
      <c r="ULH286" s="1069"/>
      <c r="ULI286" s="1069"/>
      <c r="ULJ286" s="1069"/>
      <c r="ULK286" s="1069"/>
      <c r="ULL286" s="1069"/>
      <c r="ULM286" s="1069"/>
      <c r="ULN286" s="1069"/>
      <c r="ULO286" s="1069"/>
      <c r="ULP286" s="1069"/>
      <c r="ULQ286" s="1069"/>
      <c r="ULR286" s="1069"/>
      <c r="ULS286" s="1069"/>
      <c r="ULT286" s="1069"/>
      <c r="ULU286" s="1069"/>
      <c r="ULV286" s="1069"/>
      <c r="ULW286" s="1069"/>
      <c r="ULX286" s="1069"/>
      <c r="ULY286" s="1069"/>
      <c r="ULZ286" s="1069"/>
      <c r="UMA286" s="1069"/>
      <c r="UMB286" s="1069"/>
      <c r="UMC286" s="1069"/>
      <c r="UMD286" s="1069"/>
      <c r="UME286" s="1069"/>
      <c r="UMF286" s="1069"/>
      <c r="UMG286" s="1069"/>
      <c r="UMH286" s="1069"/>
      <c r="UMI286" s="1069"/>
      <c r="UMJ286" s="1069"/>
      <c r="UMK286" s="1069"/>
      <c r="UML286" s="1069"/>
      <c r="UMM286" s="1069"/>
      <c r="UMN286" s="1069"/>
      <c r="UMO286" s="1069"/>
      <c r="UMP286" s="1069"/>
      <c r="UMQ286" s="1069"/>
      <c r="UMR286" s="1069"/>
      <c r="UMS286" s="1069"/>
      <c r="UMT286" s="1069"/>
      <c r="UMU286" s="1069"/>
      <c r="UMV286" s="1069"/>
      <c r="UMW286" s="1069"/>
      <c r="UMX286" s="1069"/>
      <c r="UMY286" s="1069"/>
      <c r="UMZ286" s="1069"/>
      <c r="UNA286" s="1069"/>
      <c r="UNB286" s="1069"/>
      <c r="UNC286" s="1069"/>
      <c r="UND286" s="1069"/>
      <c r="UNE286" s="1069"/>
      <c r="UNF286" s="1069"/>
      <c r="UNG286" s="1069"/>
      <c r="UNH286" s="1069"/>
      <c r="UNI286" s="1069"/>
      <c r="UNJ286" s="1069"/>
      <c r="UNK286" s="1069"/>
      <c r="UNL286" s="1069"/>
      <c r="UNM286" s="1069"/>
      <c r="UNN286" s="1069"/>
      <c r="UNO286" s="1069"/>
      <c r="UNP286" s="1069"/>
      <c r="UNQ286" s="1069"/>
      <c r="UNR286" s="1069"/>
      <c r="UNS286" s="1069"/>
      <c r="UNT286" s="1069"/>
      <c r="UNU286" s="1069"/>
      <c r="UNV286" s="1069"/>
      <c r="UNW286" s="1069"/>
      <c r="UNX286" s="1069"/>
      <c r="UNY286" s="1069"/>
      <c r="UNZ286" s="1069"/>
      <c r="UOA286" s="1069"/>
      <c r="UOB286" s="1069"/>
      <c r="UOC286" s="1069"/>
      <c r="UOD286" s="1069"/>
      <c r="UOE286" s="1069"/>
      <c r="UOF286" s="1069"/>
      <c r="UOG286" s="1069"/>
      <c r="UOH286" s="1069"/>
      <c r="UOI286" s="1069"/>
      <c r="UOJ286" s="1069"/>
      <c r="UOK286" s="1069"/>
      <c r="UOL286" s="1069"/>
      <c r="UOM286" s="1069"/>
      <c r="UON286" s="1069"/>
      <c r="UOO286" s="1069"/>
      <c r="UOP286" s="1069"/>
      <c r="UOQ286" s="1069"/>
      <c r="UOR286" s="1069"/>
      <c r="UOS286" s="1069"/>
      <c r="UOT286" s="1069"/>
      <c r="UOU286" s="1069"/>
      <c r="UOV286" s="1069"/>
      <c r="UOW286" s="1069"/>
      <c r="UOX286" s="1069"/>
      <c r="UOY286" s="1069"/>
      <c r="UOZ286" s="1069"/>
      <c r="UPA286" s="1069"/>
      <c r="UPB286" s="1069"/>
      <c r="UPC286" s="1069"/>
      <c r="UPD286" s="1069"/>
      <c r="UPE286" s="1069"/>
      <c r="UPF286" s="1069"/>
      <c r="UPG286" s="1069"/>
      <c r="UPH286" s="1069"/>
      <c r="UPI286" s="1069"/>
      <c r="UPJ286" s="1069"/>
      <c r="UPK286" s="1069"/>
      <c r="UPL286" s="1069"/>
      <c r="UPM286" s="1069"/>
      <c r="UPN286" s="1069"/>
      <c r="UPO286" s="1069"/>
      <c r="UPP286" s="1069"/>
      <c r="UPQ286" s="1069"/>
      <c r="UPR286" s="1069"/>
      <c r="UPS286" s="1069"/>
      <c r="UPT286" s="1069"/>
      <c r="UPU286" s="1069"/>
      <c r="UPV286" s="1069"/>
      <c r="UPW286" s="1069"/>
      <c r="UPX286" s="1069"/>
      <c r="UPY286" s="1069"/>
      <c r="UPZ286" s="1069"/>
      <c r="UQA286" s="1069"/>
      <c r="UQB286" s="1069"/>
      <c r="UQC286" s="1069"/>
      <c r="UQD286" s="1069"/>
      <c r="UQE286" s="1069"/>
      <c r="UQF286" s="1069"/>
      <c r="UQG286" s="1069"/>
      <c r="UQH286" s="1069"/>
      <c r="UQI286" s="1069"/>
      <c r="UQJ286" s="1069"/>
      <c r="UQK286" s="1069"/>
      <c r="UQL286" s="1069"/>
      <c r="UQM286" s="1069"/>
      <c r="UQN286" s="1069"/>
      <c r="UQO286" s="1069"/>
      <c r="UQP286" s="1069"/>
      <c r="UQQ286" s="1069"/>
      <c r="UQR286" s="1069"/>
      <c r="UQS286" s="1069"/>
      <c r="UQT286" s="1069"/>
      <c r="UQU286" s="1069"/>
      <c r="UQV286" s="1069"/>
      <c r="UQW286" s="1069"/>
      <c r="UQX286" s="1069"/>
      <c r="UQY286" s="1069"/>
      <c r="UQZ286" s="1069"/>
      <c r="URA286" s="1069"/>
      <c r="URB286" s="1069"/>
      <c r="URC286" s="1069"/>
      <c r="URD286" s="1069"/>
      <c r="URE286" s="1069"/>
      <c r="URF286" s="1069"/>
      <c r="URG286" s="1069"/>
      <c r="URH286" s="1069"/>
      <c r="URI286" s="1069"/>
      <c r="URJ286" s="1069"/>
      <c r="URK286" s="1069"/>
      <c r="URL286" s="1069"/>
      <c r="URM286" s="1069"/>
      <c r="URN286" s="1069"/>
      <c r="URO286" s="1069"/>
      <c r="URP286" s="1069"/>
      <c r="URQ286" s="1069"/>
      <c r="URR286" s="1069"/>
      <c r="URS286" s="1069"/>
      <c r="URT286" s="1069"/>
      <c r="URU286" s="1069"/>
      <c r="URV286" s="1069"/>
      <c r="URW286" s="1069"/>
      <c r="URX286" s="1069"/>
      <c r="URY286" s="1069"/>
      <c r="URZ286" s="1069"/>
      <c r="USA286" s="1069"/>
      <c r="USB286" s="1069"/>
      <c r="USC286" s="1069"/>
      <c r="USD286" s="1069"/>
      <c r="USE286" s="1069"/>
      <c r="USF286" s="1069"/>
      <c r="USG286" s="1069"/>
      <c r="USH286" s="1069"/>
      <c r="USI286" s="1069"/>
      <c r="USJ286" s="1069"/>
      <c r="USK286" s="1069"/>
      <c r="USL286" s="1069"/>
      <c r="USM286" s="1069"/>
      <c r="USN286" s="1069"/>
      <c r="USO286" s="1069"/>
      <c r="USP286" s="1069"/>
      <c r="USQ286" s="1069"/>
      <c r="USR286" s="1069"/>
      <c r="USS286" s="1069"/>
      <c r="UST286" s="1069"/>
      <c r="USU286" s="1069"/>
      <c r="USV286" s="1069"/>
      <c r="USW286" s="1069"/>
      <c r="USX286" s="1069"/>
      <c r="USY286" s="1069"/>
      <c r="USZ286" s="1069"/>
      <c r="UTA286" s="1069"/>
      <c r="UTB286" s="1069"/>
      <c r="UTC286" s="1069"/>
      <c r="UTD286" s="1069"/>
      <c r="UTE286" s="1069"/>
      <c r="UTF286" s="1069"/>
      <c r="UTG286" s="1069"/>
      <c r="UTH286" s="1069"/>
      <c r="UTI286" s="1069"/>
      <c r="UTJ286" s="1069"/>
      <c r="UTK286" s="1069"/>
      <c r="UTL286" s="1069"/>
      <c r="UTM286" s="1069"/>
      <c r="UTN286" s="1069"/>
      <c r="UTO286" s="1069"/>
      <c r="UTP286" s="1069"/>
      <c r="UTQ286" s="1069"/>
      <c r="UTR286" s="1069"/>
      <c r="UTS286" s="1069"/>
      <c r="UTT286" s="1069"/>
      <c r="UTU286" s="1069"/>
      <c r="UTV286" s="1069"/>
      <c r="UTW286" s="1069"/>
      <c r="UTX286" s="1069"/>
      <c r="UTY286" s="1069"/>
      <c r="UTZ286" s="1069"/>
      <c r="UUA286" s="1069"/>
      <c r="UUB286" s="1069"/>
      <c r="UUC286" s="1069"/>
      <c r="UUD286" s="1069"/>
      <c r="UUE286" s="1069"/>
      <c r="UUF286" s="1069"/>
      <c r="UUG286" s="1069"/>
      <c r="UUH286" s="1069"/>
      <c r="UUI286" s="1069"/>
      <c r="UUJ286" s="1069"/>
      <c r="UUK286" s="1069"/>
      <c r="UUL286" s="1069"/>
      <c r="UUM286" s="1069"/>
      <c r="UUN286" s="1069"/>
      <c r="UUO286" s="1069"/>
      <c r="UUP286" s="1069"/>
      <c r="UUQ286" s="1069"/>
      <c r="UUR286" s="1069"/>
      <c r="UUS286" s="1069"/>
      <c r="UUT286" s="1069"/>
      <c r="UUU286" s="1069"/>
      <c r="UUV286" s="1069"/>
      <c r="UUW286" s="1069"/>
      <c r="UUX286" s="1069"/>
      <c r="UUY286" s="1069"/>
      <c r="UUZ286" s="1069"/>
      <c r="UVA286" s="1069"/>
      <c r="UVB286" s="1069"/>
      <c r="UVC286" s="1069"/>
      <c r="UVD286" s="1069"/>
      <c r="UVE286" s="1069"/>
      <c r="UVF286" s="1069"/>
      <c r="UVG286" s="1069"/>
      <c r="UVH286" s="1069"/>
      <c r="UVI286" s="1069"/>
      <c r="UVJ286" s="1069"/>
      <c r="UVK286" s="1069"/>
      <c r="UVL286" s="1069"/>
      <c r="UVM286" s="1069"/>
      <c r="UVN286" s="1069"/>
      <c r="UVO286" s="1069"/>
      <c r="UVP286" s="1069"/>
      <c r="UVQ286" s="1069"/>
      <c r="UVR286" s="1069"/>
      <c r="UVS286" s="1069"/>
      <c r="UVT286" s="1069"/>
      <c r="UVU286" s="1069"/>
      <c r="UVV286" s="1069"/>
      <c r="UVW286" s="1069"/>
      <c r="UVX286" s="1069"/>
      <c r="UVY286" s="1069"/>
      <c r="UVZ286" s="1069"/>
      <c r="UWA286" s="1069"/>
      <c r="UWB286" s="1069"/>
      <c r="UWC286" s="1069"/>
      <c r="UWD286" s="1069"/>
      <c r="UWE286" s="1069"/>
      <c r="UWF286" s="1069"/>
      <c r="UWG286" s="1069"/>
      <c r="UWH286" s="1069"/>
      <c r="UWI286" s="1069"/>
      <c r="UWJ286" s="1069"/>
      <c r="UWK286" s="1069"/>
      <c r="UWL286" s="1069"/>
      <c r="UWM286" s="1069"/>
      <c r="UWN286" s="1069"/>
      <c r="UWO286" s="1069"/>
      <c r="UWP286" s="1069"/>
      <c r="UWQ286" s="1069"/>
      <c r="UWR286" s="1069"/>
      <c r="UWS286" s="1069"/>
      <c r="UWT286" s="1069"/>
      <c r="UWU286" s="1069"/>
      <c r="UWV286" s="1069"/>
      <c r="UWW286" s="1069"/>
      <c r="UWX286" s="1069"/>
      <c r="UWY286" s="1069"/>
      <c r="UWZ286" s="1069"/>
      <c r="UXA286" s="1069"/>
      <c r="UXB286" s="1069"/>
      <c r="UXC286" s="1069"/>
      <c r="UXD286" s="1069"/>
      <c r="UXE286" s="1069"/>
      <c r="UXF286" s="1069"/>
      <c r="UXG286" s="1069"/>
      <c r="UXH286" s="1069"/>
      <c r="UXI286" s="1069"/>
      <c r="UXJ286" s="1069"/>
      <c r="UXK286" s="1069"/>
      <c r="UXL286" s="1069"/>
      <c r="UXM286" s="1069"/>
      <c r="UXN286" s="1069"/>
      <c r="UXO286" s="1069"/>
      <c r="UXP286" s="1069"/>
      <c r="UXQ286" s="1069"/>
      <c r="UXR286" s="1069"/>
      <c r="UXS286" s="1069"/>
      <c r="UXT286" s="1069"/>
      <c r="UXU286" s="1069"/>
      <c r="UXV286" s="1069"/>
      <c r="UXW286" s="1069"/>
      <c r="UXX286" s="1069"/>
      <c r="UXY286" s="1069"/>
      <c r="UXZ286" s="1069"/>
      <c r="UYA286" s="1069"/>
      <c r="UYB286" s="1069"/>
      <c r="UYC286" s="1069"/>
      <c r="UYD286" s="1069"/>
      <c r="UYE286" s="1069"/>
      <c r="UYF286" s="1069"/>
      <c r="UYG286" s="1069"/>
      <c r="UYH286" s="1069"/>
      <c r="UYI286" s="1069"/>
      <c r="UYJ286" s="1069"/>
      <c r="UYK286" s="1069"/>
      <c r="UYL286" s="1069"/>
      <c r="UYM286" s="1069"/>
      <c r="UYN286" s="1069"/>
      <c r="UYO286" s="1069"/>
      <c r="UYP286" s="1069"/>
      <c r="UYQ286" s="1069"/>
      <c r="UYR286" s="1069"/>
      <c r="UYS286" s="1069"/>
      <c r="UYT286" s="1069"/>
      <c r="UYU286" s="1069"/>
      <c r="UYV286" s="1069"/>
      <c r="UYW286" s="1069"/>
      <c r="UYX286" s="1069"/>
      <c r="UYY286" s="1069"/>
      <c r="UYZ286" s="1069"/>
      <c r="UZA286" s="1069"/>
      <c r="UZB286" s="1069"/>
      <c r="UZC286" s="1069"/>
      <c r="UZD286" s="1069"/>
      <c r="UZE286" s="1069"/>
      <c r="UZF286" s="1069"/>
      <c r="UZG286" s="1069"/>
      <c r="UZH286" s="1069"/>
      <c r="UZI286" s="1069"/>
      <c r="UZJ286" s="1069"/>
      <c r="UZK286" s="1069"/>
      <c r="UZL286" s="1069"/>
      <c r="UZM286" s="1069"/>
      <c r="UZN286" s="1069"/>
      <c r="UZO286" s="1069"/>
      <c r="UZP286" s="1069"/>
      <c r="UZQ286" s="1069"/>
      <c r="UZR286" s="1069"/>
      <c r="UZS286" s="1069"/>
      <c r="UZT286" s="1069"/>
      <c r="UZU286" s="1069"/>
      <c r="UZV286" s="1069"/>
      <c r="UZW286" s="1069"/>
      <c r="UZX286" s="1069"/>
      <c r="UZY286" s="1069"/>
      <c r="UZZ286" s="1069"/>
      <c r="VAA286" s="1069"/>
      <c r="VAB286" s="1069"/>
      <c r="VAC286" s="1069"/>
      <c r="VAD286" s="1069"/>
      <c r="VAE286" s="1069"/>
      <c r="VAF286" s="1069"/>
      <c r="VAG286" s="1069"/>
      <c r="VAH286" s="1069"/>
      <c r="VAI286" s="1069"/>
      <c r="VAJ286" s="1069"/>
      <c r="VAK286" s="1069"/>
      <c r="VAL286" s="1069"/>
      <c r="VAM286" s="1069"/>
      <c r="VAN286" s="1069"/>
      <c r="VAO286" s="1069"/>
      <c r="VAP286" s="1069"/>
      <c r="VAQ286" s="1069"/>
      <c r="VAR286" s="1069"/>
      <c r="VAS286" s="1069"/>
      <c r="VAT286" s="1069"/>
      <c r="VAU286" s="1069"/>
      <c r="VAV286" s="1069"/>
      <c r="VAW286" s="1069"/>
      <c r="VAX286" s="1069"/>
      <c r="VAY286" s="1069"/>
      <c r="VAZ286" s="1069"/>
      <c r="VBA286" s="1069"/>
      <c r="VBB286" s="1069"/>
      <c r="VBC286" s="1069"/>
      <c r="VBD286" s="1069"/>
      <c r="VBE286" s="1069"/>
      <c r="VBF286" s="1069"/>
      <c r="VBG286" s="1069"/>
      <c r="VBH286" s="1069"/>
      <c r="VBI286" s="1069"/>
      <c r="VBJ286" s="1069"/>
      <c r="VBK286" s="1069"/>
      <c r="VBL286" s="1069"/>
      <c r="VBM286" s="1069"/>
      <c r="VBN286" s="1069"/>
      <c r="VBO286" s="1069"/>
      <c r="VBP286" s="1069"/>
      <c r="VBQ286" s="1069"/>
      <c r="VBR286" s="1069"/>
      <c r="VBS286" s="1069"/>
      <c r="VBT286" s="1069"/>
      <c r="VBU286" s="1069"/>
      <c r="VBV286" s="1069"/>
      <c r="VBW286" s="1069"/>
      <c r="VBX286" s="1069"/>
      <c r="VBY286" s="1069"/>
      <c r="VBZ286" s="1069"/>
      <c r="VCA286" s="1069"/>
      <c r="VCB286" s="1069"/>
      <c r="VCC286" s="1069"/>
      <c r="VCD286" s="1069"/>
      <c r="VCE286" s="1069"/>
      <c r="VCF286" s="1069"/>
      <c r="VCG286" s="1069"/>
      <c r="VCH286" s="1069"/>
      <c r="VCI286" s="1069"/>
      <c r="VCJ286" s="1069"/>
      <c r="VCK286" s="1069"/>
      <c r="VCL286" s="1069"/>
      <c r="VCM286" s="1069"/>
      <c r="VCN286" s="1069"/>
      <c r="VCO286" s="1069"/>
      <c r="VCP286" s="1069"/>
      <c r="VCQ286" s="1069"/>
      <c r="VCR286" s="1069"/>
      <c r="VCS286" s="1069"/>
      <c r="VCT286" s="1069"/>
      <c r="VCU286" s="1069"/>
      <c r="VCV286" s="1069"/>
      <c r="VCW286" s="1069"/>
      <c r="VCX286" s="1069"/>
      <c r="VCY286" s="1069"/>
      <c r="VCZ286" s="1069"/>
      <c r="VDA286" s="1069"/>
      <c r="VDB286" s="1069"/>
      <c r="VDC286" s="1069"/>
      <c r="VDD286" s="1069"/>
      <c r="VDE286" s="1069"/>
      <c r="VDF286" s="1069"/>
      <c r="VDG286" s="1069"/>
      <c r="VDH286" s="1069"/>
      <c r="VDI286" s="1069"/>
      <c r="VDJ286" s="1069"/>
      <c r="VDK286" s="1069"/>
      <c r="VDL286" s="1069"/>
      <c r="VDM286" s="1069"/>
      <c r="VDN286" s="1069"/>
      <c r="VDO286" s="1069"/>
      <c r="VDP286" s="1069"/>
      <c r="VDQ286" s="1069"/>
      <c r="VDR286" s="1069"/>
      <c r="VDS286" s="1069"/>
      <c r="VDT286" s="1069"/>
      <c r="VDU286" s="1069"/>
      <c r="VDV286" s="1069"/>
      <c r="VDW286" s="1069"/>
      <c r="VDX286" s="1069"/>
      <c r="VDY286" s="1069"/>
      <c r="VDZ286" s="1069"/>
      <c r="VEA286" s="1069"/>
      <c r="VEB286" s="1069"/>
      <c r="VEC286" s="1069"/>
      <c r="VED286" s="1069"/>
      <c r="VEE286" s="1069"/>
      <c r="VEF286" s="1069"/>
      <c r="VEG286" s="1069"/>
      <c r="VEH286" s="1069"/>
      <c r="VEI286" s="1069"/>
      <c r="VEJ286" s="1069"/>
      <c r="VEK286" s="1069"/>
      <c r="VEL286" s="1069"/>
      <c r="VEM286" s="1069"/>
      <c r="VEN286" s="1069"/>
      <c r="VEO286" s="1069"/>
      <c r="VEP286" s="1069"/>
      <c r="VEQ286" s="1069"/>
      <c r="VER286" s="1069"/>
      <c r="VES286" s="1069"/>
      <c r="VET286" s="1069"/>
      <c r="VEU286" s="1069"/>
      <c r="VEV286" s="1069"/>
      <c r="VEW286" s="1069"/>
      <c r="VEX286" s="1069"/>
      <c r="VEY286" s="1069"/>
      <c r="VEZ286" s="1069"/>
      <c r="VFA286" s="1069"/>
      <c r="VFB286" s="1069"/>
      <c r="VFC286" s="1069"/>
      <c r="VFD286" s="1069"/>
      <c r="VFE286" s="1069"/>
      <c r="VFF286" s="1069"/>
      <c r="VFG286" s="1069"/>
      <c r="VFH286" s="1069"/>
      <c r="VFI286" s="1069"/>
      <c r="VFJ286" s="1069"/>
      <c r="VFK286" s="1069"/>
      <c r="VFL286" s="1069"/>
      <c r="VFM286" s="1069"/>
      <c r="VFN286" s="1069"/>
      <c r="VFO286" s="1069"/>
      <c r="VFP286" s="1069"/>
      <c r="VFQ286" s="1069"/>
      <c r="VFR286" s="1069"/>
      <c r="VFS286" s="1069"/>
      <c r="VFT286" s="1069"/>
      <c r="VFU286" s="1069"/>
      <c r="VFV286" s="1069"/>
      <c r="VFW286" s="1069"/>
      <c r="VFX286" s="1069"/>
      <c r="VFY286" s="1069"/>
      <c r="VFZ286" s="1069"/>
      <c r="VGA286" s="1069"/>
      <c r="VGB286" s="1069"/>
      <c r="VGC286" s="1069"/>
      <c r="VGD286" s="1069"/>
      <c r="VGE286" s="1069"/>
      <c r="VGF286" s="1069"/>
      <c r="VGG286" s="1069"/>
      <c r="VGH286" s="1069"/>
      <c r="VGI286" s="1069"/>
      <c r="VGJ286" s="1069"/>
      <c r="VGK286" s="1069"/>
      <c r="VGL286" s="1069"/>
      <c r="VGM286" s="1069"/>
      <c r="VGN286" s="1069"/>
      <c r="VGO286" s="1069"/>
      <c r="VGP286" s="1069"/>
      <c r="VGQ286" s="1069"/>
      <c r="VGR286" s="1069"/>
      <c r="VGS286" s="1069"/>
      <c r="VGT286" s="1069"/>
      <c r="VGU286" s="1069"/>
      <c r="VGV286" s="1069"/>
      <c r="VGW286" s="1069"/>
      <c r="VGX286" s="1069"/>
      <c r="VGY286" s="1069"/>
      <c r="VGZ286" s="1069"/>
      <c r="VHA286" s="1069"/>
      <c r="VHB286" s="1069"/>
      <c r="VHC286" s="1069"/>
      <c r="VHD286" s="1069"/>
      <c r="VHE286" s="1069"/>
      <c r="VHF286" s="1069"/>
      <c r="VHG286" s="1069"/>
      <c r="VHH286" s="1069"/>
      <c r="VHI286" s="1069"/>
      <c r="VHJ286" s="1069"/>
      <c r="VHK286" s="1069"/>
      <c r="VHL286" s="1069"/>
      <c r="VHM286" s="1069"/>
      <c r="VHN286" s="1069"/>
      <c r="VHO286" s="1069"/>
      <c r="VHP286" s="1069"/>
      <c r="VHQ286" s="1069"/>
      <c r="VHR286" s="1069"/>
      <c r="VHS286" s="1069"/>
      <c r="VHT286" s="1069"/>
      <c r="VHU286" s="1069"/>
      <c r="VHV286" s="1069"/>
      <c r="VHW286" s="1069"/>
      <c r="VHX286" s="1069"/>
      <c r="VHY286" s="1069"/>
      <c r="VHZ286" s="1069"/>
      <c r="VIA286" s="1069"/>
      <c r="VIB286" s="1069"/>
      <c r="VIC286" s="1069"/>
      <c r="VID286" s="1069"/>
      <c r="VIE286" s="1069"/>
      <c r="VIF286" s="1069"/>
      <c r="VIG286" s="1069"/>
      <c r="VIH286" s="1069"/>
      <c r="VII286" s="1069"/>
      <c r="VIJ286" s="1069"/>
      <c r="VIK286" s="1069"/>
      <c r="VIL286" s="1069"/>
      <c r="VIM286" s="1069"/>
      <c r="VIN286" s="1069"/>
      <c r="VIO286" s="1069"/>
      <c r="VIP286" s="1069"/>
      <c r="VIQ286" s="1069"/>
      <c r="VIR286" s="1069"/>
      <c r="VIS286" s="1069"/>
      <c r="VIT286" s="1069"/>
      <c r="VIU286" s="1069"/>
      <c r="VIV286" s="1069"/>
      <c r="VIW286" s="1069"/>
      <c r="VIX286" s="1069"/>
      <c r="VIY286" s="1069"/>
      <c r="VIZ286" s="1069"/>
      <c r="VJA286" s="1069"/>
      <c r="VJB286" s="1069"/>
      <c r="VJC286" s="1069"/>
      <c r="VJD286" s="1069"/>
      <c r="VJE286" s="1069"/>
      <c r="VJF286" s="1069"/>
      <c r="VJG286" s="1069"/>
      <c r="VJH286" s="1069"/>
      <c r="VJI286" s="1069"/>
      <c r="VJJ286" s="1069"/>
      <c r="VJK286" s="1069"/>
      <c r="VJL286" s="1069"/>
      <c r="VJM286" s="1069"/>
      <c r="VJN286" s="1069"/>
      <c r="VJO286" s="1069"/>
      <c r="VJP286" s="1069"/>
      <c r="VJQ286" s="1069"/>
      <c r="VJR286" s="1069"/>
      <c r="VJS286" s="1069"/>
      <c r="VJT286" s="1069"/>
      <c r="VJU286" s="1069"/>
      <c r="VJV286" s="1069"/>
      <c r="VJW286" s="1069"/>
      <c r="VJX286" s="1069"/>
      <c r="VJY286" s="1069"/>
      <c r="VJZ286" s="1069"/>
      <c r="VKA286" s="1069"/>
      <c r="VKB286" s="1069"/>
      <c r="VKC286" s="1069"/>
      <c r="VKD286" s="1069"/>
      <c r="VKE286" s="1069"/>
      <c r="VKF286" s="1069"/>
      <c r="VKG286" s="1069"/>
      <c r="VKH286" s="1069"/>
      <c r="VKI286" s="1069"/>
      <c r="VKJ286" s="1069"/>
      <c r="VKK286" s="1069"/>
      <c r="VKL286" s="1069"/>
      <c r="VKM286" s="1069"/>
      <c r="VKN286" s="1069"/>
      <c r="VKO286" s="1069"/>
      <c r="VKP286" s="1069"/>
      <c r="VKQ286" s="1069"/>
      <c r="VKR286" s="1069"/>
      <c r="VKS286" s="1069"/>
      <c r="VKT286" s="1069"/>
      <c r="VKU286" s="1069"/>
      <c r="VKV286" s="1069"/>
      <c r="VKW286" s="1069"/>
      <c r="VKX286" s="1069"/>
      <c r="VKY286" s="1069"/>
      <c r="VKZ286" s="1069"/>
      <c r="VLA286" s="1069"/>
      <c r="VLB286" s="1069"/>
      <c r="VLC286" s="1069"/>
      <c r="VLD286" s="1069"/>
      <c r="VLE286" s="1069"/>
      <c r="VLF286" s="1069"/>
      <c r="VLG286" s="1069"/>
      <c r="VLH286" s="1069"/>
      <c r="VLI286" s="1069"/>
      <c r="VLJ286" s="1069"/>
      <c r="VLK286" s="1069"/>
      <c r="VLL286" s="1069"/>
      <c r="VLM286" s="1069"/>
      <c r="VLN286" s="1069"/>
      <c r="VLO286" s="1069"/>
      <c r="VLP286" s="1069"/>
      <c r="VLQ286" s="1069"/>
      <c r="VLR286" s="1069"/>
      <c r="VLS286" s="1069"/>
      <c r="VLT286" s="1069"/>
      <c r="VLU286" s="1069"/>
      <c r="VLV286" s="1069"/>
      <c r="VLW286" s="1069"/>
      <c r="VLX286" s="1069"/>
      <c r="VLY286" s="1069"/>
      <c r="VLZ286" s="1069"/>
      <c r="VMA286" s="1069"/>
      <c r="VMB286" s="1069"/>
      <c r="VMC286" s="1069"/>
      <c r="VMD286" s="1069"/>
      <c r="VME286" s="1069"/>
      <c r="VMF286" s="1069"/>
      <c r="VMG286" s="1069"/>
      <c r="VMH286" s="1069"/>
      <c r="VMI286" s="1069"/>
      <c r="VMJ286" s="1069"/>
      <c r="VMK286" s="1069"/>
      <c r="VML286" s="1069"/>
      <c r="VMM286" s="1069"/>
      <c r="VMN286" s="1069"/>
      <c r="VMO286" s="1069"/>
      <c r="VMP286" s="1069"/>
      <c r="VMQ286" s="1069"/>
      <c r="VMR286" s="1069"/>
      <c r="VMS286" s="1069"/>
      <c r="VMT286" s="1069"/>
      <c r="VMU286" s="1069"/>
      <c r="VMV286" s="1069"/>
      <c r="VMW286" s="1069"/>
      <c r="VMX286" s="1069"/>
      <c r="VMY286" s="1069"/>
      <c r="VMZ286" s="1069"/>
      <c r="VNA286" s="1069"/>
      <c r="VNB286" s="1069"/>
      <c r="VNC286" s="1069"/>
      <c r="VND286" s="1069"/>
      <c r="VNE286" s="1069"/>
      <c r="VNF286" s="1069"/>
      <c r="VNG286" s="1069"/>
      <c r="VNH286" s="1069"/>
      <c r="VNI286" s="1069"/>
      <c r="VNJ286" s="1069"/>
      <c r="VNK286" s="1069"/>
      <c r="VNL286" s="1069"/>
      <c r="VNM286" s="1069"/>
      <c r="VNN286" s="1069"/>
      <c r="VNO286" s="1069"/>
      <c r="VNP286" s="1069"/>
      <c r="VNQ286" s="1069"/>
      <c r="VNR286" s="1069"/>
      <c r="VNS286" s="1069"/>
      <c r="VNT286" s="1069"/>
      <c r="VNU286" s="1069"/>
      <c r="VNV286" s="1069"/>
      <c r="VNW286" s="1069"/>
      <c r="VNX286" s="1069"/>
      <c r="VNY286" s="1069"/>
      <c r="VNZ286" s="1069"/>
      <c r="VOA286" s="1069"/>
      <c r="VOB286" s="1069"/>
      <c r="VOC286" s="1069"/>
      <c r="VOD286" s="1069"/>
      <c r="VOE286" s="1069"/>
      <c r="VOF286" s="1069"/>
      <c r="VOG286" s="1069"/>
      <c r="VOH286" s="1069"/>
      <c r="VOI286" s="1069"/>
      <c r="VOJ286" s="1069"/>
      <c r="VOK286" s="1069"/>
      <c r="VOL286" s="1069"/>
      <c r="VOM286" s="1069"/>
      <c r="VON286" s="1069"/>
      <c r="VOO286" s="1069"/>
      <c r="VOP286" s="1069"/>
      <c r="VOQ286" s="1069"/>
      <c r="VOR286" s="1069"/>
      <c r="VOS286" s="1069"/>
      <c r="VOT286" s="1069"/>
      <c r="VOU286" s="1069"/>
      <c r="VOV286" s="1069"/>
      <c r="VOW286" s="1069"/>
      <c r="VOX286" s="1069"/>
      <c r="VOY286" s="1069"/>
      <c r="VOZ286" s="1069"/>
      <c r="VPA286" s="1069"/>
      <c r="VPB286" s="1069"/>
      <c r="VPC286" s="1069"/>
      <c r="VPD286" s="1069"/>
      <c r="VPE286" s="1069"/>
      <c r="VPF286" s="1069"/>
      <c r="VPG286" s="1069"/>
      <c r="VPH286" s="1069"/>
      <c r="VPI286" s="1069"/>
      <c r="VPJ286" s="1069"/>
      <c r="VPK286" s="1069"/>
      <c r="VPL286" s="1069"/>
      <c r="VPM286" s="1069"/>
      <c r="VPN286" s="1069"/>
      <c r="VPO286" s="1069"/>
      <c r="VPP286" s="1069"/>
      <c r="VPQ286" s="1069"/>
      <c r="VPR286" s="1069"/>
      <c r="VPS286" s="1069"/>
      <c r="VPT286" s="1069"/>
      <c r="VPU286" s="1069"/>
      <c r="VPV286" s="1069"/>
      <c r="VPW286" s="1069"/>
      <c r="VPX286" s="1069"/>
      <c r="VPY286" s="1069"/>
      <c r="VPZ286" s="1069"/>
      <c r="VQA286" s="1069"/>
      <c r="VQB286" s="1069"/>
      <c r="VQC286" s="1069"/>
      <c r="VQD286" s="1069"/>
      <c r="VQE286" s="1069"/>
      <c r="VQF286" s="1069"/>
      <c r="VQG286" s="1069"/>
      <c r="VQH286" s="1069"/>
      <c r="VQI286" s="1069"/>
      <c r="VQJ286" s="1069"/>
      <c r="VQK286" s="1069"/>
      <c r="VQL286" s="1069"/>
      <c r="VQM286" s="1069"/>
      <c r="VQN286" s="1069"/>
      <c r="VQO286" s="1069"/>
      <c r="VQP286" s="1069"/>
      <c r="VQQ286" s="1069"/>
      <c r="VQR286" s="1069"/>
      <c r="VQS286" s="1069"/>
      <c r="VQT286" s="1069"/>
      <c r="VQU286" s="1069"/>
      <c r="VQV286" s="1069"/>
      <c r="VQW286" s="1069"/>
      <c r="VQX286" s="1069"/>
      <c r="VQY286" s="1069"/>
      <c r="VQZ286" s="1069"/>
      <c r="VRA286" s="1069"/>
      <c r="VRB286" s="1069"/>
      <c r="VRC286" s="1069"/>
      <c r="VRD286" s="1069"/>
      <c r="VRE286" s="1069"/>
      <c r="VRF286" s="1069"/>
      <c r="VRG286" s="1069"/>
      <c r="VRH286" s="1069"/>
      <c r="VRI286" s="1069"/>
      <c r="VRJ286" s="1069"/>
      <c r="VRK286" s="1069"/>
      <c r="VRL286" s="1069"/>
      <c r="VRM286" s="1069"/>
      <c r="VRN286" s="1069"/>
      <c r="VRO286" s="1069"/>
      <c r="VRP286" s="1069"/>
      <c r="VRQ286" s="1069"/>
      <c r="VRR286" s="1069"/>
      <c r="VRS286" s="1069"/>
      <c r="VRT286" s="1069"/>
      <c r="VRU286" s="1069"/>
      <c r="VRV286" s="1069"/>
      <c r="VRW286" s="1069"/>
      <c r="VRX286" s="1069"/>
      <c r="VRY286" s="1069"/>
      <c r="VRZ286" s="1069"/>
      <c r="VSA286" s="1069"/>
      <c r="VSB286" s="1069"/>
      <c r="VSC286" s="1069"/>
      <c r="VSD286" s="1069"/>
      <c r="VSE286" s="1069"/>
      <c r="VSF286" s="1069"/>
      <c r="VSG286" s="1069"/>
      <c r="VSH286" s="1069"/>
      <c r="VSI286" s="1069"/>
      <c r="VSJ286" s="1069"/>
      <c r="VSK286" s="1069"/>
      <c r="VSL286" s="1069"/>
      <c r="VSM286" s="1069"/>
      <c r="VSN286" s="1069"/>
      <c r="VSO286" s="1069"/>
      <c r="VSP286" s="1069"/>
      <c r="VSQ286" s="1069"/>
      <c r="VSR286" s="1069"/>
      <c r="VSS286" s="1069"/>
      <c r="VST286" s="1069"/>
      <c r="VSU286" s="1069"/>
      <c r="VSV286" s="1069"/>
      <c r="VSW286" s="1069"/>
      <c r="VSX286" s="1069"/>
      <c r="VSY286" s="1069"/>
      <c r="VSZ286" s="1069"/>
      <c r="VTA286" s="1069"/>
      <c r="VTB286" s="1069"/>
      <c r="VTC286" s="1069"/>
      <c r="VTD286" s="1069"/>
      <c r="VTE286" s="1069"/>
      <c r="VTF286" s="1069"/>
      <c r="VTG286" s="1069"/>
      <c r="VTH286" s="1069"/>
      <c r="VTI286" s="1069"/>
      <c r="VTJ286" s="1069"/>
      <c r="VTK286" s="1069"/>
      <c r="VTL286" s="1069"/>
      <c r="VTM286" s="1069"/>
      <c r="VTN286" s="1069"/>
      <c r="VTO286" s="1069"/>
      <c r="VTP286" s="1069"/>
      <c r="VTQ286" s="1069"/>
      <c r="VTR286" s="1069"/>
      <c r="VTS286" s="1069"/>
      <c r="VTT286" s="1069"/>
      <c r="VTU286" s="1069"/>
      <c r="VTV286" s="1069"/>
      <c r="VTW286" s="1069"/>
      <c r="VTX286" s="1069"/>
      <c r="VTY286" s="1069"/>
      <c r="VTZ286" s="1069"/>
      <c r="VUA286" s="1069"/>
      <c r="VUB286" s="1069"/>
      <c r="VUC286" s="1069"/>
      <c r="VUD286" s="1069"/>
      <c r="VUE286" s="1069"/>
      <c r="VUF286" s="1069"/>
      <c r="VUG286" s="1069"/>
      <c r="VUH286" s="1069"/>
      <c r="VUI286" s="1069"/>
      <c r="VUJ286" s="1069"/>
      <c r="VUK286" s="1069"/>
      <c r="VUL286" s="1069"/>
      <c r="VUM286" s="1069"/>
      <c r="VUN286" s="1069"/>
      <c r="VUO286" s="1069"/>
      <c r="VUP286" s="1069"/>
      <c r="VUQ286" s="1069"/>
      <c r="VUR286" s="1069"/>
      <c r="VUS286" s="1069"/>
      <c r="VUT286" s="1069"/>
      <c r="VUU286" s="1069"/>
      <c r="VUV286" s="1069"/>
      <c r="VUW286" s="1069"/>
      <c r="VUX286" s="1069"/>
      <c r="VUY286" s="1069"/>
      <c r="VUZ286" s="1069"/>
      <c r="VVA286" s="1069"/>
      <c r="VVB286" s="1069"/>
      <c r="VVC286" s="1069"/>
      <c r="VVD286" s="1069"/>
      <c r="VVE286" s="1069"/>
      <c r="VVF286" s="1069"/>
      <c r="VVG286" s="1069"/>
      <c r="VVH286" s="1069"/>
      <c r="VVI286" s="1069"/>
      <c r="VVJ286" s="1069"/>
      <c r="VVK286" s="1069"/>
      <c r="VVL286" s="1069"/>
      <c r="VVM286" s="1069"/>
      <c r="VVN286" s="1069"/>
      <c r="VVO286" s="1069"/>
      <c r="VVP286" s="1069"/>
      <c r="VVQ286" s="1069"/>
      <c r="VVR286" s="1069"/>
      <c r="VVS286" s="1069"/>
      <c r="VVT286" s="1069"/>
      <c r="VVU286" s="1069"/>
      <c r="VVV286" s="1069"/>
      <c r="VVW286" s="1069"/>
      <c r="VVX286" s="1069"/>
      <c r="VVY286" s="1069"/>
      <c r="VVZ286" s="1069"/>
      <c r="VWA286" s="1069"/>
      <c r="VWB286" s="1069"/>
      <c r="VWC286" s="1069"/>
      <c r="VWD286" s="1069"/>
      <c r="VWE286" s="1069"/>
      <c r="VWF286" s="1069"/>
      <c r="VWG286" s="1069"/>
      <c r="VWH286" s="1069"/>
      <c r="VWI286" s="1069"/>
      <c r="VWJ286" s="1069"/>
      <c r="VWK286" s="1069"/>
      <c r="VWL286" s="1069"/>
      <c r="VWM286" s="1069"/>
      <c r="VWN286" s="1069"/>
      <c r="VWO286" s="1069"/>
      <c r="VWP286" s="1069"/>
      <c r="VWQ286" s="1069"/>
      <c r="VWR286" s="1069"/>
      <c r="VWS286" s="1069"/>
      <c r="VWT286" s="1069"/>
      <c r="VWU286" s="1069"/>
      <c r="VWV286" s="1069"/>
      <c r="VWW286" s="1069"/>
      <c r="VWX286" s="1069"/>
      <c r="VWY286" s="1069"/>
      <c r="VWZ286" s="1069"/>
      <c r="VXA286" s="1069"/>
      <c r="VXB286" s="1069"/>
      <c r="VXC286" s="1069"/>
      <c r="VXD286" s="1069"/>
      <c r="VXE286" s="1069"/>
      <c r="VXF286" s="1069"/>
      <c r="VXG286" s="1069"/>
      <c r="VXH286" s="1069"/>
      <c r="VXI286" s="1069"/>
      <c r="VXJ286" s="1069"/>
      <c r="VXK286" s="1069"/>
      <c r="VXL286" s="1069"/>
      <c r="VXM286" s="1069"/>
      <c r="VXN286" s="1069"/>
      <c r="VXO286" s="1069"/>
      <c r="VXP286" s="1069"/>
      <c r="VXQ286" s="1069"/>
      <c r="VXR286" s="1069"/>
      <c r="VXS286" s="1069"/>
      <c r="VXT286" s="1069"/>
      <c r="VXU286" s="1069"/>
      <c r="VXV286" s="1069"/>
      <c r="VXW286" s="1069"/>
      <c r="VXX286" s="1069"/>
      <c r="VXY286" s="1069"/>
      <c r="VXZ286" s="1069"/>
      <c r="VYA286" s="1069"/>
      <c r="VYB286" s="1069"/>
      <c r="VYC286" s="1069"/>
      <c r="VYD286" s="1069"/>
      <c r="VYE286" s="1069"/>
      <c r="VYF286" s="1069"/>
      <c r="VYG286" s="1069"/>
      <c r="VYH286" s="1069"/>
      <c r="VYI286" s="1069"/>
      <c r="VYJ286" s="1069"/>
      <c r="VYK286" s="1069"/>
      <c r="VYL286" s="1069"/>
      <c r="VYM286" s="1069"/>
      <c r="VYN286" s="1069"/>
      <c r="VYO286" s="1069"/>
      <c r="VYP286" s="1069"/>
      <c r="VYQ286" s="1069"/>
      <c r="VYR286" s="1069"/>
      <c r="VYS286" s="1069"/>
      <c r="VYT286" s="1069"/>
      <c r="VYU286" s="1069"/>
      <c r="VYV286" s="1069"/>
      <c r="VYW286" s="1069"/>
      <c r="VYX286" s="1069"/>
      <c r="VYY286" s="1069"/>
      <c r="VYZ286" s="1069"/>
      <c r="VZA286" s="1069"/>
      <c r="VZB286" s="1069"/>
      <c r="VZC286" s="1069"/>
      <c r="VZD286" s="1069"/>
      <c r="VZE286" s="1069"/>
      <c r="VZF286" s="1069"/>
      <c r="VZG286" s="1069"/>
      <c r="VZH286" s="1069"/>
      <c r="VZI286" s="1069"/>
      <c r="VZJ286" s="1069"/>
      <c r="VZK286" s="1069"/>
      <c r="VZL286" s="1069"/>
      <c r="VZM286" s="1069"/>
      <c r="VZN286" s="1069"/>
      <c r="VZO286" s="1069"/>
      <c r="VZP286" s="1069"/>
      <c r="VZQ286" s="1069"/>
      <c r="VZR286" s="1069"/>
      <c r="VZS286" s="1069"/>
      <c r="VZT286" s="1069"/>
      <c r="VZU286" s="1069"/>
      <c r="VZV286" s="1069"/>
      <c r="VZW286" s="1069"/>
      <c r="VZX286" s="1069"/>
      <c r="VZY286" s="1069"/>
      <c r="VZZ286" s="1069"/>
      <c r="WAA286" s="1069"/>
      <c r="WAB286" s="1069"/>
      <c r="WAC286" s="1069"/>
      <c r="WAD286" s="1069"/>
      <c r="WAE286" s="1069"/>
      <c r="WAF286" s="1069"/>
      <c r="WAG286" s="1069"/>
      <c r="WAH286" s="1069"/>
      <c r="WAI286" s="1069"/>
      <c r="WAJ286" s="1069"/>
      <c r="WAK286" s="1069"/>
      <c r="WAL286" s="1069"/>
      <c r="WAM286" s="1069"/>
      <c r="WAN286" s="1069"/>
      <c r="WAO286" s="1069"/>
      <c r="WAP286" s="1069"/>
      <c r="WAQ286" s="1069"/>
      <c r="WAR286" s="1069"/>
      <c r="WAS286" s="1069"/>
      <c r="WAT286" s="1069"/>
      <c r="WAU286" s="1069"/>
      <c r="WAV286" s="1069"/>
      <c r="WAW286" s="1069"/>
      <c r="WAX286" s="1069"/>
      <c r="WAY286" s="1069"/>
      <c r="WAZ286" s="1069"/>
      <c r="WBA286" s="1069"/>
      <c r="WBB286" s="1069"/>
      <c r="WBC286" s="1069"/>
      <c r="WBD286" s="1069"/>
      <c r="WBE286" s="1069"/>
      <c r="WBF286" s="1069"/>
      <c r="WBG286" s="1069"/>
      <c r="WBH286" s="1069"/>
      <c r="WBI286" s="1069"/>
      <c r="WBJ286" s="1069"/>
      <c r="WBK286" s="1069"/>
      <c r="WBL286" s="1069"/>
      <c r="WBM286" s="1069"/>
      <c r="WBN286" s="1069"/>
      <c r="WBO286" s="1069"/>
      <c r="WBP286" s="1069"/>
      <c r="WBQ286" s="1069"/>
      <c r="WBR286" s="1069"/>
      <c r="WBS286" s="1069"/>
      <c r="WBT286" s="1069"/>
      <c r="WBU286" s="1069"/>
      <c r="WBV286" s="1069"/>
      <c r="WBW286" s="1069"/>
      <c r="WBX286" s="1069"/>
      <c r="WBY286" s="1069"/>
      <c r="WBZ286" s="1069"/>
      <c r="WCA286" s="1069"/>
      <c r="WCB286" s="1069"/>
      <c r="WCC286" s="1069"/>
      <c r="WCD286" s="1069"/>
      <c r="WCE286" s="1069"/>
      <c r="WCF286" s="1069"/>
      <c r="WCG286" s="1069"/>
      <c r="WCH286" s="1069"/>
      <c r="WCI286" s="1069"/>
      <c r="WCJ286" s="1069"/>
      <c r="WCK286" s="1069"/>
      <c r="WCL286" s="1069"/>
      <c r="WCM286" s="1069"/>
      <c r="WCN286" s="1069"/>
      <c r="WCO286" s="1069"/>
      <c r="WCP286" s="1069"/>
      <c r="WCQ286" s="1069"/>
      <c r="WCR286" s="1069"/>
      <c r="WCS286" s="1069"/>
      <c r="WCT286" s="1069"/>
      <c r="WCU286" s="1069"/>
      <c r="WCV286" s="1069"/>
      <c r="WCW286" s="1069"/>
      <c r="WCX286" s="1069"/>
      <c r="WCY286" s="1069"/>
      <c r="WCZ286" s="1069"/>
      <c r="WDA286" s="1069"/>
      <c r="WDB286" s="1069"/>
      <c r="WDC286" s="1069"/>
      <c r="WDD286" s="1069"/>
      <c r="WDE286" s="1069"/>
      <c r="WDF286" s="1069"/>
      <c r="WDG286" s="1069"/>
      <c r="WDH286" s="1069"/>
      <c r="WDI286" s="1069"/>
      <c r="WDJ286" s="1069"/>
      <c r="WDK286" s="1069"/>
      <c r="WDL286" s="1069"/>
      <c r="WDM286" s="1069"/>
      <c r="WDN286" s="1069"/>
      <c r="WDO286" s="1069"/>
      <c r="WDP286" s="1069"/>
      <c r="WDQ286" s="1069"/>
      <c r="WDR286" s="1069"/>
      <c r="WDS286" s="1069"/>
      <c r="WDT286" s="1069"/>
      <c r="WDU286" s="1069"/>
      <c r="WDV286" s="1069"/>
      <c r="WDW286" s="1069"/>
      <c r="WDX286" s="1069"/>
      <c r="WDY286" s="1069"/>
      <c r="WDZ286" s="1069"/>
      <c r="WEA286" s="1069"/>
      <c r="WEB286" s="1069"/>
      <c r="WEC286" s="1069"/>
      <c r="WED286" s="1069"/>
      <c r="WEE286" s="1069"/>
      <c r="WEF286" s="1069"/>
      <c r="WEG286" s="1069"/>
      <c r="WEH286" s="1069"/>
      <c r="WEI286" s="1069"/>
      <c r="WEJ286" s="1069"/>
      <c r="WEK286" s="1069"/>
      <c r="WEL286" s="1069"/>
      <c r="WEM286" s="1069"/>
      <c r="WEN286" s="1069"/>
      <c r="WEO286" s="1069"/>
      <c r="WEP286" s="1069"/>
      <c r="WEQ286" s="1069"/>
      <c r="WER286" s="1069"/>
      <c r="WES286" s="1069"/>
      <c r="WET286" s="1069"/>
      <c r="WEU286" s="1069"/>
      <c r="WEV286" s="1069"/>
      <c r="WEW286" s="1069"/>
      <c r="WEX286" s="1069"/>
      <c r="WEY286" s="1069"/>
      <c r="WEZ286" s="1069"/>
      <c r="WFA286" s="1069"/>
      <c r="WFB286" s="1069"/>
      <c r="WFC286" s="1069"/>
      <c r="WFD286" s="1069"/>
      <c r="WFE286" s="1069"/>
      <c r="WFF286" s="1069"/>
      <c r="WFG286" s="1069"/>
      <c r="WFH286" s="1069"/>
      <c r="WFI286" s="1069"/>
      <c r="WFJ286" s="1069"/>
      <c r="WFK286" s="1069"/>
      <c r="WFL286" s="1069"/>
      <c r="WFM286" s="1069"/>
      <c r="WFN286" s="1069"/>
      <c r="WFO286" s="1069"/>
      <c r="WFP286" s="1069"/>
      <c r="WFQ286" s="1069"/>
      <c r="WFR286" s="1069"/>
      <c r="WFS286" s="1069"/>
      <c r="WFT286" s="1069"/>
      <c r="WFU286" s="1069"/>
      <c r="WFV286" s="1069"/>
      <c r="WFW286" s="1069"/>
      <c r="WFX286" s="1069"/>
      <c r="WFY286" s="1069"/>
      <c r="WFZ286" s="1069"/>
      <c r="WGA286" s="1069"/>
      <c r="WGB286" s="1069"/>
      <c r="WGC286" s="1069"/>
      <c r="WGD286" s="1069"/>
      <c r="WGE286" s="1069"/>
      <c r="WGF286" s="1069"/>
      <c r="WGG286" s="1069"/>
      <c r="WGH286" s="1069"/>
      <c r="WGI286" s="1069"/>
      <c r="WGJ286" s="1069"/>
      <c r="WGK286" s="1069"/>
      <c r="WGL286" s="1069"/>
      <c r="WGM286" s="1069"/>
      <c r="WGN286" s="1069"/>
      <c r="WGO286" s="1069"/>
      <c r="WGP286" s="1069"/>
      <c r="WGQ286" s="1069"/>
      <c r="WGR286" s="1069"/>
      <c r="WGS286" s="1069"/>
      <c r="WGT286" s="1069"/>
      <c r="WGU286" s="1069"/>
      <c r="WGV286" s="1069"/>
      <c r="WGW286" s="1069"/>
      <c r="WGX286" s="1069"/>
      <c r="WGY286" s="1069"/>
      <c r="WGZ286" s="1069"/>
      <c r="WHA286" s="1069"/>
      <c r="WHB286" s="1069"/>
      <c r="WHC286" s="1069"/>
      <c r="WHD286" s="1069"/>
      <c r="WHE286" s="1069"/>
      <c r="WHF286" s="1069"/>
      <c r="WHG286" s="1069"/>
      <c r="WHH286" s="1069"/>
      <c r="WHI286" s="1069"/>
      <c r="WHJ286" s="1069"/>
      <c r="WHK286" s="1069"/>
      <c r="WHL286" s="1069"/>
      <c r="WHM286" s="1069"/>
      <c r="WHN286" s="1069"/>
      <c r="WHO286" s="1069"/>
      <c r="WHP286" s="1069"/>
      <c r="WHQ286" s="1069"/>
      <c r="WHR286" s="1069"/>
      <c r="WHS286" s="1069"/>
      <c r="WHT286" s="1069"/>
      <c r="WHU286" s="1069"/>
      <c r="WHV286" s="1069"/>
      <c r="WHW286" s="1069"/>
      <c r="WHX286" s="1069"/>
      <c r="WHY286" s="1069"/>
      <c r="WHZ286" s="1069"/>
      <c r="WIA286" s="1069"/>
      <c r="WIB286" s="1069"/>
      <c r="WIC286" s="1069"/>
      <c r="WID286" s="1069"/>
      <c r="WIE286" s="1069"/>
      <c r="WIF286" s="1069"/>
      <c r="WIG286" s="1069"/>
      <c r="WIH286" s="1069"/>
      <c r="WII286" s="1069"/>
      <c r="WIJ286" s="1069"/>
      <c r="WIK286" s="1069"/>
      <c r="WIL286" s="1069"/>
      <c r="WIM286" s="1069"/>
      <c r="WIN286" s="1069"/>
      <c r="WIO286" s="1069"/>
      <c r="WIP286" s="1069"/>
      <c r="WIQ286" s="1069"/>
      <c r="WIR286" s="1069"/>
      <c r="WIS286" s="1069"/>
      <c r="WIT286" s="1069"/>
      <c r="WIU286" s="1069"/>
      <c r="WIV286" s="1069"/>
      <c r="WIW286" s="1069"/>
      <c r="WIX286" s="1069"/>
      <c r="WIY286" s="1069"/>
      <c r="WIZ286" s="1069"/>
      <c r="WJA286" s="1069"/>
      <c r="WJB286" s="1069"/>
      <c r="WJC286" s="1069"/>
      <c r="WJD286" s="1069"/>
      <c r="WJE286" s="1069"/>
      <c r="WJF286" s="1069"/>
      <c r="WJG286" s="1069"/>
      <c r="WJH286" s="1069"/>
      <c r="WJI286" s="1069"/>
      <c r="WJJ286" s="1069"/>
      <c r="WJK286" s="1069"/>
      <c r="WJL286" s="1069"/>
      <c r="WJM286" s="1069"/>
      <c r="WJN286" s="1069"/>
      <c r="WJO286" s="1069"/>
      <c r="WJP286" s="1069"/>
      <c r="WJQ286" s="1069"/>
      <c r="WJR286" s="1069"/>
      <c r="WJS286" s="1069"/>
      <c r="WJT286" s="1069"/>
      <c r="WJU286" s="1069"/>
      <c r="WJV286" s="1069"/>
      <c r="WJW286" s="1069"/>
      <c r="WJX286" s="1069"/>
      <c r="WJY286" s="1069"/>
      <c r="WJZ286" s="1069"/>
      <c r="WKA286" s="1069"/>
      <c r="WKB286" s="1069"/>
      <c r="WKC286" s="1069"/>
      <c r="WKD286" s="1069"/>
      <c r="WKE286" s="1069"/>
      <c r="WKF286" s="1069"/>
      <c r="WKG286" s="1069"/>
      <c r="WKH286" s="1069"/>
      <c r="WKI286" s="1069"/>
      <c r="WKJ286" s="1069"/>
      <c r="WKK286" s="1069"/>
      <c r="WKL286" s="1069"/>
      <c r="WKM286" s="1069"/>
      <c r="WKN286" s="1069"/>
      <c r="WKO286" s="1069"/>
      <c r="WKP286" s="1069"/>
      <c r="WKQ286" s="1069"/>
      <c r="WKR286" s="1069"/>
      <c r="WKS286" s="1069"/>
      <c r="WKT286" s="1069"/>
      <c r="WKU286" s="1069"/>
      <c r="WKV286" s="1069"/>
      <c r="WKW286" s="1069"/>
      <c r="WKX286" s="1069"/>
      <c r="WKY286" s="1069"/>
      <c r="WKZ286" s="1069"/>
      <c r="WLA286" s="1069"/>
      <c r="WLB286" s="1069"/>
      <c r="WLC286" s="1069"/>
      <c r="WLD286" s="1069"/>
      <c r="WLE286" s="1069"/>
      <c r="WLF286" s="1069"/>
      <c r="WLG286" s="1069"/>
      <c r="WLH286" s="1069"/>
      <c r="WLI286" s="1069"/>
      <c r="WLJ286" s="1069"/>
      <c r="WLK286" s="1069"/>
      <c r="WLL286" s="1069"/>
      <c r="WLM286" s="1069"/>
      <c r="WLN286" s="1069"/>
      <c r="WLO286" s="1069"/>
      <c r="WLP286" s="1069"/>
      <c r="WLQ286" s="1069"/>
      <c r="WLR286" s="1069"/>
      <c r="WLS286" s="1069"/>
      <c r="WLT286" s="1069"/>
      <c r="WLU286" s="1069"/>
      <c r="WLV286" s="1069"/>
      <c r="WLW286" s="1069"/>
      <c r="WLX286" s="1069"/>
      <c r="WLY286" s="1069"/>
      <c r="WLZ286" s="1069"/>
      <c r="WMA286" s="1069"/>
      <c r="WMB286" s="1069"/>
      <c r="WMC286" s="1069"/>
      <c r="WMD286" s="1069"/>
      <c r="WME286" s="1069"/>
      <c r="WMF286" s="1069"/>
      <c r="WMG286" s="1069"/>
      <c r="WMH286" s="1069"/>
      <c r="WMI286" s="1069"/>
      <c r="WMJ286" s="1069"/>
      <c r="WMK286" s="1069"/>
      <c r="WML286" s="1069"/>
      <c r="WMM286" s="1069"/>
      <c r="WMN286" s="1069"/>
      <c r="WMO286" s="1069"/>
      <c r="WMP286" s="1069"/>
      <c r="WMQ286" s="1069"/>
      <c r="WMR286" s="1069"/>
      <c r="WMS286" s="1069"/>
      <c r="WMT286" s="1069"/>
      <c r="WMU286" s="1069"/>
      <c r="WMV286" s="1069"/>
      <c r="WMW286" s="1069"/>
      <c r="WMX286" s="1069"/>
      <c r="WMY286" s="1069"/>
      <c r="WMZ286" s="1069"/>
      <c r="WNA286" s="1069"/>
      <c r="WNB286" s="1069"/>
      <c r="WNC286" s="1069"/>
      <c r="WND286" s="1069"/>
      <c r="WNE286" s="1069"/>
      <c r="WNF286" s="1069"/>
      <c r="WNG286" s="1069"/>
      <c r="WNH286" s="1069"/>
      <c r="WNI286" s="1069"/>
      <c r="WNJ286" s="1069"/>
      <c r="WNK286" s="1069"/>
      <c r="WNL286" s="1069"/>
      <c r="WNM286" s="1069"/>
      <c r="WNN286" s="1069"/>
      <c r="WNO286" s="1069"/>
      <c r="WNP286" s="1069"/>
      <c r="WNQ286" s="1069"/>
      <c r="WNR286" s="1069"/>
      <c r="WNS286" s="1069"/>
      <c r="WNT286" s="1069"/>
      <c r="WNU286" s="1069"/>
      <c r="WNV286" s="1069"/>
      <c r="WNW286" s="1069"/>
      <c r="WNX286" s="1069"/>
      <c r="WNY286" s="1069"/>
      <c r="WNZ286" s="1069"/>
      <c r="WOA286" s="1069"/>
      <c r="WOB286" s="1069"/>
      <c r="WOC286" s="1069"/>
      <c r="WOD286" s="1069"/>
      <c r="WOE286" s="1069"/>
      <c r="WOF286" s="1069"/>
      <c r="WOG286" s="1069"/>
      <c r="WOH286" s="1069"/>
      <c r="WOI286" s="1069"/>
      <c r="WOJ286" s="1069"/>
      <c r="WOK286" s="1069"/>
      <c r="WOL286" s="1069"/>
      <c r="WOM286" s="1069"/>
      <c r="WON286" s="1069"/>
      <c r="WOO286" s="1069"/>
      <c r="WOP286" s="1069"/>
      <c r="WOQ286" s="1069"/>
      <c r="WOR286" s="1069"/>
      <c r="WOS286" s="1069"/>
      <c r="WOT286" s="1069"/>
      <c r="WOU286" s="1069"/>
      <c r="WOV286" s="1069"/>
      <c r="WOW286" s="1069"/>
      <c r="WOX286" s="1069"/>
      <c r="WOY286" s="1069"/>
      <c r="WOZ286" s="1069"/>
      <c r="WPA286" s="1069"/>
      <c r="WPB286" s="1069"/>
      <c r="WPC286" s="1069"/>
      <c r="WPD286" s="1069"/>
      <c r="WPE286" s="1069"/>
      <c r="WPF286" s="1069"/>
      <c r="WPG286" s="1069"/>
      <c r="WPH286" s="1069"/>
      <c r="WPI286" s="1069"/>
      <c r="WPJ286" s="1069"/>
      <c r="WPK286" s="1069"/>
      <c r="WPL286" s="1069"/>
      <c r="WPM286" s="1069"/>
      <c r="WPN286" s="1069"/>
      <c r="WPO286" s="1069"/>
      <c r="WPP286" s="1069"/>
      <c r="WPQ286" s="1069"/>
      <c r="WPR286" s="1069"/>
      <c r="WPS286" s="1069"/>
      <c r="WPT286" s="1069"/>
      <c r="WPU286" s="1069"/>
      <c r="WPV286" s="1069"/>
      <c r="WPW286" s="1069"/>
      <c r="WPX286" s="1069"/>
      <c r="WPY286" s="1069"/>
      <c r="WPZ286" s="1069"/>
      <c r="WQA286" s="1069"/>
      <c r="WQB286" s="1069"/>
      <c r="WQC286" s="1069"/>
      <c r="WQD286" s="1069"/>
      <c r="WQE286" s="1069"/>
      <c r="WQF286" s="1069"/>
      <c r="WQG286" s="1069"/>
      <c r="WQH286" s="1069"/>
      <c r="WQI286" s="1069"/>
      <c r="WQJ286" s="1069"/>
      <c r="WQK286" s="1069"/>
      <c r="WQL286" s="1069"/>
      <c r="WQM286" s="1069"/>
      <c r="WQN286" s="1069"/>
      <c r="WQO286" s="1069"/>
      <c r="WQP286" s="1069"/>
      <c r="WQQ286" s="1069"/>
      <c r="WQR286" s="1069"/>
      <c r="WQS286" s="1069"/>
      <c r="WQT286" s="1069"/>
      <c r="WQU286" s="1069"/>
      <c r="WQV286" s="1069"/>
      <c r="WQW286" s="1069"/>
      <c r="WQX286" s="1069"/>
      <c r="WQY286" s="1069"/>
      <c r="WQZ286" s="1069"/>
      <c r="WRA286" s="1069"/>
      <c r="WRB286" s="1069"/>
      <c r="WRC286" s="1069"/>
      <c r="WRD286" s="1069"/>
      <c r="WRE286" s="1069"/>
      <c r="WRF286" s="1069"/>
      <c r="WRG286" s="1069"/>
      <c r="WRH286" s="1069"/>
      <c r="WRI286" s="1069"/>
      <c r="WRJ286" s="1069"/>
      <c r="WRK286" s="1069"/>
      <c r="WRL286" s="1069"/>
      <c r="WRM286" s="1069"/>
      <c r="WRN286" s="1069"/>
      <c r="WRO286" s="1069"/>
      <c r="WRP286" s="1069"/>
      <c r="WRQ286" s="1069"/>
      <c r="WRR286" s="1069"/>
      <c r="WRS286" s="1069"/>
      <c r="WRT286" s="1069"/>
      <c r="WRU286" s="1069"/>
      <c r="WRV286" s="1069"/>
      <c r="WRW286" s="1069"/>
      <c r="WRX286" s="1069"/>
      <c r="WRY286" s="1069"/>
      <c r="WRZ286" s="1069"/>
      <c r="WSA286" s="1069"/>
      <c r="WSB286" s="1069"/>
      <c r="WSC286" s="1069"/>
      <c r="WSD286" s="1069"/>
      <c r="WSE286" s="1069"/>
      <c r="WSF286" s="1069"/>
      <c r="WSG286" s="1069"/>
      <c r="WSH286" s="1069"/>
      <c r="WSI286" s="1069"/>
      <c r="WSJ286" s="1069"/>
      <c r="WSK286" s="1069"/>
      <c r="WSL286" s="1069"/>
      <c r="WSM286" s="1069"/>
      <c r="WSN286" s="1069"/>
      <c r="WSO286" s="1069"/>
      <c r="WSP286" s="1069"/>
      <c r="WSQ286" s="1069"/>
      <c r="WSR286" s="1069"/>
      <c r="WSS286" s="1069"/>
      <c r="WST286" s="1069"/>
      <c r="WSU286" s="1069"/>
      <c r="WSV286" s="1069"/>
      <c r="WSW286" s="1069"/>
      <c r="WSX286" s="1069"/>
      <c r="WSY286" s="1069"/>
      <c r="WSZ286" s="1069"/>
      <c r="WTA286" s="1069"/>
      <c r="WTB286" s="1069"/>
      <c r="WTC286" s="1069"/>
      <c r="WTD286" s="1069"/>
      <c r="WTE286" s="1069"/>
      <c r="WTF286" s="1069"/>
      <c r="WTG286" s="1069"/>
      <c r="WTH286" s="1069"/>
      <c r="WTI286" s="1069"/>
      <c r="WTJ286" s="1069"/>
      <c r="WTK286" s="1069"/>
      <c r="WTL286" s="1069"/>
      <c r="WTM286" s="1069"/>
      <c r="WTN286" s="1069"/>
      <c r="WTO286" s="1069"/>
      <c r="WTP286" s="1069"/>
      <c r="WTQ286" s="1069"/>
      <c r="WTR286" s="1069"/>
      <c r="WTS286" s="1069"/>
      <c r="WTT286" s="1069"/>
      <c r="WTU286" s="1069"/>
      <c r="WTV286" s="1069"/>
      <c r="WTW286" s="1069"/>
      <c r="WTX286" s="1069"/>
      <c r="WTY286" s="1069"/>
      <c r="WTZ286" s="1069"/>
      <c r="WUA286" s="1069"/>
      <c r="WUB286" s="1069"/>
      <c r="WUC286" s="1069"/>
      <c r="WUD286" s="1069"/>
      <c r="WUE286" s="1069"/>
      <c r="WUF286" s="1069"/>
      <c r="WUG286" s="1069"/>
      <c r="WUH286" s="1069"/>
      <c r="WUI286" s="1069"/>
      <c r="WUJ286" s="1069"/>
      <c r="WUK286" s="1069"/>
      <c r="WUL286" s="1069"/>
      <c r="WUM286" s="1069"/>
      <c r="WUN286" s="1069"/>
      <c r="WUO286" s="1069"/>
      <c r="WUP286" s="1069"/>
      <c r="WUQ286" s="1069"/>
      <c r="WUR286" s="1069"/>
      <c r="WUS286" s="1069"/>
      <c r="WUT286" s="1069"/>
      <c r="WUU286" s="1069"/>
      <c r="WUV286" s="1069"/>
      <c r="WUW286" s="1069"/>
      <c r="WUX286" s="1069"/>
      <c r="WUY286" s="1069"/>
      <c r="WUZ286" s="1069"/>
      <c r="WVA286" s="1069"/>
      <c r="WVB286" s="1069"/>
      <c r="WVC286" s="1069"/>
      <c r="WVD286" s="1069"/>
      <c r="WVE286" s="1069"/>
      <c r="WVF286" s="1069"/>
      <c r="WVG286" s="1069"/>
      <c r="WVH286" s="1069"/>
      <c r="WVI286" s="1069"/>
      <c r="WVJ286" s="1069"/>
      <c r="WVK286" s="1069"/>
      <c r="WVL286" s="1069"/>
      <c r="WVM286" s="1069"/>
      <c r="WVN286" s="1069"/>
      <c r="WVO286" s="1069"/>
      <c r="WVP286" s="1069"/>
      <c r="WVQ286" s="1069"/>
      <c r="WVR286" s="1069"/>
      <c r="WVS286" s="1069"/>
      <c r="WVT286" s="1069"/>
      <c r="WVU286" s="1069"/>
      <c r="WVV286" s="1069"/>
      <c r="WVW286" s="1069"/>
      <c r="WVX286" s="1069"/>
      <c r="WVY286" s="1069"/>
      <c r="WVZ286" s="1069"/>
      <c r="WWA286" s="1069"/>
      <c r="WWB286" s="1069"/>
      <c r="WWC286" s="1069"/>
      <c r="WWD286" s="1069"/>
      <c r="WWE286" s="1069"/>
      <c r="WWF286" s="1069"/>
      <c r="WWG286" s="1069"/>
      <c r="WWH286" s="1069"/>
      <c r="WWI286" s="1069"/>
      <c r="WWJ286" s="1069"/>
      <c r="WWK286" s="1069"/>
      <c r="WWL286" s="1069"/>
      <c r="WWM286" s="1069"/>
      <c r="WWN286" s="1069"/>
      <c r="WWO286" s="1069"/>
      <c r="WWP286" s="1069"/>
      <c r="WWQ286" s="1069"/>
      <c r="WWR286" s="1069"/>
      <c r="WWS286" s="1069"/>
      <c r="WWT286" s="1069"/>
      <c r="WWU286" s="1069"/>
      <c r="WWV286" s="1069"/>
      <c r="WWW286" s="1069"/>
      <c r="WWX286" s="1069"/>
      <c r="WWY286" s="1069"/>
      <c r="WWZ286" s="1069"/>
      <c r="WXA286" s="1069"/>
      <c r="WXB286" s="1069"/>
      <c r="WXC286" s="1069"/>
      <c r="WXD286" s="1069"/>
      <c r="WXE286" s="1069"/>
      <c r="WXF286" s="1069"/>
      <c r="WXG286" s="1069"/>
      <c r="WXH286" s="1069"/>
      <c r="WXI286" s="1069"/>
      <c r="WXJ286" s="1069"/>
      <c r="WXK286" s="1069"/>
      <c r="WXL286" s="1069"/>
      <c r="WXM286" s="1069"/>
      <c r="WXN286" s="1069"/>
      <c r="WXO286" s="1069"/>
      <c r="WXP286" s="1069"/>
      <c r="WXQ286" s="1069"/>
      <c r="WXR286" s="1069"/>
      <c r="WXS286" s="1069"/>
      <c r="WXT286" s="1069"/>
      <c r="WXU286" s="1069"/>
      <c r="WXV286" s="1069"/>
      <c r="WXW286" s="1069"/>
      <c r="WXX286" s="1069"/>
      <c r="WXY286" s="1069"/>
      <c r="WXZ286" s="1069"/>
      <c r="WYA286" s="1069"/>
      <c r="WYB286" s="1069"/>
      <c r="WYC286" s="1069"/>
      <c r="WYD286" s="1069"/>
      <c r="WYE286" s="1069"/>
      <c r="WYF286" s="1069"/>
      <c r="WYG286" s="1069"/>
      <c r="WYH286" s="1069"/>
      <c r="WYI286" s="1069"/>
      <c r="WYJ286" s="1069"/>
      <c r="WYK286" s="1069"/>
      <c r="WYL286" s="1069"/>
      <c r="WYM286" s="1069"/>
      <c r="WYN286" s="1069"/>
      <c r="WYO286" s="1069"/>
      <c r="WYP286" s="1069"/>
      <c r="WYQ286" s="1069"/>
      <c r="WYR286" s="1069"/>
      <c r="WYS286" s="1069"/>
      <c r="WYT286" s="1069"/>
      <c r="WYU286" s="1069"/>
      <c r="WYV286" s="1069"/>
      <c r="WYW286" s="1069"/>
      <c r="WYX286" s="1069"/>
      <c r="WYY286" s="1069"/>
      <c r="WYZ286" s="1069"/>
      <c r="WZA286" s="1069"/>
      <c r="WZB286" s="1069"/>
      <c r="WZC286" s="1069"/>
      <c r="WZD286" s="1069"/>
      <c r="WZE286" s="1069"/>
      <c r="WZF286" s="1069"/>
      <c r="WZG286" s="1069"/>
      <c r="WZH286" s="1069"/>
      <c r="WZI286" s="1069"/>
      <c r="WZJ286" s="1069"/>
      <c r="WZK286" s="1069"/>
      <c r="WZL286" s="1069"/>
      <c r="WZM286" s="1069"/>
      <c r="WZN286" s="1069"/>
      <c r="WZO286" s="1069"/>
      <c r="WZP286" s="1069"/>
      <c r="WZQ286" s="1069"/>
      <c r="WZR286" s="1069"/>
      <c r="WZS286" s="1069"/>
      <c r="WZT286" s="1069"/>
      <c r="WZU286" s="1069"/>
      <c r="WZV286" s="1069"/>
      <c r="WZW286" s="1069"/>
      <c r="WZX286" s="1069"/>
      <c r="WZY286" s="1069"/>
      <c r="WZZ286" s="1069"/>
      <c r="XAA286" s="1069"/>
      <c r="XAB286" s="1069"/>
      <c r="XAC286" s="1069"/>
      <c r="XAD286" s="1069"/>
      <c r="XAE286" s="1069"/>
      <c r="XAF286" s="1069"/>
      <c r="XAG286" s="1069"/>
      <c r="XAH286" s="1069"/>
      <c r="XAI286" s="1069"/>
      <c r="XAJ286" s="1069"/>
      <c r="XAK286" s="1069"/>
      <c r="XAL286" s="1069"/>
      <c r="XAM286" s="1069"/>
      <c r="XAN286" s="1069"/>
      <c r="XAO286" s="1069"/>
      <c r="XAP286" s="1069"/>
      <c r="XAQ286" s="1069"/>
      <c r="XAR286" s="1069"/>
      <c r="XAS286" s="1069"/>
      <c r="XAT286" s="1069"/>
      <c r="XAU286" s="1069"/>
      <c r="XAV286" s="1069"/>
      <c r="XAW286" s="1069"/>
      <c r="XAX286" s="1069"/>
      <c r="XAY286" s="1069"/>
      <c r="XAZ286" s="1069"/>
      <c r="XBA286" s="1069"/>
      <c r="XBB286" s="1069"/>
      <c r="XBC286" s="1069"/>
      <c r="XBD286" s="1069"/>
      <c r="XBE286" s="1069"/>
      <c r="XBF286" s="1069"/>
      <c r="XBG286" s="1069"/>
      <c r="XBH286" s="1069"/>
      <c r="XBI286" s="1069"/>
      <c r="XBJ286" s="1069"/>
      <c r="XBK286" s="1069"/>
      <c r="XBL286" s="1069"/>
      <c r="XBM286" s="1069"/>
      <c r="XBN286" s="1069"/>
      <c r="XBO286" s="1069"/>
      <c r="XBP286" s="1069"/>
      <c r="XBQ286" s="1069"/>
      <c r="XBR286" s="1069"/>
      <c r="XBS286" s="1069"/>
      <c r="XBT286" s="1069"/>
      <c r="XBU286" s="1069"/>
      <c r="XBV286" s="1069"/>
      <c r="XBW286" s="1069"/>
      <c r="XBX286" s="1069"/>
      <c r="XBY286" s="1069"/>
      <c r="XBZ286" s="1069"/>
      <c r="XCA286" s="1069"/>
      <c r="XCB286" s="1069"/>
      <c r="XCC286" s="1069"/>
      <c r="XCD286" s="1069"/>
      <c r="XCE286" s="1069"/>
      <c r="XCF286" s="1069"/>
      <c r="XCG286" s="1069"/>
      <c r="XCH286" s="1069"/>
      <c r="XCI286" s="1069"/>
      <c r="XCJ286" s="1069"/>
      <c r="XCK286" s="1069"/>
      <c r="XCL286" s="1069"/>
      <c r="XCM286" s="1069"/>
      <c r="XCN286" s="1069"/>
      <c r="XCO286" s="1069"/>
      <c r="XCP286" s="1069"/>
      <c r="XCQ286" s="1069"/>
      <c r="XCR286" s="1069"/>
      <c r="XCS286" s="1069"/>
      <c r="XCT286" s="1069"/>
      <c r="XCU286" s="1069"/>
      <c r="XCV286" s="1069"/>
      <c r="XCW286" s="1069"/>
      <c r="XCX286" s="1069"/>
      <c r="XCY286" s="1069"/>
      <c r="XCZ286" s="1069"/>
      <c r="XDA286" s="1069"/>
      <c r="XDB286" s="1069"/>
      <c r="XDC286" s="1069"/>
      <c r="XDD286" s="1069"/>
      <c r="XDE286" s="1069"/>
      <c r="XDF286" s="1069"/>
      <c r="XDG286" s="1069"/>
      <c r="XDH286" s="1069"/>
      <c r="XDI286" s="1069"/>
      <c r="XDJ286" s="1069"/>
      <c r="XDK286" s="1069"/>
      <c r="XDL286" s="1069"/>
      <c r="XDM286" s="1069"/>
      <c r="XDN286" s="1069"/>
      <c r="XDO286" s="1069"/>
      <c r="XDP286" s="1069"/>
      <c r="XDQ286" s="1069"/>
      <c r="XDR286" s="1069"/>
      <c r="XDS286" s="1069"/>
      <c r="XDT286" s="1069"/>
      <c r="XDU286" s="1069"/>
      <c r="XDV286" s="1069"/>
      <c r="XDW286" s="1069"/>
      <c r="XDX286" s="1069"/>
      <c r="XDY286" s="1069"/>
      <c r="XDZ286" s="1069"/>
      <c r="XEA286" s="1069"/>
      <c r="XEB286" s="1069"/>
      <c r="XEC286" s="1069"/>
    </row>
    <row r="287" spans="1:16357" ht="12.75" hidden="1" customHeight="1" outlineLevel="1" x14ac:dyDescent="0.35">
      <c r="A287" s="17" t="s">
        <v>707</v>
      </c>
      <c r="B287" s="85"/>
      <c r="C287" s="89"/>
      <c r="D287" s="90"/>
      <c r="E287" s="90"/>
      <c r="F287" s="92"/>
      <c r="G287" s="85"/>
      <c r="H287" s="89"/>
      <c r="I287" s="90"/>
      <c r="J287" s="90"/>
      <c r="K287" s="90"/>
      <c r="L287" s="85"/>
      <c r="M287" s="90"/>
      <c r="N287" s="90"/>
      <c r="O287" s="90"/>
      <c r="P287" s="90"/>
      <c r="Q287" s="85"/>
      <c r="R287" s="38"/>
      <c r="S287" s="38"/>
      <c r="T287" s="38"/>
      <c r="U287" s="39"/>
      <c r="V287" s="85"/>
      <c r="W287" s="38"/>
      <c r="X287" s="38"/>
      <c r="Y287" s="38"/>
      <c r="Z287" s="39"/>
      <c r="AA287" s="54"/>
      <c r="AB287" s="87"/>
      <c r="AC287" s="38"/>
      <c r="AD287" s="38"/>
      <c r="AE287" s="38"/>
      <c r="AF287" s="85"/>
      <c r="AG287" s="38"/>
      <c r="AH287" s="38"/>
      <c r="AI287" s="38"/>
      <c r="AJ287" s="38"/>
      <c r="AK287" s="85"/>
      <c r="AL287" s="38"/>
      <c r="AM287" s="38"/>
      <c r="AN287" s="38"/>
      <c r="AO287" s="38"/>
      <c r="AP287" s="85"/>
      <c r="AQ287" s="38"/>
      <c r="AR287" s="38"/>
      <c r="AS287" s="38"/>
      <c r="AT287" s="38"/>
      <c r="AU287" s="86"/>
      <c r="AV287" s="45"/>
      <c r="AW287" s="38"/>
      <c r="AX287" s="38"/>
      <c r="AY287" s="38"/>
      <c r="AZ287" s="38"/>
      <c r="BA287" s="85"/>
      <c r="BB287" s="38"/>
      <c r="BC287" s="38"/>
      <c r="BD287" s="38"/>
      <c r="BE287" s="38"/>
      <c r="BF287" s="85"/>
      <c r="BG287" s="38"/>
      <c r="BH287" s="38"/>
      <c r="BI287" s="38"/>
      <c r="BJ287" s="38"/>
      <c r="BK287" s="85"/>
      <c r="BL287" s="22">
        <v>0.12895250155977844</v>
      </c>
      <c r="BM287" s="22">
        <v>0.14848153103839756</v>
      </c>
      <c r="BN287" s="22">
        <v>0.13164189755532141</v>
      </c>
      <c r="BO287" s="22">
        <v>0.13010641261798295</v>
      </c>
      <c r="BP287" s="123">
        <f>BP288/BP286</f>
        <v>0.13482804001076754</v>
      </c>
      <c r="BQ287" s="22">
        <v>0.12899881287401649</v>
      </c>
      <c r="BR287" s="22">
        <v>0.1433517924347647</v>
      </c>
      <c r="BS287" s="22">
        <v>0.14342808388342543</v>
      </c>
      <c r="BT287" s="22">
        <v>0.13</v>
      </c>
      <c r="BU287" s="123">
        <f>BU288/BU286</f>
        <v>0.13668390466559943</v>
      </c>
      <c r="BV287" s="1196">
        <v>1</v>
      </c>
      <c r="BW287" s="1196">
        <v>1</v>
      </c>
      <c r="BX287" s="1196">
        <v>1</v>
      </c>
      <c r="BY287" s="1196">
        <v>1</v>
      </c>
      <c r="BZ287" s="123">
        <f>BZ288/BZ286</f>
        <v>1</v>
      </c>
      <c r="CA287" s="22">
        <v>1</v>
      </c>
      <c r="CB287" s="22">
        <v>1</v>
      </c>
      <c r="CC287" s="22">
        <v>1</v>
      </c>
      <c r="CD287" s="22">
        <v>1</v>
      </c>
      <c r="CE287" s="123">
        <f>CE288/CE286</f>
        <v>1</v>
      </c>
      <c r="CF287" s="22">
        <v>1</v>
      </c>
      <c r="CG287" s="22">
        <v>1</v>
      </c>
      <c r="CH287" s="22">
        <v>1</v>
      </c>
      <c r="CI287" s="22">
        <v>1</v>
      </c>
      <c r="CJ287" s="123">
        <f>CJ288/CJ286</f>
        <v>1</v>
      </c>
      <c r="CK287" s="22">
        <v>1</v>
      </c>
      <c r="CL287" s="22">
        <v>1</v>
      </c>
      <c r="CM287" s="22">
        <v>1</v>
      </c>
      <c r="CN287" s="22">
        <v>1</v>
      </c>
      <c r="CO287" s="123">
        <f>CO288/CO286</f>
        <v>1</v>
      </c>
      <c r="CP287" s="22">
        <v>1</v>
      </c>
      <c r="CQ287" s="22">
        <v>1</v>
      </c>
      <c r="CR287" s="22">
        <v>1</v>
      </c>
      <c r="CS287" s="22">
        <v>1</v>
      </c>
      <c r="CT287" s="123">
        <f>CT288/CT286</f>
        <v>1</v>
      </c>
      <c r="CU287" s="22">
        <v>1</v>
      </c>
      <c r="CV287" s="22">
        <v>1</v>
      </c>
      <c r="CW287" s="22">
        <v>1</v>
      </c>
      <c r="CX287" s="22">
        <v>1</v>
      </c>
      <c r="CY287" s="123">
        <f>CY288/CY286</f>
        <v>1</v>
      </c>
      <c r="CZ287" s="22">
        <v>1</v>
      </c>
      <c r="DA287" s="22">
        <v>1</v>
      </c>
      <c r="DB287" s="22">
        <v>1</v>
      </c>
      <c r="DC287" s="22">
        <v>1</v>
      </c>
      <c r="DD287" s="123">
        <f>DD288/DD286</f>
        <v>1</v>
      </c>
      <c r="DE287" s="22">
        <v>1</v>
      </c>
      <c r="DF287" s="22">
        <v>1</v>
      </c>
      <c r="DG287" s="22">
        <v>1</v>
      </c>
      <c r="DH287" s="22">
        <v>1</v>
      </c>
      <c r="DI287" s="123">
        <f>DI288/DI286</f>
        <v>1</v>
      </c>
      <c r="DJ287" s="22">
        <v>1</v>
      </c>
      <c r="DK287" s="22">
        <v>1</v>
      </c>
      <c r="DL287" s="22">
        <v>1</v>
      </c>
      <c r="DM287" s="22">
        <v>1</v>
      </c>
      <c r="DN287" s="123">
        <f>DN288/DN286</f>
        <v>1</v>
      </c>
      <c r="DO287" s="22"/>
      <c r="DP287" s="22"/>
      <c r="DQ287" s="22"/>
      <c r="DR287" s="22"/>
      <c r="DS287" s="123"/>
      <c r="DT287" s="38"/>
      <c r="DU287" s="38"/>
      <c r="DV287" s="38"/>
      <c r="DW287" s="38"/>
      <c r="DX287" s="85"/>
      <c r="DY287" s="38"/>
      <c r="DZ287" s="38"/>
      <c r="EA287" s="38"/>
      <c r="EB287" s="38"/>
      <c r="EC287" s="85"/>
      <c r="ED287" s="46"/>
      <c r="EE287" s="37"/>
      <c r="EF287" s="286"/>
      <c r="EG287" s="25"/>
      <c r="EH287" s="25"/>
      <c r="EI287" s="25"/>
      <c r="EJ287" s="25"/>
      <c r="EK287" s="25"/>
      <c r="EL287" s="25"/>
      <c r="EM287" s="25"/>
      <c r="EN287" s="25"/>
      <c r="EO287" s="25"/>
      <c r="EP287" s="25"/>
      <c r="EQ287" s="25"/>
      <c r="ER287" s="25"/>
      <c r="ES287" s="25"/>
      <c r="ET287" s="25"/>
      <c r="EU287" s="25"/>
      <c r="EX287" s="25"/>
      <c r="EY287" s="294"/>
      <c r="EZ287" s="985"/>
      <c r="FA287" s="985"/>
      <c r="FB287" s="294"/>
      <c r="FC287" s="985"/>
      <c r="FD287" s="25"/>
      <c r="FK287" s="1069"/>
      <c r="FL287" s="1069"/>
      <c r="FM287" s="1069"/>
      <c r="FN287" s="1069"/>
      <c r="FO287" s="1069"/>
      <c r="FP287" s="1069"/>
      <c r="FQ287" s="1069"/>
      <c r="FR287" s="1069"/>
      <c r="FS287" s="1069"/>
      <c r="FT287" s="1069"/>
      <c r="FU287" s="1069"/>
      <c r="FV287" s="1069"/>
      <c r="FW287" s="1069"/>
      <c r="FX287" s="1069"/>
      <c r="FY287" s="1069"/>
      <c r="FZ287" s="1069"/>
      <c r="GA287" s="1069"/>
      <c r="GB287" s="1069"/>
      <c r="GC287" s="1069"/>
      <c r="GD287" s="1069"/>
      <c r="GE287" s="1069"/>
      <c r="GF287" s="1069"/>
      <c r="GG287" s="1069"/>
      <c r="GH287" s="1069"/>
      <c r="GI287" s="1069"/>
      <c r="GJ287" s="1069"/>
      <c r="GK287" s="1069"/>
      <c r="GL287" s="1069"/>
      <c r="GM287" s="1069"/>
      <c r="GN287" s="1069"/>
      <c r="GO287" s="1069"/>
      <c r="GP287" s="1069"/>
      <c r="GQ287" s="1069"/>
      <c r="GR287" s="1069"/>
      <c r="GS287" s="1069"/>
      <c r="GT287" s="1069"/>
      <c r="GU287" s="1069"/>
      <c r="GV287" s="1069"/>
      <c r="GW287" s="1069"/>
      <c r="GX287" s="1069"/>
      <c r="GY287" s="1069"/>
      <c r="GZ287" s="1069"/>
      <c r="HA287" s="1069"/>
      <c r="HB287" s="1069"/>
      <c r="HC287" s="1069"/>
      <c r="HD287" s="1069"/>
      <c r="HE287" s="1069"/>
      <c r="HF287" s="1069"/>
      <c r="HG287" s="1069"/>
      <c r="HH287" s="1069"/>
      <c r="HI287" s="1069"/>
      <c r="HJ287" s="1069"/>
      <c r="HK287" s="1069"/>
      <c r="HL287" s="1069"/>
      <c r="HM287" s="1069"/>
      <c r="HN287" s="1069"/>
      <c r="HO287" s="1069"/>
      <c r="HP287" s="1069"/>
      <c r="HQ287" s="1069"/>
      <c r="HR287" s="1069"/>
      <c r="HS287" s="1069"/>
      <c r="HT287" s="1069"/>
      <c r="HU287" s="1069"/>
      <c r="HV287" s="1069"/>
      <c r="HW287" s="1069"/>
      <c r="HX287" s="1069"/>
      <c r="HY287" s="1069"/>
      <c r="HZ287" s="1069"/>
      <c r="IA287" s="1069"/>
      <c r="IB287" s="1069"/>
      <c r="IC287" s="1069"/>
      <c r="ID287" s="1069"/>
      <c r="IE287" s="1069"/>
      <c r="IF287" s="1069"/>
      <c r="IG287" s="1069"/>
      <c r="IH287" s="1069"/>
      <c r="II287" s="1069"/>
      <c r="IJ287" s="1069"/>
      <c r="IK287" s="1069"/>
      <c r="IL287" s="1069"/>
      <c r="IM287" s="1069"/>
      <c r="IN287" s="1069"/>
      <c r="IO287" s="1069"/>
      <c r="IP287" s="1069"/>
      <c r="IQ287" s="1069"/>
      <c r="IR287" s="1069"/>
      <c r="IS287" s="1069"/>
      <c r="IT287" s="1069"/>
      <c r="IU287" s="1069"/>
      <c r="IV287" s="1069"/>
      <c r="IW287" s="1069"/>
      <c r="IX287" s="1069"/>
      <c r="IY287" s="1069"/>
      <c r="IZ287" s="1069"/>
      <c r="JA287" s="1069"/>
      <c r="JB287" s="1069"/>
      <c r="JC287" s="1069"/>
      <c r="JD287" s="1069"/>
      <c r="JE287" s="1069"/>
      <c r="JF287" s="1069"/>
      <c r="JG287" s="1069"/>
      <c r="JH287" s="1069"/>
      <c r="JI287" s="1069"/>
      <c r="JJ287" s="1069"/>
      <c r="JK287" s="1069"/>
      <c r="JL287" s="1069"/>
      <c r="JM287" s="1069"/>
      <c r="JN287" s="1069"/>
      <c r="JO287" s="1069"/>
      <c r="JP287" s="1069"/>
      <c r="JQ287" s="1069"/>
      <c r="JR287" s="1069"/>
      <c r="JS287" s="1069"/>
      <c r="JT287" s="1069"/>
      <c r="JU287" s="1069"/>
      <c r="JV287" s="1069"/>
      <c r="JW287" s="1069"/>
      <c r="JX287" s="1069"/>
      <c r="JY287" s="1069"/>
      <c r="JZ287" s="1069"/>
      <c r="KA287" s="1069"/>
      <c r="KB287" s="1069"/>
      <c r="KC287" s="1069"/>
      <c r="KD287" s="1069"/>
      <c r="KE287" s="1069"/>
      <c r="KF287" s="1069"/>
      <c r="KG287" s="1069"/>
      <c r="KH287" s="1069"/>
      <c r="KI287" s="1069"/>
      <c r="KJ287" s="1069"/>
      <c r="KK287" s="1069"/>
      <c r="KL287" s="1069"/>
      <c r="KM287" s="1069"/>
      <c r="KN287" s="1069"/>
      <c r="KO287" s="1069"/>
      <c r="KP287" s="1069"/>
      <c r="KQ287" s="1069"/>
      <c r="KR287" s="1069"/>
      <c r="KS287" s="1069"/>
      <c r="KT287" s="1069"/>
      <c r="KU287" s="1069"/>
      <c r="KV287" s="1069"/>
      <c r="KW287" s="1069"/>
      <c r="KX287" s="1069"/>
      <c r="KY287" s="1069"/>
      <c r="KZ287" s="1069"/>
      <c r="LA287" s="1069"/>
      <c r="LB287" s="1069"/>
      <c r="LC287" s="1069"/>
      <c r="LD287" s="1069"/>
      <c r="LE287" s="1069"/>
      <c r="LF287" s="1069"/>
      <c r="LG287" s="1069"/>
      <c r="LH287" s="1069"/>
      <c r="LI287" s="1069"/>
      <c r="LJ287" s="1069"/>
      <c r="LK287" s="1069"/>
      <c r="LL287" s="1069"/>
      <c r="LM287" s="1069"/>
      <c r="LN287" s="1069"/>
      <c r="LO287" s="1069"/>
      <c r="LP287" s="1069"/>
      <c r="LQ287" s="1069"/>
      <c r="LR287" s="1069"/>
      <c r="LS287" s="1069"/>
      <c r="LT287" s="1069"/>
      <c r="LU287" s="1069"/>
      <c r="LV287" s="1069"/>
      <c r="LW287" s="1069"/>
      <c r="LX287" s="1069"/>
      <c r="LY287" s="1069"/>
      <c r="LZ287" s="1069"/>
      <c r="MA287" s="1069"/>
      <c r="MB287" s="1069"/>
      <c r="MC287" s="1069"/>
      <c r="MD287" s="1069"/>
      <c r="ME287" s="1069"/>
      <c r="MF287" s="1069"/>
      <c r="MG287" s="1069"/>
      <c r="MH287" s="1069"/>
      <c r="MI287" s="1069"/>
      <c r="MJ287" s="1069"/>
      <c r="MK287" s="1069"/>
      <c r="ML287" s="1069"/>
      <c r="MM287" s="1069"/>
      <c r="MN287" s="1069"/>
      <c r="MO287" s="1069"/>
      <c r="MP287" s="1069"/>
      <c r="MQ287" s="1069"/>
      <c r="MR287" s="1069"/>
      <c r="MS287" s="1069"/>
      <c r="MT287" s="1069"/>
      <c r="MU287" s="1069"/>
      <c r="MV287" s="1069"/>
      <c r="MW287" s="1069"/>
      <c r="MX287" s="1069"/>
      <c r="MY287" s="1069"/>
      <c r="MZ287" s="1069"/>
      <c r="NA287" s="1069"/>
      <c r="NB287" s="1069"/>
      <c r="NC287" s="1069"/>
      <c r="ND287" s="1069"/>
      <c r="NE287" s="1069"/>
      <c r="NF287" s="1069"/>
      <c r="NG287" s="1069"/>
      <c r="NH287" s="1069"/>
      <c r="NI287" s="1069"/>
      <c r="NJ287" s="1069"/>
      <c r="NK287" s="1069"/>
      <c r="NL287" s="1069"/>
      <c r="NM287" s="1069"/>
      <c r="NN287" s="1069"/>
      <c r="NO287" s="1069"/>
      <c r="NP287" s="1069"/>
      <c r="NQ287" s="1069"/>
      <c r="NR287" s="1069"/>
      <c r="NS287" s="1069"/>
      <c r="NT287" s="1069"/>
      <c r="NU287" s="1069"/>
      <c r="NV287" s="1069"/>
      <c r="NW287" s="1069"/>
      <c r="NX287" s="1069"/>
      <c r="NY287" s="1069"/>
      <c r="NZ287" s="1069"/>
      <c r="OA287" s="1069"/>
      <c r="OB287" s="1069"/>
      <c r="OC287" s="1069"/>
      <c r="OD287" s="1069"/>
      <c r="OE287" s="1069"/>
      <c r="OF287" s="1069"/>
      <c r="OG287" s="1069"/>
      <c r="OH287" s="1069"/>
      <c r="OI287" s="1069"/>
      <c r="OJ287" s="1069"/>
      <c r="OK287" s="1069"/>
      <c r="OL287" s="1069"/>
      <c r="OM287" s="1069"/>
      <c r="ON287" s="1069"/>
      <c r="OO287" s="1069"/>
      <c r="OP287" s="1069"/>
      <c r="OQ287" s="1069"/>
      <c r="OR287" s="1069"/>
      <c r="OS287" s="1069"/>
      <c r="OT287" s="1069"/>
      <c r="OU287" s="1069"/>
      <c r="OV287" s="1069"/>
      <c r="OW287" s="1069"/>
      <c r="OX287" s="1069"/>
      <c r="OY287" s="1069"/>
      <c r="OZ287" s="1069"/>
      <c r="PA287" s="1069"/>
      <c r="PB287" s="1069"/>
      <c r="PC287" s="1069"/>
      <c r="PD287" s="1069"/>
      <c r="PE287" s="1069"/>
      <c r="PF287" s="1069"/>
      <c r="PG287" s="1069"/>
      <c r="PH287" s="1069"/>
      <c r="PI287" s="1069"/>
      <c r="PJ287" s="1069"/>
      <c r="PK287" s="1069"/>
      <c r="PL287" s="1069"/>
      <c r="PM287" s="1069"/>
      <c r="PN287" s="1069"/>
      <c r="PO287" s="1069"/>
      <c r="PP287" s="1069"/>
      <c r="PQ287" s="1069"/>
      <c r="PR287" s="1069"/>
      <c r="PS287" s="1069"/>
      <c r="PT287" s="1069"/>
      <c r="PU287" s="1069"/>
      <c r="PV287" s="1069"/>
      <c r="PW287" s="1069"/>
      <c r="PX287" s="1069"/>
      <c r="PY287" s="1069"/>
      <c r="PZ287" s="1069"/>
      <c r="QA287" s="1069"/>
      <c r="QB287" s="1069"/>
      <c r="QC287" s="1069"/>
      <c r="QD287" s="1069"/>
      <c r="QE287" s="1069"/>
      <c r="QF287" s="1069"/>
      <c r="QG287" s="1069"/>
      <c r="QH287" s="1069"/>
      <c r="QI287" s="1069"/>
      <c r="QJ287" s="1069"/>
      <c r="QK287" s="1069"/>
      <c r="QL287" s="1069"/>
      <c r="QM287" s="1069"/>
      <c r="QN287" s="1069"/>
      <c r="QO287" s="1069"/>
      <c r="QP287" s="1069"/>
      <c r="QQ287" s="1069"/>
      <c r="QR287" s="1069"/>
      <c r="QS287" s="1069"/>
      <c r="QT287" s="1069"/>
      <c r="QU287" s="1069"/>
      <c r="QV287" s="1069"/>
      <c r="QW287" s="1069"/>
      <c r="QX287" s="1069"/>
      <c r="QY287" s="1069"/>
      <c r="QZ287" s="1069"/>
      <c r="RA287" s="1069"/>
      <c r="RB287" s="1069"/>
      <c r="RC287" s="1069"/>
      <c r="RD287" s="1069"/>
      <c r="RE287" s="1069"/>
      <c r="RF287" s="1069"/>
      <c r="RG287" s="1069"/>
      <c r="RH287" s="1069"/>
      <c r="RI287" s="1069"/>
      <c r="RJ287" s="1069"/>
      <c r="RK287" s="1069"/>
      <c r="RL287" s="1069"/>
      <c r="RM287" s="1069"/>
      <c r="RN287" s="1069"/>
      <c r="RO287" s="1069"/>
      <c r="RP287" s="1069"/>
      <c r="RQ287" s="1069"/>
      <c r="RR287" s="1069"/>
      <c r="RS287" s="1069"/>
      <c r="RT287" s="1069"/>
      <c r="RU287" s="1069"/>
      <c r="RV287" s="1069"/>
      <c r="RW287" s="1069"/>
      <c r="RX287" s="1069"/>
      <c r="RY287" s="1069"/>
      <c r="RZ287" s="1069"/>
      <c r="SA287" s="1069"/>
      <c r="SB287" s="1069"/>
      <c r="SC287" s="1069"/>
      <c r="SD287" s="1069"/>
      <c r="SE287" s="1069"/>
      <c r="SF287" s="1069"/>
      <c r="SG287" s="1069"/>
      <c r="SH287" s="1069"/>
      <c r="SI287" s="1069"/>
      <c r="SJ287" s="1069"/>
      <c r="SK287" s="1069"/>
      <c r="SL287" s="1069"/>
      <c r="SM287" s="1069"/>
      <c r="SN287" s="1069"/>
      <c r="SO287" s="1069"/>
      <c r="SP287" s="1069"/>
      <c r="SQ287" s="1069"/>
      <c r="SR287" s="1069"/>
      <c r="SS287" s="1069"/>
      <c r="ST287" s="1069"/>
      <c r="SU287" s="1069"/>
      <c r="SV287" s="1069"/>
      <c r="SW287" s="1069"/>
      <c r="SX287" s="1069"/>
      <c r="SY287" s="1069"/>
      <c r="SZ287" s="1069"/>
      <c r="TA287" s="1069"/>
      <c r="TB287" s="1069"/>
      <c r="TC287" s="1069"/>
      <c r="TD287" s="1069"/>
      <c r="TE287" s="1069"/>
      <c r="TF287" s="1069"/>
      <c r="TG287" s="1069"/>
      <c r="TH287" s="1069"/>
      <c r="TI287" s="1069"/>
      <c r="TJ287" s="1069"/>
      <c r="TK287" s="1069"/>
      <c r="TL287" s="1069"/>
      <c r="TM287" s="1069"/>
      <c r="TN287" s="1069"/>
      <c r="TO287" s="1069"/>
      <c r="TP287" s="1069"/>
      <c r="TQ287" s="1069"/>
      <c r="TR287" s="1069"/>
      <c r="TS287" s="1069"/>
      <c r="TT287" s="1069"/>
      <c r="TU287" s="1069"/>
      <c r="TV287" s="1069"/>
      <c r="TW287" s="1069"/>
      <c r="TX287" s="1069"/>
      <c r="TY287" s="1069"/>
      <c r="TZ287" s="1069"/>
      <c r="UA287" s="1069"/>
      <c r="UB287" s="1069"/>
      <c r="UC287" s="1069"/>
      <c r="UD287" s="1069"/>
      <c r="UE287" s="1069"/>
      <c r="UF287" s="1069"/>
      <c r="UG287" s="1069"/>
      <c r="UH287" s="1069"/>
      <c r="UI287" s="1069"/>
      <c r="UJ287" s="1069"/>
      <c r="UK287" s="1069"/>
      <c r="UL287" s="1069"/>
      <c r="UM287" s="1069"/>
      <c r="UN287" s="1069"/>
      <c r="UO287" s="1069"/>
      <c r="UP287" s="1069"/>
      <c r="UQ287" s="1069"/>
      <c r="UR287" s="1069"/>
      <c r="US287" s="1069"/>
      <c r="UT287" s="1069"/>
      <c r="UU287" s="1069"/>
      <c r="UV287" s="1069"/>
      <c r="UW287" s="1069"/>
      <c r="UX287" s="1069"/>
      <c r="UY287" s="1069"/>
      <c r="UZ287" s="1069"/>
      <c r="VA287" s="1069"/>
      <c r="VB287" s="1069"/>
      <c r="VC287" s="1069"/>
      <c r="VD287" s="1069"/>
      <c r="VE287" s="1069"/>
      <c r="VF287" s="1069"/>
      <c r="VG287" s="1069"/>
      <c r="VH287" s="1069"/>
      <c r="VI287" s="1069"/>
      <c r="VJ287" s="1069"/>
      <c r="VK287" s="1069"/>
      <c r="VL287" s="1069"/>
      <c r="VM287" s="1069"/>
      <c r="VN287" s="1069"/>
      <c r="VO287" s="1069"/>
      <c r="VP287" s="1069"/>
      <c r="VQ287" s="1069"/>
      <c r="VR287" s="1069"/>
      <c r="VS287" s="1069"/>
      <c r="VT287" s="1069"/>
      <c r="VU287" s="1069"/>
      <c r="VV287" s="1069"/>
      <c r="VW287" s="1069"/>
      <c r="VX287" s="1069"/>
      <c r="VY287" s="1069"/>
      <c r="VZ287" s="1069"/>
      <c r="WA287" s="1069"/>
      <c r="WB287" s="1069"/>
      <c r="WC287" s="1069"/>
      <c r="WD287" s="1069"/>
      <c r="WE287" s="1069"/>
      <c r="WF287" s="1069"/>
      <c r="WG287" s="1069"/>
      <c r="WH287" s="1069"/>
      <c r="WI287" s="1069"/>
      <c r="WJ287" s="1069"/>
      <c r="WK287" s="1069"/>
      <c r="WL287" s="1069"/>
      <c r="WM287" s="1069"/>
      <c r="WN287" s="1069"/>
      <c r="WO287" s="1069"/>
      <c r="WP287" s="1069"/>
      <c r="WQ287" s="1069"/>
      <c r="WR287" s="1069"/>
      <c r="WS287" s="1069"/>
      <c r="WT287" s="1069"/>
      <c r="WU287" s="1069"/>
      <c r="WV287" s="1069"/>
      <c r="WW287" s="1069"/>
      <c r="WX287" s="1069"/>
      <c r="WY287" s="1069"/>
      <c r="WZ287" s="1069"/>
      <c r="XA287" s="1069"/>
      <c r="XB287" s="1069"/>
      <c r="XC287" s="1069"/>
      <c r="XD287" s="1069"/>
      <c r="XE287" s="1069"/>
      <c r="XF287" s="1069"/>
      <c r="XG287" s="1069"/>
      <c r="XH287" s="1069"/>
      <c r="XI287" s="1069"/>
      <c r="XJ287" s="1069"/>
      <c r="XK287" s="1069"/>
      <c r="XL287" s="1069"/>
      <c r="XM287" s="1069"/>
      <c r="XN287" s="1069"/>
      <c r="XO287" s="1069"/>
      <c r="XP287" s="1069"/>
      <c r="XQ287" s="1069"/>
      <c r="XR287" s="1069"/>
      <c r="XS287" s="1069"/>
      <c r="XT287" s="1069"/>
      <c r="XU287" s="1069"/>
      <c r="XV287" s="1069"/>
      <c r="XW287" s="1069"/>
      <c r="XX287" s="1069"/>
      <c r="XY287" s="1069"/>
      <c r="XZ287" s="1069"/>
      <c r="YA287" s="1069"/>
      <c r="YB287" s="1069"/>
      <c r="YC287" s="1069"/>
      <c r="YD287" s="1069"/>
      <c r="YE287" s="1069"/>
      <c r="YF287" s="1069"/>
      <c r="YG287" s="1069"/>
      <c r="YH287" s="1069"/>
      <c r="YI287" s="1069"/>
      <c r="YJ287" s="1069"/>
      <c r="YK287" s="1069"/>
      <c r="YL287" s="1069"/>
      <c r="YM287" s="1069"/>
      <c r="YN287" s="1069"/>
      <c r="YO287" s="1069"/>
      <c r="YP287" s="1069"/>
      <c r="YQ287" s="1069"/>
      <c r="YR287" s="1069"/>
      <c r="YS287" s="1069"/>
      <c r="YT287" s="1069"/>
      <c r="YU287" s="1069"/>
      <c r="YV287" s="1069"/>
      <c r="YW287" s="1069"/>
      <c r="YX287" s="1069"/>
      <c r="YY287" s="1069"/>
      <c r="YZ287" s="1069"/>
      <c r="ZA287" s="1069"/>
      <c r="ZB287" s="1069"/>
      <c r="ZC287" s="1069"/>
      <c r="ZD287" s="1069"/>
      <c r="ZE287" s="1069"/>
      <c r="ZF287" s="1069"/>
      <c r="ZG287" s="1069"/>
      <c r="ZH287" s="1069"/>
      <c r="ZI287" s="1069"/>
      <c r="ZJ287" s="1069"/>
      <c r="ZK287" s="1069"/>
      <c r="ZL287" s="1069"/>
      <c r="ZM287" s="1069"/>
      <c r="ZN287" s="1069"/>
      <c r="ZO287" s="1069"/>
      <c r="ZP287" s="1069"/>
      <c r="ZQ287" s="1069"/>
      <c r="ZR287" s="1069"/>
      <c r="ZS287" s="1069"/>
      <c r="ZT287" s="1069"/>
      <c r="ZU287" s="1069"/>
      <c r="ZV287" s="1069"/>
      <c r="ZW287" s="1069"/>
      <c r="ZX287" s="1069"/>
      <c r="ZY287" s="1069"/>
      <c r="ZZ287" s="1069"/>
      <c r="AAA287" s="1069"/>
      <c r="AAB287" s="1069"/>
      <c r="AAC287" s="1069"/>
      <c r="AAD287" s="1069"/>
      <c r="AAE287" s="1069"/>
      <c r="AAF287" s="1069"/>
      <c r="AAG287" s="1069"/>
      <c r="AAH287" s="1069"/>
      <c r="AAI287" s="1069"/>
      <c r="AAJ287" s="1069"/>
      <c r="AAK287" s="1069"/>
      <c r="AAL287" s="1069"/>
      <c r="AAM287" s="1069"/>
      <c r="AAN287" s="1069"/>
      <c r="AAO287" s="1069"/>
      <c r="AAP287" s="1069"/>
      <c r="AAQ287" s="1069"/>
      <c r="AAR287" s="1069"/>
      <c r="AAS287" s="1069"/>
      <c r="AAT287" s="1069"/>
      <c r="AAU287" s="1069"/>
      <c r="AAV287" s="1069"/>
      <c r="AAW287" s="1069"/>
      <c r="AAX287" s="1069"/>
      <c r="AAY287" s="1069"/>
      <c r="AAZ287" s="1069"/>
      <c r="ABA287" s="1069"/>
      <c r="ABB287" s="1069"/>
      <c r="ABC287" s="1069"/>
      <c r="ABD287" s="1069"/>
      <c r="ABE287" s="1069"/>
      <c r="ABF287" s="1069"/>
      <c r="ABG287" s="1069"/>
      <c r="ABH287" s="1069"/>
      <c r="ABI287" s="1069"/>
      <c r="ABJ287" s="1069"/>
      <c r="ABK287" s="1069"/>
      <c r="ABL287" s="1069"/>
      <c r="ABM287" s="1069"/>
      <c r="ABN287" s="1069"/>
      <c r="ABO287" s="1069"/>
      <c r="ABP287" s="1069"/>
      <c r="ABQ287" s="1069"/>
      <c r="ABR287" s="1069"/>
      <c r="ABS287" s="1069"/>
      <c r="ABT287" s="1069"/>
      <c r="ABU287" s="1069"/>
      <c r="ABV287" s="1069"/>
      <c r="ABW287" s="1069"/>
      <c r="ABX287" s="1069"/>
      <c r="ABY287" s="1069"/>
      <c r="ABZ287" s="1069"/>
      <c r="ACA287" s="1069"/>
      <c r="ACB287" s="1069"/>
      <c r="ACC287" s="1069"/>
      <c r="ACD287" s="1069"/>
      <c r="ACE287" s="1069"/>
      <c r="ACF287" s="1069"/>
      <c r="ACG287" s="1069"/>
      <c r="ACH287" s="1069"/>
      <c r="ACI287" s="1069"/>
      <c r="ACJ287" s="1069"/>
      <c r="ACK287" s="1069"/>
      <c r="ACL287" s="1069"/>
      <c r="ACM287" s="1069"/>
      <c r="ACN287" s="1069"/>
      <c r="ACO287" s="1069"/>
      <c r="ACP287" s="1069"/>
      <c r="ACQ287" s="1069"/>
      <c r="ACR287" s="1069"/>
      <c r="ACS287" s="1069"/>
      <c r="ACT287" s="1069"/>
      <c r="ACU287" s="1069"/>
      <c r="ACV287" s="1069"/>
      <c r="ACW287" s="1069"/>
      <c r="ACX287" s="1069"/>
      <c r="ACY287" s="1069"/>
      <c r="ACZ287" s="1069"/>
      <c r="ADA287" s="1069"/>
      <c r="ADB287" s="1069"/>
      <c r="ADC287" s="1069"/>
      <c r="ADD287" s="1069"/>
      <c r="ADE287" s="1069"/>
      <c r="ADF287" s="1069"/>
      <c r="ADG287" s="1069"/>
      <c r="ADH287" s="1069"/>
      <c r="ADI287" s="1069"/>
      <c r="ADJ287" s="1069"/>
      <c r="ADK287" s="1069"/>
      <c r="ADL287" s="1069"/>
      <c r="ADM287" s="1069"/>
      <c r="ADN287" s="1069"/>
      <c r="ADO287" s="1069"/>
      <c r="ADP287" s="1069"/>
      <c r="ADQ287" s="1069"/>
      <c r="ADR287" s="1069"/>
      <c r="ADS287" s="1069"/>
      <c r="ADT287" s="1069"/>
      <c r="ADU287" s="1069"/>
      <c r="ADV287" s="1069"/>
      <c r="ADW287" s="1069"/>
      <c r="ADX287" s="1069"/>
      <c r="ADY287" s="1069"/>
      <c r="ADZ287" s="1069"/>
      <c r="AEA287" s="1069"/>
      <c r="AEB287" s="1069"/>
      <c r="AEC287" s="1069"/>
      <c r="AED287" s="1069"/>
      <c r="AEE287" s="1069"/>
      <c r="AEF287" s="1069"/>
      <c r="AEG287" s="1069"/>
      <c r="AEH287" s="1069"/>
      <c r="AEI287" s="1069"/>
      <c r="AEJ287" s="1069"/>
      <c r="AEK287" s="1069"/>
      <c r="AEL287" s="1069"/>
      <c r="AEM287" s="1069"/>
      <c r="AEN287" s="1069"/>
      <c r="AEO287" s="1069"/>
      <c r="AEP287" s="1069"/>
      <c r="AEQ287" s="1069"/>
      <c r="AER287" s="1069"/>
      <c r="AES287" s="1069"/>
      <c r="AET287" s="1069"/>
      <c r="AEU287" s="1069"/>
      <c r="AEV287" s="1069"/>
      <c r="AEW287" s="1069"/>
      <c r="AEX287" s="1069"/>
      <c r="AEY287" s="1069"/>
      <c r="AEZ287" s="1069"/>
      <c r="AFA287" s="1069"/>
      <c r="AFB287" s="1069"/>
      <c r="AFC287" s="1069"/>
      <c r="AFD287" s="1069"/>
      <c r="AFE287" s="1069"/>
      <c r="AFF287" s="1069"/>
      <c r="AFG287" s="1069"/>
      <c r="AFH287" s="1069"/>
      <c r="AFI287" s="1069"/>
      <c r="AFJ287" s="1069"/>
      <c r="AFK287" s="1069"/>
      <c r="AFL287" s="1069"/>
      <c r="AFM287" s="1069"/>
      <c r="AFN287" s="1069"/>
      <c r="AFO287" s="1069"/>
      <c r="AFP287" s="1069"/>
      <c r="AFQ287" s="1069"/>
      <c r="AFR287" s="1069"/>
      <c r="AFS287" s="1069"/>
      <c r="AFT287" s="1069"/>
      <c r="AFU287" s="1069"/>
      <c r="AFV287" s="1069"/>
      <c r="AFW287" s="1069"/>
      <c r="AFX287" s="1069"/>
      <c r="AFY287" s="1069"/>
      <c r="AFZ287" s="1069"/>
      <c r="AGA287" s="1069"/>
      <c r="AGB287" s="1069"/>
      <c r="AGC287" s="1069"/>
      <c r="AGD287" s="1069"/>
      <c r="AGE287" s="1069"/>
      <c r="AGF287" s="1069"/>
      <c r="AGG287" s="1069"/>
      <c r="AGH287" s="1069"/>
      <c r="AGI287" s="1069"/>
      <c r="AGJ287" s="1069"/>
      <c r="AGK287" s="1069"/>
      <c r="AGL287" s="1069"/>
      <c r="AGM287" s="1069"/>
      <c r="AGN287" s="1069"/>
      <c r="AGO287" s="1069"/>
      <c r="AGP287" s="1069"/>
      <c r="AGQ287" s="1069"/>
      <c r="AGR287" s="1069"/>
      <c r="AGS287" s="1069"/>
      <c r="AGT287" s="1069"/>
      <c r="AGU287" s="1069"/>
      <c r="AGV287" s="1069"/>
      <c r="AGW287" s="1069"/>
      <c r="AGX287" s="1069"/>
      <c r="AGY287" s="1069"/>
      <c r="AGZ287" s="1069"/>
      <c r="AHA287" s="1069"/>
      <c r="AHB287" s="1069"/>
      <c r="AHC287" s="1069"/>
      <c r="AHD287" s="1069"/>
      <c r="AHE287" s="1069"/>
      <c r="AHF287" s="1069"/>
      <c r="AHG287" s="1069"/>
      <c r="AHH287" s="1069"/>
      <c r="AHI287" s="1069"/>
      <c r="AHJ287" s="1069"/>
      <c r="AHK287" s="1069"/>
      <c r="AHL287" s="1069"/>
      <c r="AHM287" s="1069"/>
      <c r="AHN287" s="1069"/>
      <c r="AHO287" s="1069"/>
      <c r="AHP287" s="1069"/>
      <c r="AHQ287" s="1069"/>
      <c r="AHR287" s="1069"/>
      <c r="AHS287" s="1069"/>
      <c r="AHT287" s="1069"/>
      <c r="AHU287" s="1069"/>
      <c r="AHV287" s="1069"/>
      <c r="AHW287" s="1069"/>
      <c r="AHX287" s="1069"/>
      <c r="AHY287" s="1069"/>
      <c r="AHZ287" s="1069"/>
      <c r="AIA287" s="1069"/>
      <c r="AIB287" s="1069"/>
      <c r="AIC287" s="1069"/>
      <c r="AID287" s="1069"/>
      <c r="AIE287" s="1069"/>
      <c r="AIF287" s="1069"/>
      <c r="AIG287" s="1069"/>
      <c r="AIH287" s="1069"/>
      <c r="AII287" s="1069"/>
      <c r="AIJ287" s="1069"/>
      <c r="AIK287" s="1069"/>
      <c r="AIL287" s="1069"/>
      <c r="AIM287" s="1069"/>
      <c r="AIN287" s="1069"/>
      <c r="AIO287" s="1069"/>
      <c r="AIP287" s="1069"/>
      <c r="AIQ287" s="1069"/>
      <c r="AIR287" s="1069"/>
      <c r="AIS287" s="1069"/>
      <c r="AIT287" s="1069"/>
      <c r="AIU287" s="1069"/>
      <c r="AIV287" s="1069"/>
      <c r="AIW287" s="1069"/>
      <c r="AIX287" s="1069"/>
      <c r="AIY287" s="1069"/>
      <c r="AIZ287" s="1069"/>
      <c r="AJA287" s="1069"/>
      <c r="AJB287" s="1069"/>
      <c r="AJC287" s="1069"/>
      <c r="AJD287" s="1069"/>
      <c r="AJE287" s="1069"/>
      <c r="AJF287" s="1069"/>
      <c r="AJG287" s="1069"/>
      <c r="AJH287" s="1069"/>
      <c r="AJI287" s="1069"/>
      <c r="AJJ287" s="1069"/>
      <c r="AJK287" s="1069"/>
      <c r="AJL287" s="1069"/>
      <c r="AJM287" s="1069"/>
      <c r="AJN287" s="1069"/>
      <c r="AJO287" s="1069"/>
      <c r="AJP287" s="1069"/>
      <c r="AJQ287" s="1069"/>
      <c r="AJR287" s="1069"/>
      <c r="AJS287" s="1069"/>
      <c r="AJT287" s="1069"/>
      <c r="AJU287" s="1069"/>
      <c r="AJV287" s="1069"/>
      <c r="AJW287" s="1069"/>
      <c r="AJX287" s="1069"/>
      <c r="AJY287" s="1069"/>
      <c r="AJZ287" s="1069"/>
      <c r="AKA287" s="1069"/>
      <c r="AKB287" s="1069"/>
      <c r="AKC287" s="1069"/>
      <c r="AKD287" s="1069"/>
      <c r="AKE287" s="1069"/>
      <c r="AKF287" s="1069"/>
      <c r="AKG287" s="1069"/>
      <c r="AKH287" s="1069"/>
      <c r="AKI287" s="1069"/>
      <c r="AKJ287" s="1069"/>
      <c r="AKK287" s="1069"/>
      <c r="AKL287" s="1069"/>
      <c r="AKM287" s="1069"/>
      <c r="AKN287" s="1069"/>
      <c r="AKO287" s="1069"/>
      <c r="AKP287" s="1069"/>
      <c r="AKQ287" s="1069"/>
      <c r="AKR287" s="1069"/>
      <c r="AKS287" s="1069"/>
      <c r="AKT287" s="1069"/>
      <c r="AKU287" s="1069"/>
      <c r="AKV287" s="1069"/>
      <c r="AKW287" s="1069"/>
      <c r="AKX287" s="1069"/>
      <c r="AKY287" s="1069"/>
      <c r="AKZ287" s="1069"/>
      <c r="ALA287" s="1069"/>
      <c r="ALB287" s="1069"/>
      <c r="ALC287" s="1069"/>
      <c r="ALD287" s="1069"/>
      <c r="ALE287" s="1069"/>
      <c r="ALF287" s="1069"/>
      <c r="ALG287" s="1069"/>
      <c r="ALH287" s="1069"/>
      <c r="ALI287" s="1069"/>
      <c r="ALJ287" s="1069"/>
      <c r="ALK287" s="1069"/>
      <c r="ALL287" s="1069"/>
      <c r="ALM287" s="1069"/>
      <c r="ALN287" s="1069"/>
      <c r="ALO287" s="1069"/>
      <c r="ALP287" s="1069"/>
      <c r="ALQ287" s="1069"/>
      <c r="ALR287" s="1069"/>
      <c r="ALS287" s="1069"/>
      <c r="ALT287" s="1069"/>
      <c r="ALU287" s="1069"/>
      <c r="ALV287" s="1069"/>
      <c r="ALW287" s="1069"/>
      <c r="ALX287" s="1069"/>
      <c r="ALY287" s="1069"/>
      <c r="ALZ287" s="1069"/>
      <c r="AMA287" s="1069"/>
      <c r="AMB287" s="1069"/>
      <c r="AMC287" s="1069"/>
      <c r="AMD287" s="1069"/>
      <c r="AME287" s="1069"/>
      <c r="AMF287" s="1069"/>
      <c r="AMG287" s="1069"/>
      <c r="AMH287" s="1069"/>
      <c r="AMI287" s="1069"/>
      <c r="AMJ287" s="1069"/>
      <c r="AMK287" s="1069"/>
      <c r="AML287" s="1069"/>
      <c r="AMM287" s="1069"/>
      <c r="AMN287" s="1069"/>
      <c r="AMO287" s="1069"/>
      <c r="AMP287" s="1069"/>
      <c r="AMQ287" s="1069"/>
      <c r="AMR287" s="1069"/>
      <c r="AMS287" s="1069"/>
      <c r="AMT287" s="1069"/>
      <c r="AMU287" s="1069"/>
      <c r="AMV287" s="1069"/>
      <c r="AMW287" s="1069"/>
      <c r="AMX287" s="1069"/>
      <c r="AMY287" s="1069"/>
      <c r="AMZ287" s="1069"/>
      <c r="ANA287" s="1069"/>
      <c r="ANB287" s="1069"/>
      <c r="ANC287" s="1069"/>
      <c r="AND287" s="1069"/>
      <c r="ANE287" s="1069"/>
      <c r="ANF287" s="1069"/>
      <c r="ANG287" s="1069"/>
      <c r="ANH287" s="1069"/>
      <c r="ANI287" s="1069"/>
      <c r="ANJ287" s="1069"/>
      <c r="ANK287" s="1069"/>
      <c r="ANL287" s="1069"/>
      <c r="ANM287" s="1069"/>
      <c r="ANN287" s="1069"/>
      <c r="ANO287" s="1069"/>
      <c r="ANP287" s="1069"/>
      <c r="ANQ287" s="1069"/>
      <c r="ANR287" s="1069"/>
      <c r="ANS287" s="1069"/>
      <c r="ANT287" s="1069"/>
      <c r="ANU287" s="1069"/>
      <c r="ANV287" s="1069"/>
      <c r="ANW287" s="1069"/>
      <c r="ANX287" s="1069"/>
      <c r="ANY287" s="1069"/>
      <c r="ANZ287" s="1069"/>
      <c r="AOA287" s="1069"/>
      <c r="AOB287" s="1069"/>
      <c r="AOC287" s="1069"/>
      <c r="AOD287" s="1069"/>
      <c r="AOE287" s="1069"/>
      <c r="AOF287" s="1069"/>
      <c r="AOG287" s="1069"/>
      <c r="AOH287" s="1069"/>
      <c r="AOI287" s="1069"/>
      <c r="AOJ287" s="1069"/>
      <c r="AOK287" s="1069"/>
      <c r="AOL287" s="1069"/>
      <c r="AOM287" s="1069"/>
      <c r="AON287" s="1069"/>
      <c r="AOO287" s="1069"/>
      <c r="AOP287" s="1069"/>
      <c r="AOQ287" s="1069"/>
      <c r="AOR287" s="1069"/>
      <c r="AOS287" s="1069"/>
      <c r="AOT287" s="1069"/>
      <c r="AOU287" s="1069"/>
      <c r="AOV287" s="1069"/>
      <c r="AOW287" s="1069"/>
      <c r="AOX287" s="1069"/>
      <c r="AOY287" s="1069"/>
      <c r="AOZ287" s="1069"/>
      <c r="APA287" s="1069"/>
      <c r="APB287" s="1069"/>
      <c r="APC287" s="1069"/>
      <c r="APD287" s="1069"/>
      <c r="APE287" s="1069"/>
      <c r="APF287" s="1069"/>
      <c r="APG287" s="1069"/>
      <c r="APH287" s="1069"/>
      <c r="API287" s="1069"/>
      <c r="APJ287" s="1069"/>
      <c r="APK287" s="1069"/>
      <c r="APL287" s="1069"/>
      <c r="APM287" s="1069"/>
      <c r="APN287" s="1069"/>
      <c r="APO287" s="1069"/>
      <c r="APP287" s="1069"/>
      <c r="APQ287" s="1069"/>
      <c r="APR287" s="1069"/>
      <c r="APS287" s="1069"/>
      <c r="APT287" s="1069"/>
      <c r="APU287" s="1069"/>
      <c r="APV287" s="1069"/>
      <c r="APW287" s="1069"/>
      <c r="APX287" s="1069"/>
      <c r="APY287" s="1069"/>
      <c r="APZ287" s="1069"/>
      <c r="AQA287" s="1069"/>
      <c r="AQB287" s="1069"/>
      <c r="AQC287" s="1069"/>
      <c r="AQD287" s="1069"/>
      <c r="AQE287" s="1069"/>
      <c r="AQF287" s="1069"/>
      <c r="AQG287" s="1069"/>
      <c r="AQH287" s="1069"/>
      <c r="AQI287" s="1069"/>
      <c r="AQJ287" s="1069"/>
      <c r="AQK287" s="1069"/>
      <c r="AQL287" s="1069"/>
      <c r="AQM287" s="1069"/>
      <c r="AQN287" s="1069"/>
      <c r="AQO287" s="1069"/>
      <c r="AQP287" s="1069"/>
      <c r="AQQ287" s="1069"/>
      <c r="AQR287" s="1069"/>
      <c r="AQS287" s="1069"/>
      <c r="AQT287" s="1069"/>
      <c r="AQU287" s="1069"/>
      <c r="AQV287" s="1069"/>
      <c r="AQW287" s="1069"/>
      <c r="AQX287" s="1069"/>
      <c r="AQY287" s="1069"/>
      <c r="AQZ287" s="1069"/>
      <c r="ARA287" s="1069"/>
      <c r="ARB287" s="1069"/>
      <c r="ARC287" s="1069"/>
      <c r="ARD287" s="1069"/>
      <c r="ARE287" s="1069"/>
      <c r="ARF287" s="1069"/>
      <c r="ARG287" s="1069"/>
      <c r="ARH287" s="1069"/>
      <c r="ARI287" s="1069"/>
      <c r="ARJ287" s="1069"/>
      <c r="ARK287" s="1069"/>
      <c r="ARL287" s="1069"/>
      <c r="ARM287" s="1069"/>
      <c r="ARN287" s="1069"/>
      <c r="ARO287" s="1069"/>
      <c r="ARP287" s="1069"/>
      <c r="ARQ287" s="1069"/>
      <c r="ARR287" s="1069"/>
      <c r="ARS287" s="1069"/>
      <c r="ART287" s="1069"/>
      <c r="ARU287" s="1069"/>
      <c r="ARV287" s="1069"/>
      <c r="ARW287" s="1069"/>
      <c r="ARX287" s="1069"/>
      <c r="ARY287" s="1069"/>
      <c r="ARZ287" s="1069"/>
      <c r="ASA287" s="1069"/>
      <c r="ASB287" s="1069"/>
      <c r="ASC287" s="1069"/>
      <c r="ASD287" s="1069"/>
      <c r="ASE287" s="1069"/>
      <c r="ASF287" s="1069"/>
      <c r="ASG287" s="1069"/>
      <c r="ASH287" s="1069"/>
      <c r="ASI287" s="1069"/>
      <c r="ASJ287" s="1069"/>
      <c r="ASK287" s="1069"/>
      <c r="ASL287" s="1069"/>
      <c r="ASM287" s="1069"/>
      <c r="ASN287" s="1069"/>
      <c r="ASO287" s="1069"/>
      <c r="ASP287" s="1069"/>
      <c r="ASQ287" s="1069"/>
      <c r="ASR287" s="1069"/>
      <c r="ASS287" s="1069"/>
      <c r="AST287" s="1069"/>
      <c r="ASU287" s="1069"/>
      <c r="ASV287" s="1069"/>
      <c r="ASW287" s="1069"/>
      <c r="ASX287" s="1069"/>
      <c r="ASY287" s="1069"/>
      <c r="ASZ287" s="1069"/>
      <c r="ATA287" s="1069"/>
      <c r="ATB287" s="1069"/>
      <c r="ATC287" s="1069"/>
      <c r="ATD287" s="1069"/>
      <c r="ATE287" s="1069"/>
      <c r="ATF287" s="1069"/>
      <c r="ATG287" s="1069"/>
      <c r="ATH287" s="1069"/>
      <c r="ATI287" s="1069"/>
      <c r="ATJ287" s="1069"/>
      <c r="ATK287" s="1069"/>
      <c r="ATL287" s="1069"/>
      <c r="ATM287" s="1069"/>
      <c r="ATN287" s="1069"/>
      <c r="ATO287" s="1069"/>
      <c r="ATP287" s="1069"/>
      <c r="ATQ287" s="1069"/>
      <c r="ATR287" s="1069"/>
      <c r="ATS287" s="1069"/>
      <c r="ATT287" s="1069"/>
      <c r="ATU287" s="1069"/>
      <c r="ATV287" s="1069"/>
      <c r="ATW287" s="1069"/>
      <c r="ATX287" s="1069"/>
      <c r="ATY287" s="1069"/>
      <c r="ATZ287" s="1069"/>
      <c r="AUA287" s="1069"/>
      <c r="AUB287" s="1069"/>
      <c r="AUC287" s="1069"/>
      <c r="AUD287" s="1069"/>
      <c r="AUE287" s="1069"/>
      <c r="AUF287" s="1069"/>
      <c r="AUG287" s="1069"/>
      <c r="AUH287" s="1069"/>
      <c r="AUI287" s="1069"/>
      <c r="AUJ287" s="1069"/>
      <c r="AUK287" s="1069"/>
      <c r="AUL287" s="1069"/>
      <c r="AUM287" s="1069"/>
      <c r="AUN287" s="1069"/>
      <c r="AUO287" s="1069"/>
      <c r="AUP287" s="1069"/>
      <c r="AUQ287" s="1069"/>
      <c r="AUR287" s="1069"/>
      <c r="AUS287" s="1069"/>
      <c r="AUT287" s="1069"/>
      <c r="AUU287" s="1069"/>
      <c r="AUV287" s="1069"/>
      <c r="AUW287" s="1069"/>
      <c r="AUX287" s="1069"/>
      <c r="AUY287" s="1069"/>
      <c r="AUZ287" s="1069"/>
      <c r="AVA287" s="1069"/>
      <c r="AVB287" s="1069"/>
      <c r="AVC287" s="1069"/>
      <c r="AVD287" s="1069"/>
      <c r="AVE287" s="1069"/>
      <c r="AVF287" s="1069"/>
      <c r="AVG287" s="1069"/>
      <c r="AVH287" s="1069"/>
      <c r="AVI287" s="1069"/>
      <c r="AVJ287" s="1069"/>
      <c r="AVK287" s="1069"/>
      <c r="AVL287" s="1069"/>
      <c r="AVM287" s="1069"/>
      <c r="AVN287" s="1069"/>
      <c r="AVO287" s="1069"/>
      <c r="AVP287" s="1069"/>
      <c r="AVQ287" s="1069"/>
      <c r="AVR287" s="1069"/>
      <c r="AVS287" s="1069"/>
      <c r="AVT287" s="1069"/>
      <c r="AVU287" s="1069"/>
      <c r="AVV287" s="1069"/>
      <c r="AVW287" s="1069"/>
      <c r="AVX287" s="1069"/>
      <c r="AVY287" s="1069"/>
      <c r="AVZ287" s="1069"/>
      <c r="AWA287" s="1069"/>
      <c r="AWB287" s="1069"/>
      <c r="AWC287" s="1069"/>
      <c r="AWD287" s="1069"/>
      <c r="AWE287" s="1069"/>
      <c r="AWF287" s="1069"/>
      <c r="AWG287" s="1069"/>
      <c r="AWH287" s="1069"/>
      <c r="AWI287" s="1069"/>
      <c r="AWJ287" s="1069"/>
      <c r="AWK287" s="1069"/>
      <c r="AWL287" s="1069"/>
      <c r="AWM287" s="1069"/>
      <c r="AWN287" s="1069"/>
      <c r="AWO287" s="1069"/>
      <c r="AWP287" s="1069"/>
      <c r="AWQ287" s="1069"/>
      <c r="AWR287" s="1069"/>
      <c r="AWS287" s="1069"/>
      <c r="AWT287" s="1069"/>
      <c r="AWU287" s="1069"/>
      <c r="AWV287" s="1069"/>
      <c r="AWW287" s="1069"/>
      <c r="AWX287" s="1069"/>
      <c r="AWY287" s="1069"/>
      <c r="AWZ287" s="1069"/>
      <c r="AXA287" s="1069"/>
      <c r="AXB287" s="1069"/>
      <c r="AXC287" s="1069"/>
      <c r="AXD287" s="1069"/>
      <c r="AXE287" s="1069"/>
      <c r="AXF287" s="1069"/>
      <c r="AXG287" s="1069"/>
      <c r="AXH287" s="1069"/>
      <c r="AXI287" s="1069"/>
      <c r="AXJ287" s="1069"/>
      <c r="AXK287" s="1069"/>
      <c r="AXL287" s="1069"/>
      <c r="AXM287" s="1069"/>
      <c r="AXN287" s="1069"/>
      <c r="AXO287" s="1069"/>
      <c r="AXP287" s="1069"/>
      <c r="AXQ287" s="1069"/>
      <c r="AXR287" s="1069"/>
      <c r="AXS287" s="1069"/>
      <c r="AXT287" s="1069"/>
      <c r="AXU287" s="1069"/>
      <c r="AXV287" s="1069"/>
      <c r="AXW287" s="1069"/>
      <c r="AXX287" s="1069"/>
      <c r="AXY287" s="1069"/>
      <c r="AXZ287" s="1069"/>
      <c r="AYA287" s="1069"/>
      <c r="AYB287" s="1069"/>
      <c r="AYC287" s="1069"/>
      <c r="AYD287" s="1069"/>
      <c r="AYE287" s="1069"/>
      <c r="AYF287" s="1069"/>
      <c r="AYG287" s="1069"/>
      <c r="AYH287" s="1069"/>
      <c r="AYI287" s="1069"/>
      <c r="AYJ287" s="1069"/>
      <c r="AYK287" s="1069"/>
      <c r="AYL287" s="1069"/>
      <c r="AYM287" s="1069"/>
      <c r="AYN287" s="1069"/>
      <c r="AYO287" s="1069"/>
      <c r="AYP287" s="1069"/>
      <c r="AYQ287" s="1069"/>
      <c r="AYR287" s="1069"/>
      <c r="AYS287" s="1069"/>
      <c r="AYT287" s="1069"/>
      <c r="AYU287" s="1069"/>
      <c r="AYV287" s="1069"/>
      <c r="AYW287" s="1069"/>
      <c r="AYX287" s="1069"/>
      <c r="AYY287" s="1069"/>
      <c r="AYZ287" s="1069"/>
      <c r="AZA287" s="1069"/>
      <c r="AZB287" s="1069"/>
      <c r="AZC287" s="1069"/>
      <c r="AZD287" s="1069"/>
      <c r="AZE287" s="1069"/>
      <c r="AZF287" s="1069"/>
      <c r="AZG287" s="1069"/>
      <c r="AZH287" s="1069"/>
      <c r="AZI287" s="1069"/>
      <c r="AZJ287" s="1069"/>
      <c r="AZK287" s="1069"/>
      <c r="AZL287" s="1069"/>
      <c r="AZM287" s="1069"/>
      <c r="AZN287" s="1069"/>
      <c r="AZO287" s="1069"/>
      <c r="AZP287" s="1069"/>
      <c r="AZQ287" s="1069"/>
      <c r="AZR287" s="1069"/>
      <c r="AZS287" s="1069"/>
      <c r="AZT287" s="1069"/>
      <c r="AZU287" s="1069"/>
      <c r="AZV287" s="1069"/>
      <c r="AZW287" s="1069"/>
      <c r="AZX287" s="1069"/>
      <c r="AZY287" s="1069"/>
      <c r="AZZ287" s="1069"/>
      <c r="BAA287" s="1069"/>
      <c r="BAB287" s="1069"/>
      <c r="BAC287" s="1069"/>
      <c r="BAD287" s="1069"/>
      <c r="BAE287" s="1069"/>
      <c r="BAF287" s="1069"/>
      <c r="BAG287" s="1069"/>
      <c r="BAH287" s="1069"/>
      <c r="BAI287" s="1069"/>
      <c r="BAJ287" s="1069"/>
      <c r="BAK287" s="1069"/>
      <c r="BAL287" s="1069"/>
      <c r="BAM287" s="1069"/>
      <c r="BAN287" s="1069"/>
      <c r="BAO287" s="1069"/>
      <c r="BAP287" s="1069"/>
      <c r="BAQ287" s="1069"/>
      <c r="BAR287" s="1069"/>
      <c r="BAS287" s="1069"/>
      <c r="BAT287" s="1069"/>
      <c r="BAU287" s="1069"/>
      <c r="BAV287" s="1069"/>
      <c r="BAW287" s="1069"/>
      <c r="BAX287" s="1069"/>
      <c r="BAY287" s="1069"/>
      <c r="BAZ287" s="1069"/>
      <c r="BBA287" s="1069"/>
      <c r="BBB287" s="1069"/>
      <c r="BBC287" s="1069"/>
      <c r="BBD287" s="1069"/>
      <c r="BBE287" s="1069"/>
      <c r="BBF287" s="1069"/>
      <c r="BBG287" s="1069"/>
      <c r="BBH287" s="1069"/>
      <c r="BBI287" s="1069"/>
      <c r="BBJ287" s="1069"/>
      <c r="BBK287" s="1069"/>
      <c r="BBL287" s="1069"/>
      <c r="BBM287" s="1069"/>
      <c r="BBN287" s="1069"/>
      <c r="BBO287" s="1069"/>
      <c r="BBP287" s="1069"/>
      <c r="BBQ287" s="1069"/>
      <c r="BBR287" s="1069"/>
      <c r="BBS287" s="1069"/>
      <c r="BBT287" s="1069"/>
      <c r="BBU287" s="1069"/>
      <c r="BBV287" s="1069"/>
      <c r="BBW287" s="1069"/>
      <c r="BBX287" s="1069"/>
      <c r="BBY287" s="1069"/>
      <c r="BBZ287" s="1069"/>
      <c r="BCA287" s="1069"/>
      <c r="BCB287" s="1069"/>
      <c r="BCC287" s="1069"/>
      <c r="BCD287" s="1069"/>
      <c r="BCE287" s="1069"/>
      <c r="BCF287" s="1069"/>
      <c r="BCG287" s="1069"/>
      <c r="BCH287" s="1069"/>
      <c r="BCI287" s="1069"/>
      <c r="BCJ287" s="1069"/>
      <c r="BCK287" s="1069"/>
      <c r="BCL287" s="1069"/>
      <c r="BCM287" s="1069"/>
      <c r="BCN287" s="1069"/>
      <c r="BCO287" s="1069"/>
      <c r="BCP287" s="1069"/>
      <c r="BCQ287" s="1069"/>
      <c r="BCR287" s="1069"/>
      <c r="BCS287" s="1069"/>
      <c r="BCT287" s="1069"/>
      <c r="BCU287" s="1069"/>
      <c r="BCV287" s="1069"/>
      <c r="BCW287" s="1069"/>
      <c r="BCX287" s="1069"/>
      <c r="BCY287" s="1069"/>
      <c r="BCZ287" s="1069"/>
      <c r="BDA287" s="1069"/>
      <c r="BDB287" s="1069"/>
      <c r="BDC287" s="1069"/>
      <c r="BDD287" s="1069"/>
      <c r="BDE287" s="1069"/>
      <c r="BDF287" s="1069"/>
      <c r="BDG287" s="1069"/>
      <c r="BDH287" s="1069"/>
      <c r="BDI287" s="1069"/>
      <c r="BDJ287" s="1069"/>
      <c r="BDK287" s="1069"/>
      <c r="BDL287" s="1069"/>
      <c r="BDM287" s="1069"/>
      <c r="BDN287" s="1069"/>
      <c r="BDO287" s="1069"/>
      <c r="BDP287" s="1069"/>
      <c r="BDQ287" s="1069"/>
      <c r="BDR287" s="1069"/>
      <c r="BDS287" s="1069"/>
      <c r="BDT287" s="1069"/>
      <c r="BDU287" s="1069"/>
      <c r="BDV287" s="1069"/>
      <c r="BDW287" s="1069"/>
      <c r="BDX287" s="1069"/>
      <c r="BDY287" s="1069"/>
      <c r="BDZ287" s="1069"/>
      <c r="BEA287" s="1069"/>
      <c r="BEB287" s="1069"/>
      <c r="BEC287" s="1069"/>
      <c r="BED287" s="1069"/>
      <c r="BEE287" s="1069"/>
      <c r="BEF287" s="1069"/>
      <c r="BEG287" s="1069"/>
      <c r="BEH287" s="1069"/>
      <c r="BEI287" s="1069"/>
      <c r="BEJ287" s="1069"/>
      <c r="BEK287" s="1069"/>
      <c r="BEL287" s="1069"/>
      <c r="BEM287" s="1069"/>
      <c r="BEN287" s="1069"/>
      <c r="BEO287" s="1069"/>
      <c r="BEP287" s="1069"/>
      <c r="BEQ287" s="1069"/>
      <c r="BER287" s="1069"/>
      <c r="BES287" s="1069"/>
      <c r="BET287" s="1069"/>
      <c r="BEU287" s="1069"/>
      <c r="BEV287" s="1069"/>
      <c r="BEW287" s="1069"/>
      <c r="BEX287" s="1069"/>
      <c r="BEY287" s="1069"/>
      <c r="BEZ287" s="1069"/>
      <c r="BFA287" s="1069"/>
      <c r="BFB287" s="1069"/>
      <c r="BFC287" s="1069"/>
      <c r="BFD287" s="1069"/>
      <c r="BFE287" s="1069"/>
      <c r="BFF287" s="1069"/>
      <c r="BFG287" s="1069"/>
      <c r="BFH287" s="1069"/>
      <c r="BFI287" s="1069"/>
      <c r="BFJ287" s="1069"/>
      <c r="BFK287" s="1069"/>
      <c r="BFL287" s="1069"/>
      <c r="BFM287" s="1069"/>
      <c r="BFN287" s="1069"/>
      <c r="BFO287" s="1069"/>
      <c r="BFP287" s="1069"/>
      <c r="BFQ287" s="1069"/>
      <c r="BFR287" s="1069"/>
      <c r="BFS287" s="1069"/>
      <c r="BFT287" s="1069"/>
      <c r="BFU287" s="1069"/>
      <c r="BFV287" s="1069"/>
      <c r="BFW287" s="1069"/>
      <c r="BFX287" s="1069"/>
      <c r="BFY287" s="1069"/>
      <c r="BFZ287" s="1069"/>
      <c r="BGA287" s="1069"/>
      <c r="BGB287" s="1069"/>
      <c r="BGC287" s="1069"/>
      <c r="BGD287" s="1069"/>
      <c r="BGE287" s="1069"/>
      <c r="BGF287" s="1069"/>
      <c r="BGG287" s="1069"/>
      <c r="BGH287" s="1069"/>
      <c r="BGI287" s="1069"/>
      <c r="BGJ287" s="1069"/>
      <c r="BGK287" s="1069"/>
      <c r="BGL287" s="1069"/>
      <c r="BGM287" s="1069"/>
      <c r="BGN287" s="1069"/>
      <c r="BGO287" s="1069"/>
      <c r="BGP287" s="1069"/>
      <c r="BGQ287" s="1069"/>
      <c r="BGR287" s="1069"/>
      <c r="BGS287" s="1069"/>
      <c r="BGT287" s="1069"/>
      <c r="BGU287" s="1069"/>
      <c r="BGV287" s="1069"/>
      <c r="BGW287" s="1069"/>
      <c r="BGX287" s="1069"/>
      <c r="BGY287" s="1069"/>
      <c r="BGZ287" s="1069"/>
      <c r="BHA287" s="1069"/>
      <c r="BHB287" s="1069"/>
      <c r="BHC287" s="1069"/>
      <c r="BHD287" s="1069"/>
      <c r="BHE287" s="1069"/>
      <c r="BHF287" s="1069"/>
      <c r="BHG287" s="1069"/>
      <c r="BHH287" s="1069"/>
      <c r="BHI287" s="1069"/>
      <c r="BHJ287" s="1069"/>
      <c r="BHK287" s="1069"/>
      <c r="BHL287" s="1069"/>
      <c r="BHM287" s="1069"/>
      <c r="BHN287" s="1069"/>
      <c r="BHO287" s="1069"/>
      <c r="BHP287" s="1069"/>
      <c r="BHQ287" s="1069"/>
      <c r="BHR287" s="1069"/>
      <c r="BHS287" s="1069"/>
      <c r="BHT287" s="1069"/>
      <c r="BHU287" s="1069"/>
      <c r="BHV287" s="1069"/>
      <c r="BHW287" s="1069"/>
      <c r="BHX287" s="1069"/>
      <c r="BHY287" s="1069"/>
      <c r="BHZ287" s="1069"/>
      <c r="BIA287" s="1069"/>
      <c r="BIB287" s="1069"/>
      <c r="BIC287" s="1069"/>
      <c r="BID287" s="1069"/>
      <c r="BIE287" s="1069"/>
      <c r="BIF287" s="1069"/>
      <c r="BIG287" s="1069"/>
      <c r="BIH287" s="1069"/>
      <c r="BII287" s="1069"/>
      <c r="BIJ287" s="1069"/>
      <c r="BIK287" s="1069"/>
      <c r="BIL287" s="1069"/>
      <c r="BIM287" s="1069"/>
      <c r="BIN287" s="1069"/>
      <c r="BIO287" s="1069"/>
      <c r="BIP287" s="1069"/>
      <c r="BIQ287" s="1069"/>
      <c r="BIR287" s="1069"/>
      <c r="BIS287" s="1069"/>
      <c r="BIT287" s="1069"/>
      <c r="BIU287" s="1069"/>
      <c r="BIV287" s="1069"/>
      <c r="BIW287" s="1069"/>
      <c r="BIX287" s="1069"/>
      <c r="BIY287" s="1069"/>
      <c r="BIZ287" s="1069"/>
      <c r="BJA287" s="1069"/>
      <c r="BJB287" s="1069"/>
      <c r="BJC287" s="1069"/>
      <c r="BJD287" s="1069"/>
      <c r="BJE287" s="1069"/>
      <c r="BJF287" s="1069"/>
      <c r="BJG287" s="1069"/>
      <c r="BJH287" s="1069"/>
      <c r="BJI287" s="1069"/>
      <c r="BJJ287" s="1069"/>
      <c r="BJK287" s="1069"/>
      <c r="BJL287" s="1069"/>
      <c r="BJM287" s="1069"/>
      <c r="BJN287" s="1069"/>
      <c r="BJO287" s="1069"/>
      <c r="BJP287" s="1069"/>
      <c r="BJQ287" s="1069"/>
      <c r="BJR287" s="1069"/>
      <c r="BJS287" s="1069"/>
      <c r="BJT287" s="1069"/>
      <c r="BJU287" s="1069"/>
      <c r="BJV287" s="1069"/>
      <c r="BJW287" s="1069"/>
      <c r="BJX287" s="1069"/>
      <c r="BJY287" s="1069"/>
      <c r="BJZ287" s="1069"/>
      <c r="BKA287" s="1069"/>
      <c r="BKB287" s="1069"/>
      <c r="BKC287" s="1069"/>
      <c r="BKD287" s="1069"/>
      <c r="BKE287" s="1069"/>
      <c r="BKF287" s="1069"/>
      <c r="BKG287" s="1069"/>
      <c r="BKH287" s="1069"/>
      <c r="BKI287" s="1069"/>
      <c r="BKJ287" s="1069"/>
      <c r="BKK287" s="1069"/>
      <c r="BKL287" s="1069"/>
      <c r="BKM287" s="1069"/>
      <c r="BKN287" s="1069"/>
      <c r="BKO287" s="1069"/>
      <c r="BKP287" s="1069"/>
      <c r="BKQ287" s="1069"/>
      <c r="BKR287" s="1069"/>
      <c r="BKS287" s="1069"/>
      <c r="BKT287" s="1069"/>
      <c r="BKU287" s="1069"/>
      <c r="BKV287" s="1069"/>
      <c r="BKW287" s="1069"/>
      <c r="BKX287" s="1069"/>
      <c r="BKY287" s="1069"/>
      <c r="BKZ287" s="1069"/>
      <c r="BLA287" s="1069"/>
      <c r="BLB287" s="1069"/>
      <c r="BLC287" s="1069"/>
      <c r="BLD287" s="1069"/>
      <c r="BLE287" s="1069"/>
      <c r="BLF287" s="1069"/>
      <c r="BLG287" s="1069"/>
      <c r="BLH287" s="1069"/>
      <c r="BLI287" s="1069"/>
      <c r="BLJ287" s="1069"/>
      <c r="BLK287" s="1069"/>
      <c r="BLL287" s="1069"/>
      <c r="BLM287" s="1069"/>
      <c r="BLN287" s="1069"/>
      <c r="BLO287" s="1069"/>
      <c r="BLP287" s="1069"/>
      <c r="BLQ287" s="1069"/>
      <c r="BLR287" s="1069"/>
      <c r="BLS287" s="1069"/>
      <c r="BLT287" s="1069"/>
      <c r="BLU287" s="1069"/>
      <c r="BLV287" s="1069"/>
      <c r="BLW287" s="1069"/>
      <c r="BLX287" s="1069"/>
      <c r="BLY287" s="1069"/>
      <c r="BLZ287" s="1069"/>
      <c r="BMA287" s="1069"/>
      <c r="BMB287" s="1069"/>
      <c r="BMC287" s="1069"/>
      <c r="BMD287" s="1069"/>
      <c r="BME287" s="1069"/>
      <c r="BMF287" s="1069"/>
      <c r="BMG287" s="1069"/>
      <c r="BMH287" s="1069"/>
      <c r="BMI287" s="1069"/>
      <c r="BMJ287" s="1069"/>
      <c r="BMK287" s="1069"/>
      <c r="BML287" s="1069"/>
      <c r="BMM287" s="1069"/>
      <c r="BMN287" s="1069"/>
      <c r="BMO287" s="1069"/>
      <c r="BMP287" s="1069"/>
      <c r="BMQ287" s="1069"/>
      <c r="BMR287" s="1069"/>
      <c r="BMS287" s="1069"/>
      <c r="BMT287" s="1069"/>
      <c r="BMU287" s="1069"/>
      <c r="BMV287" s="1069"/>
      <c r="BMW287" s="1069"/>
      <c r="BMX287" s="1069"/>
      <c r="BMY287" s="1069"/>
      <c r="BMZ287" s="1069"/>
      <c r="BNA287" s="1069"/>
      <c r="BNB287" s="1069"/>
      <c r="BNC287" s="1069"/>
      <c r="BND287" s="1069"/>
      <c r="BNE287" s="1069"/>
      <c r="BNF287" s="1069"/>
      <c r="BNG287" s="1069"/>
      <c r="BNH287" s="1069"/>
      <c r="BNI287" s="1069"/>
      <c r="BNJ287" s="1069"/>
      <c r="BNK287" s="1069"/>
      <c r="BNL287" s="1069"/>
      <c r="BNM287" s="1069"/>
      <c r="BNN287" s="1069"/>
      <c r="BNO287" s="1069"/>
      <c r="BNP287" s="1069"/>
      <c r="BNQ287" s="1069"/>
      <c r="BNR287" s="1069"/>
      <c r="BNS287" s="1069"/>
      <c r="BNT287" s="1069"/>
      <c r="BNU287" s="1069"/>
      <c r="BNV287" s="1069"/>
      <c r="BNW287" s="1069"/>
      <c r="BNX287" s="1069"/>
      <c r="BNY287" s="1069"/>
      <c r="BNZ287" s="1069"/>
      <c r="BOA287" s="1069"/>
      <c r="BOB287" s="1069"/>
      <c r="BOC287" s="1069"/>
      <c r="BOD287" s="1069"/>
      <c r="BOE287" s="1069"/>
      <c r="BOF287" s="1069"/>
      <c r="BOG287" s="1069"/>
      <c r="BOH287" s="1069"/>
      <c r="BOI287" s="1069"/>
      <c r="BOJ287" s="1069"/>
      <c r="BOK287" s="1069"/>
      <c r="BOL287" s="1069"/>
      <c r="BOM287" s="1069"/>
      <c r="BON287" s="1069"/>
      <c r="BOO287" s="1069"/>
      <c r="BOP287" s="1069"/>
      <c r="BOQ287" s="1069"/>
      <c r="BOR287" s="1069"/>
      <c r="BOS287" s="1069"/>
      <c r="BOT287" s="1069"/>
      <c r="BOU287" s="1069"/>
      <c r="BOV287" s="1069"/>
      <c r="BOW287" s="1069"/>
      <c r="BOX287" s="1069"/>
      <c r="BOY287" s="1069"/>
      <c r="BOZ287" s="1069"/>
      <c r="BPA287" s="1069"/>
      <c r="BPB287" s="1069"/>
      <c r="BPC287" s="1069"/>
      <c r="BPD287" s="1069"/>
      <c r="BPE287" s="1069"/>
      <c r="BPF287" s="1069"/>
      <c r="BPG287" s="1069"/>
      <c r="BPH287" s="1069"/>
      <c r="BPI287" s="1069"/>
      <c r="BPJ287" s="1069"/>
      <c r="BPK287" s="1069"/>
      <c r="BPL287" s="1069"/>
      <c r="BPM287" s="1069"/>
      <c r="BPN287" s="1069"/>
      <c r="BPO287" s="1069"/>
      <c r="BPP287" s="1069"/>
      <c r="BPQ287" s="1069"/>
      <c r="BPR287" s="1069"/>
      <c r="BPS287" s="1069"/>
      <c r="BPT287" s="1069"/>
      <c r="BPU287" s="1069"/>
      <c r="BPV287" s="1069"/>
      <c r="BPW287" s="1069"/>
      <c r="BPX287" s="1069"/>
      <c r="BPY287" s="1069"/>
      <c r="BPZ287" s="1069"/>
      <c r="BQA287" s="1069"/>
      <c r="BQB287" s="1069"/>
      <c r="BQC287" s="1069"/>
      <c r="BQD287" s="1069"/>
      <c r="BQE287" s="1069"/>
      <c r="BQF287" s="1069"/>
      <c r="BQG287" s="1069"/>
      <c r="BQH287" s="1069"/>
      <c r="BQI287" s="1069"/>
      <c r="BQJ287" s="1069"/>
      <c r="BQK287" s="1069"/>
      <c r="BQL287" s="1069"/>
      <c r="BQM287" s="1069"/>
      <c r="BQN287" s="1069"/>
      <c r="BQO287" s="1069"/>
      <c r="BQP287" s="1069"/>
      <c r="BQQ287" s="1069"/>
      <c r="BQR287" s="1069"/>
      <c r="BQS287" s="1069"/>
      <c r="BQT287" s="1069"/>
      <c r="BQU287" s="1069"/>
      <c r="BQV287" s="1069"/>
      <c r="BQW287" s="1069"/>
      <c r="BQX287" s="1069"/>
      <c r="BQY287" s="1069"/>
      <c r="BQZ287" s="1069"/>
      <c r="BRA287" s="1069"/>
      <c r="BRB287" s="1069"/>
      <c r="BRC287" s="1069"/>
      <c r="BRD287" s="1069"/>
      <c r="BRE287" s="1069"/>
      <c r="BRF287" s="1069"/>
      <c r="BRG287" s="1069"/>
      <c r="BRH287" s="1069"/>
      <c r="BRI287" s="1069"/>
      <c r="BRJ287" s="1069"/>
      <c r="BRK287" s="1069"/>
      <c r="BRL287" s="1069"/>
      <c r="BRM287" s="1069"/>
      <c r="BRN287" s="1069"/>
      <c r="BRO287" s="1069"/>
      <c r="BRP287" s="1069"/>
      <c r="BRQ287" s="1069"/>
      <c r="BRR287" s="1069"/>
      <c r="BRS287" s="1069"/>
      <c r="BRT287" s="1069"/>
      <c r="BRU287" s="1069"/>
      <c r="BRV287" s="1069"/>
      <c r="BRW287" s="1069"/>
      <c r="BRX287" s="1069"/>
      <c r="BRY287" s="1069"/>
      <c r="BRZ287" s="1069"/>
      <c r="BSA287" s="1069"/>
      <c r="BSB287" s="1069"/>
      <c r="BSC287" s="1069"/>
      <c r="BSD287" s="1069"/>
      <c r="BSE287" s="1069"/>
      <c r="BSF287" s="1069"/>
      <c r="BSG287" s="1069"/>
      <c r="BSH287" s="1069"/>
      <c r="BSI287" s="1069"/>
      <c r="BSJ287" s="1069"/>
      <c r="BSK287" s="1069"/>
      <c r="BSL287" s="1069"/>
      <c r="BSM287" s="1069"/>
      <c r="BSN287" s="1069"/>
      <c r="BSO287" s="1069"/>
      <c r="BSP287" s="1069"/>
      <c r="BSQ287" s="1069"/>
      <c r="BSR287" s="1069"/>
      <c r="BSS287" s="1069"/>
      <c r="BST287" s="1069"/>
      <c r="BSU287" s="1069"/>
      <c r="BSV287" s="1069"/>
      <c r="BSW287" s="1069"/>
      <c r="BSX287" s="1069"/>
      <c r="BSY287" s="1069"/>
      <c r="BSZ287" s="1069"/>
      <c r="BTA287" s="1069"/>
      <c r="BTB287" s="1069"/>
      <c r="BTC287" s="1069"/>
      <c r="BTD287" s="1069"/>
      <c r="BTE287" s="1069"/>
      <c r="BTF287" s="1069"/>
      <c r="BTG287" s="1069"/>
      <c r="BTH287" s="1069"/>
      <c r="BTI287" s="1069"/>
      <c r="BTJ287" s="1069"/>
      <c r="BTK287" s="1069"/>
      <c r="BTL287" s="1069"/>
      <c r="BTM287" s="1069"/>
      <c r="BTN287" s="1069"/>
      <c r="BTO287" s="1069"/>
      <c r="BTP287" s="1069"/>
      <c r="BTQ287" s="1069"/>
      <c r="BTR287" s="1069"/>
      <c r="BTS287" s="1069"/>
      <c r="BTT287" s="1069"/>
      <c r="BTU287" s="1069"/>
      <c r="BTV287" s="1069"/>
      <c r="BTW287" s="1069"/>
      <c r="BTX287" s="1069"/>
      <c r="BTY287" s="1069"/>
      <c r="BTZ287" s="1069"/>
      <c r="BUA287" s="1069"/>
      <c r="BUB287" s="1069"/>
      <c r="BUC287" s="1069"/>
      <c r="BUD287" s="1069"/>
      <c r="BUE287" s="1069"/>
      <c r="BUF287" s="1069"/>
      <c r="BUG287" s="1069"/>
      <c r="BUH287" s="1069"/>
      <c r="BUI287" s="1069"/>
      <c r="BUJ287" s="1069"/>
      <c r="BUK287" s="1069"/>
      <c r="BUL287" s="1069"/>
      <c r="BUM287" s="1069"/>
      <c r="BUN287" s="1069"/>
      <c r="BUO287" s="1069"/>
      <c r="BUP287" s="1069"/>
      <c r="BUQ287" s="1069"/>
      <c r="BUR287" s="1069"/>
      <c r="BUS287" s="1069"/>
      <c r="BUT287" s="1069"/>
      <c r="BUU287" s="1069"/>
      <c r="BUV287" s="1069"/>
      <c r="BUW287" s="1069"/>
      <c r="BUX287" s="1069"/>
      <c r="BUY287" s="1069"/>
      <c r="BUZ287" s="1069"/>
      <c r="BVA287" s="1069"/>
      <c r="BVB287" s="1069"/>
      <c r="BVC287" s="1069"/>
      <c r="BVD287" s="1069"/>
      <c r="BVE287" s="1069"/>
      <c r="BVF287" s="1069"/>
      <c r="BVG287" s="1069"/>
      <c r="BVH287" s="1069"/>
      <c r="BVI287" s="1069"/>
      <c r="BVJ287" s="1069"/>
      <c r="BVK287" s="1069"/>
      <c r="BVL287" s="1069"/>
      <c r="BVM287" s="1069"/>
      <c r="BVN287" s="1069"/>
      <c r="BVO287" s="1069"/>
      <c r="BVP287" s="1069"/>
      <c r="BVQ287" s="1069"/>
      <c r="BVR287" s="1069"/>
      <c r="BVS287" s="1069"/>
      <c r="BVT287" s="1069"/>
      <c r="BVU287" s="1069"/>
      <c r="BVV287" s="1069"/>
      <c r="BVW287" s="1069"/>
      <c r="BVX287" s="1069"/>
      <c r="BVY287" s="1069"/>
      <c r="BVZ287" s="1069"/>
      <c r="BWA287" s="1069"/>
      <c r="BWB287" s="1069"/>
      <c r="BWC287" s="1069"/>
      <c r="BWD287" s="1069"/>
      <c r="BWE287" s="1069"/>
      <c r="BWF287" s="1069"/>
      <c r="BWG287" s="1069"/>
      <c r="BWH287" s="1069"/>
      <c r="BWI287" s="1069"/>
      <c r="BWJ287" s="1069"/>
      <c r="BWK287" s="1069"/>
      <c r="BWL287" s="1069"/>
      <c r="BWM287" s="1069"/>
      <c r="BWN287" s="1069"/>
      <c r="BWO287" s="1069"/>
      <c r="BWP287" s="1069"/>
      <c r="BWQ287" s="1069"/>
      <c r="BWR287" s="1069"/>
      <c r="BWS287" s="1069"/>
      <c r="BWT287" s="1069"/>
      <c r="BWU287" s="1069"/>
      <c r="BWV287" s="1069"/>
      <c r="BWW287" s="1069"/>
      <c r="BWX287" s="1069"/>
      <c r="BWY287" s="1069"/>
      <c r="BWZ287" s="1069"/>
      <c r="BXA287" s="1069"/>
      <c r="BXB287" s="1069"/>
      <c r="BXC287" s="1069"/>
      <c r="BXD287" s="1069"/>
      <c r="BXE287" s="1069"/>
      <c r="BXF287" s="1069"/>
      <c r="BXG287" s="1069"/>
      <c r="BXH287" s="1069"/>
      <c r="BXI287" s="1069"/>
      <c r="BXJ287" s="1069"/>
      <c r="BXK287" s="1069"/>
      <c r="BXL287" s="1069"/>
      <c r="BXM287" s="1069"/>
      <c r="BXN287" s="1069"/>
      <c r="BXO287" s="1069"/>
      <c r="BXP287" s="1069"/>
      <c r="BXQ287" s="1069"/>
      <c r="BXR287" s="1069"/>
      <c r="BXS287" s="1069"/>
      <c r="BXT287" s="1069"/>
      <c r="BXU287" s="1069"/>
      <c r="BXV287" s="1069"/>
      <c r="BXW287" s="1069"/>
      <c r="BXX287" s="1069"/>
      <c r="BXY287" s="1069"/>
      <c r="BXZ287" s="1069"/>
      <c r="BYA287" s="1069"/>
      <c r="BYB287" s="1069"/>
      <c r="BYC287" s="1069"/>
      <c r="BYD287" s="1069"/>
      <c r="BYE287" s="1069"/>
      <c r="BYF287" s="1069"/>
      <c r="BYG287" s="1069"/>
      <c r="BYH287" s="1069"/>
      <c r="BYI287" s="1069"/>
      <c r="BYJ287" s="1069"/>
      <c r="BYK287" s="1069"/>
      <c r="BYL287" s="1069"/>
      <c r="BYM287" s="1069"/>
      <c r="BYN287" s="1069"/>
      <c r="BYO287" s="1069"/>
      <c r="BYP287" s="1069"/>
      <c r="BYQ287" s="1069"/>
      <c r="BYR287" s="1069"/>
      <c r="BYS287" s="1069"/>
      <c r="BYT287" s="1069"/>
      <c r="BYU287" s="1069"/>
      <c r="BYV287" s="1069"/>
      <c r="BYW287" s="1069"/>
      <c r="BYX287" s="1069"/>
      <c r="BYY287" s="1069"/>
      <c r="BYZ287" s="1069"/>
      <c r="BZA287" s="1069"/>
      <c r="BZB287" s="1069"/>
      <c r="BZC287" s="1069"/>
      <c r="BZD287" s="1069"/>
      <c r="BZE287" s="1069"/>
      <c r="BZF287" s="1069"/>
      <c r="BZG287" s="1069"/>
      <c r="BZH287" s="1069"/>
      <c r="BZI287" s="1069"/>
      <c r="BZJ287" s="1069"/>
      <c r="BZK287" s="1069"/>
      <c r="BZL287" s="1069"/>
      <c r="BZM287" s="1069"/>
      <c r="BZN287" s="1069"/>
      <c r="BZO287" s="1069"/>
      <c r="BZP287" s="1069"/>
      <c r="BZQ287" s="1069"/>
      <c r="BZR287" s="1069"/>
      <c r="BZS287" s="1069"/>
      <c r="BZT287" s="1069"/>
      <c r="BZU287" s="1069"/>
      <c r="BZV287" s="1069"/>
      <c r="BZW287" s="1069"/>
      <c r="BZX287" s="1069"/>
      <c r="BZY287" s="1069"/>
      <c r="BZZ287" s="1069"/>
      <c r="CAA287" s="1069"/>
      <c r="CAB287" s="1069"/>
      <c r="CAC287" s="1069"/>
      <c r="CAD287" s="1069"/>
      <c r="CAE287" s="1069"/>
      <c r="CAF287" s="1069"/>
      <c r="CAG287" s="1069"/>
      <c r="CAH287" s="1069"/>
      <c r="CAI287" s="1069"/>
      <c r="CAJ287" s="1069"/>
      <c r="CAK287" s="1069"/>
      <c r="CAL287" s="1069"/>
      <c r="CAM287" s="1069"/>
      <c r="CAN287" s="1069"/>
      <c r="CAO287" s="1069"/>
      <c r="CAP287" s="1069"/>
      <c r="CAQ287" s="1069"/>
      <c r="CAR287" s="1069"/>
      <c r="CAS287" s="1069"/>
      <c r="CAT287" s="1069"/>
      <c r="CAU287" s="1069"/>
      <c r="CAV287" s="1069"/>
      <c r="CAW287" s="1069"/>
      <c r="CAX287" s="1069"/>
      <c r="CAY287" s="1069"/>
      <c r="CAZ287" s="1069"/>
      <c r="CBA287" s="1069"/>
      <c r="CBB287" s="1069"/>
      <c r="CBC287" s="1069"/>
      <c r="CBD287" s="1069"/>
      <c r="CBE287" s="1069"/>
      <c r="CBF287" s="1069"/>
      <c r="CBG287" s="1069"/>
      <c r="CBH287" s="1069"/>
      <c r="CBI287" s="1069"/>
      <c r="CBJ287" s="1069"/>
      <c r="CBK287" s="1069"/>
      <c r="CBL287" s="1069"/>
      <c r="CBM287" s="1069"/>
      <c r="CBN287" s="1069"/>
      <c r="CBO287" s="1069"/>
      <c r="CBP287" s="1069"/>
      <c r="CBQ287" s="1069"/>
      <c r="CBR287" s="1069"/>
      <c r="CBS287" s="1069"/>
      <c r="CBT287" s="1069"/>
      <c r="CBU287" s="1069"/>
      <c r="CBV287" s="1069"/>
      <c r="CBW287" s="1069"/>
      <c r="CBX287" s="1069"/>
      <c r="CBY287" s="1069"/>
      <c r="CBZ287" s="1069"/>
      <c r="CCA287" s="1069"/>
      <c r="CCB287" s="1069"/>
      <c r="CCC287" s="1069"/>
      <c r="CCD287" s="1069"/>
      <c r="CCE287" s="1069"/>
      <c r="CCF287" s="1069"/>
      <c r="CCG287" s="1069"/>
      <c r="CCH287" s="1069"/>
      <c r="CCI287" s="1069"/>
      <c r="CCJ287" s="1069"/>
      <c r="CCK287" s="1069"/>
      <c r="CCL287" s="1069"/>
      <c r="CCM287" s="1069"/>
      <c r="CCN287" s="1069"/>
      <c r="CCO287" s="1069"/>
      <c r="CCP287" s="1069"/>
      <c r="CCQ287" s="1069"/>
      <c r="CCR287" s="1069"/>
      <c r="CCS287" s="1069"/>
      <c r="CCT287" s="1069"/>
      <c r="CCU287" s="1069"/>
      <c r="CCV287" s="1069"/>
      <c r="CCW287" s="1069"/>
      <c r="CCX287" s="1069"/>
      <c r="CCY287" s="1069"/>
      <c r="CCZ287" s="1069"/>
      <c r="CDA287" s="1069"/>
      <c r="CDB287" s="1069"/>
      <c r="CDC287" s="1069"/>
      <c r="CDD287" s="1069"/>
      <c r="CDE287" s="1069"/>
      <c r="CDF287" s="1069"/>
      <c r="CDG287" s="1069"/>
      <c r="CDH287" s="1069"/>
      <c r="CDI287" s="1069"/>
      <c r="CDJ287" s="1069"/>
      <c r="CDK287" s="1069"/>
      <c r="CDL287" s="1069"/>
      <c r="CDM287" s="1069"/>
      <c r="CDN287" s="1069"/>
      <c r="CDO287" s="1069"/>
      <c r="CDP287" s="1069"/>
      <c r="CDQ287" s="1069"/>
      <c r="CDR287" s="1069"/>
      <c r="CDS287" s="1069"/>
      <c r="CDT287" s="1069"/>
      <c r="CDU287" s="1069"/>
      <c r="CDV287" s="1069"/>
      <c r="CDW287" s="1069"/>
      <c r="CDX287" s="1069"/>
      <c r="CDY287" s="1069"/>
      <c r="CDZ287" s="1069"/>
      <c r="CEA287" s="1069"/>
      <c r="CEB287" s="1069"/>
      <c r="CEC287" s="1069"/>
      <c r="CED287" s="1069"/>
      <c r="CEE287" s="1069"/>
      <c r="CEF287" s="1069"/>
      <c r="CEG287" s="1069"/>
      <c r="CEH287" s="1069"/>
      <c r="CEI287" s="1069"/>
      <c r="CEJ287" s="1069"/>
      <c r="CEK287" s="1069"/>
      <c r="CEL287" s="1069"/>
      <c r="CEM287" s="1069"/>
      <c r="CEN287" s="1069"/>
      <c r="CEO287" s="1069"/>
      <c r="CEP287" s="1069"/>
      <c r="CEQ287" s="1069"/>
      <c r="CER287" s="1069"/>
      <c r="CES287" s="1069"/>
      <c r="CET287" s="1069"/>
      <c r="CEU287" s="1069"/>
      <c r="CEV287" s="1069"/>
      <c r="CEW287" s="1069"/>
      <c r="CEX287" s="1069"/>
      <c r="CEY287" s="1069"/>
      <c r="CEZ287" s="1069"/>
      <c r="CFA287" s="1069"/>
      <c r="CFB287" s="1069"/>
      <c r="CFC287" s="1069"/>
      <c r="CFD287" s="1069"/>
      <c r="CFE287" s="1069"/>
      <c r="CFF287" s="1069"/>
      <c r="CFG287" s="1069"/>
      <c r="CFH287" s="1069"/>
      <c r="CFI287" s="1069"/>
      <c r="CFJ287" s="1069"/>
      <c r="CFK287" s="1069"/>
      <c r="CFL287" s="1069"/>
      <c r="CFM287" s="1069"/>
      <c r="CFN287" s="1069"/>
      <c r="CFO287" s="1069"/>
      <c r="CFP287" s="1069"/>
      <c r="CFQ287" s="1069"/>
      <c r="CFR287" s="1069"/>
      <c r="CFS287" s="1069"/>
      <c r="CFT287" s="1069"/>
      <c r="CFU287" s="1069"/>
      <c r="CFV287" s="1069"/>
      <c r="CFW287" s="1069"/>
      <c r="CFX287" s="1069"/>
      <c r="CFY287" s="1069"/>
      <c r="CFZ287" s="1069"/>
      <c r="CGA287" s="1069"/>
      <c r="CGB287" s="1069"/>
      <c r="CGC287" s="1069"/>
      <c r="CGD287" s="1069"/>
      <c r="CGE287" s="1069"/>
      <c r="CGF287" s="1069"/>
      <c r="CGG287" s="1069"/>
      <c r="CGH287" s="1069"/>
      <c r="CGI287" s="1069"/>
      <c r="CGJ287" s="1069"/>
      <c r="CGK287" s="1069"/>
      <c r="CGL287" s="1069"/>
      <c r="CGM287" s="1069"/>
      <c r="CGN287" s="1069"/>
      <c r="CGO287" s="1069"/>
      <c r="CGP287" s="1069"/>
      <c r="CGQ287" s="1069"/>
      <c r="CGR287" s="1069"/>
      <c r="CGS287" s="1069"/>
      <c r="CGT287" s="1069"/>
      <c r="CGU287" s="1069"/>
      <c r="CGV287" s="1069"/>
      <c r="CGW287" s="1069"/>
      <c r="CGX287" s="1069"/>
      <c r="CGY287" s="1069"/>
      <c r="CGZ287" s="1069"/>
      <c r="CHA287" s="1069"/>
      <c r="CHB287" s="1069"/>
      <c r="CHC287" s="1069"/>
      <c r="CHD287" s="1069"/>
      <c r="CHE287" s="1069"/>
      <c r="CHF287" s="1069"/>
      <c r="CHG287" s="1069"/>
      <c r="CHH287" s="1069"/>
      <c r="CHI287" s="1069"/>
      <c r="CHJ287" s="1069"/>
      <c r="CHK287" s="1069"/>
      <c r="CHL287" s="1069"/>
      <c r="CHM287" s="1069"/>
      <c r="CHN287" s="1069"/>
      <c r="CHO287" s="1069"/>
      <c r="CHP287" s="1069"/>
      <c r="CHQ287" s="1069"/>
      <c r="CHR287" s="1069"/>
      <c r="CHS287" s="1069"/>
      <c r="CHT287" s="1069"/>
      <c r="CHU287" s="1069"/>
      <c r="CHV287" s="1069"/>
      <c r="CHW287" s="1069"/>
      <c r="CHX287" s="1069"/>
      <c r="CHY287" s="1069"/>
      <c r="CHZ287" s="1069"/>
      <c r="CIA287" s="1069"/>
      <c r="CIB287" s="1069"/>
      <c r="CIC287" s="1069"/>
      <c r="CID287" s="1069"/>
      <c r="CIE287" s="1069"/>
      <c r="CIF287" s="1069"/>
      <c r="CIG287" s="1069"/>
      <c r="CIH287" s="1069"/>
      <c r="CII287" s="1069"/>
      <c r="CIJ287" s="1069"/>
      <c r="CIK287" s="1069"/>
      <c r="CIL287" s="1069"/>
      <c r="CIM287" s="1069"/>
      <c r="CIN287" s="1069"/>
      <c r="CIO287" s="1069"/>
      <c r="CIP287" s="1069"/>
      <c r="CIQ287" s="1069"/>
      <c r="CIR287" s="1069"/>
      <c r="CIS287" s="1069"/>
      <c r="CIT287" s="1069"/>
      <c r="CIU287" s="1069"/>
      <c r="CIV287" s="1069"/>
      <c r="CIW287" s="1069"/>
      <c r="CIX287" s="1069"/>
      <c r="CIY287" s="1069"/>
      <c r="CIZ287" s="1069"/>
      <c r="CJA287" s="1069"/>
      <c r="CJB287" s="1069"/>
      <c r="CJC287" s="1069"/>
      <c r="CJD287" s="1069"/>
      <c r="CJE287" s="1069"/>
      <c r="CJF287" s="1069"/>
      <c r="CJG287" s="1069"/>
      <c r="CJH287" s="1069"/>
      <c r="CJI287" s="1069"/>
      <c r="CJJ287" s="1069"/>
      <c r="CJK287" s="1069"/>
      <c r="CJL287" s="1069"/>
      <c r="CJM287" s="1069"/>
      <c r="CJN287" s="1069"/>
      <c r="CJO287" s="1069"/>
      <c r="CJP287" s="1069"/>
      <c r="CJQ287" s="1069"/>
      <c r="CJR287" s="1069"/>
      <c r="CJS287" s="1069"/>
      <c r="CJT287" s="1069"/>
      <c r="CJU287" s="1069"/>
      <c r="CJV287" s="1069"/>
      <c r="CJW287" s="1069"/>
      <c r="CJX287" s="1069"/>
      <c r="CJY287" s="1069"/>
      <c r="CJZ287" s="1069"/>
      <c r="CKA287" s="1069"/>
      <c r="CKB287" s="1069"/>
      <c r="CKC287" s="1069"/>
      <c r="CKD287" s="1069"/>
      <c r="CKE287" s="1069"/>
      <c r="CKF287" s="1069"/>
      <c r="CKG287" s="1069"/>
      <c r="CKH287" s="1069"/>
      <c r="CKI287" s="1069"/>
      <c r="CKJ287" s="1069"/>
      <c r="CKK287" s="1069"/>
      <c r="CKL287" s="1069"/>
      <c r="CKM287" s="1069"/>
      <c r="CKN287" s="1069"/>
      <c r="CKO287" s="1069"/>
      <c r="CKP287" s="1069"/>
      <c r="CKQ287" s="1069"/>
      <c r="CKR287" s="1069"/>
      <c r="CKS287" s="1069"/>
      <c r="CKT287" s="1069"/>
      <c r="CKU287" s="1069"/>
      <c r="CKV287" s="1069"/>
      <c r="CKW287" s="1069"/>
      <c r="CKX287" s="1069"/>
      <c r="CKY287" s="1069"/>
      <c r="CKZ287" s="1069"/>
      <c r="CLA287" s="1069"/>
      <c r="CLB287" s="1069"/>
      <c r="CLC287" s="1069"/>
      <c r="CLD287" s="1069"/>
      <c r="CLE287" s="1069"/>
      <c r="CLF287" s="1069"/>
      <c r="CLG287" s="1069"/>
      <c r="CLH287" s="1069"/>
      <c r="CLI287" s="1069"/>
      <c r="CLJ287" s="1069"/>
      <c r="CLK287" s="1069"/>
      <c r="CLL287" s="1069"/>
      <c r="CLM287" s="1069"/>
      <c r="CLN287" s="1069"/>
      <c r="CLO287" s="1069"/>
      <c r="CLP287" s="1069"/>
      <c r="CLQ287" s="1069"/>
      <c r="CLR287" s="1069"/>
      <c r="CLS287" s="1069"/>
      <c r="CLT287" s="1069"/>
      <c r="CLU287" s="1069"/>
      <c r="CLV287" s="1069"/>
      <c r="CLW287" s="1069"/>
      <c r="CLX287" s="1069"/>
      <c r="CLY287" s="1069"/>
      <c r="CLZ287" s="1069"/>
      <c r="CMA287" s="1069"/>
      <c r="CMB287" s="1069"/>
      <c r="CMC287" s="1069"/>
      <c r="CMD287" s="1069"/>
      <c r="CME287" s="1069"/>
      <c r="CMF287" s="1069"/>
      <c r="CMG287" s="1069"/>
      <c r="CMH287" s="1069"/>
      <c r="CMI287" s="1069"/>
      <c r="CMJ287" s="1069"/>
      <c r="CMK287" s="1069"/>
      <c r="CML287" s="1069"/>
      <c r="CMM287" s="1069"/>
      <c r="CMN287" s="1069"/>
      <c r="CMO287" s="1069"/>
      <c r="CMP287" s="1069"/>
      <c r="CMQ287" s="1069"/>
      <c r="CMR287" s="1069"/>
      <c r="CMS287" s="1069"/>
      <c r="CMT287" s="1069"/>
      <c r="CMU287" s="1069"/>
      <c r="CMV287" s="1069"/>
      <c r="CMW287" s="1069"/>
      <c r="CMX287" s="1069"/>
      <c r="CMY287" s="1069"/>
      <c r="CMZ287" s="1069"/>
      <c r="CNA287" s="1069"/>
      <c r="CNB287" s="1069"/>
      <c r="CNC287" s="1069"/>
      <c r="CND287" s="1069"/>
      <c r="CNE287" s="1069"/>
      <c r="CNF287" s="1069"/>
      <c r="CNG287" s="1069"/>
      <c r="CNH287" s="1069"/>
      <c r="CNI287" s="1069"/>
      <c r="CNJ287" s="1069"/>
      <c r="CNK287" s="1069"/>
      <c r="CNL287" s="1069"/>
      <c r="CNM287" s="1069"/>
      <c r="CNN287" s="1069"/>
      <c r="CNO287" s="1069"/>
      <c r="CNP287" s="1069"/>
      <c r="CNQ287" s="1069"/>
      <c r="CNR287" s="1069"/>
      <c r="CNS287" s="1069"/>
      <c r="CNT287" s="1069"/>
      <c r="CNU287" s="1069"/>
      <c r="CNV287" s="1069"/>
      <c r="CNW287" s="1069"/>
      <c r="CNX287" s="1069"/>
      <c r="CNY287" s="1069"/>
      <c r="CNZ287" s="1069"/>
      <c r="COA287" s="1069"/>
      <c r="COB287" s="1069"/>
      <c r="COC287" s="1069"/>
      <c r="COD287" s="1069"/>
      <c r="COE287" s="1069"/>
      <c r="COF287" s="1069"/>
      <c r="COG287" s="1069"/>
      <c r="COH287" s="1069"/>
      <c r="COI287" s="1069"/>
      <c r="COJ287" s="1069"/>
      <c r="COK287" s="1069"/>
      <c r="COL287" s="1069"/>
      <c r="COM287" s="1069"/>
      <c r="CON287" s="1069"/>
      <c r="COO287" s="1069"/>
      <c r="COP287" s="1069"/>
      <c r="COQ287" s="1069"/>
      <c r="COR287" s="1069"/>
      <c r="COS287" s="1069"/>
      <c r="COT287" s="1069"/>
      <c r="COU287" s="1069"/>
      <c r="COV287" s="1069"/>
      <c r="COW287" s="1069"/>
      <c r="COX287" s="1069"/>
      <c r="COY287" s="1069"/>
      <c r="COZ287" s="1069"/>
      <c r="CPA287" s="1069"/>
      <c r="CPB287" s="1069"/>
      <c r="CPC287" s="1069"/>
      <c r="CPD287" s="1069"/>
      <c r="CPE287" s="1069"/>
      <c r="CPF287" s="1069"/>
      <c r="CPG287" s="1069"/>
      <c r="CPH287" s="1069"/>
      <c r="CPI287" s="1069"/>
      <c r="CPJ287" s="1069"/>
      <c r="CPK287" s="1069"/>
      <c r="CPL287" s="1069"/>
      <c r="CPM287" s="1069"/>
      <c r="CPN287" s="1069"/>
      <c r="CPO287" s="1069"/>
      <c r="CPP287" s="1069"/>
      <c r="CPQ287" s="1069"/>
      <c r="CPR287" s="1069"/>
      <c r="CPS287" s="1069"/>
      <c r="CPT287" s="1069"/>
      <c r="CPU287" s="1069"/>
      <c r="CPV287" s="1069"/>
      <c r="CPW287" s="1069"/>
      <c r="CPX287" s="1069"/>
      <c r="CPY287" s="1069"/>
      <c r="CPZ287" s="1069"/>
      <c r="CQA287" s="1069"/>
      <c r="CQB287" s="1069"/>
      <c r="CQC287" s="1069"/>
      <c r="CQD287" s="1069"/>
      <c r="CQE287" s="1069"/>
      <c r="CQF287" s="1069"/>
      <c r="CQG287" s="1069"/>
      <c r="CQH287" s="1069"/>
      <c r="CQI287" s="1069"/>
      <c r="CQJ287" s="1069"/>
      <c r="CQK287" s="1069"/>
      <c r="CQL287" s="1069"/>
      <c r="CQM287" s="1069"/>
      <c r="CQN287" s="1069"/>
      <c r="CQO287" s="1069"/>
      <c r="CQP287" s="1069"/>
      <c r="CQQ287" s="1069"/>
      <c r="CQR287" s="1069"/>
      <c r="CQS287" s="1069"/>
      <c r="CQT287" s="1069"/>
      <c r="CQU287" s="1069"/>
      <c r="CQV287" s="1069"/>
      <c r="CQW287" s="1069"/>
      <c r="CQX287" s="1069"/>
      <c r="CQY287" s="1069"/>
      <c r="CQZ287" s="1069"/>
      <c r="CRA287" s="1069"/>
      <c r="CRB287" s="1069"/>
      <c r="CRC287" s="1069"/>
      <c r="CRD287" s="1069"/>
      <c r="CRE287" s="1069"/>
      <c r="CRF287" s="1069"/>
      <c r="CRG287" s="1069"/>
      <c r="CRH287" s="1069"/>
      <c r="CRI287" s="1069"/>
      <c r="CRJ287" s="1069"/>
      <c r="CRK287" s="1069"/>
      <c r="CRL287" s="1069"/>
      <c r="CRM287" s="1069"/>
      <c r="CRN287" s="1069"/>
      <c r="CRO287" s="1069"/>
      <c r="CRP287" s="1069"/>
      <c r="CRQ287" s="1069"/>
      <c r="CRR287" s="1069"/>
      <c r="CRS287" s="1069"/>
      <c r="CRT287" s="1069"/>
      <c r="CRU287" s="1069"/>
      <c r="CRV287" s="1069"/>
      <c r="CRW287" s="1069"/>
      <c r="CRX287" s="1069"/>
      <c r="CRY287" s="1069"/>
      <c r="CRZ287" s="1069"/>
      <c r="CSA287" s="1069"/>
      <c r="CSB287" s="1069"/>
      <c r="CSC287" s="1069"/>
      <c r="CSD287" s="1069"/>
      <c r="CSE287" s="1069"/>
      <c r="CSF287" s="1069"/>
      <c r="CSG287" s="1069"/>
      <c r="CSH287" s="1069"/>
      <c r="CSI287" s="1069"/>
      <c r="CSJ287" s="1069"/>
      <c r="CSK287" s="1069"/>
      <c r="CSL287" s="1069"/>
      <c r="CSM287" s="1069"/>
      <c r="CSN287" s="1069"/>
      <c r="CSO287" s="1069"/>
      <c r="CSP287" s="1069"/>
      <c r="CSQ287" s="1069"/>
      <c r="CSR287" s="1069"/>
      <c r="CSS287" s="1069"/>
      <c r="CST287" s="1069"/>
      <c r="CSU287" s="1069"/>
      <c r="CSV287" s="1069"/>
      <c r="CSW287" s="1069"/>
      <c r="CSX287" s="1069"/>
      <c r="CSY287" s="1069"/>
      <c r="CSZ287" s="1069"/>
      <c r="CTA287" s="1069"/>
      <c r="CTB287" s="1069"/>
      <c r="CTC287" s="1069"/>
      <c r="CTD287" s="1069"/>
      <c r="CTE287" s="1069"/>
      <c r="CTF287" s="1069"/>
      <c r="CTG287" s="1069"/>
      <c r="CTH287" s="1069"/>
      <c r="CTI287" s="1069"/>
      <c r="CTJ287" s="1069"/>
      <c r="CTK287" s="1069"/>
      <c r="CTL287" s="1069"/>
      <c r="CTM287" s="1069"/>
      <c r="CTN287" s="1069"/>
      <c r="CTO287" s="1069"/>
      <c r="CTP287" s="1069"/>
      <c r="CTQ287" s="1069"/>
      <c r="CTR287" s="1069"/>
      <c r="CTS287" s="1069"/>
      <c r="CTT287" s="1069"/>
      <c r="CTU287" s="1069"/>
      <c r="CTV287" s="1069"/>
      <c r="CTW287" s="1069"/>
      <c r="CTX287" s="1069"/>
      <c r="CTY287" s="1069"/>
      <c r="CTZ287" s="1069"/>
      <c r="CUA287" s="1069"/>
      <c r="CUB287" s="1069"/>
      <c r="CUC287" s="1069"/>
      <c r="CUD287" s="1069"/>
      <c r="CUE287" s="1069"/>
      <c r="CUF287" s="1069"/>
      <c r="CUG287" s="1069"/>
      <c r="CUH287" s="1069"/>
      <c r="CUI287" s="1069"/>
      <c r="CUJ287" s="1069"/>
      <c r="CUK287" s="1069"/>
      <c r="CUL287" s="1069"/>
      <c r="CUM287" s="1069"/>
      <c r="CUN287" s="1069"/>
      <c r="CUO287" s="1069"/>
      <c r="CUP287" s="1069"/>
      <c r="CUQ287" s="1069"/>
      <c r="CUR287" s="1069"/>
      <c r="CUS287" s="1069"/>
      <c r="CUT287" s="1069"/>
      <c r="CUU287" s="1069"/>
      <c r="CUV287" s="1069"/>
      <c r="CUW287" s="1069"/>
      <c r="CUX287" s="1069"/>
      <c r="CUY287" s="1069"/>
      <c r="CUZ287" s="1069"/>
      <c r="CVA287" s="1069"/>
      <c r="CVB287" s="1069"/>
      <c r="CVC287" s="1069"/>
      <c r="CVD287" s="1069"/>
      <c r="CVE287" s="1069"/>
      <c r="CVF287" s="1069"/>
      <c r="CVG287" s="1069"/>
      <c r="CVH287" s="1069"/>
      <c r="CVI287" s="1069"/>
      <c r="CVJ287" s="1069"/>
      <c r="CVK287" s="1069"/>
      <c r="CVL287" s="1069"/>
      <c r="CVM287" s="1069"/>
      <c r="CVN287" s="1069"/>
      <c r="CVO287" s="1069"/>
      <c r="CVP287" s="1069"/>
      <c r="CVQ287" s="1069"/>
      <c r="CVR287" s="1069"/>
      <c r="CVS287" s="1069"/>
      <c r="CVT287" s="1069"/>
      <c r="CVU287" s="1069"/>
      <c r="CVV287" s="1069"/>
      <c r="CVW287" s="1069"/>
      <c r="CVX287" s="1069"/>
      <c r="CVY287" s="1069"/>
      <c r="CVZ287" s="1069"/>
      <c r="CWA287" s="1069"/>
      <c r="CWB287" s="1069"/>
      <c r="CWC287" s="1069"/>
      <c r="CWD287" s="1069"/>
      <c r="CWE287" s="1069"/>
      <c r="CWF287" s="1069"/>
      <c r="CWG287" s="1069"/>
      <c r="CWH287" s="1069"/>
      <c r="CWI287" s="1069"/>
      <c r="CWJ287" s="1069"/>
      <c r="CWK287" s="1069"/>
      <c r="CWL287" s="1069"/>
      <c r="CWM287" s="1069"/>
      <c r="CWN287" s="1069"/>
      <c r="CWO287" s="1069"/>
      <c r="CWP287" s="1069"/>
      <c r="CWQ287" s="1069"/>
      <c r="CWR287" s="1069"/>
      <c r="CWS287" s="1069"/>
      <c r="CWT287" s="1069"/>
      <c r="CWU287" s="1069"/>
      <c r="CWV287" s="1069"/>
      <c r="CWW287" s="1069"/>
      <c r="CWX287" s="1069"/>
      <c r="CWY287" s="1069"/>
      <c r="CWZ287" s="1069"/>
      <c r="CXA287" s="1069"/>
      <c r="CXB287" s="1069"/>
      <c r="CXC287" s="1069"/>
      <c r="CXD287" s="1069"/>
      <c r="CXE287" s="1069"/>
      <c r="CXF287" s="1069"/>
      <c r="CXG287" s="1069"/>
      <c r="CXH287" s="1069"/>
      <c r="CXI287" s="1069"/>
      <c r="CXJ287" s="1069"/>
      <c r="CXK287" s="1069"/>
      <c r="CXL287" s="1069"/>
      <c r="CXM287" s="1069"/>
      <c r="CXN287" s="1069"/>
      <c r="CXO287" s="1069"/>
      <c r="CXP287" s="1069"/>
      <c r="CXQ287" s="1069"/>
      <c r="CXR287" s="1069"/>
      <c r="CXS287" s="1069"/>
      <c r="CXT287" s="1069"/>
      <c r="CXU287" s="1069"/>
      <c r="CXV287" s="1069"/>
      <c r="CXW287" s="1069"/>
      <c r="CXX287" s="1069"/>
      <c r="CXY287" s="1069"/>
      <c r="CXZ287" s="1069"/>
      <c r="CYA287" s="1069"/>
      <c r="CYB287" s="1069"/>
      <c r="CYC287" s="1069"/>
      <c r="CYD287" s="1069"/>
      <c r="CYE287" s="1069"/>
      <c r="CYF287" s="1069"/>
      <c r="CYG287" s="1069"/>
      <c r="CYH287" s="1069"/>
      <c r="CYI287" s="1069"/>
      <c r="CYJ287" s="1069"/>
      <c r="CYK287" s="1069"/>
      <c r="CYL287" s="1069"/>
      <c r="CYM287" s="1069"/>
      <c r="CYN287" s="1069"/>
      <c r="CYO287" s="1069"/>
      <c r="CYP287" s="1069"/>
      <c r="CYQ287" s="1069"/>
      <c r="CYR287" s="1069"/>
      <c r="CYS287" s="1069"/>
      <c r="CYT287" s="1069"/>
      <c r="CYU287" s="1069"/>
      <c r="CYV287" s="1069"/>
      <c r="CYW287" s="1069"/>
      <c r="CYX287" s="1069"/>
      <c r="CYY287" s="1069"/>
      <c r="CYZ287" s="1069"/>
      <c r="CZA287" s="1069"/>
      <c r="CZB287" s="1069"/>
      <c r="CZC287" s="1069"/>
      <c r="CZD287" s="1069"/>
      <c r="CZE287" s="1069"/>
      <c r="CZF287" s="1069"/>
      <c r="CZG287" s="1069"/>
      <c r="CZH287" s="1069"/>
      <c r="CZI287" s="1069"/>
      <c r="CZJ287" s="1069"/>
      <c r="CZK287" s="1069"/>
      <c r="CZL287" s="1069"/>
      <c r="CZM287" s="1069"/>
      <c r="CZN287" s="1069"/>
      <c r="CZO287" s="1069"/>
      <c r="CZP287" s="1069"/>
      <c r="CZQ287" s="1069"/>
      <c r="CZR287" s="1069"/>
      <c r="CZS287" s="1069"/>
      <c r="CZT287" s="1069"/>
      <c r="CZU287" s="1069"/>
      <c r="CZV287" s="1069"/>
      <c r="CZW287" s="1069"/>
      <c r="CZX287" s="1069"/>
      <c r="CZY287" s="1069"/>
      <c r="CZZ287" s="1069"/>
      <c r="DAA287" s="1069"/>
      <c r="DAB287" s="1069"/>
      <c r="DAC287" s="1069"/>
      <c r="DAD287" s="1069"/>
      <c r="DAE287" s="1069"/>
      <c r="DAF287" s="1069"/>
      <c r="DAG287" s="1069"/>
      <c r="DAH287" s="1069"/>
      <c r="DAI287" s="1069"/>
      <c r="DAJ287" s="1069"/>
      <c r="DAK287" s="1069"/>
      <c r="DAL287" s="1069"/>
      <c r="DAM287" s="1069"/>
      <c r="DAN287" s="1069"/>
      <c r="DAO287" s="1069"/>
      <c r="DAP287" s="1069"/>
      <c r="DAQ287" s="1069"/>
      <c r="DAR287" s="1069"/>
      <c r="DAS287" s="1069"/>
      <c r="DAT287" s="1069"/>
      <c r="DAU287" s="1069"/>
      <c r="DAV287" s="1069"/>
      <c r="DAW287" s="1069"/>
      <c r="DAX287" s="1069"/>
      <c r="DAY287" s="1069"/>
      <c r="DAZ287" s="1069"/>
      <c r="DBA287" s="1069"/>
      <c r="DBB287" s="1069"/>
      <c r="DBC287" s="1069"/>
      <c r="DBD287" s="1069"/>
      <c r="DBE287" s="1069"/>
      <c r="DBF287" s="1069"/>
      <c r="DBG287" s="1069"/>
      <c r="DBH287" s="1069"/>
      <c r="DBI287" s="1069"/>
      <c r="DBJ287" s="1069"/>
      <c r="DBK287" s="1069"/>
      <c r="DBL287" s="1069"/>
      <c r="DBM287" s="1069"/>
      <c r="DBN287" s="1069"/>
      <c r="DBO287" s="1069"/>
      <c r="DBP287" s="1069"/>
      <c r="DBQ287" s="1069"/>
      <c r="DBR287" s="1069"/>
      <c r="DBS287" s="1069"/>
      <c r="DBT287" s="1069"/>
      <c r="DBU287" s="1069"/>
      <c r="DBV287" s="1069"/>
      <c r="DBW287" s="1069"/>
      <c r="DBX287" s="1069"/>
      <c r="DBY287" s="1069"/>
      <c r="DBZ287" s="1069"/>
      <c r="DCA287" s="1069"/>
      <c r="DCB287" s="1069"/>
      <c r="DCC287" s="1069"/>
      <c r="DCD287" s="1069"/>
      <c r="DCE287" s="1069"/>
      <c r="DCF287" s="1069"/>
      <c r="DCG287" s="1069"/>
      <c r="DCH287" s="1069"/>
      <c r="DCI287" s="1069"/>
      <c r="DCJ287" s="1069"/>
      <c r="DCK287" s="1069"/>
      <c r="DCL287" s="1069"/>
      <c r="DCM287" s="1069"/>
      <c r="DCN287" s="1069"/>
      <c r="DCO287" s="1069"/>
      <c r="DCP287" s="1069"/>
      <c r="DCQ287" s="1069"/>
      <c r="DCR287" s="1069"/>
      <c r="DCS287" s="1069"/>
      <c r="DCT287" s="1069"/>
      <c r="DCU287" s="1069"/>
      <c r="DCV287" s="1069"/>
      <c r="DCW287" s="1069"/>
      <c r="DCX287" s="1069"/>
      <c r="DCY287" s="1069"/>
      <c r="DCZ287" s="1069"/>
      <c r="DDA287" s="1069"/>
      <c r="DDB287" s="1069"/>
      <c r="DDC287" s="1069"/>
      <c r="DDD287" s="1069"/>
      <c r="DDE287" s="1069"/>
      <c r="DDF287" s="1069"/>
      <c r="DDG287" s="1069"/>
      <c r="DDH287" s="1069"/>
      <c r="DDI287" s="1069"/>
      <c r="DDJ287" s="1069"/>
      <c r="DDK287" s="1069"/>
      <c r="DDL287" s="1069"/>
      <c r="DDM287" s="1069"/>
      <c r="DDN287" s="1069"/>
      <c r="DDO287" s="1069"/>
      <c r="DDP287" s="1069"/>
      <c r="DDQ287" s="1069"/>
      <c r="DDR287" s="1069"/>
      <c r="DDS287" s="1069"/>
      <c r="DDT287" s="1069"/>
      <c r="DDU287" s="1069"/>
      <c r="DDV287" s="1069"/>
      <c r="DDW287" s="1069"/>
      <c r="DDX287" s="1069"/>
      <c r="DDY287" s="1069"/>
      <c r="DDZ287" s="1069"/>
      <c r="DEA287" s="1069"/>
      <c r="DEB287" s="1069"/>
      <c r="DEC287" s="1069"/>
      <c r="DED287" s="1069"/>
      <c r="DEE287" s="1069"/>
      <c r="DEF287" s="1069"/>
      <c r="DEG287" s="1069"/>
      <c r="DEH287" s="1069"/>
      <c r="DEI287" s="1069"/>
      <c r="DEJ287" s="1069"/>
      <c r="DEK287" s="1069"/>
      <c r="DEL287" s="1069"/>
      <c r="DEM287" s="1069"/>
      <c r="DEN287" s="1069"/>
      <c r="DEO287" s="1069"/>
      <c r="DEP287" s="1069"/>
      <c r="DEQ287" s="1069"/>
      <c r="DER287" s="1069"/>
      <c r="DES287" s="1069"/>
      <c r="DET287" s="1069"/>
      <c r="DEU287" s="1069"/>
      <c r="DEV287" s="1069"/>
      <c r="DEW287" s="1069"/>
      <c r="DEX287" s="1069"/>
      <c r="DEY287" s="1069"/>
      <c r="DEZ287" s="1069"/>
      <c r="DFA287" s="1069"/>
      <c r="DFB287" s="1069"/>
      <c r="DFC287" s="1069"/>
      <c r="DFD287" s="1069"/>
      <c r="DFE287" s="1069"/>
      <c r="DFF287" s="1069"/>
      <c r="DFG287" s="1069"/>
      <c r="DFH287" s="1069"/>
      <c r="DFI287" s="1069"/>
      <c r="DFJ287" s="1069"/>
      <c r="DFK287" s="1069"/>
      <c r="DFL287" s="1069"/>
      <c r="DFM287" s="1069"/>
      <c r="DFN287" s="1069"/>
      <c r="DFO287" s="1069"/>
      <c r="DFP287" s="1069"/>
      <c r="DFQ287" s="1069"/>
      <c r="DFR287" s="1069"/>
      <c r="DFS287" s="1069"/>
      <c r="DFT287" s="1069"/>
      <c r="DFU287" s="1069"/>
      <c r="DFV287" s="1069"/>
      <c r="DFW287" s="1069"/>
      <c r="DFX287" s="1069"/>
      <c r="DFY287" s="1069"/>
      <c r="DFZ287" s="1069"/>
      <c r="DGA287" s="1069"/>
      <c r="DGB287" s="1069"/>
      <c r="DGC287" s="1069"/>
      <c r="DGD287" s="1069"/>
      <c r="DGE287" s="1069"/>
      <c r="DGF287" s="1069"/>
      <c r="DGG287" s="1069"/>
      <c r="DGH287" s="1069"/>
      <c r="DGI287" s="1069"/>
      <c r="DGJ287" s="1069"/>
      <c r="DGK287" s="1069"/>
      <c r="DGL287" s="1069"/>
      <c r="DGM287" s="1069"/>
      <c r="DGN287" s="1069"/>
      <c r="DGO287" s="1069"/>
      <c r="DGP287" s="1069"/>
      <c r="DGQ287" s="1069"/>
      <c r="DGR287" s="1069"/>
      <c r="DGS287" s="1069"/>
      <c r="DGT287" s="1069"/>
      <c r="DGU287" s="1069"/>
      <c r="DGV287" s="1069"/>
      <c r="DGW287" s="1069"/>
      <c r="DGX287" s="1069"/>
      <c r="DGY287" s="1069"/>
      <c r="DGZ287" s="1069"/>
      <c r="DHA287" s="1069"/>
      <c r="DHB287" s="1069"/>
      <c r="DHC287" s="1069"/>
      <c r="DHD287" s="1069"/>
      <c r="DHE287" s="1069"/>
      <c r="DHF287" s="1069"/>
      <c r="DHG287" s="1069"/>
      <c r="DHH287" s="1069"/>
      <c r="DHI287" s="1069"/>
      <c r="DHJ287" s="1069"/>
      <c r="DHK287" s="1069"/>
      <c r="DHL287" s="1069"/>
      <c r="DHM287" s="1069"/>
      <c r="DHN287" s="1069"/>
      <c r="DHO287" s="1069"/>
      <c r="DHP287" s="1069"/>
      <c r="DHQ287" s="1069"/>
      <c r="DHR287" s="1069"/>
      <c r="DHS287" s="1069"/>
      <c r="DHT287" s="1069"/>
      <c r="DHU287" s="1069"/>
      <c r="DHV287" s="1069"/>
      <c r="DHW287" s="1069"/>
      <c r="DHX287" s="1069"/>
      <c r="DHY287" s="1069"/>
      <c r="DHZ287" s="1069"/>
      <c r="DIA287" s="1069"/>
      <c r="DIB287" s="1069"/>
      <c r="DIC287" s="1069"/>
      <c r="DID287" s="1069"/>
      <c r="DIE287" s="1069"/>
      <c r="DIF287" s="1069"/>
      <c r="DIG287" s="1069"/>
      <c r="DIH287" s="1069"/>
      <c r="DII287" s="1069"/>
      <c r="DIJ287" s="1069"/>
      <c r="DIK287" s="1069"/>
      <c r="DIL287" s="1069"/>
      <c r="DIM287" s="1069"/>
      <c r="DIN287" s="1069"/>
      <c r="DIO287" s="1069"/>
      <c r="DIP287" s="1069"/>
      <c r="DIQ287" s="1069"/>
      <c r="DIR287" s="1069"/>
      <c r="DIS287" s="1069"/>
      <c r="DIT287" s="1069"/>
      <c r="DIU287" s="1069"/>
      <c r="DIV287" s="1069"/>
      <c r="DIW287" s="1069"/>
      <c r="DIX287" s="1069"/>
      <c r="DIY287" s="1069"/>
      <c r="DIZ287" s="1069"/>
      <c r="DJA287" s="1069"/>
      <c r="DJB287" s="1069"/>
      <c r="DJC287" s="1069"/>
      <c r="DJD287" s="1069"/>
      <c r="DJE287" s="1069"/>
      <c r="DJF287" s="1069"/>
      <c r="DJG287" s="1069"/>
      <c r="DJH287" s="1069"/>
      <c r="DJI287" s="1069"/>
      <c r="DJJ287" s="1069"/>
      <c r="DJK287" s="1069"/>
      <c r="DJL287" s="1069"/>
      <c r="DJM287" s="1069"/>
      <c r="DJN287" s="1069"/>
      <c r="DJO287" s="1069"/>
      <c r="DJP287" s="1069"/>
      <c r="DJQ287" s="1069"/>
      <c r="DJR287" s="1069"/>
      <c r="DJS287" s="1069"/>
      <c r="DJT287" s="1069"/>
      <c r="DJU287" s="1069"/>
      <c r="DJV287" s="1069"/>
      <c r="DJW287" s="1069"/>
      <c r="DJX287" s="1069"/>
      <c r="DJY287" s="1069"/>
      <c r="DJZ287" s="1069"/>
      <c r="DKA287" s="1069"/>
      <c r="DKB287" s="1069"/>
      <c r="DKC287" s="1069"/>
      <c r="DKD287" s="1069"/>
      <c r="DKE287" s="1069"/>
      <c r="DKF287" s="1069"/>
      <c r="DKG287" s="1069"/>
      <c r="DKH287" s="1069"/>
      <c r="DKI287" s="1069"/>
      <c r="DKJ287" s="1069"/>
      <c r="DKK287" s="1069"/>
      <c r="DKL287" s="1069"/>
      <c r="DKM287" s="1069"/>
      <c r="DKN287" s="1069"/>
      <c r="DKO287" s="1069"/>
      <c r="DKP287" s="1069"/>
      <c r="DKQ287" s="1069"/>
      <c r="DKR287" s="1069"/>
      <c r="DKS287" s="1069"/>
      <c r="DKT287" s="1069"/>
      <c r="DKU287" s="1069"/>
      <c r="DKV287" s="1069"/>
      <c r="DKW287" s="1069"/>
      <c r="DKX287" s="1069"/>
      <c r="DKY287" s="1069"/>
      <c r="DKZ287" s="1069"/>
      <c r="DLA287" s="1069"/>
      <c r="DLB287" s="1069"/>
      <c r="DLC287" s="1069"/>
      <c r="DLD287" s="1069"/>
      <c r="DLE287" s="1069"/>
      <c r="DLF287" s="1069"/>
      <c r="DLG287" s="1069"/>
      <c r="DLH287" s="1069"/>
      <c r="DLI287" s="1069"/>
      <c r="DLJ287" s="1069"/>
      <c r="DLK287" s="1069"/>
      <c r="DLL287" s="1069"/>
      <c r="DLM287" s="1069"/>
      <c r="DLN287" s="1069"/>
      <c r="DLO287" s="1069"/>
      <c r="DLP287" s="1069"/>
      <c r="DLQ287" s="1069"/>
      <c r="DLR287" s="1069"/>
      <c r="DLS287" s="1069"/>
      <c r="DLT287" s="1069"/>
      <c r="DLU287" s="1069"/>
      <c r="DLV287" s="1069"/>
      <c r="DLW287" s="1069"/>
      <c r="DLX287" s="1069"/>
      <c r="DLY287" s="1069"/>
      <c r="DLZ287" s="1069"/>
      <c r="DMA287" s="1069"/>
      <c r="DMB287" s="1069"/>
      <c r="DMC287" s="1069"/>
      <c r="DMD287" s="1069"/>
      <c r="DME287" s="1069"/>
      <c r="DMF287" s="1069"/>
      <c r="DMG287" s="1069"/>
      <c r="DMH287" s="1069"/>
      <c r="DMI287" s="1069"/>
      <c r="DMJ287" s="1069"/>
      <c r="DMK287" s="1069"/>
      <c r="DML287" s="1069"/>
      <c r="DMM287" s="1069"/>
      <c r="DMN287" s="1069"/>
      <c r="DMO287" s="1069"/>
      <c r="DMP287" s="1069"/>
      <c r="DMQ287" s="1069"/>
      <c r="DMR287" s="1069"/>
      <c r="DMS287" s="1069"/>
      <c r="DMT287" s="1069"/>
      <c r="DMU287" s="1069"/>
      <c r="DMV287" s="1069"/>
      <c r="DMW287" s="1069"/>
      <c r="DMX287" s="1069"/>
      <c r="DMY287" s="1069"/>
      <c r="DMZ287" s="1069"/>
      <c r="DNA287" s="1069"/>
      <c r="DNB287" s="1069"/>
      <c r="DNC287" s="1069"/>
      <c r="DND287" s="1069"/>
      <c r="DNE287" s="1069"/>
      <c r="DNF287" s="1069"/>
      <c r="DNG287" s="1069"/>
      <c r="DNH287" s="1069"/>
      <c r="DNI287" s="1069"/>
      <c r="DNJ287" s="1069"/>
      <c r="DNK287" s="1069"/>
      <c r="DNL287" s="1069"/>
      <c r="DNM287" s="1069"/>
      <c r="DNN287" s="1069"/>
      <c r="DNO287" s="1069"/>
      <c r="DNP287" s="1069"/>
      <c r="DNQ287" s="1069"/>
      <c r="DNR287" s="1069"/>
      <c r="DNS287" s="1069"/>
      <c r="DNT287" s="1069"/>
      <c r="DNU287" s="1069"/>
      <c r="DNV287" s="1069"/>
      <c r="DNW287" s="1069"/>
      <c r="DNX287" s="1069"/>
      <c r="DNY287" s="1069"/>
      <c r="DNZ287" s="1069"/>
      <c r="DOA287" s="1069"/>
      <c r="DOB287" s="1069"/>
      <c r="DOC287" s="1069"/>
      <c r="DOD287" s="1069"/>
      <c r="DOE287" s="1069"/>
      <c r="DOF287" s="1069"/>
      <c r="DOG287" s="1069"/>
      <c r="DOH287" s="1069"/>
      <c r="DOI287" s="1069"/>
      <c r="DOJ287" s="1069"/>
      <c r="DOK287" s="1069"/>
      <c r="DOL287" s="1069"/>
      <c r="DOM287" s="1069"/>
      <c r="DON287" s="1069"/>
      <c r="DOO287" s="1069"/>
      <c r="DOP287" s="1069"/>
      <c r="DOQ287" s="1069"/>
      <c r="DOR287" s="1069"/>
      <c r="DOS287" s="1069"/>
      <c r="DOT287" s="1069"/>
      <c r="DOU287" s="1069"/>
      <c r="DOV287" s="1069"/>
      <c r="DOW287" s="1069"/>
      <c r="DOX287" s="1069"/>
      <c r="DOY287" s="1069"/>
      <c r="DOZ287" s="1069"/>
      <c r="DPA287" s="1069"/>
      <c r="DPB287" s="1069"/>
      <c r="DPC287" s="1069"/>
      <c r="DPD287" s="1069"/>
      <c r="DPE287" s="1069"/>
      <c r="DPF287" s="1069"/>
      <c r="DPG287" s="1069"/>
      <c r="DPH287" s="1069"/>
      <c r="DPI287" s="1069"/>
      <c r="DPJ287" s="1069"/>
      <c r="DPK287" s="1069"/>
      <c r="DPL287" s="1069"/>
      <c r="DPM287" s="1069"/>
      <c r="DPN287" s="1069"/>
      <c r="DPO287" s="1069"/>
      <c r="DPP287" s="1069"/>
      <c r="DPQ287" s="1069"/>
      <c r="DPR287" s="1069"/>
      <c r="DPS287" s="1069"/>
      <c r="DPT287" s="1069"/>
      <c r="DPU287" s="1069"/>
      <c r="DPV287" s="1069"/>
      <c r="DPW287" s="1069"/>
      <c r="DPX287" s="1069"/>
      <c r="DPY287" s="1069"/>
      <c r="DPZ287" s="1069"/>
      <c r="DQA287" s="1069"/>
      <c r="DQB287" s="1069"/>
      <c r="DQC287" s="1069"/>
      <c r="DQD287" s="1069"/>
      <c r="DQE287" s="1069"/>
      <c r="DQF287" s="1069"/>
      <c r="DQG287" s="1069"/>
      <c r="DQH287" s="1069"/>
      <c r="DQI287" s="1069"/>
      <c r="DQJ287" s="1069"/>
      <c r="DQK287" s="1069"/>
      <c r="DQL287" s="1069"/>
      <c r="DQM287" s="1069"/>
      <c r="DQN287" s="1069"/>
      <c r="DQO287" s="1069"/>
      <c r="DQP287" s="1069"/>
      <c r="DQQ287" s="1069"/>
      <c r="DQR287" s="1069"/>
      <c r="DQS287" s="1069"/>
      <c r="DQT287" s="1069"/>
      <c r="DQU287" s="1069"/>
      <c r="DQV287" s="1069"/>
      <c r="DQW287" s="1069"/>
      <c r="DQX287" s="1069"/>
      <c r="DQY287" s="1069"/>
      <c r="DQZ287" s="1069"/>
      <c r="DRA287" s="1069"/>
      <c r="DRB287" s="1069"/>
      <c r="DRC287" s="1069"/>
      <c r="DRD287" s="1069"/>
      <c r="DRE287" s="1069"/>
      <c r="DRF287" s="1069"/>
      <c r="DRG287" s="1069"/>
      <c r="DRH287" s="1069"/>
      <c r="DRI287" s="1069"/>
      <c r="DRJ287" s="1069"/>
      <c r="DRK287" s="1069"/>
      <c r="DRL287" s="1069"/>
      <c r="DRM287" s="1069"/>
      <c r="DRN287" s="1069"/>
      <c r="DRO287" s="1069"/>
      <c r="DRP287" s="1069"/>
      <c r="DRQ287" s="1069"/>
      <c r="DRR287" s="1069"/>
      <c r="DRS287" s="1069"/>
      <c r="DRT287" s="1069"/>
      <c r="DRU287" s="1069"/>
      <c r="DRV287" s="1069"/>
      <c r="DRW287" s="1069"/>
      <c r="DRX287" s="1069"/>
      <c r="DRY287" s="1069"/>
      <c r="DRZ287" s="1069"/>
      <c r="DSA287" s="1069"/>
      <c r="DSB287" s="1069"/>
      <c r="DSC287" s="1069"/>
      <c r="DSD287" s="1069"/>
      <c r="DSE287" s="1069"/>
      <c r="DSF287" s="1069"/>
      <c r="DSG287" s="1069"/>
      <c r="DSH287" s="1069"/>
      <c r="DSI287" s="1069"/>
      <c r="DSJ287" s="1069"/>
      <c r="DSK287" s="1069"/>
      <c r="DSL287" s="1069"/>
      <c r="DSM287" s="1069"/>
      <c r="DSN287" s="1069"/>
      <c r="DSO287" s="1069"/>
      <c r="DSP287" s="1069"/>
      <c r="DSQ287" s="1069"/>
      <c r="DSR287" s="1069"/>
      <c r="DSS287" s="1069"/>
      <c r="DST287" s="1069"/>
      <c r="DSU287" s="1069"/>
      <c r="DSV287" s="1069"/>
      <c r="DSW287" s="1069"/>
      <c r="DSX287" s="1069"/>
      <c r="DSY287" s="1069"/>
      <c r="DSZ287" s="1069"/>
      <c r="DTA287" s="1069"/>
      <c r="DTB287" s="1069"/>
      <c r="DTC287" s="1069"/>
      <c r="DTD287" s="1069"/>
      <c r="DTE287" s="1069"/>
      <c r="DTF287" s="1069"/>
      <c r="DTG287" s="1069"/>
      <c r="DTH287" s="1069"/>
      <c r="DTI287" s="1069"/>
      <c r="DTJ287" s="1069"/>
      <c r="DTK287" s="1069"/>
      <c r="DTL287" s="1069"/>
      <c r="DTM287" s="1069"/>
      <c r="DTN287" s="1069"/>
      <c r="DTO287" s="1069"/>
      <c r="DTP287" s="1069"/>
      <c r="DTQ287" s="1069"/>
      <c r="DTR287" s="1069"/>
      <c r="DTS287" s="1069"/>
      <c r="DTT287" s="1069"/>
      <c r="DTU287" s="1069"/>
      <c r="DTV287" s="1069"/>
      <c r="DTW287" s="1069"/>
      <c r="DTX287" s="1069"/>
      <c r="DTY287" s="1069"/>
      <c r="DTZ287" s="1069"/>
      <c r="DUA287" s="1069"/>
      <c r="DUB287" s="1069"/>
      <c r="DUC287" s="1069"/>
      <c r="DUD287" s="1069"/>
      <c r="DUE287" s="1069"/>
      <c r="DUF287" s="1069"/>
      <c r="DUG287" s="1069"/>
      <c r="DUH287" s="1069"/>
      <c r="DUI287" s="1069"/>
      <c r="DUJ287" s="1069"/>
      <c r="DUK287" s="1069"/>
      <c r="DUL287" s="1069"/>
      <c r="DUM287" s="1069"/>
      <c r="DUN287" s="1069"/>
      <c r="DUO287" s="1069"/>
      <c r="DUP287" s="1069"/>
      <c r="DUQ287" s="1069"/>
      <c r="DUR287" s="1069"/>
      <c r="DUS287" s="1069"/>
      <c r="DUT287" s="1069"/>
      <c r="DUU287" s="1069"/>
      <c r="DUV287" s="1069"/>
      <c r="DUW287" s="1069"/>
      <c r="DUX287" s="1069"/>
      <c r="DUY287" s="1069"/>
      <c r="DUZ287" s="1069"/>
      <c r="DVA287" s="1069"/>
      <c r="DVB287" s="1069"/>
      <c r="DVC287" s="1069"/>
      <c r="DVD287" s="1069"/>
      <c r="DVE287" s="1069"/>
      <c r="DVF287" s="1069"/>
      <c r="DVG287" s="1069"/>
      <c r="DVH287" s="1069"/>
      <c r="DVI287" s="1069"/>
      <c r="DVJ287" s="1069"/>
      <c r="DVK287" s="1069"/>
      <c r="DVL287" s="1069"/>
      <c r="DVM287" s="1069"/>
      <c r="DVN287" s="1069"/>
      <c r="DVO287" s="1069"/>
      <c r="DVP287" s="1069"/>
      <c r="DVQ287" s="1069"/>
      <c r="DVR287" s="1069"/>
      <c r="DVS287" s="1069"/>
      <c r="DVT287" s="1069"/>
      <c r="DVU287" s="1069"/>
      <c r="DVV287" s="1069"/>
      <c r="DVW287" s="1069"/>
      <c r="DVX287" s="1069"/>
      <c r="DVY287" s="1069"/>
      <c r="DVZ287" s="1069"/>
      <c r="DWA287" s="1069"/>
      <c r="DWB287" s="1069"/>
      <c r="DWC287" s="1069"/>
      <c r="DWD287" s="1069"/>
      <c r="DWE287" s="1069"/>
      <c r="DWF287" s="1069"/>
      <c r="DWG287" s="1069"/>
      <c r="DWH287" s="1069"/>
      <c r="DWI287" s="1069"/>
      <c r="DWJ287" s="1069"/>
      <c r="DWK287" s="1069"/>
      <c r="DWL287" s="1069"/>
      <c r="DWM287" s="1069"/>
      <c r="DWN287" s="1069"/>
      <c r="DWO287" s="1069"/>
      <c r="DWP287" s="1069"/>
      <c r="DWQ287" s="1069"/>
      <c r="DWR287" s="1069"/>
      <c r="DWS287" s="1069"/>
      <c r="DWT287" s="1069"/>
      <c r="DWU287" s="1069"/>
      <c r="DWV287" s="1069"/>
      <c r="DWW287" s="1069"/>
      <c r="DWX287" s="1069"/>
      <c r="DWY287" s="1069"/>
      <c r="DWZ287" s="1069"/>
      <c r="DXA287" s="1069"/>
      <c r="DXB287" s="1069"/>
      <c r="DXC287" s="1069"/>
      <c r="DXD287" s="1069"/>
      <c r="DXE287" s="1069"/>
      <c r="DXF287" s="1069"/>
      <c r="DXG287" s="1069"/>
      <c r="DXH287" s="1069"/>
      <c r="DXI287" s="1069"/>
      <c r="DXJ287" s="1069"/>
      <c r="DXK287" s="1069"/>
      <c r="DXL287" s="1069"/>
      <c r="DXM287" s="1069"/>
      <c r="DXN287" s="1069"/>
      <c r="DXO287" s="1069"/>
      <c r="DXP287" s="1069"/>
      <c r="DXQ287" s="1069"/>
      <c r="DXR287" s="1069"/>
      <c r="DXS287" s="1069"/>
      <c r="DXT287" s="1069"/>
      <c r="DXU287" s="1069"/>
      <c r="DXV287" s="1069"/>
      <c r="DXW287" s="1069"/>
      <c r="DXX287" s="1069"/>
      <c r="DXY287" s="1069"/>
      <c r="DXZ287" s="1069"/>
      <c r="DYA287" s="1069"/>
      <c r="DYB287" s="1069"/>
      <c r="DYC287" s="1069"/>
      <c r="DYD287" s="1069"/>
      <c r="DYE287" s="1069"/>
      <c r="DYF287" s="1069"/>
      <c r="DYG287" s="1069"/>
      <c r="DYH287" s="1069"/>
      <c r="DYI287" s="1069"/>
      <c r="DYJ287" s="1069"/>
      <c r="DYK287" s="1069"/>
      <c r="DYL287" s="1069"/>
      <c r="DYM287" s="1069"/>
      <c r="DYN287" s="1069"/>
      <c r="DYO287" s="1069"/>
      <c r="DYP287" s="1069"/>
      <c r="DYQ287" s="1069"/>
      <c r="DYR287" s="1069"/>
      <c r="DYS287" s="1069"/>
      <c r="DYT287" s="1069"/>
      <c r="DYU287" s="1069"/>
      <c r="DYV287" s="1069"/>
      <c r="DYW287" s="1069"/>
      <c r="DYX287" s="1069"/>
      <c r="DYY287" s="1069"/>
      <c r="DYZ287" s="1069"/>
      <c r="DZA287" s="1069"/>
      <c r="DZB287" s="1069"/>
      <c r="DZC287" s="1069"/>
      <c r="DZD287" s="1069"/>
      <c r="DZE287" s="1069"/>
      <c r="DZF287" s="1069"/>
      <c r="DZG287" s="1069"/>
      <c r="DZH287" s="1069"/>
      <c r="DZI287" s="1069"/>
      <c r="DZJ287" s="1069"/>
      <c r="DZK287" s="1069"/>
      <c r="DZL287" s="1069"/>
      <c r="DZM287" s="1069"/>
      <c r="DZN287" s="1069"/>
      <c r="DZO287" s="1069"/>
      <c r="DZP287" s="1069"/>
      <c r="DZQ287" s="1069"/>
      <c r="DZR287" s="1069"/>
      <c r="DZS287" s="1069"/>
      <c r="DZT287" s="1069"/>
      <c r="DZU287" s="1069"/>
      <c r="DZV287" s="1069"/>
      <c r="DZW287" s="1069"/>
      <c r="DZX287" s="1069"/>
      <c r="DZY287" s="1069"/>
      <c r="DZZ287" s="1069"/>
      <c r="EAA287" s="1069"/>
      <c r="EAB287" s="1069"/>
      <c r="EAC287" s="1069"/>
      <c r="EAD287" s="1069"/>
      <c r="EAE287" s="1069"/>
      <c r="EAF287" s="1069"/>
      <c r="EAG287" s="1069"/>
      <c r="EAH287" s="1069"/>
      <c r="EAI287" s="1069"/>
      <c r="EAJ287" s="1069"/>
      <c r="EAK287" s="1069"/>
      <c r="EAL287" s="1069"/>
      <c r="EAM287" s="1069"/>
      <c r="EAN287" s="1069"/>
      <c r="EAO287" s="1069"/>
      <c r="EAP287" s="1069"/>
      <c r="EAQ287" s="1069"/>
      <c r="EAR287" s="1069"/>
      <c r="EAS287" s="1069"/>
      <c r="EAT287" s="1069"/>
      <c r="EAU287" s="1069"/>
      <c r="EAV287" s="1069"/>
      <c r="EAW287" s="1069"/>
      <c r="EAX287" s="1069"/>
      <c r="EAY287" s="1069"/>
      <c r="EAZ287" s="1069"/>
      <c r="EBA287" s="1069"/>
      <c r="EBB287" s="1069"/>
      <c r="EBC287" s="1069"/>
      <c r="EBD287" s="1069"/>
      <c r="EBE287" s="1069"/>
      <c r="EBF287" s="1069"/>
      <c r="EBG287" s="1069"/>
      <c r="EBH287" s="1069"/>
      <c r="EBI287" s="1069"/>
      <c r="EBJ287" s="1069"/>
      <c r="EBK287" s="1069"/>
      <c r="EBL287" s="1069"/>
      <c r="EBM287" s="1069"/>
      <c r="EBN287" s="1069"/>
      <c r="EBO287" s="1069"/>
      <c r="EBP287" s="1069"/>
      <c r="EBQ287" s="1069"/>
      <c r="EBR287" s="1069"/>
      <c r="EBS287" s="1069"/>
      <c r="EBT287" s="1069"/>
      <c r="EBU287" s="1069"/>
      <c r="EBV287" s="1069"/>
      <c r="EBW287" s="1069"/>
      <c r="EBX287" s="1069"/>
      <c r="EBY287" s="1069"/>
      <c r="EBZ287" s="1069"/>
      <c r="ECA287" s="1069"/>
      <c r="ECB287" s="1069"/>
      <c r="ECC287" s="1069"/>
      <c r="ECD287" s="1069"/>
      <c r="ECE287" s="1069"/>
      <c r="ECF287" s="1069"/>
      <c r="ECG287" s="1069"/>
      <c r="ECH287" s="1069"/>
      <c r="ECI287" s="1069"/>
      <c r="ECJ287" s="1069"/>
      <c r="ECK287" s="1069"/>
      <c r="ECL287" s="1069"/>
      <c r="ECM287" s="1069"/>
      <c r="ECN287" s="1069"/>
      <c r="ECO287" s="1069"/>
      <c r="ECP287" s="1069"/>
      <c r="ECQ287" s="1069"/>
      <c r="ECR287" s="1069"/>
      <c r="ECS287" s="1069"/>
      <c r="ECT287" s="1069"/>
      <c r="ECU287" s="1069"/>
      <c r="ECV287" s="1069"/>
      <c r="ECW287" s="1069"/>
      <c r="ECX287" s="1069"/>
      <c r="ECY287" s="1069"/>
      <c r="ECZ287" s="1069"/>
      <c r="EDA287" s="1069"/>
      <c r="EDB287" s="1069"/>
      <c r="EDC287" s="1069"/>
      <c r="EDD287" s="1069"/>
      <c r="EDE287" s="1069"/>
      <c r="EDF287" s="1069"/>
      <c r="EDG287" s="1069"/>
      <c r="EDH287" s="1069"/>
      <c r="EDI287" s="1069"/>
      <c r="EDJ287" s="1069"/>
      <c r="EDK287" s="1069"/>
      <c r="EDL287" s="1069"/>
      <c r="EDM287" s="1069"/>
      <c r="EDN287" s="1069"/>
      <c r="EDO287" s="1069"/>
      <c r="EDP287" s="1069"/>
      <c r="EDQ287" s="1069"/>
      <c r="EDR287" s="1069"/>
      <c r="EDS287" s="1069"/>
      <c r="EDT287" s="1069"/>
      <c r="EDU287" s="1069"/>
      <c r="EDV287" s="1069"/>
      <c r="EDW287" s="1069"/>
      <c r="EDX287" s="1069"/>
      <c r="EDY287" s="1069"/>
      <c r="EDZ287" s="1069"/>
      <c r="EEA287" s="1069"/>
      <c r="EEB287" s="1069"/>
      <c r="EEC287" s="1069"/>
      <c r="EED287" s="1069"/>
      <c r="EEE287" s="1069"/>
      <c r="EEF287" s="1069"/>
      <c r="EEG287" s="1069"/>
      <c r="EEH287" s="1069"/>
      <c r="EEI287" s="1069"/>
      <c r="EEJ287" s="1069"/>
      <c r="EEK287" s="1069"/>
      <c r="EEL287" s="1069"/>
      <c r="EEM287" s="1069"/>
      <c r="EEN287" s="1069"/>
      <c r="EEO287" s="1069"/>
      <c r="EEP287" s="1069"/>
      <c r="EEQ287" s="1069"/>
      <c r="EER287" s="1069"/>
      <c r="EES287" s="1069"/>
      <c r="EET287" s="1069"/>
      <c r="EEU287" s="1069"/>
      <c r="EEV287" s="1069"/>
      <c r="EEW287" s="1069"/>
      <c r="EEX287" s="1069"/>
      <c r="EEY287" s="1069"/>
      <c r="EEZ287" s="1069"/>
      <c r="EFA287" s="1069"/>
      <c r="EFB287" s="1069"/>
      <c r="EFC287" s="1069"/>
      <c r="EFD287" s="1069"/>
      <c r="EFE287" s="1069"/>
      <c r="EFF287" s="1069"/>
      <c r="EFG287" s="1069"/>
      <c r="EFH287" s="1069"/>
      <c r="EFI287" s="1069"/>
      <c r="EFJ287" s="1069"/>
      <c r="EFK287" s="1069"/>
      <c r="EFL287" s="1069"/>
      <c r="EFM287" s="1069"/>
      <c r="EFN287" s="1069"/>
      <c r="EFO287" s="1069"/>
      <c r="EFP287" s="1069"/>
      <c r="EFQ287" s="1069"/>
      <c r="EFR287" s="1069"/>
      <c r="EFS287" s="1069"/>
      <c r="EFT287" s="1069"/>
      <c r="EFU287" s="1069"/>
      <c r="EFV287" s="1069"/>
      <c r="EFW287" s="1069"/>
      <c r="EFX287" s="1069"/>
      <c r="EFY287" s="1069"/>
      <c r="EFZ287" s="1069"/>
      <c r="EGA287" s="1069"/>
      <c r="EGB287" s="1069"/>
      <c r="EGC287" s="1069"/>
      <c r="EGD287" s="1069"/>
      <c r="EGE287" s="1069"/>
      <c r="EGF287" s="1069"/>
      <c r="EGG287" s="1069"/>
      <c r="EGH287" s="1069"/>
      <c r="EGI287" s="1069"/>
      <c r="EGJ287" s="1069"/>
      <c r="EGK287" s="1069"/>
      <c r="EGL287" s="1069"/>
      <c r="EGM287" s="1069"/>
      <c r="EGN287" s="1069"/>
      <c r="EGO287" s="1069"/>
      <c r="EGP287" s="1069"/>
      <c r="EGQ287" s="1069"/>
      <c r="EGR287" s="1069"/>
      <c r="EGS287" s="1069"/>
      <c r="EGT287" s="1069"/>
      <c r="EGU287" s="1069"/>
      <c r="EGV287" s="1069"/>
      <c r="EGW287" s="1069"/>
      <c r="EGX287" s="1069"/>
      <c r="EGY287" s="1069"/>
      <c r="EGZ287" s="1069"/>
      <c r="EHA287" s="1069"/>
      <c r="EHB287" s="1069"/>
      <c r="EHC287" s="1069"/>
      <c r="EHD287" s="1069"/>
      <c r="EHE287" s="1069"/>
      <c r="EHF287" s="1069"/>
      <c r="EHG287" s="1069"/>
      <c r="EHH287" s="1069"/>
      <c r="EHI287" s="1069"/>
      <c r="EHJ287" s="1069"/>
      <c r="EHK287" s="1069"/>
      <c r="EHL287" s="1069"/>
      <c r="EHM287" s="1069"/>
      <c r="EHN287" s="1069"/>
      <c r="EHO287" s="1069"/>
      <c r="EHP287" s="1069"/>
      <c r="EHQ287" s="1069"/>
      <c r="EHR287" s="1069"/>
      <c r="EHS287" s="1069"/>
      <c r="EHT287" s="1069"/>
      <c r="EHU287" s="1069"/>
      <c r="EHV287" s="1069"/>
      <c r="EHW287" s="1069"/>
      <c r="EHX287" s="1069"/>
      <c r="EHY287" s="1069"/>
      <c r="EHZ287" s="1069"/>
      <c r="EIA287" s="1069"/>
      <c r="EIB287" s="1069"/>
      <c r="EIC287" s="1069"/>
      <c r="EID287" s="1069"/>
      <c r="EIE287" s="1069"/>
      <c r="EIF287" s="1069"/>
      <c r="EIG287" s="1069"/>
      <c r="EIH287" s="1069"/>
      <c r="EII287" s="1069"/>
      <c r="EIJ287" s="1069"/>
      <c r="EIK287" s="1069"/>
      <c r="EIL287" s="1069"/>
      <c r="EIM287" s="1069"/>
      <c r="EIN287" s="1069"/>
      <c r="EIO287" s="1069"/>
      <c r="EIP287" s="1069"/>
      <c r="EIQ287" s="1069"/>
      <c r="EIR287" s="1069"/>
      <c r="EIS287" s="1069"/>
      <c r="EIT287" s="1069"/>
      <c r="EIU287" s="1069"/>
      <c r="EIV287" s="1069"/>
      <c r="EIW287" s="1069"/>
      <c r="EIX287" s="1069"/>
      <c r="EIY287" s="1069"/>
      <c r="EIZ287" s="1069"/>
      <c r="EJA287" s="1069"/>
      <c r="EJB287" s="1069"/>
      <c r="EJC287" s="1069"/>
      <c r="EJD287" s="1069"/>
      <c r="EJE287" s="1069"/>
      <c r="EJF287" s="1069"/>
      <c r="EJG287" s="1069"/>
      <c r="EJH287" s="1069"/>
      <c r="EJI287" s="1069"/>
      <c r="EJJ287" s="1069"/>
      <c r="EJK287" s="1069"/>
      <c r="EJL287" s="1069"/>
      <c r="EJM287" s="1069"/>
      <c r="EJN287" s="1069"/>
      <c r="EJO287" s="1069"/>
      <c r="EJP287" s="1069"/>
      <c r="EJQ287" s="1069"/>
      <c r="EJR287" s="1069"/>
      <c r="EJS287" s="1069"/>
      <c r="EJT287" s="1069"/>
      <c r="EJU287" s="1069"/>
      <c r="EJV287" s="1069"/>
      <c r="EJW287" s="1069"/>
      <c r="EJX287" s="1069"/>
      <c r="EJY287" s="1069"/>
      <c r="EJZ287" s="1069"/>
      <c r="EKA287" s="1069"/>
      <c r="EKB287" s="1069"/>
      <c r="EKC287" s="1069"/>
      <c r="EKD287" s="1069"/>
      <c r="EKE287" s="1069"/>
      <c r="EKF287" s="1069"/>
      <c r="EKG287" s="1069"/>
      <c r="EKH287" s="1069"/>
      <c r="EKI287" s="1069"/>
      <c r="EKJ287" s="1069"/>
      <c r="EKK287" s="1069"/>
      <c r="EKL287" s="1069"/>
      <c r="EKM287" s="1069"/>
      <c r="EKN287" s="1069"/>
      <c r="EKO287" s="1069"/>
      <c r="EKP287" s="1069"/>
      <c r="EKQ287" s="1069"/>
      <c r="EKR287" s="1069"/>
      <c r="EKS287" s="1069"/>
      <c r="EKT287" s="1069"/>
      <c r="EKU287" s="1069"/>
      <c r="EKV287" s="1069"/>
      <c r="EKW287" s="1069"/>
      <c r="EKX287" s="1069"/>
      <c r="EKY287" s="1069"/>
      <c r="EKZ287" s="1069"/>
      <c r="ELA287" s="1069"/>
      <c r="ELB287" s="1069"/>
      <c r="ELC287" s="1069"/>
      <c r="ELD287" s="1069"/>
      <c r="ELE287" s="1069"/>
      <c r="ELF287" s="1069"/>
      <c r="ELG287" s="1069"/>
      <c r="ELH287" s="1069"/>
      <c r="ELI287" s="1069"/>
      <c r="ELJ287" s="1069"/>
      <c r="ELK287" s="1069"/>
      <c r="ELL287" s="1069"/>
      <c r="ELM287" s="1069"/>
      <c r="ELN287" s="1069"/>
      <c r="ELO287" s="1069"/>
      <c r="ELP287" s="1069"/>
      <c r="ELQ287" s="1069"/>
      <c r="ELR287" s="1069"/>
      <c r="ELS287" s="1069"/>
      <c r="ELT287" s="1069"/>
      <c r="ELU287" s="1069"/>
      <c r="ELV287" s="1069"/>
      <c r="ELW287" s="1069"/>
      <c r="ELX287" s="1069"/>
      <c r="ELY287" s="1069"/>
      <c r="ELZ287" s="1069"/>
      <c r="EMA287" s="1069"/>
      <c r="EMB287" s="1069"/>
      <c r="EMC287" s="1069"/>
      <c r="EMD287" s="1069"/>
      <c r="EME287" s="1069"/>
      <c r="EMF287" s="1069"/>
      <c r="EMG287" s="1069"/>
      <c r="EMH287" s="1069"/>
      <c r="EMI287" s="1069"/>
      <c r="EMJ287" s="1069"/>
      <c r="EMK287" s="1069"/>
      <c r="EML287" s="1069"/>
      <c r="EMM287" s="1069"/>
      <c r="EMN287" s="1069"/>
      <c r="EMO287" s="1069"/>
      <c r="EMP287" s="1069"/>
      <c r="EMQ287" s="1069"/>
      <c r="EMR287" s="1069"/>
      <c r="EMS287" s="1069"/>
      <c r="EMT287" s="1069"/>
      <c r="EMU287" s="1069"/>
      <c r="EMV287" s="1069"/>
      <c r="EMW287" s="1069"/>
      <c r="EMX287" s="1069"/>
      <c r="EMY287" s="1069"/>
      <c r="EMZ287" s="1069"/>
      <c r="ENA287" s="1069"/>
      <c r="ENB287" s="1069"/>
      <c r="ENC287" s="1069"/>
      <c r="END287" s="1069"/>
      <c r="ENE287" s="1069"/>
      <c r="ENF287" s="1069"/>
      <c r="ENG287" s="1069"/>
      <c r="ENH287" s="1069"/>
      <c r="ENI287" s="1069"/>
      <c r="ENJ287" s="1069"/>
      <c r="ENK287" s="1069"/>
      <c r="ENL287" s="1069"/>
      <c r="ENM287" s="1069"/>
      <c r="ENN287" s="1069"/>
      <c r="ENO287" s="1069"/>
      <c r="ENP287" s="1069"/>
      <c r="ENQ287" s="1069"/>
      <c r="ENR287" s="1069"/>
      <c r="ENS287" s="1069"/>
      <c r="ENT287" s="1069"/>
      <c r="ENU287" s="1069"/>
      <c r="ENV287" s="1069"/>
      <c r="ENW287" s="1069"/>
      <c r="ENX287" s="1069"/>
      <c r="ENY287" s="1069"/>
      <c r="ENZ287" s="1069"/>
      <c r="EOA287" s="1069"/>
      <c r="EOB287" s="1069"/>
      <c r="EOC287" s="1069"/>
      <c r="EOD287" s="1069"/>
      <c r="EOE287" s="1069"/>
      <c r="EOF287" s="1069"/>
      <c r="EOG287" s="1069"/>
      <c r="EOH287" s="1069"/>
      <c r="EOI287" s="1069"/>
      <c r="EOJ287" s="1069"/>
      <c r="EOK287" s="1069"/>
      <c r="EOL287" s="1069"/>
      <c r="EOM287" s="1069"/>
      <c r="EON287" s="1069"/>
      <c r="EOO287" s="1069"/>
      <c r="EOP287" s="1069"/>
      <c r="EOQ287" s="1069"/>
      <c r="EOR287" s="1069"/>
      <c r="EOS287" s="1069"/>
      <c r="EOT287" s="1069"/>
      <c r="EOU287" s="1069"/>
      <c r="EOV287" s="1069"/>
      <c r="EOW287" s="1069"/>
      <c r="EOX287" s="1069"/>
      <c r="EOY287" s="1069"/>
      <c r="EOZ287" s="1069"/>
      <c r="EPA287" s="1069"/>
      <c r="EPB287" s="1069"/>
      <c r="EPC287" s="1069"/>
      <c r="EPD287" s="1069"/>
      <c r="EPE287" s="1069"/>
      <c r="EPF287" s="1069"/>
      <c r="EPG287" s="1069"/>
      <c r="EPH287" s="1069"/>
      <c r="EPI287" s="1069"/>
      <c r="EPJ287" s="1069"/>
      <c r="EPK287" s="1069"/>
      <c r="EPL287" s="1069"/>
      <c r="EPM287" s="1069"/>
      <c r="EPN287" s="1069"/>
      <c r="EPO287" s="1069"/>
      <c r="EPP287" s="1069"/>
      <c r="EPQ287" s="1069"/>
      <c r="EPR287" s="1069"/>
      <c r="EPS287" s="1069"/>
      <c r="EPT287" s="1069"/>
      <c r="EPU287" s="1069"/>
      <c r="EPV287" s="1069"/>
      <c r="EPW287" s="1069"/>
      <c r="EPX287" s="1069"/>
      <c r="EPY287" s="1069"/>
      <c r="EPZ287" s="1069"/>
      <c r="EQA287" s="1069"/>
      <c r="EQB287" s="1069"/>
      <c r="EQC287" s="1069"/>
      <c r="EQD287" s="1069"/>
      <c r="EQE287" s="1069"/>
      <c r="EQF287" s="1069"/>
      <c r="EQG287" s="1069"/>
      <c r="EQH287" s="1069"/>
      <c r="EQI287" s="1069"/>
      <c r="EQJ287" s="1069"/>
      <c r="EQK287" s="1069"/>
      <c r="EQL287" s="1069"/>
      <c r="EQM287" s="1069"/>
      <c r="EQN287" s="1069"/>
      <c r="EQO287" s="1069"/>
      <c r="EQP287" s="1069"/>
      <c r="EQQ287" s="1069"/>
      <c r="EQR287" s="1069"/>
      <c r="EQS287" s="1069"/>
      <c r="EQT287" s="1069"/>
      <c r="EQU287" s="1069"/>
      <c r="EQV287" s="1069"/>
      <c r="EQW287" s="1069"/>
      <c r="EQX287" s="1069"/>
      <c r="EQY287" s="1069"/>
      <c r="EQZ287" s="1069"/>
      <c r="ERA287" s="1069"/>
      <c r="ERB287" s="1069"/>
      <c r="ERC287" s="1069"/>
      <c r="ERD287" s="1069"/>
      <c r="ERE287" s="1069"/>
      <c r="ERF287" s="1069"/>
      <c r="ERG287" s="1069"/>
      <c r="ERH287" s="1069"/>
      <c r="ERI287" s="1069"/>
      <c r="ERJ287" s="1069"/>
      <c r="ERK287" s="1069"/>
      <c r="ERL287" s="1069"/>
      <c r="ERM287" s="1069"/>
      <c r="ERN287" s="1069"/>
      <c r="ERO287" s="1069"/>
      <c r="ERP287" s="1069"/>
      <c r="ERQ287" s="1069"/>
      <c r="ERR287" s="1069"/>
      <c r="ERS287" s="1069"/>
      <c r="ERT287" s="1069"/>
      <c r="ERU287" s="1069"/>
      <c r="ERV287" s="1069"/>
      <c r="ERW287" s="1069"/>
      <c r="ERX287" s="1069"/>
      <c r="ERY287" s="1069"/>
      <c r="ERZ287" s="1069"/>
      <c r="ESA287" s="1069"/>
      <c r="ESB287" s="1069"/>
      <c r="ESC287" s="1069"/>
      <c r="ESD287" s="1069"/>
      <c r="ESE287" s="1069"/>
      <c r="ESF287" s="1069"/>
      <c r="ESG287" s="1069"/>
      <c r="ESH287" s="1069"/>
      <c r="ESI287" s="1069"/>
      <c r="ESJ287" s="1069"/>
      <c r="ESK287" s="1069"/>
      <c r="ESL287" s="1069"/>
      <c r="ESM287" s="1069"/>
      <c r="ESN287" s="1069"/>
      <c r="ESO287" s="1069"/>
      <c r="ESP287" s="1069"/>
      <c r="ESQ287" s="1069"/>
      <c r="ESR287" s="1069"/>
      <c r="ESS287" s="1069"/>
      <c r="EST287" s="1069"/>
      <c r="ESU287" s="1069"/>
      <c r="ESV287" s="1069"/>
      <c r="ESW287" s="1069"/>
      <c r="ESX287" s="1069"/>
      <c r="ESY287" s="1069"/>
      <c r="ESZ287" s="1069"/>
      <c r="ETA287" s="1069"/>
      <c r="ETB287" s="1069"/>
      <c r="ETC287" s="1069"/>
      <c r="ETD287" s="1069"/>
      <c r="ETE287" s="1069"/>
      <c r="ETF287" s="1069"/>
      <c r="ETG287" s="1069"/>
      <c r="ETH287" s="1069"/>
      <c r="ETI287" s="1069"/>
      <c r="ETJ287" s="1069"/>
      <c r="ETK287" s="1069"/>
      <c r="ETL287" s="1069"/>
      <c r="ETM287" s="1069"/>
      <c r="ETN287" s="1069"/>
      <c r="ETO287" s="1069"/>
      <c r="ETP287" s="1069"/>
      <c r="ETQ287" s="1069"/>
      <c r="ETR287" s="1069"/>
      <c r="ETS287" s="1069"/>
      <c r="ETT287" s="1069"/>
      <c r="ETU287" s="1069"/>
      <c r="ETV287" s="1069"/>
      <c r="ETW287" s="1069"/>
      <c r="ETX287" s="1069"/>
      <c r="ETY287" s="1069"/>
      <c r="ETZ287" s="1069"/>
      <c r="EUA287" s="1069"/>
      <c r="EUB287" s="1069"/>
      <c r="EUC287" s="1069"/>
      <c r="EUD287" s="1069"/>
      <c r="EUE287" s="1069"/>
      <c r="EUF287" s="1069"/>
      <c r="EUG287" s="1069"/>
      <c r="EUH287" s="1069"/>
      <c r="EUI287" s="1069"/>
      <c r="EUJ287" s="1069"/>
      <c r="EUK287" s="1069"/>
      <c r="EUL287" s="1069"/>
      <c r="EUM287" s="1069"/>
      <c r="EUN287" s="1069"/>
      <c r="EUO287" s="1069"/>
      <c r="EUP287" s="1069"/>
      <c r="EUQ287" s="1069"/>
      <c r="EUR287" s="1069"/>
      <c r="EUS287" s="1069"/>
      <c r="EUT287" s="1069"/>
      <c r="EUU287" s="1069"/>
      <c r="EUV287" s="1069"/>
      <c r="EUW287" s="1069"/>
      <c r="EUX287" s="1069"/>
      <c r="EUY287" s="1069"/>
      <c r="EUZ287" s="1069"/>
      <c r="EVA287" s="1069"/>
      <c r="EVB287" s="1069"/>
      <c r="EVC287" s="1069"/>
      <c r="EVD287" s="1069"/>
      <c r="EVE287" s="1069"/>
      <c r="EVF287" s="1069"/>
      <c r="EVG287" s="1069"/>
      <c r="EVH287" s="1069"/>
      <c r="EVI287" s="1069"/>
      <c r="EVJ287" s="1069"/>
      <c r="EVK287" s="1069"/>
      <c r="EVL287" s="1069"/>
      <c r="EVM287" s="1069"/>
      <c r="EVN287" s="1069"/>
      <c r="EVO287" s="1069"/>
      <c r="EVP287" s="1069"/>
      <c r="EVQ287" s="1069"/>
      <c r="EVR287" s="1069"/>
      <c r="EVS287" s="1069"/>
      <c r="EVT287" s="1069"/>
      <c r="EVU287" s="1069"/>
      <c r="EVV287" s="1069"/>
      <c r="EVW287" s="1069"/>
      <c r="EVX287" s="1069"/>
      <c r="EVY287" s="1069"/>
      <c r="EVZ287" s="1069"/>
      <c r="EWA287" s="1069"/>
      <c r="EWB287" s="1069"/>
      <c r="EWC287" s="1069"/>
      <c r="EWD287" s="1069"/>
      <c r="EWE287" s="1069"/>
      <c r="EWF287" s="1069"/>
      <c r="EWG287" s="1069"/>
      <c r="EWH287" s="1069"/>
      <c r="EWI287" s="1069"/>
      <c r="EWJ287" s="1069"/>
      <c r="EWK287" s="1069"/>
      <c r="EWL287" s="1069"/>
      <c r="EWM287" s="1069"/>
      <c r="EWN287" s="1069"/>
      <c r="EWO287" s="1069"/>
      <c r="EWP287" s="1069"/>
      <c r="EWQ287" s="1069"/>
      <c r="EWR287" s="1069"/>
      <c r="EWS287" s="1069"/>
      <c r="EWT287" s="1069"/>
      <c r="EWU287" s="1069"/>
      <c r="EWV287" s="1069"/>
      <c r="EWW287" s="1069"/>
      <c r="EWX287" s="1069"/>
      <c r="EWY287" s="1069"/>
      <c r="EWZ287" s="1069"/>
      <c r="EXA287" s="1069"/>
      <c r="EXB287" s="1069"/>
      <c r="EXC287" s="1069"/>
      <c r="EXD287" s="1069"/>
      <c r="EXE287" s="1069"/>
      <c r="EXF287" s="1069"/>
      <c r="EXG287" s="1069"/>
      <c r="EXH287" s="1069"/>
      <c r="EXI287" s="1069"/>
      <c r="EXJ287" s="1069"/>
      <c r="EXK287" s="1069"/>
      <c r="EXL287" s="1069"/>
      <c r="EXM287" s="1069"/>
      <c r="EXN287" s="1069"/>
      <c r="EXO287" s="1069"/>
      <c r="EXP287" s="1069"/>
      <c r="EXQ287" s="1069"/>
      <c r="EXR287" s="1069"/>
      <c r="EXS287" s="1069"/>
      <c r="EXT287" s="1069"/>
      <c r="EXU287" s="1069"/>
      <c r="EXV287" s="1069"/>
      <c r="EXW287" s="1069"/>
      <c r="EXX287" s="1069"/>
      <c r="EXY287" s="1069"/>
      <c r="EXZ287" s="1069"/>
      <c r="EYA287" s="1069"/>
      <c r="EYB287" s="1069"/>
      <c r="EYC287" s="1069"/>
      <c r="EYD287" s="1069"/>
      <c r="EYE287" s="1069"/>
      <c r="EYF287" s="1069"/>
      <c r="EYG287" s="1069"/>
      <c r="EYH287" s="1069"/>
      <c r="EYI287" s="1069"/>
      <c r="EYJ287" s="1069"/>
      <c r="EYK287" s="1069"/>
      <c r="EYL287" s="1069"/>
      <c r="EYM287" s="1069"/>
      <c r="EYN287" s="1069"/>
      <c r="EYO287" s="1069"/>
      <c r="EYP287" s="1069"/>
      <c r="EYQ287" s="1069"/>
      <c r="EYR287" s="1069"/>
      <c r="EYS287" s="1069"/>
      <c r="EYT287" s="1069"/>
      <c r="EYU287" s="1069"/>
      <c r="EYV287" s="1069"/>
      <c r="EYW287" s="1069"/>
      <c r="EYX287" s="1069"/>
      <c r="EYY287" s="1069"/>
      <c r="EYZ287" s="1069"/>
      <c r="EZA287" s="1069"/>
      <c r="EZB287" s="1069"/>
      <c r="EZC287" s="1069"/>
      <c r="EZD287" s="1069"/>
      <c r="EZE287" s="1069"/>
      <c r="EZF287" s="1069"/>
      <c r="EZG287" s="1069"/>
      <c r="EZH287" s="1069"/>
      <c r="EZI287" s="1069"/>
      <c r="EZJ287" s="1069"/>
      <c r="EZK287" s="1069"/>
      <c r="EZL287" s="1069"/>
      <c r="EZM287" s="1069"/>
      <c r="EZN287" s="1069"/>
      <c r="EZO287" s="1069"/>
      <c r="EZP287" s="1069"/>
      <c r="EZQ287" s="1069"/>
      <c r="EZR287" s="1069"/>
      <c r="EZS287" s="1069"/>
      <c r="EZT287" s="1069"/>
      <c r="EZU287" s="1069"/>
      <c r="EZV287" s="1069"/>
      <c r="EZW287" s="1069"/>
      <c r="EZX287" s="1069"/>
      <c r="EZY287" s="1069"/>
      <c r="EZZ287" s="1069"/>
      <c r="FAA287" s="1069"/>
      <c r="FAB287" s="1069"/>
      <c r="FAC287" s="1069"/>
      <c r="FAD287" s="1069"/>
      <c r="FAE287" s="1069"/>
      <c r="FAF287" s="1069"/>
      <c r="FAG287" s="1069"/>
      <c r="FAH287" s="1069"/>
      <c r="FAI287" s="1069"/>
      <c r="FAJ287" s="1069"/>
      <c r="FAK287" s="1069"/>
      <c r="FAL287" s="1069"/>
      <c r="FAM287" s="1069"/>
      <c r="FAN287" s="1069"/>
      <c r="FAO287" s="1069"/>
      <c r="FAP287" s="1069"/>
      <c r="FAQ287" s="1069"/>
      <c r="FAR287" s="1069"/>
      <c r="FAS287" s="1069"/>
      <c r="FAT287" s="1069"/>
      <c r="FAU287" s="1069"/>
      <c r="FAV287" s="1069"/>
      <c r="FAW287" s="1069"/>
      <c r="FAX287" s="1069"/>
      <c r="FAY287" s="1069"/>
      <c r="FAZ287" s="1069"/>
      <c r="FBA287" s="1069"/>
      <c r="FBB287" s="1069"/>
      <c r="FBC287" s="1069"/>
      <c r="FBD287" s="1069"/>
      <c r="FBE287" s="1069"/>
      <c r="FBF287" s="1069"/>
      <c r="FBG287" s="1069"/>
      <c r="FBH287" s="1069"/>
      <c r="FBI287" s="1069"/>
      <c r="FBJ287" s="1069"/>
      <c r="FBK287" s="1069"/>
      <c r="FBL287" s="1069"/>
      <c r="FBM287" s="1069"/>
      <c r="FBN287" s="1069"/>
      <c r="FBO287" s="1069"/>
      <c r="FBP287" s="1069"/>
      <c r="FBQ287" s="1069"/>
      <c r="FBR287" s="1069"/>
      <c r="FBS287" s="1069"/>
      <c r="FBT287" s="1069"/>
      <c r="FBU287" s="1069"/>
      <c r="FBV287" s="1069"/>
      <c r="FBW287" s="1069"/>
      <c r="FBX287" s="1069"/>
      <c r="FBY287" s="1069"/>
      <c r="FBZ287" s="1069"/>
      <c r="FCA287" s="1069"/>
      <c r="FCB287" s="1069"/>
      <c r="FCC287" s="1069"/>
      <c r="FCD287" s="1069"/>
      <c r="FCE287" s="1069"/>
      <c r="FCF287" s="1069"/>
      <c r="FCG287" s="1069"/>
      <c r="FCH287" s="1069"/>
      <c r="FCI287" s="1069"/>
      <c r="FCJ287" s="1069"/>
      <c r="FCK287" s="1069"/>
      <c r="FCL287" s="1069"/>
      <c r="FCM287" s="1069"/>
      <c r="FCN287" s="1069"/>
      <c r="FCO287" s="1069"/>
      <c r="FCP287" s="1069"/>
      <c r="FCQ287" s="1069"/>
      <c r="FCR287" s="1069"/>
      <c r="FCS287" s="1069"/>
      <c r="FCT287" s="1069"/>
      <c r="FCU287" s="1069"/>
      <c r="FCV287" s="1069"/>
      <c r="FCW287" s="1069"/>
      <c r="FCX287" s="1069"/>
      <c r="FCY287" s="1069"/>
      <c r="FCZ287" s="1069"/>
      <c r="FDA287" s="1069"/>
      <c r="FDB287" s="1069"/>
      <c r="FDC287" s="1069"/>
      <c r="FDD287" s="1069"/>
      <c r="FDE287" s="1069"/>
      <c r="FDF287" s="1069"/>
      <c r="FDG287" s="1069"/>
      <c r="FDH287" s="1069"/>
      <c r="FDI287" s="1069"/>
      <c r="FDJ287" s="1069"/>
      <c r="FDK287" s="1069"/>
      <c r="FDL287" s="1069"/>
      <c r="FDM287" s="1069"/>
      <c r="FDN287" s="1069"/>
      <c r="FDO287" s="1069"/>
      <c r="FDP287" s="1069"/>
      <c r="FDQ287" s="1069"/>
      <c r="FDR287" s="1069"/>
      <c r="FDS287" s="1069"/>
      <c r="FDT287" s="1069"/>
      <c r="FDU287" s="1069"/>
      <c r="FDV287" s="1069"/>
      <c r="FDW287" s="1069"/>
      <c r="FDX287" s="1069"/>
      <c r="FDY287" s="1069"/>
      <c r="FDZ287" s="1069"/>
      <c r="FEA287" s="1069"/>
      <c r="FEB287" s="1069"/>
      <c r="FEC287" s="1069"/>
      <c r="FED287" s="1069"/>
      <c r="FEE287" s="1069"/>
      <c r="FEF287" s="1069"/>
      <c r="FEG287" s="1069"/>
      <c r="FEH287" s="1069"/>
      <c r="FEI287" s="1069"/>
      <c r="FEJ287" s="1069"/>
      <c r="FEK287" s="1069"/>
      <c r="FEL287" s="1069"/>
      <c r="FEM287" s="1069"/>
      <c r="FEN287" s="1069"/>
      <c r="FEO287" s="1069"/>
      <c r="FEP287" s="1069"/>
      <c r="FEQ287" s="1069"/>
      <c r="FER287" s="1069"/>
      <c r="FES287" s="1069"/>
      <c r="FET287" s="1069"/>
      <c r="FEU287" s="1069"/>
      <c r="FEV287" s="1069"/>
      <c r="FEW287" s="1069"/>
      <c r="FEX287" s="1069"/>
      <c r="FEY287" s="1069"/>
      <c r="FEZ287" s="1069"/>
      <c r="FFA287" s="1069"/>
      <c r="FFB287" s="1069"/>
      <c r="FFC287" s="1069"/>
      <c r="FFD287" s="1069"/>
      <c r="FFE287" s="1069"/>
      <c r="FFF287" s="1069"/>
      <c r="FFG287" s="1069"/>
      <c r="FFH287" s="1069"/>
      <c r="FFI287" s="1069"/>
      <c r="FFJ287" s="1069"/>
      <c r="FFK287" s="1069"/>
      <c r="FFL287" s="1069"/>
      <c r="FFM287" s="1069"/>
      <c r="FFN287" s="1069"/>
      <c r="FFO287" s="1069"/>
      <c r="FFP287" s="1069"/>
      <c r="FFQ287" s="1069"/>
      <c r="FFR287" s="1069"/>
      <c r="FFS287" s="1069"/>
      <c r="FFT287" s="1069"/>
      <c r="FFU287" s="1069"/>
      <c r="FFV287" s="1069"/>
      <c r="FFW287" s="1069"/>
      <c r="FFX287" s="1069"/>
      <c r="FFY287" s="1069"/>
      <c r="FFZ287" s="1069"/>
      <c r="FGA287" s="1069"/>
      <c r="FGB287" s="1069"/>
      <c r="FGC287" s="1069"/>
      <c r="FGD287" s="1069"/>
      <c r="FGE287" s="1069"/>
      <c r="FGF287" s="1069"/>
      <c r="FGG287" s="1069"/>
      <c r="FGH287" s="1069"/>
      <c r="FGI287" s="1069"/>
      <c r="FGJ287" s="1069"/>
      <c r="FGK287" s="1069"/>
      <c r="FGL287" s="1069"/>
      <c r="FGM287" s="1069"/>
      <c r="FGN287" s="1069"/>
      <c r="FGO287" s="1069"/>
      <c r="FGP287" s="1069"/>
      <c r="FGQ287" s="1069"/>
      <c r="FGR287" s="1069"/>
      <c r="FGS287" s="1069"/>
      <c r="FGT287" s="1069"/>
      <c r="FGU287" s="1069"/>
      <c r="FGV287" s="1069"/>
      <c r="FGW287" s="1069"/>
      <c r="FGX287" s="1069"/>
      <c r="FGY287" s="1069"/>
      <c r="FGZ287" s="1069"/>
      <c r="FHA287" s="1069"/>
      <c r="FHB287" s="1069"/>
      <c r="FHC287" s="1069"/>
      <c r="FHD287" s="1069"/>
      <c r="FHE287" s="1069"/>
      <c r="FHF287" s="1069"/>
      <c r="FHG287" s="1069"/>
      <c r="FHH287" s="1069"/>
      <c r="FHI287" s="1069"/>
      <c r="FHJ287" s="1069"/>
      <c r="FHK287" s="1069"/>
      <c r="FHL287" s="1069"/>
      <c r="FHM287" s="1069"/>
      <c r="FHN287" s="1069"/>
      <c r="FHO287" s="1069"/>
      <c r="FHP287" s="1069"/>
      <c r="FHQ287" s="1069"/>
      <c r="FHR287" s="1069"/>
      <c r="FHS287" s="1069"/>
      <c r="FHT287" s="1069"/>
      <c r="FHU287" s="1069"/>
      <c r="FHV287" s="1069"/>
      <c r="FHW287" s="1069"/>
      <c r="FHX287" s="1069"/>
      <c r="FHY287" s="1069"/>
      <c r="FHZ287" s="1069"/>
      <c r="FIA287" s="1069"/>
      <c r="FIB287" s="1069"/>
      <c r="FIC287" s="1069"/>
      <c r="FID287" s="1069"/>
      <c r="FIE287" s="1069"/>
      <c r="FIF287" s="1069"/>
      <c r="FIG287" s="1069"/>
      <c r="FIH287" s="1069"/>
      <c r="FII287" s="1069"/>
      <c r="FIJ287" s="1069"/>
      <c r="FIK287" s="1069"/>
      <c r="FIL287" s="1069"/>
      <c r="FIM287" s="1069"/>
      <c r="FIN287" s="1069"/>
      <c r="FIO287" s="1069"/>
      <c r="FIP287" s="1069"/>
      <c r="FIQ287" s="1069"/>
      <c r="FIR287" s="1069"/>
      <c r="FIS287" s="1069"/>
      <c r="FIT287" s="1069"/>
      <c r="FIU287" s="1069"/>
      <c r="FIV287" s="1069"/>
      <c r="FIW287" s="1069"/>
      <c r="FIX287" s="1069"/>
      <c r="FIY287" s="1069"/>
      <c r="FIZ287" s="1069"/>
      <c r="FJA287" s="1069"/>
      <c r="FJB287" s="1069"/>
      <c r="FJC287" s="1069"/>
      <c r="FJD287" s="1069"/>
      <c r="FJE287" s="1069"/>
      <c r="FJF287" s="1069"/>
      <c r="FJG287" s="1069"/>
      <c r="FJH287" s="1069"/>
      <c r="FJI287" s="1069"/>
      <c r="FJJ287" s="1069"/>
      <c r="FJK287" s="1069"/>
      <c r="FJL287" s="1069"/>
      <c r="FJM287" s="1069"/>
      <c r="FJN287" s="1069"/>
      <c r="FJO287" s="1069"/>
      <c r="FJP287" s="1069"/>
      <c r="FJQ287" s="1069"/>
      <c r="FJR287" s="1069"/>
      <c r="FJS287" s="1069"/>
      <c r="FJT287" s="1069"/>
      <c r="FJU287" s="1069"/>
      <c r="FJV287" s="1069"/>
      <c r="FJW287" s="1069"/>
      <c r="FJX287" s="1069"/>
      <c r="FJY287" s="1069"/>
      <c r="FJZ287" s="1069"/>
      <c r="FKA287" s="1069"/>
      <c r="FKB287" s="1069"/>
      <c r="FKC287" s="1069"/>
      <c r="FKD287" s="1069"/>
      <c r="FKE287" s="1069"/>
      <c r="FKF287" s="1069"/>
      <c r="FKG287" s="1069"/>
      <c r="FKH287" s="1069"/>
      <c r="FKI287" s="1069"/>
      <c r="FKJ287" s="1069"/>
      <c r="FKK287" s="1069"/>
      <c r="FKL287" s="1069"/>
      <c r="FKM287" s="1069"/>
      <c r="FKN287" s="1069"/>
      <c r="FKO287" s="1069"/>
      <c r="FKP287" s="1069"/>
      <c r="FKQ287" s="1069"/>
      <c r="FKR287" s="1069"/>
      <c r="FKS287" s="1069"/>
      <c r="FKT287" s="1069"/>
      <c r="FKU287" s="1069"/>
      <c r="FKV287" s="1069"/>
      <c r="FKW287" s="1069"/>
      <c r="FKX287" s="1069"/>
      <c r="FKY287" s="1069"/>
      <c r="FKZ287" s="1069"/>
      <c r="FLA287" s="1069"/>
      <c r="FLB287" s="1069"/>
      <c r="FLC287" s="1069"/>
      <c r="FLD287" s="1069"/>
      <c r="FLE287" s="1069"/>
      <c r="FLF287" s="1069"/>
      <c r="FLG287" s="1069"/>
      <c r="FLH287" s="1069"/>
      <c r="FLI287" s="1069"/>
      <c r="FLJ287" s="1069"/>
      <c r="FLK287" s="1069"/>
      <c r="FLL287" s="1069"/>
      <c r="FLM287" s="1069"/>
      <c r="FLN287" s="1069"/>
      <c r="FLO287" s="1069"/>
      <c r="FLP287" s="1069"/>
      <c r="FLQ287" s="1069"/>
      <c r="FLR287" s="1069"/>
      <c r="FLS287" s="1069"/>
      <c r="FLT287" s="1069"/>
      <c r="FLU287" s="1069"/>
      <c r="FLV287" s="1069"/>
      <c r="FLW287" s="1069"/>
      <c r="FLX287" s="1069"/>
      <c r="FLY287" s="1069"/>
      <c r="FLZ287" s="1069"/>
      <c r="FMA287" s="1069"/>
      <c r="FMB287" s="1069"/>
      <c r="FMC287" s="1069"/>
      <c r="FMD287" s="1069"/>
      <c r="FME287" s="1069"/>
      <c r="FMF287" s="1069"/>
      <c r="FMG287" s="1069"/>
      <c r="FMH287" s="1069"/>
      <c r="FMI287" s="1069"/>
      <c r="FMJ287" s="1069"/>
      <c r="FMK287" s="1069"/>
      <c r="FML287" s="1069"/>
      <c r="FMM287" s="1069"/>
      <c r="FMN287" s="1069"/>
      <c r="FMO287" s="1069"/>
      <c r="FMP287" s="1069"/>
      <c r="FMQ287" s="1069"/>
      <c r="FMR287" s="1069"/>
      <c r="FMS287" s="1069"/>
      <c r="FMT287" s="1069"/>
      <c r="FMU287" s="1069"/>
      <c r="FMV287" s="1069"/>
      <c r="FMW287" s="1069"/>
      <c r="FMX287" s="1069"/>
      <c r="FMY287" s="1069"/>
      <c r="FMZ287" s="1069"/>
      <c r="FNA287" s="1069"/>
      <c r="FNB287" s="1069"/>
      <c r="FNC287" s="1069"/>
      <c r="FND287" s="1069"/>
      <c r="FNE287" s="1069"/>
      <c r="FNF287" s="1069"/>
      <c r="FNG287" s="1069"/>
      <c r="FNH287" s="1069"/>
      <c r="FNI287" s="1069"/>
      <c r="FNJ287" s="1069"/>
      <c r="FNK287" s="1069"/>
      <c r="FNL287" s="1069"/>
      <c r="FNM287" s="1069"/>
      <c r="FNN287" s="1069"/>
      <c r="FNO287" s="1069"/>
      <c r="FNP287" s="1069"/>
      <c r="FNQ287" s="1069"/>
      <c r="FNR287" s="1069"/>
      <c r="FNS287" s="1069"/>
      <c r="FNT287" s="1069"/>
      <c r="FNU287" s="1069"/>
      <c r="FNV287" s="1069"/>
      <c r="FNW287" s="1069"/>
      <c r="FNX287" s="1069"/>
      <c r="FNY287" s="1069"/>
      <c r="FNZ287" s="1069"/>
      <c r="FOA287" s="1069"/>
      <c r="FOB287" s="1069"/>
      <c r="FOC287" s="1069"/>
      <c r="FOD287" s="1069"/>
      <c r="FOE287" s="1069"/>
      <c r="FOF287" s="1069"/>
      <c r="FOG287" s="1069"/>
      <c r="FOH287" s="1069"/>
      <c r="FOI287" s="1069"/>
      <c r="FOJ287" s="1069"/>
      <c r="FOK287" s="1069"/>
      <c r="FOL287" s="1069"/>
      <c r="FOM287" s="1069"/>
      <c r="FON287" s="1069"/>
      <c r="FOO287" s="1069"/>
      <c r="FOP287" s="1069"/>
      <c r="FOQ287" s="1069"/>
      <c r="FOR287" s="1069"/>
      <c r="FOS287" s="1069"/>
      <c r="FOT287" s="1069"/>
      <c r="FOU287" s="1069"/>
      <c r="FOV287" s="1069"/>
      <c r="FOW287" s="1069"/>
      <c r="FOX287" s="1069"/>
      <c r="FOY287" s="1069"/>
      <c r="FOZ287" s="1069"/>
      <c r="FPA287" s="1069"/>
      <c r="FPB287" s="1069"/>
      <c r="FPC287" s="1069"/>
      <c r="FPD287" s="1069"/>
      <c r="FPE287" s="1069"/>
      <c r="FPF287" s="1069"/>
      <c r="FPG287" s="1069"/>
      <c r="FPH287" s="1069"/>
      <c r="FPI287" s="1069"/>
      <c r="FPJ287" s="1069"/>
      <c r="FPK287" s="1069"/>
      <c r="FPL287" s="1069"/>
      <c r="FPM287" s="1069"/>
      <c r="FPN287" s="1069"/>
      <c r="FPO287" s="1069"/>
      <c r="FPP287" s="1069"/>
      <c r="FPQ287" s="1069"/>
      <c r="FPR287" s="1069"/>
      <c r="FPS287" s="1069"/>
      <c r="FPT287" s="1069"/>
      <c r="FPU287" s="1069"/>
      <c r="FPV287" s="1069"/>
      <c r="FPW287" s="1069"/>
      <c r="FPX287" s="1069"/>
      <c r="FPY287" s="1069"/>
      <c r="FPZ287" s="1069"/>
      <c r="FQA287" s="1069"/>
      <c r="FQB287" s="1069"/>
      <c r="FQC287" s="1069"/>
      <c r="FQD287" s="1069"/>
      <c r="FQE287" s="1069"/>
      <c r="FQF287" s="1069"/>
      <c r="FQG287" s="1069"/>
      <c r="FQH287" s="1069"/>
      <c r="FQI287" s="1069"/>
      <c r="FQJ287" s="1069"/>
      <c r="FQK287" s="1069"/>
      <c r="FQL287" s="1069"/>
      <c r="FQM287" s="1069"/>
      <c r="FQN287" s="1069"/>
      <c r="FQO287" s="1069"/>
      <c r="FQP287" s="1069"/>
      <c r="FQQ287" s="1069"/>
      <c r="FQR287" s="1069"/>
      <c r="FQS287" s="1069"/>
      <c r="FQT287" s="1069"/>
      <c r="FQU287" s="1069"/>
      <c r="FQV287" s="1069"/>
      <c r="FQW287" s="1069"/>
      <c r="FQX287" s="1069"/>
      <c r="FQY287" s="1069"/>
      <c r="FQZ287" s="1069"/>
      <c r="FRA287" s="1069"/>
      <c r="FRB287" s="1069"/>
      <c r="FRC287" s="1069"/>
      <c r="FRD287" s="1069"/>
      <c r="FRE287" s="1069"/>
      <c r="FRF287" s="1069"/>
      <c r="FRG287" s="1069"/>
      <c r="FRH287" s="1069"/>
      <c r="FRI287" s="1069"/>
      <c r="FRJ287" s="1069"/>
      <c r="FRK287" s="1069"/>
      <c r="FRL287" s="1069"/>
      <c r="FRM287" s="1069"/>
      <c r="FRN287" s="1069"/>
      <c r="FRO287" s="1069"/>
      <c r="FRP287" s="1069"/>
      <c r="FRQ287" s="1069"/>
      <c r="FRR287" s="1069"/>
      <c r="FRS287" s="1069"/>
      <c r="FRT287" s="1069"/>
      <c r="FRU287" s="1069"/>
      <c r="FRV287" s="1069"/>
      <c r="FRW287" s="1069"/>
      <c r="FRX287" s="1069"/>
      <c r="FRY287" s="1069"/>
      <c r="FRZ287" s="1069"/>
      <c r="FSA287" s="1069"/>
      <c r="FSB287" s="1069"/>
      <c r="FSC287" s="1069"/>
      <c r="FSD287" s="1069"/>
      <c r="FSE287" s="1069"/>
      <c r="FSF287" s="1069"/>
      <c r="FSG287" s="1069"/>
      <c r="FSH287" s="1069"/>
      <c r="FSI287" s="1069"/>
      <c r="FSJ287" s="1069"/>
      <c r="FSK287" s="1069"/>
      <c r="FSL287" s="1069"/>
      <c r="FSM287" s="1069"/>
      <c r="FSN287" s="1069"/>
      <c r="FSO287" s="1069"/>
      <c r="FSP287" s="1069"/>
      <c r="FSQ287" s="1069"/>
      <c r="FSR287" s="1069"/>
      <c r="FSS287" s="1069"/>
      <c r="FST287" s="1069"/>
      <c r="FSU287" s="1069"/>
      <c r="FSV287" s="1069"/>
      <c r="FSW287" s="1069"/>
      <c r="FSX287" s="1069"/>
      <c r="FSY287" s="1069"/>
      <c r="FSZ287" s="1069"/>
      <c r="FTA287" s="1069"/>
      <c r="FTB287" s="1069"/>
      <c r="FTC287" s="1069"/>
      <c r="FTD287" s="1069"/>
      <c r="FTE287" s="1069"/>
      <c r="FTF287" s="1069"/>
      <c r="FTG287" s="1069"/>
      <c r="FTH287" s="1069"/>
      <c r="FTI287" s="1069"/>
      <c r="FTJ287" s="1069"/>
      <c r="FTK287" s="1069"/>
      <c r="FTL287" s="1069"/>
      <c r="FTM287" s="1069"/>
      <c r="FTN287" s="1069"/>
      <c r="FTO287" s="1069"/>
      <c r="FTP287" s="1069"/>
      <c r="FTQ287" s="1069"/>
      <c r="FTR287" s="1069"/>
      <c r="FTS287" s="1069"/>
      <c r="FTT287" s="1069"/>
      <c r="FTU287" s="1069"/>
      <c r="FTV287" s="1069"/>
      <c r="FTW287" s="1069"/>
      <c r="FTX287" s="1069"/>
      <c r="FTY287" s="1069"/>
      <c r="FTZ287" s="1069"/>
      <c r="FUA287" s="1069"/>
      <c r="FUB287" s="1069"/>
      <c r="FUC287" s="1069"/>
      <c r="FUD287" s="1069"/>
      <c r="FUE287" s="1069"/>
      <c r="FUF287" s="1069"/>
      <c r="FUG287" s="1069"/>
      <c r="FUH287" s="1069"/>
      <c r="FUI287" s="1069"/>
      <c r="FUJ287" s="1069"/>
      <c r="FUK287" s="1069"/>
      <c r="FUL287" s="1069"/>
      <c r="FUM287" s="1069"/>
      <c r="FUN287" s="1069"/>
      <c r="FUO287" s="1069"/>
      <c r="FUP287" s="1069"/>
      <c r="FUQ287" s="1069"/>
      <c r="FUR287" s="1069"/>
      <c r="FUS287" s="1069"/>
      <c r="FUT287" s="1069"/>
      <c r="FUU287" s="1069"/>
      <c r="FUV287" s="1069"/>
      <c r="FUW287" s="1069"/>
      <c r="FUX287" s="1069"/>
      <c r="FUY287" s="1069"/>
      <c r="FUZ287" s="1069"/>
      <c r="FVA287" s="1069"/>
      <c r="FVB287" s="1069"/>
      <c r="FVC287" s="1069"/>
      <c r="FVD287" s="1069"/>
      <c r="FVE287" s="1069"/>
      <c r="FVF287" s="1069"/>
      <c r="FVG287" s="1069"/>
      <c r="FVH287" s="1069"/>
      <c r="FVI287" s="1069"/>
      <c r="FVJ287" s="1069"/>
      <c r="FVK287" s="1069"/>
      <c r="FVL287" s="1069"/>
      <c r="FVM287" s="1069"/>
      <c r="FVN287" s="1069"/>
      <c r="FVO287" s="1069"/>
      <c r="FVP287" s="1069"/>
      <c r="FVQ287" s="1069"/>
      <c r="FVR287" s="1069"/>
      <c r="FVS287" s="1069"/>
      <c r="FVT287" s="1069"/>
      <c r="FVU287" s="1069"/>
      <c r="FVV287" s="1069"/>
      <c r="FVW287" s="1069"/>
      <c r="FVX287" s="1069"/>
      <c r="FVY287" s="1069"/>
      <c r="FVZ287" s="1069"/>
      <c r="FWA287" s="1069"/>
      <c r="FWB287" s="1069"/>
      <c r="FWC287" s="1069"/>
      <c r="FWD287" s="1069"/>
      <c r="FWE287" s="1069"/>
      <c r="FWF287" s="1069"/>
      <c r="FWG287" s="1069"/>
      <c r="FWH287" s="1069"/>
      <c r="FWI287" s="1069"/>
      <c r="FWJ287" s="1069"/>
      <c r="FWK287" s="1069"/>
      <c r="FWL287" s="1069"/>
      <c r="FWM287" s="1069"/>
      <c r="FWN287" s="1069"/>
      <c r="FWO287" s="1069"/>
      <c r="FWP287" s="1069"/>
      <c r="FWQ287" s="1069"/>
      <c r="FWR287" s="1069"/>
      <c r="FWS287" s="1069"/>
      <c r="FWT287" s="1069"/>
      <c r="FWU287" s="1069"/>
      <c r="FWV287" s="1069"/>
      <c r="FWW287" s="1069"/>
      <c r="FWX287" s="1069"/>
      <c r="FWY287" s="1069"/>
      <c r="FWZ287" s="1069"/>
      <c r="FXA287" s="1069"/>
      <c r="FXB287" s="1069"/>
      <c r="FXC287" s="1069"/>
      <c r="FXD287" s="1069"/>
      <c r="FXE287" s="1069"/>
      <c r="FXF287" s="1069"/>
      <c r="FXG287" s="1069"/>
      <c r="FXH287" s="1069"/>
      <c r="FXI287" s="1069"/>
      <c r="FXJ287" s="1069"/>
      <c r="FXK287" s="1069"/>
      <c r="FXL287" s="1069"/>
      <c r="FXM287" s="1069"/>
      <c r="FXN287" s="1069"/>
      <c r="FXO287" s="1069"/>
      <c r="FXP287" s="1069"/>
      <c r="FXQ287" s="1069"/>
      <c r="FXR287" s="1069"/>
      <c r="FXS287" s="1069"/>
      <c r="FXT287" s="1069"/>
      <c r="FXU287" s="1069"/>
      <c r="FXV287" s="1069"/>
      <c r="FXW287" s="1069"/>
      <c r="FXX287" s="1069"/>
      <c r="FXY287" s="1069"/>
      <c r="FXZ287" s="1069"/>
      <c r="FYA287" s="1069"/>
      <c r="FYB287" s="1069"/>
      <c r="FYC287" s="1069"/>
      <c r="FYD287" s="1069"/>
      <c r="FYE287" s="1069"/>
      <c r="FYF287" s="1069"/>
      <c r="FYG287" s="1069"/>
      <c r="FYH287" s="1069"/>
      <c r="FYI287" s="1069"/>
      <c r="FYJ287" s="1069"/>
      <c r="FYK287" s="1069"/>
      <c r="FYL287" s="1069"/>
      <c r="FYM287" s="1069"/>
      <c r="FYN287" s="1069"/>
      <c r="FYO287" s="1069"/>
      <c r="FYP287" s="1069"/>
      <c r="FYQ287" s="1069"/>
      <c r="FYR287" s="1069"/>
      <c r="FYS287" s="1069"/>
      <c r="FYT287" s="1069"/>
      <c r="FYU287" s="1069"/>
      <c r="FYV287" s="1069"/>
      <c r="FYW287" s="1069"/>
      <c r="FYX287" s="1069"/>
      <c r="FYY287" s="1069"/>
      <c r="FYZ287" s="1069"/>
      <c r="FZA287" s="1069"/>
      <c r="FZB287" s="1069"/>
      <c r="FZC287" s="1069"/>
      <c r="FZD287" s="1069"/>
      <c r="FZE287" s="1069"/>
      <c r="FZF287" s="1069"/>
      <c r="FZG287" s="1069"/>
      <c r="FZH287" s="1069"/>
      <c r="FZI287" s="1069"/>
      <c r="FZJ287" s="1069"/>
      <c r="FZK287" s="1069"/>
      <c r="FZL287" s="1069"/>
      <c r="FZM287" s="1069"/>
      <c r="FZN287" s="1069"/>
      <c r="FZO287" s="1069"/>
      <c r="FZP287" s="1069"/>
      <c r="FZQ287" s="1069"/>
      <c r="FZR287" s="1069"/>
      <c r="FZS287" s="1069"/>
      <c r="FZT287" s="1069"/>
      <c r="FZU287" s="1069"/>
      <c r="FZV287" s="1069"/>
      <c r="FZW287" s="1069"/>
      <c r="FZX287" s="1069"/>
      <c r="FZY287" s="1069"/>
      <c r="FZZ287" s="1069"/>
      <c r="GAA287" s="1069"/>
      <c r="GAB287" s="1069"/>
      <c r="GAC287" s="1069"/>
      <c r="GAD287" s="1069"/>
      <c r="GAE287" s="1069"/>
      <c r="GAF287" s="1069"/>
      <c r="GAG287" s="1069"/>
      <c r="GAH287" s="1069"/>
      <c r="GAI287" s="1069"/>
      <c r="GAJ287" s="1069"/>
      <c r="GAK287" s="1069"/>
      <c r="GAL287" s="1069"/>
      <c r="GAM287" s="1069"/>
      <c r="GAN287" s="1069"/>
      <c r="GAO287" s="1069"/>
      <c r="GAP287" s="1069"/>
      <c r="GAQ287" s="1069"/>
      <c r="GAR287" s="1069"/>
      <c r="GAS287" s="1069"/>
      <c r="GAT287" s="1069"/>
      <c r="GAU287" s="1069"/>
      <c r="GAV287" s="1069"/>
      <c r="GAW287" s="1069"/>
      <c r="GAX287" s="1069"/>
      <c r="GAY287" s="1069"/>
      <c r="GAZ287" s="1069"/>
      <c r="GBA287" s="1069"/>
      <c r="GBB287" s="1069"/>
      <c r="GBC287" s="1069"/>
      <c r="GBD287" s="1069"/>
      <c r="GBE287" s="1069"/>
      <c r="GBF287" s="1069"/>
      <c r="GBG287" s="1069"/>
      <c r="GBH287" s="1069"/>
      <c r="GBI287" s="1069"/>
      <c r="GBJ287" s="1069"/>
      <c r="GBK287" s="1069"/>
      <c r="GBL287" s="1069"/>
      <c r="GBM287" s="1069"/>
      <c r="GBN287" s="1069"/>
      <c r="GBO287" s="1069"/>
      <c r="GBP287" s="1069"/>
      <c r="GBQ287" s="1069"/>
      <c r="GBR287" s="1069"/>
      <c r="GBS287" s="1069"/>
      <c r="GBT287" s="1069"/>
      <c r="GBU287" s="1069"/>
      <c r="GBV287" s="1069"/>
      <c r="GBW287" s="1069"/>
      <c r="GBX287" s="1069"/>
      <c r="GBY287" s="1069"/>
      <c r="GBZ287" s="1069"/>
      <c r="GCA287" s="1069"/>
      <c r="GCB287" s="1069"/>
      <c r="GCC287" s="1069"/>
      <c r="GCD287" s="1069"/>
      <c r="GCE287" s="1069"/>
      <c r="GCF287" s="1069"/>
      <c r="GCG287" s="1069"/>
      <c r="GCH287" s="1069"/>
      <c r="GCI287" s="1069"/>
      <c r="GCJ287" s="1069"/>
      <c r="GCK287" s="1069"/>
      <c r="GCL287" s="1069"/>
      <c r="GCM287" s="1069"/>
      <c r="GCN287" s="1069"/>
      <c r="GCO287" s="1069"/>
      <c r="GCP287" s="1069"/>
      <c r="GCQ287" s="1069"/>
      <c r="GCR287" s="1069"/>
      <c r="GCS287" s="1069"/>
      <c r="GCT287" s="1069"/>
      <c r="GCU287" s="1069"/>
      <c r="GCV287" s="1069"/>
      <c r="GCW287" s="1069"/>
      <c r="GCX287" s="1069"/>
      <c r="GCY287" s="1069"/>
      <c r="GCZ287" s="1069"/>
      <c r="GDA287" s="1069"/>
      <c r="GDB287" s="1069"/>
      <c r="GDC287" s="1069"/>
      <c r="GDD287" s="1069"/>
      <c r="GDE287" s="1069"/>
      <c r="GDF287" s="1069"/>
      <c r="GDG287" s="1069"/>
      <c r="GDH287" s="1069"/>
      <c r="GDI287" s="1069"/>
      <c r="GDJ287" s="1069"/>
      <c r="GDK287" s="1069"/>
      <c r="GDL287" s="1069"/>
      <c r="GDM287" s="1069"/>
      <c r="GDN287" s="1069"/>
      <c r="GDO287" s="1069"/>
      <c r="GDP287" s="1069"/>
      <c r="GDQ287" s="1069"/>
      <c r="GDR287" s="1069"/>
      <c r="GDS287" s="1069"/>
      <c r="GDT287" s="1069"/>
      <c r="GDU287" s="1069"/>
      <c r="GDV287" s="1069"/>
      <c r="GDW287" s="1069"/>
      <c r="GDX287" s="1069"/>
      <c r="GDY287" s="1069"/>
      <c r="GDZ287" s="1069"/>
      <c r="GEA287" s="1069"/>
      <c r="GEB287" s="1069"/>
      <c r="GEC287" s="1069"/>
      <c r="GED287" s="1069"/>
      <c r="GEE287" s="1069"/>
      <c r="GEF287" s="1069"/>
      <c r="GEG287" s="1069"/>
      <c r="GEH287" s="1069"/>
      <c r="GEI287" s="1069"/>
      <c r="GEJ287" s="1069"/>
      <c r="GEK287" s="1069"/>
      <c r="GEL287" s="1069"/>
      <c r="GEM287" s="1069"/>
      <c r="GEN287" s="1069"/>
      <c r="GEO287" s="1069"/>
      <c r="GEP287" s="1069"/>
      <c r="GEQ287" s="1069"/>
      <c r="GER287" s="1069"/>
      <c r="GES287" s="1069"/>
      <c r="GET287" s="1069"/>
      <c r="GEU287" s="1069"/>
      <c r="GEV287" s="1069"/>
      <c r="GEW287" s="1069"/>
      <c r="GEX287" s="1069"/>
      <c r="GEY287" s="1069"/>
      <c r="GEZ287" s="1069"/>
      <c r="GFA287" s="1069"/>
      <c r="GFB287" s="1069"/>
      <c r="GFC287" s="1069"/>
      <c r="GFD287" s="1069"/>
      <c r="GFE287" s="1069"/>
      <c r="GFF287" s="1069"/>
      <c r="GFG287" s="1069"/>
      <c r="GFH287" s="1069"/>
      <c r="GFI287" s="1069"/>
      <c r="GFJ287" s="1069"/>
      <c r="GFK287" s="1069"/>
      <c r="GFL287" s="1069"/>
      <c r="GFM287" s="1069"/>
      <c r="GFN287" s="1069"/>
      <c r="GFO287" s="1069"/>
      <c r="GFP287" s="1069"/>
      <c r="GFQ287" s="1069"/>
      <c r="GFR287" s="1069"/>
      <c r="GFS287" s="1069"/>
      <c r="GFT287" s="1069"/>
      <c r="GFU287" s="1069"/>
      <c r="GFV287" s="1069"/>
      <c r="GFW287" s="1069"/>
      <c r="GFX287" s="1069"/>
      <c r="GFY287" s="1069"/>
      <c r="GFZ287" s="1069"/>
      <c r="GGA287" s="1069"/>
      <c r="GGB287" s="1069"/>
      <c r="GGC287" s="1069"/>
      <c r="GGD287" s="1069"/>
      <c r="GGE287" s="1069"/>
      <c r="GGF287" s="1069"/>
      <c r="GGG287" s="1069"/>
      <c r="GGH287" s="1069"/>
      <c r="GGI287" s="1069"/>
      <c r="GGJ287" s="1069"/>
      <c r="GGK287" s="1069"/>
      <c r="GGL287" s="1069"/>
      <c r="GGM287" s="1069"/>
      <c r="GGN287" s="1069"/>
      <c r="GGO287" s="1069"/>
      <c r="GGP287" s="1069"/>
      <c r="GGQ287" s="1069"/>
      <c r="GGR287" s="1069"/>
      <c r="GGS287" s="1069"/>
      <c r="GGT287" s="1069"/>
      <c r="GGU287" s="1069"/>
      <c r="GGV287" s="1069"/>
      <c r="GGW287" s="1069"/>
      <c r="GGX287" s="1069"/>
      <c r="GGY287" s="1069"/>
      <c r="GGZ287" s="1069"/>
      <c r="GHA287" s="1069"/>
      <c r="GHB287" s="1069"/>
      <c r="GHC287" s="1069"/>
      <c r="GHD287" s="1069"/>
      <c r="GHE287" s="1069"/>
      <c r="GHF287" s="1069"/>
      <c r="GHG287" s="1069"/>
      <c r="GHH287" s="1069"/>
      <c r="GHI287" s="1069"/>
      <c r="GHJ287" s="1069"/>
      <c r="GHK287" s="1069"/>
      <c r="GHL287" s="1069"/>
      <c r="GHM287" s="1069"/>
      <c r="GHN287" s="1069"/>
      <c r="GHO287" s="1069"/>
      <c r="GHP287" s="1069"/>
      <c r="GHQ287" s="1069"/>
      <c r="GHR287" s="1069"/>
      <c r="GHS287" s="1069"/>
      <c r="GHT287" s="1069"/>
      <c r="GHU287" s="1069"/>
      <c r="GHV287" s="1069"/>
      <c r="GHW287" s="1069"/>
      <c r="GHX287" s="1069"/>
      <c r="GHY287" s="1069"/>
      <c r="GHZ287" s="1069"/>
      <c r="GIA287" s="1069"/>
      <c r="GIB287" s="1069"/>
      <c r="GIC287" s="1069"/>
      <c r="GID287" s="1069"/>
      <c r="GIE287" s="1069"/>
      <c r="GIF287" s="1069"/>
      <c r="GIG287" s="1069"/>
      <c r="GIH287" s="1069"/>
      <c r="GII287" s="1069"/>
      <c r="GIJ287" s="1069"/>
      <c r="GIK287" s="1069"/>
      <c r="GIL287" s="1069"/>
      <c r="GIM287" s="1069"/>
      <c r="GIN287" s="1069"/>
      <c r="GIO287" s="1069"/>
      <c r="GIP287" s="1069"/>
      <c r="GIQ287" s="1069"/>
      <c r="GIR287" s="1069"/>
      <c r="GIS287" s="1069"/>
      <c r="GIT287" s="1069"/>
      <c r="GIU287" s="1069"/>
      <c r="GIV287" s="1069"/>
      <c r="GIW287" s="1069"/>
      <c r="GIX287" s="1069"/>
      <c r="GIY287" s="1069"/>
      <c r="GIZ287" s="1069"/>
      <c r="GJA287" s="1069"/>
      <c r="GJB287" s="1069"/>
      <c r="GJC287" s="1069"/>
      <c r="GJD287" s="1069"/>
      <c r="GJE287" s="1069"/>
      <c r="GJF287" s="1069"/>
      <c r="GJG287" s="1069"/>
      <c r="GJH287" s="1069"/>
      <c r="GJI287" s="1069"/>
      <c r="GJJ287" s="1069"/>
      <c r="GJK287" s="1069"/>
      <c r="GJL287" s="1069"/>
      <c r="GJM287" s="1069"/>
      <c r="GJN287" s="1069"/>
      <c r="GJO287" s="1069"/>
      <c r="GJP287" s="1069"/>
      <c r="GJQ287" s="1069"/>
      <c r="GJR287" s="1069"/>
      <c r="GJS287" s="1069"/>
      <c r="GJT287" s="1069"/>
      <c r="GJU287" s="1069"/>
      <c r="GJV287" s="1069"/>
      <c r="GJW287" s="1069"/>
      <c r="GJX287" s="1069"/>
      <c r="GJY287" s="1069"/>
      <c r="GJZ287" s="1069"/>
      <c r="GKA287" s="1069"/>
      <c r="GKB287" s="1069"/>
      <c r="GKC287" s="1069"/>
      <c r="GKD287" s="1069"/>
      <c r="GKE287" s="1069"/>
      <c r="GKF287" s="1069"/>
      <c r="GKG287" s="1069"/>
      <c r="GKH287" s="1069"/>
      <c r="GKI287" s="1069"/>
      <c r="GKJ287" s="1069"/>
      <c r="GKK287" s="1069"/>
      <c r="GKL287" s="1069"/>
      <c r="GKM287" s="1069"/>
      <c r="GKN287" s="1069"/>
      <c r="GKO287" s="1069"/>
      <c r="GKP287" s="1069"/>
      <c r="GKQ287" s="1069"/>
      <c r="GKR287" s="1069"/>
      <c r="GKS287" s="1069"/>
      <c r="GKT287" s="1069"/>
      <c r="GKU287" s="1069"/>
      <c r="GKV287" s="1069"/>
      <c r="GKW287" s="1069"/>
      <c r="GKX287" s="1069"/>
      <c r="GKY287" s="1069"/>
      <c r="GKZ287" s="1069"/>
      <c r="GLA287" s="1069"/>
      <c r="GLB287" s="1069"/>
      <c r="GLC287" s="1069"/>
      <c r="GLD287" s="1069"/>
      <c r="GLE287" s="1069"/>
      <c r="GLF287" s="1069"/>
      <c r="GLG287" s="1069"/>
      <c r="GLH287" s="1069"/>
      <c r="GLI287" s="1069"/>
      <c r="GLJ287" s="1069"/>
      <c r="GLK287" s="1069"/>
      <c r="GLL287" s="1069"/>
      <c r="GLM287" s="1069"/>
      <c r="GLN287" s="1069"/>
      <c r="GLO287" s="1069"/>
      <c r="GLP287" s="1069"/>
      <c r="GLQ287" s="1069"/>
      <c r="GLR287" s="1069"/>
      <c r="GLS287" s="1069"/>
      <c r="GLT287" s="1069"/>
      <c r="GLU287" s="1069"/>
      <c r="GLV287" s="1069"/>
      <c r="GLW287" s="1069"/>
      <c r="GLX287" s="1069"/>
      <c r="GLY287" s="1069"/>
      <c r="GLZ287" s="1069"/>
      <c r="GMA287" s="1069"/>
      <c r="GMB287" s="1069"/>
      <c r="GMC287" s="1069"/>
      <c r="GMD287" s="1069"/>
      <c r="GME287" s="1069"/>
      <c r="GMF287" s="1069"/>
      <c r="GMG287" s="1069"/>
      <c r="GMH287" s="1069"/>
      <c r="GMI287" s="1069"/>
      <c r="GMJ287" s="1069"/>
      <c r="GMK287" s="1069"/>
      <c r="GML287" s="1069"/>
      <c r="GMM287" s="1069"/>
      <c r="GMN287" s="1069"/>
      <c r="GMO287" s="1069"/>
      <c r="GMP287" s="1069"/>
      <c r="GMQ287" s="1069"/>
      <c r="GMR287" s="1069"/>
      <c r="GMS287" s="1069"/>
      <c r="GMT287" s="1069"/>
      <c r="GMU287" s="1069"/>
      <c r="GMV287" s="1069"/>
      <c r="GMW287" s="1069"/>
      <c r="GMX287" s="1069"/>
      <c r="GMY287" s="1069"/>
      <c r="GMZ287" s="1069"/>
      <c r="GNA287" s="1069"/>
      <c r="GNB287" s="1069"/>
      <c r="GNC287" s="1069"/>
      <c r="GND287" s="1069"/>
      <c r="GNE287" s="1069"/>
      <c r="GNF287" s="1069"/>
      <c r="GNG287" s="1069"/>
      <c r="GNH287" s="1069"/>
      <c r="GNI287" s="1069"/>
      <c r="GNJ287" s="1069"/>
      <c r="GNK287" s="1069"/>
      <c r="GNL287" s="1069"/>
      <c r="GNM287" s="1069"/>
      <c r="GNN287" s="1069"/>
      <c r="GNO287" s="1069"/>
      <c r="GNP287" s="1069"/>
      <c r="GNQ287" s="1069"/>
      <c r="GNR287" s="1069"/>
      <c r="GNS287" s="1069"/>
      <c r="GNT287" s="1069"/>
      <c r="GNU287" s="1069"/>
      <c r="GNV287" s="1069"/>
      <c r="GNW287" s="1069"/>
      <c r="GNX287" s="1069"/>
      <c r="GNY287" s="1069"/>
      <c r="GNZ287" s="1069"/>
      <c r="GOA287" s="1069"/>
      <c r="GOB287" s="1069"/>
      <c r="GOC287" s="1069"/>
      <c r="GOD287" s="1069"/>
      <c r="GOE287" s="1069"/>
      <c r="GOF287" s="1069"/>
      <c r="GOG287" s="1069"/>
      <c r="GOH287" s="1069"/>
      <c r="GOI287" s="1069"/>
      <c r="GOJ287" s="1069"/>
      <c r="GOK287" s="1069"/>
      <c r="GOL287" s="1069"/>
      <c r="GOM287" s="1069"/>
      <c r="GON287" s="1069"/>
      <c r="GOO287" s="1069"/>
      <c r="GOP287" s="1069"/>
      <c r="GOQ287" s="1069"/>
      <c r="GOR287" s="1069"/>
      <c r="GOS287" s="1069"/>
      <c r="GOT287" s="1069"/>
      <c r="GOU287" s="1069"/>
      <c r="GOV287" s="1069"/>
      <c r="GOW287" s="1069"/>
      <c r="GOX287" s="1069"/>
      <c r="GOY287" s="1069"/>
      <c r="GOZ287" s="1069"/>
      <c r="GPA287" s="1069"/>
      <c r="GPB287" s="1069"/>
      <c r="GPC287" s="1069"/>
      <c r="GPD287" s="1069"/>
      <c r="GPE287" s="1069"/>
      <c r="GPF287" s="1069"/>
      <c r="GPG287" s="1069"/>
      <c r="GPH287" s="1069"/>
      <c r="GPI287" s="1069"/>
      <c r="GPJ287" s="1069"/>
      <c r="GPK287" s="1069"/>
      <c r="GPL287" s="1069"/>
      <c r="GPM287" s="1069"/>
      <c r="GPN287" s="1069"/>
      <c r="GPO287" s="1069"/>
      <c r="GPP287" s="1069"/>
      <c r="GPQ287" s="1069"/>
      <c r="GPR287" s="1069"/>
      <c r="GPS287" s="1069"/>
      <c r="GPT287" s="1069"/>
      <c r="GPU287" s="1069"/>
      <c r="GPV287" s="1069"/>
      <c r="GPW287" s="1069"/>
      <c r="GPX287" s="1069"/>
      <c r="GPY287" s="1069"/>
      <c r="GPZ287" s="1069"/>
      <c r="GQA287" s="1069"/>
      <c r="GQB287" s="1069"/>
      <c r="GQC287" s="1069"/>
      <c r="GQD287" s="1069"/>
      <c r="GQE287" s="1069"/>
      <c r="GQF287" s="1069"/>
      <c r="GQG287" s="1069"/>
      <c r="GQH287" s="1069"/>
      <c r="GQI287" s="1069"/>
      <c r="GQJ287" s="1069"/>
      <c r="GQK287" s="1069"/>
      <c r="GQL287" s="1069"/>
      <c r="GQM287" s="1069"/>
      <c r="GQN287" s="1069"/>
      <c r="GQO287" s="1069"/>
      <c r="GQP287" s="1069"/>
      <c r="GQQ287" s="1069"/>
      <c r="GQR287" s="1069"/>
      <c r="GQS287" s="1069"/>
      <c r="GQT287" s="1069"/>
      <c r="GQU287" s="1069"/>
      <c r="GQV287" s="1069"/>
      <c r="GQW287" s="1069"/>
      <c r="GQX287" s="1069"/>
      <c r="GQY287" s="1069"/>
      <c r="GQZ287" s="1069"/>
      <c r="GRA287" s="1069"/>
      <c r="GRB287" s="1069"/>
      <c r="GRC287" s="1069"/>
      <c r="GRD287" s="1069"/>
      <c r="GRE287" s="1069"/>
      <c r="GRF287" s="1069"/>
      <c r="GRG287" s="1069"/>
      <c r="GRH287" s="1069"/>
      <c r="GRI287" s="1069"/>
      <c r="GRJ287" s="1069"/>
      <c r="GRK287" s="1069"/>
      <c r="GRL287" s="1069"/>
      <c r="GRM287" s="1069"/>
      <c r="GRN287" s="1069"/>
      <c r="GRO287" s="1069"/>
      <c r="GRP287" s="1069"/>
      <c r="GRQ287" s="1069"/>
      <c r="GRR287" s="1069"/>
      <c r="GRS287" s="1069"/>
      <c r="GRT287" s="1069"/>
      <c r="GRU287" s="1069"/>
      <c r="GRV287" s="1069"/>
      <c r="GRW287" s="1069"/>
      <c r="GRX287" s="1069"/>
      <c r="GRY287" s="1069"/>
      <c r="GRZ287" s="1069"/>
      <c r="GSA287" s="1069"/>
      <c r="GSB287" s="1069"/>
      <c r="GSC287" s="1069"/>
      <c r="GSD287" s="1069"/>
      <c r="GSE287" s="1069"/>
      <c r="GSF287" s="1069"/>
      <c r="GSG287" s="1069"/>
      <c r="GSH287" s="1069"/>
      <c r="GSI287" s="1069"/>
      <c r="GSJ287" s="1069"/>
      <c r="GSK287" s="1069"/>
      <c r="GSL287" s="1069"/>
      <c r="GSM287" s="1069"/>
      <c r="GSN287" s="1069"/>
      <c r="GSO287" s="1069"/>
      <c r="GSP287" s="1069"/>
      <c r="GSQ287" s="1069"/>
      <c r="GSR287" s="1069"/>
      <c r="GSS287" s="1069"/>
      <c r="GST287" s="1069"/>
      <c r="GSU287" s="1069"/>
      <c r="GSV287" s="1069"/>
      <c r="GSW287" s="1069"/>
      <c r="GSX287" s="1069"/>
      <c r="GSY287" s="1069"/>
      <c r="GSZ287" s="1069"/>
      <c r="GTA287" s="1069"/>
      <c r="GTB287" s="1069"/>
      <c r="GTC287" s="1069"/>
      <c r="GTD287" s="1069"/>
      <c r="GTE287" s="1069"/>
      <c r="GTF287" s="1069"/>
      <c r="GTG287" s="1069"/>
      <c r="GTH287" s="1069"/>
      <c r="GTI287" s="1069"/>
      <c r="GTJ287" s="1069"/>
      <c r="GTK287" s="1069"/>
      <c r="GTL287" s="1069"/>
      <c r="GTM287" s="1069"/>
      <c r="GTN287" s="1069"/>
      <c r="GTO287" s="1069"/>
      <c r="GTP287" s="1069"/>
      <c r="GTQ287" s="1069"/>
      <c r="GTR287" s="1069"/>
      <c r="GTS287" s="1069"/>
      <c r="GTT287" s="1069"/>
      <c r="GTU287" s="1069"/>
      <c r="GTV287" s="1069"/>
      <c r="GTW287" s="1069"/>
      <c r="GTX287" s="1069"/>
      <c r="GTY287" s="1069"/>
      <c r="GTZ287" s="1069"/>
      <c r="GUA287" s="1069"/>
      <c r="GUB287" s="1069"/>
      <c r="GUC287" s="1069"/>
      <c r="GUD287" s="1069"/>
      <c r="GUE287" s="1069"/>
      <c r="GUF287" s="1069"/>
      <c r="GUG287" s="1069"/>
      <c r="GUH287" s="1069"/>
      <c r="GUI287" s="1069"/>
      <c r="GUJ287" s="1069"/>
      <c r="GUK287" s="1069"/>
      <c r="GUL287" s="1069"/>
      <c r="GUM287" s="1069"/>
      <c r="GUN287" s="1069"/>
      <c r="GUO287" s="1069"/>
      <c r="GUP287" s="1069"/>
      <c r="GUQ287" s="1069"/>
      <c r="GUR287" s="1069"/>
      <c r="GUS287" s="1069"/>
      <c r="GUT287" s="1069"/>
      <c r="GUU287" s="1069"/>
      <c r="GUV287" s="1069"/>
      <c r="GUW287" s="1069"/>
      <c r="GUX287" s="1069"/>
      <c r="GUY287" s="1069"/>
      <c r="GUZ287" s="1069"/>
      <c r="GVA287" s="1069"/>
      <c r="GVB287" s="1069"/>
      <c r="GVC287" s="1069"/>
      <c r="GVD287" s="1069"/>
      <c r="GVE287" s="1069"/>
      <c r="GVF287" s="1069"/>
      <c r="GVG287" s="1069"/>
      <c r="GVH287" s="1069"/>
      <c r="GVI287" s="1069"/>
      <c r="GVJ287" s="1069"/>
      <c r="GVK287" s="1069"/>
      <c r="GVL287" s="1069"/>
      <c r="GVM287" s="1069"/>
      <c r="GVN287" s="1069"/>
      <c r="GVO287" s="1069"/>
      <c r="GVP287" s="1069"/>
      <c r="GVQ287" s="1069"/>
      <c r="GVR287" s="1069"/>
      <c r="GVS287" s="1069"/>
      <c r="GVT287" s="1069"/>
      <c r="GVU287" s="1069"/>
      <c r="GVV287" s="1069"/>
      <c r="GVW287" s="1069"/>
      <c r="GVX287" s="1069"/>
      <c r="GVY287" s="1069"/>
      <c r="GVZ287" s="1069"/>
      <c r="GWA287" s="1069"/>
      <c r="GWB287" s="1069"/>
      <c r="GWC287" s="1069"/>
      <c r="GWD287" s="1069"/>
      <c r="GWE287" s="1069"/>
      <c r="GWF287" s="1069"/>
      <c r="GWG287" s="1069"/>
      <c r="GWH287" s="1069"/>
      <c r="GWI287" s="1069"/>
      <c r="GWJ287" s="1069"/>
      <c r="GWK287" s="1069"/>
      <c r="GWL287" s="1069"/>
      <c r="GWM287" s="1069"/>
      <c r="GWN287" s="1069"/>
      <c r="GWO287" s="1069"/>
      <c r="GWP287" s="1069"/>
      <c r="GWQ287" s="1069"/>
      <c r="GWR287" s="1069"/>
      <c r="GWS287" s="1069"/>
      <c r="GWT287" s="1069"/>
      <c r="GWU287" s="1069"/>
      <c r="GWV287" s="1069"/>
      <c r="GWW287" s="1069"/>
      <c r="GWX287" s="1069"/>
      <c r="GWY287" s="1069"/>
      <c r="GWZ287" s="1069"/>
      <c r="GXA287" s="1069"/>
      <c r="GXB287" s="1069"/>
      <c r="GXC287" s="1069"/>
      <c r="GXD287" s="1069"/>
      <c r="GXE287" s="1069"/>
      <c r="GXF287" s="1069"/>
      <c r="GXG287" s="1069"/>
      <c r="GXH287" s="1069"/>
      <c r="GXI287" s="1069"/>
      <c r="GXJ287" s="1069"/>
      <c r="GXK287" s="1069"/>
      <c r="GXL287" s="1069"/>
      <c r="GXM287" s="1069"/>
      <c r="GXN287" s="1069"/>
      <c r="GXO287" s="1069"/>
      <c r="GXP287" s="1069"/>
      <c r="GXQ287" s="1069"/>
      <c r="GXR287" s="1069"/>
      <c r="GXS287" s="1069"/>
      <c r="GXT287" s="1069"/>
      <c r="GXU287" s="1069"/>
      <c r="GXV287" s="1069"/>
      <c r="GXW287" s="1069"/>
      <c r="GXX287" s="1069"/>
      <c r="GXY287" s="1069"/>
      <c r="GXZ287" s="1069"/>
      <c r="GYA287" s="1069"/>
      <c r="GYB287" s="1069"/>
      <c r="GYC287" s="1069"/>
      <c r="GYD287" s="1069"/>
      <c r="GYE287" s="1069"/>
      <c r="GYF287" s="1069"/>
      <c r="GYG287" s="1069"/>
      <c r="GYH287" s="1069"/>
      <c r="GYI287" s="1069"/>
      <c r="GYJ287" s="1069"/>
      <c r="GYK287" s="1069"/>
      <c r="GYL287" s="1069"/>
      <c r="GYM287" s="1069"/>
      <c r="GYN287" s="1069"/>
      <c r="GYO287" s="1069"/>
      <c r="GYP287" s="1069"/>
      <c r="GYQ287" s="1069"/>
      <c r="GYR287" s="1069"/>
      <c r="GYS287" s="1069"/>
      <c r="GYT287" s="1069"/>
      <c r="GYU287" s="1069"/>
      <c r="GYV287" s="1069"/>
      <c r="GYW287" s="1069"/>
      <c r="GYX287" s="1069"/>
      <c r="GYY287" s="1069"/>
      <c r="GYZ287" s="1069"/>
      <c r="GZA287" s="1069"/>
      <c r="GZB287" s="1069"/>
      <c r="GZC287" s="1069"/>
      <c r="GZD287" s="1069"/>
      <c r="GZE287" s="1069"/>
      <c r="GZF287" s="1069"/>
      <c r="GZG287" s="1069"/>
      <c r="GZH287" s="1069"/>
      <c r="GZI287" s="1069"/>
      <c r="GZJ287" s="1069"/>
      <c r="GZK287" s="1069"/>
      <c r="GZL287" s="1069"/>
      <c r="GZM287" s="1069"/>
      <c r="GZN287" s="1069"/>
      <c r="GZO287" s="1069"/>
      <c r="GZP287" s="1069"/>
      <c r="GZQ287" s="1069"/>
      <c r="GZR287" s="1069"/>
      <c r="GZS287" s="1069"/>
      <c r="GZT287" s="1069"/>
      <c r="GZU287" s="1069"/>
      <c r="GZV287" s="1069"/>
      <c r="GZW287" s="1069"/>
      <c r="GZX287" s="1069"/>
      <c r="GZY287" s="1069"/>
      <c r="GZZ287" s="1069"/>
      <c r="HAA287" s="1069"/>
      <c r="HAB287" s="1069"/>
      <c r="HAC287" s="1069"/>
      <c r="HAD287" s="1069"/>
      <c r="HAE287" s="1069"/>
      <c r="HAF287" s="1069"/>
      <c r="HAG287" s="1069"/>
      <c r="HAH287" s="1069"/>
      <c r="HAI287" s="1069"/>
      <c r="HAJ287" s="1069"/>
      <c r="HAK287" s="1069"/>
      <c r="HAL287" s="1069"/>
      <c r="HAM287" s="1069"/>
      <c r="HAN287" s="1069"/>
      <c r="HAO287" s="1069"/>
      <c r="HAP287" s="1069"/>
      <c r="HAQ287" s="1069"/>
      <c r="HAR287" s="1069"/>
      <c r="HAS287" s="1069"/>
      <c r="HAT287" s="1069"/>
      <c r="HAU287" s="1069"/>
      <c r="HAV287" s="1069"/>
      <c r="HAW287" s="1069"/>
      <c r="HAX287" s="1069"/>
      <c r="HAY287" s="1069"/>
      <c r="HAZ287" s="1069"/>
      <c r="HBA287" s="1069"/>
      <c r="HBB287" s="1069"/>
      <c r="HBC287" s="1069"/>
      <c r="HBD287" s="1069"/>
      <c r="HBE287" s="1069"/>
      <c r="HBF287" s="1069"/>
      <c r="HBG287" s="1069"/>
      <c r="HBH287" s="1069"/>
      <c r="HBI287" s="1069"/>
      <c r="HBJ287" s="1069"/>
      <c r="HBK287" s="1069"/>
      <c r="HBL287" s="1069"/>
      <c r="HBM287" s="1069"/>
      <c r="HBN287" s="1069"/>
      <c r="HBO287" s="1069"/>
      <c r="HBP287" s="1069"/>
      <c r="HBQ287" s="1069"/>
      <c r="HBR287" s="1069"/>
      <c r="HBS287" s="1069"/>
      <c r="HBT287" s="1069"/>
      <c r="HBU287" s="1069"/>
      <c r="HBV287" s="1069"/>
      <c r="HBW287" s="1069"/>
      <c r="HBX287" s="1069"/>
      <c r="HBY287" s="1069"/>
      <c r="HBZ287" s="1069"/>
      <c r="HCA287" s="1069"/>
      <c r="HCB287" s="1069"/>
      <c r="HCC287" s="1069"/>
      <c r="HCD287" s="1069"/>
      <c r="HCE287" s="1069"/>
      <c r="HCF287" s="1069"/>
      <c r="HCG287" s="1069"/>
      <c r="HCH287" s="1069"/>
      <c r="HCI287" s="1069"/>
      <c r="HCJ287" s="1069"/>
      <c r="HCK287" s="1069"/>
      <c r="HCL287" s="1069"/>
      <c r="HCM287" s="1069"/>
      <c r="HCN287" s="1069"/>
      <c r="HCO287" s="1069"/>
      <c r="HCP287" s="1069"/>
      <c r="HCQ287" s="1069"/>
      <c r="HCR287" s="1069"/>
      <c r="HCS287" s="1069"/>
      <c r="HCT287" s="1069"/>
      <c r="HCU287" s="1069"/>
      <c r="HCV287" s="1069"/>
      <c r="HCW287" s="1069"/>
      <c r="HCX287" s="1069"/>
      <c r="HCY287" s="1069"/>
      <c r="HCZ287" s="1069"/>
      <c r="HDA287" s="1069"/>
      <c r="HDB287" s="1069"/>
      <c r="HDC287" s="1069"/>
      <c r="HDD287" s="1069"/>
      <c r="HDE287" s="1069"/>
      <c r="HDF287" s="1069"/>
      <c r="HDG287" s="1069"/>
      <c r="HDH287" s="1069"/>
      <c r="HDI287" s="1069"/>
      <c r="HDJ287" s="1069"/>
      <c r="HDK287" s="1069"/>
      <c r="HDL287" s="1069"/>
      <c r="HDM287" s="1069"/>
      <c r="HDN287" s="1069"/>
      <c r="HDO287" s="1069"/>
      <c r="HDP287" s="1069"/>
      <c r="HDQ287" s="1069"/>
      <c r="HDR287" s="1069"/>
      <c r="HDS287" s="1069"/>
      <c r="HDT287" s="1069"/>
      <c r="HDU287" s="1069"/>
      <c r="HDV287" s="1069"/>
      <c r="HDW287" s="1069"/>
      <c r="HDX287" s="1069"/>
      <c r="HDY287" s="1069"/>
      <c r="HDZ287" s="1069"/>
      <c r="HEA287" s="1069"/>
      <c r="HEB287" s="1069"/>
      <c r="HEC287" s="1069"/>
      <c r="HED287" s="1069"/>
      <c r="HEE287" s="1069"/>
      <c r="HEF287" s="1069"/>
      <c r="HEG287" s="1069"/>
      <c r="HEH287" s="1069"/>
      <c r="HEI287" s="1069"/>
      <c r="HEJ287" s="1069"/>
      <c r="HEK287" s="1069"/>
      <c r="HEL287" s="1069"/>
      <c r="HEM287" s="1069"/>
      <c r="HEN287" s="1069"/>
      <c r="HEO287" s="1069"/>
      <c r="HEP287" s="1069"/>
      <c r="HEQ287" s="1069"/>
      <c r="HER287" s="1069"/>
      <c r="HES287" s="1069"/>
      <c r="HET287" s="1069"/>
      <c r="HEU287" s="1069"/>
      <c r="HEV287" s="1069"/>
      <c r="HEW287" s="1069"/>
      <c r="HEX287" s="1069"/>
      <c r="HEY287" s="1069"/>
      <c r="HEZ287" s="1069"/>
      <c r="HFA287" s="1069"/>
      <c r="HFB287" s="1069"/>
      <c r="HFC287" s="1069"/>
      <c r="HFD287" s="1069"/>
      <c r="HFE287" s="1069"/>
      <c r="HFF287" s="1069"/>
      <c r="HFG287" s="1069"/>
      <c r="HFH287" s="1069"/>
      <c r="HFI287" s="1069"/>
      <c r="HFJ287" s="1069"/>
      <c r="HFK287" s="1069"/>
      <c r="HFL287" s="1069"/>
      <c r="HFM287" s="1069"/>
      <c r="HFN287" s="1069"/>
      <c r="HFO287" s="1069"/>
      <c r="HFP287" s="1069"/>
      <c r="HFQ287" s="1069"/>
      <c r="HFR287" s="1069"/>
      <c r="HFS287" s="1069"/>
      <c r="HFT287" s="1069"/>
      <c r="HFU287" s="1069"/>
      <c r="HFV287" s="1069"/>
      <c r="HFW287" s="1069"/>
      <c r="HFX287" s="1069"/>
      <c r="HFY287" s="1069"/>
      <c r="HFZ287" s="1069"/>
      <c r="HGA287" s="1069"/>
      <c r="HGB287" s="1069"/>
      <c r="HGC287" s="1069"/>
      <c r="HGD287" s="1069"/>
      <c r="HGE287" s="1069"/>
      <c r="HGF287" s="1069"/>
      <c r="HGG287" s="1069"/>
      <c r="HGH287" s="1069"/>
      <c r="HGI287" s="1069"/>
      <c r="HGJ287" s="1069"/>
      <c r="HGK287" s="1069"/>
      <c r="HGL287" s="1069"/>
      <c r="HGM287" s="1069"/>
      <c r="HGN287" s="1069"/>
      <c r="HGO287" s="1069"/>
      <c r="HGP287" s="1069"/>
      <c r="HGQ287" s="1069"/>
      <c r="HGR287" s="1069"/>
      <c r="HGS287" s="1069"/>
      <c r="HGT287" s="1069"/>
      <c r="HGU287" s="1069"/>
      <c r="HGV287" s="1069"/>
      <c r="HGW287" s="1069"/>
      <c r="HGX287" s="1069"/>
      <c r="HGY287" s="1069"/>
      <c r="HGZ287" s="1069"/>
      <c r="HHA287" s="1069"/>
      <c r="HHB287" s="1069"/>
      <c r="HHC287" s="1069"/>
      <c r="HHD287" s="1069"/>
      <c r="HHE287" s="1069"/>
      <c r="HHF287" s="1069"/>
      <c r="HHG287" s="1069"/>
      <c r="HHH287" s="1069"/>
      <c r="HHI287" s="1069"/>
      <c r="HHJ287" s="1069"/>
      <c r="HHK287" s="1069"/>
      <c r="HHL287" s="1069"/>
      <c r="HHM287" s="1069"/>
      <c r="HHN287" s="1069"/>
      <c r="HHO287" s="1069"/>
      <c r="HHP287" s="1069"/>
      <c r="HHQ287" s="1069"/>
      <c r="HHR287" s="1069"/>
      <c r="HHS287" s="1069"/>
      <c r="HHT287" s="1069"/>
      <c r="HHU287" s="1069"/>
      <c r="HHV287" s="1069"/>
      <c r="HHW287" s="1069"/>
      <c r="HHX287" s="1069"/>
      <c r="HHY287" s="1069"/>
      <c r="HHZ287" s="1069"/>
      <c r="HIA287" s="1069"/>
      <c r="HIB287" s="1069"/>
      <c r="HIC287" s="1069"/>
      <c r="HID287" s="1069"/>
      <c r="HIE287" s="1069"/>
      <c r="HIF287" s="1069"/>
      <c r="HIG287" s="1069"/>
      <c r="HIH287" s="1069"/>
      <c r="HII287" s="1069"/>
      <c r="HIJ287" s="1069"/>
      <c r="HIK287" s="1069"/>
      <c r="HIL287" s="1069"/>
      <c r="HIM287" s="1069"/>
      <c r="HIN287" s="1069"/>
      <c r="HIO287" s="1069"/>
      <c r="HIP287" s="1069"/>
      <c r="HIQ287" s="1069"/>
      <c r="HIR287" s="1069"/>
      <c r="HIS287" s="1069"/>
      <c r="HIT287" s="1069"/>
      <c r="HIU287" s="1069"/>
      <c r="HIV287" s="1069"/>
      <c r="HIW287" s="1069"/>
      <c r="HIX287" s="1069"/>
      <c r="HIY287" s="1069"/>
      <c r="HIZ287" s="1069"/>
      <c r="HJA287" s="1069"/>
      <c r="HJB287" s="1069"/>
      <c r="HJC287" s="1069"/>
      <c r="HJD287" s="1069"/>
      <c r="HJE287" s="1069"/>
      <c r="HJF287" s="1069"/>
      <c r="HJG287" s="1069"/>
      <c r="HJH287" s="1069"/>
      <c r="HJI287" s="1069"/>
      <c r="HJJ287" s="1069"/>
      <c r="HJK287" s="1069"/>
      <c r="HJL287" s="1069"/>
      <c r="HJM287" s="1069"/>
      <c r="HJN287" s="1069"/>
      <c r="HJO287" s="1069"/>
      <c r="HJP287" s="1069"/>
      <c r="HJQ287" s="1069"/>
      <c r="HJR287" s="1069"/>
      <c r="HJS287" s="1069"/>
      <c r="HJT287" s="1069"/>
      <c r="HJU287" s="1069"/>
      <c r="HJV287" s="1069"/>
      <c r="HJW287" s="1069"/>
      <c r="HJX287" s="1069"/>
      <c r="HJY287" s="1069"/>
      <c r="HJZ287" s="1069"/>
      <c r="HKA287" s="1069"/>
      <c r="HKB287" s="1069"/>
      <c r="HKC287" s="1069"/>
      <c r="HKD287" s="1069"/>
      <c r="HKE287" s="1069"/>
      <c r="HKF287" s="1069"/>
      <c r="HKG287" s="1069"/>
      <c r="HKH287" s="1069"/>
      <c r="HKI287" s="1069"/>
      <c r="HKJ287" s="1069"/>
      <c r="HKK287" s="1069"/>
      <c r="HKL287" s="1069"/>
      <c r="HKM287" s="1069"/>
      <c r="HKN287" s="1069"/>
      <c r="HKO287" s="1069"/>
      <c r="HKP287" s="1069"/>
      <c r="HKQ287" s="1069"/>
      <c r="HKR287" s="1069"/>
      <c r="HKS287" s="1069"/>
      <c r="HKT287" s="1069"/>
      <c r="HKU287" s="1069"/>
      <c r="HKV287" s="1069"/>
      <c r="HKW287" s="1069"/>
      <c r="HKX287" s="1069"/>
      <c r="HKY287" s="1069"/>
      <c r="HKZ287" s="1069"/>
      <c r="HLA287" s="1069"/>
      <c r="HLB287" s="1069"/>
      <c r="HLC287" s="1069"/>
      <c r="HLD287" s="1069"/>
      <c r="HLE287" s="1069"/>
      <c r="HLF287" s="1069"/>
      <c r="HLG287" s="1069"/>
      <c r="HLH287" s="1069"/>
      <c r="HLI287" s="1069"/>
      <c r="HLJ287" s="1069"/>
      <c r="HLK287" s="1069"/>
      <c r="HLL287" s="1069"/>
      <c r="HLM287" s="1069"/>
      <c r="HLN287" s="1069"/>
      <c r="HLO287" s="1069"/>
      <c r="HLP287" s="1069"/>
      <c r="HLQ287" s="1069"/>
      <c r="HLR287" s="1069"/>
      <c r="HLS287" s="1069"/>
      <c r="HLT287" s="1069"/>
      <c r="HLU287" s="1069"/>
      <c r="HLV287" s="1069"/>
      <c r="HLW287" s="1069"/>
      <c r="HLX287" s="1069"/>
      <c r="HLY287" s="1069"/>
      <c r="HLZ287" s="1069"/>
      <c r="HMA287" s="1069"/>
      <c r="HMB287" s="1069"/>
      <c r="HMC287" s="1069"/>
      <c r="HMD287" s="1069"/>
      <c r="HME287" s="1069"/>
      <c r="HMF287" s="1069"/>
      <c r="HMG287" s="1069"/>
      <c r="HMH287" s="1069"/>
      <c r="HMI287" s="1069"/>
      <c r="HMJ287" s="1069"/>
      <c r="HMK287" s="1069"/>
      <c r="HML287" s="1069"/>
      <c r="HMM287" s="1069"/>
      <c r="HMN287" s="1069"/>
      <c r="HMO287" s="1069"/>
      <c r="HMP287" s="1069"/>
      <c r="HMQ287" s="1069"/>
      <c r="HMR287" s="1069"/>
      <c r="HMS287" s="1069"/>
      <c r="HMT287" s="1069"/>
      <c r="HMU287" s="1069"/>
      <c r="HMV287" s="1069"/>
      <c r="HMW287" s="1069"/>
      <c r="HMX287" s="1069"/>
      <c r="HMY287" s="1069"/>
      <c r="HMZ287" s="1069"/>
      <c r="HNA287" s="1069"/>
      <c r="HNB287" s="1069"/>
      <c r="HNC287" s="1069"/>
      <c r="HND287" s="1069"/>
      <c r="HNE287" s="1069"/>
      <c r="HNF287" s="1069"/>
      <c r="HNG287" s="1069"/>
      <c r="HNH287" s="1069"/>
      <c r="HNI287" s="1069"/>
      <c r="HNJ287" s="1069"/>
      <c r="HNK287" s="1069"/>
      <c r="HNL287" s="1069"/>
      <c r="HNM287" s="1069"/>
      <c r="HNN287" s="1069"/>
      <c r="HNO287" s="1069"/>
      <c r="HNP287" s="1069"/>
      <c r="HNQ287" s="1069"/>
      <c r="HNR287" s="1069"/>
      <c r="HNS287" s="1069"/>
      <c r="HNT287" s="1069"/>
      <c r="HNU287" s="1069"/>
      <c r="HNV287" s="1069"/>
      <c r="HNW287" s="1069"/>
      <c r="HNX287" s="1069"/>
      <c r="HNY287" s="1069"/>
      <c r="HNZ287" s="1069"/>
      <c r="HOA287" s="1069"/>
      <c r="HOB287" s="1069"/>
      <c r="HOC287" s="1069"/>
      <c r="HOD287" s="1069"/>
      <c r="HOE287" s="1069"/>
      <c r="HOF287" s="1069"/>
      <c r="HOG287" s="1069"/>
      <c r="HOH287" s="1069"/>
      <c r="HOI287" s="1069"/>
      <c r="HOJ287" s="1069"/>
      <c r="HOK287" s="1069"/>
      <c r="HOL287" s="1069"/>
      <c r="HOM287" s="1069"/>
      <c r="HON287" s="1069"/>
      <c r="HOO287" s="1069"/>
      <c r="HOP287" s="1069"/>
      <c r="HOQ287" s="1069"/>
      <c r="HOR287" s="1069"/>
      <c r="HOS287" s="1069"/>
      <c r="HOT287" s="1069"/>
      <c r="HOU287" s="1069"/>
      <c r="HOV287" s="1069"/>
      <c r="HOW287" s="1069"/>
      <c r="HOX287" s="1069"/>
      <c r="HOY287" s="1069"/>
      <c r="HOZ287" s="1069"/>
      <c r="HPA287" s="1069"/>
      <c r="HPB287" s="1069"/>
      <c r="HPC287" s="1069"/>
      <c r="HPD287" s="1069"/>
      <c r="HPE287" s="1069"/>
      <c r="HPF287" s="1069"/>
      <c r="HPG287" s="1069"/>
      <c r="HPH287" s="1069"/>
      <c r="HPI287" s="1069"/>
      <c r="HPJ287" s="1069"/>
      <c r="HPK287" s="1069"/>
      <c r="HPL287" s="1069"/>
      <c r="HPM287" s="1069"/>
      <c r="HPN287" s="1069"/>
      <c r="HPO287" s="1069"/>
      <c r="HPP287" s="1069"/>
      <c r="HPQ287" s="1069"/>
      <c r="HPR287" s="1069"/>
      <c r="HPS287" s="1069"/>
      <c r="HPT287" s="1069"/>
      <c r="HPU287" s="1069"/>
      <c r="HPV287" s="1069"/>
      <c r="HPW287" s="1069"/>
      <c r="HPX287" s="1069"/>
      <c r="HPY287" s="1069"/>
      <c r="HPZ287" s="1069"/>
      <c r="HQA287" s="1069"/>
      <c r="HQB287" s="1069"/>
      <c r="HQC287" s="1069"/>
      <c r="HQD287" s="1069"/>
      <c r="HQE287" s="1069"/>
      <c r="HQF287" s="1069"/>
      <c r="HQG287" s="1069"/>
      <c r="HQH287" s="1069"/>
      <c r="HQI287" s="1069"/>
      <c r="HQJ287" s="1069"/>
      <c r="HQK287" s="1069"/>
      <c r="HQL287" s="1069"/>
      <c r="HQM287" s="1069"/>
      <c r="HQN287" s="1069"/>
      <c r="HQO287" s="1069"/>
      <c r="HQP287" s="1069"/>
      <c r="HQQ287" s="1069"/>
      <c r="HQR287" s="1069"/>
      <c r="HQS287" s="1069"/>
      <c r="HQT287" s="1069"/>
      <c r="HQU287" s="1069"/>
      <c r="HQV287" s="1069"/>
      <c r="HQW287" s="1069"/>
      <c r="HQX287" s="1069"/>
      <c r="HQY287" s="1069"/>
      <c r="HQZ287" s="1069"/>
      <c r="HRA287" s="1069"/>
      <c r="HRB287" s="1069"/>
      <c r="HRC287" s="1069"/>
      <c r="HRD287" s="1069"/>
      <c r="HRE287" s="1069"/>
      <c r="HRF287" s="1069"/>
      <c r="HRG287" s="1069"/>
      <c r="HRH287" s="1069"/>
      <c r="HRI287" s="1069"/>
      <c r="HRJ287" s="1069"/>
      <c r="HRK287" s="1069"/>
      <c r="HRL287" s="1069"/>
      <c r="HRM287" s="1069"/>
      <c r="HRN287" s="1069"/>
      <c r="HRO287" s="1069"/>
      <c r="HRP287" s="1069"/>
      <c r="HRQ287" s="1069"/>
      <c r="HRR287" s="1069"/>
      <c r="HRS287" s="1069"/>
      <c r="HRT287" s="1069"/>
      <c r="HRU287" s="1069"/>
      <c r="HRV287" s="1069"/>
      <c r="HRW287" s="1069"/>
      <c r="HRX287" s="1069"/>
      <c r="HRY287" s="1069"/>
      <c r="HRZ287" s="1069"/>
      <c r="HSA287" s="1069"/>
      <c r="HSB287" s="1069"/>
      <c r="HSC287" s="1069"/>
      <c r="HSD287" s="1069"/>
      <c r="HSE287" s="1069"/>
      <c r="HSF287" s="1069"/>
      <c r="HSG287" s="1069"/>
      <c r="HSH287" s="1069"/>
      <c r="HSI287" s="1069"/>
      <c r="HSJ287" s="1069"/>
      <c r="HSK287" s="1069"/>
      <c r="HSL287" s="1069"/>
      <c r="HSM287" s="1069"/>
      <c r="HSN287" s="1069"/>
      <c r="HSO287" s="1069"/>
      <c r="HSP287" s="1069"/>
      <c r="HSQ287" s="1069"/>
      <c r="HSR287" s="1069"/>
      <c r="HSS287" s="1069"/>
      <c r="HST287" s="1069"/>
      <c r="HSU287" s="1069"/>
      <c r="HSV287" s="1069"/>
      <c r="HSW287" s="1069"/>
      <c r="HSX287" s="1069"/>
      <c r="HSY287" s="1069"/>
      <c r="HSZ287" s="1069"/>
      <c r="HTA287" s="1069"/>
      <c r="HTB287" s="1069"/>
      <c r="HTC287" s="1069"/>
      <c r="HTD287" s="1069"/>
      <c r="HTE287" s="1069"/>
      <c r="HTF287" s="1069"/>
      <c r="HTG287" s="1069"/>
      <c r="HTH287" s="1069"/>
      <c r="HTI287" s="1069"/>
      <c r="HTJ287" s="1069"/>
      <c r="HTK287" s="1069"/>
      <c r="HTL287" s="1069"/>
      <c r="HTM287" s="1069"/>
      <c r="HTN287" s="1069"/>
      <c r="HTO287" s="1069"/>
      <c r="HTP287" s="1069"/>
      <c r="HTQ287" s="1069"/>
      <c r="HTR287" s="1069"/>
      <c r="HTS287" s="1069"/>
      <c r="HTT287" s="1069"/>
      <c r="HTU287" s="1069"/>
      <c r="HTV287" s="1069"/>
      <c r="HTW287" s="1069"/>
      <c r="HTX287" s="1069"/>
      <c r="HTY287" s="1069"/>
      <c r="HTZ287" s="1069"/>
      <c r="HUA287" s="1069"/>
      <c r="HUB287" s="1069"/>
      <c r="HUC287" s="1069"/>
      <c r="HUD287" s="1069"/>
      <c r="HUE287" s="1069"/>
      <c r="HUF287" s="1069"/>
      <c r="HUG287" s="1069"/>
      <c r="HUH287" s="1069"/>
      <c r="HUI287" s="1069"/>
      <c r="HUJ287" s="1069"/>
      <c r="HUK287" s="1069"/>
      <c r="HUL287" s="1069"/>
      <c r="HUM287" s="1069"/>
      <c r="HUN287" s="1069"/>
      <c r="HUO287" s="1069"/>
      <c r="HUP287" s="1069"/>
      <c r="HUQ287" s="1069"/>
      <c r="HUR287" s="1069"/>
      <c r="HUS287" s="1069"/>
      <c r="HUT287" s="1069"/>
      <c r="HUU287" s="1069"/>
      <c r="HUV287" s="1069"/>
      <c r="HUW287" s="1069"/>
      <c r="HUX287" s="1069"/>
      <c r="HUY287" s="1069"/>
      <c r="HUZ287" s="1069"/>
      <c r="HVA287" s="1069"/>
      <c r="HVB287" s="1069"/>
      <c r="HVC287" s="1069"/>
      <c r="HVD287" s="1069"/>
      <c r="HVE287" s="1069"/>
      <c r="HVF287" s="1069"/>
      <c r="HVG287" s="1069"/>
      <c r="HVH287" s="1069"/>
      <c r="HVI287" s="1069"/>
      <c r="HVJ287" s="1069"/>
      <c r="HVK287" s="1069"/>
      <c r="HVL287" s="1069"/>
      <c r="HVM287" s="1069"/>
      <c r="HVN287" s="1069"/>
      <c r="HVO287" s="1069"/>
      <c r="HVP287" s="1069"/>
      <c r="HVQ287" s="1069"/>
      <c r="HVR287" s="1069"/>
      <c r="HVS287" s="1069"/>
      <c r="HVT287" s="1069"/>
      <c r="HVU287" s="1069"/>
      <c r="HVV287" s="1069"/>
      <c r="HVW287" s="1069"/>
      <c r="HVX287" s="1069"/>
      <c r="HVY287" s="1069"/>
      <c r="HVZ287" s="1069"/>
      <c r="HWA287" s="1069"/>
      <c r="HWB287" s="1069"/>
      <c r="HWC287" s="1069"/>
      <c r="HWD287" s="1069"/>
      <c r="HWE287" s="1069"/>
      <c r="HWF287" s="1069"/>
      <c r="HWG287" s="1069"/>
      <c r="HWH287" s="1069"/>
      <c r="HWI287" s="1069"/>
      <c r="HWJ287" s="1069"/>
      <c r="HWK287" s="1069"/>
      <c r="HWL287" s="1069"/>
      <c r="HWM287" s="1069"/>
      <c r="HWN287" s="1069"/>
      <c r="HWO287" s="1069"/>
      <c r="HWP287" s="1069"/>
      <c r="HWQ287" s="1069"/>
      <c r="HWR287" s="1069"/>
      <c r="HWS287" s="1069"/>
      <c r="HWT287" s="1069"/>
      <c r="HWU287" s="1069"/>
      <c r="HWV287" s="1069"/>
      <c r="HWW287" s="1069"/>
      <c r="HWX287" s="1069"/>
      <c r="HWY287" s="1069"/>
      <c r="HWZ287" s="1069"/>
      <c r="HXA287" s="1069"/>
      <c r="HXB287" s="1069"/>
      <c r="HXC287" s="1069"/>
      <c r="HXD287" s="1069"/>
      <c r="HXE287" s="1069"/>
      <c r="HXF287" s="1069"/>
      <c r="HXG287" s="1069"/>
      <c r="HXH287" s="1069"/>
      <c r="HXI287" s="1069"/>
      <c r="HXJ287" s="1069"/>
      <c r="HXK287" s="1069"/>
      <c r="HXL287" s="1069"/>
      <c r="HXM287" s="1069"/>
      <c r="HXN287" s="1069"/>
      <c r="HXO287" s="1069"/>
      <c r="HXP287" s="1069"/>
      <c r="HXQ287" s="1069"/>
      <c r="HXR287" s="1069"/>
      <c r="HXS287" s="1069"/>
      <c r="HXT287" s="1069"/>
      <c r="HXU287" s="1069"/>
      <c r="HXV287" s="1069"/>
      <c r="HXW287" s="1069"/>
      <c r="HXX287" s="1069"/>
      <c r="HXY287" s="1069"/>
      <c r="HXZ287" s="1069"/>
      <c r="HYA287" s="1069"/>
      <c r="HYB287" s="1069"/>
      <c r="HYC287" s="1069"/>
      <c r="HYD287" s="1069"/>
      <c r="HYE287" s="1069"/>
      <c r="HYF287" s="1069"/>
      <c r="HYG287" s="1069"/>
      <c r="HYH287" s="1069"/>
      <c r="HYI287" s="1069"/>
      <c r="HYJ287" s="1069"/>
      <c r="HYK287" s="1069"/>
      <c r="HYL287" s="1069"/>
      <c r="HYM287" s="1069"/>
      <c r="HYN287" s="1069"/>
      <c r="HYO287" s="1069"/>
      <c r="HYP287" s="1069"/>
      <c r="HYQ287" s="1069"/>
      <c r="HYR287" s="1069"/>
      <c r="HYS287" s="1069"/>
      <c r="HYT287" s="1069"/>
      <c r="HYU287" s="1069"/>
      <c r="HYV287" s="1069"/>
      <c r="HYW287" s="1069"/>
      <c r="HYX287" s="1069"/>
      <c r="HYY287" s="1069"/>
      <c r="HYZ287" s="1069"/>
      <c r="HZA287" s="1069"/>
      <c r="HZB287" s="1069"/>
      <c r="HZC287" s="1069"/>
      <c r="HZD287" s="1069"/>
      <c r="HZE287" s="1069"/>
      <c r="HZF287" s="1069"/>
      <c r="HZG287" s="1069"/>
      <c r="HZH287" s="1069"/>
      <c r="HZI287" s="1069"/>
      <c r="HZJ287" s="1069"/>
      <c r="HZK287" s="1069"/>
      <c r="HZL287" s="1069"/>
      <c r="HZM287" s="1069"/>
      <c r="HZN287" s="1069"/>
      <c r="HZO287" s="1069"/>
      <c r="HZP287" s="1069"/>
      <c r="HZQ287" s="1069"/>
      <c r="HZR287" s="1069"/>
      <c r="HZS287" s="1069"/>
      <c r="HZT287" s="1069"/>
      <c r="HZU287" s="1069"/>
      <c r="HZV287" s="1069"/>
      <c r="HZW287" s="1069"/>
      <c r="HZX287" s="1069"/>
      <c r="HZY287" s="1069"/>
      <c r="HZZ287" s="1069"/>
      <c r="IAA287" s="1069"/>
      <c r="IAB287" s="1069"/>
      <c r="IAC287" s="1069"/>
      <c r="IAD287" s="1069"/>
      <c r="IAE287" s="1069"/>
      <c r="IAF287" s="1069"/>
      <c r="IAG287" s="1069"/>
      <c r="IAH287" s="1069"/>
      <c r="IAI287" s="1069"/>
      <c r="IAJ287" s="1069"/>
      <c r="IAK287" s="1069"/>
      <c r="IAL287" s="1069"/>
      <c r="IAM287" s="1069"/>
      <c r="IAN287" s="1069"/>
      <c r="IAO287" s="1069"/>
      <c r="IAP287" s="1069"/>
      <c r="IAQ287" s="1069"/>
      <c r="IAR287" s="1069"/>
      <c r="IAS287" s="1069"/>
      <c r="IAT287" s="1069"/>
      <c r="IAU287" s="1069"/>
      <c r="IAV287" s="1069"/>
      <c r="IAW287" s="1069"/>
      <c r="IAX287" s="1069"/>
      <c r="IAY287" s="1069"/>
      <c r="IAZ287" s="1069"/>
      <c r="IBA287" s="1069"/>
      <c r="IBB287" s="1069"/>
      <c r="IBC287" s="1069"/>
      <c r="IBD287" s="1069"/>
      <c r="IBE287" s="1069"/>
      <c r="IBF287" s="1069"/>
      <c r="IBG287" s="1069"/>
      <c r="IBH287" s="1069"/>
      <c r="IBI287" s="1069"/>
      <c r="IBJ287" s="1069"/>
      <c r="IBK287" s="1069"/>
      <c r="IBL287" s="1069"/>
      <c r="IBM287" s="1069"/>
      <c r="IBN287" s="1069"/>
      <c r="IBO287" s="1069"/>
      <c r="IBP287" s="1069"/>
      <c r="IBQ287" s="1069"/>
      <c r="IBR287" s="1069"/>
      <c r="IBS287" s="1069"/>
      <c r="IBT287" s="1069"/>
      <c r="IBU287" s="1069"/>
      <c r="IBV287" s="1069"/>
      <c r="IBW287" s="1069"/>
      <c r="IBX287" s="1069"/>
      <c r="IBY287" s="1069"/>
      <c r="IBZ287" s="1069"/>
      <c r="ICA287" s="1069"/>
      <c r="ICB287" s="1069"/>
      <c r="ICC287" s="1069"/>
      <c r="ICD287" s="1069"/>
      <c r="ICE287" s="1069"/>
      <c r="ICF287" s="1069"/>
      <c r="ICG287" s="1069"/>
      <c r="ICH287" s="1069"/>
      <c r="ICI287" s="1069"/>
      <c r="ICJ287" s="1069"/>
      <c r="ICK287" s="1069"/>
      <c r="ICL287" s="1069"/>
      <c r="ICM287" s="1069"/>
      <c r="ICN287" s="1069"/>
      <c r="ICO287" s="1069"/>
      <c r="ICP287" s="1069"/>
      <c r="ICQ287" s="1069"/>
      <c r="ICR287" s="1069"/>
      <c r="ICS287" s="1069"/>
      <c r="ICT287" s="1069"/>
      <c r="ICU287" s="1069"/>
      <c r="ICV287" s="1069"/>
      <c r="ICW287" s="1069"/>
      <c r="ICX287" s="1069"/>
      <c r="ICY287" s="1069"/>
      <c r="ICZ287" s="1069"/>
      <c r="IDA287" s="1069"/>
      <c r="IDB287" s="1069"/>
      <c r="IDC287" s="1069"/>
      <c r="IDD287" s="1069"/>
      <c r="IDE287" s="1069"/>
      <c r="IDF287" s="1069"/>
      <c r="IDG287" s="1069"/>
      <c r="IDH287" s="1069"/>
      <c r="IDI287" s="1069"/>
      <c r="IDJ287" s="1069"/>
      <c r="IDK287" s="1069"/>
      <c r="IDL287" s="1069"/>
      <c r="IDM287" s="1069"/>
      <c r="IDN287" s="1069"/>
      <c r="IDO287" s="1069"/>
      <c r="IDP287" s="1069"/>
      <c r="IDQ287" s="1069"/>
      <c r="IDR287" s="1069"/>
      <c r="IDS287" s="1069"/>
      <c r="IDT287" s="1069"/>
      <c r="IDU287" s="1069"/>
      <c r="IDV287" s="1069"/>
      <c r="IDW287" s="1069"/>
      <c r="IDX287" s="1069"/>
      <c r="IDY287" s="1069"/>
      <c r="IDZ287" s="1069"/>
      <c r="IEA287" s="1069"/>
      <c r="IEB287" s="1069"/>
      <c r="IEC287" s="1069"/>
      <c r="IED287" s="1069"/>
      <c r="IEE287" s="1069"/>
      <c r="IEF287" s="1069"/>
      <c r="IEG287" s="1069"/>
      <c r="IEH287" s="1069"/>
      <c r="IEI287" s="1069"/>
      <c r="IEJ287" s="1069"/>
      <c r="IEK287" s="1069"/>
      <c r="IEL287" s="1069"/>
      <c r="IEM287" s="1069"/>
      <c r="IEN287" s="1069"/>
      <c r="IEO287" s="1069"/>
      <c r="IEP287" s="1069"/>
      <c r="IEQ287" s="1069"/>
      <c r="IER287" s="1069"/>
      <c r="IES287" s="1069"/>
      <c r="IET287" s="1069"/>
      <c r="IEU287" s="1069"/>
      <c r="IEV287" s="1069"/>
      <c r="IEW287" s="1069"/>
      <c r="IEX287" s="1069"/>
      <c r="IEY287" s="1069"/>
      <c r="IEZ287" s="1069"/>
      <c r="IFA287" s="1069"/>
      <c r="IFB287" s="1069"/>
      <c r="IFC287" s="1069"/>
      <c r="IFD287" s="1069"/>
      <c r="IFE287" s="1069"/>
      <c r="IFF287" s="1069"/>
      <c r="IFG287" s="1069"/>
      <c r="IFH287" s="1069"/>
      <c r="IFI287" s="1069"/>
      <c r="IFJ287" s="1069"/>
      <c r="IFK287" s="1069"/>
      <c r="IFL287" s="1069"/>
      <c r="IFM287" s="1069"/>
      <c r="IFN287" s="1069"/>
      <c r="IFO287" s="1069"/>
      <c r="IFP287" s="1069"/>
      <c r="IFQ287" s="1069"/>
      <c r="IFR287" s="1069"/>
      <c r="IFS287" s="1069"/>
      <c r="IFT287" s="1069"/>
      <c r="IFU287" s="1069"/>
      <c r="IFV287" s="1069"/>
      <c r="IFW287" s="1069"/>
      <c r="IFX287" s="1069"/>
      <c r="IFY287" s="1069"/>
      <c r="IFZ287" s="1069"/>
      <c r="IGA287" s="1069"/>
      <c r="IGB287" s="1069"/>
      <c r="IGC287" s="1069"/>
      <c r="IGD287" s="1069"/>
      <c r="IGE287" s="1069"/>
      <c r="IGF287" s="1069"/>
      <c r="IGG287" s="1069"/>
      <c r="IGH287" s="1069"/>
      <c r="IGI287" s="1069"/>
      <c r="IGJ287" s="1069"/>
      <c r="IGK287" s="1069"/>
      <c r="IGL287" s="1069"/>
      <c r="IGM287" s="1069"/>
      <c r="IGN287" s="1069"/>
      <c r="IGO287" s="1069"/>
      <c r="IGP287" s="1069"/>
      <c r="IGQ287" s="1069"/>
      <c r="IGR287" s="1069"/>
      <c r="IGS287" s="1069"/>
      <c r="IGT287" s="1069"/>
      <c r="IGU287" s="1069"/>
      <c r="IGV287" s="1069"/>
      <c r="IGW287" s="1069"/>
      <c r="IGX287" s="1069"/>
      <c r="IGY287" s="1069"/>
      <c r="IGZ287" s="1069"/>
      <c r="IHA287" s="1069"/>
      <c r="IHB287" s="1069"/>
      <c r="IHC287" s="1069"/>
      <c r="IHD287" s="1069"/>
      <c r="IHE287" s="1069"/>
      <c r="IHF287" s="1069"/>
      <c r="IHG287" s="1069"/>
      <c r="IHH287" s="1069"/>
      <c r="IHI287" s="1069"/>
      <c r="IHJ287" s="1069"/>
      <c r="IHK287" s="1069"/>
      <c r="IHL287" s="1069"/>
      <c r="IHM287" s="1069"/>
      <c r="IHN287" s="1069"/>
      <c r="IHO287" s="1069"/>
      <c r="IHP287" s="1069"/>
      <c r="IHQ287" s="1069"/>
      <c r="IHR287" s="1069"/>
      <c r="IHS287" s="1069"/>
      <c r="IHT287" s="1069"/>
      <c r="IHU287" s="1069"/>
      <c r="IHV287" s="1069"/>
      <c r="IHW287" s="1069"/>
      <c r="IHX287" s="1069"/>
      <c r="IHY287" s="1069"/>
      <c r="IHZ287" s="1069"/>
      <c r="IIA287" s="1069"/>
      <c r="IIB287" s="1069"/>
      <c r="IIC287" s="1069"/>
      <c r="IID287" s="1069"/>
      <c r="IIE287" s="1069"/>
      <c r="IIF287" s="1069"/>
      <c r="IIG287" s="1069"/>
      <c r="IIH287" s="1069"/>
      <c r="III287" s="1069"/>
      <c r="IIJ287" s="1069"/>
      <c r="IIK287" s="1069"/>
      <c r="IIL287" s="1069"/>
      <c r="IIM287" s="1069"/>
      <c r="IIN287" s="1069"/>
      <c r="IIO287" s="1069"/>
      <c r="IIP287" s="1069"/>
      <c r="IIQ287" s="1069"/>
      <c r="IIR287" s="1069"/>
      <c r="IIS287" s="1069"/>
      <c r="IIT287" s="1069"/>
      <c r="IIU287" s="1069"/>
      <c r="IIV287" s="1069"/>
      <c r="IIW287" s="1069"/>
      <c r="IIX287" s="1069"/>
      <c r="IIY287" s="1069"/>
      <c r="IIZ287" s="1069"/>
      <c r="IJA287" s="1069"/>
      <c r="IJB287" s="1069"/>
      <c r="IJC287" s="1069"/>
      <c r="IJD287" s="1069"/>
      <c r="IJE287" s="1069"/>
      <c r="IJF287" s="1069"/>
      <c r="IJG287" s="1069"/>
      <c r="IJH287" s="1069"/>
      <c r="IJI287" s="1069"/>
      <c r="IJJ287" s="1069"/>
      <c r="IJK287" s="1069"/>
      <c r="IJL287" s="1069"/>
      <c r="IJM287" s="1069"/>
      <c r="IJN287" s="1069"/>
      <c r="IJO287" s="1069"/>
      <c r="IJP287" s="1069"/>
      <c r="IJQ287" s="1069"/>
      <c r="IJR287" s="1069"/>
      <c r="IJS287" s="1069"/>
      <c r="IJT287" s="1069"/>
      <c r="IJU287" s="1069"/>
      <c r="IJV287" s="1069"/>
      <c r="IJW287" s="1069"/>
      <c r="IJX287" s="1069"/>
      <c r="IJY287" s="1069"/>
      <c r="IJZ287" s="1069"/>
      <c r="IKA287" s="1069"/>
      <c r="IKB287" s="1069"/>
      <c r="IKC287" s="1069"/>
      <c r="IKD287" s="1069"/>
      <c r="IKE287" s="1069"/>
      <c r="IKF287" s="1069"/>
      <c r="IKG287" s="1069"/>
      <c r="IKH287" s="1069"/>
      <c r="IKI287" s="1069"/>
      <c r="IKJ287" s="1069"/>
      <c r="IKK287" s="1069"/>
      <c r="IKL287" s="1069"/>
      <c r="IKM287" s="1069"/>
      <c r="IKN287" s="1069"/>
      <c r="IKO287" s="1069"/>
      <c r="IKP287" s="1069"/>
      <c r="IKQ287" s="1069"/>
      <c r="IKR287" s="1069"/>
      <c r="IKS287" s="1069"/>
      <c r="IKT287" s="1069"/>
      <c r="IKU287" s="1069"/>
      <c r="IKV287" s="1069"/>
      <c r="IKW287" s="1069"/>
      <c r="IKX287" s="1069"/>
      <c r="IKY287" s="1069"/>
      <c r="IKZ287" s="1069"/>
      <c r="ILA287" s="1069"/>
      <c r="ILB287" s="1069"/>
      <c r="ILC287" s="1069"/>
      <c r="ILD287" s="1069"/>
      <c r="ILE287" s="1069"/>
      <c r="ILF287" s="1069"/>
      <c r="ILG287" s="1069"/>
      <c r="ILH287" s="1069"/>
      <c r="ILI287" s="1069"/>
      <c r="ILJ287" s="1069"/>
      <c r="ILK287" s="1069"/>
      <c r="ILL287" s="1069"/>
      <c r="ILM287" s="1069"/>
      <c r="ILN287" s="1069"/>
      <c r="ILO287" s="1069"/>
      <c r="ILP287" s="1069"/>
      <c r="ILQ287" s="1069"/>
      <c r="ILR287" s="1069"/>
      <c r="ILS287" s="1069"/>
      <c r="ILT287" s="1069"/>
      <c r="ILU287" s="1069"/>
      <c r="ILV287" s="1069"/>
      <c r="ILW287" s="1069"/>
      <c r="ILX287" s="1069"/>
      <c r="ILY287" s="1069"/>
      <c r="ILZ287" s="1069"/>
      <c r="IMA287" s="1069"/>
      <c r="IMB287" s="1069"/>
      <c r="IMC287" s="1069"/>
      <c r="IMD287" s="1069"/>
      <c r="IME287" s="1069"/>
      <c r="IMF287" s="1069"/>
      <c r="IMG287" s="1069"/>
      <c r="IMH287" s="1069"/>
      <c r="IMI287" s="1069"/>
      <c r="IMJ287" s="1069"/>
      <c r="IMK287" s="1069"/>
      <c r="IML287" s="1069"/>
      <c r="IMM287" s="1069"/>
      <c r="IMN287" s="1069"/>
      <c r="IMO287" s="1069"/>
      <c r="IMP287" s="1069"/>
      <c r="IMQ287" s="1069"/>
      <c r="IMR287" s="1069"/>
      <c r="IMS287" s="1069"/>
      <c r="IMT287" s="1069"/>
      <c r="IMU287" s="1069"/>
      <c r="IMV287" s="1069"/>
      <c r="IMW287" s="1069"/>
      <c r="IMX287" s="1069"/>
      <c r="IMY287" s="1069"/>
      <c r="IMZ287" s="1069"/>
      <c r="INA287" s="1069"/>
      <c r="INB287" s="1069"/>
      <c r="INC287" s="1069"/>
      <c r="IND287" s="1069"/>
      <c r="INE287" s="1069"/>
      <c r="INF287" s="1069"/>
      <c r="ING287" s="1069"/>
      <c r="INH287" s="1069"/>
      <c r="INI287" s="1069"/>
      <c r="INJ287" s="1069"/>
      <c r="INK287" s="1069"/>
      <c r="INL287" s="1069"/>
      <c r="INM287" s="1069"/>
      <c r="INN287" s="1069"/>
      <c r="INO287" s="1069"/>
      <c r="INP287" s="1069"/>
      <c r="INQ287" s="1069"/>
      <c r="INR287" s="1069"/>
      <c r="INS287" s="1069"/>
      <c r="INT287" s="1069"/>
      <c r="INU287" s="1069"/>
      <c r="INV287" s="1069"/>
      <c r="INW287" s="1069"/>
      <c r="INX287" s="1069"/>
      <c r="INY287" s="1069"/>
      <c r="INZ287" s="1069"/>
      <c r="IOA287" s="1069"/>
      <c r="IOB287" s="1069"/>
      <c r="IOC287" s="1069"/>
      <c r="IOD287" s="1069"/>
      <c r="IOE287" s="1069"/>
      <c r="IOF287" s="1069"/>
      <c r="IOG287" s="1069"/>
      <c r="IOH287" s="1069"/>
      <c r="IOI287" s="1069"/>
      <c r="IOJ287" s="1069"/>
      <c r="IOK287" s="1069"/>
      <c r="IOL287" s="1069"/>
      <c r="IOM287" s="1069"/>
      <c r="ION287" s="1069"/>
      <c r="IOO287" s="1069"/>
      <c r="IOP287" s="1069"/>
      <c r="IOQ287" s="1069"/>
      <c r="IOR287" s="1069"/>
      <c r="IOS287" s="1069"/>
      <c r="IOT287" s="1069"/>
      <c r="IOU287" s="1069"/>
      <c r="IOV287" s="1069"/>
      <c r="IOW287" s="1069"/>
      <c r="IOX287" s="1069"/>
      <c r="IOY287" s="1069"/>
      <c r="IOZ287" s="1069"/>
      <c r="IPA287" s="1069"/>
      <c r="IPB287" s="1069"/>
      <c r="IPC287" s="1069"/>
      <c r="IPD287" s="1069"/>
      <c r="IPE287" s="1069"/>
      <c r="IPF287" s="1069"/>
      <c r="IPG287" s="1069"/>
      <c r="IPH287" s="1069"/>
      <c r="IPI287" s="1069"/>
      <c r="IPJ287" s="1069"/>
      <c r="IPK287" s="1069"/>
      <c r="IPL287" s="1069"/>
      <c r="IPM287" s="1069"/>
      <c r="IPN287" s="1069"/>
      <c r="IPO287" s="1069"/>
      <c r="IPP287" s="1069"/>
      <c r="IPQ287" s="1069"/>
      <c r="IPR287" s="1069"/>
      <c r="IPS287" s="1069"/>
      <c r="IPT287" s="1069"/>
      <c r="IPU287" s="1069"/>
      <c r="IPV287" s="1069"/>
      <c r="IPW287" s="1069"/>
      <c r="IPX287" s="1069"/>
      <c r="IPY287" s="1069"/>
      <c r="IPZ287" s="1069"/>
      <c r="IQA287" s="1069"/>
      <c r="IQB287" s="1069"/>
      <c r="IQC287" s="1069"/>
      <c r="IQD287" s="1069"/>
      <c r="IQE287" s="1069"/>
      <c r="IQF287" s="1069"/>
      <c r="IQG287" s="1069"/>
      <c r="IQH287" s="1069"/>
      <c r="IQI287" s="1069"/>
      <c r="IQJ287" s="1069"/>
      <c r="IQK287" s="1069"/>
      <c r="IQL287" s="1069"/>
      <c r="IQM287" s="1069"/>
      <c r="IQN287" s="1069"/>
      <c r="IQO287" s="1069"/>
      <c r="IQP287" s="1069"/>
      <c r="IQQ287" s="1069"/>
      <c r="IQR287" s="1069"/>
      <c r="IQS287" s="1069"/>
      <c r="IQT287" s="1069"/>
      <c r="IQU287" s="1069"/>
      <c r="IQV287" s="1069"/>
      <c r="IQW287" s="1069"/>
      <c r="IQX287" s="1069"/>
      <c r="IQY287" s="1069"/>
      <c r="IQZ287" s="1069"/>
      <c r="IRA287" s="1069"/>
      <c r="IRB287" s="1069"/>
      <c r="IRC287" s="1069"/>
      <c r="IRD287" s="1069"/>
      <c r="IRE287" s="1069"/>
      <c r="IRF287" s="1069"/>
      <c r="IRG287" s="1069"/>
      <c r="IRH287" s="1069"/>
      <c r="IRI287" s="1069"/>
      <c r="IRJ287" s="1069"/>
      <c r="IRK287" s="1069"/>
      <c r="IRL287" s="1069"/>
      <c r="IRM287" s="1069"/>
      <c r="IRN287" s="1069"/>
      <c r="IRO287" s="1069"/>
      <c r="IRP287" s="1069"/>
      <c r="IRQ287" s="1069"/>
      <c r="IRR287" s="1069"/>
      <c r="IRS287" s="1069"/>
      <c r="IRT287" s="1069"/>
      <c r="IRU287" s="1069"/>
      <c r="IRV287" s="1069"/>
      <c r="IRW287" s="1069"/>
      <c r="IRX287" s="1069"/>
      <c r="IRY287" s="1069"/>
      <c r="IRZ287" s="1069"/>
      <c r="ISA287" s="1069"/>
      <c r="ISB287" s="1069"/>
      <c r="ISC287" s="1069"/>
      <c r="ISD287" s="1069"/>
      <c r="ISE287" s="1069"/>
      <c r="ISF287" s="1069"/>
      <c r="ISG287" s="1069"/>
      <c r="ISH287" s="1069"/>
      <c r="ISI287" s="1069"/>
      <c r="ISJ287" s="1069"/>
      <c r="ISK287" s="1069"/>
      <c r="ISL287" s="1069"/>
      <c r="ISM287" s="1069"/>
      <c r="ISN287" s="1069"/>
      <c r="ISO287" s="1069"/>
      <c r="ISP287" s="1069"/>
      <c r="ISQ287" s="1069"/>
      <c r="ISR287" s="1069"/>
      <c r="ISS287" s="1069"/>
      <c r="IST287" s="1069"/>
      <c r="ISU287" s="1069"/>
      <c r="ISV287" s="1069"/>
      <c r="ISW287" s="1069"/>
      <c r="ISX287" s="1069"/>
      <c r="ISY287" s="1069"/>
      <c r="ISZ287" s="1069"/>
      <c r="ITA287" s="1069"/>
      <c r="ITB287" s="1069"/>
      <c r="ITC287" s="1069"/>
      <c r="ITD287" s="1069"/>
      <c r="ITE287" s="1069"/>
      <c r="ITF287" s="1069"/>
      <c r="ITG287" s="1069"/>
      <c r="ITH287" s="1069"/>
      <c r="ITI287" s="1069"/>
      <c r="ITJ287" s="1069"/>
      <c r="ITK287" s="1069"/>
      <c r="ITL287" s="1069"/>
      <c r="ITM287" s="1069"/>
      <c r="ITN287" s="1069"/>
      <c r="ITO287" s="1069"/>
      <c r="ITP287" s="1069"/>
      <c r="ITQ287" s="1069"/>
      <c r="ITR287" s="1069"/>
      <c r="ITS287" s="1069"/>
      <c r="ITT287" s="1069"/>
      <c r="ITU287" s="1069"/>
      <c r="ITV287" s="1069"/>
      <c r="ITW287" s="1069"/>
      <c r="ITX287" s="1069"/>
      <c r="ITY287" s="1069"/>
      <c r="ITZ287" s="1069"/>
      <c r="IUA287" s="1069"/>
      <c r="IUB287" s="1069"/>
      <c r="IUC287" s="1069"/>
      <c r="IUD287" s="1069"/>
      <c r="IUE287" s="1069"/>
      <c r="IUF287" s="1069"/>
      <c r="IUG287" s="1069"/>
      <c r="IUH287" s="1069"/>
      <c r="IUI287" s="1069"/>
      <c r="IUJ287" s="1069"/>
      <c r="IUK287" s="1069"/>
      <c r="IUL287" s="1069"/>
      <c r="IUM287" s="1069"/>
      <c r="IUN287" s="1069"/>
      <c r="IUO287" s="1069"/>
      <c r="IUP287" s="1069"/>
      <c r="IUQ287" s="1069"/>
      <c r="IUR287" s="1069"/>
      <c r="IUS287" s="1069"/>
      <c r="IUT287" s="1069"/>
      <c r="IUU287" s="1069"/>
      <c r="IUV287" s="1069"/>
      <c r="IUW287" s="1069"/>
      <c r="IUX287" s="1069"/>
      <c r="IUY287" s="1069"/>
      <c r="IUZ287" s="1069"/>
      <c r="IVA287" s="1069"/>
      <c r="IVB287" s="1069"/>
      <c r="IVC287" s="1069"/>
      <c r="IVD287" s="1069"/>
      <c r="IVE287" s="1069"/>
      <c r="IVF287" s="1069"/>
      <c r="IVG287" s="1069"/>
      <c r="IVH287" s="1069"/>
      <c r="IVI287" s="1069"/>
      <c r="IVJ287" s="1069"/>
      <c r="IVK287" s="1069"/>
      <c r="IVL287" s="1069"/>
      <c r="IVM287" s="1069"/>
      <c r="IVN287" s="1069"/>
      <c r="IVO287" s="1069"/>
      <c r="IVP287" s="1069"/>
      <c r="IVQ287" s="1069"/>
      <c r="IVR287" s="1069"/>
      <c r="IVS287" s="1069"/>
      <c r="IVT287" s="1069"/>
      <c r="IVU287" s="1069"/>
      <c r="IVV287" s="1069"/>
      <c r="IVW287" s="1069"/>
      <c r="IVX287" s="1069"/>
      <c r="IVY287" s="1069"/>
      <c r="IVZ287" s="1069"/>
      <c r="IWA287" s="1069"/>
      <c r="IWB287" s="1069"/>
      <c r="IWC287" s="1069"/>
      <c r="IWD287" s="1069"/>
      <c r="IWE287" s="1069"/>
      <c r="IWF287" s="1069"/>
      <c r="IWG287" s="1069"/>
      <c r="IWH287" s="1069"/>
      <c r="IWI287" s="1069"/>
      <c r="IWJ287" s="1069"/>
      <c r="IWK287" s="1069"/>
      <c r="IWL287" s="1069"/>
      <c r="IWM287" s="1069"/>
      <c r="IWN287" s="1069"/>
      <c r="IWO287" s="1069"/>
      <c r="IWP287" s="1069"/>
      <c r="IWQ287" s="1069"/>
      <c r="IWR287" s="1069"/>
      <c r="IWS287" s="1069"/>
      <c r="IWT287" s="1069"/>
      <c r="IWU287" s="1069"/>
      <c r="IWV287" s="1069"/>
      <c r="IWW287" s="1069"/>
      <c r="IWX287" s="1069"/>
      <c r="IWY287" s="1069"/>
      <c r="IWZ287" s="1069"/>
      <c r="IXA287" s="1069"/>
      <c r="IXB287" s="1069"/>
      <c r="IXC287" s="1069"/>
      <c r="IXD287" s="1069"/>
      <c r="IXE287" s="1069"/>
      <c r="IXF287" s="1069"/>
      <c r="IXG287" s="1069"/>
      <c r="IXH287" s="1069"/>
      <c r="IXI287" s="1069"/>
      <c r="IXJ287" s="1069"/>
      <c r="IXK287" s="1069"/>
      <c r="IXL287" s="1069"/>
      <c r="IXM287" s="1069"/>
      <c r="IXN287" s="1069"/>
      <c r="IXO287" s="1069"/>
      <c r="IXP287" s="1069"/>
      <c r="IXQ287" s="1069"/>
      <c r="IXR287" s="1069"/>
      <c r="IXS287" s="1069"/>
      <c r="IXT287" s="1069"/>
      <c r="IXU287" s="1069"/>
      <c r="IXV287" s="1069"/>
      <c r="IXW287" s="1069"/>
      <c r="IXX287" s="1069"/>
      <c r="IXY287" s="1069"/>
      <c r="IXZ287" s="1069"/>
      <c r="IYA287" s="1069"/>
      <c r="IYB287" s="1069"/>
      <c r="IYC287" s="1069"/>
      <c r="IYD287" s="1069"/>
      <c r="IYE287" s="1069"/>
      <c r="IYF287" s="1069"/>
      <c r="IYG287" s="1069"/>
      <c r="IYH287" s="1069"/>
      <c r="IYI287" s="1069"/>
      <c r="IYJ287" s="1069"/>
      <c r="IYK287" s="1069"/>
      <c r="IYL287" s="1069"/>
      <c r="IYM287" s="1069"/>
      <c r="IYN287" s="1069"/>
      <c r="IYO287" s="1069"/>
      <c r="IYP287" s="1069"/>
      <c r="IYQ287" s="1069"/>
      <c r="IYR287" s="1069"/>
      <c r="IYS287" s="1069"/>
      <c r="IYT287" s="1069"/>
      <c r="IYU287" s="1069"/>
      <c r="IYV287" s="1069"/>
      <c r="IYW287" s="1069"/>
      <c r="IYX287" s="1069"/>
      <c r="IYY287" s="1069"/>
      <c r="IYZ287" s="1069"/>
      <c r="IZA287" s="1069"/>
      <c r="IZB287" s="1069"/>
      <c r="IZC287" s="1069"/>
      <c r="IZD287" s="1069"/>
      <c r="IZE287" s="1069"/>
      <c r="IZF287" s="1069"/>
      <c r="IZG287" s="1069"/>
      <c r="IZH287" s="1069"/>
      <c r="IZI287" s="1069"/>
      <c r="IZJ287" s="1069"/>
      <c r="IZK287" s="1069"/>
      <c r="IZL287" s="1069"/>
      <c r="IZM287" s="1069"/>
      <c r="IZN287" s="1069"/>
      <c r="IZO287" s="1069"/>
      <c r="IZP287" s="1069"/>
      <c r="IZQ287" s="1069"/>
      <c r="IZR287" s="1069"/>
      <c r="IZS287" s="1069"/>
      <c r="IZT287" s="1069"/>
      <c r="IZU287" s="1069"/>
      <c r="IZV287" s="1069"/>
      <c r="IZW287" s="1069"/>
      <c r="IZX287" s="1069"/>
      <c r="IZY287" s="1069"/>
      <c r="IZZ287" s="1069"/>
      <c r="JAA287" s="1069"/>
      <c r="JAB287" s="1069"/>
      <c r="JAC287" s="1069"/>
      <c r="JAD287" s="1069"/>
      <c r="JAE287" s="1069"/>
      <c r="JAF287" s="1069"/>
      <c r="JAG287" s="1069"/>
      <c r="JAH287" s="1069"/>
      <c r="JAI287" s="1069"/>
      <c r="JAJ287" s="1069"/>
      <c r="JAK287" s="1069"/>
      <c r="JAL287" s="1069"/>
      <c r="JAM287" s="1069"/>
      <c r="JAN287" s="1069"/>
      <c r="JAO287" s="1069"/>
      <c r="JAP287" s="1069"/>
      <c r="JAQ287" s="1069"/>
      <c r="JAR287" s="1069"/>
      <c r="JAS287" s="1069"/>
      <c r="JAT287" s="1069"/>
      <c r="JAU287" s="1069"/>
      <c r="JAV287" s="1069"/>
      <c r="JAW287" s="1069"/>
      <c r="JAX287" s="1069"/>
      <c r="JAY287" s="1069"/>
      <c r="JAZ287" s="1069"/>
      <c r="JBA287" s="1069"/>
      <c r="JBB287" s="1069"/>
      <c r="JBC287" s="1069"/>
      <c r="JBD287" s="1069"/>
      <c r="JBE287" s="1069"/>
      <c r="JBF287" s="1069"/>
      <c r="JBG287" s="1069"/>
      <c r="JBH287" s="1069"/>
      <c r="JBI287" s="1069"/>
      <c r="JBJ287" s="1069"/>
      <c r="JBK287" s="1069"/>
      <c r="JBL287" s="1069"/>
      <c r="JBM287" s="1069"/>
      <c r="JBN287" s="1069"/>
      <c r="JBO287" s="1069"/>
      <c r="JBP287" s="1069"/>
      <c r="JBQ287" s="1069"/>
      <c r="JBR287" s="1069"/>
      <c r="JBS287" s="1069"/>
      <c r="JBT287" s="1069"/>
      <c r="JBU287" s="1069"/>
      <c r="JBV287" s="1069"/>
      <c r="JBW287" s="1069"/>
      <c r="JBX287" s="1069"/>
      <c r="JBY287" s="1069"/>
      <c r="JBZ287" s="1069"/>
      <c r="JCA287" s="1069"/>
      <c r="JCB287" s="1069"/>
      <c r="JCC287" s="1069"/>
      <c r="JCD287" s="1069"/>
      <c r="JCE287" s="1069"/>
      <c r="JCF287" s="1069"/>
      <c r="JCG287" s="1069"/>
      <c r="JCH287" s="1069"/>
      <c r="JCI287" s="1069"/>
      <c r="JCJ287" s="1069"/>
      <c r="JCK287" s="1069"/>
      <c r="JCL287" s="1069"/>
      <c r="JCM287" s="1069"/>
      <c r="JCN287" s="1069"/>
      <c r="JCO287" s="1069"/>
      <c r="JCP287" s="1069"/>
      <c r="JCQ287" s="1069"/>
      <c r="JCR287" s="1069"/>
      <c r="JCS287" s="1069"/>
      <c r="JCT287" s="1069"/>
      <c r="JCU287" s="1069"/>
      <c r="JCV287" s="1069"/>
      <c r="JCW287" s="1069"/>
      <c r="JCX287" s="1069"/>
      <c r="JCY287" s="1069"/>
      <c r="JCZ287" s="1069"/>
      <c r="JDA287" s="1069"/>
      <c r="JDB287" s="1069"/>
      <c r="JDC287" s="1069"/>
      <c r="JDD287" s="1069"/>
      <c r="JDE287" s="1069"/>
      <c r="JDF287" s="1069"/>
      <c r="JDG287" s="1069"/>
      <c r="JDH287" s="1069"/>
      <c r="JDI287" s="1069"/>
      <c r="JDJ287" s="1069"/>
      <c r="JDK287" s="1069"/>
      <c r="JDL287" s="1069"/>
      <c r="JDM287" s="1069"/>
      <c r="JDN287" s="1069"/>
      <c r="JDO287" s="1069"/>
      <c r="JDP287" s="1069"/>
      <c r="JDQ287" s="1069"/>
      <c r="JDR287" s="1069"/>
      <c r="JDS287" s="1069"/>
      <c r="JDT287" s="1069"/>
      <c r="JDU287" s="1069"/>
      <c r="JDV287" s="1069"/>
      <c r="JDW287" s="1069"/>
      <c r="JDX287" s="1069"/>
      <c r="JDY287" s="1069"/>
      <c r="JDZ287" s="1069"/>
      <c r="JEA287" s="1069"/>
      <c r="JEB287" s="1069"/>
      <c r="JEC287" s="1069"/>
      <c r="JED287" s="1069"/>
      <c r="JEE287" s="1069"/>
      <c r="JEF287" s="1069"/>
      <c r="JEG287" s="1069"/>
      <c r="JEH287" s="1069"/>
      <c r="JEI287" s="1069"/>
      <c r="JEJ287" s="1069"/>
      <c r="JEK287" s="1069"/>
      <c r="JEL287" s="1069"/>
      <c r="JEM287" s="1069"/>
      <c r="JEN287" s="1069"/>
      <c r="JEO287" s="1069"/>
      <c r="JEP287" s="1069"/>
      <c r="JEQ287" s="1069"/>
      <c r="JER287" s="1069"/>
      <c r="JES287" s="1069"/>
      <c r="JET287" s="1069"/>
      <c r="JEU287" s="1069"/>
      <c r="JEV287" s="1069"/>
      <c r="JEW287" s="1069"/>
      <c r="JEX287" s="1069"/>
      <c r="JEY287" s="1069"/>
      <c r="JEZ287" s="1069"/>
      <c r="JFA287" s="1069"/>
      <c r="JFB287" s="1069"/>
      <c r="JFC287" s="1069"/>
      <c r="JFD287" s="1069"/>
      <c r="JFE287" s="1069"/>
      <c r="JFF287" s="1069"/>
      <c r="JFG287" s="1069"/>
      <c r="JFH287" s="1069"/>
      <c r="JFI287" s="1069"/>
      <c r="JFJ287" s="1069"/>
      <c r="JFK287" s="1069"/>
      <c r="JFL287" s="1069"/>
      <c r="JFM287" s="1069"/>
      <c r="JFN287" s="1069"/>
      <c r="JFO287" s="1069"/>
      <c r="JFP287" s="1069"/>
      <c r="JFQ287" s="1069"/>
      <c r="JFR287" s="1069"/>
      <c r="JFS287" s="1069"/>
      <c r="JFT287" s="1069"/>
      <c r="JFU287" s="1069"/>
      <c r="JFV287" s="1069"/>
      <c r="JFW287" s="1069"/>
      <c r="JFX287" s="1069"/>
      <c r="JFY287" s="1069"/>
      <c r="JFZ287" s="1069"/>
      <c r="JGA287" s="1069"/>
      <c r="JGB287" s="1069"/>
      <c r="JGC287" s="1069"/>
      <c r="JGD287" s="1069"/>
      <c r="JGE287" s="1069"/>
      <c r="JGF287" s="1069"/>
      <c r="JGG287" s="1069"/>
      <c r="JGH287" s="1069"/>
      <c r="JGI287" s="1069"/>
      <c r="JGJ287" s="1069"/>
      <c r="JGK287" s="1069"/>
      <c r="JGL287" s="1069"/>
      <c r="JGM287" s="1069"/>
      <c r="JGN287" s="1069"/>
      <c r="JGO287" s="1069"/>
      <c r="JGP287" s="1069"/>
      <c r="JGQ287" s="1069"/>
      <c r="JGR287" s="1069"/>
      <c r="JGS287" s="1069"/>
      <c r="JGT287" s="1069"/>
      <c r="JGU287" s="1069"/>
      <c r="JGV287" s="1069"/>
      <c r="JGW287" s="1069"/>
      <c r="JGX287" s="1069"/>
      <c r="JGY287" s="1069"/>
      <c r="JGZ287" s="1069"/>
      <c r="JHA287" s="1069"/>
      <c r="JHB287" s="1069"/>
      <c r="JHC287" s="1069"/>
      <c r="JHD287" s="1069"/>
      <c r="JHE287" s="1069"/>
      <c r="JHF287" s="1069"/>
      <c r="JHG287" s="1069"/>
      <c r="JHH287" s="1069"/>
      <c r="JHI287" s="1069"/>
      <c r="JHJ287" s="1069"/>
      <c r="JHK287" s="1069"/>
      <c r="JHL287" s="1069"/>
      <c r="JHM287" s="1069"/>
      <c r="JHN287" s="1069"/>
      <c r="JHO287" s="1069"/>
      <c r="JHP287" s="1069"/>
      <c r="JHQ287" s="1069"/>
      <c r="JHR287" s="1069"/>
      <c r="JHS287" s="1069"/>
      <c r="JHT287" s="1069"/>
      <c r="JHU287" s="1069"/>
      <c r="JHV287" s="1069"/>
      <c r="JHW287" s="1069"/>
      <c r="JHX287" s="1069"/>
      <c r="JHY287" s="1069"/>
      <c r="JHZ287" s="1069"/>
      <c r="JIA287" s="1069"/>
      <c r="JIB287" s="1069"/>
      <c r="JIC287" s="1069"/>
      <c r="JID287" s="1069"/>
      <c r="JIE287" s="1069"/>
      <c r="JIF287" s="1069"/>
      <c r="JIG287" s="1069"/>
      <c r="JIH287" s="1069"/>
      <c r="JII287" s="1069"/>
      <c r="JIJ287" s="1069"/>
      <c r="JIK287" s="1069"/>
      <c r="JIL287" s="1069"/>
      <c r="JIM287" s="1069"/>
      <c r="JIN287" s="1069"/>
      <c r="JIO287" s="1069"/>
      <c r="JIP287" s="1069"/>
      <c r="JIQ287" s="1069"/>
      <c r="JIR287" s="1069"/>
      <c r="JIS287" s="1069"/>
      <c r="JIT287" s="1069"/>
      <c r="JIU287" s="1069"/>
      <c r="JIV287" s="1069"/>
      <c r="JIW287" s="1069"/>
      <c r="JIX287" s="1069"/>
      <c r="JIY287" s="1069"/>
      <c r="JIZ287" s="1069"/>
      <c r="JJA287" s="1069"/>
      <c r="JJB287" s="1069"/>
      <c r="JJC287" s="1069"/>
      <c r="JJD287" s="1069"/>
      <c r="JJE287" s="1069"/>
      <c r="JJF287" s="1069"/>
      <c r="JJG287" s="1069"/>
      <c r="JJH287" s="1069"/>
      <c r="JJI287" s="1069"/>
      <c r="JJJ287" s="1069"/>
      <c r="JJK287" s="1069"/>
      <c r="JJL287" s="1069"/>
      <c r="JJM287" s="1069"/>
      <c r="JJN287" s="1069"/>
      <c r="JJO287" s="1069"/>
      <c r="JJP287" s="1069"/>
      <c r="JJQ287" s="1069"/>
      <c r="JJR287" s="1069"/>
      <c r="JJS287" s="1069"/>
      <c r="JJT287" s="1069"/>
      <c r="JJU287" s="1069"/>
      <c r="JJV287" s="1069"/>
      <c r="JJW287" s="1069"/>
      <c r="JJX287" s="1069"/>
      <c r="JJY287" s="1069"/>
      <c r="JJZ287" s="1069"/>
      <c r="JKA287" s="1069"/>
      <c r="JKB287" s="1069"/>
      <c r="JKC287" s="1069"/>
      <c r="JKD287" s="1069"/>
      <c r="JKE287" s="1069"/>
      <c r="JKF287" s="1069"/>
      <c r="JKG287" s="1069"/>
      <c r="JKH287" s="1069"/>
      <c r="JKI287" s="1069"/>
      <c r="JKJ287" s="1069"/>
      <c r="JKK287" s="1069"/>
      <c r="JKL287" s="1069"/>
      <c r="JKM287" s="1069"/>
      <c r="JKN287" s="1069"/>
      <c r="JKO287" s="1069"/>
      <c r="JKP287" s="1069"/>
      <c r="JKQ287" s="1069"/>
      <c r="JKR287" s="1069"/>
      <c r="JKS287" s="1069"/>
      <c r="JKT287" s="1069"/>
      <c r="JKU287" s="1069"/>
      <c r="JKV287" s="1069"/>
      <c r="JKW287" s="1069"/>
      <c r="JKX287" s="1069"/>
      <c r="JKY287" s="1069"/>
      <c r="JKZ287" s="1069"/>
      <c r="JLA287" s="1069"/>
      <c r="JLB287" s="1069"/>
      <c r="JLC287" s="1069"/>
      <c r="JLD287" s="1069"/>
      <c r="JLE287" s="1069"/>
      <c r="JLF287" s="1069"/>
      <c r="JLG287" s="1069"/>
      <c r="JLH287" s="1069"/>
      <c r="JLI287" s="1069"/>
      <c r="JLJ287" s="1069"/>
      <c r="JLK287" s="1069"/>
      <c r="JLL287" s="1069"/>
      <c r="JLM287" s="1069"/>
      <c r="JLN287" s="1069"/>
      <c r="JLO287" s="1069"/>
      <c r="JLP287" s="1069"/>
      <c r="JLQ287" s="1069"/>
      <c r="JLR287" s="1069"/>
      <c r="JLS287" s="1069"/>
      <c r="JLT287" s="1069"/>
      <c r="JLU287" s="1069"/>
      <c r="JLV287" s="1069"/>
      <c r="JLW287" s="1069"/>
      <c r="JLX287" s="1069"/>
      <c r="JLY287" s="1069"/>
      <c r="JLZ287" s="1069"/>
      <c r="JMA287" s="1069"/>
      <c r="JMB287" s="1069"/>
      <c r="JMC287" s="1069"/>
      <c r="JMD287" s="1069"/>
      <c r="JME287" s="1069"/>
      <c r="JMF287" s="1069"/>
      <c r="JMG287" s="1069"/>
      <c r="JMH287" s="1069"/>
      <c r="JMI287" s="1069"/>
      <c r="JMJ287" s="1069"/>
      <c r="JMK287" s="1069"/>
      <c r="JML287" s="1069"/>
      <c r="JMM287" s="1069"/>
      <c r="JMN287" s="1069"/>
      <c r="JMO287" s="1069"/>
      <c r="JMP287" s="1069"/>
      <c r="JMQ287" s="1069"/>
      <c r="JMR287" s="1069"/>
      <c r="JMS287" s="1069"/>
      <c r="JMT287" s="1069"/>
      <c r="JMU287" s="1069"/>
      <c r="JMV287" s="1069"/>
      <c r="JMW287" s="1069"/>
      <c r="JMX287" s="1069"/>
      <c r="JMY287" s="1069"/>
      <c r="JMZ287" s="1069"/>
      <c r="JNA287" s="1069"/>
      <c r="JNB287" s="1069"/>
      <c r="JNC287" s="1069"/>
      <c r="JND287" s="1069"/>
      <c r="JNE287" s="1069"/>
      <c r="JNF287" s="1069"/>
      <c r="JNG287" s="1069"/>
      <c r="JNH287" s="1069"/>
      <c r="JNI287" s="1069"/>
      <c r="JNJ287" s="1069"/>
      <c r="JNK287" s="1069"/>
      <c r="JNL287" s="1069"/>
      <c r="JNM287" s="1069"/>
      <c r="JNN287" s="1069"/>
      <c r="JNO287" s="1069"/>
      <c r="JNP287" s="1069"/>
      <c r="JNQ287" s="1069"/>
      <c r="JNR287" s="1069"/>
      <c r="JNS287" s="1069"/>
      <c r="JNT287" s="1069"/>
      <c r="JNU287" s="1069"/>
      <c r="JNV287" s="1069"/>
      <c r="JNW287" s="1069"/>
      <c r="JNX287" s="1069"/>
      <c r="JNY287" s="1069"/>
      <c r="JNZ287" s="1069"/>
      <c r="JOA287" s="1069"/>
      <c r="JOB287" s="1069"/>
      <c r="JOC287" s="1069"/>
      <c r="JOD287" s="1069"/>
      <c r="JOE287" s="1069"/>
      <c r="JOF287" s="1069"/>
      <c r="JOG287" s="1069"/>
      <c r="JOH287" s="1069"/>
      <c r="JOI287" s="1069"/>
      <c r="JOJ287" s="1069"/>
      <c r="JOK287" s="1069"/>
      <c r="JOL287" s="1069"/>
      <c r="JOM287" s="1069"/>
      <c r="JON287" s="1069"/>
      <c r="JOO287" s="1069"/>
      <c r="JOP287" s="1069"/>
      <c r="JOQ287" s="1069"/>
      <c r="JOR287" s="1069"/>
      <c r="JOS287" s="1069"/>
      <c r="JOT287" s="1069"/>
      <c r="JOU287" s="1069"/>
      <c r="JOV287" s="1069"/>
      <c r="JOW287" s="1069"/>
      <c r="JOX287" s="1069"/>
      <c r="JOY287" s="1069"/>
      <c r="JOZ287" s="1069"/>
      <c r="JPA287" s="1069"/>
      <c r="JPB287" s="1069"/>
      <c r="JPC287" s="1069"/>
      <c r="JPD287" s="1069"/>
      <c r="JPE287" s="1069"/>
      <c r="JPF287" s="1069"/>
      <c r="JPG287" s="1069"/>
      <c r="JPH287" s="1069"/>
      <c r="JPI287" s="1069"/>
      <c r="JPJ287" s="1069"/>
      <c r="JPK287" s="1069"/>
      <c r="JPL287" s="1069"/>
      <c r="JPM287" s="1069"/>
      <c r="JPN287" s="1069"/>
      <c r="JPO287" s="1069"/>
      <c r="JPP287" s="1069"/>
      <c r="JPQ287" s="1069"/>
      <c r="JPR287" s="1069"/>
      <c r="JPS287" s="1069"/>
      <c r="JPT287" s="1069"/>
      <c r="JPU287" s="1069"/>
      <c r="JPV287" s="1069"/>
      <c r="JPW287" s="1069"/>
      <c r="JPX287" s="1069"/>
      <c r="JPY287" s="1069"/>
      <c r="JPZ287" s="1069"/>
      <c r="JQA287" s="1069"/>
      <c r="JQB287" s="1069"/>
      <c r="JQC287" s="1069"/>
      <c r="JQD287" s="1069"/>
      <c r="JQE287" s="1069"/>
      <c r="JQF287" s="1069"/>
      <c r="JQG287" s="1069"/>
      <c r="JQH287" s="1069"/>
      <c r="JQI287" s="1069"/>
      <c r="JQJ287" s="1069"/>
      <c r="JQK287" s="1069"/>
      <c r="JQL287" s="1069"/>
      <c r="JQM287" s="1069"/>
      <c r="JQN287" s="1069"/>
      <c r="JQO287" s="1069"/>
      <c r="JQP287" s="1069"/>
      <c r="JQQ287" s="1069"/>
      <c r="JQR287" s="1069"/>
      <c r="JQS287" s="1069"/>
      <c r="JQT287" s="1069"/>
      <c r="JQU287" s="1069"/>
      <c r="JQV287" s="1069"/>
      <c r="JQW287" s="1069"/>
      <c r="JQX287" s="1069"/>
      <c r="JQY287" s="1069"/>
      <c r="JQZ287" s="1069"/>
      <c r="JRA287" s="1069"/>
      <c r="JRB287" s="1069"/>
      <c r="JRC287" s="1069"/>
      <c r="JRD287" s="1069"/>
      <c r="JRE287" s="1069"/>
      <c r="JRF287" s="1069"/>
      <c r="JRG287" s="1069"/>
      <c r="JRH287" s="1069"/>
      <c r="JRI287" s="1069"/>
      <c r="JRJ287" s="1069"/>
      <c r="JRK287" s="1069"/>
      <c r="JRL287" s="1069"/>
      <c r="JRM287" s="1069"/>
      <c r="JRN287" s="1069"/>
      <c r="JRO287" s="1069"/>
      <c r="JRP287" s="1069"/>
      <c r="JRQ287" s="1069"/>
      <c r="JRR287" s="1069"/>
      <c r="JRS287" s="1069"/>
      <c r="JRT287" s="1069"/>
      <c r="JRU287" s="1069"/>
      <c r="JRV287" s="1069"/>
      <c r="JRW287" s="1069"/>
      <c r="JRX287" s="1069"/>
      <c r="JRY287" s="1069"/>
      <c r="JRZ287" s="1069"/>
      <c r="JSA287" s="1069"/>
      <c r="JSB287" s="1069"/>
      <c r="JSC287" s="1069"/>
      <c r="JSD287" s="1069"/>
      <c r="JSE287" s="1069"/>
      <c r="JSF287" s="1069"/>
      <c r="JSG287" s="1069"/>
      <c r="JSH287" s="1069"/>
      <c r="JSI287" s="1069"/>
      <c r="JSJ287" s="1069"/>
      <c r="JSK287" s="1069"/>
      <c r="JSL287" s="1069"/>
      <c r="JSM287" s="1069"/>
      <c r="JSN287" s="1069"/>
      <c r="JSO287" s="1069"/>
      <c r="JSP287" s="1069"/>
      <c r="JSQ287" s="1069"/>
      <c r="JSR287" s="1069"/>
      <c r="JSS287" s="1069"/>
      <c r="JST287" s="1069"/>
      <c r="JSU287" s="1069"/>
      <c r="JSV287" s="1069"/>
      <c r="JSW287" s="1069"/>
      <c r="JSX287" s="1069"/>
      <c r="JSY287" s="1069"/>
      <c r="JSZ287" s="1069"/>
      <c r="JTA287" s="1069"/>
      <c r="JTB287" s="1069"/>
      <c r="JTC287" s="1069"/>
      <c r="JTD287" s="1069"/>
      <c r="JTE287" s="1069"/>
      <c r="JTF287" s="1069"/>
      <c r="JTG287" s="1069"/>
      <c r="JTH287" s="1069"/>
      <c r="JTI287" s="1069"/>
      <c r="JTJ287" s="1069"/>
      <c r="JTK287" s="1069"/>
      <c r="JTL287" s="1069"/>
      <c r="JTM287" s="1069"/>
      <c r="JTN287" s="1069"/>
      <c r="JTO287" s="1069"/>
      <c r="JTP287" s="1069"/>
      <c r="JTQ287" s="1069"/>
      <c r="JTR287" s="1069"/>
      <c r="JTS287" s="1069"/>
      <c r="JTT287" s="1069"/>
      <c r="JTU287" s="1069"/>
      <c r="JTV287" s="1069"/>
      <c r="JTW287" s="1069"/>
      <c r="JTX287" s="1069"/>
      <c r="JTY287" s="1069"/>
      <c r="JTZ287" s="1069"/>
      <c r="JUA287" s="1069"/>
      <c r="JUB287" s="1069"/>
      <c r="JUC287" s="1069"/>
      <c r="JUD287" s="1069"/>
      <c r="JUE287" s="1069"/>
      <c r="JUF287" s="1069"/>
      <c r="JUG287" s="1069"/>
      <c r="JUH287" s="1069"/>
      <c r="JUI287" s="1069"/>
      <c r="JUJ287" s="1069"/>
      <c r="JUK287" s="1069"/>
      <c r="JUL287" s="1069"/>
      <c r="JUM287" s="1069"/>
      <c r="JUN287" s="1069"/>
      <c r="JUO287" s="1069"/>
      <c r="JUP287" s="1069"/>
      <c r="JUQ287" s="1069"/>
      <c r="JUR287" s="1069"/>
      <c r="JUS287" s="1069"/>
      <c r="JUT287" s="1069"/>
      <c r="JUU287" s="1069"/>
      <c r="JUV287" s="1069"/>
      <c r="JUW287" s="1069"/>
      <c r="JUX287" s="1069"/>
      <c r="JUY287" s="1069"/>
      <c r="JUZ287" s="1069"/>
      <c r="JVA287" s="1069"/>
      <c r="JVB287" s="1069"/>
      <c r="JVC287" s="1069"/>
      <c r="JVD287" s="1069"/>
      <c r="JVE287" s="1069"/>
      <c r="JVF287" s="1069"/>
      <c r="JVG287" s="1069"/>
      <c r="JVH287" s="1069"/>
      <c r="JVI287" s="1069"/>
      <c r="JVJ287" s="1069"/>
      <c r="JVK287" s="1069"/>
      <c r="JVL287" s="1069"/>
      <c r="JVM287" s="1069"/>
      <c r="JVN287" s="1069"/>
      <c r="JVO287" s="1069"/>
      <c r="JVP287" s="1069"/>
      <c r="JVQ287" s="1069"/>
      <c r="JVR287" s="1069"/>
      <c r="JVS287" s="1069"/>
      <c r="JVT287" s="1069"/>
      <c r="JVU287" s="1069"/>
      <c r="JVV287" s="1069"/>
      <c r="JVW287" s="1069"/>
      <c r="JVX287" s="1069"/>
      <c r="JVY287" s="1069"/>
      <c r="JVZ287" s="1069"/>
      <c r="JWA287" s="1069"/>
      <c r="JWB287" s="1069"/>
      <c r="JWC287" s="1069"/>
      <c r="JWD287" s="1069"/>
      <c r="JWE287" s="1069"/>
      <c r="JWF287" s="1069"/>
      <c r="JWG287" s="1069"/>
      <c r="JWH287" s="1069"/>
      <c r="JWI287" s="1069"/>
      <c r="JWJ287" s="1069"/>
      <c r="JWK287" s="1069"/>
      <c r="JWL287" s="1069"/>
      <c r="JWM287" s="1069"/>
      <c r="JWN287" s="1069"/>
      <c r="JWO287" s="1069"/>
      <c r="JWP287" s="1069"/>
      <c r="JWQ287" s="1069"/>
      <c r="JWR287" s="1069"/>
      <c r="JWS287" s="1069"/>
      <c r="JWT287" s="1069"/>
      <c r="JWU287" s="1069"/>
      <c r="JWV287" s="1069"/>
      <c r="JWW287" s="1069"/>
      <c r="JWX287" s="1069"/>
      <c r="JWY287" s="1069"/>
      <c r="JWZ287" s="1069"/>
      <c r="JXA287" s="1069"/>
      <c r="JXB287" s="1069"/>
      <c r="JXC287" s="1069"/>
      <c r="JXD287" s="1069"/>
      <c r="JXE287" s="1069"/>
      <c r="JXF287" s="1069"/>
      <c r="JXG287" s="1069"/>
      <c r="JXH287" s="1069"/>
      <c r="JXI287" s="1069"/>
      <c r="JXJ287" s="1069"/>
      <c r="JXK287" s="1069"/>
      <c r="JXL287" s="1069"/>
      <c r="JXM287" s="1069"/>
      <c r="JXN287" s="1069"/>
      <c r="JXO287" s="1069"/>
      <c r="JXP287" s="1069"/>
      <c r="JXQ287" s="1069"/>
      <c r="JXR287" s="1069"/>
      <c r="JXS287" s="1069"/>
      <c r="JXT287" s="1069"/>
      <c r="JXU287" s="1069"/>
      <c r="JXV287" s="1069"/>
      <c r="JXW287" s="1069"/>
      <c r="JXX287" s="1069"/>
      <c r="JXY287" s="1069"/>
      <c r="JXZ287" s="1069"/>
      <c r="JYA287" s="1069"/>
      <c r="JYB287" s="1069"/>
      <c r="JYC287" s="1069"/>
      <c r="JYD287" s="1069"/>
      <c r="JYE287" s="1069"/>
      <c r="JYF287" s="1069"/>
      <c r="JYG287" s="1069"/>
      <c r="JYH287" s="1069"/>
      <c r="JYI287" s="1069"/>
      <c r="JYJ287" s="1069"/>
      <c r="JYK287" s="1069"/>
      <c r="JYL287" s="1069"/>
      <c r="JYM287" s="1069"/>
      <c r="JYN287" s="1069"/>
      <c r="JYO287" s="1069"/>
      <c r="JYP287" s="1069"/>
      <c r="JYQ287" s="1069"/>
      <c r="JYR287" s="1069"/>
      <c r="JYS287" s="1069"/>
      <c r="JYT287" s="1069"/>
      <c r="JYU287" s="1069"/>
      <c r="JYV287" s="1069"/>
      <c r="JYW287" s="1069"/>
      <c r="JYX287" s="1069"/>
      <c r="JYY287" s="1069"/>
      <c r="JYZ287" s="1069"/>
      <c r="JZA287" s="1069"/>
      <c r="JZB287" s="1069"/>
      <c r="JZC287" s="1069"/>
      <c r="JZD287" s="1069"/>
      <c r="JZE287" s="1069"/>
      <c r="JZF287" s="1069"/>
      <c r="JZG287" s="1069"/>
      <c r="JZH287" s="1069"/>
      <c r="JZI287" s="1069"/>
      <c r="JZJ287" s="1069"/>
      <c r="JZK287" s="1069"/>
      <c r="JZL287" s="1069"/>
      <c r="JZM287" s="1069"/>
      <c r="JZN287" s="1069"/>
      <c r="JZO287" s="1069"/>
      <c r="JZP287" s="1069"/>
      <c r="JZQ287" s="1069"/>
      <c r="JZR287" s="1069"/>
      <c r="JZS287" s="1069"/>
      <c r="JZT287" s="1069"/>
      <c r="JZU287" s="1069"/>
      <c r="JZV287" s="1069"/>
      <c r="JZW287" s="1069"/>
      <c r="JZX287" s="1069"/>
      <c r="JZY287" s="1069"/>
      <c r="JZZ287" s="1069"/>
      <c r="KAA287" s="1069"/>
      <c r="KAB287" s="1069"/>
      <c r="KAC287" s="1069"/>
      <c r="KAD287" s="1069"/>
      <c r="KAE287" s="1069"/>
      <c r="KAF287" s="1069"/>
      <c r="KAG287" s="1069"/>
      <c r="KAH287" s="1069"/>
      <c r="KAI287" s="1069"/>
      <c r="KAJ287" s="1069"/>
      <c r="KAK287" s="1069"/>
      <c r="KAL287" s="1069"/>
      <c r="KAM287" s="1069"/>
      <c r="KAN287" s="1069"/>
      <c r="KAO287" s="1069"/>
      <c r="KAP287" s="1069"/>
      <c r="KAQ287" s="1069"/>
      <c r="KAR287" s="1069"/>
      <c r="KAS287" s="1069"/>
      <c r="KAT287" s="1069"/>
      <c r="KAU287" s="1069"/>
      <c r="KAV287" s="1069"/>
      <c r="KAW287" s="1069"/>
      <c r="KAX287" s="1069"/>
      <c r="KAY287" s="1069"/>
      <c r="KAZ287" s="1069"/>
      <c r="KBA287" s="1069"/>
      <c r="KBB287" s="1069"/>
      <c r="KBC287" s="1069"/>
      <c r="KBD287" s="1069"/>
      <c r="KBE287" s="1069"/>
      <c r="KBF287" s="1069"/>
      <c r="KBG287" s="1069"/>
      <c r="KBH287" s="1069"/>
      <c r="KBI287" s="1069"/>
      <c r="KBJ287" s="1069"/>
      <c r="KBK287" s="1069"/>
      <c r="KBL287" s="1069"/>
      <c r="KBM287" s="1069"/>
      <c r="KBN287" s="1069"/>
      <c r="KBO287" s="1069"/>
      <c r="KBP287" s="1069"/>
      <c r="KBQ287" s="1069"/>
      <c r="KBR287" s="1069"/>
      <c r="KBS287" s="1069"/>
      <c r="KBT287" s="1069"/>
      <c r="KBU287" s="1069"/>
      <c r="KBV287" s="1069"/>
      <c r="KBW287" s="1069"/>
      <c r="KBX287" s="1069"/>
      <c r="KBY287" s="1069"/>
      <c r="KBZ287" s="1069"/>
      <c r="KCA287" s="1069"/>
      <c r="KCB287" s="1069"/>
      <c r="KCC287" s="1069"/>
      <c r="KCD287" s="1069"/>
      <c r="KCE287" s="1069"/>
      <c r="KCF287" s="1069"/>
      <c r="KCG287" s="1069"/>
      <c r="KCH287" s="1069"/>
      <c r="KCI287" s="1069"/>
      <c r="KCJ287" s="1069"/>
      <c r="KCK287" s="1069"/>
      <c r="KCL287" s="1069"/>
      <c r="KCM287" s="1069"/>
      <c r="KCN287" s="1069"/>
      <c r="KCO287" s="1069"/>
      <c r="KCP287" s="1069"/>
      <c r="KCQ287" s="1069"/>
      <c r="KCR287" s="1069"/>
      <c r="KCS287" s="1069"/>
      <c r="KCT287" s="1069"/>
      <c r="KCU287" s="1069"/>
      <c r="KCV287" s="1069"/>
      <c r="KCW287" s="1069"/>
      <c r="KCX287" s="1069"/>
      <c r="KCY287" s="1069"/>
      <c r="KCZ287" s="1069"/>
      <c r="KDA287" s="1069"/>
      <c r="KDB287" s="1069"/>
      <c r="KDC287" s="1069"/>
      <c r="KDD287" s="1069"/>
      <c r="KDE287" s="1069"/>
      <c r="KDF287" s="1069"/>
      <c r="KDG287" s="1069"/>
      <c r="KDH287" s="1069"/>
      <c r="KDI287" s="1069"/>
      <c r="KDJ287" s="1069"/>
      <c r="KDK287" s="1069"/>
      <c r="KDL287" s="1069"/>
      <c r="KDM287" s="1069"/>
      <c r="KDN287" s="1069"/>
      <c r="KDO287" s="1069"/>
      <c r="KDP287" s="1069"/>
      <c r="KDQ287" s="1069"/>
      <c r="KDR287" s="1069"/>
      <c r="KDS287" s="1069"/>
      <c r="KDT287" s="1069"/>
      <c r="KDU287" s="1069"/>
      <c r="KDV287" s="1069"/>
      <c r="KDW287" s="1069"/>
      <c r="KDX287" s="1069"/>
      <c r="KDY287" s="1069"/>
      <c r="KDZ287" s="1069"/>
      <c r="KEA287" s="1069"/>
      <c r="KEB287" s="1069"/>
      <c r="KEC287" s="1069"/>
      <c r="KED287" s="1069"/>
      <c r="KEE287" s="1069"/>
      <c r="KEF287" s="1069"/>
      <c r="KEG287" s="1069"/>
      <c r="KEH287" s="1069"/>
      <c r="KEI287" s="1069"/>
      <c r="KEJ287" s="1069"/>
      <c r="KEK287" s="1069"/>
      <c r="KEL287" s="1069"/>
      <c r="KEM287" s="1069"/>
      <c r="KEN287" s="1069"/>
      <c r="KEO287" s="1069"/>
      <c r="KEP287" s="1069"/>
      <c r="KEQ287" s="1069"/>
      <c r="KER287" s="1069"/>
      <c r="KES287" s="1069"/>
      <c r="KET287" s="1069"/>
      <c r="KEU287" s="1069"/>
      <c r="KEV287" s="1069"/>
      <c r="KEW287" s="1069"/>
      <c r="KEX287" s="1069"/>
      <c r="KEY287" s="1069"/>
      <c r="KEZ287" s="1069"/>
      <c r="KFA287" s="1069"/>
      <c r="KFB287" s="1069"/>
      <c r="KFC287" s="1069"/>
      <c r="KFD287" s="1069"/>
      <c r="KFE287" s="1069"/>
      <c r="KFF287" s="1069"/>
      <c r="KFG287" s="1069"/>
      <c r="KFH287" s="1069"/>
      <c r="KFI287" s="1069"/>
      <c r="KFJ287" s="1069"/>
      <c r="KFK287" s="1069"/>
      <c r="KFL287" s="1069"/>
      <c r="KFM287" s="1069"/>
      <c r="KFN287" s="1069"/>
      <c r="KFO287" s="1069"/>
      <c r="KFP287" s="1069"/>
      <c r="KFQ287" s="1069"/>
      <c r="KFR287" s="1069"/>
      <c r="KFS287" s="1069"/>
      <c r="KFT287" s="1069"/>
      <c r="KFU287" s="1069"/>
      <c r="KFV287" s="1069"/>
      <c r="KFW287" s="1069"/>
      <c r="KFX287" s="1069"/>
      <c r="KFY287" s="1069"/>
      <c r="KFZ287" s="1069"/>
      <c r="KGA287" s="1069"/>
      <c r="KGB287" s="1069"/>
      <c r="KGC287" s="1069"/>
      <c r="KGD287" s="1069"/>
      <c r="KGE287" s="1069"/>
      <c r="KGF287" s="1069"/>
      <c r="KGG287" s="1069"/>
      <c r="KGH287" s="1069"/>
      <c r="KGI287" s="1069"/>
      <c r="KGJ287" s="1069"/>
      <c r="KGK287" s="1069"/>
      <c r="KGL287" s="1069"/>
      <c r="KGM287" s="1069"/>
      <c r="KGN287" s="1069"/>
      <c r="KGO287" s="1069"/>
      <c r="KGP287" s="1069"/>
      <c r="KGQ287" s="1069"/>
      <c r="KGR287" s="1069"/>
      <c r="KGS287" s="1069"/>
      <c r="KGT287" s="1069"/>
      <c r="KGU287" s="1069"/>
      <c r="KGV287" s="1069"/>
      <c r="KGW287" s="1069"/>
      <c r="KGX287" s="1069"/>
      <c r="KGY287" s="1069"/>
      <c r="KGZ287" s="1069"/>
      <c r="KHA287" s="1069"/>
      <c r="KHB287" s="1069"/>
      <c r="KHC287" s="1069"/>
      <c r="KHD287" s="1069"/>
      <c r="KHE287" s="1069"/>
      <c r="KHF287" s="1069"/>
      <c r="KHG287" s="1069"/>
      <c r="KHH287" s="1069"/>
      <c r="KHI287" s="1069"/>
      <c r="KHJ287" s="1069"/>
      <c r="KHK287" s="1069"/>
      <c r="KHL287" s="1069"/>
      <c r="KHM287" s="1069"/>
      <c r="KHN287" s="1069"/>
      <c r="KHO287" s="1069"/>
      <c r="KHP287" s="1069"/>
      <c r="KHQ287" s="1069"/>
      <c r="KHR287" s="1069"/>
      <c r="KHS287" s="1069"/>
      <c r="KHT287" s="1069"/>
      <c r="KHU287" s="1069"/>
      <c r="KHV287" s="1069"/>
      <c r="KHW287" s="1069"/>
      <c r="KHX287" s="1069"/>
      <c r="KHY287" s="1069"/>
      <c r="KHZ287" s="1069"/>
      <c r="KIA287" s="1069"/>
      <c r="KIB287" s="1069"/>
      <c r="KIC287" s="1069"/>
      <c r="KID287" s="1069"/>
      <c r="KIE287" s="1069"/>
      <c r="KIF287" s="1069"/>
      <c r="KIG287" s="1069"/>
      <c r="KIH287" s="1069"/>
      <c r="KII287" s="1069"/>
      <c r="KIJ287" s="1069"/>
      <c r="KIK287" s="1069"/>
      <c r="KIL287" s="1069"/>
      <c r="KIM287" s="1069"/>
      <c r="KIN287" s="1069"/>
      <c r="KIO287" s="1069"/>
      <c r="KIP287" s="1069"/>
      <c r="KIQ287" s="1069"/>
      <c r="KIR287" s="1069"/>
      <c r="KIS287" s="1069"/>
      <c r="KIT287" s="1069"/>
      <c r="KIU287" s="1069"/>
      <c r="KIV287" s="1069"/>
      <c r="KIW287" s="1069"/>
      <c r="KIX287" s="1069"/>
      <c r="KIY287" s="1069"/>
      <c r="KIZ287" s="1069"/>
      <c r="KJA287" s="1069"/>
      <c r="KJB287" s="1069"/>
      <c r="KJC287" s="1069"/>
      <c r="KJD287" s="1069"/>
      <c r="KJE287" s="1069"/>
      <c r="KJF287" s="1069"/>
      <c r="KJG287" s="1069"/>
      <c r="KJH287" s="1069"/>
      <c r="KJI287" s="1069"/>
      <c r="KJJ287" s="1069"/>
      <c r="KJK287" s="1069"/>
      <c r="KJL287" s="1069"/>
      <c r="KJM287" s="1069"/>
      <c r="KJN287" s="1069"/>
      <c r="KJO287" s="1069"/>
      <c r="KJP287" s="1069"/>
      <c r="KJQ287" s="1069"/>
      <c r="KJR287" s="1069"/>
      <c r="KJS287" s="1069"/>
      <c r="KJT287" s="1069"/>
      <c r="KJU287" s="1069"/>
      <c r="KJV287" s="1069"/>
      <c r="KJW287" s="1069"/>
      <c r="KJX287" s="1069"/>
      <c r="KJY287" s="1069"/>
      <c r="KJZ287" s="1069"/>
      <c r="KKA287" s="1069"/>
      <c r="KKB287" s="1069"/>
      <c r="KKC287" s="1069"/>
      <c r="KKD287" s="1069"/>
      <c r="KKE287" s="1069"/>
      <c r="KKF287" s="1069"/>
      <c r="KKG287" s="1069"/>
      <c r="KKH287" s="1069"/>
      <c r="KKI287" s="1069"/>
      <c r="KKJ287" s="1069"/>
      <c r="KKK287" s="1069"/>
      <c r="KKL287" s="1069"/>
      <c r="KKM287" s="1069"/>
      <c r="KKN287" s="1069"/>
      <c r="KKO287" s="1069"/>
      <c r="KKP287" s="1069"/>
      <c r="KKQ287" s="1069"/>
      <c r="KKR287" s="1069"/>
      <c r="KKS287" s="1069"/>
      <c r="KKT287" s="1069"/>
      <c r="KKU287" s="1069"/>
      <c r="KKV287" s="1069"/>
      <c r="KKW287" s="1069"/>
      <c r="KKX287" s="1069"/>
      <c r="KKY287" s="1069"/>
      <c r="KKZ287" s="1069"/>
      <c r="KLA287" s="1069"/>
      <c r="KLB287" s="1069"/>
      <c r="KLC287" s="1069"/>
      <c r="KLD287" s="1069"/>
      <c r="KLE287" s="1069"/>
      <c r="KLF287" s="1069"/>
      <c r="KLG287" s="1069"/>
      <c r="KLH287" s="1069"/>
      <c r="KLI287" s="1069"/>
      <c r="KLJ287" s="1069"/>
      <c r="KLK287" s="1069"/>
      <c r="KLL287" s="1069"/>
      <c r="KLM287" s="1069"/>
      <c r="KLN287" s="1069"/>
      <c r="KLO287" s="1069"/>
      <c r="KLP287" s="1069"/>
      <c r="KLQ287" s="1069"/>
      <c r="KLR287" s="1069"/>
      <c r="KLS287" s="1069"/>
      <c r="KLT287" s="1069"/>
      <c r="KLU287" s="1069"/>
      <c r="KLV287" s="1069"/>
      <c r="KLW287" s="1069"/>
      <c r="KLX287" s="1069"/>
      <c r="KLY287" s="1069"/>
      <c r="KLZ287" s="1069"/>
      <c r="KMA287" s="1069"/>
      <c r="KMB287" s="1069"/>
      <c r="KMC287" s="1069"/>
      <c r="KMD287" s="1069"/>
      <c r="KME287" s="1069"/>
      <c r="KMF287" s="1069"/>
      <c r="KMG287" s="1069"/>
      <c r="KMH287" s="1069"/>
      <c r="KMI287" s="1069"/>
      <c r="KMJ287" s="1069"/>
      <c r="KMK287" s="1069"/>
      <c r="KML287" s="1069"/>
      <c r="KMM287" s="1069"/>
      <c r="KMN287" s="1069"/>
      <c r="KMO287" s="1069"/>
      <c r="KMP287" s="1069"/>
      <c r="KMQ287" s="1069"/>
      <c r="KMR287" s="1069"/>
      <c r="KMS287" s="1069"/>
      <c r="KMT287" s="1069"/>
      <c r="KMU287" s="1069"/>
      <c r="KMV287" s="1069"/>
      <c r="KMW287" s="1069"/>
      <c r="KMX287" s="1069"/>
      <c r="KMY287" s="1069"/>
      <c r="KMZ287" s="1069"/>
      <c r="KNA287" s="1069"/>
      <c r="KNB287" s="1069"/>
      <c r="KNC287" s="1069"/>
      <c r="KND287" s="1069"/>
      <c r="KNE287" s="1069"/>
      <c r="KNF287" s="1069"/>
      <c r="KNG287" s="1069"/>
      <c r="KNH287" s="1069"/>
      <c r="KNI287" s="1069"/>
      <c r="KNJ287" s="1069"/>
      <c r="KNK287" s="1069"/>
      <c r="KNL287" s="1069"/>
      <c r="KNM287" s="1069"/>
      <c r="KNN287" s="1069"/>
      <c r="KNO287" s="1069"/>
      <c r="KNP287" s="1069"/>
      <c r="KNQ287" s="1069"/>
      <c r="KNR287" s="1069"/>
      <c r="KNS287" s="1069"/>
      <c r="KNT287" s="1069"/>
      <c r="KNU287" s="1069"/>
      <c r="KNV287" s="1069"/>
      <c r="KNW287" s="1069"/>
      <c r="KNX287" s="1069"/>
      <c r="KNY287" s="1069"/>
      <c r="KNZ287" s="1069"/>
      <c r="KOA287" s="1069"/>
      <c r="KOB287" s="1069"/>
      <c r="KOC287" s="1069"/>
      <c r="KOD287" s="1069"/>
      <c r="KOE287" s="1069"/>
      <c r="KOF287" s="1069"/>
      <c r="KOG287" s="1069"/>
      <c r="KOH287" s="1069"/>
      <c r="KOI287" s="1069"/>
      <c r="KOJ287" s="1069"/>
      <c r="KOK287" s="1069"/>
      <c r="KOL287" s="1069"/>
      <c r="KOM287" s="1069"/>
      <c r="KON287" s="1069"/>
      <c r="KOO287" s="1069"/>
      <c r="KOP287" s="1069"/>
      <c r="KOQ287" s="1069"/>
      <c r="KOR287" s="1069"/>
      <c r="KOS287" s="1069"/>
      <c r="KOT287" s="1069"/>
      <c r="KOU287" s="1069"/>
      <c r="KOV287" s="1069"/>
      <c r="KOW287" s="1069"/>
      <c r="KOX287" s="1069"/>
      <c r="KOY287" s="1069"/>
      <c r="KOZ287" s="1069"/>
      <c r="KPA287" s="1069"/>
      <c r="KPB287" s="1069"/>
      <c r="KPC287" s="1069"/>
      <c r="KPD287" s="1069"/>
      <c r="KPE287" s="1069"/>
      <c r="KPF287" s="1069"/>
      <c r="KPG287" s="1069"/>
      <c r="KPH287" s="1069"/>
      <c r="KPI287" s="1069"/>
      <c r="KPJ287" s="1069"/>
      <c r="KPK287" s="1069"/>
      <c r="KPL287" s="1069"/>
      <c r="KPM287" s="1069"/>
      <c r="KPN287" s="1069"/>
      <c r="KPO287" s="1069"/>
      <c r="KPP287" s="1069"/>
      <c r="KPQ287" s="1069"/>
      <c r="KPR287" s="1069"/>
      <c r="KPS287" s="1069"/>
      <c r="KPT287" s="1069"/>
      <c r="KPU287" s="1069"/>
      <c r="KPV287" s="1069"/>
      <c r="KPW287" s="1069"/>
      <c r="KPX287" s="1069"/>
      <c r="KPY287" s="1069"/>
      <c r="KPZ287" s="1069"/>
      <c r="KQA287" s="1069"/>
      <c r="KQB287" s="1069"/>
      <c r="KQC287" s="1069"/>
      <c r="KQD287" s="1069"/>
      <c r="KQE287" s="1069"/>
      <c r="KQF287" s="1069"/>
      <c r="KQG287" s="1069"/>
      <c r="KQH287" s="1069"/>
      <c r="KQI287" s="1069"/>
      <c r="KQJ287" s="1069"/>
      <c r="KQK287" s="1069"/>
      <c r="KQL287" s="1069"/>
      <c r="KQM287" s="1069"/>
      <c r="KQN287" s="1069"/>
      <c r="KQO287" s="1069"/>
      <c r="KQP287" s="1069"/>
      <c r="KQQ287" s="1069"/>
      <c r="KQR287" s="1069"/>
      <c r="KQS287" s="1069"/>
      <c r="KQT287" s="1069"/>
      <c r="KQU287" s="1069"/>
      <c r="KQV287" s="1069"/>
      <c r="KQW287" s="1069"/>
      <c r="KQX287" s="1069"/>
      <c r="KQY287" s="1069"/>
      <c r="KQZ287" s="1069"/>
      <c r="KRA287" s="1069"/>
      <c r="KRB287" s="1069"/>
      <c r="KRC287" s="1069"/>
      <c r="KRD287" s="1069"/>
      <c r="KRE287" s="1069"/>
      <c r="KRF287" s="1069"/>
      <c r="KRG287" s="1069"/>
      <c r="KRH287" s="1069"/>
      <c r="KRI287" s="1069"/>
      <c r="KRJ287" s="1069"/>
      <c r="KRK287" s="1069"/>
      <c r="KRL287" s="1069"/>
      <c r="KRM287" s="1069"/>
      <c r="KRN287" s="1069"/>
      <c r="KRO287" s="1069"/>
      <c r="KRP287" s="1069"/>
      <c r="KRQ287" s="1069"/>
      <c r="KRR287" s="1069"/>
      <c r="KRS287" s="1069"/>
      <c r="KRT287" s="1069"/>
      <c r="KRU287" s="1069"/>
      <c r="KRV287" s="1069"/>
      <c r="KRW287" s="1069"/>
      <c r="KRX287" s="1069"/>
      <c r="KRY287" s="1069"/>
      <c r="KRZ287" s="1069"/>
      <c r="KSA287" s="1069"/>
      <c r="KSB287" s="1069"/>
      <c r="KSC287" s="1069"/>
      <c r="KSD287" s="1069"/>
      <c r="KSE287" s="1069"/>
      <c r="KSF287" s="1069"/>
      <c r="KSG287" s="1069"/>
      <c r="KSH287" s="1069"/>
      <c r="KSI287" s="1069"/>
      <c r="KSJ287" s="1069"/>
      <c r="KSK287" s="1069"/>
      <c r="KSL287" s="1069"/>
      <c r="KSM287" s="1069"/>
      <c r="KSN287" s="1069"/>
      <c r="KSO287" s="1069"/>
      <c r="KSP287" s="1069"/>
      <c r="KSQ287" s="1069"/>
      <c r="KSR287" s="1069"/>
      <c r="KSS287" s="1069"/>
      <c r="KST287" s="1069"/>
      <c r="KSU287" s="1069"/>
      <c r="KSV287" s="1069"/>
      <c r="KSW287" s="1069"/>
      <c r="KSX287" s="1069"/>
      <c r="KSY287" s="1069"/>
      <c r="KSZ287" s="1069"/>
      <c r="KTA287" s="1069"/>
      <c r="KTB287" s="1069"/>
      <c r="KTC287" s="1069"/>
      <c r="KTD287" s="1069"/>
      <c r="KTE287" s="1069"/>
      <c r="KTF287" s="1069"/>
      <c r="KTG287" s="1069"/>
      <c r="KTH287" s="1069"/>
      <c r="KTI287" s="1069"/>
      <c r="KTJ287" s="1069"/>
      <c r="KTK287" s="1069"/>
      <c r="KTL287" s="1069"/>
      <c r="KTM287" s="1069"/>
      <c r="KTN287" s="1069"/>
      <c r="KTO287" s="1069"/>
      <c r="KTP287" s="1069"/>
      <c r="KTQ287" s="1069"/>
      <c r="KTR287" s="1069"/>
      <c r="KTS287" s="1069"/>
      <c r="KTT287" s="1069"/>
      <c r="KTU287" s="1069"/>
      <c r="KTV287" s="1069"/>
      <c r="KTW287" s="1069"/>
      <c r="KTX287" s="1069"/>
      <c r="KTY287" s="1069"/>
      <c r="KTZ287" s="1069"/>
      <c r="KUA287" s="1069"/>
      <c r="KUB287" s="1069"/>
      <c r="KUC287" s="1069"/>
      <c r="KUD287" s="1069"/>
      <c r="KUE287" s="1069"/>
      <c r="KUF287" s="1069"/>
      <c r="KUG287" s="1069"/>
      <c r="KUH287" s="1069"/>
      <c r="KUI287" s="1069"/>
      <c r="KUJ287" s="1069"/>
      <c r="KUK287" s="1069"/>
      <c r="KUL287" s="1069"/>
      <c r="KUM287" s="1069"/>
      <c r="KUN287" s="1069"/>
      <c r="KUO287" s="1069"/>
      <c r="KUP287" s="1069"/>
      <c r="KUQ287" s="1069"/>
      <c r="KUR287" s="1069"/>
      <c r="KUS287" s="1069"/>
      <c r="KUT287" s="1069"/>
      <c r="KUU287" s="1069"/>
      <c r="KUV287" s="1069"/>
      <c r="KUW287" s="1069"/>
      <c r="KUX287" s="1069"/>
      <c r="KUY287" s="1069"/>
      <c r="KUZ287" s="1069"/>
      <c r="KVA287" s="1069"/>
      <c r="KVB287" s="1069"/>
      <c r="KVC287" s="1069"/>
      <c r="KVD287" s="1069"/>
      <c r="KVE287" s="1069"/>
      <c r="KVF287" s="1069"/>
      <c r="KVG287" s="1069"/>
      <c r="KVH287" s="1069"/>
      <c r="KVI287" s="1069"/>
      <c r="KVJ287" s="1069"/>
      <c r="KVK287" s="1069"/>
      <c r="KVL287" s="1069"/>
      <c r="KVM287" s="1069"/>
      <c r="KVN287" s="1069"/>
      <c r="KVO287" s="1069"/>
      <c r="KVP287" s="1069"/>
      <c r="KVQ287" s="1069"/>
      <c r="KVR287" s="1069"/>
      <c r="KVS287" s="1069"/>
      <c r="KVT287" s="1069"/>
      <c r="KVU287" s="1069"/>
      <c r="KVV287" s="1069"/>
      <c r="KVW287" s="1069"/>
      <c r="KVX287" s="1069"/>
      <c r="KVY287" s="1069"/>
      <c r="KVZ287" s="1069"/>
      <c r="KWA287" s="1069"/>
      <c r="KWB287" s="1069"/>
      <c r="KWC287" s="1069"/>
      <c r="KWD287" s="1069"/>
      <c r="KWE287" s="1069"/>
      <c r="KWF287" s="1069"/>
      <c r="KWG287" s="1069"/>
      <c r="KWH287" s="1069"/>
      <c r="KWI287" s="1069"/>
      <c r="KWJ287" s="1069"/>
      <c r="KWK287" s="1069"/>
      <c r="KWL287" s="1069"/>
      <c r="KWM287" s="1069"/>
      <c r="KWN287" s="1069"/>
      <c r="KWO287" s="1069"/>
      <c r="KWP287" s="1069"/>
      <c r="KWQ287" s="1069"/>
      <c r="KWR287" s="1069"/>
      <c r="KWS287" s="1069"/>
      <c r="KWT287" s="1069"/>
      <c r="KWU287" s="1069"/>
      <c r="KWV287" s="1069"/>
      <c r="KWW287" s="1069"/>
      <c r="KWX287" s="1069"/>
      <c r="KWY287" s="1069"/>
      <c r="KWZ287" s="1069"/>
      <c r="KXA287" s="1069"/>
      <c r="KXB287" s="1069"/>
      <c r="KXC287" s="1069"/>
      <c r="KXD287" s="1069"/>
      <c r="KXE287" s="1069"/>
      <c r="KXF287" s="1069"/>
      <c r="KXG287" s="1069"/>
      <c r="KXH287" s="1069"/>
      <c r="KXI287" s="1069"/>
      <c r="KXJ287" s="1069"/>
      <c r="KXK287" s="1069"/>
      <c r="KXL287" s="1069"/>
      <c r="KXM287" s="1069"/>
      <c r="KXN287" s="1069"/>
      <c r="KXO287" s="1069"/>
      <c r="KXP287" s="1069"/>
      <c r="KXQ287" s="1069"/>
      <c r="KXR287" s="1069"/>
      <c r="KXS287" s="1069"/>
      <c r="KXT287" s="1069"/>
      <c r="KXU287" s="1069"/>
      <c r="KXV287" s="1069"/>
      <c r="KXW287" s="1069"/>
      <c r="KXX287" s="1069"/>
      <c r="KXY287" s="1069"/>
      <c r="KXZ287" s="1069"/>
      <c r="KYA287" s="1069"/>
      <c r="KYB287" s="1069"/>
      <c r="KYC287" s="1069"/>
      <c r="KYD287" s="1069"/>
      <c r="KYE287" s="1069"/>
      <c r="KYF287" s="1069"/>
      <c r="KYG287" s="1069"/>
      <c r="KYH287" s="1069"/>
      <c r="KYI287" s="1069"/>
      <c r="KYJ287" s="1069"/>
      <c r="KYK287" s="1069"/>
      <c r="KYL287" s="1069"/>
      <c r="KYM287" s="1069"/>
      <c r="KYN287" s="1069"/>
      <c r="KYO287" s="1069"/>
      <c r="KYP287" s="1069"/>
      <c r="KYQ287" s="1069"/>
      <c r="KYR287" s="1069"/>
      <c r="KYS287" s="1069"/>
      <c r="KYT287" s="1069"/>
      <c r="KYU287" s="1069"/>
      <c r="KYV287" s="1069"/>
      <c r="KYW287" s="1069"/>
      <c r="KYX287" s="1069"/>
      <c r="KYY287" s="1069"/>
      <c r="KYZ287" s="1069"/>
      <c r="KZA287" s="1069"/>
      <c r="KZB287" s="1069"/>
      <c r="KZC287" s="1069"/>
      <c r="KZD287" s="1069"/>
      <c r="KZE287" s="1069"/>
      <c r="KZF287" s="1069"/>
      <c r="KZG287" s="1069"/>
      <c r="KZH287" s="1069"/>
      <c r="KZI287" s="1069"/>
      <c r="KZJ287" s="1069"/>
      <c r="KZK287" s="1069"/>
      <c r="KZL287" s="1069"/>
      <c r="KZM287" s="1069"/>
      <c r="KZN287" s="1069"/>
      <c r="KZO287" s="1069"/>
      <c r="KZP287" s="1069"/>
      <c r="KZQ287" s="1069"/>
      <c r="KZR287" s="1069"/>
      <c r="KZS287" s="1069"/>
      <c r="KZT287" s="1069"/>
      <c r="KZU287" s="1069"/>
      <c r="KZV287" s="1069"/>
      <c r="KZW287" s="1069"/>
      <c r="KZX287" s="1069"/>
      <c r="KZY287" s="1069"/>
      <c r="KZZ287" s="1069"/>
      <c r="LAA287" s="1069"/>
      <c r="LAB287" s="1069"/>
      <c r="LAC287" s="1069"/>
      <c r="LAD287" s="1069"/>
      <c r="LAE287" s="1069"/>
      <c r="LAF287" s="1069"/>
      <c r="LAG287" s="1069"/>
      <c r="LAH287" s="1069"/>
      <c r="LAI287" s="1069"/>
      <c r="LAJ287" s="1069"/>
      <c r="LAK287" s="1069"/>
      <c r="LAL287" s="1069"/>
      <c r="LAM287" s="1069"/>
      <c r="LAN287" s="1069"/>
      <c r="LAO287" s="1069"/>
      <c r="LAP287" s="1069"/>
      <c r="LAQ287" s="1069"/>
      <c r="LAR287" s="1069"/>
      <c r="LAS287" s="1069"/>
      <c r="LAT287" s="1069"/>
      <c r="LAU287" s="1069"/>
      <c r="LAV287" s="1069"/>
      <c r="LAW287" s="1069"/>
      <c r="LAX287" s="1069"/>
      <c r="LAY287" s="1069"/>
      <c r="LAZ287" s="1069"/>
      <c r="LBA287" s="1069"/>
      <c r="LBB287" s="1069"/>
      <c r="LBC287" s="1069"/>
      <c r="LBD287" s="1069"/>
      <c r="LBE287" s="1069"/>
      <c r="LBF287" s="1069"/>
      <c r="LBG287" s="1069"/>
      <c r="LBH287" s="1069"/>
      <c r="LBI287" s="1069"/>
      <c r="LBJ287" s="1069"/>
      <c r="LBK287" s="1069"/>
      <c r="LBL287" s="1069"/>
      <c r="LBM287" s="1069"/>
      <c r="LBN287" s="1069"/>
      <c r="LBO287" s="1069"/>
      <c r="LBP287" s="1069"/>
      <c r="LBQ287" s="1069"/>
      <c r="LBR287" s="1069"/>
      <c r="LBS287" s="1069"/>
      <c r="LBT287" s="1069"/>
      <c r="LBU287" s="1069"/>
      <c r="LBV287" s="1069"/>
      <c r="LBW287" s="1069"/>
      <c r="LBX287" s="1069"/>
      <c r="LBY287" s="1069"/>
      <c r="LBZ287" s="1069"/>
      <c r="LCA287" s="1069"/>
      <c r="LCB287" s="1069"/>
      <c r="LCC287" s="1069"/>
      <c r="LCD287" s="1069"/>
      <c r="LCE287" s="1069"/>
      <c r="LCF287" s="1069"/>
      <c r="LCG287" s="1069"/>
      <c r="LCH287" s="1069"/>
      <c r="LCI287" s="1069"/>
      <c r="LCJ287" s="1069"/>
      <c r="LCK287" s="1069"/>
      <c r="LCL287" s="1069"/>
      <c r="LCM287" s="1069"/>
      <c r="LCN287" s="1069"/>
      <c r="LCO287" s="1069"/>
      <c r="LCP287" s="1069"/>
      <c r="LCQ287" s="1069"/>
      <c r="LCR287" s="1069"/>
      <c r="LCS287" s="1069"/>
      <c r="LCT287" s="1069"/>
      <c r="LCU287" s="1069"/>
      <c r="LCV287" s="1069"/>
      <c r="LCW287" s="1069"/>
      <c r="LCX287" s="1069"/>
      <c r="LCY287" s="1069"/>
      <c r="LCZ287" s="1069"/>
      <c r="LDA287" s="1069"/>
      <c r="LDB287" s="1069"/>
      <c r="LDC287" s="1069"/>
      <c r="LDD287" s="1069"/>
      <c r="LDE287" s="1069"/>
      <c r="LDF287" s="1069"/>
      <c r="LDG287" s="1069"/>
      <c r="LDH287" s="1069"/>
      <c r="LDI287" s="1069"/>
      <c r="LDJ287" s="1069"/>
      <c r="LDK287" s="1069"/>
      <c r="LDL287" s="1069"/>
      <c r="LDM287" s="1069"/>
      <c r="LDN287" s="1069"/>
      <c r="LDO287" s="1069"/>
      <c r="LDP287" s="1069"/>
      <c r="LDQ287" s="1069"/>
      <c r="LDR287" s="1069"/>
      <c r="LDS287" s="1069"/>
      <c r="LDT287" s="1069"/>
      <c r="LDU287" s="1069"/>
      <c r="LDV287" s="1069"/>
      <c r="LDW287" s="1069"/>
      <c r="LDX287" s="1069"/>
      <c r="LDY287" s="1069"/>
      <c r="LDZ287" s="1069"/>
      <c r="LEA287" s="1069"/>
      <c r="LEB287" s="1069"/>
      <c r="LEC287" s="1069"/>
      <c r="LED287" s="1069"/>
      <c r="LEE287" s="1069"/>
      <c r="LEF287" s="1069"/>
      <c r="LEG287" s="1069"/>
      <c r="LEH287" s="1069"/>
      <c r="LEI287" s="1069"/>
      <c r="LEJ287" s="1069"/>
      <c r="LEK287" s="1069"/>
      <c r="LEL287" s="1069"/>
      <c r="LEM287" s="1069"/>
      <c r="LEN287" s="1069"/>
      <c r="LEO287" s="1069"/>
      <c r="LEP287" s="1069"/>
      <c r="LEQ287" s="1069"/>
      <c r="LER287" s="1069"/>
      <c r="LES287" s="1069"/>
      <c r="LET287" s="1069"/>
      <c r="LEU287" s="1069"/>
      <c r="LEV287" s="1069"/>
      <c r="LEW287" s="1069"/>
      <c r="LEX287" s="1069"/>
      <c r="LEY287" s="1069"/>
      <c r="LEZ287" s="1069"/>
      <c r="LFA287" s="1069"/>
      <c r="LFB287" s="1069"/>
      <c r="LFC287" s="1069"/>
      <c r="LFD287" s="1069"/>
      <c r="LFE287" s="1069"/>
      <c r="LFF287" s="1069"/>
      <c r="LFG287" s="1069"/>
      <c r="LFH287" s="1069"/>
      <c r="LFI287" s="1069"/>
      <c r="LFJ287" s="1069"/>
      <c r="LFK287" s="1069"/>
      <c r="LFL287" s="1069"/>
      <c r="LFM287" s="1069"/>
      <c r="LFN287" s="1069"/>
      <c r="LFO287" s="1069"/>
      <c r="LFP287" s="1069"/>
      <c r="LFQ287" s="1069"/>
      <c r="LFR287" s="1069"/>
      <c r="LFS287" s="1069"/>
      <c r="LFT287" s="1069"/>
      <c r="LFU287" s="1069"/>
      <c r="LFV287" s="1069"/>
      <c r="LFW287" s="1069"/>
      <c r="LFX287" s="1069"/>
      <c r="LFY287" s="1069"/>
      <c r="LFZ287" s="1069"/>
      <c r="LGA287" s="1069"/>
      <c r="LGB287" s="1069"/>
      <c r="LGC287" s="1069"/>
      <c r="LGD287" s="1069"/>
      <c r="LGE287" s="1069"/>
      <c r="LGF287" s="1069"/>
      <c r="LGG287" s="1069"/>
      <c r="LGH287" s="1069"/>
      <c r="LGI287" s="1069"/>
      <c r="LGJ287" s="1069"/>
      <c r="LGK287" s="1069"/>
      <c r="LGL287" s="1069"/>
      <c r="LGM287" s="1069"/>
      <c r="LGN287" s="1069"/>
      <c r="LGO287" s="1069"/>
      <c r="LGP287" s="1069"/>
      <c r="LGQ287" s="1069"/>
      <c r="LGR287" s="1069"/>
      <c r="LGS287" s="1069"/>
      <c r="LGT287" s="1069"/>
      <c r="LGU287" s="1069"/>
      <c r="LGV287" s="1069"/>
      <c r="LGW287" s="1069"/>
      <c r="LGX287" s="1069"/>
      <c r="LGY287" s="1069"/>
      <c r="LGZ287" s="1069"/>
      <c r="LHA287" s="1069"/>
      <c r="LHB287" s="1069"/>
      <c r="LHC287" s="1069"/>
      <c r="LHD287" s="1069"/>
      <c r="LHE287" s="1069"/>
      <c r="LHF287" s="1069"/>
      <c r="LHG287" s="1069"/>
      <c r="LHH287" s="1069"/>
      <c r="LHI287" s="1069"/>
      <c r="LHJ287" s="1069"/>
      <c r="LHK287" s="1069"/>
      <c r="LHL287" s="1069"/>
      <c r="LHM287" s="1069"/>
      <c r="LHN287" s="1069"/>
      <c r="LHO287" s="1069"/>
      <c r="LHP287" s="1069"/>
      <c r="LHQ287" s="1069"/>
      <c r="LHR287" s="1069"/>
      <c r="LHS287" s="1069"/>
      <c r="LHT287" s="1069"/>
      <c r="LHU287" s="1069"/>
      <c r="LHV287" s="1069"/>
      <c r="LHW287" s="1069"/>
      <c r="LHX287" s="1069"/>
      <c r="LHY287" s="1069"/>
      <c r="LHZ287" s="1069"/>
      <c r="LIA287" s="1069"/>
      <c r="LIB287" s="1069"/>
      <c r="LIC287" s="1069"/>
      <c r="LID287" s="1069"/>
      <c r="LIE287" s="1069"/>
      <c r="LIF287" s="1069"/>
      <c r="LIG287" s="1069"/>
      <c r="LIH287" s="1069"/>
      <c r="LII287" s="1069"/>
      <c r="LIJ287" s="1069"/>
      <c r="LIK287" s="1069"/>
      <c r="LIL287" s="1069"/>
      <c r="LIM287" s="1069"/>
      <c r="LIN287" s="1069"/>
      <c r="LIO287" s="1069"/>
      <c r="LIP287" s="1069"/>
      <c r="LIQ287" s="1069"/>
      <c r="LIR287" s="1069"/>
      <c r="LIS287" s="1069"/>
      <c r="LIT287" s="1069"/>
      <c r="LIU287" s="1069"/>
      <c r="LIV287" s="1069"/>
      <c r="LIW287" s="1069"/>
      <c r="LIX287" s="1069"/>
      <c r="LIY287" s="1069"/>
      <c r="LIZ287" s="1069"/>
      <c r="LJA287" s="1069"/>
      <c r="LJB287" s="1069"/>
      <c r="LJC287" s="1069"/>
      <c r="LJD287" s="1069"/>
      <c r="LJE287" s="1069"/>
      <c r="LJF287" s="1069"/>
      <c r="LJG287" s="1069"/>
      <c r="LJH287" s="1069"/>
      <c r="LJI287" s="1069"/>
      <c r="LJJ287" s="1069"/>
      <c r="LJK287" s="1069"/>
      <c r="LJL287" s="1069"/>
      <c r="LJM287" s="1069"/>
      <c r="LJN287" s="1069"/>
      <c r="LJO287" s="1069"/>
      <c r="LJP287" s="1069"/>
      <c r="LJQ287" s="1069"/>
      <c r="LJR287" s="1069"/>
      <c r="LJS287" s="1069"/>
      <c r="LJT287" s="1069"/>
      <c r="LJU287" s="1069"/>
      <c r="LJV287" s="1069"/>
      <c r="LJW287" s="1069"/>
      <c r="LJX287" s="1069"/>
      <c r="LJY287" s="1069"/>
      <c r="LJZ287" s="1069"/>
      <c r="LKA287" s="1069"/>
      <c r="LKB287" s="1069"/>
      <c r="LKC287" s="1069"/>
      <c r="LKD287" s="1069"/>
      <c r="LKE287" s="1069"/>
      <c r="LKF287" s="1069"/>
      <c r="LKG287" s="1069"/>
      <c r="LKH287" s="1069"/>
      <c r="LKI287" s="1069"/>
      <c r="LKJ287" s="1069"/>
      <c r="LKK287" s="1069"/>
      <c r="LKL287" s="1069"/>
      <c r="LKM287" s="1069"/>
      <c r="LKN287" s="1069"/>
      <c r="LKO287" s="1069"/>
      <c r="LKP287" s="1069"/>
      <c r="LKQ287" s="1069"/>
      <c r="LKR287" s="1069"/>
      <c r="LKS287" s="1069"/>
      <c r="LKT287" s="1069"/>
      <c r="LKU287" s="1069"/>
      <c r="LKV287" s="1069"/>
      <c r="LKW287" s="1069"/>
      <c r="LKX287" s="1069"/>
      <c r="LKY287" s="1069"/>
      <c r="LKZ287" s="1069"/>
      <c r="LLA287" s="1069"/>
      <c r="LLB287" s="1069"/>
      <c r="LLC287" s="1069"/>
      <c r="LLD287" s="1069"/>
      <c r="LLE287" s="1069"/>
      <c r="LLF287" s="1069"/>
      <c r="LLG287" s="1069"/>
      <c r="LLH287" s="1069"/>
      <c r="LLI287" s="1069"/>
      <c r="LLJ287" s="1069"/>
      <c r="LLK287" s="1069"/>
      <c r="LLL287" s="1069"/>
      <c r="LLM287" s="1069"/>
      <c r="LLN287" s="1069"/>
      <c r="LLO287" s="1069"/>
      <c r="LLP287" s="1069"/>
      <c r="LLQ287" s="1069"/>
      <c r="LLR287" s="1069"/>
      <c r="LLS287" s="1069"/>
      <c r="LLT287" s="1069"/>
      <c r="LLU287" s="1069"/>
      <c r="LLV287" s="1069"/>
      <c r="LLW287" s="1069"/>
      <c r="LLX287" s="1069"/>
      <c r="LLY287" s="1069"/>
      <c r="LLZ287" s="1069"/>
      <c r="LMA287" s="1069"/>
      <c r="LMB287" s="1069"/>
      <c r="LMC287" s="1069"/>
      <c r="LMD287" s="1069"/>
      <c r="LME287" s="1069"/>
      <c r="LMF287" s="1069"/>
      <c r="LMG287" s="1069"/>
      <c r="LMH287" s="1069"/>
      <c r="LMI287" s="1069"/>
      <c r="LMJ287" s="1069"/>
      <c r="LMK287" s="1069"/>
      <c r="LML287" s="1069"/>
      <c r="LMM287" s="1069"/>
      <c r="LMN287" s="1069"/>
      <c r="LMO287" s="1069"/>
      <c r="LMP287" s="1069"/>
      <c r="LMQ287" s="1069"/>
      <c r="LMR287" s="1069"/>
      <c r="LMS287" s="1069"/>
      <c r="LMT287" s="1069"/>
      <c r="LMU287" s="1069"/>
      <c r="LMV287" s="1069"/>
      <c r="LMW287" s="1069"/>
      <c r="LMX287" s="1069"/>
      <c r="LMY287" s="1069"/>
      <c r="LMZ287" s="1069"/>
      <c r="LNA287" s="1069"/>
      <c r="LNB287" s="1069"/>
      <c r="LNC287" s="1069"/>
      <c r="LND287" s="1069"/>
      <c r="LNE287" s="1069"/>
      <c r="LNF287" s="1069"/>
      <c r="LNG287" s="1069"/>
      <c r="LNH287" s="1069"/>
      <c r="LNI287" s="1069"/>
      <c r="LNJ287" s="1069"/>
      <c r="LNK287" s="1069"/>
      <c r="LNL287" s="1069"/>
      <c r="LNM287" s="1069"/>
      <c r="LNN287" s="1069"/>
      <c r="LNO287" s="1069"/>
      <c r="LNP287" s="1069"/>
      <c r="LNQ287" s="1069"/>
      <c r="LNR287" s="1069"/>
      <c r="LNS287" s="1069"/>
      <c r="LNT287" s="1069"/>
      <c r="LNU287" s="1069"/>
      <c r="LNV287" s="1069"/>
      <c r="LNW287" s="1069"/>
      <c r="LNX287" s="1069"/>
      <c r="LNY287" s="1069"/>
      <c r="LNZ287" s="1069"/>
      <c r="LOA287" s="1069"/>
      <c r="LOB287" s="1069"/>
      <c r="LOC287" s="1069"/>
      <c r="LOD287" s="1069"/>
      <c r="LOE287" s="1069"/>
      <c r="LOF287" s="1069"/>
      <c r="LOG287" s="1069"/>
      <c r="LOH287" s="1069"/>
      <c r="LOI287" s="1069"/>
      <c r="LOJ287" s="1069"/>
      <c r="LOK287" s="1069"/>
      <c r="LOL287" s="1069"/>
      <c r="LOM287" s="1069"/>
      <c r="LON287" s="1069"/>
      <c r="LOO287" s="1069"/>
      <c r="LOP287" s="1069"/>
      <c r="LOQ287" s="1069"/>
      <c r="LOR287" s="1069"/>
      <c r="LOS287" s="1069"/>
      <c r="LOT287" s="1069"/>
      <c r="LOU287" s="1069"/>
      <c r="LOV287" s="1069"/>
      <c r="LOW287" s="1069"/>
      <c r="LOX287" s="1069"/>
      <c r="LOY287" s="1069"/>
      <c r="LOZ287" s="1069"/>
      <c r="LPA287" s="1069"/>
      <c r="LPB287" s="1069"/>
      <c r="LPC287" s="1069"/>
      <c r="LPD287" s="1069"/>
      <c r="LPE287" s="1069"/>
      <c r="LPF287" s="1069"/>
      <c r="LPG287" s="1069"/>
      <c r="LPH287" s="1069"/>
      <c r="LPI287" s="1069"/>
      <c r="LPJ287" s="1069"/>
      <c r="LPK287" s="1069"/>
      <c r="LPL287" s="1069"/>
      <c r="LPM287" s="1069"/>
      <c r="LPN287" s="1069"/>
      <c r="LPO287" s="1069"/>
      <c r="LPP287" s="1069"/>
      <c r="LPQ287" s="1069"/>
      <c r="LPR287" s="1069"/>
      <c r="LPS287" s="1069"/>
      <c r="LPT287" s="1069"/>
      <c r="LPU287" s="1069"/>
      <c r="LPV287" s="1069"/>
      <c r="LPW287" s="1069"/>
      <c r="LPX287" s="1069"/>
      <c r="LPY287" s="1069"/>
      <c r="LPZ287" s="1069"/>
      <c r="LQA287" s="1069"/>
      <c r="LQB287" s="1069"/>
      <c r="LQC287" s="1069"/>
      <c r="LQD287" s="1069"/>
      <c r="LQE287" s="1069"/>
      <c r="LQF287" s="1069"/>
      <c r="LQG287" s="1069"/>
      <c r="LQH287" s="1069"/>
      <c r="LQI287" s="1069"/>
      <c r="LQJ287" s="1069"/>
      <c r="LQK287" s="1069"/>
      <c r="LQL287" s="1069"/>
      <c r="LQM287" s="1069"/>
      <c r="LQN287" s="1069"/>
      <c r="LQO287" s="1069"/>
      <c r="LQP287" s="1069"/>
      <c r="LQQ287" s="1069"/>
      <c r="LQR287" s="1069"/>
      <c r="LQS287" s="1069"/>
      <c r="LQT287" s="1069"/>
      <c r="LQU287" s="1069"/>
      <c r="LQV287" s="1069"/>
      <c r="LQW287" s="1069"/>
      <c r="LQX287" s="1069"/>
      <c r="LQY287" s="1069"/>
      <c r="LQZ287" s="1069"/>
      <c r="LRA287" s="1069"/>
      <c r="LRB287" s="1069"/>
      <c r="LRC287" s="1069"/>
      <c r="LRD287" s="1069"/>
      <c r="LRE287" s="1069"/>
      <c r="LRF287" s="1069"/>
      <c r="LRG287" s="1069"/>
      <c r="LRH287" s="1069"/>
      <c r="LRI287" s="1069"/>
      <c r="LRJ287" s="1069"/>
      <c r="LRK287" s="1069"/>
      <c r="LRL287" s="1069"/>
      <c r="LRM287" s="1069"/>
      <c r="LRN287" s="1069"/>
      <c r="LRO287" s="1069"/>
      <c r="LRP287" s="1069"/>
      <c r="LRQ287" s="1069"/>
      <c r="LRR287" s="1069"/>
      <c r="LRS287" s="1069"/>
      <c r="LRT287" s="1069"/>
      <c r="LRU287" s="1069"/>
      <c r="LRV287" s="1069"/>
      <c r="LRW287" s="1069"/>
      <c r="LRX287" s="1069"/>
      <c r="LRY287" s="1069"/>
      <c r="LRZ287" s="1069"/>
      <c r="LSA287" s="1069"/>
      <c r="LSB287" s="1069"/>
      <c r="LSC287" s="1069"/>
      <c r="LSD287" s="1069"/>
      <c r="LSE287" s="1069"/>
      <c r="LSF287" s="1069"/>
      <c r="LSG287" s="1069"/>
      <c r="LSH287" s="1069"/>
      <c r="LSI287" s="1069"/>
      <c r="LSJ287" s="1069"/>
      <c r="LSK287" s="1069"/>
      <c r="LSL287" s="1069"/>
      <c r="LSM287" s="1069"/>
      <c r="LSN287" s="1069"/>
      <c r="LSO287" s="1069"/>
      <c r="LSP287" s="1069"/>
      <c r="LSQ287" s="1069"/>
      <c r="LSR287" s="1069"/>
      <c r="LSS287" s="1069"/>
      <c r="LST287" s="1069"/>
      <c r="LSU287" s="1069"/>
      <c r="LSV287" s="1069"/>
      <c r="LSW287" s="1069"/>
      <c r="LSX287" s="1069"/>
      <c r="LSY287" s="1069"/>
      <c r="LSZ287" s="1069"/>
      <c r="LTA287" s="1069"/>
      <c r="LTB287" s="1069"/>
      <c r="LTC287" s="1069"/>
      <c r="LTD287" s="1069"/>
      <c r="LTE287" s="1069"/>
      <c r="LTF287" s="1069"/>
      <c r="LTG287" s="1069"/>
      <c r="LTH287" s="1069"/>
      <c r="LTI287" s="1069"/>
      <c r="LTJ287" s="1069"/>
      <c r="LTK287" s="1069"/>
      <c r="LTL287" s="1069"/>
      <c r="LTM287" s="1069"/>
      <c r="LTN287" s="1069"/>
      <c r="LTO287" s="1069"/>
      <c r="LTP287" s="1069"/>
      <c r="LTQ287" s="1069"/>
      <c r="LTR287" s="1069"/>
      <c r="LTS287" s="1069"/>
      <c r="LTT287" s="1069"/>
      <c r="LTU287" s="1069"/>
      <c r="LTV287" s="1069"/>
      <c r="LTW287" s="1069"/>
      <c r="LTX287" s="1069"/>
      <c r="LTY287" s="1069"/>
      <c r="LTZ287" s="1069"/>
      <c r="LUA287" s="1069"/>
      <c r="LUB287" s="1069"/>
      <c r="LUC287" s="1069"/>
      <c r="LUD287" s="1069"/>
      <c r="LUE287" s="1069"/>
      <c r="LUF287" s="1069"/>
      <c r="LUG287" s="1069"/>
      <c r="LUH287" s="1069"/>
      <c r="LUI287" s="1069"/>
      <c r="LUJ287" s="1069"/>
      <c r="LUK287" s="1069"/>
      <c r="LUL287" s="1069"/>
      <c r="LUM287" s="1069"/>
      <c r="LUN287" s="1069"/>
      <c r="LUO287" s="1069"/>
      <c r="LUP287" s="1069"/>
      <c r="LUQ287" s="1069"/>
      <c r="LUR287" s="1069"/>
      <c r="LUS287" s="1069"/>
      <c r="LUT287" s="1069"/>
      <c r="LUU287" s="1069"/>
      <c r="LUV287" s="1069"/>
      <c r="LUW287" s="1069"/>
      <c r="LUX287" s="1069"/>
      <c r="LUY287" s="1069"/>
      <c r="LUZ287" s="1069"/>
      <c r="LVA287" s="1069"/>
      <c r="LVB287" s="1069"/>
      <c r="LVC287" s="1069"/>
      <c r="LVD287" s="1069"/>
      <c r="LVE287" s="1069"/>
      <c r="LVF287" s="1069"/>
      <c r="LVG287" s="1069"/>
      <c r="LVH287" s="1069"/>
      <c r="LVI287" s="1069"/>
      <c r="LVJ287" s="1069"/>
      <c r="LVK287" s="1069"/>
      <c r="LVL287" s="1069"/>
      <c r="LVM287" s="1069"/>
      <c r="LVN287" s="1069"/>
      <c r="LVO287" s="1069"/>
      <c r="LVP287" s="1069"/>
      <c r="LVQ287" s="1069"/>
      <c r="LVR287" s="1069"/>
      <c r="LVS287" s="1069"/>
      <c r="LVT287" s="1069"/>
      <c r="LVU287" s="1069"/>
      <c r="LVV287" s="1069"/>
      <c r="LVW287" s="1069"/>
      <c r="LVX287" s="1069"/>
      <c r="LVY287" s="1069"/>
      <c r="LVZ287" s="1069"/>
      <c r="LWA287" s="1069"/>
      <c r="LWB287" s="1069"/>
      <c r="LWC287" s="1069"/>
      <c r="LWD287" s="1069"/>
      <c r="LWE287" s="1069"/>
      <c r="LWF287" s="1069"/>
      <c r="LWG287" s="1069"/>
      <c r="LWH287" s="1069"/>
      <c r="LWI287" s="1069"/>
      <c r="LWJ287" s="1069"/>
      <c r="LWK287" s="1069"/>
      <c r="LWL287" s="1069"/>
      <c r="LWM287" s="1069"/>
      <c r="LWN287" s="1069"/>
      <c r="LWO287" s="1069"/>
      <c r="LWP287" s="1069"/>
      <c r="LWQ287" s="1069"/>
      <c r="LWR287" s="1069"/>
      <c r="LWS287" s="1069"/>
      <c r="LWT287" s="1069"/>
      <c r="LWU287" s="1069"/>
      <c r="LWV287" s="1069"/>
      <c r="LWW287" s="1069"/>
      <c r="LWX287" s="1069"/>
      <c r="LWY287" s="1069"/>
      <c r="LWZ287" s="1069"/>
      <c r="LXA287" s="1069"/>
      <c r="LXB287" s="1069"/>
      <c r="LXC287" s="1069"/>
      <c r="LXD287" s="1069"/>
      <c r="LXE287" s="1069"/>
      <c r="LXF287" s="1069"/>
      <c r="LXG287" s="1069"/>
      <c r="LXH287" s="1069"/>
      <c r="LXI287" s="1069"/>
      <c r="LXJ287" s="1069"/>
      <c r="LXK287" s="1069"/>
      <c r="LXL287" s="1069"/>
      <c r="LXM287" s="1069"/>
      <c r="LXN287" s="1069"/>
      <c r="LXO287" s="1069"/>
      <c r="LXP287" s="1069"/>
      <c r="LXQ287" s="1069"/>
      <c r="LXR287" s="1069"/>
      <c r="LXS287" s="1069"/>
      <c r="LXT287" s="1069"/>
      <c r="LXU287" s="1069"/>
      <c r="LXV287" s="1069"/>
      <c r="LXW287" s="1069"/>
      <c r="LXX287" s="1069"/>
      <c r="LXY287" s="1069"/>
      <c r="LXZ287" s="1069"/>
      <c r="LYA287" s="1069"/>
      <c r="LYB287" s="1069"/>
      <c r="LYC287" s="1069"/>
      <c r="LYD287" s="1069"/>
      <c r="LYE287" s="1069"/>
      <c r="LYF287" s="1069"/>
      <c r="LYG287" s="1069"/>
      <c r="LYH287" s="1069"/>
      <c r="LYI287" s="1069"/>
      <c r="LYJ287" s="1069"/>
      <c r="LYK287" s="1069"/>
      <c r="LYL287" s="1069"/>
      <c r="LYM287" s="1069"/>
      <c r="LYN287" s="1069"/>
      <c r="LYO287" s="1069"/>
      <c r="LYP287" s="1069"/>
      <c r="LYQ287" s="1069"/>
      <c r="LYR287" s="1069"/>
      <c r="LYS287" s="1069"/>
      <c r="LYT287" s="1069"/>
      <c r="LYU287" s="1069"/>
      <c r="LYV287" s="1069"/>
      <c r="LYW287" s="1069"/>
      <c r="LYX287" s="1069"/>
      <c r="LYY287" s="1069"/>
      <c r="LYZ287" s="1069"/>
      <c r="LZA287" s="1069"/>
      <c r="LZB287" s="1069"/>
      <c r="LZC287" s="1069"/>
      <c r="LZD287" s="1069"/>
      <c r="LZE287" s="1069"/>
      <c r="LZF287" s="1069"/>
      <c r="LZG287" s="1069"/>
      <c r="LZH287" s="1069"/>
      <c r="LZI287" s="1069"/>
      <c r="LZJ287" s="1069"/>
      <c r="LZK287" s="1069"/>
      <c r="LZL287" s="1069"/>
      <c r="LZM287" s="1069"/>
      <c r="LZN287" s="1069"/>
      <c r="LZO287" s="1069"/>
      <c r="LZP287" s="1069"/>
      <c r="LZQ287" s="1069"/>
      <c r="LZR287" s="1069"/>
      <c r="LZS287" s="1069"/>
      <c r="LZT287" s="1069"/>
      <c r="LZU287" s="1069"/>
      <c r="LZV287" s="1069"/>
      <c r="LZW287" s="1069"/>
      <c r="LZX287" s="1069"/>
      <c r="LZY287" s="1069"/>
      <c r="LZZ287" s="1069"/>
      <c r="MAA287" s="1069"/>
      <c r="MAB287" s="1069"/>
      <c r="MAC287" s="1069"/>
      <c r="MAD287" s="1069"/>
      <c r="MAE287" s="1069"/>
      <c r="MAF287" s="1069"/>
      <c r="MAG287" s="1069"/>
      <c r="MAH287" s="1069"/>
      <c r="MAI287" s="1069"/>
      <c r="MAJ287" s="1069"/>
      <c r="MAK287" s="1069"/>
      <c r="MAL287" s="1069"/>
      <c r="MAM287" s="1069"/>
      <c r="MAN287" s="1069"/>
      <c r="MAO287" s="1069"/>
      <c r="MAP287" s="1069"/>
      <c r="MAQ287" s="1069"/>
      <c r="MAR287" s="1069"/>
      <c r="MAS287" s="1069"/>
      <c r="MAT287" s="1069"/>
      <c r="MAU287" s="1069"/>
      <c r="MAV287" s="1069"/>
      <c r="MAW287" s="1069"/>
      <c r="MAX287" s="1069"/>
      <c r="MAY287" s="1069"/>
      <c r="MAZ287" s="1069"/>
      <c r="MBA287" s="1069"/>
      <c r="MBB287" s="1069"/>
      <c r="MBC287" s="1069"/>
      <c r="MBD287" s="1069"/>
      <c r="MBE287" s="1069"/>
      <c r="MBF287" s="1069"/>
      <c r="MBG287" s="1069"/>
      <c r="MBH287" s="1069"/>
      <c r="MBI287" s="1069"/>
      <c r="MBJ287" s="1069"/>
      <c r="MBK287" s="1069"/>
      <c r="MBL287" s="1069"/>
      <c r="MBM287" s="1069"/>
      <c r="MBN287" s="1069"/>
      <c r="MBO287" s="1069"/>
      <c r="MBP287" s="1069"/>
      <c r="MBQ287" s="1069"/>
      <c r="MBR287" s="1069"/>
      <c r="MBS287" s="1069"/>
      <c r="MBT287" s="1069"/>
      <c r="MBU287" s="1069"/>
      <c r="MBV287" s="1069"/>
      <c r="MBW287" s="1069"/>
      <c r="MBX287" s="1069"/>
      <c r="MBY287" s="1069"/>
      <c r="MBZ287" s="1069"/>
      <c r="MCA287" s="1069"/>
      <c r="MCB287" s="1069"/>
      <c r="MCC287" s="1069"/>
      <c r="MCD287" s="1069"/>
      <c r="MCE287" s="1069"/>
      <c r="MCF287" s="1069"/>
      <c r="MCG287" s="1069"/>
      <c r="MCH287" s="1069"/>
      <c r="MCI287" s="1069"/>
      <c r="MCJ287" s="1069"/>
      <c r="MCK287" s="1069"/>
      <c r="MCL287" s="1069"/>
      <c r="MCM287" s="1069"/>
      <c r="MCN287" s="1069"/>
      <c r="MCO287" s="1069"/>
      <c r="MCP287" s="1069"/>
      <c r="MCQ287" s="1069"/>
      <c r="MCR287" s="1069"/>
      <c r="MCS287" s="1069"/>
      <c r="MCT287" s="1069"/>
      <c r="MCU287" s="1069"/>
      <c r="MCV287" s="1069"/>
      <c r="MCW287" s="1069"/>
      <c r="MCX287" s="1069"/>
      <c r="MCY287" s="1069"/>
      <c r="MCZ287" s="1069"/>
      <c r="MDA287" s="1069"/>
      <c r="MDB287" s="1069"/>
      <c r="MDC287" s="1069"/>
      <c r="MDD287" s="1069"/>
      <c r="MDE287" s="1069"/>
      <c r="MDF287" s="1069"/>
      <c r="MDG287" s="1069"/>
      <c r="MDH287" s="1069"/>
      <c r="MDI287" s="1069"/>
      <c r="MDJ287" s="1069"/>
      <c r="MDK287" s="1069"/>
      <c r="MDL287" s="1069"/>
      <c r="MDM287" s="1069"/>
      <c r="MDN287" s="1069"/>
      <c r="MDO287" s="1069"/>
      <c r="MDP287" s="1069"/>
      <c r="MDQ287" s="1069"/>
      <c r="MDR287" s="1069"/>
      <c r="MDS287" s="1069"/>
      <c r="MDT287" s="1069"/>
      <c r="MDU287" s="1069"/>
      <c r="MDV287" s="1069"/>
      <c r="MDW287" s="1069"/>
      <c r="MDX287" s="1069"/>
      <c r="MDY287" s="1069"/>
      <c r="MDZ287" s="1069"/>
      <c r="MEA287" s="1069"/>
      <c r="MEB287" s="1069"/>
      <c r="MEC287" s="1069"/>
      <c r="MED287" s="1069"/>
      <c r="MEE287" s="1069"/>
      <c r="MEF287" s="1069"/>
      <c r="MEG287" s="1069"/>
      <c r="MEH287" s="1069"/>
      <c r="MEI287" s="1069"/>
      <c r="MEJ287" s="1069"/>
      <c r="MEK287" s="1069"/>
      <c r="MEL287" s="1069"/>
      <c r="MEM287" s="1069"/>
      <c r="MEN287" s="1069"/>
      <c r="MEO287" s="1069"/>
      <c r="MEP287" s="1069"/>
      <c r="MEQ287" s="1069"/>
      <c r="MER287" s="1069"/>
      <c r="MES287" s="1069"/>
      <c r="MET287" s="1069"/>
      <c r="MEU287" s="1069"/>
      <c r="MEV287" s="1069"/>
      <c r="MEW287" s="1069"/>
      <c r="MEX287" s="1069"/>
      <c r="MEY287" s="1069"/>
      <c r="MEZ287" s="1069"/>
      <c r="MFA287" s="1069"/>
      <c r="MFB287" s="1069"/>
      <c r="MFC287" s="1069"/>
      <c r="MFD287" s="1069"/>
      <c r="MFE287" s="1069"/>
      <c r="MFF287" s="1069"/>
      <c r="MFG287" s="1069"/>
      <c r="MFH287" s="1069"/>
      <c r="MFI287" s="1069"/>
      <c r="MFJ287" s="1069"/>
      <c r="MFK287" s="1069"/>
      <c r="MFL287" s="1069"/>
      <c r="MFM287" s="1069"/>
      <c r="MFN287" s="1069"/>
      <c r="MFO287" s="1069"/>
      <c r="MFP287" s="1069"/>
      <c r="MFQ287" s="1069"/>
      <c r="MFR287" s="1069"/>
      <c r="MFS287" s="1069"/>
      <c r="MFT287" s="1069"/>
      <c r="MFU287" s="1069"/>
      <c r="MFV287" s="1069"/>
      <c r="MFW287" s="1069"/>
      <c r="MFX287" s="1069"/>
      <c r="MFY287" s="1069"/>
      <c r="MFZ287" s="1069"/>
      <c r="MGA287" s="1069"/>
      <c r="MGB287" s="1069"/>
      <c r="MGC287" s="1069"/>
      <c r="MGD287" s="1069"/>
      <c r="MGE287" s="1069"/>
      <c r="MGF287" s="1069"/>
      <c r="MGG287" s="1069"/>
      <c r="MGH287" s="1069"/>
      <c r="MGI287" s="1069"/>
      <c r="MGJ287" s="1069"/>
      <c r="MGK287" s="1069"/>
      <c r="MGL287" s="1069"/>
      <c r="MGM287" s="1069"/>
      <c r="MGN287" s="1069"/>
      <c r="MGO287" s="1069"/>
      <c r="MGP287" s="1069"/>
      <c r="MGQ287" s="1069"/>
      <c r="MGR287" s="1069"/>
      <c r="MGS287" s="1069"/>
      <c r="MGT287" s="1069"/>
      <c r="MGU287" s="1069"/>
      <c r="MGV287" s="1069"/>
      <c r="MGW287" s="1069"/>
      <c r="MGX287" s="1069"/>
      <c r="MGY287" s="1069"/>
      <c r="MGZ287" s="1069"/>
      <c r="MHA287" s="1069"/>
      <c r="MHB287" s="1069"/>
      <c r="MHC287" s="1069"/>
      <c r="MHD287" s="1069"/>
      <c r="MHE287" s="1069"/>
      <c r="MHF287" s="1069"/>
      <c r="MHG287" s="1069"/>
      <c r="MHH287" s="1069"/>
      <c r="MHI287" s="1069"/>
      <c r="MHJ287" s="1069"/>
      <c r="MHK287" s="1069"/>
      <c r="MHL287" s="1069"/>
      <c r="MHM287" s="1069"/>
      <c r="MHN287" s="1069"/>
      <c r="MHO287" s="1069"/>
      <c r="MHP287" s="1069"/>
      <c r="MHQ287" s="1069"/>
      <c r="MHR287" s="1069"/>
      <c r="MHS287" s="1069"/>
      <c r="MHT287" s="1069"/>
      <c r="MHU287" s="1069"/>
      <c r="MHV287" s="1069"/>
      <c r="MHW287" s="1069"/>
      <c r="MHX287" s="1069"/>
      <c r="MHY287" s="1069"/>
      <c r="MHZ287" s="1069"/>
      <c r="MIA287" s="1069"/>
      <c r="MIB287" s="1069"/>
      <c r="MIC287" s="1069"/>
      <c r="MID287" s="1069"/>
      <c r="MIE287" s="1069"/>
      <c r="MIF287" s="1069"/>
      <c r="MIG287" s="1069"/>
      <c r="MIH287" s="1069"/>
      <c r="MII287" s="1069"/>
      <c r="MIJ287" s="1069"/>
      <c r="MIK287" s="1069"/>
      <c r="MIL287" s="1069"/>
      <c r="MIM287" s="1069"/>
      <c r="MIN287" s="1069"/>
      <c r="MIO287" s="1069"/>
      <c r="MIP287" s="1069"/>
      <c r="MIQ287" s="1069"/>
      <c r="MIR287" s="1069"/>
      <c r="MIS287" s="1069"/>
      <c r="MIT287" s="1069"/>
      <c r="MIU287" s="1069"/>
      <c r="MIV287" s="1069"/>
      <c r="MIW287" s="1069"/>
      <c r="MIX287" s="1069"/>
      <c r="MIY287" s="1069"/>
      <c r="MIZ287" s="1069"/>
      <c r="MJA287" s="1069"/>
      <c r="MJB287" s="1069"/>
      <c r="MJC287" s="1069"/>
      <c r="MJD287" s="1069"/>
      <c r="MJE287" s="1069"/>
      <c r="MJF287" s="1069"/>
      <c r="MJG287" s="1069"/>
      <c r="MJH287" s="1069"/>
      <c r="MJI287" s="1069"/>
      <c r="MJJ287" s="1069"/>
      <c r="MJK287" s="1069"/>
      <c r="MJL287" s="1069"/>
      <c r="MJM287" s="1069"/>
      <c r="MJN287" s="1069"/>
      <c r="MJO287" s="1069"/>
      <c r="MJP287" s="1069"/>
      <c r="MJQ287" s="1069"/>
      <c r="MJR287" s="1069"/>
      <c r="MJS287" s="1069"/>
      <c r="MJT287" s="1069"/>
      <c r="MJU287" s="1069"/>
      <c r="MJV287" s="1069"/>
      <c r="MJW287" s="1069"/>
      <c r="MJX287" s="1069"/>
      <c r="MJY287" s="1069"/>
      <c r="MJZ287" s="1069"/>
      <c r="MKA287" s="1069"/>
      <c r="MKB287" s="1069"/>
      <c r="MKC287" s="1069"/>
      <c r="MKD287" s="1069"/>
      <c r="MKE287" s="1069"/>
      <c r="MKF287" s="1069"/>
      <c r="MKG287" s="1069"/>
      <c r="MKH287" s="1069"/>
      <c r="MKI287" s="1069"/>
      <c r="MKJ287" s="1069"/>
      <c r="MKK287" s="1069"/>
      <c r="MKL287" s="1069"/>
      <c r="MKM287" s="1069"/>
      <c r="MKN287" s="1069"/>
      <c r="MKO287" s="1069"/>
      <c r="MKP287" s="1069"/>
      <c r="MKQ287" s="1069"/>
      <c r="MKR287" s="1069"/>
      <c r="MKS287" s="1069"/>
      <c r="MKT287" s="1069"/>
      <c r="MKU287" s="1069"/>
      <c r="MKV287" s="1069"/>
      <c r="MKW287" s="1069"/>
      <c r="MKX287" s="1069"/>
      <c r="MKY287" s="1069"/>
      <c r="MKZ287" s="1069"/>
      <c r="MLA287" s="1069"/>
      <c r="MLB287" s="1069"/>
      <c r="MLC287" s="1069"/>
      <c r="MLD287" s="1069"/>
      <c r="MLE287" s="1069"/>
      <c r="MLF287" s="1069"/>
      <c r="MLG287" s="1069"/>
      <c r="MLH287" s="1069"/>
      <c r="MLI287" s="1069"/>
      <c r="MLJ287" s="1069"/>
      <c r="MLK287" s="1069"/>
      <c r="MLL287" s="1069"/>
      <c r="MLM287" s="1069"/>
      <c r="MLN287" s="1069"/>
      <c r="MLO287" s="1069"/>
      <c r="MLP287" s="1069"/>
      <c r="MLQ287" s="1069"/>
      <c r="MLR287" s="1069"/>
      <c r="MLS287" s="1069"/>
      <c r="MLT287" s="1069"/>
      <c r="MLU287" s="1069"/>
      <c r="MLV287" s="1069"/>
      <c r="MLW287" s="1069"/>
      <c r="MLX287" s="1069"/>
      <c r="MLY287" s="1069"/>
      <c r="MLZ287" s="1069"/>
      <c r="MMA287" s="1069"/>
      <c r="MMB287" s="1069"/>
      <c r="MMC287" s="1069"/>
      <c r="MMD287" s="1069"/>
      <c r="MME287" s="1069"/>
      <c r="MMF287" s="1069"/>
      <c r="MMG287" s="1069"/>
      <c r="MMH287" s="1069"/>
      <c r="MMI287" s="1069"/>
      <c r="MMJ287" s="1069"/>
      <c r="MMK287" s="1069"/>
      <c r="MML287" s="1069"/>
      <c r="MMM287" s="1069"/>
      <c r="MMN287" s="1069"/>
      <c r="MMO287" s="1069"/>
      <c r="MMP287" s="1069"/>
      <c r="MMQ287" s="1069"/>
      <c r="MMR287" s="1069"/>
      <c r="MMS287" s="1069"/>
      <c r="MMT287" s="1069"/>
      <c r="MMU287" s="1069"/>
      <c r="MMV287" s="1069"/>
      <c r="MMW287" s="1069"/>
      <c r="MMX287" s="1069"/>
      <c r="MMY287" s="1069"/>
      <c r="MMZ287" s="1069"/>
      <c r="MNA287" s="1069"/>
      <c r="MNB287" s="1069"/>
      <c r="MNC287" s="1069"/>
      <c r="MND287" s="1069"/>
      <c r="MNE287" s="1069"/>
      <c r="MNF287" s="1069"/>
      <c r="MNG287" s="1069"/>
      <c r="MNH287" s="1069"/>
      <c r="MNI287" s="1069"/>
      <c r="MNJ287" s="1069"/>
      <c r="MNK287" s="1069"/>
      <c r="MNL287" s="1069"/>
      <c r="MNM287" s="1069"/>
      <c r="MNN287" s="1069"/>
      <c r="MNO287" s="1069"/>
      <c r="MNP287" s="1069"/>
      <c r="MNQ287" s="1069"/>
      <c r="MNR287" s="1069"/>
      <c r="MNS287" s="1069"/>
      <c r="MNT287" s="1069"/>
      <c r="MNU287" s="1069"/>
      <c r="MNV287" s="1069"/>
      <c r="MNW287" s="1069"/>
      <c r="MNX287" s="1069"/>
      <c r="MNY287" s="1069"/>
      <c r="MNZ287" s="1069"/>
      <c r="MOA287" s="1069"/>
      <c r="MOB287" s="1069"/>
      <c r="MOC287" s="1069"/>
      <c r="MOD287" s="1069"/>
      <c r="MOE287" s="1069"/>
      <c r="MOF287" s="1069"/>
      <c r="MOG287" s="1069"/>
      <c r="MOH287" s="1069"/>
      <c r="MOI287" s="1069"/>
      <c r="MOJ287" s="1069"/>
      <c r="MOK287" s="1069"/>
      <c r="MOL287" s="1069"/>
      <c r="MOM287" s="1069"/>
      <c r="MON287" s="1069"/>
      <c r="MOO287" s="1069"/>
      <c r="MOP287" s="1069"/>
      <c r="MOQ287" s="1069"/>
      <c r="MOR287" s="1069"/>
      <c r="MOS287" s="1069"/>
      <c r="MOT287" s="1069"/>
      <c r="MOU287" s="1069"/>
      <c r="MOV287" s="1069"/>
      <c r="MOW287" s="1069"/>
      <c r="MOX287" s="1069"/>
      <c r="MOY287" s="1069"/>
      <c r="MOZ287" s="1069"/>
      <c r="MPA287" s="1069"/>
      <c r="MPB287" s="1069"/>
      <c r="MPC287" s="1069"/>
      <c r="MPD287" s="1069"/>
      <c r="MPE287" s="1069"/>
      <c r="MPF287" s="1069"/>
      <c r="MPG287" s="1069"/>
      <c r="MPH287" s="1069"/>
      <c r="MPI287" s="1069"/>
      <c r="MPJ287" s="1069"/>
      <c r="MPK287" s="1069"/>
      <c r="MPL287" s="1069"/>
      <c r="MPM287" s="1069"/>
      <c r="MPN287" s="1069"/>
      <c r="MPO287" s="1069"/>
      <c r="MPP287" s="1069"/>
      <c r="MPQ287" s="1069"/>
      <c r="MPR287" s="1069"/>
      <c r="MPS287" s="1069"/>
      <c r="MPT287" s="1069"/>
      <c r="MPU287" s="1069"/>
      <c r="MPV287" s="1069"/>
      <c r="MPW287" s="1069"/>
      <c r="MPX287" s="1069"/>
      <c r="MPY287" s="1069"/>
      <c r="MPZ287" s="1069"/>
      <c r="MQA287" s="1069"/>
      <c r="MQB287" s="1069"/>
      <c r="MQC287" s="1069"/>
      <c r="MQD287" s="1069"/>
      <c r="MQE287" s="1069"/>
      <c r="MQF287" s="1069"/>
      <c r="MQG287" s="1069"/>
      <c r="MQH287" s="1069"/>
      <c r="MQI287" s="1069"/>
      <c r="MQJ287" s="1069"/>
      <c r="MQK287" s="1069"/>
      <c r="MQL287" s="1069"/>
      <c r="MQM287" s="1069"/>
      <c r="MQN287" s="1069"/>
      <c r="MQO287" s="1069"/>
      <c r="MQP287" s="1069"/>
      <c r="MQQ287" s="1069"/>
      <c r="MQR287" s="1069"/>
      <c r="MQS287" s="1069"/>
      <c r="MQT287" s="1069"/>
      <c r="MQU287" s="1069"/>
      <c r="MQV287" s="1069"/>
      <c r="MQW287" s="1069"/>
      <c r="MQX287" s="1069"/>
      <c r="MQY287" s="1069"/>
      <c r="MQZ287" s="1069"/>
      <c r="MRA287" s="1069"/>
      <c r="MRB287" s="1069"/>
      <c r="MRC287" s="1069"/>
      <c r="MRD287" s="1069"/>
      <c r="MRE287" s="1069"/>
      <c r="MRF287" s="1069"/>
      <c r="MRG287" s="1069"/>
      <c r="MRH287" s="1069"/>
      <c r="MRI287" s="1069"/>
      <c r="MRJ287" s="1069"/>
      <c r="MRK287" s="1069"/>
      <c r="MRL287" s="1069"/>
      <c r="MRM287" s="1069"/>
      <c r="MRN287" s="1069"/>
      <c r="MRO287" s="1069"/>
      <c r="MRP287" s="1069"/>
      <c r="MRQ287" s="1069"/>
      <c r="MRR287" s="1069"/>
      <c r="MRS287" s="1069"/>
      <c r="MRT287" s="1069"/>
      <c r="MRU287" s="1069"/>
      <c r="MRV287" s="1069"/>
      <c r="MRW287" s="1069"/>
      <c r="MRX287" s="1069"/>
      <c r="MRY287" s="1069"/>
      <c r="MRZ287" s="1069"/>
      <c r="MSA287" s="1069"/>
      <c r="MSB287" s="1069"/>
      <c r="MSC287" s="1069"/>
      <c r="MSD287" s="1069"/>
      <c r="MSE287" s="1069"/>
      <c r="MSF287" s="1069"/>
      <c r="MSG287" s="1069"/>
      <c r="MSH287" s="1069"/>
      <c r="MSI287" s="1069"/>
      <c r="MSJ287" s="1069"/>
      <c r="MSK287" s="1069"/>
      <c r="MSL287" s="1069"/>
      <c r="MSM287" s="1069"/>
      <c r="MSN287" s="1069"/>
      <c r="MSO287" s="1069"/>
      <c r="MSP287" s="1069"/>
      <c r="MSQ287" s="1069"/>
      <c r="MSR287" s="1069"/>
      <c r="MSS287" s="1069"/>
      <c r="MST287" s="1069"/>
      <c r="MSU287" s="1069"/>
      <c r="MSV287" s="1069"/>
      <c r="MSW287" s="1069"/>
      <c r="MSX287" s="1069"/>
      <c r="MSY287" s="1069"/>
      <c r="MSZ287" s="1069"/>
      <c r="MTA287" s="1069"/>
      <c r="MTB287" s="1069"/>
      <c r="MTC287" s="1069"/>
      <c r="MTD287" s="1069"/>
      <c r="MTE287" s="1069"/>
      <c r="MTF287" s="1069"/>
      <c r="MTG287" s="1069"/>
      <c r="MTH287" s="1069"/>
      <c r="MTI287" s="1069"/>
      <c r="MTJ287" s="1069"/>
      <c r="MTK287" s="1069"/>
      <c r="MTL287" s="1069"/>
      <c r="MTM287" s="1069"/>
      <c r="MTN287" s="1069"/>
      <c r="MTO287" s="1069"/>
      <c r="MTP287" s="1069"/>
      <c r="MTQ287" s="1069"/>
      <c r="MTR287" s="1069"/>
      <c r="MTS287" s="1069"/>
      <c r="MTT287" s="1069"/>
      <c r="MTU287" s="1069"/>
      <c r="MTV287" s="1069"/>
      <c r="MTW287" s="1069"/>
      <c r="MTX287" s="1069"/>
      <c r="MTY287" s="1069"/>
      <c r="MTZ287" s="1069"/>
      <c r="MUA287" s="1069"/>
      <c r="MUB287" s="1069"/>
      <c r="MUC287" s="1069"/>
      <c r="MUD287" s="1069"/>
      <c r="MUE287" s="1069"/>
      <c r="MUF287" s="1069"/>
      <c r="MUG287" s="1069"/>
      <c r="MUH287" s="1069"/>
      <c r="MUI287" s="1069"/>
      <c r="MUJ287" s="1069"/>
      <c r="MUK287" s="1069"/>
      <c r="MUL287" s="1069"/>
      <c r="MUM287" s="1069"/>
      <c r="MUN287" s="1069"/>
      <c r="MUO287" s="1069"/>
      <c r="MUP287" s="1069"/>
      <c r="MUQ287" s="1069"/>
      <c r="MUR287" s="1069"/>
      <c r="MUS287" s="1069"/>
      <c r="MUT287" s="1069"/>
      <c r="MUU287" s="1069"/>
      <c r="MUV287" s="1069"/>
      <c r="MUW287" s="1069"/>
      <c r="MUX287" s="1069"/>
      <c r="MUY287" s="1069"/>
      <c r="MUZ287" s="1069"/>
      <c r="MVA287" s="1069"/>
      <c r="MVB287" s="1069"/>
      <c r="MVC287" s="1069"/>
      <c r="MVD287" s="1069"/>
      <c r="MVE287" s="1069"/>
      <c r="MVF287" s="1069"/>
      <c r="MVG287" s="1069"/>
      <c r="MVH287" s="1069"/>
      <c r="MVI287" s="1069"/>
      <c r="MVJ287" s="1069"/>
      <c r="MVK287" s="1069"/>
      <c r="MVL287" s="1069"/>
      <c r="MVM287" s="1069"/>
      <c r="MVN287" s="1069"/>
      <c r="MVO287" s="1069"/>
      <c r="MVP287" s="1069"/>
      <c r="MVQ287" s="1069"/>
      <c r="MVR287" s="1069"/>
      <c r="MVS287" s="1069"/>
      <c r="MVT287" s="1069"/>
      <c r="MVU287" s="1069"/>
      <c r="MVV287" s="1069"/>
      <c r="MVW287" s="1069"/>
      <c r="MVX287" s="1069"/>
      <c r="MVY287" s="1069"/>
      <c r="MVZ287" s="1069"/>
      <c r="MWA287" s="1069"/>
      <c r="MWB287" s="1069"/>
      <c r="MWC287" s="1069"/>
      <c r="MWD287" s="1069"/>
      <c r="MWE287" s="1069"/>
      <c r="MWF287" s="1069"/>
      <c r="MWG287" s="1069"/>
      <c r="MWH287" s="1069"/>
      <c r="MWI287" s="1069"/>
      <c r="MWJ287" s="1069"/>
      <c r="MWK287" s="1069"/>
      <c r="MWL287" s="1069"/>
      <c r="MWM287" s="1069"/>
      <c r="MWN287" s="1069"/>
      <c r="MWO287" s="1069"/>
      <c r="MWP287" s="1069"/>
      <c r="MWQ287" s="1069"/>
      <c r="MWR287" s="1069"/>
      <c r="MWS287" s="1069"/>
      <c r="MWT287" s="1069"/>
      <c r="MWU287" s="1069"/>
      <c r="MWV287" s="1069"/>
      <c r="MWW287" s="1069"/>
      <c r="MWX287" s="1069"/>
      <c r="MWY287" s="1069"/>
      <c r="MWZ287" s="1069"/>
      <c r="MXA287" s="1069"/>
      <c r="MXB287" s="1069"/>
      <c r="MXC287" s="1069"/>
      <c r="MXD287" s="1069"/>
      <c r="MXE287" s="1069"/>
      <c r="MXF287" s="1069"/>
      <c r="MXG287" s="1069"/>
      <c r="MXH287" s="1069"/>
      <c r="MXI287" s="1069"/>
      <c r="MXJ287" s="1069"/>
      <c r="MXK287" s="1069"/>
      <c r="MXL287" s="1069"/>
      <c r="MXM287" s="1069"/>
      <c r="MXN287" s="1069"/>
      <c r="MXO287" s="1069"/>
      <c r="MXP287" s="1069"/>
      <c r="MXQ287" s="1069"/>
      <c r="MXR287" s="1069"/>
      <c r="MXS287" s="1069"/>
      <c r="MXT287" s="1069"/>
      <c r="MXU287" s="1069"/>
      <c r="MXV287" s="1069"/>
      <c r="MXW287" s="1069"/>
      <c r="MXX287" s="1069"/>
      <c r="MXY287" s="1069"/>
      <c r="MXZ287" s="1069"/>
      <c r="MYA287" s="1069"/>
      <c r="MYB287" s="1069"/>
      <c r="MYC287" s="1069"/>
      <c r="MYD287" s="1069"/>
      <c r="MYE287" s="1069"/>
      <c r="MYF287" s="1069"/>
      <c r="MYG287" s="1069"/>
      <c r="MYH287" s="1069"/>
      <c r="MYI287" s="1069"/>
      <c r="MYJ287" s="1069"/>
      <c r="MYK287" s="1069"/>
      <c r="MYL287" s="1069"/>
      <c r="MYM287" s="1069"/>
      <c r="MYN287" s="1069"/>
      <c r="MYO287" s="1069"/>
      <c r="MYP287" s="1069"/>
      <c r="MYQ287" s="1069"/>
      <c r="MYR287" s="1069"/>
      <c r="MYS287" s="1069"/>
      <c r="MYT287" s="1069"/>
      <c r="MYU287" s="1069"/>
      <c r="MYV287" s="1069"/>
      <c r="MYW287" s="1069"/>
      <c r="MYX287" s="1069"/>
      <c r="MYY287" s="1069"/>
      <c r="MYZ287" s="1069"/>
      <c r="MZA287" s="1069"/>
      <c r="MZB287" s="1069"/>
      <c r="MZC287" s="1069"/>
      <c r="MZD287" s="1069"/>
      <c r="MZE287" s="1069"/>
      <c r="MZF287" s="1069"/>
      <c r="MZG287" s="1069"/>
      <c r="MZH287" s="1069"/>
      <c r="MZI287" s="1069"/>
      <c r="MZJ287" s="1069"/>
      <c r="MZK287" s="1069"/>
      <c r="MZL287" s="1069"/>
      <c r="MZM287" s="1069"/>
      <c r="MZN287" s="1069"/>
      <c r="MZO287" s="1069"/>
      <c r="MZP287" s="1069"/>
      <c r="MZQ287" s="1069"/>
      <c r="MZR287" s="1069"/>
      <c r="MZS287" s="1069"/>
      <c r="MZT287" s="1069"/>
      <c r="MZU287" s="1069"/>
      <c r="MZV287" s="1069"/>
      <c r="MZW287" s="1069"/>
      <c r="MZX287" s="1069"/>
      <c r="MZY287" s="1069"/>
      <c r="MZZ287" s="1069"/>
      <c r="NAA287" s="1069"/>
      <c r="NAB287" s="1069"/>
      <c r="NAC287" s="1069"/>
      <c r="NAD287" s="1069"/>
      <c r="NAE287" s="1069"/>
      <c r="NAF287" s="1069"/>
      <c r="NAG287" s="1069"/>
      <c r="NAH287" s="1069"/>
      <c r="NAI287" s="1069"/>
      <c r="NAJ287" s="1069"/>
      <c r="NAK287" s="1069"/>
      <c r="NAL287" s="1069"/>
      <c r="NAM287" s="1069"/>
      <c r="NAN287" s="1069"/>
      <c r="NAO287" s="1069"/>
      <c r="NAP287" s="1069"/>
      <c r="NAQ287" s="1069"/>
      <c r="NAR287" s="1069"/>
      <c r="NAS287" s="1069"/>
      <c r="NAT287" s="1069"/>
      <c r="NAU287" s="1069"/>
      <c r="NAV287" s="1069"/>
      <c r="NAW287" s="1069"/>
      <c r="NAX287" s="1069"/>
      <c r="NAY287" s="1069"/>
      <c r="NAZ287" s="1069"/>
      <c r="NBA287" s="1069"/>
      <c r="NBB287" s="1069"/>
      <c r="NBC287" s="1069"/>
      <c r="NBD287" s="1069"/>
      <c r="NBE287" s="1069"/>
      <c r="NBF287" s="1069"/>
      <c r="NBG287" s="1069"/>
      <c r="NBH287" s="1069"/>
      <c r="NBI287" s="1069"/>
      <c r="NBJ287" s="1069"/>
      <c r="NBK287" s="1069"/>
      <c r="NBL287" s="1069"/>
      <c r="NBM287" s="1069"/>
      <c r="NBN287" s="1069"/>
      <c r="NBO287" s="1069"/>
      <c r="NBP287" s="1069"/>
      <c r="NBQ287" s="1069"/>
      <c r="NBR287" s="1069"/>
      <c r="NBS287" s="1069"/>
      <c r="NBT287" s="1069"/>
      <c r="NBU287" s="1069"/>
      <c r="NBV287" s="1069"/>
      <c r="NBW287" s="1069"/>
      <c r="NBX287" s="1069"/>
      <c r="NBY287" s="1069"/>
      <c r="NBZ287" s="1069"/>
      <c r="NCA287" s="1069"/>
      <c r="NCB287" s="1069"/>
      <c r="NCC287" s="1069"/>
      <c r="NCD287" s="1069"/>
      <c r="NCE287" s="1069"/>
      <c r="NCF287" s="1069"/>
      <c r="NCG287" s="1069"/>
      <c r="NCH287" s="1069"/>
      <c r="NCI287" s="1069"/>
      <c r="NCJ287" s="1069"/>
      <c r="NCK287" s="1069"/>
      <c r="NCL287" s="1069"/>
      <c r="NCM287" s="1069"/>
      <c r="NCN287" s="1069"/>
      <c r="NCO287" s="1069"/>
      <c r="NCP287" s="1069"/>
      <c r="NCQ287" s="1069"/>
      <c r="NCR287" s="1069"/>
      <c r="NCS287" s="1069"/>
      <c r="NCT287" s="1069"/>
      <c r="NCU287" s="1069"/>
      <c r="NCV287" s="1069"/>
      <c r="NCW287" s="1069"/>
      <c r="NCX287" s="1069"/>
      <c r="NCY287" s="1069"/>
      <c r="NCZ287" s="1069"/>
      <c r="NDA287" s="1069"/>
      <c r="NDB287" s="1069"/>
      <c r="NDC287" s="1069"/>
      <c r="NDD287" s="1069"/>
      <c r="NDE287" s="1069"/>
      <c r="NDF287" s="1069"/>
      <c r="NDG287" s="1069"/>
      <c r="NDH287" s="1069"/>
      <c r="NDI287" s="1069"/>
      <c r="NDJ287" s="1069"/>
      <c r="NDK287" s="1069"/>
      <c r="NDL287" s="1069"/>
      <c r="NDM287" s="1069"/>
      <c r="NDN287" s="1069"/>
      <c r="NDO287" s="1069"/>
      <c r="NDP287" s="1069"/>
      <c r="NDQ287" s="1069"/>
      <c r="NDR287" s="1069"/>
      <c r="NDS287" s="1069"/>
      <c r="NDT287" s="1069"/>
      <c r="NDU287" s="1069"/>
      <c r="NDV287" s="1069"/>
      <c r="NDW287" s="1069"/>
      <c r="NDX287" s="1069"/>
      <c r="NDY287" s="1069"/>
      <c r="NDZ287" s="1069"/>
      <c r="NEA287" s="1069"/>
      <c r="NEB287" s="1069"/>
      <c r="NEC287" s="1069"/>
      <c r="NED287" s="1069"/>
      <c r="NEE287" s="1069"/>
      <c r="NEF287" s="1069"/>
      <c r="NEG287" s="1069"/>
      <c r="NEH287" s="1069"/>
      <c r="NEI287" s="1069"/>
      <c r="NEJ287" s="1069"/>
      <c r="NEK287" s="1069"/>
      <c r="NEL287" s="1069"/>
      <c r="NEM287" s="1069"/>
      <c r="NEN287" s="1069"/>
      <c r="NEO287" s="1069"/>
      <c r="NEP287" s="1069"/>
      <c r="NEQ287" s="1069"/>
      <c r="NER287" s="1069"/>
      <c r="NES287" s="1069"/>
      <c r="NET287" s="1069"/>
      <c r="NEU287" s="1069"/>
      <c r="NEV287" s="1069"/>
      <c r="NEW287" s="1069"/>
      <c r="NEX287" s="1069"/>
      <c r="NEY287" s="1069"/>
      <c r="NEZ287" s="1069"/>
      <c r="NFA287" s="1069"/>
      <c r="NFB287" s="1069"/>
      <c r="NFC287" s="1069"/>
      <c r="NFD287" s="1069"/>
      <c r="NFE287" s="1069"/>
      <c r="NFF287" s="1069"/>
      <c r="NFG287" s="1069"/>
      <c r="NFH287" s="1069"/>
      <c r="NFI287" s="1069"/>
      <c r="NFJ287" s="1069"/>
      <c r="NFK287" s="1069"/>
      <c r="NFL287" s="1069"/>
      <c r="NFM287" s="1069"/>
      <c r="NFN287" s="1069"/>
      <c r="NFO287" s="1069"/>
      <c r="NFP287" s="1069"/>
      <c r="NFQ287" s="1069"/>
      <c r="NFR287" s="1069"/>
      <c r="NFS287" s="1069"/>
      <c r="NFT287" s="1069"/>
      <c r="NFU287" s="1069"/>
      <c r="NFV287" s="1069"/>
      <c r="NFW287" s="1069"/>
      <c r="NFX287" s="1069"/>
      <c r="NFY287" s="1069"/>
      <c r="NFZ287" s="1069"/>
      <c r="NGA287" s="1069"/>
      <c r="NGB287" s="1069"/>
      <c r="NGC287" s="1069"/>
      <c r="NGD287" s="1069"/>
      <c r="NGE287" s="1069"/>
      <c r="NGF287" s="1069"/>
      <c r="NGG287" s="1069"/>
      <c r="NGH287" s="1069"/>
      <c r="NGI287" s="1069"/>
      <c r="NGJ287" s="1069"/>
      <c r="NGK287" s="1069"/>
      <c r="NGL287" s="1069"/>
      <c r="NGM287" s="1069"/>
      <c r="NGN287" s="1069"/>
      <c r="NGO287" s="1069"/>
      <c r="NGP287" s="1069"/>
      <c r="NGQ287" s="1069"/>
      <c r="NGR287" s="1069"/>
      <c r="NGS287" s="1069"/>
      <c r="NGT287" s="1069"/>
      <c r="NGU287" s="1069"/>
      <c r="NGV287" s="1069"/>
      <c r="NGW287" s="1069"/>
      <c r="NGX287" s="1069"/>
      <c r="NGY287" s="1069"/>
      <c r="NGZ287" s="1069"/>
      <c r="NHA287" s="1069"/>
      <c r="NHB287" s="1069"/>
      <c r="NHC287" s="1069"/>
      <c r="NHD287" s="1069"/>
      <c r="NHE287" s="1069"/>
      <c r="NHF287" s="1069"/>
      <c r="NHG287" s="1069"/>
      <c r="NHH287" s="1069"/>
      <c r="NHI287" s="1069"/>
      <c r="NHJ287" s="1069"/>
      <c r="NHK287" s="1069"/>
      <c r="NHL287" s="1069"/>
      <c r="NHM287" s="1069"/>
      <c r="NHN287" s="1069"/>
      <c r="NHO287" s="1069"/>
      <c r="NHP287" s="1069"/>
      <c r="NHQ287" s="1069"/>
      <c r="NHR287" s="1069"/>
      <c r="NHS287" s="1069"/>
      <c r="NHT287" s="1069"/>
      <c r="NHU287" s="1069"/>
      <c r="NHV287" s="1069"/>
      <c r="NHW287" s="1069"/>
      <c r="NHX287" s="1069"/>
      <c r="NHY287" s="1069"/>
      <c r="NHZ287" s="1069"/>
      <c r="NIA287" s="1069"/>
      <c r="NIB287" s="1069"/>
      <c r="NIC287" s="1069"/>
      <c r="NID287" s="1069"/>
      <c r="NIE287" s="1069"/>
      <c r="NIF287" s="1069"/>
      <c r="NIG287" s="1069"/>
      <c r="NIH287" s="1069"/>
      <c r="NII287" s="1069"/>
      <c r="NIJ287" s="1069"/>
      <c r="NIK287" s="1069"/>
      <c r="NIL287" s="1069"/>
      <c r="NIM287" s="1069"/>
      <c r="NIN287" s="1069"/>
      <c r="NIO287" s="1069"/>
      <c r="NIP287" s="1069"/>
      <c r="NIQ287" s="1069"/>
      <c r="NIR287" s="1069"/>
      <c r="NIS287" s="1069"/>
      <c r="NIT287" s="1069"/>
      <c r="NIU287" s="1069"/>
      <c r="NIV287" s="1069"/>
      <c r="NIW287" s="1069"/>
      <c r="NIX287" s="1069"/>
      <c r="NIY287" s="1069"/>
      <c r="NIZ287" s="1069"/>
      <c r="NJA287" s="1069"/>
      <c r="NJB287" s="1069"/>
      <c r="NJC287" s="1069"/>
      <c r="NJD287" s="1069"/>
      <c r="NJE287" s="1069"/>
      <c r="NJF287" s="1069"/>
      <c r="NJG287" s="1069"/>
      <c r="NJH287" s="1069"/>
      <c r="NJI287" s="1069"/>
      <c r="NJJ287" s="1069"/>
      <c r="NJK287" s="1069"/>
      <c r="NJL287" s="1069"/>
      <c r="NJM287" s="1069"/>
      <c r="NJN287" s="1069"/>
      <c r="NJO287" s="1069"/>
      <c r="NJP287" s="1069"/>
      <c r="NJQ287" s="1069"/>
      <c r="NJR287" s="1069"/>
      <c r="NJS287" s="1069"/>
      <c r="NJT287" s="1069"/>
      <c r="NJU287" s="1069"/>
      <c r="NJV287" s="1069"/>
      <c r="NJW287" s="1069"/>
      <c r="NJX287" s="1069"/>
      <c r="NJY287" s="1069"/>
      <c r="NJZ287" s="1069"/>
      <c r="NKA287" s="1069"/>
      <c r="NKB287" s="1069"/>
      <c r="NKC287" s="1069"/>
      <c r="NKD287" s="1069"/>
      <c r="NKE287" s="1069"/>
      <c r="NKF287" s="1069"/>
      <c r="NKG287" s="1069"/>
      <c r="NKH287" s="1069"/>
      <c r="NKI287" s="1069"/>
      <c r="NKJ287" s="1069"/>
      <c r="NKK287" s="1069"/>
      <c r="NKL287" s="1069"/>
      <c r="NKM287" s="1069"/>
      <c r="NKN287" s="1069"/>
      <c r="NKO287" s="1069"/>
      <c r="NKP287" s="1069"/>
      <c r="NKQ287" s="1069"/>
      <c r="NKR287" s="1069"/>
      <c r="NKS287" s="1069"/>
      <c r="NKT287" s="1069"/>
      <c r="NKU287" s="1069"/>
      <c r="NKV287" s="1069"/>
      <c r="NKW287" s="1069"/>
      <c r="NKX287" s="1069"/>
      <c r="NKY287" s="1069"/>
      <c r="NKZ287" s="1069"/>
      <c r="NLA287" s="1069"/>
      <c r="NLB287" s="1069"/>
      <c r="NLC287" s="1069"/>
      <c r="NLD287" s="1069"/>
      <c r="NLE287" s="1069"/>
      <c r="NLF287" s="1069"/>
      <c r="NLG287" s="1069"/>
      <c r="NLH287" s="1069"/>
      <c r="NLI287" s="1069"/>
      <c r="NLJ287" s="1069"/>
      <c r="NLK287" s="1069"/>
      <c r="NLL287" s="1069"/>
      <c r="NLM287" s="1069"/>
      <c r="NLN287" s="1069"/>
      <c r="NLO287" s="1069"/>
      <c r="NLP287" s="1069"/>
      <c r="NLQ287" s="1069"/>
      <c r="NLR287" s="1069"/>
      <c r="NLS287" s="1069"/>
      <c r="NLT287" s="1069"/>
      <c r="NLU287" s="1069"/>
      <c r="NLV287" s="1069"/>
      <c r="NLW287" s="1069"/>
      <c r="NLX287" s="1069"/>
      <c r="NLY287" s="1069"/>
      <c r="NLZ287" s="1069"/>
      <c r="NMA287" s="1069"/>
      <c r="NMB287" s="1069"/>
      <c r="NMC287" s="1069"/>
      <c r="NMD287" s="1069"/>
      <c r="NME287" s="1069"/>
      <c r="NMF287" s="1069"/>
      <c r="NMG287" s="1069"/>
      <c r="NMH287" s="1069"/>
      <c r="NMI287" s="1069"/>
      <c r="NMJ287" s="1069"/>
      <c r="NMK287" s="1069"/>
      <c r="NML287" s="1069"/>
      <c r="NMM287" s="1069"/>
      <c r="NMN287" s="1069"/>
      <c r="NMO287" s="1069"/>
      <c r="NMP287" s="1069"/>
      <c r="NMQ287" s="1069"/>
      <c r="NMR287" s="1069"/>
      <c r="NMS287" s="1069"/>
      <c r="NMT287" s="1069"/>
      <c r="NMU287" s="1069"/>
      <c r="NMV287" s="1069"/>
      <c r="NMW287" s="1069"/>
      <c r="NMX287" s="1069"/>
      <c r="NMY287" s="1069"/>
      <c r="NMZ287" s="1069"/>
      <c r="NNA287" s="1069"/>
      <c r="NNB287" s="1069"/>
      <c r="NNC287" s="1069"/>
      <c r="NND287" s="1069"/>
      <c r="NNE287" s="1069"/>
      <c r="NNF287" s="1069"/>
      <c r="NNG287" s="1069"/>
      <c r="NNH287" s="1069"/>
      <c r="NNI287" s="1069"/>
      <c r="NNJ287" s="1069"/>
      <c r="NNK287" s="1069"/>
      <c r="NNL287" s="1069"/>
      <c r="NNM287" s="1069"/>
      <c r="NNN287" s="1069"/>
      <c r="NNO287" s="1069"/>
      <c r="NNP287" s="1069"/>
      <c r="NNQ287" s="1069"/>
      <c r="NNR287" s="1069"/>
      <c r="NNS287" s="1069"/>
      <c r="NNT287" s="1069"/>
      <c r="NNU287" s="1069"/>
      <c r="NNV287" s="1069"/>
      <c r="NNW287" s="1069"/>
      <c r="NNX287" s="1069"/>
      <c r="NNY287" s="1069"/>
      <c r="NNZ287" s="1069"/>
      <c r="NOA287" s="1069"/>
      <c r="NOB287" s="1069"/>
      <c r="NOC287" s="1069"/>
      <c r="NOD287" s="1069"/>
      <c r="NOE287" s="1069"/>
      <c r="NOF287" s="1069"/>
      <c r="NOG287" s="1069"/>
      <c r="NOH287" s="1069"/>
      <c r="NOI287" s="1069"/>
      <c r="NOJ287" s="1069"/>
      <c r="NOK287" s="1069"/>
      <c r="NOL287" s="1069"/>
      <c r="NOM287" s="1069"/>
      <c r="NON287" s="1069"/>
      <c r="NOO287" s="1069"/>
      <c r="NOP287" s="1069"/>
      <c r="NOQ287" s="1069"/>
      <c r="NOR287" s="1069"/>
      <c r="NOS287" s="1069"/>
      <c r="NOT287" s="1069"/>
      <c r="NOU287" s="1069"/>
      <c r="NOV287" s="1069"/>
      <c r="NOW287" s="1069"/>
      <c r="NOX287" s="1069"/>
      <c r="NOY287" s="1069"/>
      <c r="NOZ287" s="1069"/>
      <c r="NPA287" s="1069"/>
      <c r="NPB287" s="1069"/>
      <c r="NPC287" s="1069"/>
      <c r="NPD287" s="1069"/>
      <c r="NPE287" s="1069"/>
      <c r="NPF287" s="1069"/>
      <c r="NPG287" s="1069"/>
      <c r="NPH287" s="1069"/>
      <c r="NPI287" s="1069"/>
      <c r="NPJ287" s="1069"/>
      <c r="NPK287" s="1069"/>
      <c r="NPL287" s="1069"/>
      <c r="NPM287" s="1069"/>
      <c r="NPN287" s="1069"/>
      <c r="NPO287" s="1069"/>
      <c r="NPP287" s="1069"/>
      <c r="NPQ287" s="1069"/>
      <c r="NPR287" s="1069"/>
      <c r="NPS287" s="1069"/>
      <c r="NPT287" s="1069"/>
      <c r="NPU287" s="1069"/>
      <c r="NPV287" s="1069"/>
      <c r="NPW287" s="1069"/>
      <c r="NPX287" s="1069"/>
      <c r="NPY287" s="1069"/>
      <c r="NPZ287" s="1069"/>
      <c r="NQA287" s="1069"/>
      <c r="NQB287" s="1069"/>
      <c r="NQC287" s="1069"/>
      <c r="NQD287" s="1069"/>
      <c r="NQE287" s="1069"/>
      <c r="NQF287" s="1069"/>
      <c r="NQG287" s="1069"/>
      <c r="NQH287" s="1069"/>
      <c r="NQI287" s="1069"/>
      <c r="NQJ287" s="1069"/>
      <c r="NQK287" s="1069"/>
      <c r="NQL287" s="1069"/>
      <c r="NQM287" s="1069"/>
      <c r="NQN287" s="1069"/>
      <c r="NQO287" s="1069"/>
      <c r="NQP287" s="1069"/>
      <c r="NQQ287" s="1069"/>
      <c r="NQR287" s="1069"/>
      <c r="NQS287" s="1069"/>
      <c r="NQT287" s="1069"/>
      <c r="NQU287" s="1069"/>
      <c r="NQV287" s="1069"/>
      <c r="NQW287" s="1069"/>
      <c r="NQX287" s="1069"/>
      <c r="NQY287" s="1069"/>
      <c r="NQZ287" s="1069"/>
      <c r="NRA287" s="1069"/>
      <c r="NRB287" s="1069"/>
      <c r="NRC287" s="1069"/>
      <c r="NRD287" s="1069"/>
      <c r="NRE287" s="1069"/>
      <c r="NRF287" s="1069"/>
      <c r="NRG287" s="1069"/>
      <c r="NRH287" s="1069"/>
      <c r="NRI287" s="1069"/>
      <c r="NRJ287" s="1069"/>
      <c r="NRK287" s="1069"/>
      <c r="NRL287" s="1069"/>
      <c r="NRM287" s="1069"/>
      <c r="NRN287" s="1069"/>
      <c r="NRO287" s="1069"/>
      <c r="NRP287" s="1069"/>
      <c r="NRQ287" s="1069"/>
      <c r="NRR287" s="1069"/>
      <c r="NRS287" s="1069"/>
      <c r="NRT287" s="1069"/>
      <c r="NRU287" s="1069"/>
      <c r="NRV287" s="1069"/>
      <c r="NRW287" s="1069"/>
      <c r="NRX287" s="1069"/>
      <c r="NRY287" s="1069"/>
      <c r="NRZ287" s="1069"/>
      <c r="NSA287" s="1069"/>
      <c r="NSB287" s="1069"/>
      <c r="NSC287" s="1069"/>
      <c r="NSD287" s="1069"/>
      <c r="NSE287" s="1069"/>
      <c r="NSF287" s="1069"/>
      <c r="NSG287" s="1069"/>
      <c r="NSH287" s="1069"/>
      <c r="NSI287" s="1069"/>
      <c r="NSJ287" s="1069"/>
      <c r="NSK287" s="1069"/>
      <c r="NSL287" s="1069"/>
      <c r="NSM287" s="1069"/>
      <c r="NSN287" s="1069"/>
      <c r="NSO287" s="1069"/>
      <c r="NSP287" s="1069"/>
      <c r="NSQ287" s="1069"/>
      <c r="NSR287" s="1069"/>
      <c r="NSS287" s="1069"/>
      <c r="NST287" s="1069"/>
      <c r="NSU287" s="1069"/>
      <c r="NSV287" s="1069"/>
      <c r="NSW287" s="1069"/>
      <c r="NSX287" s="1069"/>
      <c r="NSY287" s="1069"/>
      <c r="NSZ287" s="1069"/>
      <c r="NTA287" s="1069"/>
      <c r="NTB287" s="1069"/>
      <c r="NTC287" s="1069"/>
      <c r="NTD287" s="1069"/>
      <c r="NTE287" s="1069"/>
      <c r="NTF287" s="1069"/>
      <c r="NTG287" s="1069"/>
      <c r="NTH287" s="1069"/>
      <c r="NTI287" s="1069"/>
      <c r="NTJ287" s="1069"/>
      <c r="NTK287" s="1069"/>
      <c r="NTL287" s="1069"/>
      <c r="NTM287" s="1069"/>
      <c r="NTN287" s="1069"/>
      <c r="NTO287" s="1069"/>
      <c r="NTP287" s="1069"/>
      <c r="NTQ287" s="1069"/>
      <c r="NTR287" s="1069"/>
      <c r="NTS287" s="1069"/>
      <c r="NTT287" s="1069"/>
      <c r="NTU287" s="1069"/>
      <c r="NTV287" s="1069"/>
      <c r="NTW287" s="1069"/>
      <c r="NTX287" s="1069"/>
      <c r="NTY287" s="1069"/>
      <c r="NTZ287" s="1069"/>
      <c r="NUA287" s="1069"/>
      <c r="NUB287" s="1069"/>
      <c r="NUC287" s="1069"/>
      <c r="NUD287" s="1069"/>
      <c r="NUE287" s="1069"/>
      <c r="NUF287" s="1069"/>
      <c r="NUG287" s="1069"/>
      <c r="NUH287" s="1069"/>
      <c r="NUI287" s="1069"/>
      <c r="NUJ287" s="1069"/>
      <c r="NUK287" s="1069"/>
      <c r="NUL287" s="1069"/>
      <c r="NUM287" s="1069"/>
      <c r="NUN287" s="1069"/>
      <c r="NUO287" s="1069"/>
      <c r="NUP287" s="1069"/>
      <c r="NUQ287" s="1069"/>
      <c r="NUR287" s="1069"/>
      <c r="NUS287" s="1069"/>
      <c r="NUT287" s="1069"/>
      <c r="NUU287" s="1069"/>
      <c r="NUV287" s="1069"/>
      <c r="NUW287" s="1069"/>
      <c r="NUX287" s="1069"/>
      <c r="NUY287" s="1069"/>
      <c r="NUZ287" s="1069"/>
      <c r="NVA287" s="1069"/>
      <c r="NVB287" s="1069"/>
      <c r="NVC287" s="1069"/>
      <c r="NVD287" s="1069"/>
      <c r="NVE287" s="1069"/>
      <c r="NVF287" s="1069"/>
      <c r="NVG287" s="1069"/>
      <c r="NVH287" s="1069"/>
      <c r="NVI287" s="1069"/>
      <c r="NVJ287" s="1069"/>
      <c r="NVK287" s="1069"/>
      <c r="NVL287" s="1069"/>
      <c r="NVM287" s="1069"/>
      <c r="NVN287" s="1069"/>
      <c r="NVO287" s="1069"/>
      <c r="NVP287" s="1069"/>
      <c r="NVQ287" s="1069"/>
      <c r="NVR287" s="1069"/>
      <c r="NVS287" s="1069"/>
      <c r="NVT287" s="1069"/>
      <c r="NVU287" s="1069"/>
      <c r="NVV287" s="1069"/>
      <c r="NVW287" s="1069"/>
      <c r="NVX287" s="1069"/>
      <c r="NVY287" s="1069"/>
      <c r="NVZ287" s="1069"/>
      <c r="NWA287" s="1069"/>
      <c r="NWB287" s="1069"/>
      <c r="NWC287" s="1069"/>
      <c r="NWD287" s="1069"/>
      <c r="NWE287" s="1069"/>
      <c r="NWF287" s="1069"/>
      <c r="NWG287" s="1069"/>
      <c r="NWH287" s="1069"/>
      <c r="NWI287" s="1069"/>
      <c r="NWJ287" s="1069"/>
      <c r="NWK287" s="1069"/>
      <c r="NWL287" s="1069"/>
      <c r="NWM287" s="1069"/>
      <c r="NWN287" s="1069"/>
      <c r="NWO287" s="1069"/>
      <c r="NWP287" s="1069"/>
      <c r="NWQ287" s="1069"/>
      <c r="NWR287" s="1069"/>
      <c r="NWS287" s="1069"/>
      <c r="NWT287" s="1069"/>
      <c r="NWU287" s="1069"/>
      <c r="NWV287" s="1069"/>
      <c r="NWW287" s="1069"/>
      <c r="NWX287" s="1069"/>
      <c r="NWY287" s="1069"/>
      <c r="NWZ287" s="1069"/>
      <c r="NXA287" s="1069"/>
      <c r="NXB287" s="1069"/>
      <c r="NXC287" s="1069"/>
      <c r="NXD287" s="1069"/>
      <c r="NXE287" s="1069"/>
      <c r="NXF287" s="1069"/>
      <c r="NXG287" s="1069"/>
      <c r="NXH287" s="1069"/>
      <c r="NXI287" s="1069"/>
      <c r="NXJ287" s="1069"/>
      <c r="NXK287" s="1069"/>
      <c r="NXL287" s="1069"/>
      <c r="NXM287" s="1069"/>
      <c r="NXN287" s="1069"/>
      <c r="NXO287" s="1069"/>
      <c r="NXP287" s="1069"/>
      <c r="NXQ287" s="1069"/>
      <c r="NXR287" s="1069"/>
      <c r="NXS287" s="1069"/>
      <c r="NXT287" s="1069"/>
      <c r="NXU287" s="1069"/>
      <c r="NXV287" s="1069"/>
      <c r="NXW287" s="1069"/>
      <c r="NXX287" s="1069"/>
      <c r="NXY287" s="1069"/>
      <c r="NXZ287" s="1069"/>
      <c r="NYA287" s="1069"/>
      <c r="NYB287" s="1069"/>
      <c r="NYC287" s="1069"/>
      <c r="NYD287" s="1069"/>
      <c r="NYE287" s="1069"/>
      <c r="NYF287" s="1069"/>
      <c r="NYG287" s="1069"/>
      <c r="NYH287" s="1069"/>
      <c r="NYI287" s="1069"/>
      <c r="NYJ287" s="1069"/>
      <c r="NYK287" s="1069"/>
      <c r="NYL287" s="1069"/>
      <c r="NYM287" s="1069"/>
      <c r="NYN287" s="1069"/>
      <c r="NYO287" s="1069"/>
      <c r="NYP287" s="1069"/>
      <c r="NYQ287" s="1069"/>
      <c r="NYR287" s="1069"/>
      <c r="NYS287" s="1069"/>
      <c r="NYT287" s="1069"/>
      <c r="NYU287" s="1069"/>
      <c r="NYV287" s="1069"/>
      <c r="NYW287" s="1069"/>
      <c r="NYX287" s="1069"/>
      <c r="NYY287" s="1069"/>
      <c r="NYZ287" s="1069"/>
      <c r="NZA287" s="1069"/>
      <c r="NZB287" s="1069"/>
      <c r="NZC287" s="1069"/>
      <c r="NZD287" s="1069"/>
      <c r="NZE287" s="1069"/>
      <c r="NZF287" s="1069"/>
      <c r="NZG287" s="1069"/>
      <c r="NZH287" s="1069"/>
      <c r="NZI287" s="1069"/>
      <c r="NZJ287" s="1069"/>
      <c r="NZK287" s="1069"/>
      <c r="NZL287" s="1069"/>
      <c r="NZM287" s="1069"/>
      <c r="NZN287" s="1069"/>
      <c r="NZO287" s="1069"/>
      <c r="NZP287" s="1069"/>
      <c r="NZQ287" s="1069"/>
      <c r="NZR287" s="1069"/>
      <c r="NZS287" s="1069"/>
      <c r="NZT287" s="1069"/>
      <c r="NZU287" s="1069"/>
      <c r="NZV287" s="1069"/>
      <c r="NZW287" s="1069"/>
      <c r="NZX287" s="1069"/>
      <c r="NZY287" s="1069"/>
      <c r="NZZ287" s="1069"/>
      <c r="OAA287" s="1069"/>
      <c r="OAB287" s="1069"/>
      <c r="OAC287" s="1069"/>
      <c r="OAD287" s="1069"/>
      <c r="OAE287" s="1069"/>
      <c r="OAF287" s="1069"/>
      <c r="OAG287" s="1069"/>
      <c r="OAH287" s="1069"/>
      <c r="OAI287" s="1069"/>
      <c r="OAJ287" s="1069"/>
      <c r="OAK287" s="1069"/>
      <c r="OAL287" s="1069"/>
      <c r="OAM287" s="1069"/>
      <c r="OAN287" s="1069"/>
      <c r="OAO287" s="1069"/>
      <c r="OAP287" s="1069"/>
      <c r="OAQ287" s="1069"/>
      <c r="OAR287" s="1069"/>
      <c r="OAS287" s="1069"/>
      <c r="OAT287" s="1069"/>
      <c r="OAU287" s="1069"/>
      <c r="OAV287" s="1069"/>
      <c r="OAW287" s="1069"/>
      <c r="OAX287" s="1069"/>
      <c r="OAY287" s="1069"/>
      <c r="OAZ287" s="1069"/>
      <c r="OBA287" s="1069"/>
      <c r="OBB287" s="1069"/>
      <c r="OBC287" s="1069"/>
      <c r="OBD287" s="1069"/>
      <c r="OBE287" s="1069"/>
      <c r="OBF287" s="1069"/>
      <c r="OBG287" s="1069"/>
      <c r="OBH287" s="1069"/>
      <c r="OBI287" s="1069"/>
      <c r="OBJ287" s="1069"/>
      <c r="OBK287" s="1069"/>
      <c r="OBL287" s="1069"/>
      <c r="OBM287" s="1069"/>
      <c r="OBN287" s="1069"/>
      <c r="OBO287" s="1069"/>
      <c r="OBP287" s="1069"/>
      <c r="OBQ287" s="1069"/>
      <c r="OBR287" s="1069"/>
      <c r="OBS287" s="1069"/>
      <c r="OBT287" s="1069"/>
      <c r="OBU287" s="1069"/>
      <c r="OBV287" s="1069"/>
      <c r="OBW287" s="1069"/>
      <c r="OBX287" s="1069"/>
      <c r="OBY287" s="1069"/>
      <c r="OBZ287" s="1069"/>
      <c r="OCA287" s="1069"/>
      <c r="OCB287" s="1069"/>
      <c r="OCC287" s="1069"/>
      <c r="OCD287" s="1069"/>
      <c r="OCE287" s="1069"/>
      <c r="OCF287" s="1069"/>
      <c r="OCG287" s="1069"/>
      <c r="OCH287" s="1069"/>
      <c r="OCI287" s="1069"/>
      <c r="OCJ287" s="1069"/>
      <c r="OCK287" s="1069"/>
      <c r="OCL287" s="1069"/>
      <c r="OCM287" s="1069"/>
      <c r="OCN287" s="1069"/>
      <c r="OCO287" s="1069"/>
      <c r="OCP287" s="1069"/>
      <c r="OCQ287" s="1069"/>
      <c r="OCR287" s="1069"/>
      <c r="OCS287" s="1069"/>
      <c r="OCT287" s="1069"/>
      <c r="OCU287" s="1069"/>
      <c r="OCV287" s="1069"/>
      <c r="OCW287" s="1069"/>
      <c r="OCX287" s="1069"/>
      <c r="OCY287" s="1069"/>
      <c r="OCZ287" s="1069"/>
      <c r="ODA287" s="1069"/>
      <c r="ODB287" s="1069"/>
      <c r="ODC287" s="1069"/>
      <c r="ODD287" s="1069"/>
      <c r="ODE287" s="1069"/>
      <c r="ODF287" s="1069"/>
      <c r="ODG287" s="1069"/>
      <c r="ODH287" s="1069"/>
      <c r="ODI287" s="1069"/>
      <c r="ODJ287" s="1069"/>
      <c r="ODK287" s="1069"/>
      <c r="ODL287" s="1069"/>
      <c r="ODM287" s="1069"/>
      <c r="ODN287" s="1069"/>
      <c r="ODO287" s="1069"/>
      <c r="ODP287" s="1069"/>
      <c r="ODQ287" s="1069"/>
      <c r="ODR287" s="1069"/>
      <c r="ODS287" s="1069"/>
      <c r="ODT287" s="1069"/>
      <c r="ODU287" s="1069"/>
      <c r="ODV287" s="1069"/>
      <c r="ODW287" s="1069"/>
      <c r="ODX287" s="1069"/>
      <c r="ODY287" s="1069"/>
      <c r="ODZ287" s="1069"/>
      <c r="OEA287" s="1069"/>
      <c r="OEB287" s="1069"/>
      <c r="OEC287" s="1069"/>
      <c r="OED287" s="1069"/>
      <c r="OEE287" s="1069"/>
      <c r="OEF287" s="1069"/>
      <c r="OEG287" s="1069"/>
      <c r="OEH287" s="1069"/>
      <c r="OEI287" s="1069"/>
      <c r="OEJ287" s="1069"/>
      <c r="OEK287" s="1069"/>
      <c r="OEL287" s="1069"/>
      <c r="OEM287" s="1069"/>
      <c r="OEN287" s="1069"/>
      <c r="OEO287" s="1069"/>
      <c r="OEP287" s="1069"/>
      <c r="OEQ287" s="1069"/>
      <c r="OER287" s="1069"/>
      <c r="OES287" s="1069"/>
      <c r="OET287" s="1069"/>
      <c r="OEU287" s="1069"/>
      <c r="OEV287" s="1069"/>
      <c r="OEW287" s="1069"/>
      <c r="OEX287" s="1069"/>
      <c r="OEY287" s="1069"/>
      <c r="OEZ287" s="1069"/>
      <c r="OFA287" s="1069"/>
      <c r="OFB287" s="1069"/>
      <c r="OFC287" s="1069"/>
      <c r="OFD287" s="1069"/>
      <c r="OFE287" s="1069"/>
      <c r="OFF287" s="1069"/>
      <c r="OFG287" s="1069"/>
      <c r="OFH287" s="1069"/>
      <c r="OFI287" s="1069"/>
      <c r="OFJ287" s="1069"/>
      <c r="OFK287" s="1069"/>
      <c r="OFL287" s="1069"/>
      <c r="OFM287" s="1069"/>
      <c r="OFN287" s="1069"/>
      <c r="OFO287" s="1069"/>
      <c r="OFP287" s="1069"/>
      <c r="OFQ287" s="1069"/>
      <c r="OFR287" s="1069"/>
      <c r="OFS287" s="1069"/>
      <c r="OFT287" s="1069"/>
      <c r="OFU287" s="1069"/>
      <c r="OFV287" s="1069"/>
      <c r="OFW287" s="1069"/>
      <c r="OFX287" s="1069"/>
      <c r="OFY287" s="1069"/>
      <c r="OFZ287" s="1069"/>
      <c r="OGA287" s="1069"/>
      <c r="OGB287" s="1069"/>
      <c r="OGC287" s="1069"/>
      <c r="OGD287" s="1069"/>
      <c r="OGE287" s="1069"/>
      <c r="OGF287" s="1069"/>
      <c r="OGG287" s="1069"/>
      <c r="OGH287" s="1069"/>
      <c r="OGI287" s="1069"/>
      <c r="OGJ287" s="1069"/>
      <c r="OGK287" s="1069"/>
      <c r="OGL287" s="1069"/>
      <c r="OGM287" s="1069"/>
      <c r="OGN287" s="1069"/>
      <c r="OGO287" s="1069"/>
      <c r="OGP287" s="1069"/>
      <c r="OGQ287" s="1069"/>
      <c r="OGR287" s="1069"/>
      <c r="OGS287" s="1069"/>
      <c r="OGT287" s="1069"/>
      <c r="OGU287" s="1069"/>
      <c r="OGV287" s="1069"/>
      <c r="OGW287" s="1069"/>
      <c r="OGX287" s="1069"/>
      <c r="OGY287" s="1069"/>
      <c r="OGZ287" s="1069"/>
      <c r="OHA287" s="1069"/>
      <c r="OHB287" s="1069"/>
      <c r="OHC287" s="1069"/>
      <c r="OHD287" s="1069"/>
      <c r="OHE287" s="1069"/>
      <c r="OHF287" s="1069"/>
      <c r="OHG287" s="1069"/>
      <c r="OHH287" s="1069"/>
      <c r="OHI287" s="1069"/>
      <c r="OHJ287" s="1069"/>
      <c r="OHK287" s="1069"/>
      <c r="OHL287" s="1069"/>
      <c r="OHM287" s="1069"/>
      <c r="OHN287" s="1069"/>
      <c r="OHO287" s="1069"/>
      <c r="OHP287" s="1069"/>
      <c r="OHQ287" s="1069"/>
      <c r="OHR287" s="1069"/>
      <c r="OHS287" s="1069"/>
      <c r="OHT287" s="1069"/>
      <c r="OHU287" s="1069"/>
      <c r="OHV287" s="1069"/>
      <c r="OHW287" s="1069"/>
      <c r="OHX287" s="1069"/>
      <c r="OHY287" s="1069"/>
      <c r="OHZ287" s="1069"/>
      <c r="OIA287" s="1069"/>
      <c r="OIB287" s="1069"/>
      <c r="OIC287" s="1069"/>
      <c r="OID287" s="1069"/>
      <c r="OIE287" s="1069"/>
      <c r="OIF287" s="1069"/>
      <c r="OIG287" s="1069"/>
      <c r="OIH287" s="1069"/>
      <c r="OII287" s="1069"/>
      <c r="OIJ287" s="1069"/>
      <c r="OIK287" s="1069"/>
      <c r="OIL287" s="1069"/>
      <c r="OIM287" s="1069"/>
      <c r="OIN287" s="1069"/>
      <c r="OIO287" s="1069"/>
      <c r="OIP287" s="1069"/>
      <c r="OIQ287" s="1069"/>
      <c r="OIR287" s="1069"/>
      <c r="OIS287" s="1069"/>
      <c r="OIT287" s="1069"/>
      <c r="OIU287" s="1069"/>
      <c r="OIV287" s="1069"/>
      <c r="OIW287" s="1069"/>
      <c r="OIX287" s="1069"/>
      <c r="OIY287" s="1069"/>
      <c r="OIZ287" s="1069"/>
      <c r="OJA287" s="1069"/>
      <c r="OJB287" s="1069"/>
      <c r="OJC287" s="1069"/>
      <c r="OJD287" s="1069"/>
      <c r="OJE287" s="1069"/>
      <c r="OJF287" s="1069"/>
      <c r="OJG287" s="1069"/>
      <c r="OJH287" s="1069"/>
      <c r="OJI287" s="1069"/>
      <c r="OJJ287" s="1069"/>
      <c r="OJK287" s="1069"/>
      <c r="OJL287" s="1069"/>
      <c r="OJM287" s="1069"/>
      <c r="OJN287" s="1069"/>
      <c r="OJO287" s="1069"/>
      <c r="OJP287" s="1069"/>
      <c r="OJQ287" s="1069"/>
      <c r="OJR287" s="1069"/>
      <c r="OJS287" s="1069"/>
      <c r="OJT287" s="1069"/>
      <c r="OJU287" s="1069"/>
      <c r="OJV287" s="1069"/>
      <c r="OJW287" s="1069"/>
      <c r="OJX287" s="1069"/>
      <c r="OJY287" s="1069"/>
      <c r="OJZ287" s="1069"/>
      <c r="OKA287" s="1069"/>
      <c r="OKB287" s="1069"/>
      <c r="OKC287" s="1069"/>
      <c r="OKD287" s="1069"/>
      <c r="OKE287" s="1069"/>
      <c r="OKF287" s="1069"/>
      <c r="OKG287" s="1069"/>
      <c r="OKH287" s="1069"/>
      <c r="OKI287" s="1069"/>
      <c r="OKJ287" s="1069"/>
      <c r="OKK287" s="1069"/>
      <c r="OKL287" s="1069"/>
      <c r="OKM287" s="1069"/>
      <c r="OKN287" s="1069"/>
      <c r="OKO287" s="1069"/>
      <c r="OKP287" s="1069"/>
      <c r="OKQ287" s="1069"/>
      <c r="OKR287" s="1069"/>
      <c r="OKS287" s="1069"/>
      <c r="OKT287" s="1069"/>
      <c r="OKU287" s="1069"/>
      <c r="OKV287" s="1069"/>
      <c r="OKW287" s="1069"/>
      <c r="OKX287" s="1069"/>
      <c r="OKY287" s="1069"/>
      <c r="OKZ287" s="1069"/>
      <c r="OLA287" s="1069"/>
      <c r="OLB287" s="1069"/>
      <c r="OLC287" s="1069"/>
      <c r="OLD287" s="1069"/>
      <c r="OLE287" s="1069"/>
      <c r="OLF287" s="1069"/>
      <c r="OLG287" s="1069"/>
      <c r="OLH287" s="1069"/>
      <c r="OLI287" s="1069"/>
      <c r="OLJ287" s="1069"/>
      <c r="OLK287" s="1069"/>
      <c r="OLL287" s="1069"/>
      <c r="OLM287" s="1069"/>
      <c r="OLN287" s="1069"/>
      <c r="OLO287" s="1069"/>
      <c r="OLP287" s="1069"/>
      <c r="OLQ287" s="1069"/>
      <c r="OLR287" s="1069"/>
      <c r="OLS287" s="1069"/>
      <c r="OLT287" s="1069"/>
      <c r="OLU287" s="1069"/>
      <c r="OLV287" s="1069"/>
      <c r="OLW287" s="1069"/>
      <c r="OLX287" s="1069"/>
      <c r="OLY287" s="1069"/>
      <c r="OLZ287" s="1069"/>
      <c r="OMA287" s="1069"/>
      <c r="OMB287" s="1069"/>
      <c r="OMC287" s="1069"/>
      <c r="OMD287" s="1069"/>
      <c r="OME287" s="1069"/>
      <c r="OMF287" s="1069"/>
      <c r="OMG287" s="1069"/>
      <c r="OMH287" s="1069"/>
      <c r="OMI287" s="1069"/>
      <c r="OMJ287" s="1069"/>
      <c r="OMK287" s="1069"/>
      <c r="OML287" s="1069"/>
      <c r="OMM287" s="1069"/>
      <c r="OMN287" s="1069"/>
      <c r="OMO287" s="1069"/>
      <c r="OMP287" s="1069"/>
      <c r="OMQ287" s="1069"/>
      <c r="OMR287" s="1069"/>
      <c r="OMS287" s="1069"/>
      <c r="OMT287" s="1069"/>
      <c r="OMU287" s="1069"/>
      <c r="OMV287" s="1069"/>
      <c r="OMW287" s="1069"/>
      <c r="OMX287" s="1069"/>
      <c r="OMY287" s="1069"/>
      <c r="OMZ287" s="1069"/>
      <c r="ONA287" s="1069"/>
      <c r="ONB287" s="1069"/>
      <c r="ONC287" s="1069"/>
      <c r="OND287" s="1069"/>
      <c r="ONE287" s="1069"/>
      <c r="ONF287" s="1069"/>
      <c r="ONG287" s="1069"/>
      <c r="ONH287" s="1069"/>
      <c r="ONI287" s="1069"/>
      <c r="ONJ287" s="1069"/>
      <c r="ONK287" s="1069"/>
      <c r="ONL287" s="1069"/>
      <c r="ONM287" s="1069"/>
      <c r="ONN287" s="1069"/>
      <c r="ONO287" s="1069"/>
      <c r="ONP287" s="1069"/>
      <c r="ONQ287" s="1069"/>
      <c r="ONR287" s="1069"/>
      <c r="ONS287" s="1069"/>
      <c r="ONT287" s="1069"/>
      <c r="ONU287" s="1069"/>
      <c r="ONV287" s="1069"/>
      <c r="ONW287" s="1069"/>
      <c r="ONX287" s="1069"/>
      <c r="ONY287" s="1069"/>
      <c r="ONZ287" s="1069"/>
      <c r="OOA287" s="1069"/>
      <c r="OOB287" s="1069"/>
      <c r="OOC287" s="1069"/>
      <c r="OOD287" s="1069"/>
      <c r="OOE287" s="1069"/>
      <c r="OOF287" s="1069"/>
      <c r="OOG287" s="1069"/>
      <c r="OOH287" s="1069"/>
      <c r="OOI287" s="1069"/>
      <c r="OOJ287" s="1069"/>
      <c r="OOK287" s="1069"/>
      <c r="OOL287" s="1069"/>
      <c r="OOM287" s="1069"/>
      <c r="OON287" s="1069"/>
      <c r="OOO287" s="1069"/>
      <c r="OOP287" s="1069"/>
      <c r="OOQ287" s="1069"/>
      <c r="OOR287" s="1069"/>
      <c r="OOS287" s="1069"/>
      <c r="OOT287" s="1069"/>
      <c r="OOU287" s="1069"/>
      <c r="OOV287" s="1069"/>
      <c r="OOW287" s="1069"/>
      <c r="OOX287" s="1069"/>
      <c r="OOY287" s="1069"/>
      <c r="OOZ287" s="1069"/>
      <c r="OPA287" s="1069"/>
      <c r="OPB287" s="1069"/>
      <c r="OPC287" s="1069"/>
      <c r="OPD287" s="1069"/>
      <c r="OPE287" s="1069"/>
      <c r="OPF287" s="1069"/>
      <c r="OPG287" s="1069"/>
      <c r="OPH287" s="1069"/>
      <c r="OPI287" s="1069"/>
      <c r="OPJ287" s="1069"/>
      <c r="OPK287" s="1069"/>
      <c r="OPL287" s="1069"/>
      <c r="OPM287" s="1069"/>
      <c r="OPN287" s="1069"/>
      <c r="OPO287" s="1069"/>
      <c r="OPP287" s="1069"/>
      <c r="OPQ287" s="1069"/>
      <c r="OPR287" s="1069"/>
      <c r="OPS287" s="1069"/>
      <c r="OPT287" s="1069"/>
      <c r="OPU287" s="1069"/>
      <c r="OPV287" s="1069"/>
      <c r="OPW287" s="1069"/>
      <c r="OPX287" s="1069"/>
      <c r="OPY287" s="1069"/>
      <c r="OPZ287" s="1069"/>
      <c r="OQA287" s="1069"/>
      <c r="OQB287" s="1069"/>
      <c r="OQC287" s="1069"/>
      <c r="OQD287" s="1069"/>
      <c r="OQE287" s="1069"/>
      <c r="OQF287" s="1069"/>
      <c r="OQG287" s="1069"/>
      <c r="OQH287" s="1069"/>
      <c r="OQI287" s="1069"/>
      <c r="OQJ287" s="1069"/>
      <c r="OQK287" s="1069"/>
      <c r="OQL287" s="1069"/>
      <c r="OQM287" s="1069"/>
      <c r="OQN287" s="1069"/>
      <c r="OQO287" s="1069"/>
      <c r="OQP287" s="1069"/>
      <c r="OQQ287" s="1069"/>
      <c r="OQR287" s="1069"/>
      <c r="OQS287" s="1069"/>
      <c r="OQT287" s="1069"/>
      <c r="OQU287" s="1069"/>
      <c r="OQV287" s="1069"/>
      <c r="OQW287" s="1069"/>
      <c r="OQX287" s="1069"/>
      <c r="OQY287" s="1069"/>
      <c r="OQZ287" s="1069"/>
      <c r="ORA287" s="1069"/>
      <c r="ORB287" s="1069"/>
      <c r="ORC287" s="1069"/>
      <c r="ORD287" s="1069"/>
      <c r="ORE287" s="1069"/>
      <c r="ORF287" s="1069"/>
      <c r="ORG287" s="1069"/>
      <c r="ORH287" s="1069"/>
      <c r="ORI287" s="1069"/>
      <c r="ORJ287" s="1069"/>
      <c r="ORK287" s="1069"/>
      <c r="ORL287" s="1069"/>
      <c r="ORM287" s="1069"/>
      <c r="ORN287" s="1069"/>
      <c r="ORO287" s="1069"/>
      <c r="ORP287" s="1069"/>
      <c r="ORQ287" s="1069"/>
      <c r="ORR287" s="1069"/>
      <c r="ORS287" s="1069"/>
      <c r="ORT287" s="1069"/>
      <c r="ORU287" s="1069"/>
      <c r="ORV287" s="1069"/>
      <c r="ORW287" s="1069"/>
      <c r="ORX287" s="1069"/>
      <c r="ORY287" s="1069"/>
      <c r="ORZ287" s="1069"/>
      <c r="OSA287" s="1069"/>
      <c r="OSB287" s="1069"/>
      <c r="OSC287" s="1069"/>
      <c r="OSD287" s="1069"/>
      <c r="OSE287" s="1069"/>
      <c r="OSF287" s="1069"/>
      <c r="OSG287" s="1069"/>
      <c r="OSH287" s="1069"/>
      <c r="OSI287" s="1069"/>
      <c r="OSJ287" s="1069"/>
      <c r="OSK287" s="1069"/>
      <c r="OSL287" s="1069"/>
      <c r="OSM287" s="1069"/>
      <c r="OSN287" s="1069"/>
      <c r="OSO287" s="1069"/>
      <c r="OSP287" s="1069"/>
      <c r="OSQ287" s="1069"/>
      <c r="OSR287" s="1069"/>
      <c r="OSS287" s="1069"/>
      <c r="OST287" s="1069"/>
      <c r="OSU287" s="1069"/>
      <c r="OSV287" s="1069"/>
      <c r="OSW287" s="1069"/>
      <c r="OSX287" s="1069"/>
      <c r="OSY287" s="1069"/>
      <c r="OSZ287" s="1069"/>
      <c r="OTA287" s="1069"/>
      <c r="OTB287" s="1069"/>
      <c r="OTC287" s="1069"/>
      <c r="OTD287" s="1069"/>
      <c r="OTE287" s="1069"/>
      <c r="OTF287" s="1069"/>
      <c r="OTG287" s="1069"/>
      <c r="OTH287" s="1069"/>
      <c r="OTI287" s="1069"/>
      <c r="OTJ287" s="1069"/>
      <c r="OTK287" s="1069"/>
      <c r="OTL287" s="1069"/>
      <c r="OTM287" s="1069"/>
      <c r="OTN287" s="1069"/>
      <c r="OTO287" s="1069"/>
      <c r="OTP287" s="1069"/>
      <c r="OTQ287" s="1069"/>
      <c r="OTR287" s="1069"/>
      <c r="OTS287" s="1069"/>
      <c r="OTT287" s="1069"/>
      <c r="OTU287" s="1069"/>
      <c r="OTV287" s="1069"/>
      <c r="OTW287" s="1069"/>
      <c r="OTX287" s="1069"/>
      <c r="OTY287" s="1069"/>
      <c r="OTZ287" s="1069"/>
      <c r="OUA287" s="1069"/>
      <c r="OUB287" s="1069"/>
      <c r="OUC287" s="1069"/>
      <c r="OUD287" s="1069"/>
      <c r="OUE287" s="1069"/>
      <c r="OUF287" s="1069"/>
      <c r="OUG287" s="1069"/>
      <c r="OUH287" s="1069"/>
      <c r="OUI287" s="1069"/>
      <c r="OUJ287" s="1069"/>
      <c r="OUK287" s="1069"/>
      <c r="OUL287" s="1069"/>
      <c r="OUM287" s="1069"/>
      <c r="OUN287" s="1069"/>
      <c r="OUO287" s="1069"/>
      <c r="OUP287" s="1069"/>
      <c r="OUQ287" s="1069"/>
      <c r="OUR287" s="1069"/>
      <c r="OUS287" s="1069"/>
      <c r="OUT287" s="1069"/>
      <c r="OUU287" s="1069"/>
      <c r="OUV287" s="1069"/>
      <c r="OUW287" s="1069"/>
      <c r="OUX287" s="1069"/>
      <c r="OUY287" s="1069"/>
      <c r="OUZ287" s="1069"/>
      <c r="OVA287" s="1069"/>
      <c r="OVB287" s="1069"/>
      <c r="OVC287" s="1069"/>
      <c r="OVD287" s="1069"/>
      <c r="OVE287" s="1069"/>
      <c r="OVF287" s="1069"/>
      <c r="OVG287" s="1069"/>
      <c r="OVH287" s="1069"/>
      <c r="OVI287" s="1069"/>
      <c r="OVJ287" s="1069"/>
      <c r="OVK287" s="1069"/>
      <c r="OVL287" s="1069"/>
      <c r="OVM287" s="1069"/>
      <c r="OVN287" s="1069"/>
      <c r="OVO287" s="1069"/>
      <c r="OVP287" s="1069"/>
      <c r="OVQ287" s="1069"/>
      <c r="OVR287" s="1069"/>
      <c r="OVS287" s="1069"/>
      <c r="OVT287" s="1069"/>
      <c r="OVU287" s="1069"/>
      <c r="OVV287" s="1069"/>
      <c r="OVW287" s="1069"/>
      <c r="OVX287" s="1069"/>
      <c r="OVY287" s="1069"/>
      <c r="OVZ287" s="1069"/>
      <c r="OWA287" s="1069"/>
      <c r="OWB287" s="1069"/>
      <c r="OWC287" s="1069"/>
      <c r="OWD287" s="1069"/>
      <c r="OWE287" s="1069"/>
      <c r="OWF287" s="1069"/>
      <c r="OWG287" s="1069"/>
      <c r="OWH287" s="1069"/>
      <c r="OWI287" s="1069"/>
      <c r="OWJ287" s="1069"/>
      <c r="OWK287" s="1069"/>
      <c r="OWL287" s="1069"/>
      <c r="OWM287" s="1069"/>
      <c r="OWN287" s="1069"/>
      <c r="OWO287" s="1069"/>
      <c r="OWP287" s="1069"/>
      <c r="OWQ287" s="1069"/>
      <c r="OWR287" s="1069"/>
      <c r="OWS287" s="1069"/>
      <c r="OWT287" s="1069"/>
      <c r="OWU287" s="1069"/>
      <c r="OWV287" s="1069"/>
      <c r="OWW287" s="1069"/>
      <c r="OWX287" s="1069"/>
      <c r="OWY287" s="1069"/>
      <c r="OWZ287" s="1069"/>
      <c r="OXA287" s="1069"/>
      <c r="OXB287" s="1069"/>
      <c r="OXC287" s="1069"/>
      <c r="OXD287" s="1069"/>
      <c r="OXE287" s="1069"/>
      <c r="OXF287" s="1069"/>
      <c r="OXG287" s="1069"/>
      <c r="OXH287" s="1069"/>
      <c r="OXI287" s="1069"/>
      <c r="OXJ287" s="1069"/>
      <c r="OXK287" s="1069"/>
      <c r="OXL287" s="1069"/>
      <c r="OXM287" s="1069"/>
      <c r="OXN287" s="1069"/>
      <c r="OXO287" s="1069"/>
      <c r="OXP287" s="1069"/>
      <c r="OXQ287" s="1069"/>
      <c r="OXR287" s="1069"/>
      <c r="OXS287" s="1069"/>
      <c r="OXT287" s="1069"/>
      <c r="OXU287" s="1069"/>
      <c r="OXV287" s="1069"/>
      <c r="OXW287" s="1069"/>
      <c r="OXX287" s="1069"/>
      <c r="OXY287" s="1069"/>
      <c r="OXZ287" s="1069"/>
      <c r="OYA287" s="1069"/>
      <c r="OYB287" s="1069"/>
      <c r="OYC287" s="1069"/>
      <c r="OYD287" s="1069"/>
      <c r="OYE287" s="1069"/>
      <c r="OYF287" s="1069"/>
      <c r="OYG287" s="1069"/>
      <c r="OYH287" s="1069"/>
      <c r="OYI287" s="1069"/>
      <c r="OYJ287" s="1069"/>
      <c r="OYK287" s="1069"/>
      <c r="OYL287" s="1069"/>
      <c r="OYM287" s="1069"/>
      <c r="OYN287" s="1069"/>
      <c r="OYO287" s="1069"/>
      <c r="OYP287" s="1069"/>
      <c r="OYQ287" s="1069"/>
      <c r="OYR287" s="1069"/>
      <c r="OYS287" s="1069"/>
      <c r="OYT287" s="1069"/>
      <c r="OYU287" s="1069"/>
      <c r="OYV287" s="1069"/>
      <c r="OYW287" s="1069"/>
      <c r="OYX287" s="1069"/>
      <c r="OYY287" s="1069"/>
      <c r="OYZ287" s="1069"/>
      <c r="OZA287" s="1069"/>
      <c r="OZB287" s="1069"/>
      <c r="OZC287" s="1069"/>
      <c r="OZD287" s="1069"/>
      <c r="OZE287" s="1069"/>
      <c r="OZF287" s="1069"/>
      <c r="OZG287" s="1069"/>
      <c r="OZH287" s="1069"/>
      <c r="OZI287" s="1069"/>
      <c r="OZJ287" s="1069"/>
      <c r="OZK287" s="1069"/>
      <c r="OZL287" s="1069"/>
      <c r="OZM287" s="1069"/>
      <c r="OZN287" s="1069"/>
      <c r="OZO287" s="1069"/>
      <c r="OZP287" s="1069"/>
      <c r="OZQ287" s="1069"/>
      <c r="OZR287" s="1069"/>
      <c r="OZS287" s="1069"/>
      <c r="OZT287" s="1069"/>
      <c r="OZU287" s="1069"/>
      <c r="OZV287" s="1069"/>
      <c r="OZW287" s="1069"/>
      <c r="OZX287" s="1069"/>
      <c r="OZY287" s="1069"/>
      <c r="OZZ287" s="1069"/>
      <c r="PAA287" s="1069"/>
      <c r="PAB287" s="1069"/>
      <c r="PAC287" s="1069"/>
      <c r="PAD287" s="1069"/>
      <c r="PAE287" s="1069"/>
      <c r="PAF287" s="1069"/>
      <c r="PAG287" s="1069"/>
      <c r="PAH287" s="1069"/>
      <c r="PAI287" s="1069"/>
      <c r="PAJ287" s="1069"/>
      <c r="PAK287" s="1069"/>
      <c r="PAL287" s="1069"/>
      <c r="PAM287" s="1069"/>
      <c r="PAN287" s="1069"/>
      <c r="PAO287" s="1069"/>
      <c r="PAP287" s="1069"/>
      <c r="PAQ287" s="1069"/>
      <c r="PAR287" s="1069"/>
      <c r="PAS287" s="1069"/>
      <c r="PAT287" s="1069"/>
      <c r="PAU287" s="1069"/>
      <c r="PAV287" s="1069"/>
      <c r="PAW287" s="1069"/>
      <c r="PAX287" s="1069"/>
      <c r="PAY287" s="1069"/>
      <c r="PAZ287" s="1069"/>
      <c r="PBA287" s="1069"/>
      <c r="PBB287" s="1069"/>
      <c r="PBC287" s="1069"/>
      <c r="PBD287" s="1069"/>
      <c r="PBE287" s="1069"/>
      <c r="PBF287" s="1069"/>
      <c r="PBG287" s="1069"/>
      <c r="PBH287" s="1069"/>
      <c r="PBI287" s="1069"/>
      <c r="PBJ287" s="1069"/>
      <c r="PBK287" s="1069"/>
      <c r="PBL287" s="1069"/>
      <c r="PBM287" s="1069"/>
      <c r="PBN287" s="1069"/>
      <c r="PBO287" s="1069"/>
      <c r="PBP287" s="1069"/>
      <c r="PBQ287" s="1069"/>
      <c r="PBR287" s="1069"/>
      <c r="PBS287" s="1069"/>
      <c r="PBT287" s="1069"/>
      <c r="PBU287" s="1069"/>
      <c r="PBV287" s="1069"/>
      <c r="PBW287" s="1069"/>
      <c r="PBX287" s="1069"/>
      <c r="PBY287" s="1069"/>
      <c r="PBZ287" s="1069"/>
      <c r="PCA287" s="1069"/>
      <c r="PCB287" s="1069"/>
      <c r="PCC287" s="1069"/>
      <c r="PCD287" s="1069"/>
      <c r="PCE287" s="1069"/>
      <c r="PCF287" s="1069"/>
      <c r="PCG287" s="1069"/>
      <c r="PCH287" s="1069"/>
      <c r="PCI287" s="1069"/>
      <c r="PCJ287" s="1069"/>
      <c r="PCK287" s="1069"/>
      <c r="PCL287" s="1069"/>
      <c r="PCM287" s="1069"/>
      <c r="PCN287" s="1069"/>
      <c r="PCO287" s="1069"/>
      <c r="PCP287" s="1069"/>
      <c r="PCQ287" s="1069"/>
      <c r="PCR287" s="1069"/>
      <c r="PCS287" s="1069"/>
      <c r="PCT287" s="1069"/>
      <c r="PCU287" s="1069"/>
      <c r="PCV287" s="1069"/>
      <c r="PCW287" s="1069"/>
      <c r="PCX287" s="1069"/>
      <c r="PCY287" s="1069"/>
      <c r="PCZ287" s="1069"/>
      <c r="PDA287" s="1069"/>
      <c r="PDB287" s="1069"/>
      <c r="PDC287" s="1069"/>
      <c r="PDD287" s="1069"/>
      <c r="PDE287" s="1069"/>
      <c r="PDF287" s="1069"/>
      <c r="PDG287" s="1069"/>
      <c r="PDH287" s="1069"/>
      <c r="PDI287" s="1069"/>
      <c r="PDJ287" s="1069"/>
      <c r="PDK287" s="1069"/>
      <c r="PDL287" s="1069"/>
      <c r="PDM287" s="1069"/>
      <c r="PDN287" s="1069"/>
      <c r="PDO287" s="1069"/>
      <c r="PDP287" s="1069"/>
      <c r="PDQ287" s="1069"/>
      <c r="PDR287" s="1069"/>
      <c r="PDS287" s="1069"/>
      <c r="PDT287" s="1069"/>
      <c r="PDU287" s="1069"/>
      <c r="PDV287" s="1069"/>
      <c r="PDW287" s="1069"/>
      <c r="PDX287" s="1069"/>
      <c r="PDY287" s="1069"/>
      <c r="PDZ287" s="1069"/>
      <c r="PEA287" s="1069"/>
      <c r="PEB287" s="1069"/>
      <c r="PEC287" s="1069"/>
      <c r="PED287" s="1069"/>
      <c r="PEE287" s="1069"/>
      <c r="PEF287" s="1069"/>
      <c r="PEG287" s="1069"/>
      <c r="PEH287" s="1069"/>
      <c r="PEI287" s="1069"/>
      <c r="PEJ287" s="1069"/>
      <c r="PEK287" s="1069"/>
      <c r="PEL287" s="1069"/>
      <c r="PEM287" s="1069"/>
      <c r="PEN287" s="1069"/>
      <c r="PEO287" s="1069"/>
      <c r="PEP287" s="1069"/>
      <c r="PEQ287" s="1069"/>
      <c r="PER287" s="1069"/>
      <c r="PES287" s="1069"/>
      <c r="PET287" s="1069"/>
      <c r="PEU287" s="1069"/>
      <c r="PEV287" s="1069"/>
      <c r="PEW287" s="1069"/>
      <c r="PEX287" s="1069"/>
      <c r="PEY287" s="1069"/>
      <c r="PEZ287" s="1069"/>
      <c r="PFA287" s="1069"/>
      <c r="PFB287" s="1069"/>
      <c r="PFC287" s="1069"/>
      <c r="PFD287" s="1069"/>
      <c r="PFE287" s="1069"/>
      <c r="PFF287" s="1069"/>
      <c r="PFG287" s="1069"/>
      <c r="PFH287" s="1069"/>
      <c r="PFI287" s="1069"/>
      <c r="PFJ287" s="1069"/>
      <c r="PFK287" s="1069"/>
      <c r="PFL287" s="1069"/>
      <c r="PFM287" s="1069"/>
      <c r="PFN287" s="1069"/>
      <c r="PFO287" s="1069"/>
      <c r="PFP287" s="1069"/>
      <c r="PFQ287" s="1069"/>
      <c r="PFR287" s="1069"/>
      <c r="PFS287" s="1069"/>
      <c r="PFT287" s="1069"/>
      <c r="PFU287" s="1069"/>
      <c r="PFV287" s="1069"/>
      <c r="PFW287" s="1069"/>
      <c r="PFX287" s="1069"/>
      <c r="PFY287" s="1069"/>
      <c r="PFZ287" s="1069"/>
      <c r="PGA287" s="1069"/>
      <c r="PGB287" s="1069"/>
      <c r="PGC287" s="1069"/>
      <c r="PGD287" s="1069"/>
      <c r="PGE287" s="1069"/>
      <c r="PGF287" s="1069"/>
      <c r="PGG287" s="1069"/>
      <c r="PGH287" s="1069"/>
      <c r="PGI287" s="1069"/>
      <c r="PGJ287" s="1069"/>
      <c r="PGK287" s="1069"/>
      <c r="PGL287" s="1069"/>
      <c r="PGM287" s="1069"/>
      <c r="PGN287" s="1069"/>
      <c r="PGO287" s="1069"/>
      <c r="PGP287" s="1069"/>
      <c r="PGQ287" s="1069"/>
      <c r="PGR287" s="1069"/>
      <c r="PGS287" s="1069"/>
      <c r="PGT287" s="1069"/>
      <c r="PGU287" s="1069"/>
      <c r="PGV287" s="1069"/>
      <c r="PGW287" s="1069"/>
      <c r="PGX287" s="1069"/>
      <c r="PGY287" s="1069"/>
      <c r="PGZ287" s="1069"/>
      <c r="PHA287" s="1069"/>
      <c r="PHB287" s="1069"/>
      <c r="PHC287" s="1069"/>
      <c r="PHD287" s="1069"/>
      <c r="PHE287" s="1069"/>
      <c r="PHF287" s="1069"/>
      <c r="PHG287" s="1069"/>
      <c r="PHH287" s="1069"/>
      <c r="PHI287" s="1069"/>
      <c r="PHJ287" s="1069"/>
      <c r="PHK287" s="1069"/>
      <c r="PHL287" s="1069"/>
      <c r="PHM287" s="1069"/>
      <c r="PHN287" s="1069"/>
      <c r="PHO287" s="1069"/>
      <c r="PHP287" s="1069"/>
      <c r="PHQ287" s="1069"/>
      <c r="PHR287" s="1069"/>
      <c r="PHS287" s="1069"/>
      <c r="PHT287" s="1069"/>
      <c r="PHU287" s="1069"/>
      <c r="PHV287" s="1069"/>
      <c r="PHW287" s="1069"/>
      <c r="PHX287" s="1069"/>
      <c r="PHY287" s="1069"/>
      <c r="PHZ287" s="1069"/>
      <c r="PIA287" s="1069"/>
      <c r="PIB287" s="1069"/>
      <c r="PIC287" s="1069"/>
      <c r="PID287" s="1069"/>
      <c r="PIE287" s="1069"/>
      <c r="PIF287" s="1069"/>
      <c r="PIG287" s="1069"/>
      <c r="PIH287" s="1069"/>
      <c r="PII287" s="1069"/>
      <c r="PIJ287" s="1069"/>
      <c r="PIK287" s="1069"/>
      <c r="PIL287" s="1069"/>
      <c r="PIM287" s="1069"/>
      <c r="PIN287" s="1069"/>
      <c r="PIO287" s="1069"/>
      <c r="PIP287" s="1069"/>
      <c r="PIQ287" s="1069"/>
      <c r="PIR287" s="1069"/>
      <c r="PIS287" s="1069"/>
      <c r="PIT287" s="1069"/>
      <c r="PIU287" s="1069"/>
      <c r="PIV287" s="1069"/>
      <c r="PIW287" s="1069"/>
      <c r="PIX287" s="1069"/>
      <c r="PIY287" s="1069"/>
      <c r="PIZ287" s="1069"/>
      <c r="PJA287" s="1069"/>
      <c r="PJB287" s="1069"/>
      <c r="PJC287" s="1069"/>
      <c r="PJD287" s="1069"/>
      <c r="PJE287" s="1069"/>
      <c r="PJF287" s="1069"/>
      <c r="PJG287" s="1069"/>
      <c r="PJH287" s="1069"/>
      <c r="PJI287" s="1069"/>
      <c r="PJJ287" s="1069"/>
      <c r="PJK287" s="1069"/>
      <c r="PJL287" s="1069"/>
      <c r="PJM287" s="1069"/>
      <c r="PJN287" s="1069"/>
      <c r="PJO287" s="1069"/>
      <c r="PJP287" s="1069"/>
      <c r="PJQ287" s="1069"/>
      <c r="PJR287" s="1069"/>
      <c r="PJS287" s="1069"/>
      <c r="PJT287" s="1069"/>
      <c r="PJU287" s="1069"/>
      <c r="PJV287" s="1069"/>
      <c r="PJW287" s="1069"/>
      <c r="PJX287" s="1069"/>
      <c r="PJY287" s="1069"/>
      <c r="PJZ287" s="1069"/>
      <c r="PKA287" s="1069"/>
      <c r="PKB287" s="1069"/>
      <c r="PKC287" s="1069"/>
      <c r="PKD287" s="1069"/>
      <c r="PKE287" s="1069"/>
      <c r="PKF287" s="1069"/>
      <c r="PKG287" s="1069"/>
      <c r="PKH287" s="1069"/>
      <c r="PKI287" s="1069"/>
      <c r="PKJ287" s="1069"/>
      <c r="PKK287" s="1069"/>
      <c r="PKL287" s="1069"/>
      <c r="PKM287" s="1069"/>
      <c r="PKN287" s="1069"/>
      <c r="PKO287" s="1069"/>
      <c r="PKP287" s="1069"/>
      <c r="PKQ287" s="1069"/>
      <c r="PKR287" s="1069"/>
      <c r="PKS287" s="1069"/>
      <c r="PKT287" s="1069"/>
      <c r="PKU287" s="1069"/>
      <c r="PKV287" s="1069"/>
      <c r="PKW287" s="1069"/>
      <c r="PKX287" s="1069"/>
      <c r="PKY287" s="1069"/>
      <c r="PKZ287" s="1069"/>
      <c r="PLA287" s="1069"/>
      <c r="PLB287" s="1069"/>
      <c r="PLC287" s="1069"/>
      <c r="PLD287" s="1069"/>
      <c r="PLE287" s="1069"/>
      <c r="PLF287" s="1069"/>
      <c r="PLG287" s="1069"/>
      <c r="PLH287" s="1069"/>
      <c r="PLI287" s="1069"/>
      <c r="PLJ287" s="1069"/>
      <c r="PLK287" s="1069"/>
      <c r="PLL287" s="1069"/>
      <c r="PLM287" s="1069"/>
      <c r="PLN287" s="1069"/>
      <c r="PLO287" s="1069"/>
      <c r="PLP287" s="1069"/>
      <c r="PLQ287" s="1069"/>
      <c r="PLR287" s="1069"/>
      <c r="PLS287" s="1069"/>
      <c r="PLT287" s="1069"/>
      <c r="PLU287" s="1069"/>
      <c r="PLV287" s="1069"/>
      <c r="PLW287" s="1069"/>
      <c r="PLX287" s="1069"/>
      <c r="PLY287" s="1069"/>
      <c r="PLZ287" s="1069"/>
      <c r="PMA287" s="1069"/>
      <c r="PMB287" s="1069"/>
      <c r="PMC287" s="1069"/>
      <c r="PMD287" s="1069"/>
      <c r="PME287" s="1069"/>
      <c r="PMF287" s="1069"/>
      <c r="PMG287" s="1069"/>
      <c r="PMH287" s="1069"/>
      <c r="PMI287" s="1069"/>
      <c r="PMJ287" s="1069"/>
      <c r="PMK287" s="1069"/>
      <c r="PML287" s="1069"/>
      <c r="PMM287" s="1069"/>
      <c r="PMN287" s="1069"/>
      <c r="PMO287" s="1069"/>
      <c r="PMP287" s="1069"/>
      <c r="PMQ287" s="1069"/>
      <c r="PMR287" s="1069"/>
      <c r="PMS287" s="1069"/>
      <c r="PMT287" s="1069"/>
      <c r="PMU287" s="1069"/>
      <c r="PMV287" s="1069"/>
      <c r="PMW287" s="1069"/>
      <c r="PMX287" s="1069"/>
      <c r="PMY287" s="1069"/>
      <c r="PMZ287" s="1069"/>
      <c r="PNA287" s="1069"/>
      <c r="PNB287" s="1069"/>
      <c r="PNC287" s="1069"/>
      <c r="PND287" s="1069"/>
      <c r="PNE287" s="1069"/>
      <c r="PNF287" s="1069"/>
      <c r="PNG287" s="1069"/>
      <c r="PNH287" s="1069"/>
      <c r="PNI287" s="1069"/>
      <c r="PNJ287" s="1069"/>
      <c r="PNK287" s="1069"/>
      <c r="PNL287" s="1069"/>
      <c r="PNM287" s="1069"/>
      <c r="PNN287" s="1069"/>
      <c r="PNO287" s="1069"/>
      <c r="PNP287" s="1069"/>
      <c r="PNQ287" s="1069"/>
      <c r="PNR287" s="1069"/>
      <c r="PNS287" s="1069"/>
      <c r="PNT287" s="1069"/>
      <c r="PNU287" s="1069"/>
      <c r="PNV287" s="1069"/>
      <c r="PNW287" s="1069"/>
      <c r="PNX287" s="1069"/>
      <c r="PNY287" s="1069"/>
      <c r="PNZ287" s="1069"/>
      <c r="POA287" s="1069"/>
      <c r="POB287" s="1069"/>
      <c r="POC287" s="1069"/>
      <c r="POD287" s="1069"/>
      <c r="POE287" s="1069"/>
      <c r="POF287" s="1069"/>
      <c r="POG287" s="1069"/>
      <c r="POH287" s="1069"/>
      <c r="POI287" s="1069"/>
      <c r="POJ287" s="1069"/>
      <c r="POK287" s="1069"/>
      <c r="POL287" s="1069"/>
      <c r="POM287" s="1069"/>
      <c r="PON287" s="1069"/>
      <c r="POO287" s="1069"/>
      <c r="POP287" s="1069"/>
      <c r="POQ287" s="1069"/>
      <c r="POR287" s="1069"/>
      <c r="POS287" s="1069"/>
      <c r="POT287" s="1069"/>
      <c r="POU287" s="1069"/>
      <c r="POV287" s="1069"/>
      <c r="POW287" s="1069"/>
      <c r="POX287" s="1069"/>
      <c r="POY287" s="1069"/>
      <c r="POZ287" s="1069"/>
      <c r="PPA287" s="1069"/>
      <c r="PPB287" s="1069"/>
      <c r="PPC287" s="1069"/>
      <c r="PPD287" s="1069"/>
      <c r="PPE287" s="1069"/>
      <c r="PPF287" s="1069"/>
      <c r="PPG287" s="1069"/>
      <c r="PPH287" s="1069"/>
      <c r="PPI287" s="1069"/>
      <c r="PPJ287" s="1069"/>
      <c r="PPK287" s="1069"/>
      <c r="PPL287" s="1069"/>
      <c r="PPM287" s="1069"/>
      <c r="PPN287" s="1069"/>
      <c r="PPO287" s="1069"/>
      <c r="PPP287" s="1069"/>
      <c r="PPQ287" s="1069"/>
      <c r="PPR287" s="1069"/>
      <c r="PPS287" s="1069"/>
      <c r="PPT287" s="1069"/>
      <c r="PPU287" s="1069"/>
      <c r="PPV287" s="1069"/>
      <c r="PPW287" s="1069"/>
      <c r="PPX287" s="1069"/>
      <c r="PPY287" s="1069"/>
      <c r="PPZ287" s="1069"/>
      <c r="PQA287" s="1069"/>
      <c r="PQB287" s="1069"/>
      <c r="PQC287" s="1069"/>
      <c r="PQD287" s="1069"/>
      <c r="PQE287" s="1069"/>
      <c r="PQF287" s="1069"/>
      <c r="PQG287" s="1069"/>
      <c r="PQH287" s="1069"/>
      <c r="PQI287" s="1069"/>
      <c r="PQJ287" s="1069"/>
      <c r="PQK287" s="1069"/>
      <c r="PQL287" s="1069"/>
      <c r="PQM287" s="1069"/>
      <c r="PQN287" s="1069"/>
      <c r="PQO287" s="1069"/>
      <c r="PQP287" s="1069"/>
      <c r="PQQ287" s="1069"/>
      <c r="PQR287" s="1069"/>
      <c r="PQS287" s="1069"/>
      <c r="PQT287" s="1069"/>
      <c r="PQU287" s="1069"/>
      <c r="PQV287" s="1069"/>
      <c r="PQW287" s="1069"/>
      <c r="PQX287" s="1069"/>
      <c r="PQY287" s="1069"/>
      <c r="PQZ287" s="1069"/>
      <c r="PRA287" s="1069"/>
      <c r="PRB287" s="1069"/>
      <c r="PRC287" s="1069"/>
      <c r="PRD287" s="1069"/>
      <c r="PRE287" s="1069"/>
      <c r="PRF287" s="1069"/>
      <c r="PRG287" s="1069"/>
      <c r="PRH287" s="1069"/>
      <c r="PRI287" s="1069"/>
      <c r="PRJ287" s="1069"/>
      <c r="PRK287" s="1069"/>
      <c r="PRL287" s="1069"/>
      <c r="PRM287" s="1069"/>
      <c r="PRN287" s="1069"/>
      <c r="PRO287" s="1069"/>
      <c r="PRP287" s="1069"/>
      <c r="PRQ287" s="1069"/>
      <c r="PRR287" s="1069"/>
      <c r="PRS287" s="1069"/>
      <c r="PRT287" s="1069"/>
      <c r="PRU287" s="1069"/>
      <c r="PRV287" s="1069"/>
      <c r="PRW287" s="1069"/>
      <c r="PRX287" s="1069"/>
      <c r="PRY287" s="1069"/>
      <c r="PRZ287" s="1069"/>
      <c r="PSA287" s="1069"/>
      <c r="PSB287" s="1069"/>
      <c r="PSC287" s="1069"/>
      <c r="PSD287" s="1069"/>
      <c r="PSE287" s="1069"/>
      <c r="PSF287" s="1069"/>
      <c r="PSG287" s="1069"/>
      <c r="PSH287" s="1069"/>
      <c r="PSI287" s="1069"/>
      <c r="PSJ287" s="1069"/>
      <c r="PSK287" s="1069"/>
      <c r="PSL287" s="1069"/>
      <c r="PSM287" s="1069"/>
      <c r="PSN287" s="1069"/>
      <c r="PSO287" s="1069"/>
      <c r="PSP287" s="1069"/>
      <c r="PSQ287" s="1069"/>
      <c r="PSR287" s="1069"/>
      <c r="PSS287" s="1069"/>
      <c r="PST287" s="1069"/>
      <c r="PSU287" s="1069"/>
      <c r="PSV287" s="1069"/>
      <c r="PSW287" s="1069"/>
      <c r="PSX287" s="1069"/>
      <c r="PSY287" s="1069"/>
      <c r="PSZ287" s="1069"/>
      <c r="PTA287" s="1069"/>
      <c r="PTB287" s="1069"/>
      <c r="PTC287" s="1069"/>
      <c r="PTD287" s="1069"/>
      <c r="PTE287" s="1069"/>
      <c r="PTF287" s="1069"/>
      <c r="PTG287" s="1069"/>
      <c r="PTH287" s="1069"/>
      <c r="PTI287" s="1069"/>
      <c r="PTJ287" s="1069"/>
      <c r="PTK287" s="1069"/>
      <c r="PTL287" s="1069"/>
      <c r="PTM287" s="1069"/>
      <c r="PTN287" s="1069"/>
      <c r="PTO287" s="1069"/>
      <c r="PTP287" s="1069"/>
      <c r="PTQ287" s="1069"/>
      <c r="PTR287" s="1069"/>
      <c r="PTS287" s="1069"/>
      <c r="PTT287" s="1069"/>
      <c r="PTU287" s="1069"/>
      <c r="PTV287" s="1069"/>
      <c r="PTW287" s="1069"/>
      <c r="PTX287" s="1069"/>
      <c r="PTY287" s="1069"/>
      <c r="PTZ287" s="1069"/>
      <c r="PUA287" s="1069"/>
      <c r="PUB287" s="1069"/>
      <c r="PUC287" s="1069"/>
      <c r="PUD287" s="1069"/>
      <c r="PUE287" s="1069"/>
      <c r="PUF287" s="1069"/>
      <c r="PUG287" s="1069"/>
      <c r="PUH287" s="1069"/>
      <c r="PUI287" s="1069"/>
      <c r="PUJ287" s="1069"/>
      <c r="PUK287" s="1069"/>
      <c r="PUL287" s="1069"/>
      <c r="PUM287" s="1069"/>
      <c r="PUN287" s="1069"/>
      <c r="PUO287" s="1069"/>
      <c r="PUP287" s="1069"/>
      <c r="PUQ287" s="1069"/>
      <c r="PUR287" s="1069"/>
      <c r="PUS287" s="1069"/>
      <c r="PUT287" s="1069"/>
      <c r="PUU287" s="1069"/>
      <c r="PUV287" s="1069"/>
      <c r="PUW287" s="1069"/>
      <c r="PUX287" s="1069"/>
      <c r="PUY287" s="1069"/>
      <c r="PUZ287" s="1069"/>
      <c r="PVA287" s="1069"/>
      <c r="PVB287" s="1069"/>
      <c r="PVC287" s="1069"/>
      <c r="PVD287" s="1069"/>
      <c r="PVE287" s="1069"/>
      <c r="PVF287" s="1069"/>
      <c r="PVG287" s="1069"/>
      <c r="PVH287" s="1069"/>
      <c r="PVI287" s="1069"/>
      <c r="PVJ287" s="1069"/>
      <c r="PVK287" s="1069"/>
      <c r="PVL287" s="1069"/>
      <c r="PVM287" s="1069"/>
      <c r="PVN287" s="1069"/>
      <c r="PVO287" s="1069"/>
      <c r="PVP287" s="1069"/>
      <c r="PVQ287" s="1069"/>
      <c r="PVR287" s="1069"/>
      <c r="PVS287" s="1069"/>
      <c r="PVT287" s="1069"/>
      <c r="PVU287" s="1069"/>
      <c r="PVV287" s="1069"/>
      <c r="PVW287" s="1069"/>
      <c r="PVX287" s="1069"/>
      <c r="PVY287" s="1069"/>
      <c r="PVZ287" s="1069"/>
      <c r="PWA287" s="1069"/>
      <c r="PWB287" s="1069"/>
      <c r="PWC287" s="1069"/>
      <c r="PWD287" s="1069"/>
      <c r="PWE287" s="1069"/>
      <c r="PWF287" s="1069"/>
      <c r="PWG287" s="1069"/>
      <c r="PWH287" s="1069"/>
      <c r="PWI287" s="1069"/>
      <c r="PWJ287" s="1069"/>
      <c r="PWK287" s="1069"/>
      <c r="PWL287" s="1069"/>
      <c r="PWM287" s="1069"/>
      <c r="PWN287" s="1069"/>
      <c r="PWO287" s="1069"/>
      <c r="PWP287" s="1069"/>
      <c r="PWQ287" s="1069"/>
      <c r="PWR287" s="1069"/>
      <c r="PWS287" s="1069"/>
      <c r="PWT287" s="1069"/>
      <c r="PWU287" s="1069"/>
      <c r="PWV287" s="1069"/>
      <c r="PWW287" s="1069"/>
      <c r="PWX287" s="1069"/>
      <c r="PWY287" s="1069"/>
      <c r="PWZ287" s="1069"/>
      <c r="PXA287" s="1069"/>
      <c r="PXB287" s="1069"/>
      <c r="PXC287" s="1069"/>
      <c r="PXD287" s="1069"/>
      <c r="PXE287" s="1069"/>
      <c r="PXF287" s="1069"/>
      <c r="PXG287" s="1069"/>
      <c r="PXH287" s="1069"/>
      <c r="PXI287" s="1069"/>
      <c r="PXJ287" s="1069"/>
      <c r="PXK287" s="1069"/>
      <c r="PXL287" s="1069"/>
      <c r="PXM287" s="1069"/>
      <c r="PXN287" s="1069"/>
      <c r="PXO287" s="1069"/>
      <c r="PXP287" s="1069"/>
      <c r="PXQ287" s="1069"/>
      <c r="PXR287" s="1069"/>
      <c r="PXS287" s="1069"/>
      <c r="PXT287" s="1069"/>
      <c r="PXU287" s="1069"/>
      <c r="PXV287" s="1069"/>
      <c r="PXW287" s="1069"/>
      <c r="PXX287" s="1069"/>
      <c r="PXY287" s="1069"/>
      <c r="PXZ287" s="1069"/>
      <c r="PYA287" s="1069"/>
      <c r="PYB287" s="1069"/>
      <c r="PYC287" s="1069"/>
      <c r="PYD287" s="1069"/>
      <c r="PYE287" s="1069"/>
      <c r="PYF287" s="1069"/>
      <c r="PYG287" s="1069"/>
      <c r="PYH287" s="1069"/>
      <c r="PYI287" s="1069"/>
      <c r="PYJ287" s="1069"/>
      <c r="PYK287" s="1069"/>
      <c r="PYL287" s="1069"/>
      <c r="PYM287" s="1069"/>
      <c r="PYN287" s="1069"/>
      <c r="PYO287" s="1069"/>
      <c r="PYP287" s="1069"/>
      <c r="PYQ287" s="1069"/>
      <c r="PYR287" s="1069"/>
      <c r="PYS287" s="1069"/>
      <c r="PYT287" s="1069"/>
      <c r="PYU287" s="1069"/>
      <c r="PYV287" s="1069"/>
      <c r="PYW287" s="1069"/>
      <c r="PYX287" s="1069"/>
      <c r="PYY287" s="1069"/>
      <c r="PYZ287" s="1069"/>
      <c r="PZA287" s="1069"/>
      <c r="PZB287" s="1069"/>
      <c r="PZC287" s="1069"/>
      <c r="PZD287" s="1069"/>
      <c r="PZE287" s="1069"/>
      <c r="PZF287" s="1069"/>
      <c r="PZG287" s="1069"/>
      <c r="PZH287" s="1069"/>
      <c r="PZI287" s="1069"/>
      <c r="PZJ287" s="1069"/>
      <c r="PZK287" s="1069"/>
      <c r="PZL287" s="1069"/>
      <c r="PZM287" s="1069"/>
      <c r="PZN287" s="1069"/>
      <c r="PZO287" s="1069"/>
      <c r="PZP287" s="1069"/>
      <c r="PZQ287" s="1069"/>
      <c r="PZR287" s="1069"/>
      <c r="PZS287" s="1069"/>
      <c r="PZT287" s="1069"/>
      <c r="PZU287" s="1069"/>
      <c r="PZV287" s="1069"/>
      <c r="PZW287" s="1069"/>
      <c r="PZX287" s="1069"/>
      <c r="PZY287" s="1069"/>
      <c r="PZZ287" s="1069"/>
      <c r="QAA287" s="1069"/>
      <c r="QAB287" s="1069"/>
      <c r="QAC287" s="1069"/>
      <c r="QAD287" s="1069"/>
      <c r="QAE287" s="1069"/>
      <c r="QAF287" s="1069"/>
      <c r="QAG287" s="1069"/>
      <c r="QAH287" s="1069"/>
      <c r="QAI287" s="1069"/>
      <c r="QAJ287" s="1069"/>
      <c r="QAK287" s="1069"/>
      <c r="QAL287" s="1069"/>
      <c r="QAM287" s="1069"/>
      <c r="QAN287" s="1069"/>
      <c r="QAO287" s="1069"/>
      <c r="QAP287" s="1069"/>
      <c r="QAQ287" s="1069"/>
      <c r="QAR287" s="1069"/>
      <c r="QAS287" s="1069"/>
      <c r="QAT287" s="1069"/>
      <c r="QAU287" s="1069"/>
      <c r="QAV287" s="1069"/>
      <c r="QAW287" s="1069"/>
      <c r="QAX287" s="1069"/>
      <c r="QAY287" s="1069"/>
      <c r="QAZ287" s="1069"/>
      <c r="QBA287" s="1069"/>
      <c r="QBB287" s="1069"/>
      <c r="QBC287" s="1069"/>
      <c r="QBD287" s="1069"/>
      <c r="QBE287" s="1069"/>
      <c r="QBF287" s="1069"/>
      <c r="QBG287" s="1069"/>
      <c r="QBH287" s="1069"/>
      <c r="QBI287" s="1069"/>
      <c r="QBJ287" s="1069"/>
      <c r="QBK287" s="1069"/>
      <c r="QBL287" s="1069"/>
      <c r="QBM287" s="1069"/>
      <c r="QBN287" s="1069"/>
      <c r="QBO287" s="1069"/>
      <c r="QBP287" s="1069"/>
      <c r="QBQ287" s="1069"/>
      <c r="QBR287" s="1069"/>
      <c r="QBS287" s="1069"/>
      <c r="QBT287" s="1069"/>
      <c r="QBU287" s="1069"/>
      <c r="QBV287" s="1069"/>
      <c r="QBW287" s="1069"/>
      <c r="QBX287" s="1069"/>
      <c r="QBY287" s="1069"/>
      <c r="QBZ287" s="1069"/>
      <c r="QCA287" s="1069"/>
      <c r="QCB287" s="1069"/>
      <c r="QCC287" s="1069"/>
      <c r="QCD287" s="1069"/>
      <c r="QCE287" s="1069"/>
      <c r="QCF287" s="1069"/>
      <c r="QCG287" s="1069"/>
      <c r="QCH287" s="1069"/>
      <c r="QCI287" s="1069"/>
      <c r="QCJ287" s="1069"/>
      <c r="QCK287" s="1069"/>
      <c r="QCL287" s="1069"/>
      <c r="QCM287" s="1069"/>
      <c r="QCN287" s="1069"/>
      <c r="QCO287" s="1069"/>
      <c r="QCP287" s="1069"/>
      <c r="QCQ287" s="1069"/>
      <c r="QCR287" s="1069"/>
      <c r="QCS287" s="1069"/>
      <c r="QCT287" s="1069"/>
      <c r="QCU287" s="1069"/>
      <c r="QCV287" s="1069"/>
      <c r="QCW287" s="1069"/>
      <c r="QCX287" s="1069"/>
      <c r="QCY287" s="1069"/>
      <c r="QCZ287" s="1069"/>
      <c r="QDA287" s="1069"/>
      <c r="QDB287" s="1069"/>
      <c r="QDC287" s="1069"/>
      <c r="QDD287" s="1069"/>
      <c r="QDE287" s="1069"/>
      <c r="QDF287" s="1069"/>
      <c r="QDG287" s="1069"/>
      <c r="QDH287" s="1069"/>
      <c r="QDI287" s="1069"/>
      <c r="QDJ287" s="1069"/>
      <c r="QDK287" s="1069"/>
      <c r="QDL287" s="1069"/>
      <c r="QDM287" s="1069"/>
      <c r="QDN287" s="1069"/>
      <c r="QDO287" s="1069"/>
      <c r="QDP287" s="1069"/>
      <c r="QDQ287" s="1069"/>
      <c r="QDR287" s="1069"/>
      <c r="QDS287" s="1069"/>
      <c r="QDT287" s="1069"/>
      <c r="QDU287" s="1069"/>
      <c r="QDV287" s="1069"/>
      <c r="QDW287" s="1069"/>
      <c r="QDX287" s="1069"/>
      <c r="QDY287" s="1069"/>
      <c r="QDZ287" s="1069"/>
      <c r="QEA287" s="1069"/>
      <c r="QEB287" s="1069"/>
      <c r="QEC287" s="1069"/>
      <c r="QED287" s="1069"/>
      <c r="QEE287" s="1069"/>
      <c r="QEF287" s="1069"/>
      <c r="QEG287" s="1069"/>
      <c r="QEH287" s="1069"/>
      <c r="QEI287" s="1069"/>
      <c r="QEJ287" s="1069"/>
      <c r="QEK287" s="1069"/>
      <c r="QEL287" s="1069"/>
      <c r="QEM287" s="1069"/>
      <c r="QEN287" s="1069"/>
      <c r="QEO287" s="1069"/>
      <c r="QEP287" s="1069"/>
      <c r="QEQ287" s="1069"/>
      <c r="QER287" s="1069"/>
      <c r="QES287" s="1069"/>
      <c r="QET287" s="1069"/>
      <c r="QEU287" s="1069"/>
      <c r="QEV287" s="1069"/>
      <c r="QEW287" s="1069"/>
      <c r="QEX287" s="1069"/>
      <c r="QEY287" s="1069"/>
      <c r="QEZ287" s="1069"/>
      <c r="QFA287" s="1069"/>
      <c r="QFB287" s="1069"/>
      <c r="QFC287" s="1069"/>
      <c r="QFD287" s="1069"/>
      <c r="QFE287" s="1069"/>
      <c r="QFF287" s="1069"/>
      <c r="QFG287" s="1069"/>
      <c r="QFH287" s="1069"/>
      <c r="QFI287" s="1069"/>
      <c r="QFJ287" s="1069"/>
      <c r="QFK287" s="1069"/>
      <c r="QFL287" s="1069"/>
      <c r="QFM287" s="1069"/>
      <c r="QFN287" s="1069"/>
      <c r="QFO287" s="1069"/>
      <c r="QFP287" s="1069"/>
      <c r="QFQ287" s="1069"/>
      <c r="QFR287" s="1069"/>
      <c r="QFS287" s="1069"/>
      <c r="QFT287" s="1069"/>
      <c r="QFU287" s="1069"/>
      <c r="QFV287" s="1069"/>
      <c r="QFW287" s="1069"/>
      <c r="QFX287" s="1069"/>
      <c r="QFY287" s="1069"/>
      <c r="QFZ287" s="1069"/>
      <c r="QGA287" s="1069"/>
      <c r="QGB287" s="1069"/>
      <c r="QGC287" s="1069"/>
      <c r="QGD287" s="1069"/>
      <c r="QGE287" s="1069"/>
      <c r="QGF287" s="1069"/>
      <c r="QGG287" s="1069"/>
      <c r="QGH287" s="1069"/>
      <c r="QGI287" s="1069"/>
      <c r="QGJ287" s="1069"/>
      <c r="QGK287" s="1069"/>
      <c r="QGL287" s="1069"/>
      <c r="QGM287" s="1069"/>
      <c r="QGN287" s="1069"/>
      <c r="QGO287" s="1069"/>
      <c r="QGP287" s="1069"/>
      <c r="QGQ287" s="1069"/>
      <c r="QGR287" s="1069"/>
      <c r="QGS287" s="1069"/>
      <c r="QGT287" s="1069"/>
      <c r="QGU287" s="1069"/>
      <c r="QGV287" s="1069"/>
      <c r="QGW287" s="1069"/>
      <c r="QGX287" s="1069"/>
      <c r="QGY287" s="1069"/>
      <c r="QGZ287" s="1069"/>
      <c r="QHA287" s="1069"/>
      <c r="QHB287" s="1069"/>
      <c r="QHC287" s="1069"/>
      <c r="QHD287" s="1069"/>
      <c r="QHE287" s="1069"/>
      <c r="QHF287" s="1069"/>
      <c r="QHG287" s="1069"/>
      <c r="QHH287" s="1069"/>
      <c r="QHI287" s="1069"/>
      <c r="QHJ287" s="1069"/>
      <c r="QHK287" s="1069"/>
      <c r="QHL287" s="1069"/>
      <c r="QHM287" s="1069"/>
      <c r="QHN287" s="1069"/>
      <c r="QHO287" s="1069"/>
      <c r="QHP287" s="1069"/>
      <c r="QHQ287" s="1069"/>
      <c r="QHR287" s="1069"/>
      <c r="QHS287" s="1069"/>
      <c r="QHT287" s="1069"/>
      <c r="QHU287" s="1069"/>
      <c r="QHV287" s="1069"/>
      <c r="QHW287" s="1069"/>
      <c r="QHX287" s="1069"/>
      <c r="QHY287" s="1069"/>
      <c r="QHZ287" s="1069"/>
      <c r="QIA287" s="1069"/>
      <c r="QIB287" s="1069"/>
      <c r="QIC287" s="1069"/>
      <c r="QID287" s="1069"/>
      <c r="QIE287" s="1069"/>
      <c r="QIF287" s="1069"/>
      <c r="QIG287" s="1069"/>
      <c r="QIH287" s="1069"/>
      <c r="QII287" s="1069"/>
      <c r="QIJ287" s="1069"/>
      <c r="QIK287" s="1069"/>
      <c r="QIL287" s="1069"/>
      <c r="QIM287" s="1069"/>
      <c r="QIN287" s="1069"/>
      <c r="QIO287" s="1069"/>
      <c r="QIP287" s="1069"/>
      <c r="QIQ287" s="1069"/>
      <c r="QIR287" s="1069"/>
      <c r="QIS287" s="1069"/>
      <c r="QIT287" s="1069"/>
      <c r="QIU287" s="1069"/>
      <c r="QIV287" s="1069"/>
      <c r="QIW287" s="1069"/>
      <c r="QIX287" s="1069"/>
      <c r="QIY287" s="1069"/>
      <c r="QIZ287" s="1069"/>
      <c r="QJA287" s="1069"/>
      <c r="QJB287" s="1069"/>
      <c r="QJC287" s="1069"/>
      <c r="QJD287" s="1069"/>
      <c r="QJE287" s="1069"/>
      <c r="QJF287" s="1069"/>
      <c r="QJG287" s="1069"/>
      <c r="QJH287" s="1069"/>
      <c r="QJI287" s="1069"/>
      <c r="QJJ287" s="1069"/>
      <c r="QJK287" s="1069"/>
      <c r="QJL287" s="1069"/>
      <c r="QJM287" s="1069"/>
      <c r="QJN287" s="1069"/>
      <c r="QJO287" s="1069"/>
      <c r="QJP287" s="1069"/>
      <c r="QJQ287" s="1069"/>
      <c r="QJR287" s="1069"/>
      <c r="QJS287" s="1069"/>
      <c r="QJT287" s="1069"/>
      <c r="QJU287" s="1069"/>
      <c r="QJV287" s="1069"/>
      <c r="QJW287" s="1069"/>
      <c r="QJX287" s="1069"/>
      <c r="QJY287" s="1069"/>
      <c r="QJZ287" s="1069"/>
      <c r="QKA287" s="1069"/>
      <c r="QKB287" s="1069"/>
      <c r="QKC287" s="1069"/>
      <c r="QKD287" s="1069"/>
      <c r="QKE287" s="1069"/>
      <c r="QKF287" s="1069"/>
      <c r="QKG287" s="1069"/>
      <c r="QKH287" s="1069"/>
      <c r="QKI287" s="1069"/>
      <c r="QKJ287" s="1069"/>
      <c r="QKK287" s="1069"/>
      <c r="QKL287" s="1069"/>
      <c r="QKM287" s="1069"/>
      <c r="QKN287" s="1069"/>
      <c r="QKO287" s="1069"/>
      <c r="QKP287" s="1069"/>
      <c r="QKQ287" s="1069"/>
      <c r="QKR287" s="1069"/>
      <c r="QKS287" s="1069"/>
      <c r="QKT287" s="1069"/>
      <c r="QKU287" s="1069"/>
      <c r="QKV287" s="1069"/>
      <c r="QKW287" s="1069"/>
      <c r="QKX287" s="1069"/>
      <c r="QKY287" s="1069"/>
      <c r="QKZ287" s="1069"/>
      <c r="QLA287" s="1069"/>
      <c r="QLB287" s="1069"/>
      <c r="QLC287" s="1069"/>
      <c r="QLD287" s="1069"/>
      <c r="QLE287" s="1069"/>
      <c r="QLF287" s="1069"/>
      <c r="QLG287" s="1069"/>
      <c r="QLH287" s="1069"/>
      <c r="QLI287" s="1069"/>
      <c r="QLJ287" s="1069"/>
      <c r="QLK287" s="1069"/>
      <c r="QLL287" s="1069"/>
      <c r="QLM287" s="1069"/>
      <c r="QLN287" s="1069"/>
      <c r="QLO287" s="1069"/>
      <c r="QLP287" s="1069"/>
      <c r="QLQ287" s="1069"/>
      <c r="QLR287" s="1069"/>
      <c r="QLS287" s="1069"/>
      <c r="QLT287" s="1069"/>
      <c r="QLU287" s="1069"/>
      <c r="QLV287" s="1069"/>
      <c r="QLW287" s="1069"/>
      <c r="QLX287" s="1069"/>
      <c r="QLY287" s="1069"/>
      <c r="QLZ287" s="1069"/>
      <c r="QMA287" s="1069"/>
      <c r="QMB287" s="1069"/>
      <c r="QMC287" s="1069"/>
      <c r="QMD287" s="1069"/>
      <c r="QME287" s="1069"/>
      <c r="QMF287" s="1069"/>
      <c r="QMG287" s="1069"/>
      <c r="QMH287" s="1069"/>
      <c r="QMI287" s="1069"/>
      <c r="QMJ287" s="1069"/>
      <c r="QMK287" s="1069"/>
      <c r="QML287" s="1069"/>
      <c r="QMM287" s="1069"/>
      <c r="QMN287" s="1069"/>
      <c r="QMO287" s="1069"/>
      <c r="QMP287" s="1069"/>
      <c r="QMQ287" s="1069"/>
      <c r="QMR287" s="1069"/>
      <c r="QMS287" s="1069"/>
      <c r="QMT287" s="1069"/>
      <c r="QMU287" s="1069"/>
      <c r="QMV287" s="1069"/>
      <c r="QMW287" s="1069"/>
      <c r="QMX287" s="1069"/>
      <c r="QMY287" s="1069"/>
      <c r="QMZ287" s="1069"/>
      <c r="QNA287" s="1069"/>
      <c r="QNB287" s="1069"/>
      <c r="QNC287" s="1069"/>
      <c r="QND287" s="1069"/>
      <c r="QNE287" s="1069"/>
      <c r="QNF287" s="1069"/>
      <c r="QNG287" s="1069"/>
      <c r="QNH287" s="1069"/>
      <c r="QNI287" s="1069"/>
      <c r="QNJ287" s="1069"/>
      <c r="QNK287" s="1069"/>
      <c r="QNL287" s="1069"/>
      <c r="QNM287" s="1069"/>
      <c r="QNN287" s="1069"/>
      <c r="QNO287" s="1069"/>
      <c r="QNP287" s="1069"/>
      <c r="QNQ287" s="1069"/>
      <c r="QNR287" s="1069"/>
      <c r="QNS287" s="1069"/>
      <c r="QNT287" s="1069"/>
      <c r="QNU287" s="1069"/>
      <c r="QNV287" s="1069"/>
      <c r="QNW287" s="1069"/>
      <c r="QNX287" s="1069"/>
      <c r="QNY287" s="1069"/>
      <c r="QNZ287" s="1069"/>
      <c r="QOA287" s="1069"/>
      <c r="QOB287" s="1069"/>
      <c r="QOC287" s="1069"/>
      <c r="QOD287" s="1069"/>
      <c r="QOE287" s="1069"/>
      <c r="QOF287" s="1069"/>
      <c r="QOG287" s="1069"/>
      <c r="QOH287" s="1069"/>
      <c r="QOI287" s="1069"/>
      <c r="QOJ287" s="1069"/>
      <c r="QOK287" s="1069"/>
      <c r="QOL287" s="1069"/>
      <c r="QOM287" s="1069"/>
      <c r="QON287" s="1069"/>
      <c r="QOO287" s="1069"/>
      <c r="QOP287" s="1069"/>
      <c r="QOQ287" s="1069"/>
      <c r="QOR287" s="1069"/>
      <c r="QOS287" s="1069"/>
      <c r="QOT287" s="1069"/>
      <c r="QOU287" s="1069"/>
      <c r="QOV287" s="1069"/>
      <c r="QOW287" s="1069"/>
      <c r="QOX287" s="1069"/>
      <c r="QOY287" s="1069"/>
      <c r="QOZ287" s="1069"/>
      <c r="QPA287" s="1069"/>
      <c r="QPB287" s="1069"/>
      <c r="QPC287" s="1069"/>
      <c r="QPD287" s="1069"/>
      <c r="QPE287" s="1069"/>
      <c r="QPF287" s="1069"/>
      <c r="QPG287" s="1069"/>
      <c r="QPH287" s="1069"/>
      <c r="QPI287" s="1069"/>
      <c r="QPJ287" s="1069"/>
      <c r="QPK287" s="1069"/>
      <c r="QPL287" s="1069"/>
      <c r="QPM287" s="1069"/>
      <c r="QPN287" s="1069"/>
      <c r="QPO287" s="1069"/>
      <c r="QPP287" s="1069"/>
      <c r="QPQ287" s="1069"/>
      <c r="QPR287" s="1069"/>
      <c r="QPS287" s="1069"/>
      <c r="QPT287" s="1069"/>
      <c r="QPU287" s="1069"/>
      <c r="QPV287" s="1069"/>
      <c r="QPW287" s="1069"/>
      <c r="QPX287" s="1069"/>
      <c r="QPY287" s="1069"/>
      <c r="QPZ287" s="1069"/>
      <c r="QQA287" s="1069"/>
      <c r="QQB287" s="1069"/>
      <c r="QQC287" s="1069"/>
      <c r="QQD287" s="1069"/>
      <c r="QQE287" s="1069"/>
      <c r="QQF287" s="1069"/>
      <c r="QQG287" s="1069"/>
      <c r="QQH287" s="1069"/>
      <c r="QQI287" s="1069"/>
      <c r="QQJ287" s="1069"/>
      <c r="QQK287" s="1069"/>
      <c r="QQL287" s="1069"/>
      <c r="QQM287" s="1069"/>
      <c r="QQN287" s="1069"/>
      <c r="QQO287" s="1069"/>
      <c r="QQP287" s="1069"/>
      <c r="QQQ287" s="1069"/>
      <c r="QQR287" s="1069"/>
      <c r="QQS287" s="1069"/>
      <c r="QQT287" s="1069"/>
      <c r="QQU287" s="1069"/>
      <c r="QQV287" s="1069"/>
      <c r="QQW287" s="1069"/>
      <c r="QQX287" s="1069"/>
      <c r="QQY287" s="1069"/>
      <c r="QQZ287" s="1069"/>
      <c r="QRA287" s="1069"/>
      <c r="QRB287" s="1069"/>
      <c r="QRC287" s="1069"/>
      <c r="QRD287" s="1069"/>
      <c r="QRE287" s="1069"/>
      <c r="QRF287" s="1069"/>
      <c r="QRG287" s="1069"/>
      <c r="QRH287" s="1069"/>
      <c r="QRI287" s="1069"/>
      <c r="QRJ287" s="1069"/>
      <c r="QRK287" s="1069"/>
      <c r="QRL287" s="1069"/>
      <c r="QRM287" s="1069"/>
      <c r="QRN287" s="1069"/>
      <c r="QRO287" s="1069"/>
      <c r="QRP287" s="1069"/>
      <c r="QRQ287" s="1069"/>
      <c r="QRR287" s="1069"/>
      <c r="QRS287" s="1069"/>
      <c r="QRT287" s="1069"/>
      <c r="QRU287" s="1069"/>
      <c r="QRV287" s="1069"/>
      <c r="QRW287" s="1069"/>
      <c r="QRX287" s="1069"/>
      <c r="QRY287" s="1069"/>
      <c r="QRZ287" s="1069"/>
      <c r="QSA287" s="1069"/>
      <c r="QSB287" s="1069"/>
      <c r="QSC287" s="1069"/>
      <c r="QSD287" s="1069"/>
      <c r="QSE287" s="1069"/>
      <c r="QSF287" s="1069"/>
      <c r="QSG287" s="1069"/>
      <c r="QSH287" s="1069"/>
      <c r="QSI287" s="1069"/>
      <c r="QSJ287" s="1069"/>
      <c r="QSK287" s="1069"/>
      <c r="QSL287" s="1069"/>
      <c r="QSM287" s="1069"/>
      <c r="QSN287" s="1069"/>
      <c r="QSO287" s="1069"/>
      <c r="QSP287" s="1069"/>
      <c r="QSQ287" s="1069"/>
      <c r="QSR287" s="1069"/>
      <c r="QSS287" s="1069"/>
      <c r="QST287" s="1069"/>
      <c r="QSU287" s="1069"/>
      <c r="QSV287" s="1069"/>
      <c r="QSW287" s="1069"/>
      <c r="QSX287" s="1069"/>
      <c r="QSY287" s="1069"/>
      <c r="QSZ287" s="1069"/>
      <c r="QTA287" s="1069"/>
      <c r="QTB287" s="1069"/>
      <c r="QTC287" s="1069"/>
      <c r="QTD287" s="1069"/>
      <c r="QTE287" s="1069"/>
      <c r="QTF287" s="1069"/>
      <c r="QTG287" s="1069"/>
      <c r="QTH287" s="1069"/>
      <c r="QTI287" s="1069"/>
      <c r="QTJ287" s="1069"/>
      <c r="QTK287" s="1069"/>
      <c r="QTL287" s="1069"/>
      <c r="QTM287" s="1069"/>
      <c r="QTN287" s="1069"/>
      <c r="QTO287" s="1069"/>
      <c r="QTP287" s="1069"/>
      <c r="QTQ287" s="1069"/>
      <c r="QTR287" s="1069"/>
      <c r="QTS287" s="1069"/>
      <c r="QTT287" s="1069"/>
      <c r="QTU287" s="1069"/>
      <c r="QTV287" s="1069"/>
      <c r="QTW287" s="1069"/>
      <c r="QTX287" s="1069"/>
      <c r="QTY287" s="1069"/>
      <c r="QTZ287" s="1069"/>
      <c r="QUA287" s="1069"/>
      <c r="QUB287" s="1069"/>
      <c r="QUC287" s="1069"/>
      <c r="QUD287" s="1069"/>
      <c r="QUE287" s="1069"/>
      <c r="QUF287" s="1069"/>
      <c r="QUG287" s="1069"/>
      <c r="QUH287" s="1069"/>
      <c r="QUI287" s="1069"/>
      <c r="QUJ287" s="1069"/>
      <c r="QUK287" s="1069"/>
      <c r="QUL287" s="1069"/>
      <c r="QUM287" s="1069"/>
      <c r="QUN287" s="1069"/>
      <c r="QUO287" s="1069"/>
      <c r="QUP287" s="1069"/>
      <c r="QUQ287" s="1069"/>
      <c r="QUR287" s="1069"/>
      <c r="QUS287" s="1069"/>
      <c r="QUT287" s="1069"/>
      <c r="QUU287" s="1069"/>
      <c r="QUV287" s="1069"/>
      <c r="QUW287" s="1069"/>
      <c r="QUX287" s="1069"/>
      <c r="QUY287" s="1069"/>
      <c r="QUZ287" s="1069"/>
      <c r="QVA287" s="1069"/>
      <c r="QVB287" s="1069"/>
      <c r="QVC287" s="1069"/>
      <c r="QVD287" s="1069"/>
      <c r="QVE287" s="1069"/>
      <c r="QVF287" s="1069"/>
      <c r="QVG287" s="1069"/>
      <c r="QVH287" s="1069"/>
      <c r="QVI287" s="1069"/>
      <c r="QVJ287" s="1069"/>
      <c r="QVK287" s="1069"/>
      <c r="QVL287" s="1069"/>
      <c r="QVM287" s="1069"/>
      <c r="QVN287" s="1069"/>
      <c r="QVO287" s="1069"/>
      <c r="QVP287" s="1069"/>
      <c r="QVQ287" s="1069"/>
      <c r="QVR287" s="1069"/>
      <c r="QVS287" s="1069"/>
      <c r="QVT287" s="1069"/>
      <c r="QVU287" s="1069"/>
      <c r="QVV287" s="1069"/>
      <c r="QVW287" s="1069"/>
      <c r="QVX287" s="1069"/>
      <c r="QVY287" s="1069"/>
      <c r="QVZ287" s="1069"/>
      <c r="QWA287" s="1069"/>
      <c r="QWB287" s="1069"/>
      <c r="QWC287" s="1069"/>
      <c r="QWD287" s="1069"/>
      <c r="QWE287" s="1069"/>
      <c r="QWF287" s="1069"/>
      <c r="QWG287" s="1069"/>
      <c r="QWH287" s="1069"/>
      <c r="QWI287" s="1069"/>
      <c r="QWJ287" s="1069"/>
      <c r="QWK287" s="1069"/>
      <c r="QWL287" s="1069"/>
      <c r="QWM287" s="1069"/>
      <c r="QWN287" s="1069"/>
      <c r="QWO287" s="1069"/>
      <c r="QWP287" s="1069"/>
      <c r="QWQ287" s="1069"/>
      <c r="QWR287" s="1069"/>
      <c r="QWS287" s="1069"/>
      <c r="QWT287" s="1069"/>
      <c r="QWU287" s="1069"/>
      <c r="QWV287" s="1069"/>
      <c r="QWW287" s="1069"/>
      <c r="QWX287" s="1069"/>
      <c r="QWY287" s="1069"/>
      <c r="QWZ287" s="1069"/>
      <c r="QXA287" s="1069"/>
      <c r="QXB287" s="1069"/>
      <c r="QXC287" s="1069"/>
      <c r="QXD287" s="1069"/>
      <c r="QXE287" s="1069"/>
      <c r="QXF287" s="1069"/>
      <c r="QXG287" s="1069"/>
      <c r="QXH287" s="1069"/>
      <c r="QXI287" s="1069"/>
      <c r="QXJ287" s="1069"/>
      <c r="QXK287" s="1069"/>
      <c r="QXL287" s="1069"/>
      <c r="QXM287" s="1069"/>
      <c r="QXN287" s="1069"/>
      <c r="QXO287" s="1069"/>
      <c r="QXP287" s="1069"/>
      <c r="QXQ287" s="1069"/>
      <c r="QXR287" s="1069"/>
      <c r="QXS287" s="1069"/>
      <c r="QXT287" s="1069"/>
      <c r="QXU287" s="1069"/>
      <c r="QXV287" s="1069"/>
      <c r="QXW287" s="1069"/>
      <c r="QXX287" s="1069"/>
      <c r="QXY287" s="1069"/>
      <c r="QXZ287" s="1069"/>
      <c r="QYA287" s="1069"/>
      <c r="QYB287" s="1069"/>
      <c r="QYC287" s="1069"/>
      <c r="QYD287" s="1069"/>
      <c r="QYE287" s="1069"/>
      <c r="QYF287" s="1069"/>
      <c r="QYG287" s="1069"/>
      <c r="QYH287" s="1069"/>
      <c r="QYI287" s="1069"/>
      <c r="QYJ287" s="1069"/>
      <c r="QYK287" s="1069"/>
      <c r="QYL287" s="1069"/>
      <c r="QYM287" s="1069"/>
      <c r="QYN287" s="1069"/>
      <c r="QYO287" s="1069"/>
      <c r="QYP287" s="1069"/>
      <c r="QYQ287" s="1069"/>
      <c r="QYR287" s="1069"/>
      <c r="QYS287" s="1069"/>
      <c r="QYT287" s="1069"/>
      <c r="QYU287" s="1069"/>
      <c r="QYV287" s="1069"/>
      <c r="QYW287" s="1069"/>
      <c r="QYX287" s="1069"/>
      <c r="QYY287" s="1069"/>
      <c r="QYZ287" s="1069"/>
      <c r="QZA287" s="1069"/>
      <c r="QZB287" s="1069"/>
      <c r="QZC287" s="1069"/>
      <c r="QZD287" s="1069"/>
      <c r="QZE287" s="1069"/>
      <c r="QZF287" s="1069"/>
      <c r="QZG287" s="1069"/>
      <c r="QZH287" s="1069"/>
      <c r="QZI287" s="1069"/>
      <c r="QZJ287" s="1069"/>
      <c r="QZK287" s="1069"/>
      <c r="QZL287" s="1069"/>
      <c r="QZM287" s="1069"/>
      <c r="QZN287" s="1069"/>
      <c r="QZO287" s="1069"/>
      <c r="QZP287" s="1069"/>
      <c r="QZQ287" s="1069"/>
      <c r="QZR287" s="1069"/>
      <c r="QZS287" s="1069"/>
      <c r="QZT287" s="1069"/>
      <c r="QZU287" s="1069"/>
      <c r="QZV287" s="1069"/>
      <c r="QZW287" s="1069"/>
      <c r="QZX287" s="1069"/>
      <c r="QZY287" s="1069"/>
      <c r="QZZ287" s="1069"/>
      <c r="RAA287" s="1069"/>
      <c r="RAB287" s="1069"/>
      <c r="RAC287" s="1069"/>
      <c r="RAD287" s="1069"/>
      <c r="RAE287" s="1069"/>
      <c r="RAF287" s="1069"/>
      <c r="RAG287" s="1069"/>
      <c r="RAH287" s="1069"/>
      <c r="RAI287" s="1069"/>
      <c r="RAJ287" s="1069"/>
      <c r="RAK287" s="1069"/>
      <c r="RAL287" s="1069"/>
      <c r="RAM287" s="1069"/>
      <c r="RAN287" s="1069"/>
      <c r="RAO287" s="1069"/>
      <c r="RAP287" s="1069"/>
      <c r="RAQ287" s="1069"/>
      <c r="RAR287" s="1069"/>
      <c r="RAS287" s="1069"/>
      <c r="RAT287" s="1069"/>
      <c r="RAU287" s="1069"/>
      <c r="RAV287" s="1069"/>
      <c r="RAW287" s="1069"/>
      <c r="RAX287" s="1069"/>
      <c r="RAY287" s="1069"/>
      <c r="RAZ287" s="1069"/>
      <c r="RBA287" s="1069"/>
      <c r="RBB287" s="1069"/>
      <c r="RBC287" s="1069"/>
      <c r="RBD287" s="1069"/>
      <c r="RBE287" s="1069"/>
      <c r="RBF287" s="1069"/>
      <c r="RBG287" s="1069"/>
      <c r="RBH287" s="1069"/>
      <c r="RBI287" s="1069"/>
      <c r="RBJ287" s="1069"/>
      <c r="RBK287" s="1069"/>
      <c r="RBL287" s="1069"/>
      <c r="RBM287" s="1069"/>
      <c r="RBN287" s="1069"/>
      <c r="RBO287" s="1069"/>
      <c r="RBP287" s="1069"/>
      <c r="RBQ287" s="1069"/>
      <c r="RBR287" s="1069"/>
      <c r="RBS287" s="1069"/>
      <c r="RBT287" s="1069"/>
      <c r="RBU287" s="1069"/>
      <c r="RBV287" s="1069"/>
      <c r="RBW287" s="1069"/>
      <c r="RBX287" s="1069"/>
      <c r="RBY287" s="1069"/>
      <c r="RBZ287" s="1069"/>
      <c r="RCA287" s="1069"/>
      <c r="RCB287" s="1069"/>
      <c r="RCC287" s="1069"/>
      <c r="RCD287" s="1069"/>
      <c r="RCE287" s="1069"/>
      <c r="RCF287" s="1069"/>
      <c r="RCG287" s="1069"/>
      <c r="RCH287" s="1069"/>
      <c r="RCI287" s="1069"/>
      <c r="RCJ287" s="1069"/>
      <c r="RCK287" s="1069"/>
      <c r="RCL287" s="1069"/>
      <c r="RCM287" s="1069"/>
      <c r="RCN287" s="1069"/>
      <c r="RCO287" s="1069"/>
      <c r="RCP287" s="1069"/>
      <c r="RCQ287" s="1069"/>
      <c r="RCR287" s="1069"/>
      <c r="RCS287" s="1069"/>
      <c r="RCT287" s="1069"/>
      <c r="RCU287" s="1069"/>
      <c r="RCV287" s="1069"/>
      <c r="RCW287" s="1069"/>
      <c r="RCX287" s="1069"/>
      <c r="RCY287" s="1069"/>
      <c r="RCZ287" s="1069"/>
      <c r="RDA287" s="1069"/>
      <c r="RDB287" s="1069"/>
      <c r="RDC287" s="1069"/>
      <c r="RDD287" s="1069"/>
      <c r="RDE287" s="1069"/>
      <c r="RDF287" s="1069"/>
      <c r="RDG287" s="1069"/>
      <c r="RDH287" s="1069"/>
      <c r="RDI287" s="1069"/>
      <c r="RDJ287" s="1069"/>
      <c r="RDK287" s="1069"/>
      <c r="RDL287" s="1069"/>
      <c r="RDM287" s="1069"/>
      <c r="RDN287" s="1069"/>
      <c r="RDO287" s="1069"/>
      <c r="RDP287" s="1069"/>
      <c r="RDQ287" s="1069"/>
      <c r="RDR287" s="1069"/>
      <c r="RDS287" s="1069"/>
      <c r="RDT287" s="1069"/>
      <c r="RDU287" s="1069"/>
      <c r="RDV287" s="1069"/>
      <c r="RDW287" s="1069"/>
      <c r="RDX287" s="1069"/>
      <c r="RDY287" s="1069"/>
      <c r="RDZ287" s="1069"/>
      <c r="REA287" s="1069"/>
      <c r="REB287" s="1069"/>
      <c r="REC287" s="1069"/>
      <c r="RED287" s="1069"/>
      <c r="REE287" s="1069"/>
      <c r="REF287" s="1069"/>
      <c r="REG287" s="1069"/>
      <c r="REH287" s="1069"/>
      <c r="REI287" s="1069"/>
      <c r="REJ287" s="1069"/>
      <c r="REK287" s="1069"/>
      <c r="REL287" s="1069"/>
      <c r="REM287" s="1069"/>
      <c r="REN287" s="1069"/>
      <c r="REO287" s="1069"/>
      <c r="REP287" s="1069"/>
      <c r="REQ287" s="1069"/>
      <c r="RER287" s="1069"/>
      <c r="RES287" s="1069"/>
      <c r="RET287" s="1069"/>
      <c r="REU287" s="1069"/>
      <c r="REV287" s="1069"/>
      <c r="REW287" s="1069"/>
      <c r="REX287" s="1069"/>
      <c r="REY287" s="1069"/>
      <c r="REZ287" s="1069"/>
      <c r="RFA287" s="1069"/>
      <c r="RFB287" s="1069"/>
      <c r="RFC287" s="1069"/>
      <c r="RFD287" s="1069"/>
      <c r="RFE287" s="1069"/>
      <c r="RFF287" s="1069"/>
      <c r="RFG287" s="1069"/>
      <c r="RFH287" s="1069"/>
      <c r="RFI287" s="1069"/>
      <c r="RFJ287" s="1069"/>
      <c r="RFK287" s="1069"/>
      <c r="RFL287" s="1069"/>
      <c r="RFM287" s="1069"/>
      <c r="RFN287" s="1069"/>
      <c r="RFO287" s="1069"/>
      <c r="RFP287" s="1069"/>
      <c r="RFQ287" s="1069"/>
      <c r="RFR287" s="1069"/>
      <c r="RFS287" s="1069"/>
      <c r="RFT287" s="1069"/>
      <c r="RFU287" s="1069"/>
      <c r="RFV287" s="1069"/>
      <c r="RFW287" s="1069"/>
      <c r="RFX287" s="1069"/>
      <c r="RFY287" s="1069"/>
      <c r="RFZ287" s="1069"/>
      <c r="RGA287" s="1069"/>
      <c r="RGB287" s="1069"/>
      <c r="RGC287" s="1069"/>
      <c r="RGD287" s="1069"/>
      <c r="RGE287" s="1069"/>
      <c r="RGF287" s="1069"/>
      <c r="RGG287" s="1069"/>
      <c r="RGH287" s="1069"/>
      <c r="RGI287" s="1069"/>
      <c r="RGJ287" s="1069"/>
      <c r="RGK287" s="1069"/>
      <c r="RGL287" s="1069"/>
      <c r="RGM287" s="1069"/>
      <c r="RGN287" s="1069"/>
      <c r="RGO287" s="1069"/>
      <c r="RGP287" s="1069"/>
      <c r="RGQ287" s="1069"/>
      <c r="RGR287" s="1069"/>
      <c r="RGS287" s="1069"/>
      <c r="RGT287" s="1069"/>
      <c r="RGU287" s="1069"/>
      <c r="RGV287" s="1069"/>
      <c r="RGW287" s="1069"/>
      <c r="RGX287" s="1069"/>
      <c r="RGY287" s="1069"/>
      <c r="RGZ287" s="1069"/>
      <c r="RHA287" s="1069"/>
      <c r="RHB287" s="1069"/>
      <c r="RHC287" s="1069"/>
      <c r="RHD287" s="1069"/>
      <c r="RHE287" s="1069"/>
      <c r="RHF287" s="1069"/>
      <c r="RHG287" s="1069"/>
      <c r="RHH287" s="1069"/>
      <c r="RHI287" s="1069"/>
      <c r="RHJ287" s="1069"/>
      <c r="RHK287" s="1069"/>
      <c r="RHL287" s="1069"/>
      <c r="RHM287" s="1069"/>
      <c r="RHN287" s="1069"/>
      <c r="RHO287" s="1069"/>
      <c r="RHP287" s="1069"/>
      <c r="RHQ287" s="1069"/>
      <c r="RHR287" s="1069"/>
      <c r="RHS287" s="1069"/>
      <c r="RHT287" s="1069"/>
      <c r="RHU287" s="1069"/>
      <c r="RHV287" s="1069"/>
      <c r="RHW287" s="1069"/>
      <c r="RHX287" s="1069"/>
      <c r="RHY287" s="1069"/>
      <c r="RHZ287" s="1069"/>
      <c r="RIA287" s="1069"/>
      <c r="RIB287" s="1069"/>
      <c r="RIC287" s="1069"/>
      <c r="RID287" s="1069"/>
      <c r="RIE287" s="1069"/>
      <c r="RIF287" s="1069"/>
      <c r="RIG287" s="1069"/>
      <c r="RIH287" s="1069"/>
      <c r="RII287" s="1069"/>
      <c r="RIJ287" s="1069"/>
      <c r="RIK287" s="1069"/>
      <c r="RIL287" s="1069"/>
      <c r="RIM287" s="1069"/>
      <c r="RIN287" s="1069"/>
      <c r="RIO287" s="1069"/>
      <c r="RIP287" s="1069"/>
      <c r="RIQ287" s="1069"/>
      <c r="RIR287" s="1069"/>
      <c r="RIS287" s="1069"/>
      <c r="RIT287" s="1069"/>
      <c r="RIU287" s="1069"/>
      <c r="RIV287" s="1069"/>
      <c r="RIW287" s="1069"/>
      <c r="RIX287" s="1069"/>
      <c r="RIY287" s="1069"/>
      <c r="RIZ287" s="1069"/>
      <c r="RJA287" s="1069"/>
      <c r="RJB287" s="1069"/>
      <c r="RJC287" s="1069"/>
      <c r="RJD287" s="1069"/>
      <c r="RJE287" s="1069"/>
      <c r="RJF287" s="1069"/>
      <c r="RJG287" s="1069"/>
      <c r="RJH287" s="1069"/>
      <c r="RJI287" s="1069"/>
      <c r="RJJ287" s="1069"/>
      <c r="RJK287" s="1069"/>
      <c r="RJL287" s="1069"/>
      <c r="RJM287" s="1069"/>
      <c r="RJN287" s="1069"/>
      <c r="RJO287" s="1069"/>
      <c r="RJP287" s="1069"/>
      <c r="RJQ287" s="1069"/>
      <c r="RJR287" s="1069"/>
      <c r="RJS287" s="1069"/>
      <c r="RJT287" s="1069"/>
      <c r="RJU287" s="1069"/>
      <c r="RJV287" s="1069"/>
      <c r="RJW287" s="1069"/>
      <c r="RJX287" s="1069"/>
      <c r="RJY287" s="1069"/>
      <c r="RJZ287" s="1069"/>
      <c r="RKA287" s="1069"/>
      <c r="RKB287" s="1069"/>
      <c r="RKC287" s="1069"/>
      <c r="RKD287" s="1069"/>
      <c r="RKE287" s="1069"/>
      <c r="RKF287" s="1069"/>
      <c r="RKG287" s="1069"/>
      <c r="RKH287" s="1069"/>
      <c r="RKI287" s="1069"/>
      <c r="RKJ287" s="1069"/>
      <c r="RKK287" s="1069"/>
      <c r="RKL287" s="1069"/>
      <c r="RKM287" s="1069"/>
      <c r="RKN287" s="1069"/>
      <c r="RKO287" s="1069"/>
      <c r="RKP287" s="1069"/>
      <c r="RKQ287" s="1069"/>
      <c r="RKR287" s="1069"/>
      <c r="RKS287" s="1069"/>
      <c r="RKT287" s="1069"/>
      <c r="RKU287" s="1069"/>
      <c r="RKV287" s="1069"/>
      <c r="RKW287" s="1069"/>
      <c r="RKX287" s="1069"/>
      <c r="RKY287" s="1069"/>
      <c r="RKZ287" s="1069"/>
      <c r="RLA287" s="1069"/>
      <c r="RLB287" s="1069"/>
      <c r="RLC287" s="1069"/>
      <c r="RLD287" s="1069"/>
      <c r="RLE287" s="1069"/>
      <c r="RLF287" s="1069"/>
      <c r="RLG287" s="1069"/>
      <c r="RLH287" s="1069"/>
      <c r="RLI287" s="1069"/>
      <c r="RLJ287" s="1069"/>
      <c r="RLK287" s="1069"/>
      <c r="RLL287" s="1069"/>
      <c r="RLM287" s="1069"/>
      <c r="RLN287" s="1069"/>
      <c r="RLO287" s="1069"/>
      <c r="RLP287" s="1069"/>
      <c r="RLQ287" s="1069"/>
      <c r="RLR287" s="1069"/>
      <c r="RLS287" s="1069"/>
      <c r="RLT287" s="1069"/>
      <c r="RLU287" s="1069"/>
      <c r="RLV287" s="1069"/>
      <c r="RLW287" s="1069"/>
      <c r="RLX287" s="1069"/>
      <c r="RLY287" s="1069"/>
      <c r="RLZ287" s="1069"/>
      <c r="RMA287" s="1069"/>
      <c r="RMB287" s="1069"/>
      <c r="RMC287" s="1069"/>
      <c r="RMD287" s="1069"/>
      <c r="RME287" s="1069"/>
      <c r="RMF287" s="1069"/>
      <c r="RMG287" s="1069"/>
      <c r="RMH287" s="1069"/>
      <c r="RMI287" s="1069"/>
      <c r="RMJ287" s="1069"/>
      <c r="RMK287" s="1069"/>
      <c r="RML287" s="1069"/>
      <c r="RMM287" s="1069"/>
      <c r="RMN287" s="1069"/>
      <c r="RMO287" s="1069"/>
      <c r="RMP287" s="1069"/>
      <c r="RMQ287" s="1069"/>
      <c r="RMR287" s="1069"/>
      <c r="RMS287" s="1069"/>
      <c r="RMT287" s="1069"/>
      <c r="RMU287" s="1069"/>
      <c r="RMV287" s="1069"/>
      <c r="RMW287" s="1069"/>
      <c r="RMX287" s="1069"/>
      <c r="RMY287" s="1069"/>
      <c r="RMZ287" s="1069"/>
      <c r="RNA287" s="1069"/>
      <c r="RNB287" s="1069"/>
      <c r="RNC287" s="1069"/>
      <c r="RND287" s="1069"/>
      <c r="RNE287" s="1069"/>
      <c r="RNF287" s="1069"/>
      <c r="RNG287" s="1069"/>
      <c r="RNH287" s="1069"/>
      <c r="RNI287" s="1069"/>
      <c r="RNJ287" s="1069"/>
      <c r="RNK287" s="1069"/>
      <c r="RNL287" s="1069"/>
      <c r="RNM287" s="1069"/>
      <c r="RNN287" s="1069"/>
      <c r="RNO287" s="1069"/>
      <c r="RNP287" s="1069"/>
      <c r="RNQ287" s="1069"/>
      <c r="RNR287" s="1069"/>
      <c r="RNS287" s="1069"/>
      <c r="RNT287" s="1069"/>
      <c r="RNU287" s="1069"/>
      <c r="RNV287" s="1069"/>
      <c r="RNW287" s="1069"/>
      <c r="RNX287" s="1069"/>
      <c r="RNY287" s="1069"/>
      <c r="RNZ287" s="1069"/>
      <c r="ROA287" s="1069"/>
      <c r="ROB287" s="1069"/>
      <c r="ROC287" s="1069"/>
      <c r="ROD287" s="1069"/>
      <c r="ROE287" s="1069"/>
      <c r="ROF287" s="1069"/>
      <c r="ROG287" s="1069"/>
      <c r="ROH287" s="1069"/>
      <c r="ROI287" s="1069"/>
      <c r="ROJ287" s="1069"/>
      <c r="ROK287" s="1069"/>
      <c r="ROL287" s="1069"/>
      <c r="ROM287" s="1069"/>
      <c r="RON287" s="1069"/>
      <c r="ROO287" s="1069"/>
      <c r="ROP287" s="1069"/>
      <c r="ROQ287" s="1069"/>
      <c r="ROR287" s="1069"/>
      <c r="ROS287" s="1069"/>
      <c r="ROT287" s="1069"/>
      <c r="ROU287" s="1069"/>
      <c r="ROV287" s="1069"/>
      <c r="ROW287" s="1069"/>
      <c r="ROX287" s="1069"/>
      <c r="ROY287" s="1069"/>
      <c r="ROZ287" s="1069"/>
      <c r="RPA287" s="1069"/>
      <c r="RPB287" s="1069"/>
      <c r="RPC287" s="1069"/>
      <c r="RPD287" s="1069"/>
      <c r="RPE287" s="1069"/>
      <c r="RPF287" s="1069"/>
      <c r="RPG287" s="1069"/>
      <c r="RPH287" s="1069"/>
      <c r="RPI287" s="1069"/>
      <c r="RPJ287" s="1069"/>
      <c r="RPK287" s="1069"/>
      <c r="RPL287" s="1069"/>
      <c r="RPM287" s="1069"/>
      <c r="RPN287" s="1069"/>
      <c r="RPO287" s="1069"/>
      <c r="RPP287" s="1069"/>
      <c r="RPQ287" s="1069"/>
      <c r="RPR287" s="1069"/>
      <c r="RPS287" s="1069"/>
      <c r="RPT287" s="1069"/>
      <c r="RPU287" s="1069"/>
      <c r="RPV287" s="1069"/>
      <c r="RPW287" s="1069"/>
      <c r="RPX287" s="1069"/>
      <c r="RPY287" s="1069"/>
      <c r="RPZ287" s="1069"/>
      <c r="RQA287" s="1069"/>
      <c r="RQB287" s="1069"/>
      <c r="RQC287" s="1069"/>
      <c r="RQD287" s="1069"/>
      <c r="RQE287" s="1069"/>
      <c r="RQF287" s="1069"/>
      <c r="RQG287" s="1069"/>
      <c r="RQH287" s="1069"/>
      <c r="RQI287" s="1069"/>
      <c r="RQJ287" s="1069"/>
      <c r="RQK287" s="1069"/>
      <c r="RQL287" s="1069"/>
      <c r="RQM287" s="1069"/>
      <c r="RQN287" s="1069"/>
      <c r="RQO287" s="1069"/>
      <c r="RQP287" s="1069"/>
      <c r="RQQ287" s="1069"/>
      <c r="RQR287" s="1069"/>
      <c r="RQS287" s="1069"/>
      <c r="RQT287" s="1069"/>
      <c r="RQU287" s="1069"/>
      <c r="RQV287" s="1069"/>
      <c r="RQW287" s="1069"/>
      <c r="RQX287" s="1069"/>
      <c r="RQY287" s="1069"/>
      <c r="RQZ287" s="1069"/>
      <c r="RRA287" s="1069"/>
      <c r="RRB287" s="1069"/>
      <c r="RRC287" s="1069"/>
      <c r="RRD287" s="1069"/>
      <c r="RRE287" s="1069"/>
      <c r="RRF287" s="1069"/>
      <c r="RRG287" s="1069"/>
      <c r="RRH287" s="1069"/>
      <c r="RRI287" s="1069"/>
      <c r="RRJ287" s="1069"/>
      <c r="RRK287" s="1069"/>
      <c r="RRL287" s="1069"/>
      <c r="RRM287" s="1069"/>
      <c r="RRN287" s="1069"/>
      <c r="RRO287" s="1069"/>
      <c r="RRP287" s="1069"/>
      <c r="RRQ287" s="1069"/>
      <c r="RRR287" s="1069"/>
      <c r="RRS287" s="1069"/>
      <c r="RRT287" s="1069"/>
      <c r="RRU287" s="1069"/>
      <c r="RRV287" s="1069"/>
      <c r="RRW287" s="1069"/>
      <c r="RRX287" s="1069"/>
      <c r="RRY287" s="1069"/>
      <c r="RRZ287" s="1069"/>
      <c r="RSA287" s="1069"/>
      <c r="RSB287" s="1069"/>
      <c r="RSC287" s="1069"/>
      <c r="RSD287" s="1069"/>
      <c r="RSE287" s="1069"/>
      <c r="RSF287" s="1069"/>
      <c r="RSG287" s="1069"/>
      <c r="RSH287" s="1069"/>
      <c r="RSI287" s="1069"/>
      <c r="RSJ287" s="1069"/>
      <c r="RSK287" s="1069"/>
      <c r="RSL287" s="1069"/>
      <c r="RSM287" s="1069"/>
      <c r="RSN287" s="1069"/>
      <c r="RSO287" s="1069"/>
      <c r="RSP287" s="1069"/>
      <c r="RSQ287" s="1069"/>
      <c r="RSR287" s="1069"/>
      <c r="RSS287" s="1069"/>
      <c r="RST287" s="1069"/>
      <c r="RSU287" s="1069"/>
      <c r="RSV287" s="1069"/>
      <c r="RSW287" s="1069"/>
      <c r="RSX287" s="1069"/>
      <c r="RSY287" s="1069"/>
      <c r="RSZ287" s="1069"/>
      <c r="RTA287" s="1069"/>
      <c r="RTB287" s="1069"/>
      <c r="RTC287" s="1069"/>
      <c r="RTD287" s="1069"/>
      <c r="RTE287" s="1069"/>
      <c r="RTF287" s="1069"/>
      <c r="RTG287" s="1069"/>
      <c r="RTH287" s="1069"/>
      <c r="RTI287" s="1069"/>
      <c r="RTJ287" s="1069"/>
      <c r="RTK287" s="1069"/>
      <c r="RTL287" s="1069"/>
      <c r="RTM287" s="1069"/>
      <c r="RTN287" s="1069"/>
      <c r="RTO287" s="1069"/>
      <c r="RTP287" s="1069"/>
      <c r="RTQ287" s="1069"/>
      <c r="RTR287" s="1069"/>
      <c r="RTS287" s="1069"/>
      <c r="RTT287" s="1069"/>
      <c r="RTU287" s="1069"/>
      <c r="RTV287" s="1069"/>
      <c r="RTW287" s="1069"/>
      <c r="RTX287" s="1069"/>
      <c r="RTY287" s="1069"/>
      <c r="RTZ287" s="1069"/>
      <c r="RUA287" s="1069"/>
      <c r="RUB287" s="1069"/>
      <c r="RUC287" s="1069"/>
      <c r="RUD287" s="1069"/>
      <c r="RUE287" s="1069"/>
      <c r="RUF287" s="1069"/>
      <c r="RUG287" s="1069"/>
      <c r="RUH287" s="1069"/>
      <c r="RUI287" s="1069"/>
      <c r="RUJ287" s="1069"/>
      <c r="RUK287" s="1069"/>
      <c r="RUL287" s="1069"/>
      <c r="RUM287" s="1069"/>
      <c r="RUN287" s="1069"/>
      <c r="RUO287" s="1069"/>
      <c r="RUP287" s="1069"/>
      <c r="RUQ287" s="1069"/>
      <c r="RUR287" s="1069"/>
      <c r="RUS287" s="1069"/>
      <c r="RUT287" s="1069"/>
      <c r="RUU287" s="1069"/>
      <c r="RUV287" s="1069"/>
      <c r="RUW287" s="1069"/>
      <c r="RUX287" s="1069"/>
      <c r="RUY287" s="1069"/>
      <c r="RUZ287" s="1069"/>
      <c r="RVA287" s="1069"/>
      <c r="RVB287" s="1069"/>
      <c r="RVC287" s="1069"/>
      <c r="RVD287" s="1069"/>
      <c r="RVE287" s="1069"/>
      <c r="RVF287" s="1069"/>
      <c r="RVG287" s="1069"/>
      <c r="RVH287" s="1069"/>
      <c r="RVI287" s="1069"/>
      <c r="RVJ287" s="1069"/>
      <c r="RVK287" s="1069"/>
      <c r="RVL287" s="1069"/>
      <c r="RVM287" s="1069"/>
      <c r="RVN287" s="1069"/>
      <c r="RVO287" s="1069"/>
      <c r="RVP287" s="1069"/>
      <c r="RVQ287" s="1069"/>
      <c r="RVR287" s="1069"/>
      <c r="RVS287" s="1069"/>
      <c r="RVT287" s="1069"/>
      <c r="RVU287" s="1069"/>
      <c r="RVV287" s="1069"/>
      <c r="RVW287" s="1069"/>
      <c r="RVX287" s="1069"/>
      <c r="RVY287" s="1069"/>
      <c r="RVZ287" s="1069"/>
      <c r="RWA287" s="1069"/>
      <c r="RWB287" s="1069"/>
      <c r="RWC287" s="1069"/>
      <c r="RWD287" s="1069"/>
      <c r="RWE287" s="1069"/>
      <c r="RWF287" s="1069"/>
      <c r="RWG287" s="1069"/>
      <c r="RWH287" s="1069"/>
      <c r="RWI287" s="1069"/>
      <c r="RWJ287" s="1069"/>
      <c r="RWK287" s="1069"/>
      <c r="RWL287" s="1069"/>
      <c r="RWM287" s="1069"/>
      <c r="RWN287" s="1069"/>
      <c r="RWO287" s="1069"/>
      <c r="RWP287" s="1069"/>
      <c r="RWQ287" s="1069"/>
      <c r="RWR287" s="1069"/>
      <c r="RWS287" s="1069"/>
      <c r="RWT287" s="1069"/>
      <c r="RWU287" s="1069"/>
      <c r="RWV287" s="1069"/>
      <c r="RWW287" s="1069"/>
      <c r="RWX287" s="1069"/>
      <c r="RWY287" s="1069"/>
      <c r="RWZ287" s="1069"/>
      <c r="RXA287" s="1069"/>
      <c r="RXB287" s="1069"/>
      <c r="RXC287" s="1069"/>
      <c r="RXD287" s="1069"/>
      <c r="RXE287" s="1069"/>
      <c r="RXF287" s="1069"/>
      <c r="RXG287" s="1069"/>
      <c r="RXH287" s="1069"/>
      <c r="RXI287" s="1069"/>
      <c r="RXJ287" s="1069"/>
      <c r="RXK287" s="1069"/>
      <c r="RXL287" s="1069"/>
      <c r="RXM287" s="1069"/>
      <c r="RXN287" s="1069"/>
      <c r="RXO287" s="1069"/>
      <c r="RXP287" s="1069"/>
      <c r="RXQ287" s="1069"/>
      <c r="RXR287" s="1069"/>
      <c r="RXS287" s="1069"/>
      <c r="RXT287" s="1069"/>
      <c r="RXU287" s="1069"/>
      <c r="RXV287" s="1069"/>
      <c r="RXW287" s="1069"/>
      <c r="RXX287" s="1069"/>
      <c r="RXY287" s="1069"/>
      <c r="RXZ287" s="1069"/>
      <c r="RYA287" s="1069"/>
      <c r="RYB287" s="1069"/>
      <c r="RYC287" s="1069"/>
      <c r="RYD287" s="1069"/>
      <c r="RYE287" s="1069"/>
      <c r="RYF287" s="1069"/>
      <c r="RYG287" s="1069"/>
      <c r="RYH287" s="1069"/>
      <c r="RYI287" s="1069"/>
      <c r="RYJ287" s="1069"/>
      <c r="RYK287" s="1069"/>
      <c r="RYL287" s="1069"/>
      <c r="RYM287" s="1069"/>
      <c r="RYN287" s="1069"/>
      <c r="RYO287" s="1069"/>
      <c r="RYP287" s="1069"/>
      <c r="RYQ287" s="1069"/>
      <c r="RYR287" s="1069"/>
      <c r="RYS287" s="1069"/>
      <c r="RYT287" s="1069"/>
      <c r="RYU287" s="1069"/>
      <c r="RYV287" s="1069"/>
      <c r="RYW287" s="1069"/>
      <c r="RYX287" s="1069"/>
      <c r="RYY287" s="1069"/>
      <c r="RYZ287" s="1069"/>
      <c r="RZA287" s="1069"/>
      <c r="RZB287" s="1069"/>
      <c r="RZC287" s="1069"/>
      <c r="RZD287" s="1069"/>
      <c r="RZE287" s="1069"/>
      <c r="RZF287" s="1069"/>
      <c r="RZG287" s="1069"/>
      <c r="RZH287" s="1069"/>
      <c r="RZI287" s="1069"/>
      <c r="RZJ287" s="1069"/>
      <c r="RZK287" s="1069"/>
      <c r="RZL287" s="1069"/>
      <c r="RZM287" s="1069"/>
      <c r="RZN287" s="1069"/>
      <c r="RZO287" s="1069"/>
      <c r="RZP287" s="1069"/>
      <c r="RZQ287" s="1069"/>
      <c r="RZR287" s="1069"/>
      <c r="RZS287" s="1069"/>
      <c r="RZT287" s="1069"/>
      <c r="RZU287" s="1069"/>
      <c r="RZV287" s="1069"/>
      <c r="RZW287" s="1069"/>
      <c r="RZX287" s="1069"/>
      <c r="RZY287" s="1069"/>
      <c r="RZZ287" s="1069"/>
      <c r="SAA287" s="1069"/>
      <c r="SAB287" s="1069"/>
      <c r="SAC287" s="1069"/>
      <c r="SAD287" s="1069"/>
      <c r="SAE287" s="1069"/>
      <c r="SAF287" s="1069"/>
      <c r="SAG287" s="1069"/>
      <c r="SAH287" s="1069"/>
      <c r="SAI287" s="1069"/>
      <c r="SAJ287" s="1069"/>
      <c r="SAK287" s="1069"/>
      <c r="SAL287" s="1069"/>
      <c r="SAM287" s="1069"/>
      <c r="SAN287" s="1069"/>
      <c r="SAO287" s="1069"/>
      <c r="SAP287" s="1069"/>
      <c r="SAQ287" s="1069"/>
      <c r="SAR287" s="1069"/>
      <c r="SAS287" s="1069"/>
      <c r="SAT287" s="1069"/>
      <c r="SAU287" s="1069"/>
      <c r="SAV287" s="1069"/>
      <c r="SAW287" s="1069"/>
      <c r="SAX287" s="1069"/>
      <c r="SAY287" s="1069"/>
      <c r="SAZ287" s="1069"/>
      <c r="SBA287" s="1069"/>
      <c r="SBB287" s="1069"/>
      <c r="SBC287" s="1069"/>
      <c r="SBD287" s="1069"/>
      <c r="SBE287" s="1069"/>
      <c r="SBF287" s="1069"/>
      <c r="SBG287" s="1069"/>
      <c r="SBH287" s="1069"/>
      <c r="SBI287" s="1069"/>
      <c r="SBJ287" s="1069"/>
      <c r="SBK287" s="1069"/>
      <c r="SBL287" s="1069"/>
      <c r="SBM287" s="1069"/>
      <c r="SBN287" s="1069"/>
      <c r="SBO287" s="1069"/>
      <c r="SBP287" s="1069"/>
      <c r="SBQ287" s="1069"/>
      <c r="SBR287" s="1069"/>
      <c r="SBS287" s="1069"/>
      <c r="SBT287" s="1069"/>
      <c r="SBU287" s="1069"/>
      <c r="SBV287" s="1069"/>
      <c r="SBW287" s="1069"/>
      <c r="SBX287" s="1069"/>
      <c r="SBY287" s="1069"/>
      <c r="SBZ287" s="1069"/>
      <c r="SCA287" s="1069"/>
      <c r="SCB287" s="1069"/>
      <c r="SCC287" s="1069"/>
      <c r="SCD287" s="1069"/>
      <c r="SCE287" s="1069"/>
      <c r="SCF287" s="1069"/>
      <c r="SCG287" s="1069"/>
      <c r="SCH287" s="1069"/>
      <c r="SCI287" s="1069"/>
      <c r="SCJ287" s="1069"/>
      <c r="SCK287" s="1069"/>
      <c r="SCL287" s="1069"/>
      <c r="SCM287" s="1069"/>
      <c r="SCN287" s="1069"/>
      <c r="SCO287" s="1069"/>
      <c r="SCP287" s="1069"/>
      <c r="SCQ287" s="1069"/>
      <c r="SCR287" s="1069"/>
      <c r="SCS287" s="1069"/>
      <c r="SCT287" s="1069"/>
      <c r="SCU287" s="1069"/>
      <c r="SCV287" s="1069"/>
      <c r="SCW287" s="1069"/>
      <c r="SCX287" s="1069"/>
      <c r="SCY287" s="1069"/>
      <c r="SCZ287" s="1069"/>
      <c r="SDA287" s="1069"/>
      <c r="SDB287" s="1069"/>
      <c r="SDC287" s="1069"/>
      <c r="SDD287" s="1069"/>
      <c r="SDE287" s="1069"/>
      <c r="SDF287" s="1069"/>
      <c r="SDG287" s="1069"/>
      <c r="SDH287" s="1069"/>
      <c r="SDI287" s="1069"/>
      <c r="SDJ287" s="1069"/>
      <c r="SDK287" s="1069"/>
      <c r="SDL287" s="1069"/>
      <c r="SDM287" s="1069"/>
      <c r="SDN287" s="1069"/>
      <c r="SDO287" s="1069"/>
      <c r="SDP287" s="1069"/>
      <c r="SDQ287" s="1069"/>
      <c r="SDR287" s="1069"/>
      <c r="SDS287" s="1069"/>
      <c r="SDT287" s="1069"/>
      <c r="SDU287" s="1069"/>
      <c r="SDV287" s="1069"/>
      <c r="SDW287" s="1069"/>
      <c r="SDX287" s="1069"/>
      <c r="SDY287" s="1069"/>
      <c r="SDZ287" s="1069"/>
      <c r="SEA287" s="1069"/>
      <c r="SEB287" s="1069"/>
      <c r="SEC287" s="1069"/>
      <c r="SED287" s="1069"/>
      <c r="SEE287" s="1069"/>
      <c r="SEF287" s="1069"/>
      <c r="SEG287" s="1069"/>
      <c r="SEH287" s="1069"/>
      <c r="SEI287" s="1069"/>
      <c r="SEJ287" s="1069"/>
      <c r="SEK287" s="1069"/>
      <c r="SEL287" s="1069"/>
      <c r="SEM287" s="1069"/>
      <c r="SEN287" s="1069"/>
      <c r="SEO287" s="1069"/>
      <c r="SEP287" s="1069"/>
      <c r="SEQ287" s="1069"/>
      <c r="SER287" s="1069"/>
      <c r="SES287" s="1069"/>
      <c r="SET287" s="1069"/>
      <c r="SEU287" s="1069"/>
      <c r="SEV287" s="1069"/>
      <c r="SEW287" s="1069"/>
      <c r="SEX287" s="1069"/>
      <c r="SEY287" s="1069"/>
      <c r="SEZ287" s="1069"/>
      <c r="SFA287" s="1069"/>
      <c r="SFB287" s="1069"/>
      <c r="SFC287" s="1069"/>
      <c r="SFD287" s="1069"/>
      <c r="SFE287" s="1069"/>
      <c r="SFF287" s="1069"/>
      <c r="SFG287" s="1069"/>
      <c r="SFH287" s="1069"/>
      <c r="SFI287" s="1069"/>
      <c r="SFJ287" s="1069"/>
      <c r="SFK287" s="1069"/>
      <c r="SFL287" s="1069"/>
      <c r="SFM287" s="1069"/>
      <c r="SFN287" s="1069"/>
      <c r="SFO287" s="1069"/>
      <c r="SFP287" s="1069"/>
      <c r="SFQ287" s="1069"/>
      <c r="SFR287" s="1069"/>
      <c r="SFS287" s="1069"/>
      <c r="SFT287" s="1069"/>
      <c r="SFU287" s="1069"/>
      <c r="SFV287" s="1069"/>
      <c r="SFW287" s="1069"/>
      <c r="SFX287" s="1069"/>
      <c r="SFY287" s="1069"/>
      <c r="SFZ287" s="1069"/>
      <c r="SGA287" s="1069"/>
      <c r="SGB287" s="1069"/>
      <c r="SGC287" s="1069"/>
      <c r="SGD287" s="1069"/>
      <c r="SGE287" s="1069"/>
      <c r="SGF287" s="1069"/>
      <c r="SGG287" s="1069"/>
      <c r="SGH287" s="1069"/>
      <c r="SGI287" s="1069"/>
      <c r="SGJ287" s="1069"/>
      <c r="SGK287" s="1069"/>
      <c r="SGL287" s="1069"/>
      <c r="SGM287" s="1069"/>
      <c r="SGN287" s="1069"/>
      <c r="SGO287" s="1069"/>
      <c r="SGP287" s="1069"/>
      <c r="SGQ287" s="1069"/>
      <c r="SGR287" s="1069"/>
      <c r="SGS287" s="1069"/>
      <c r="SGT287" s="1069"/>
      <c r="SGU287" s="1069"/>
      <c r="SGV287" s="1069"/>
      <c r="SGW287" s="1069"/>
      <c r="SGX287" s="1069"/>
      <c r="SGY287" s="1069"/>
      <c r="SGZ287" s="1069"/>
      <c r="SHA287" s="1069"/>
      <c r="SHB287" s="1069"/>
      <c r="SHC287" s="1069"/>
      <c r="SHD287" s="1069"/>
      <c r="SHE287" s="1069"/>
      <c r="SHF287" s="1069"/>
      <c r="SHG287" s="1069"/>
      <c r="SHH287" s="1069"/>
      <c r="SHI287" s="1069"/>
      <c r="SHJ287" s="1069"/>
      <c r="SHK287" s="1069"/>
      <c r="SHL287" s="1069"/>
      <c r="SHM287" s="1069"/>
      <c r="SHN287" s="1069"/>
      <c r="SHO287" s="1069"/>
      <c r="SHP287" s="1069"/>
      <c r="SHQ287" s="1069"/>
      <c r="SHR287" s="1069"/>
      <c r="SHS287" s="1069"/>
      <c r="SHT287" s="1069"/>
      <c r="SHU287" s="1069"/>
      <c r="SHV287" s="1069"/>
      <c r="SHW287" s="1069"/>
      <c r="SHX287" s="1069"/>
      <c r="SHY287" s="1069"/>
      <c r="SHZ287" s="1069"/>
      <c r="SIA287" s="1069"/>
      <c r="SIB287" s="1069"/>
      <c r="SIC287" s="1069"/>
      <c r="SID287" s="1069"/>
      <c r="SIE287" s="1069"/>
      <c r="SIF287" s="1069"/>
      <c r="SIG287" s="1069"/>
      <c r="SIH287" s="1069"/>
      <c r="SII287" s="1069"/>
      <c r="SIJ287" s="1069"/>
      <c r="SIK287" s="1069"/>
      <c r="SIL287" s="1069"/>
      <c r="SIM287" s="1069"/>
      <c r="SIN287" s="1069"/>
      <c r="SIO287" s="1069"/>
      <c r="SIP287" s="1069"/>
      <c r="SIQ287" s="1069"/>
      <c r="SIR287" s="1069"/>
      <c r="SIS287" s="1069"/>
      <c r="SIT287" s="1069"/>
      <c r="SIU287" s="1069"/>
      <c r="SIV287" s="1069"/>
      <c r="SIW287" s="1069"/>
      <c r="SIX287" s="1069"/>
      <c r="SIY287" s="1069"/>
      <c r="SIZ287" s="1069"/>
      <c r="SJA287" s="1069"/>
      <c r="SJB287" s="1069"/>
      <c r="SJC287" s="1069"/>
      <c r="SJD287" s="1069"/>
      <c r="SJE287" s="1069"/>
      <c r="SJF287" s="1069"/>
      <c r="SJG287" s="1069"/>
      <c r="SJH287" s="1069"/>
      <c r="SJI287" s="1069"/>
      <c r="SJJ287" s="1069"/>
      <c r="SJK287" s="1069"/>
      <c r="SJL287" s="1069"/>
      <c r="SJM287" s="1069"/>
      <c r="SJN287" s="1069"/>
      <c r="SJO287" s="1069"/>
      <c r="SJP287" s="1069"/>
      <c r="SJQ287" s="1069"/>
      <c r="SJR287" s="1069"/>
      <c r="SJS287" s="1069"/>
      <c r="SJT287" s="1069"/>
      <c r="SJU287" s="1069"/>
      <c r="SJV287" s="1069"/>
      <c r="SJW287" s="1069"/>
      <c r="SJX287" s="1069"/>
      <c r="SJY287" s="1069"/>
      <c r="SJZ287" s="1069"/>
      <c r="SKA287" s="1069"/>
      <c r="SKB287" s="1069"/>
      <c r="SKC287" s="1069"/>
      <c r="SKD287" s="1069"/>
      <c r="SKE287" s="1069"/>
      <c r="SKF287" s="1069"/>
      <c r="SKG287" s="1069"/>
      <c r="SKH287" s="1069"/>
      <c r="SKI287" s="1069"/>
      <c r="SKJ287" s="1069"/>
      <c r="SKK287" s="1069"/>
      <c r="SKL287" s="1069"/>
      <c r="SKM287" s="1069"/>
      <c r="SKN287" s="1069"/>
      <c r="SKO287" s="1069"/>
      <c r="SKP287" s="1069"/>
      <c r="SKQ287" s="1069"/>
      <c r="SKR287" s="1069"/>
      <c r="SKS287" s="1069"/>
      <c r="SKT287" s="1069"/>
      <c r="SKU287" s="1069"/>
      <c r="SKV287" s="1069"/>
      <c r="SKW287" s="1069"/>
      <c r="SKX287" s="1069"/>
      <c r="SKY287" s="1069"/>
      <c r="SKZ287" s="1069"/>
      <c r="SLA287" s="1069"/>
      <c r="SLB287" s="1069"/>
      <c r="SLC287" s="1069"/>
      <c r="SLD287" s="1069"/>
      <c r="SLE287" s="1069"/>
      <c r="SLF287" s="1069"/>
      <c r="SLG287" s="1069"/>
      <c r="SLH287" s="1069"/>
      <c r="SLI287" s="1069"/>
      <c r="SLJ287" s="1069"/>
      <c r="SLK287" s="1069"/>
      <c r="SLL287" s="1069"/>
      <c r="SLM287" s="1069"/>
      <c r="SLN287" s="1069"/>
      <c r="SLO287" s="1069"/>
      <c r="SLP287" s="1069"/>
      <c r="SLQ287" s="1069"/>
      <c r="SLR287" s="1069"/>
      <c r="SLS287" s="1069"/>
      <c r="SLT287" s="1069"/>
      <c r="SLU287" s="1069"/>
      <c r="SLV287" s="1069"/>
      <c r="SLW287" s="1069"/>
      <c r="SLX287" s="1069"/>
      <c r="SLY287" s="1069"/>
      <c r="SLZ287" s="1069"/>
      <c r="SMA287" s="1069"/>
      <c r="SMB287" s="1069"/>
      <c r="SMC287" s="1069"/>
      <c r="SMD287" s="1069"/>
      <c r="SME287" s="1069"/>
      <c r="SMF287" s="1069"/>
      <c r="SMG287" s="1069"/>
      <c r="SMH287" s="1069"/>
      <c r="SMI287" s="1069"/>
      <c r="SMJ287" s="1069"/>
      <c r="SMK287" s="1069"/>
      <c r="SML287" s="1069"/>
      <c r="SMM287" s="1069"/>
      <c r="SMN287" s="1069"/>
      <c r="SMO287" s="1069"/>
      <c r="SMP287" s="1069"/>
      <c r="SMQ287" s="1069"/>
      <c r="SMR287" s="1069"/>
      <c r="SMS287" s="1069"/>
      <c r="SMT287" s="1069"/>
      <c r="SMU287" s="1069"/>
      <c r="SMV287" s="1069"/>
      <c r="SMW287" s="1069"/>
      <c r="SMX287" s="1069"/>
      <c r="SMY287" s="1069"/>
      <c r="SMZ287" s="1069"/>
      <c r="SNA287" s="1069"/>
      <c r="SNB287" s="1069"/>
      <c r="SNC287" s="1069"/>
      <c r="SND287" s="1069"/>
      <c r="SNE287" s="1069"/>
      <c r="SNF287" s="1069"/>
      <c r="SNG287" s="1069"/>
      <c r="SNH287" s="1069"/>
      <c r="SNI287" s="1069"/>
      <c r="SNJ287" s="1069"/>
      <c r="SNK287" s="1069"/>
      <c r="SNL287" s="1069"/>
      <c r="SNM287" s="1069"/>
      <c r="SNN287" s="1069"/>
      <c r="SNO287" s="1069"/>
      <c r="SNP287" s="1069"/>
      <c r="SNQ287" s="1069"/>
      <c r="SNR287" s="1069"/>
      <c r="SNS287" s="1069"/>
      <c r="SNT287" s="1069"/>
      <c r="SNU287" s="1069"/>
      <c r="SNV287" s="1069"/>
      <c r="SNW287" s="1069"/>
      <c r="SNX287" s="1069"/>
      <c r="SNY287" s="1069"/>
      <c r="SNZ287" s="1069"/>
      <c r="SOA287" s="1069"/>
      <c r="SOB287" s="1069"/>
      <c r="SOC287" s="1069"/>
      <c r="SOD287" s="1069"/>
      <c r="SOE287" s="1069"/>
      <c r="SOF287" s="1069"/>
      <c r="SOG287" s="1069"/>
      <c r="SOH287" s="1069"/>
      <c r="SOI287" s="1069"/>
      <c r="SOJ287" s="1069"/>
      <c r="SOK287" s="1069"/>
      <c r="SOL287" s="1069"/>
      <c r="SOM287" s="1069"/>
      <c r="SON287" s="1069"/>
      <c r="SOO287" s="1069"/>
      <c r="SOP287" s="1069"/>
      <c r="SOQ287" s="1069"/>
      <c r="SOR287" s="1069"/>
      <c r="SOS287" s="1069"/>
      <c r="SOT287" s="1069"/>
      <c r="SOU287" s="1069"/>
      <c r="SOV287" s="1069"/>
      <c r="SOW287" s="1069"/>
      <c r="SOX287" s="1069"/>
      <c r="SOY287" s="1069"/>
      <c r="SOZ287" s="1069"/>
      <c r="SPA287" s="1069"/>
      <c r="SPB287" s="1069"/>
      <c r="SPC287" s="1069"/>
      <c r="SPD287" s="1069"/>
      <c r="SPE287" s="1069"/>
      <c r="SPF287" s="1069"/>
      <c r="SPG287" s="1069"/>
      <c r="SPH287" s="1069"/>
      <c r="SPI287" s="1069"/>
      <c r="SPJ287" s="1069"/>
      <c r="SPK287" s="1069"/>
      <c r="SPL287" s="1069"/>
      <c r="SPM287" s="1069"/>
      <c r="SPN287" s="1069"/>
      <c r="SPO287" s="1069"/>
      <c r="SPP287" s="1069"/>
      <c r="SPQ287" s="1069"/>
      <c r="SPR287" s="1069"/>
      <c r="SPS287" s="1069"/>
      <c r="SPT287" s="1069"/>
      <c r="SPU287" s="1069"/>
      <c r="SPV287" s="1069"/>
      <c r="SPW287" s="1069"/>
      <c r="SPX287" s="1069"/>
      <c r="SPY287" s="1069"/>
      <c r="SPZ287" s="1069"/>
      <c r="SQA287" s="1069"/>
      <c r="SQB287" s="1069"/>
      <c r="SQC287" s="1069"/>
      <c r="SQD287" s="1069"/>
      <c r="SQE287" s="1069"/>
      <c r="SQF287" s="1069"/>
      <c r="SQG287" s="1069"/>
      <c r="SQH287" s="1069"/>
      <c r="SQI287" s="1069"/>
      <c r="SQJ287" s="1069"/>
      <c r="SQK287" s="1069"/>
      <c r="SQL287" s="1069"/>
      <c r="SQM287" s="1069"/>
      <c r="SQN287" s="1069"/>
      <c r="SQO287" s="1069"/>
      <c r="SQP287" s="1069"/>
      <c r="SQQ287" s="1069"/>
      <c r="SQR287" s="1069"/>
      <c r="SQS287" s="1069"/>
      <c r="SQT287" s="1069"/>
      <c r="SQU287" s="1069"/>
      <c r="SQV287" s="1069"/>
      <c r="SQW287" s="1069"/>
      <c r="SQX287" s="1069"/>
      <c r="SQY287" s="1069"/>
      <c r="SQZ287" s="1069"/>
      <c r="SRA287" s="1069"/>
      <c r="SRB287" s="1069"/>
      <c r="SRC287" s="1069"/>
      <c r="SRD287" s="1069"/>
      <c r="SRE287" s="1069"/>
      <c r="SRF287" s="1069"/>
      <c r="SRG287" s="1069"/>
      <c r="SRH287" s="1069"/>
      <c r="SRI287" s="1069"/>
      <c r="SRJ287" s="1069"/>
      <c r="SRK287" s="1069"/>
      <c r="SRL287" s="1069"/>
      <c r="SRM287" s="1069"/>
      <c r="SRN287" s="1069"/>
      <c r="SRO287" s="1069"/>
      <c r="SRP287" s="1069"/>
      <c r="SRQ287" s="1069"/>
      <c r="SRR287" s="1069"/>
      <c r="SRS287" s="1069"/>
      <c r="SRT287" s="1069"/>
      <c r="SRU287" s="1069"/>
      <c r="SRV287" s="1069"/>
      <c r="SRW287" s="1069"/>
      <c r="SRX287" s="1069"/>
      <c r="SRY287" s="1069"/>
      <c r="SRZ287" s="1069"/>
      <c r="SSA287" s="1069"/>
      <c r="SSB287" s="1069"/>
      <c r="SSC287" s="1069"/>
      <c r="SSD287" s="1069"/>
      <c r="SSE287" s="1069"/>
      <c r="SSF287" s="1069"/>
      <c r="SSG287" s="1069"/>
      <c r="SSH287" s="1069"/>
      <c r="SSI287" s="1069"/>
      <c r="SSJ287" s="1069"/>
      <c r="SSK287" s="1069"/>
      <c r="SSL287" s="1069"/>
      <c r="SSM287" s="1069"/>
      <c r="SSN287" s="1069"/>
      <c r="SSO287" s="1069"/>
      <c r="SSP287" s="1069"/>
      <c r="SSQ287" s="1069"/>
      <c r="SSR287" s="1069"/>
      <c r="SSS287" s="1069"/>
      <c r="SST287" s="1069"/>
      <c r="SSU287" s="1069"/>
      <c r="SSV287" s="1069"/>
      <c r="SSW287" s="1069"/>
      <c r="SSX287" s="1069"/>
      <c r="SSY287" s="1069"/>
      <c r="SSZ287" s="1069"/>
      <c r="STA287" s="1069"/>
      <c r="STB287" s="1069"/>
      <c r="STC287" s="1069"/>
      <c r="STD287" s="1069"/>
      <c r="STE287" s="1069"/>
      <c r="STF287" s="1069"/>
      <c r="STG287" s="1069"/>
      <c r="STH287" s="1069"/>
      <c r="STI287" s="1069"/>
      <c r="STJ287" s="1069"/>
      <c r="STK287" s="1069"/>
      <c r="STL287" s="1069"/>
      <c r="STM287" s="1069"/>
      <c r="STN287" s="1069"/>
      <c r="STO287" s="1069"/>
      <c r="STP287" s="1069"/>
      <c r="STQ287" s="1069"/>
      <c r="STR287" s="1069"/>
      <c r="STS287" s="1069"/>
      <c r="STT287" s="1069"/>
      <c r="STU287" s="1069"/>
      <c r="STV287" s="1069"/>
      <c r="STW287" s="1069"/>
      <c r="STX287" s="1069"/>
      <c r="STY287" s="1069"/>
      <c r="STZ287" s="1069"/>
      <c r="SUA287" s="1069"/>
      <c r="SUB287" s="1069"/>
      <c r="SUC287" s="1069"/>
      <c r="SUD287" s="1069"/>
      <c r="SUE287" s="1069"/>
      <c r="SUF287" s="1069"/>
      <c r="SUG287" s="1069"/>
      <c r="SUH287" s="1069"/>
      <c r="SUI287" s="1069"/>
      <c r="SUJ287" s="1069"/>
      <c r="SUK287" s="1069"/>
      <c r="SUL287" s="1069"/>
      <c r="SUM287" s="1069"/>
      <c r="SUN287" s="1069"/>
      <c r="SUO287" s="1069"/>
      <c r="SUP287" s="1069"/>
      <c r="SUQ287" s="1069"/>
      <c r="SUR287" s="1069"/>
      <c r="SUS287" s="1069"/>
      <c r="SUT287" s="1069"/>
      <c r="SUU287" s="1069"/>
      <c r="SUV287" s="1069"/>
      <c r="SUW287" s="1069"/>
      <c r="SUX287" s="1069"/>
      <c r="SUY287" s="1069"/>
      <c r="SUZ287" s="1069"/>
      <c r="SVA287" s="1069"/>
      <c r="SVB287" s="1069"/>
      <c r="SVC287" s="1069"/>
      <c r="SVD287" s="1069"/>
      <c r="SVE287" s="1069"/>
      <c r="SVF287" s="1069"/>
      <c r="SVG287" s="1069"/>
      <c r="SVH287" s="1069"/>
      <c r="SVI287" s="1069"/>
      <c r="SVJ287" s="1069"/>
      <c r="SVK287" s="1069"/>
      <c r="SVL287" s="1069"/>
      <c r="SVM287" s="1069"/>
      <c r="SVN287" s="1069"/>
      <c r="SVO287" s="1069"/>
      <c r="SVP287" s="1069"/>
      <c r="SVQ287" s="1069"/>
      <c r="SVR287" s="1069"/>
      <c r="SVS287" s="1069"/>
      <c r="SVT287" s="1069"/>
      <c r="SVU287" s="1069"/>
      <c r="SVV287" s="1069"/>
      <c r="SVW287" s="1069"/>
      <c r="SVX287" s="1069"/>
      <c r="SVY287" s="1069"/>
      <c r="SVZ287" s="1069"/>
      <c r="SWA287" s="1069"/>
      <c r="SWB287" s="1069"/>
      <c r="SWC287" s="1069"/>
      <c r="SWD287" s="1069"/>
      <c r="SWE287" s="1069"/>
      <c r="SWF287" s="1069"/>
      <c r="SWG287" s="1069"/>
      <c r="SWH287" s="1069"/>
      <c r="SWI287" s="1069"/>
      <c r="SWJ287" s="1069"/>
      <c r="SWK287" s="1069"/>
      <c r="SWL287" s="1069"/>
      <c r="SWM287" s="1069"/>
      <c r="SWN287" s="1069"/>
      <c r="SWO287" s="1069"/>
      <c r="SWP287" s="1069"/>
      <c r="SWQ287" s="1069"/>
      <c r="SWR287" s="1069"/>
      <c r="SWS287" s="1069"/>
      <c r="SWT287" s="1069"/>
      <c r="SWU287" s="1069"/>
      <c r="SWV287" s="1069"/>
      <c r="SWW287" s="1069"/>
      <c r="SWX287" s="1069"/>
      <c r="SWY287" s="1069"/>
      <c r="SWZ287" s="1069"/>
      <c r="SXA287" s="1069"/>
      <c r="SXB287" s="1069"/>
      <c r="SXC287" s="1069"/>
      <c r="SXD287" s="1069"/>
      <c r="SXE287" s="1069"/>
      <c r="SXF287" s="1069"/>
      <c r="SXG287" s="1069"/>
      <c r="SXH287" s="1069"/>
      <c r="SXI287" s="1069"/>
      <c r="SXJ287" s="1069"/>
      <c r="SXK287" s="1069"/>
      <c r="SXL287" s="1069"/>
      <c r="SXM287" s="1069"/>
      <c r="SXN287" s="1069"/>
      <c r="SXO287" s="1069"/>
      <c r="SXP287" s="1069"/>
      <c r="SXQ287" s="1069"/>
      <c r="SXR287" s="1069"/>
      <c r="SXS287" s="1069"/>
      <c r="SXT287" s="1069"/>
      <c r="SXU287" s="1069"/>
      <c r="SXV287" s="1069"/>
      <c r="SXW287" s="1069"/>
      <c r="SXX287" s="1069"/>
      <c r="SXY287" s="1069"/>
      <c r="SXZ287" s="1069"/>
      <c r="SYA287" s="1069"/>
      <c r="SYB287" s="1069"/>
      <c r="SYC287" s="1069"/>
      <c r="SYD287" s="1069"/>
      <c r="SYE287" s="1069"/>
      <c r="SYF287" s="1069"/>
      <c r="SYG287" s="1069"/>
      <c r="SYH287" s="1069"/>
      <c r="SYI287" s="1069"/>
      <c r="SYJ287" s="1069"/>
      <c r="SYK287" s="1069"/>
      <c r="SYL287" s="1069"/>
      <c r="SYM287" s="1069"/>
      <c r="SYN287" s="1069"/>
      <c r="SYO287" s="1069"/>
      <c r="SYP287" s="1069"/>
      <c r="SYQ287" s="1069"/>
      <c r="SYR287" s="1069"/>
      <c r="SYS287" s="1069"/>
      <c r="SYT287" s="1069"/>
      <c r="SYU287" s="1069"/>
      <c r="SYV287" s="1069"/>
      <c r="SYW287" s="1069"/>
      <c r="SYX287" s="1069"/>
      <c r="SYY287" s="1069"/>
      <c r="SYZ287" s="1069"/>
      <c r="SZA287" s="1069"/>
      <c r="SZB287" s="1069"/>
      <c r="SZC287" s="1069"/>
      <c r="SZD287" s="1069"/>
      <c r="SZE287" s="1069"/>
      <c r="SZF287" s="1069"/>
      <c r="SZG287" s="1069"/>
      <c r="SZH287" s="1069"/>
      <c r="SZI287" s="1069"/>
      <c r="SZJ287" s="1069"/>
      <c r="SZK287" s="1069"/>
      <c r="SZL287" s="1069"/>
      <c r="SZM287" s="1069"/>
      <c r="SZN287" s="1069"/>
      <c r="SZO287" s="1069"/>
      <c r="SZP287" s="1069"/>
      <c r="SZQ287" s="1069"/>
      <c r="SZR287" s="1069"/>
      <c r="SZS287" s="1069"/>
      <c r="SZT287" s="1069"/>
      <c r="SZU287" s="1069"/>
      <c r="SZV287" s="1069"/>
      <c r="SZW287" s="1069"/>
      <c r="SZX287" s="1069"/>
      <c r="SZY287" s="1069"/>
      <c r="SZZ287" s="1069"/>
      <c r="TAA287" s="1069"/>
      <c r="TAB287" s="1069"/>
      <c r="TAC287" s="1069"/>
      <c r="TAD287" s="1069"/>
      <c r="TAE287" s="1069"/>
      <c r="TAF287" s="1069"/>
      <c r="TAG287" s="1069"/>
      <c r="TAH287" s="1069"/>
      <c r="TAI287" s="1069"/>
      <c r="TAJ287" s="1069"/>
      <c r="TAK287" s="1069"/>
      <c r="TAL287" s="1069"/>
      <c r="TAM287" s="1069"/>
      <c r="TAN287" s="1069"/>
      <c r="TAO287" s="1069"/>
      <c r="TAP287" s="1069"/>
      <c r="TAQ287" s="1069"/>
      <c r="TAR287" s="1069"/>
      <c r="TAS287" s="1069"/>
      <c r="TAT287" s="1069"/>
      <c r="TAU287" s="1069"/>
      <c r="TAV287" s="1069"/>
      <c r="TAW287" s="1069"/>
      <c r="TAX287" s="1069"/>
      <c r="TAY287" s="1069"/>
      <c r="TAZ287" s="1069"/>
      <c r="TBA287" s="1069"/>
      <c r="TBB287" s="1069"/>
      <c r="TBC287" s="1069"/>
      <c r="TBD287" s="1069"/>
      <c r="TBE287" s="1069"/>
      <c r="TBF287" s="1069"/>
      <c r="TBG287" s="1069"/>
      <c r="TBH287" s="1069"/>
      <c r="TBI287" s="1069"/>
      <c r="TBJ287" s="1069"/>
      <c r="TBK287" s="1069"/>
      <c r="TBL287" s="1069"/>
      <c r="TBM287" s="1069"/>
      <c r="TBN287" s="1069"/>
      <c r="TBO287" s="1069"/>
      <c r="TBP287" s="1069"/>
      <c r="TBQ287" s="1069"/>
      <c r="TBR287" s="1069"/>
      <c r="TBS287" s="1069"/>
      <c r="TBT287" s="1069"/>
      <c r="TBU287" s="1069"/>
      <c r="TBV287" s="1069"/>
      <c r="TBW287" s="1069"/>
      <c r="TBX287" s="1069"/>
      <c r="TBY287" s="1069"/>
      <c r="TBZ287" s="1069"/>
      <c r="TCA287" s="1069"/>
      <c r="TCB287" s="1069"/>
      <c r="TCC287" s="1069"/>
      <c r="TCD287" s="1069"/>
      <c r="TCE287" s="1069"/>
      <c r="TCF287" s="1069"/>
      <c r="TCG287" s="1069"/>
      <c r="TCH287" s="1069"/>
      <c r="TCI287" s="1069"/>
      <c r="TCJ287" s="1069"/>
      <c r="TCK287" s="1069"/>
      <c r="TCL287" s="1069"/>
      <c r="TCM287" s="1069"/>
      <c r="TCN287" s="1069"/>
      <c r="TCO287" s="1069"/>
      <c r="TCP287" s="1069"/>
      <c r="TCQ287" s="1069"/>
      <c r="TCR287" s="1069"/>
      <c r="TCS287" s="1069"/>
      <c r="TCT287" s="1069"/>
      <c r="TCU287" s="1069"/>
      <c r="TCV287" s="1069"/>
      <c r="TCW287" s="1069"/>
      <c r="TCX287" s="1069"/>
      <c r="TCY287" s="1069"/>
      <c r="TCZ287" s="1069"/>
      <c r="TDA287" s="1069"/>
      <c r="TDB287" s="1069"/>
      <c r="TDC287" s="1069"/>
      <c r="TDD287" s="1069"/>
      <c r="TDE287" s="1069"/>
      <c r="TDF287" s="1069"/>
      <c r="TDG287" s="1069"/>
      <c r="TDH287" s="1069"/>
      <c r="TDI287" s="1069"/>
      <c r="TDJ287" s="1069"/>
      <c r="TDK287" s="1069"/>
      <c r="TDL287" s="1069"/>
      <c r="TDM287" s="1069"/>
      <c r="TDN287" s="1069"/>
      <c r="TDO287" s="1069"/>
      <c r="TDP287" s="1069"/>
      <c r="TDQ287" s="1069"/>
      <c r="TDR287" s="1069"/>
      <c r="TDS287" s="1069"/>
      <c r="TDT287" s="1069"/>
      <c r="TDU287" s="1069"/>
      <c r="TDV287" s="1069"/>
      <c r="TDW287" s="1069"/>
      <c r="TDX287" s="1069"/>
      <c r="TDY287" s="1069"/>
      <c r="TDZ287" s="1069"/>
      <c r="TEA287" s="1069"/>
      <c r="TEB287" s="1069"/>
      <c r="TEC287" s="1069"/>
      <c r="TED287" s="1069"/>
      <c r="TEE287" s="1069"/>
      <c r="TEF287" s="1069"/>
      <c r="TEG287" s="1069"/>
      <c r="TEH287" s="1069"/>
      <c r="TEI287" s="1069"/>
      <c r="TEJ287" s="1069"/>
      <c r="TEK287" s="1069"/>
      <c r="TEL287" s="1069"/>
      <c r="TEM287" s="1069"/>
      <c r="TEN287" s="1069"/>
      <c r="TEO287" s="1069"/>
      <c r="TEP287" s="1069"/>
      <c r="TEQ287" s="1069"/>
      <c r="TER287" s="1069"/>
      <c r="TES287" s="1069"/>
      <c r="TET287" s="1069"/>
      <c r="TEU287" s="1069"/>
      <c r="TEV287" s="1069"/>
      <c r="TEW287" s="1069"/>
      <c r="TEX287" s="1069"/>
      <c r="TEY287" s="1069"/>
      <c r="TEZ287" s="1069"/>
      <c r="TFA287" s="1069"/>
      <c r="TFB287" s="1069"/>
      <c r="TFC287" s="1069"/>
      <c r="TFD287" s="1069"/>
      <c r="TFE287" s="1069"/>
      <c r="TFF287" s="1069"/>
      <c r="TFG287" s="1069"/>
      <c r="TFH287" s="1069"/>
      <c r="TFI287" s="1069"/>
      <c r="TFJ287" s="1069"/>
      <c r="TFK287" s="1069"/>
      <c r="TFL287" s="1069"/>
      <c r="TFM287" s="1069"/>
      <c r="TFN287" s="1069"/>
      <c r="TFO287" s="1069"/>
      <c r="TFP287" s="1069"/>
      <c r="TFQ287" s="1069"/>
      <c r="TFR287" s="1069"/>
      <c r="TFS287" s="1069"/>
      <c r="TFT287" s="1069"/>
      <c r="TFU287" s="1069"/>
      <c r="TFV287" s="1069"/>
      <c r="TFW287" s="1069"/>
      <c r="TFX287" s="1069"/>
      <c r="TFY287" s="1069"/>
      <c r="TFZ287" s="1069"/>
      <c r="TGA287" s="1069"/>
      <c r="TGB287" s="1069"/>
      <c r="TGC287" s="1069"/>
      <c r="TGD287" s="1069"/>
      <c r="TGE287" s="1069"/>
      <c r="TGF287" s="1069"/>
      <c r="TGG287" s="1069"/>
      <c r="TGH287" s="1069"/>
      <c r="TGI287" s="1069"/>
      <c r="TGJ287" s="1069"/>
      <c r="TGK287" s="1069"/>
      <c r="TGL287" s="1069"/>
      <c r="TGM287" s="1069"/>
      <c r="TGN287" s="1069"/>
      <c r="TGO287" s="1069"/>
      <c r="TGP287" s="1069"/>
      <c r="TGQ287" s="1069"/>
      <c r="TGR287" s="1069"/>
      <c r="TGS287" s="1069"/>
      <c r="TGT287" s="1069"/>
      <c r="TGU287" s="1069"/>
      <c r="TGV287" s="1069"/>
      <c r="TGW287" s="1069"/>
      <c r="TGX287" s="1069"/>
      <c r="TGY287" s="1069"/>
      <c r="TGZ287" s="1069"/>
      <c r="THA287" s="1069"/>
      <c r="THB287" s="1069"/>
      <c r="THC287" s="1069"/>
      <c r="THD287" s="1069"/>
      <c r="THE287" s="1069"/>
      <c r="THF287" s="1069"/>
      <c r="THG287" s="1069"/>
      <c r="THH287" s="1069"/>
      <c r="THI287" s="1069"/>
      <c r="THJ287" s="1069"/>
      <c r="THK287" s="1069"/>
      <c r="THL287" s="1069"/>
      <c r="THM287" s="1069"/>
      <c r="THN287" s="1069"/>
      <c r="THO287" s="1069"/>
      <c r="THP287" s="1069"/>
      <c r="THQ287" s="1069"/>
      <c r="THR287" s="1069"/>
      <c r="THS287" s="1069"/>
      <c r="THT287" s="1069"/>
      <c r="THU287" s="1069"/>
      <c r="THV287" s="1069"/>
      <c r="THW287" s="1069"/>
      <c r="THX287" s="1069"/>
      <c r="THY287" s="1069"/>
      <c r="THZ287" s="1069"/>
      <c r="TIA287" s="1069"/>
      <c r="TIB287" s="1069"/>
      <c r="TIC287" s="1069"/>
      <c r="TID287" s="1069"/>
      <c r="TIE287" s="1069"/>
      <c r="TIF287" s="1069"/>
      <c r="TIG287" s="1069"/>
      <c r="TIH287" s="1069"/>
      <c r="TII287" s="1069"/>
      <c r="TIJ287" s="1069"/>
      <c r="TIK287" s="1069"/>
      <c r="TIL287" s="1069"/>
      <c r="TIM287" s="1069"/>
      <c r="TIN287" s="1069"/>
      <c r="TIO287" s="1069"/>
      <c r="TIP287" s="1069"/>
      <c r="TIQ287" s="1069"/>
      <c r="TIR287" s="1069"/>
      <c r="TIS287" s="1069"/>
      <c r="TIT287" s="1069"/>
      <c r="TIU287" s="1069"/>
      <c r="TIV287" s="1069"/>
      <c r="TIW287" s="1069"/>
      <c r="TIX287" s="1069"/>
      <c r="TIY287" s="1069"/>
      <c r="TIZ287" s="1069"/>
      <c r="TJA287" s="1069"/>
      <c r="TJB287" s="1069"/>
      <c r="TJC287" s="1069"/>
      <c r="TJD287" s="1069"/>
      <c r="TJE287" s="1069"/>
      <c r="TJF287" s="1069"/>
      <c r="TJG287" s="1069"/>
      <c r="TJH287" s="1069"/>
      <c r="TJI287" s="1069"/>
      <c r="TJJ287" s="1069"/>
      <c r="TJK287" s="1069"/>
      <c r="TJL287" s="1069"/>
      <c r="TJM287" s="1069"/>
      <c r="TJN287" s="1069"/>
      <c r="TJO287" s="1069"/>
      <c r="TJP287" s="1069"/>
      <c r="TJQ287" s="1069"/>
      <c r="TJR287" s="1069"/>
      <c r="TJS287" s="1069"/>
      <c r="TJT287" s="1069"/>
      <c r="TJU287" s="1069"/>
      <c r="TJV287" s="1069"/>
      <c r="TJW287" s="1069"/>
      <c r="TJX287" s="1069"/>
      <c r="TJY287" s="1069"/>
      <c r="TJZ287" s="1069"/>
      <c r="TKA287" s="1069"/>
      <c r="TKB287" s="1069"/>
      <c r="TKC287" s="1069"/>
      <c r="TKD287" s="1069"/>
      <c r="TKE287" s="1069"/>
      <c r="TKF287" s="1069"/>
      <c r="TKG287" s="1069"/>
      <c r="TKH287" s="1069"/>
      <c r="TKI287" s="1069"/>
      <c r="TKJ287" s="1069"/>
      <c r="TKK287" s="1069"/>
      <c r="TKL287" s="1069"/>
      <c r="TKM287" s="1069"/>
      <c r="TKN287" s="1069"/>
      <c r="TKO287" s="1069"/>
      <c r="TKP287" s="1069"/>
      <c r="TKQ287" s="1069"/>
      <c r="TKR287" s="1069"/>
      <c r="TKS287" s="1069"/>
      <c r="TKT287" s="1069"/>
      <c r="TKU287" s="1069"/>
      <c r="TKV287" s="1069"/>
      <c r="TKW287" s="1069"/>
      <c r="TKX287" s="1069"/>
      <c r="TKY287" s="1069"/>
      <c r="TKZ287" s="1069"/>
      <c r="TLA287" s="1069"/>
      <c r="TLB287" s="1069"/>
      <c r="TLC287" s="1069"/>
      <c r="TLD287" s="1069"/>
      <c r="TLE287" s="1069"/>
      <c r="TLF287" s="1069"/>
      <c r="TLG287" s="1069"/>
      <c r="TLH287" s="1069"/>
      <c r="TLI287" s="1069"/>
      <c r="TLJ287" s="1069"/>
      <c r="TLK287" s="1069"/>
      <c r="TLL287" s="1069"/>
      <c r="TLM287" s="1069"/>
      <c r="TLN287" s="1069"/>
      <c r="TLO287" s="1069"/>
      <c r="TLP287" s="1069"/>
      <c r="TLQ287" s="1069"/>
      <c r="TLR287" s="1069"/>
      <c r="TLS287" s="1069"/>
      <c r="TLT287" s="1069"/>
      <c r="TLU287" s="1069"/>
      <c r="TLV287" s="1069"/>
      <c r="TLW287" s="1069"/>
      <c r="TLX287" s="1069"/>
      <c r="TLY287" s="1069"/>
      <c r="TLZ287" s="1069"/>
      <c r="TMA287" s="1069"/>
      <c r="TMB287" s="1069"/>
      <c r="TMC287" s="1069"/>
      <c r="TMD287" s="1069"/>
      <c r="TME287" s="1069"/>
      <c r="TMF287" s="1069"/>
      <c r="TMG287" s="1069"/>
      <c r="TMH287" s="1069"/>
      <c r="TMI287" s="1069"/>
      <c r="TMJ287" s="1069"/>
      <c r="TMK287" s="1069"/>
      <c r="TML287" s="1069"/>
      <c r="TMM287" s="1069"/>
      <c r="TMN287" s="1069"/>
      <c r="TMO287" s="1069"/>
      <c r="TMP287" s="1069"/>
      <c r="TMQ287" s="1069"/>
      <c r="TMR287" s="1069"/>
      <c r="TMS287" s="1069"/>
      <c r="TMT287" s="1069"/>
      <c r="TMU287" s="1069"/>
      <c r="TMV287" s="1069"/>
      <c r="TMW287" s="1069"/>
      <c r="TMX287" s="1069"/>
      <c r="TMY287" s="1069"/>
      <c r="TMZ287" s="1069"/>
      <c r="TNA287" s="1069"/>
      <c r="TNB287" s="1069"/>
      <c r="TNC287" s="1069"/>
      <c r="TND287" s="1069"/>
      <c r="TNE287" s="1069"/>
      <c r="TNF287" s="1069"/>
      <c r="TNG287" s="1069"/>
      <c r="TNH287" s="1069"/>
      <c r="TNI287" s="1069"/>
      <c r="TNJ287" s="1069"/>
      <c r="TNK287" s="1069"/>
      <c r="TNL287" s="1069"/>
      <c r="TNM287" s="1069"/>
      <c r="TNN287" s="1069"/>
      <c r="TNO287" s="1069"/>
      <c r="TNP287" s="1069"/>
      <c r="TNQ287" s="1069"/>
      <c r="TNR287" s="1069"/>
      <c r="TNS287" s="1069"/>
      <c r="TNT287" s="1069"/>
      <c r="TNU287" s="1069"/>
      <c r="TNV287" s="1069"/>
      <c r="TNW287" s="1069"/>
      <c r="TNX287" s="1069"/>
      <c r="TNY287" s="1069"/>
      <c r="TNZ287" s="1069"/>
      <c r="TOA287" s="1069"/>
      <c r="TOB287" s="1069"/>
      <c r="TOC287" s="1069"/>
      <c r="TOD287" s="1069"/>
      <c r="TOE287" s="1069"/>
      <c r="TOF287" s="1069"/>
      <c r="TOG287" s="1069"/>
      <c r="TOH287" s="1069"/>
      <c r="TOI287" s="1069"/>
      <c r="TOJ287" s="1069"/>
      <c r="TOK287" s="1069"/>
      <c r="TOL287" s="1069"/>
      <c r="TOM287" s="1069"/>
      <c r="TON287" s="1069"/>
      <c r="TOO287" s="1069"/>
      <c r="TOP287" s="1069"/>
      <c r="TOQ287" s="1069"/>
      <c r="TOR287" s="1069"/>
      <c r="TOS287" s="1069"/>
      <c r="TOT287" s="1069"/>
      <c r="TOU287" s="1069"/>
      <c r="TOV287" s="1069"/>
      <c r="TOW287" s="1069"/>
      <c r="TOX287" s="1069"/>
      <c r="TOY287" s="1069"/>
      <c r="TOZ287" s="1069"/>
      <c r="TPA287" s="1069"/>
      <c r="TPB287" s="1069"/>
      <c r="TPC287" s="1069"/>
      <c r="TPD287" s="1069"/>
      <c r="TPE287" s="1069"/>
      <c r="TPF287" s="1069"/>
      <c r="TPG287" s="1069"/>
      <c r="TPH287" s="1069"/>
      <c r="TPI287" s="1069"/>
      <c r="TPJ287" s="1069"/>
      <c r="TPK287" s="1069"/>
      <c r="TPL287" s="1069"/>
      <c r="TPM287" s="1069"/>
      <c r="TPN287" s="1069"/>
      <c r="TPO287" s="1069"/>
      <c r="TPP287" s="1069"/>
      <c r="TPQ287" s="1069"/>
      <c r="TPR287" s="1069"/>
      <c r="TPS287" s="1069"/>
      <c r="TPT287" s="1069"/>
      <c r="TPU287" s="1069"/>
      <c r="TPV287" s="1069"/>
      <c r="TPW287" s="1069"/>
      <c r="TPX287" s="1069"/>
      <c r="TPY287" s="1069"/>
      <c r="TPZ287" s="1069"/>
      <c r="TQA287" s="1069"/>
      <c r="TQB287" s="1069"/>
      <c r="TQC287" s="1069"/>
      <c r="TQD287" s="1069"/>
      <c r="TQE287" s="1069"/>
      <c r="TQF287" s="1069"/>
      <c r="TQG287" s="1069"/>
      <c r="TQH287" s="1069"/>
      <c r="TQI287" s="1069"/>
      <c r="TQJ287" s="1069"/>
      <c r="TQK287" s="1069"/>
      <c r="TQL287" s="1069"/>
      <c r="TQM287" s="1069"/>
      <c r="TQN287" s="1069"/>
      <c r="TQO287" s="1069"/>
      <c r="TQP287" s="1069"/>
      <c r="TQQ287" s="1069"/>
      <c r="TQR287" s="1069"/>
      <c r="TQS287" s="1069"/>
      <c r="TQT287" s="1069"/>
      <c r="TQU287" s="1069"/>
      <c r="TQV287" s="1069"/>
      <c r="TQW287" s="1069"/>
      <c r="TQX287" s="1069"/>
      <c r="TQY287" s="1069"/>
      <c r="TQZ287" s="1069"/>
      <c r="TRA287" s="1069"/>
      <c r="TRB287" s="1069"/>
      <c r="TRC287" s="1069"/>
      <c r="TRD287" s="1069"/>
      <c r="TRE287" s="1069"/>
      <c r="TRF287" s="1069"/>
      <c r="TRG287" s="1069"/>
      <c r="TRH287" s="1069"/>
      <c r="TRI287" s="1069"/>
      <c r="TRJ287" s="1069"/>
      <c r="TRK287" s="1069"/>
      <c r="TRL287" s="1069"/>
      <c r="TRM287" s="1069"/>
      <c r="TRN287" s="1069"/>
      <c r="TRO287" s="1069"/>
      <c r="TRP287" s="1069"/>
      <c r="TRQ287" s="1069"/>
      <c r="TRR287" s="1069"/>
      <c r="TRS287" s="1069"/>
      <c r="TRT287" s="1069"/>
      <c r="TRU287" s="1069"/>
      <c r="TRV287" s="1069"/>
      <c r="TRW287" s="1069"/>
      <c r="TRX287" s="1069"/>
      <c r="TRY287" s="1069"/>
      <c r="TRZ287" s="1069"/>
      <c r="TSA287" s="1069"/>
      <c r="TSB287" s="1069"/>
      <c r="TSC287" s="1069"/>
      <c r="TSD287" s="1069"/>
      <c r="TSE287" s="1069"/>
      <c r="TSF287" s="1069"/>
      <c r="TSG287" s="1069"/>
      <c r="TSH287" s="1069"/>
      <c r="TSI287" s="1069"/>
      <c r="TSJ287" s="1069"/>
      <c r="TSK287" s="1069"/>
      <c r="TSL287" s="1069"/>
      <c r="TSM287" s="1069"/>
      <c r="TSN287" s="1069"/>
      <c r="TSO287" s="1069"/>
      <c r="TSP287" s="1069"/>
      <c r="TSQ287" s="1069"/>
      <c r="TSR287" s="1069"/>
      <c r="TSS287" s="1069"/>
      <c r="TST287" s="1069"/>
      <c r="TSU287" s="1069"/>
      <c r="TSV287" s="1069"/>
      <c r="TSW287" s="1069"/>
      <c r="TSX287" s="1069"/>
      <c r="TSY287" s="1069"/>
      <c r="TSZ287" s="1069"/>
      <c r="TTA287" s="1069"/>
      <c r="TTB287" s="1069"/>
      <c r="TTC287" s="1069"/>
      <c r="TTD287" s="1069"/>
      <c r="TTE287" s="1069"/>
      <c r="TTF287" s="1069"/>
      <c r="TTG287" s="1069"/>
      <c r="TTH287" s="1069"/>
      <c r="TTI287" s="1069"/>
      <c r="TTJ287" s="1069"/>
      <c r="TTK287" s="1069"/>
      <c r="TTL287" s="1069"/>
      <c r="TTM287" s="1069"/>
      <c r="TTN287" s="1069"/>
      <c r="TTO287" s="1069"/>
      <c r="TTP287" s="1069"/>
      <c r="TTQ287" s="1069"/>
      <c r="TTR287" s="1069"/>
      <c r="TTS287" s="1069"/>
      <c r="TTT287" s="1069"/>
      <c r="TTU287" s="1069"/>
      <c r="TTV287" s="1069"/>
      <c r="TTW287" s="1069"/>
      <c r="TTX287" s="1069"/>
      <c r="TTY287" s="1069"/>
      <c r="TTZ287" s="1069"/>
      <c r="TUA287" s="1069"/>
      <c r="TUB287" s="1069"/>
      <c r="TUC287" s="1069"/>
      <c r="TUD287" s="1069"/>
      <c r="TUE287" s="1069"/>
      <c r="TUF287" s="1069"/>
      <c r="TUG287" s="1069"/>
      <c r="TUH287" s="1069"/>
      <c r="TUI287" s="1069"/>
      <c r="TUJ287" s="1069"/>
      <c r="TUK287" s="1069"/>
      <c r="TUL287" s="1069"/>
      <c r="TUM287" s="1069"/>
      <c r="TUN287" s="1069"/>
      <c r="TUO287" s="1069"/>
      <c r="TUP287" s="1069"/>
      <c r="TUQ287" s="1069"/>
      <c r="TUR287" s="1069"/>
      <c r="TUS287" s="1069"/>
      <c r="TUT287" s="1069"/>
      <c r="TUU287" s="1069"/>
      <c r="TUV287" s="1069"/>
      <c r="TUW287" s="1069"/>
      <c r="TUX287" s="1069"/>
      <c r="TUY287" s="1069"/>
      <c r="TUZ287" s="1069"/>
      <c r="TVA287" s="1069"/>
      <c r="TVB287" s="1069"/>
      <c r="TVC287" s="1069"/>
      <c r="TVD287" s="1069"/>
      <c r="TVE287" s="1069"/>
      <c r="TVF287" s="1069"/>
      <c r="TVG287" s="1069"/>
      <c r="TVH287" s="1069"/>
      <c r="TVI287" s="1069"/>
      <c r="TVJ287" s="1069"/>
      <c r="TVK287" s="1069"/>
      <c r="TVL287" s="1069"/>
      <c r="TVM287" s="1069"/>
      <c r="TVN287" s="1069"/>
      <c r="TVO287" s="1069"/>
      <c r="TVP287" s="1069"/>
      <c r="TVQ287" s="1069"/>
      <c r="TVR287" s="1069"/>
      <c r="TVS287" s="1069"/>
      <c r="TVT287" s="1069"/>
      <c r="TVU287" s="1069"/>
      <c r="TVV287" s="1069"/>
      <c r="TVW287" s="1069"/>
      <c r="TVX287" s="1069"/>
      <c r="TVY287" s="1069"/>
      <c r="TVZ287" s="1069"/>
      <c r="TWA287" s="1069"/>
      <c r="TWB287" s="1069"/>
      <c r="TWC287" s="1069"/>
      <c r="TWD287" s="1069"/>
      <c r="TWE287" s="1069"/>
      <c r="TWF287" s="1069"/>
      <c r="TWG287" s="1069"/>
      <c r="TWH287" s="1069"/>
      <c r="TWI287" s="1069"/>
      <c r="TWJ287" s="1069"/>
      <c r="TWK287" s="1069"/>
      <c r="TWL287" s="1069"/>
      <c r="TWM287" s="1069"/>
      <c r="TWN287" s="1069"/>
      <c r="TWO287" s="1069"/>
      <c r="TWP287" s="1069"/>
      <c r="TWQ287" s="1069"/>
      <c r="TWR287" s="1069"/>
      <c r="TWS287" s="1069"/>
      <c r="TWT287" s="1069"/>
      <c r="TWU287" s="1069"/>
      <c r="TWV287" s="1069"/>
      <c r="TWW287" s="1069"/>
      <c r="TWX287" s="1069"/>
      <c r="TWY287" s="1069"/>
      <c r="TWZ287" s="1069"/>
      <c r="TXA287" s="1069"/>
      <c r="TXB287" s="1069"/>
      <c r="TXC287" s="1069"/>
      <c r="TXD287" s="1069"/>
      <c r="TXE287" s="1069"/>
      <c r="TXF287" s="1069"/>
      <c r="TXG287" s="1069"/>
      <c r="TXH287" s="1069"/>
      <c r="TXI287" s="1069"/>
      <c r="TXJ287" s="1069"/>
      <c r="TXK287" s="1069"/>
      <c r="TXL287" s="1069"/>
      <c r="TXM287" s="1069"/>
      <c r="TXN287" s="1069"/>
      <c r="TXO287" s="1069"/>
      <c r="TXP287" s="1069"/>
      <c r="TXQ287" s="1069"/>
      <c r="TXR287" s="1069"/>
      <c r="TXS287" s="1069"/>
      <c r="TXT287" s="1069"/>
      <c r="TXU287" s="1069"/>
      <c r="TXV287" s="1069"/>
      <c r="TXW287" s="1069"/>
      <c r="TXX287" s="1069"/>
      <c r="TXY287" s="1069"/>
      <c r="TXZ287" s="1069"/>
      <c r="TYA287" s="1069"/>
      <c r="TYB287" s="1069"/>
      <c r="TYC287" s="1069"/>
      <c r="TYD287" s="1069"/>
      <c r="TYE287" s="1069"/>
      <c r="TYF287" s="1069"/>
      <c r="TYG287" s="1069"/>
      <c r="TYH287" s="1069"/>
      <c r="TYI287" s="1069"/>
      <c r="TYJ287" s="1069"/>
      <c r="TYK287" s="1069"/>
      <c r="TYL287" s="1069"/>
      <c r="TYM287" s="1069"/>
      <c r="TYN287" s="1069"/>
      <c r="TYO287" s="1069"/>
      <c r="TYP287" s="1069"/>
      <c r="TYQ287" s="1069"/>
      <c r="TYR287" s="1069"/>
      <c r="TYS287" s="1069"/>
      <c r="TYT287" s="1069"/>
      <c r="TYU287" s="1069"/>
      <c r="TYV287" s="1069"/>
      <c r="TYW287" s="1069"/>
      <c r="TYX287" s="1069"/>
      <c r="TYY287" s="1069"/>
      <c r="TYZ287" s="1069"/>
      <c r="TZA287" s="1069"/>
      <c r="TZB287" s="1069"/>
      <c r="TZC287" s="1069"/>
      <c r="TZD287" s="1069"/>
      <c r="TZE287" s="1069"/>
      <c r="TZF287" s="1069"/>
      <c r="TZG287" s="1069"/>
      <c r="TZH287" s="1069"/>
      <c r="TZI287" s="1069"/>
      <c r="TZJ287" s="1069"/>
      <c r="TZK287" s="1069"/>
      <c r="TZL287" s="1069"/>
      <c r="TZM287" s="1069"/>
      <c r="TZN287" s="1069"/>
      <c r="TZO287" s="1069"/>
      <c r="TZP287" s="1069"/>
      <c r="TZQ287" s="1069"/>
      <c r="TZR287" s="1069"/>
      <c r="TZS287" s="1069"/>
      <c r="TZT287" s="1069"/>
      <c r="TZU287" s="1069"/>
      <c r="TZV287" s="1069"/>
      <c r="TZW287" s="1069"/>
      <c r="TZX287" s="1069"/>
      <c r="TZY287" s="1069"/>
      <c r="TZZ287" s="1069"/>
      <c r="UAA287" s="1069"/>
      <c r="UAB287" s="1069"/>
      <c r="UAC287" s="1069"/>
      <c r="UAD287" s="1069"/>
      <c r="UAE287" s="1069"/>
      <c r="UAF287" s="1069"/>
      <c r="UAG287" s="1069"/>
      <c r="UAH287" s="1069"/>
      <c r="UAI287" s="1069"/>
      <c r="UAJ287" s="1069"/>
      <c r="UAK287" s="1069"/>
      <c r="UAL287" s="1069"/>
      <c r="UAM287" s="1069"/>
      <c r="UAN287" s="1069"/>
      <c r="UAO287" s="1069"/>
      <c r="UAP287" s="1069"/>
      <c r="UAQ287" s="1069"/>
      <c r="UAR287" s="1069"/>
      <c r="UAS287" s="1069"/>
      <c r="UAT287" s="1069"/>
      <c r="UAU287" s="1069"/>
      <c r="UAV287" s="1069"/>
      <c r="UAW287" s="1069"/>
      <c r="UAX287" s="1069"/>
      <c r="UAY287" s="1069"/>
      <c r="UAZ287" s="1069"/>
      <c r="UBA287" s="1069"/>
      <c r="UBB287" s="1069"/>
      <c r="UBC287" s="1069"/>
      <c r="UBD287" s="1069"/>
      <c r="UBE287" s="1069"/>
      <c r="UBF287" s="1069"/>
      <c r="UBG287" s="1069"/>
      <c r="UBH287" s="1069"/>
      <c r="UBI287" s="1069"/>
      <c r="UBJ287" s="1069"/>
      <c r="UBK287" s="1069"/>
      <c r="UBL287" s="1069"/>
      <c r="UBM287" s="1069"/>
      <c r="UBN287" s="1069"/>
      <c r="UBO287" s="1069"/>
      <c r="UBP287" s="1069"/>
      <c r="UBQ287" s="1069"/>
      <c r="UBR287" s="1069"/>
      <c r="UBS287" s="1069"/>
      <c r="UBT287" s="1069"/>
      <c r="UBU287" s="1069"/>
      <c r="UBV287" s="1069"/>
      <c r="UBW287" s="1069"/>
      <c r="UBX287" s="1069"/>
      <c r="UBY287" s="1069"/>
      <c r="UBZ287" s="1069"/>
      <c r="UCA287" s="1069"/>
      <c r="UCB287" s="1069"/>
      <c r="UCC287" s="1069"/>
      <c r="UCD287" s="1069"/>
      <c r="UCE287" s="1069"/>
      <c r="UCF287" s="1069"/>
      <c r="UCG287" s="1069"/>
      <c r="UCH287" s="1069"/>
      <c r="UCI287" s="1069"/>
      <c r="UCJ287" s="1069"/>
      <c r="UCK287" s="1069"/>
      <c r="UCL287" s="1069"/>
      <c r="UCM287" s="1069"/>
      <c r="UCN287" s="1069"/>
      <c r="UCO287" s="1069"/>
      <c r="UCP287" s="1069"/>
      <c r="UCQ287" s="1069"/>
      <c r="UCR287" s="1069"/>
      <c r="UCS287" s="1069"/>
      <c r="UCT287" s="1069"/>
      <c r="UCU287" s="1069"/>
      <c r="UCV287" s="1069"/>
      <c r="UCW287" s="1069"/>
      <c r="UCX287" s="1069"/>
      <c r="UCY287" s="1069"/>
      <c r="UCZ287" s="1069"/>
      <c r="UDA287" s="1069"/>
      <c r="UDB287" s="1069"/>
      <c r="UDC287" s="1069"/>
      <c r="UDD287" s="1069"/>
      <c r="UDE287" s="1069"/>
      <c r="UDF287" s="1069"/>
      <c r="UDG287" s="1069"/>
      <c r="UDH287" s="1069"/>
      <c r="UDI287" s="1069"/>
      <c r="UDJ287" s="1069"/>
      <c r="UDK287" s="1069"/>
      <c r="UDL287" s="1069"/>
      <c r="UDM287" s="1069"/>
      <c r="UDN287" s="1069"/>
      <c r="UDO287" s="1069"/>
      <c r="UDP287" s="1069"/>
      <c r="UDQ287" s="1069"/>
      <c r="UDR287" s="1069"/>
      <c r="UDS287" s="1069"/>
      <c r="UDT287" s="1069"/>
      <c r="UDU287" s="1069"/>
      <c r="UDV287" s="1069"/>
      <c r="UDW287" s="1069"/>
      <c r="UDX287" s="1069"/>
      <c r="UDY287" s="1069"/>
      <c r="UDZ287" s="1069"/>
      <c r="UEA287" s="1069"/>
      <c r="UEB287" s="1069"/>
      <c r="UEC287" s="1069"/>
      <c r="UED287" s="1069"/>
      <c r="UEE287" s="1069"/>
      <c r="UEF287" s="1069"/>
      <c r="UEG287" s="1069"/>
      <c r="UEH287" s="1069"/>
      <c r="UEI287" s="1069"/>
      <c r="UEJ287" s="1069"/>
      <c r="UEK287" s="1069"/>
      <c r="UEL287" s="1069"/>
      <c r="UEM287" s="1069"/>
      <c r="UEN287" s="1069"/>
      <c r="UEO287" s="1069"/>
      <c r="UEP287" s="1069"/>
      <c r="UEQ287" s="1069"/>
      <c r="UER287" s="1069"/>
      <c r="UES287" s="1069"/>
      <c r="UET287" s="1069"/>
      <c r="UEU287" s="1069"/>
      <c r="UEV287" s="1069"/>
      <c r="UEW287" s="1069"/>
      <c r="UEX287" s="1069"/>
      <c r="UEY287" s="1069"/>
      <c r="UEZ287" s="1069"/>
      <c r="UFA287" s="1069"/>
      <c r="UFB287" s="1069"/>
      <c r="UFC287" s="1069"/>
      <c r="UFD287" s="1069"/>
      <c r="UFE287" s="1069"/>
      <c r="UFF287" s="1069"/>
      <c r="UFG287" s="1069"/>
      <c r="UFH287" s="1069"/>
      <c r="UFI287" s="1069"/>
      <c r="UFJ287" s="1069"/>
      <c r="UFK287" s="1069"/>
      <c r="UFL287" s="1069"/>
      <c r="UFM287" s="1069"/>
      <c r="UFN287" s="1069"/>
      <c r="UFO287" s="1069"/>
      <c r="UFP287" s="1069"/>
      <c r="UFQ287" s="1069"/>
      <c r="UFR287" s="1069"/>
      <c r="UFS287" s="1069"/>
      <c r="UFT287" s="1069"/>
      <c r="UFU287" s="1069"/>
      <c r="UFV287" s="1069"/>
      <c r="UFW287" s="1069"/>
      <c r="UFX287" s="1069"/>
      <c r="UFY287" s="1069"/>
      <c r="UFZ287" s="1069"/>
      <c r="UGA287" s="1069"/>
      <c r="UGB287" s="1069"/>
      <c r="UGC287" s="1069"/>
      <c r="UGD287" s="1069"/>
      <c r="UGE287" s="1069"/>
      <c r="UGF287" s="1069"/>
      <c r="UGG287" s="1069"/>
      <c r="UGH287" s="1069"/>
      <c r="UGI287" s="1069"/>
      <c r="UGJ287" s="1069"/>
      <c r="UGK287" s="1069"/>
      <c r="UGL287" s="1069"/>
      <c r="UGM287" s="1069"/>
      <c r="UGN287" s="1069"/>
      <c r="UGO287" s="1069"/>
      <c r="UGP287" s="1069"/>
      <c r="UGQ287" s="1069"/>
      <c r="UGR287" s="1069"/>
      <c r="UGS287" s="1069"/>
      <c r="UGT287" s="1069"/>
      <c r="UGU287" s="1069"/>
      <c r="UGV287" s="1069"/>
      <c r="UGW287" s="1069"/>
      <c r="UGX287" s="1069"/>
      <c r="UGY287" s="1069"/>
      <c r="UGZ287" s="1069"/>
      <c r="UHA287" s="1069"/>
      <c r="UHB287" s="1069"/>
      <c r="UHC287" s="1069"/>
      <c r="UHD287" s="1069"/>
      <c r="UHE287" s="1069"/>
      <c r="UHF287" s="1069"/>
      <c r="UHG287" s="1069"/>
      <c r="UHH287" s="1069"/>
      <c r="UHI287" s="1069"/>
      <c r="UHJ287" s="1069"/>
      <c r="UHK287" s="1069"/>
      <c r="UHL287" s="1069"/>
      <c r="UHM287" s="1069"/>
      <c r="UHN287" s="1069"/>
      <c r="UHO287" s="1069"/>
      <c r="UHP287" s="1069"/>
      <c r="UHQ287" s="1069"/>
      <c r="UHR287" s="1069"/>
      <c r="UHS287" s="1069"/>
      <c r="UHT287" s="1069"/>
      <c r="UHU287" s="1069"/>
      <c r="UHV287" s="1069"/>
      <c r="UHW287" s="1069"/>
      <c r="UHX287" s="1069"/>
      <c r="UHY287" s="1069"/>
      <c r="UHZ287" s="1069"/>
      <c r="UIA287" s="1069"/>
      <c r="UIB287" s="1069"/>
      <c r="UIC287" s="1069"/>
      <c r="UID287" s="1069"/>
      <c r="UIE287" s="1069"/>
      <c r="UIF287" s="1069"/>
      <c r="UIG287" s="1069"/>
      <c r="UIH287" s="1069"/>
      <c r="UII287" s="1069"/>
      <c r="UIJ287" s="1069"/>
      <c r="UIK287" s="1069"/>
      <c r="UIL287" s="1069"/>
      <c r="UIM287" s="1069"/>
      <c r="UIN287" s="1069"/>
      <c r="UIO287" s="1069"/>
      <c r="UIP287" s="1069"/>
      <c r="UIQ287" s="1069"/>
      <c r="UIR287" s="1069"/>
      <c r="UIS287" s="1069"/>
      <c r="UIT287" s="1069"/>
      <c r="UIU287" s="1069"/>
      <c r="UIV287" s="1069"/>
      <c r="UIW287" s="1069"/>
      <c r="UIX287" s="1069"/>
      <c r="UIY287" s="1069"/>
      <c r="UIZ287" s="1069"/>
      <c r="UJA287" s="1069"/>
      <c r="UJB287" s="1069"/>
      <c r="UJC287" s="1069"/>
      <c r="UJD287" s="1069"/>
      <c r="UJE287" s="1069"/>
      <c r="UJF287" s="1069"/>
      <c r="UJG287" s="1069"/>
      <c r="UJH287" s="1069"/>
      <c r="UJI287" s="1069"/>
      <c r="UJJ287" s="1069"/>
      <c r="UJK287" s="1069"/>
      <c r="UJL287" s="1069"/>
      <c r="UJM287" s="1069"/>
      <c r="UJN287" s="1069"/>
      <c r="UJO287" s="1069"/>
      <c r="UJP287" s="1069"/>
      <c r="UJQ287" s="1069"/>
      <c r="UJR287" s="1069"/>
      <c r="UJS287" s="1069"/>
      <c r="UJT287" s="1069"/>
      <c r="UJU287" s="1069"/>
      <c r="UJV287" s="1069"/>
      <c r="UJW287" s="1069"/>
      <c r="UJX287" s="1069"/>
      <c r="UJY287" s="1069"/>
      <c r="UJZ287" s="1069"/>
      <c r="UKA287" s="1069"/>
      <c r="UKB287" s="1069"/>
      <c r="UKC287" s="1069"/>
      <c r="UKD287" s="1069"/>
      <c r="UKE287" s="1069"/>
      <c r="UKF287" s="1069"/>
      <c r="UKG287" s="1069"/>
      <c r="UKH287" s="1069"/>
      <c r="UKI287" s="1069"/>
      <c r="UKJ287" s="1069"/>
      <c r="UKK287" s="1069"/>
      <c r="UKL287" s="1069"/>
      <c r="UKM287" s="1069"/>
      <c r="UKN287" s="1069"/>
      <c r="UKO287" s="1069"/>
      <c r="UKP287" s="1069"/>
      <c r="UKQ287" s="1069"/>
      <c r="UKR287" s="1069"/>
      <c r="UKS287" s="1069"/>
      <c r="UKT287" s="1069"/>
      <c r="UKU287" s="1069"/>
      <c r="UKV287" s="1069"/>
      <c r="UKW287" s="1069"/>
      <c r="UKX287" s="1069"/>
      <c r="UKY287" s="1069"/>
      <c r="UKZ287" s="1069"/>
      <c r="ULA287" s="1069"/>
      <c r="ULB287" s="1069"/>
      <c r="ULC287" s="1069"/>
      <c r="ULD287" s="1069"/>
      <c r="ULE287" s="1069"/>
      <c r="ULF287" s="1069"/>
      <c r="ULG287" s="1069"/>
      <c r="ULH287" s="1069"/>
      <c r="ULI287" s="1069"/>
      <c r="ULJ287" s="1069"/>
      <c r="ULK287" s="1069"/>
      <c r="ULL287" s="1069"/>
      <c r="ULM287" s="1069"/>
      <c r="ULN287" s="1069"/>
      <c r="ULO287" s="1069"/>
      <c r="ULP287" s="1069"/>
      <c r="ULQ287" s="1069"/>
      <c r="ULR287" s="1069"/>
      <c r="ULS287" s="1069"/>
      <c r="ULT287" s="1069"/>
      <c r="ULU287" s="1069"/>
      <c r="ULV287" s="1069"/>
      <c r="ULW287" s="1069"/>
      <c r="ULX287" s="1069"/>
      <c r="ULY287" s="1069"/>
      <c r="ULZ287" s="1069"/>
      <c r="UMA287" s="1069"/>
      <c r="UMB287" s="1069"/>
      <c r="UMC287" s="1069"/>
      <c r="UMD287" s="1069"/>
      <c r="UME287" s="1069"/>
      <c r="UMF287" s="1069"/>
      <c r="UMG287" s="1069"/>
      <c r="UMH287" s="1069"/>
      <c r="UMI287" s="1069"/>
      <c r="UMJ287" s="1069"/>
      <c r="UMK287" s="1069"/>
      <c r="UML287" s="1069"/>
      <c r="UMM287" s="1069"/>
      <c r="UMN287" s="1069"/>
      <c r="UMO287" s="1069"/>
      <c r="UMP287" s="1069"/>
      <c r="UMQ287" s="1069"/>
      <c r="UMR287" s="1069"/>
      <c r="UMS287" s="1069"/>
      <c r="UMT287" s="1069"/>
      <c r="UMU287" s="1069"/>
      <c r="UMV287" s="1069"/>
      <c r="UMW287" s="1069"/>
      <c r="UMX287" s="1069"/>
      <c r="UMY287" s="1069"/>
      <c r="UMZ287" s="1069"/>
      <c r="UNA287" s="1069"/>
      <c r="UNB287" s="1069"/>
      <c r="UNC287" s="1069"/>
      <c r="UND287" s="1069"/>
      <c r="UNE287" s="1069"/>
      <c r="UNF287" s="1069"/>
      <c r="UNG287" s="1069"/>
      <c r="UNH287" s="1069"/>
      <c r="UNI287" s="1069"/>
      <c r="UNJ287" s="1069"/>
      <c r="UNK287" s="1069"/>
      <c r="UNL287" s="1069"/>
      <c r="UNM287" s="1069"/>
      <c r="UNN287" s="1069"/>
      <c r="UNO287" s="1069"/>
      <c r="UNP287" s="1069"/>
      <c r="UNQ287" s="1069"/>
      <c r="UNR287" s="1069"/>
      <c r="UNS287" s="1069"/>
      <c r="UNT287" s="1069"/>
      <c r="UNU287" s="1069"/>
      <c r="UNV287" s="1069"/>
      <c r="UNW287" s="1069"/>
      <c r="UNX287" s="1069"/>
      <c r="UNY287" s="1069"/>
      <c r="UNZ287" s="1069"/>
      <c r="UOA287" s="1069"/>
      <c r="UOB287" s="1069"/>
      <c r="UOC287" s="1069"/>
      <c r="UOD287" s="1069"/>
      <c r="UOE287" s="1069"/>
      <c r="UOF287" s="1069"/>
      <c r="UOG287" s="1069"/>
      <c r="UOH287" s="1069"/>
      <c r="UOI287" s="1069"/>
      <c r="UOJ287" s="1069"/>
      <c r="UOK287" s="1069"/>
      <c r="UOL287" s="1069"/>
      <c r="UOM287" s="1069"/>
      <c r="UON287" s="1069"/>
      <c r="UOO287" s="1069"/>
      <c r="UOP287" s="1069"/>
      <c r="UOQ287" s="1069"/>
      <c r="UOR287" s="1069"/>
      <c r="UOS287" s="1069"/>
      <c r="UOT287" s="1069"/>
      <c r="UOU287" s="1069"/>
      <c r="UOV287" s="1069"/>
      <c r="UOW287" s="1069"/>
      <c r="UOX287" s="1069"/>
      <c r="UOY287" s="1069"/>
      <c r="UOZ287" s="1069"/>
      <c r="UPA287" s="1069"/>
      <c r="UPB287" s="1069"/>
      <c r="UPC287" s="1069"/>
      <c r="UPD287" s="1069"/>
      <c r="UPE287" s="1069"/>
      <c r="UPF287" s="1069"/>
      <c r="UPG287" s="1069"/>
      <c r="UPH287" s="1069"/>
      <c r="UPI287" s="1069"/>
      <c r="UPJ287" s="1069"/>
      <c r="UPK287" s="1069"/>
      <c r="UPL287" s="1069"/>
      <c r="UPM287" s="1069"/>
      <c r="UPN287" s="1069"/>
      <c r="UPO287" s="1069"/>
      <c r="UPP287" s="1069"/>
      <c r="UPQ287" s="1069"/>
      <c r="UPR287" s="1069"/>
      <c r="UPS287" s="1069"/>
      <c r="UPT287" s="1069"/>
      <c r="UPU287" s="1069"/>
      <c r="UPV287" s="1069"/>
      <c r="UPW287" s="1069"/>
      <c r="UPX287" s="1069"/>
      <c r="UPY287" s="1069"/>
      <c r="UPZ287" s="1069"/>
      <c r="UQA287" s="1069"/>
      <c r="UQB287" s="1069"/>
      <c r="UQC287" s="1069"/>
      <c r="UQD287" s="1069"/>
      <c r="UQE287" s="1069"/>
      <c r="UQF287" s="1069"/>
      <c r="UQG287" s="1069"/>
      <c r="UQH287" s="1069"/>
      <c r="UQI287" s="1069"/>
      <c r="UQJ287" s="1069"/>
      <c r="UQK287" s="1069"/>
      <c r="UQL287" s="1069"/>
      <c r="UQM287" s="1069"/>
      <c r="UQN287" s="1069"/>
      <c r="UQO287" s="1069"/>
      <c r="UQP287" s="1069"/>
      <c r="UQQ287" s="1069"/>
      <c r="UQR287" s="1069"/>
      <c r="UQS287" s="1069"/>
      <c r="UQT287" s="1069"/>
      <c r="UQU287" s="1069"/>
      <c r="UQV287" s="1069"/>
      <c r="UQW287" s="1069"/>
      <c r="UQX287" s="1069"/>
      <c r="UQY287" s="1069"/>
      <c r="UQZ287" s="1069"/>
      <c r="URA287" s="1069"/>
      <c r="URB287" s="1069"/>
      <c r="URC287" s="1069"/>
      <c r="URD287" s="1069"/>
      <c r="URE287" s="1069"/>
      <c r="URF287" s="1069"/>
      <c r="URG287" s="1069"/>
      <c r="URH287" s="1069"/>
      <c r="URI287" s="1069"/>
      <c r="URJ287" s="1069"/>
      <c r="URK287" s="1069"/>
      <c r="URL287" s="1069"/>
      <c r="URM287" s="1069"/>
      <c r="URN287" s="1069"/>
      <c r="URO287" s="1069"/>
      <c r="URP287" s="1069"/>
      <c r="URQ287" s="1069"/>
      <c r="URR287" s="1069"/>
      <c r="URS287" s="1069"/>
      <c r="URT287" s="1069"/>
      <c r="URU287" s="1069"/>
      <c r="URV287" s="1069"/>
      <c r="URW287" s="1069"/>
      <c r="URX287" s="1069"/>
      <c r="URY287" s="1069"/>
      <c r="URZ287" s="1069"/>
      <c r="USA287" s="1069"/>
      <c r="USB287" s="1069"/>
      <c r="USC287" s="1069"/>
      <c r="USD287" s="1069"/>
      <c r="USE287" s="1069"/>
      <c r="USF287" s="1069"/>
      <c r="USG287" s="1069"/>
      <c r="USH287" s="1069"/>
      <c r="USI287" s="1069"/>
      <c r="USJ287" s="1069"/>
      <c r="USK287" s="1069"/>
      <c r="USL287" s="1069"/>
      <c r="USM287" s="1069"/>
      <c r="USN287" s="1069"/>
      <c r="USO287" s="1069"/>
      <c r="USP287" s="1069"/>
      <c r="USQ287" s="1069"/>
      <c r="USR287" s="1069"/>
      <c r="USS287" s="1069"/>
      <c r="UST287" s="1069"/>
      <c r="USU287" s="1069"/>
      <c r="USV287" s="1069"/>
      <c r="USW287" s="1069"/>
      <c r="USX287" s="1069"/>
      <c r="USY287" s="1069"/>
      <c r="USZ287" s="1069"/>
      <c r="UTA287" s="1069"/>
      <c r="UTB287" s="1069"/>
      <c r="UTC287" s="1069"/>
      <c r="UTD287" s="1069"/>
      <c r="UTE287" s="1069"/>
      <c r="UTF287" s="1069"/>
      <c r="UTG287" s="1069"/>
      <c r="UTH287" s="1069"/>
      <c r="UTI287" s="1069"/>
      <c r="UTJ287" s="1069"/>
      <c r="UTK287" s="1069"/>
      <c r="UTL287" s="1069"/>
      <c r="UTM287" s="1069"/>
      <c r="UTN287" s="1069"/>
      <c r="UTO287" s="1069"/>
      <c r="UTP287" s="1069"/>
      <c r="UTQ287" s="1069"/>
      <c r="UTR287" s="1069"/>
      <c r="UTS287" s="1069"/>
      <c r="UTT287" s="1069"/>
      <c r="UTU287" s="1069"/>
      <c r="UTV287" s="1069"/>
      <c r="UTW287" s="1069"/>
      <c r="UTX287" s="1069"/>
      <c r="UTY287" s="1069"/>
      <c r="UTZ287" s="1069"/>
      <c r="UUA287" s="1069"/>
      <c r="UUB287" s="1069"/>
      <c r="UUC287" s="1069"/>
      <c r="UUD287" s="1069"/>
      <c r="UUE287" s="1069"/>
      <c r="UUF287" s="1069"/>
      <c r="UUG287" s="1069"/>
      <c r="UUH287" s="1069"/>
      <c r="UUI287" s="1069"/>
      <c r="UUJ287" s="1069"/>
      <c r="UUK287" s="1069"/>
      <c r="UUL287" s="1069"/>
      <c r="UUM287" s="1069"/>
      <c r="UUN287" s="1069"/>
      <c r="UUO287" s="1069"/>
      <c r="UUP287" s="1069"/>
      <c r="UUQ287" s="1069"/>
      <c r="UUR287" s="1069"/>
      <c r="UUS287" s="1069"/>
      <c r="UUT287" s="1069"/>
      <c r="UUU287" s="1069"/>
      <c r="UUV287" s="1069"/>
      <c r="UUW287" s="1069"/>
      <c r="UUX287" s="1069"/>
      <c r="UUY287" s="1069"/>
      <c r="UUZ287" s="1069"/>
      <c r="UVA287" s="1069"/>
      <c r="UVB287" s="1069"/>
      <c r="UVC287" s="1069"/>
      <c r="UVD287" s="1069"/>
      <c r="UVE287" s="1069"/>
      <c r="UVF287" s="1069"/>
      <c r="UVG287" s="1069"/>
      <c r="UVH287" s="1069"/>
      <c r="UVI287" s="1069"/>
      <c r="UVJ287" s="1069"/>
      <c r="UVK287" s="1069"/>
      <c r="UVL287" s="1069"/>
      <c r="UVM287" s="1069"/>
      <c r="UVN287" s="1069"/>
      <c r="UVO287" s="1069"/>
      <c r="UVP287" s="1069"/>
      <c r="UVQ287" s="1069"/>
      <c r="UVR287" s="1069"/>
      <c r="UVS287" s="1069"/>
      <c r="UVT287" s="1069"/>
      <c r="UVU287" s="1069"/>
      <c r="UVV287" s="1069"/>
      <c r="UVW287" s="1069"/>
      <c r="UVX287" s="1069"/>
      <c r="UVY287" s="1069"/>
      <c r="UVZ287" s="1069"/>
      <c r="UWA287" s="1069"/>
      <c r="UWB287" s="1069"/>
      <c r="UWC287" s="1069"/>
      <c r="UWD287" s="1069"/>
      <c r="UWE287" s="1069"/>
      <c r="UWF287" s="1069"/>
      <c r="UWG287" s="1069"/>
      <c r="UWH287" s="1069"/>
      <c r="UWI287" s="1069"/>
      <c r="UWJ287" s="1069"/>
      <c r="UWK287" s="1069"/>
      <c r="UWL287" s="1069"/>
      <c r="UWM287" s="1069"/>
      <c r="UWN287" s="1069"/>
      <c r="UWO287" s="1069"/>
      <c r="UWP287" s="1069"/>
      <c r="UWQ287" s="1069"/>
      <c r="UWR287" s="1069"/>
      <c r="UWS287" s="1069"/>
      <c r="UWT287" s="1069"/>
      <c r="UWU287" s="1069"/>
      <c r="UWV287" s="1069"/>
      <c r="UWW287" s="1069"/>
      <c r="UWX287" s="1069"/>
      <c r="UWY287" s="1069"/>
      <c r="UWZ287" s="1069"/>
      <c r="UXA287" s="1069"/>
      <c r="UXB287" s="1069"/>
      <c r="UXC287" s="1069"/>
      <c r="UXD287" s="1069"/>
      <c r="UXE287" s="1069"/>
      <c r="UXF287" s="1069"/>
      <c r="UXG287" s="1069"/>
      <c r="UXH287" s="1069"/>
      <c r="UXI287" s="1069"/>
      <c r="UXJ287" s="1069"/>
      <c r="UXK287" s="1069"/>
      <c r="UXL287" s="1069"/>
      <c r="UXM287" s="1069"/>
      <c r="UXN287" s="1069"/>
      <c r="UXO287" s="1069"/>
      <c r="UXP287" s="1069"/>
      <c r="UXQ287" s="1069"/>
      <c r="UXR287" s="1069"/>
      <c r="UXS287" s="1069"/>
      <c r="UXT287" s="1069"/>
      <c r="UXU287" s="1069"/>
      <c r="UXV287" s="1069"/>
      <c r="UXW287" s="1069"/>
      <c r="UXX287" s="1069"/>
      <c r="UXY287" s="1069"/>
      <c r="UXZ287" s="1069"/>
      <c r="UYA287" s="1069"/>
      <c r="UYB287" s="1069"/>
      <c r="UYC287" s="1069"/>
      <c r="UYD287" s="1069"/>
      <c r="UYE287" s="1069"/>
      <c r="UYF287" s="1069"/>
      <c r="UYG287" s="1069"/>
      <c r="UYH287" s="1069"/>
      <c r="UYI287" s="1069"/>
      <c r="UYJ287" s="1069"/>
      <c r="UYK287" s="1069"/>
      <c r="UYL287" s="1069"/>
      <c r="UYM287" s="1069"/>
      <c r="UYN287" s="1069"/>
      <c r="UYO287" s="1069"/>
      <c r="UYP287" s="1069"/>
      <c r="UYQ287" s="1069"/>
      <c r="UYR287" s="1069"/>
      <c r="UYS287" s="1069"/>
      <c r="UYT287" s="1069"/>
      <c r="UYU287" s="1069"/>
      <c r="UYV287" s="1069"/>
      <c r="UYW287" s="1069"/>
      <c r="UYX287" s="1069"/>
      <c r="UYY287" s="1069"/>
      <c r="UYZ287" s="1069"/>
      <c r="UZA287" s="1069"/>
      <c r="UZB287" s="1069"/>
      <c r="UZC287" s="1069"/>
      <c r="UZD287" s="1069"/>
      <c r="UZE287" s="1069"/>
      <c r="UZF287" s="1069"/>
      <c r="UZG287" s="1069"/>
      <c r="UZH287" s="1069"/>
      <c r="UZI287" s="1069"/>
      <c r="UZJ287" s="1069"/>
      <c r="UZK287" s="1069"/>
      <c r="UZL287" s="1069"/>
      <c r="UZM287" s="1069"/>
      <c r="UZN287" s="1069"/>
      <c r="UZO287" s="1069"/>
      <c r="UZP287" s="1069"/>
      <c r="UZQ287" s="1069"/>
      <c r="UZR287" s="1069"/>
      <c r="UZS287" s="1069"/>
      <c r="UZT287" s="1069"/>
      <c r="UZU287" s="1069"/>
      <c r="UZV287" s="1069"/>
      <c r="UZW287" s="1069"/>
      <c r="UZX287" s="1069"/>
      <c r="UZY287" s="1069"/>
      <c r="UZZ287" s="1069"/>
      <c r="VAA287" s="1069"/>
      <c r="VAB287" s="1069"/>
      <c r="VAC287" s="1069"/>
      <c r="VAD287" s="1069"/>
      <c r="VAE287" s="1069"/>
      <c r="VAF287" s="1069"/>
      <c r="VAG287" s="1069"/>
      <c r="VAH287" s="1069"/>
      <c r="VAI287" s="1069"/>
      <c r="VAJ287" s="1069"/>
      <c r="VAK287" s="1069"/>
      <c r="VAL287" s="1069"/>
      <c r="VAM287" s="1069"/>
      <c r="VAN287" s="1069"/>
      <c r="VAO287" s="1069"/>
      <c r="VAP287" s="1069"/>
      <c r="VAQ287" s="1069"/>
      <c r="VAR287" s="1069"/>
      <c r="VAS287" s="1069"/>
      <c r="VAT287" s="1069"/>
      <c r="VAU287" s="1069"/>
      <c r="VAV287" s="1069"/>
      <c r="VAW287" s="1069"/>
      <c r="VAX287" s="1069"/>
      <c r="VAY287" s="1069"/>
      <c r="VAZ287" s="1069"/>
      <c r="VBA287" s="1069"/>
      <c r="VBB287" s="1069"/>
      <c r="VBC287" s="1069"/>
      <c r="VBD287" s="1069"/>
      <c r="VBE287" s="1069"/>
      <c r="VBF287" s="1069"/>
      <c r="VBG287" s="1069"/>
      <c r="VBH287" s="1069"/>
      <c r="VBI287" s="1069"/>
      <c r="VBJ287" s="1069"/>
      <c r="VBK287" s="1069"/>
      <c r="VBL287" s="1069"/>
      <c r="VBM287" s="1069"/>
      <c r="VBN287" s="1069"/>
      <c r="VBO287" s="1069"/>
      <c r="VBP287" s="1069"/>
      <c r="VBQ287" s="1069"/>
      <c r="VBR287" s="1069"/>
      <c r="VBS287" s="1069"/>
      <c r="VBT287" s="1069"/>
      <c r="VBU287" s="1069"/>
      <c r="VBV287" s="1069"/>
      <c r="VBW287" s="1069"/>
      <c r="VBX287" s="1069"/>
      <c r="VBY287" s="1069"/>
      <c r="VBZ287" s="1069"/>
      <c r="VCA287" s="1069"/>
      <c r="VCB287" s="1069"/>
      <c r="VCC287" s="1069"/>
      <c r="VCD287" s="1069"/>
      <c r="VCE287" s="1069"/>
      <c r="VCF287" s="1069"/>
      <c r="VCG287" s="1069"/>
      <c r="VCH287" s="1069"/>
      <c r="VCI287" s="1069"/>
      <c r="VCJ287" s="1069"/>
      <c r="VCK287" s="1069"/>
      <c r="VCL287" s="1069"/>
      <c r="VCM287" s="1069"/>
      <c r="VCN287" s="1069"/>
      <c r="VCO287" s="1069"/>
      <c r="VCP287" s="1069"/>
      <c r="VCQ287" s="1069"/>
      <c r="VCR287" s="1069"/>
      <c r="VCS287" s="1069"/>
      <c r="VCT287" s="1069"/>
      <c r="VCU287" s="1069"/>
      <c r="VCV287" s="1069"/>
      <c r="VCW287" s="1069"/>
      <c r="VCX287" s="1069"/>
      <c r="VCY287" s="1069"/>
      <c r="VCZ287" s="1069"/>
      <c r="VDA287" s="1069"/>
      <c r="VDB287" s="1069"/>
      <c r="VDC287" s="1069"/>
      <c r="VDD287" s="1069"/>
      <c r="VDE287" s="1069"/>
      <c r="VDF287" s="1069"/>
      <c r="VDG287" s="1069"/>
      <c r="VDH287" s="1069"/>
      <c r="VDI287" s="1069"/>
      <c r="VDJ287" s="1069"/>
      <c r="VDK287" s="1069"/>
      <c r="VDL287" s="1069"/>
      <c r="VDM287" s="1069"/>
      <c r="VDN287" s="1069"/>
      <c r="VDO287" s="1069"/>
      <c r="VDP287" s="1069"/>
      <c r="VDQ287" s="1069"/>
      <c r="VDR287" s="1069"/>
      <c r="VDS287" s="1069"/>
      <c r="VDT287" s="1069"/>
      <c r="VDU287" s="1069"/>
      <c r="VDV287" s="1069"/>
      <c r="VDW287" s="1069"/>
      <c r="VDX287" s="1069"/>
      <c r="VDY287" s="1069"/>
      <c r="VDZ287" s="1069"/>
      <c r="VEA287" s="1069"/>
      <c r="VEB287" s="1069"/>
      <c r="VEC287" s="1069"/>
      <c r="VED287" s="1069"/>
      <c r="VEE287" s="1069"/>
      <c r="VEF287" s="1069"/>
      <c r="VEG287" s="1069"/>
      <c r="VEH287" s="1069"/>
      <c r="VEI287" s="1069"/>
      <c r="VEJ287" s="1069"/>
      <c r="VEK287" s="1069"/>
      <c r="VEL287" s="1069"/>
      <c r="VEM287" s="1069"/>
      <c r="VEN287" s="1069"/>
      <c r="VEO287" s="1069"/>
      <c r="VEP287" s="1069"/>
      <c r="VEQ287" s="1069"/>
      <c r="VER287" s="1069"/>
      <c r="VES287" s="1069"/>
      <c r="VET287" s="1069"/>
      <c r="VEU287" s="1069"/>
      <c r="VEV287" s="1069"/>
      <c r="VEW287" s="1069"/>
      <c r="VEX287" s="1069"/>
      <c r="VEY287" s="1069"/>
      <c r="VEZ287" s="1069"/>
      <c r="VFA287" s="1069"/>
      <c r="VFB287" s="1069"/>
      <c r="VFC287" s="1069"/>
      <c r="VFD287" s="1069"/>
      <c r="VFE287" s="1069"/>
      <c r="VFF287" s="1069"/>
      <c r="VFG287" s="1069"/>
      <c r="VFH287" s="1069"/>
      <c r="VFI287" s="1069"/>
      <c r="VFJ287" s="1069"/>
      <c r="VFK287" s="1069"/>
      <c r="VFL287" s="1069"/>
      <c r="VFM287" s="1069"/>
      <c r="VFN287" s="1069"/>
      <c r="VFO287" s="1069"/>
      <c r="VFP287" s="1069"/>
      <c r="VFQ287" s="1069"/>
      <c r="VFR287" s="1069"/>
      <c r="VFS287" s="1069"/>
      <c r="VFT287" s="1069"/>
      <c r="VFU287" s="1069"/>
      <c r="VFV287" s="1069"/>
      <c r="VFW287" s="1069"/>
      <c r="VFX287" s="1069"/>
      <c r="VFY287" s="1069"/>
      <c r="VFZ287" s="1069"/>
      <c r="VGA287" s="1069"/>
      <c r="VGB287" s="1069"/>
      <c r="VGC287" s="1069"/>
      <c r="VGD287" s="1069"/>
      <c r="VGE287" s="1069"/>
      <c r="VGF287" s="1069"/>
      <c r="VGG287" s="1069"/>
      <c r="VGH287" s="1069"/>
      <c r="VGI287" s="1069"/>
      <c r="VGJ287" s="1069"/>
      <c r="VGK287" s="1069"/>
      <c r="VGL287" s="1069"/>
      <c r="VGM287" s="1069"/>
      <c r="VGN287" s="1069"/>
      <c r="VGO287" s="1069"/>
      <c r="VGP287" s="1069"/>
      <c r="VGQ287" s="1069"/>
      <c r="VGR287" s="1069"/>
      <c r="VGS287" s="1069"/>
      <c r="VGT287" s="1069"/>
      <c r="VGU287" s="1069"/>
      <c r="VGV287" s="1069"/>
      <c r="VGW287" s="1069"/>
      <c r="VGX287" s="1069"/>
      <c r="VGY287" s="1069"/>
      <c r="VGZ287" s="1069"/>
      <c r="VHA287" s="1069"/>
      <c r="VHB287" s="1069"/>
      <c r="VHC287" s="1069"/>
      <c r="VHD287" s="1069"/>
      <c r="VHE287" s="1069"/>
      <c r="VHF287" s="1069"/>
      <c r="VHG287" s="1069"/>
      <c r="VHH287" s="1069"/>
      <c r="VHI287" s="1069"/>
      <c r="VHJ287" s="1069"/>
      <c r="VHK287" s="1069"/>
      <c r="VHL287" s="1069"/>
      <c r="VHM287" s="1069"/>
      <c r="VHN287" s="1069"/>
      <c r="VHO287" s="1069"/>
      <c r="VHP287" s="1069"/>
      <c r="VHQ287" s="1069"/>
      <c r="VHR287" s="1069"/>
      <c r="VHS287" s="1069"/>
      <c r="VHT287" s="1069"/>
      <c r="VHU287" s="1069"/>
      <c r="VHV287" s="1069"/>
      <c r="VHW287" s="1069"/>
      <c r="VHX287" s="1069"/>
      <c r="VHY287" s="1069"/>
      <c r="VHZ287" s="1069"/>
      <c r="VIA287" s="1069"/>
      <c r="VIB287" s="1069"/>
      <c r="VIC287" s="1069"/>
      <c r="VID287" s="1069"/>
      <c r="VIE287" s="1069"/>
      <c r="VIF287" s="1069"/>
      <c r="VIG287" s="1069"/>
      <c r="VIH287" s="1069"/>
      <c r="VII287" s="1069"/>
      <c r="VIJ287" s="1069"/>
      <c r="VIK287" s="1069"/>
      <c r="VIL287" s="1069"/>
      <c r="VIM287" s="1069"/>
      <c r="VIN287" s="1069"/>
      <c r="VIO287" s="1069"/>
      <c r="VIP287" s="1069"/>
      <c r="VIQ287" s="1069"/>
      <c r="VIR287" s="1069"/>
      <c r="VIS287" s="1069"/>
      <c r="VIT287" s="1069"/>
      <c r="VIU287" s="1069"/>
      <c r="VIV287" s="1069"/>
      <c r="VIW287" s="1069"/>
      <c r="VIX287" s="1069"/>
      <c r="VIY287" s="1069"/>
      <c r="VIZ287" s="1069"/>
      <c r="VJA287" s="1069"/>
      <c r="VJB287" s="1069"/>
      <c r="VJC287" s="1069"/>
      <c r="VJD287" s="1069"/>
      <c r="VJE287" s="1069"/>
      <c r="VJF287" s="1069"/>
      <c r="VJG287" s="1069"/>
      <c r="VJH287" s="1069"/>
      <c r="VJI287" s="1069"/>
      <c r="VJJ287" s="1069"/>
      <c r="VJK287" s="1069"/>
      <c r="VJL287" s="1069"/>
      <c r="VJM287" s="1069"/>
      <c r="VJN287" s="1069"/>
      <c r="VJO287" s="1069"/>
      <c r="VJP287" s="1069"/>
      <c r="VJQ287" s="1069"/>
      <c r="VJR287" s="1069"/>
      <c r="VJS287" s="1069"/>
      <c r="VJT287" s="1069"/>
      <c r="VJU287" s="1069"/>
      <c r="VJV287" s="1069"/>
      <c r="VJW287" s="1069"/>
      <c r="VJX287" s="1069"/>
      <c r="VJY287" s="1069"/>
      <c r="VJZ287" s="1069"/>
      <c r="VKA287" s="1069"/>
      <c r="VKB287" s="1069"/>
      <c r="VKC287" s="1069"/>
      <c r="VKD287" s="1069"/>
      <c r="VKE287" s="1069"/>
      <c r="VKF287" s="1069"/>
      <c r="VKG287" s="1069"/>
      <c r="VKH287" s="1069"/>
      <c r="VKI287" s="1069"/>
      <c r="VKJ287" s="1069"/>
      <c r="VKK287" s="1069"/>
      <c r="VKL287" s="1069"/>
      <c r="VKM287" s="1069"/>
      <c r="VKN287" s="1069"/>
      <c r="VKO287" s="1069"/>
      <c r="VKP287" s="1069"/>
      <c r="VKQ287" s="1069"/>
      <c r="VKR287" s="1069"/>
      <c r="VKS287" s="1069"/>
      <c r="VKT287" s="1069"/>
      <c r="VKU287" s="1069"/>
      <c r="VKV287" s="1069"/>
      <c r="VKW287" s="1069"/>
      <c r="VKX287" s="1069"/>
      <c r="VKY287" s="1069"/>
      <c r="VKZ287" s="1069"/>
      <c r="VLA287" s="1069"/>
      <c r="VLB287" s="1069"/>
      <c r="VLC287" s="1069"/>
      <c r="VLD287" s="1069"/>
      <c r="VLE287" s="1069"/>
      <c r="VLF287" s="1069"/>
      <c r="VLG287" s="1069"/>
      <c r="VLH287" s="1069"/>
      <c r="VLI287" s="1069"/>
      <c r="VLJ287" s="1069"/>
      <c r="VLK287" s="1069"/>
      <c r="VLL287" s="1069"/>
      <c r="VLM287" s="1069"/>
      <c r="VLN287" s="1069"/>
      <c r="VLO287" s="1069"/>
      <c r="VLP287" s="1069"/>
      <c r="VLQ287" s="1069"/>
      <c r="VLR287" s="1069"/>
      <c r="VLS287" s="1069"/>
      <c r="VLT287" s="1069"/>
      <c r="VLU287" s="1069"/>
      <c r="VLV287" s="1069"/>
      <c r="VLW287" s="1069"/>
      <c r="VLX287" s="1069"/>
      <c r="VLY287" s="1069"/>
      <c r="VLZ287" s="1069"/>
      <c r="VMA287" s="1069"/>
      <c r="VMB287" s="1069"/>
      <c r="VMC287" s="1069"/>
      <c r="VMD287" s="1069"/>
      <c r="VME287" s="1069"/>
      <c r="VMF287" s="1069"/>
      <c r="VMG287" s="1069"/>
      <c r="VMH287" s="1069"/>
      <c r="VMI287" s="1069"/>
      <c r="VMJ287" s="1069"/>
      <c r="VMK287" s="1069"/>
      <c r="VML287" s="1069"/>
      <c r="VMM287" s="1069"/>
      <c r="VMN287" s="1069"/>
      <c r="VMO287" s="1069"/>
      <c r="VMP287" s="1069"/>
      <c r="VMQ287" s="1069"/>
      <c r="VMR287" s="1069"/>
      <c r="VMS287" s="1069"/>
      <c r="VMT287" s="1069"/>
      <c r="VMU287" s="1069"/>
      <c r="VMV287" s="1069"/>
      <c r="VMW287" s="1069"/>
      <c r="VMX287" s="1069"/>
      <c r="VMY287" s="1069"/>
      <c r="VMZ287" s="1069"/>
      <c r="VNA287" s="1069"/>
      <c r="VNB287" s="1069"/>
      <c r="VNC287" s="1069"/>
      <c r="VND287" s="1069"/>
      <c r="VNE287" s="1069"/>
      <c r="VNF287" s="1069"/>
      <c r="VNG287" s="1069"/>
      <c r="VNH287" s="1069"/>
      <c r="VNI287" s="1069"/>
      <c r="VNJ287" s="1069"/>
      <c r="VNK287" s="1069"/>
      <c r="VNL287" s="1069"/>
      <c r="VNM287" s="1069"/>
      <c r="VNN287" s="1069"/>
      <c r="VNO287" s="1069"/>
      <c r="VNP287" s="1069"/>
      <c r="VNQ287" s="1069"/>
      <c r="VNR287" s="1069"/>
      <c r="VNS287" s="1069"/>
      <c r="VNT287" s="1069"/>
      <c r="VNU287" s="1069"/>
      <c r="VNV287" s="1069"/>
      <c r="VNW287" s="1069"/>
      <c r="VNX287" s="1069"/>
      <c r="VNY287" s="1069"/>
      <c r="VNZ287" s="1069"/>
      <c r="VOA287" s="1069"/>
      <c r="VOB287" s="1069"/>
      <c r="VOC287" s="1069"/>
      <c r="VOD287" s="1069"/>
      <c r="VOE287" s="1069"/>
      <c r="VOF287" s="1069"/>
      <c r="VOG287" s="1069"/>
      <c r="VOH287" s="1069"/>
      <c r="VOI287" s="1069"/>
      <c r="VOJ287" s="1069"/>
      <c r="VOK287" s="1069"/>
      <c r="VOL287" s="1069"/>
      <c r="VOM287" s="1069"/>
      <c r="VON287" s="1069"/>
      <c r="VOO287" s="1069"/>
      <c r="VOP287" s="1069"/>
      <c r="VOQ287" s="1069"/>
      <c r="VOR287" s="1069"/>
      <c r="VOS287" s="1069"/>
      <c r="VOT287" s="1069"/>
      <c r="VOU287" s="1069"/>
      <c r="VOV287" s="1069"/>
      <c r="VOW287" s="1069"/>
      <c r="VOX287" s="1069"/>
      <c r="VOY287" s="1069"/>
      <c r="VOZ287" s="1069"/>
      <c r="VPA287" s="1069"/>
      <c r="VPB287" s="1069"/>
      <c r="VPC287" s="1069"/>
      <c r="VPD287" s="1069"/>
      <c r="VPE287" s="1069"/>
      <c r="VPF287" s="1069"/>
      <c r="VPG287" s="1069"/>
      <c r="VPH287" s="1069"/>
      <c r="VPI287" s="1069"/>
      <c r="VPJ287" s="1069"/>
      <c r="VPK287" s="1069"/>
      <c r="VPL287" s="1069"/>
      <c r="VPM287" s="1069"/>
      <c r="VPN287" s="1069"/>
      <c r="VPO287" s="1069"/>
      <c r="VPP287" s="1069"/>
      <c r="VPQ287" s="1069"/>
      <c r="VPR287" s="1069"/>
      <c r="VPS287" s="1069"/>
      <c r="VPT287" s="1069"/>
      <c r="VPU287" s="1069"/>
      <c r="VPV287" s="1069"/>
      <c r="VPW287" s="1069"/>
      <c r="VPX287" s="1069"/>
      <c r="VPY287" s="1069"/>
      <c r="VPZ287" s="1069"/>
      <c r="VQA287" s="1069"/>
      <c r="VQB287" s="1069"/>
      <c r="VQC287" s="1069"/>
      <c r="VQD287" s="1069"/>
      <c r="VQE287" s="1069"/>
      <c r="VQF287" s="1069"/>
      <c r="VQG287" s="1069"/>
      <c r="VQH287" s="1069"/>
      <c r="VQI287" s="1069"/>
      <c r="VQJ287" s="1069"/>
      <c r="VQK287" s="1069"/>
      <c r="VQL287" s="1069"/>
      <c r="VQM287" s="1069"/>
      <c r="VQN287" s="1069"/>
      <c r="VQO287" s="1069"/>
      <c r="VQP287" s="1069"/>
      <c r="VQQ287" s="1069"/>
      <c r="VQR287" s="1069"/>
      <c r="VQS287" s="1069"/>
      <c r="VQT287" s="1069"/>
      <c r="VQU287" s="1069"/>
      <c r="VQV287" s="1069"/>
      <c r="VQW287" s="1069"/>
      <c r="VQX287" s="1069"/>
      <c r="VQY287" s="1069"/>
      <c r="VQZ287" s="1069"/>
      <c r="VRA287" s="1069"/>
      <c r="VRB287" s="1069"/>
      <c r="VRC287" s="1069"/>
      <c r="VRD287" s="1069"/>
      <c r="VRE287" s="1069"/>
      <c r="VRF287" s="1069"/>
      <c r="VRG287" s="1069"/>
      <c r="VRH287" s="1069"/>
      <c r="VRI287" s="1069"/>
      <c r="VRJ287" s="1069"/>
      <c r="VRK287" s="1069"/>
      <c r="VRL287" s="1069"/>
      <c r="VRM287" s="1069"/>
      <c r="VRN287" s="1069"/>
      <c r="VRO287" s="1069"/>
      <c r="VRP287" s="1069"/>
      <c r="VRQ287" s="1069"/>
      <c r="VRR287" s="1069"/>
      <c r="VRS287" s="1069"/>
      <c r="VRT287" s="1069"/>
      <c r="VRU287" s="1069"/>
      <c r="VRV287" s="1069"/>
      <c r="VRW287" s="1069"/>
      <c r="VRX287" s="1069"/>
      <c r="VRY287" s="1069"/>
      <c r="VRZ287" s="1069"/>
      <c r="VSA287" s="1069"/>
      <c r="VSB287" s="1069"/>
      <c r="VSC287" s="1069"/>
      <c r="VSD287" s="1069"/>
      <c r="VSE287" s="1069"/>
      <c r="VSF287" s="1069"/>
      <c r="VSG287" s="1069"/>
      <c r="VSH287" s="1069"/>
      <c r="VSI287" s="1069"/>
      <c r="VSJ287" s="1069"/>
      <c r="VSK287" s="1069"/>
      <c r="VSL287" s="1069"/>
      <c r="VSM287" s="1069"/>
      <c r="VSN287" s="1069"/>
      <c r="VSO287" s="1069"/>
      <c r="VSP287" s="1069"/>
      <c r="VSQ287" s="1069"/>
      <c r="VSR287" s="1069"/>
      <c r="VSS287" s="1069"/>
      <c r="VST287" s="1069"/>
      <c r="VSU287" s="1069"/>
      <c r="VSV287" s="1069"/>
      <c r="VSW287" s="1069"/>
      <c r="VSX287" s="1069"/>
      <c r="VSY287" s="1069"/>
      <c r="VSZ287" s="1069"/>
      <c r="VTA287" s="1069"/>
      <c r="VTB287" s="1069"/>
      <c r="VTC287" s="1069"/>
      <c r="VTD287" s="1069"/>
      <c r="VTE287" s="1069"/>
      <c r="VTF287" s="1069"/>
      <c r="VTG287" s="1069"/>
      <c r="VTH287" s="1069"/>
      <c r="VTI287" s="1069"/>
      <c r="VTJ287" s="1069"/>
      <c r="VTK287" s="1069"/>
      <c r="VTL287" s="1069"/>
      <c r="VTM287" s="1069"/>
      <c r="VTN287" s="1069"/>
      <c r="VTO287" s="1069"/>
      <c r="VTP287" s="1069"/>
      <c r="VTQ287" s="1069"/>
      <c r="VTR287" s="1069"/>
      <c r="VTS287" s="1069"/>
      <c r="VTT287" s="1069"/>
      <c r="VTU287" s="1069"/>
      <c r="VTV287" s="1069"/>
      <c r="VTW287" s="1069"/>
      <c r="VTX287" s="1069"/>
      <c r="VTY287" s="1069"/>
      <c r="VTZ287" s="1069"/>
      <c r="VUA287" s="1069"/>
      <c r="VUB287" s="1069"/>
      <c r="VUC287" s="1069"/>
      <c r="VUD287" s="1069"/>
      <c r="VUE287" s="1069"/>
      <c r="VUF287" s="1069"/>
      <c r="VUG287" s="1069"/>
      <c r="VUH287" s="1069"/>
      <c r="VUI287" s="1069"/>
      <c r="VUJ287" s="1069"/>
      <c r="VUK287" s="1069"/>
      <c r="VUL287" s="1069"/>
      <c r="VUM287" s="1069"/>
      <c r="VUN287" s="1069"/>
      <c r="VUO287" s="1069"/>
      <c r="VUP287" s="1069"/>
      <c r="VUQ287" s="1069"/>
      <c r="VUR287" s="1069"/>
      <c r="VUS287" s="1069"/>
      <c r="VUT287" s="1069"/>
      <c r="VUU287" s="1069"/>
      <c r="VUV287" s="1069"/>
      <c r="VUW287" s="1069"/>
      <c r="VUX287" s="1069"/>
      <c r="VUY287" s="1069"/>
      <c r="VUZ287" s="1069"/>
      <c r="VVA287" s="1069"/>
      <c r="VVB287" s="1069"/>
      <c r="VVC287" s="1069"/>
      <c r="VVD287" s="1069"/>
      <c r="VVE287" s="1069"/>
      <c r="VVF287" s="1069"/>
      <c r="VVG287" s="1069"/>
      <c r="VVH287" s="1069"/>
      <c r="VVI287" s="1069"/>
      <c r="VVJ287" s="1069"/>
      <c r="VVK287" s="1069"/>
      <c r="VVL287" s="1069"/>
      <c r="VVM287" s="1069"/>
      <c r="VVN287" s="1069"/>
      <c r="VVO287" s="1069"/>
      <c r="VVP287" s="1069"/>
      <c r="VVQ287" s="1069"/>
      <c r="VVR287" s="1069"/>
      <c r="VVS287" s="1069"/>
      <c r="VVT287" s="1069"/>
      <c r="VVU287" s="1069"/>
      <c r="VVV287" s="1069"/>
      <c r="VVW287" s="1069"/>
      <c r="VVX287" s="1069"/>
      <c r="VVY287" s="1069"/>
      <c r="VVZ287" s="1069"/>
      <c r="VWA287" s="1069"/>
      <c r="VWB287" s="1069"/>
      <c r="VWC287" s="1069"/>
      <c r="VWD287" s="1069"/>
      <c r="VWE287" s="1069"/>
      <c r="VWF287" s="1069"/>
      <c r="VWG287" s="1069"/>
      <c r="VWH287" s="1069"/>
      <c r="VWI287" s="1069"/>
      <c r="VWJ287" s="1069"/>
      <c r="VWK287" s="1069"/>
      <c r="VWL287" s="1069"/>
      <c r="VWM287" s="1069"/>
      <c r="VWN287" s="1069"/>
      <c r="VWO287" s="1069"/>
      <c r="VWP287" s="1069"/>
      <c r="VWQ287" s="1069"/>
      <c r="VWR287" s="1069"/>
      <c r="VWS287" s="1069"/>
      <c r="VWT287" s="1069"/>
      <c r="VWU287" s="1069"/>
      <c r="VWV287" s="1069"/>
      <c r="VWW287" s="1069"/>
      <c r="VWX287" s="1069"/>
      <c r="VWY287" s="1069"/>
      <c r="VWZ287" s="1069"/>
      <c r="VXA287" s="1069"/>
      <c r="VXB287" s="1069"/>
      <c r="VXC287" s="1069"/>
      <c r="VXD287" s="1069"/>
      <c r="VXE287" s="1069"/>
      <c r="VXF287" s="1069"/>
      <c r="VXG287" s="1069"/>
      <c r="VXH287" s="1069"/>
      <c r="VXI287" s="1069"/>
      <c r="VXJ287" s="1069"/>
      <c r="VXK287" s="1069"/>
      <c r="VXL287" s="1069"/>
      <c r="VXM287" s="1069"/>
      <c r="VXN287" s="1069"/>
      <c r="VXO287" s="1069"/>
      <c r="VXP287" s="1069"/>
      <c r="VXQ287" s="1069"/>
      <c r="VXR287" s="1069"/>
      <c r="VXS287" s="1069"/>
      <c r="VXT287" s="1069"/>
      <c r="VXU287" s="1069"/>
      <c r="VXV287" s="1069"/>
      <c r="VXW287" s="1069"/>
      <c r="VXX287" s="1069"/>
      <c r="VXY287" s="1069"/>
      <c r="VXZ287" s="1069"/>
      <c r="VYA287" s="1069"/>
      <c r="VYB287" s="1069"/>
      <c r="VYC287" s="1069"/>
      <c r="VYD287" s="1069"/>
      <c r="VYE287" s="1069"/>
      <c r="VYF287" s="1069"/>
      <c r="VYG287" s="1069"/>
      <c r="VYH287" s="1069"/>
      <c r="VYI287" s="1069"/>
      <c r="VYJ287" s="1069"/>
      <c r="VYK287" s="1069"/>
      <c r="VYL287" s="1069"/>
      <c r="VYM287" s="1069"/>
      <c r="VYN287" s="1069"/>
      <c r="VYO287" s="1069"/>
      <c r="VYP287" s="1069"/>
      <c r="VYQ287" s="1069"/>
      <c r="VYR287" s="1069"/>
      <c r="VYS287" s="1069"/>
      <c r="VYT287" s="1069"/>
      <c r="VYU287" s="1069"/>
      <c r="VYV287" s="1069"/>
      <c r="VYW287" s="1069"/>
      <c r="VYX287" s="1069"/>
      <c r="VYY287" s="1069"/>
      <c r="VYZ287" s="1069"/>
      <c r="VZA287" s="1069"/>
      <c r="VZB287" s="1069"/>
      <c r="VZC287" s="1069"/>
      <c r="VZD287" s="1069"/>
      <c r="VZE287" s="1069"/>
      <c r="VZF287" s="1069"/>
      <c r="VZG287" s="1069"/>
      <c r="VZH287" s="1069"/>
      <c r="VZI287" s="1069"/>
      <c r="VZJ287" s="1069"/>
      <c r="VZK287" s="1069"/>
      <c r="VZL287" s="1069"/>
      <c r="VZM287" s="1069"/>
      <c r="VZN287" s="1069"/>
      <c r="VZO287" s="1069"/>
      <c r="VZP287" s="1069"/>
      <c r="VZQ287" s="1069"/>
      <c r="VZR287" s="1069"/>
      <c r="VZS287" s="1069"/>
      <c r="VZT287" s="1069"/>
      <c r="VZU287" s="1069"/>
      <c r="VZV287" s="1069"/>
      <c r="VZW287" s="1069"/>
      <c r="VZX287" s="1069"/>
      <c r="VZY287" s="1069"/>
      <c r="VZZ287" s="1069"/>
      <c r="WAA287" s="1069"/>
      <c r="WAB287" s="1069"/>
      <c r="WAC287" s="1069"/>
      <c r="WAD287" s="1069"/>
      <c r="WAE287" s="1069"/>
      <c r="WAF287" s="1069"/>
      <c r="WAG287" s="1069"/>
      <c r="WAH287" s="1069"/>
      <c r="WAI287" s="1069"/>
      <c r="WAJ287" s="1069"/>
      <c r="WAK287" s="1069"/>
      <c r="WAL287" s="1069"/>
      <c r="WAM287" s="1069"/>
      <c r="WAN287" s="1069"/>
      <c r="WAO287" s="1069"/>
      <c r="WAP287" s="1069"/>
      <c r="WAQ287" s="1069"/>
      <c r="WAR287" s="1069"/>
      <c r="WAS287" s="1069"/>
      <c r="WAT287" s="1069"/>
      <c r="WAU287" s="1069"/>
      <c r="WAV287" s="1069"/>
      <c r="WAW287" s="1069"/>
      <c r="WAX287" s="1069"/>
      <c r="WAY287" s="1069"/>
      <c r="WAZ287" s="1069"/>
      <c r="WBA287" s="1069"/>
      <c r="WBB287" s="1069"/>
      <c r="WBC287" s="1069"/>
      <c r="WBD287" s="1069"/>
      <c r="WBE287" s="1069"/>
      <c r="WBF287" s="1069"/>
      <c r="WBG287" s="1069"/>
      <c r="WBH287" s="1069"/>
      <c r="WBI287" s="1069"/>
      <c r="WBJ287" s="1069"/>
      <c r="WBK287" s="1069"/>
      <c r="WBL287" s="1069"/>
      <c r="WBM287" s="1069"/>
      <c r="WBN287" s="1069"/>
      <c r="WBO287" s="1069"/>
      <c r="WBP287" s="1069"/>
      <c r="WBQ287" s="1069"/>
      <c r="WBR287" s="1069"/>
      <c r="WBS287" s="1069"/>
      <c r="WBT287" s="1069"/>
      <c r="WBU287" s="1069"/>
      <c r="WBV287" s="1069"/>
      <c r="WBW287" s="1069"/>
      <c r="WBX287" s="1069"/>
      <c r="WBY287" s="1069"/>
      <c r="WBZ287" s="1069"/>
      <c r="WCA287" s="1069"/>
      <c r="WCB287" s="1069"/>
      <c r="WCC287" s="1069"/>
      <c r="WCD287" s="1069"/>
      <c r="WCE287" s="1069"/>
      <c r="WCF287" s="1069"/>
      <c r="WCG287" s="1069"/>
      <c r="WCH287" s="1069"/>
      <c r="WCI287" s="1069"/>
      <c r="WCJ287" s="1069"/>
      <c r="WCK287" s="1069"/>
      <c r="WCL287" s="1069"/>
      <c r="WCM287" s="1069"/>
      <c r="WCN287" s="1069"/>
      <c r="WCO287" s="1069"/>
      <c r="WCP287" s="1069"/>
      <c r="WCQ287" s="1069"/>
      <c r="WCR287" s="1069"/>
      <c r="WCS287" s="1069"/>
      <c r="WCT287" s="1069"/>
      <c r="WCU287" s="1069"/>
      <c r="WCV287" s="1069"/>
      <c r="WCW287" s="1069"/>
      <c r="WCX287" s="1069"/>
      <c r="WCY287" s="1069"/>
      <c r="WCZ287" s="1069"/>
      <c r="WDA287" s="1069"/>
      <c r="WDB287" s="1069"/>
      <c r="WDC287" s="1069"/>
      <c r="WDD287" s="1069"/>
      <c r="WDE287" s="1069"/>
      <c r="WDF287" s="1069"/>
      <c r="WDG287" s="1069"/>
      <c r="WDH287" s="1069"/>
      <c r="WDI287" s="1069"/>
      <c r="WDJ287" s="1069"/>
      <c r="WDK287" s="1069"/>
      <c r="WDL287" s="1069"/>
      <c r="WDM287" s="1069"/>
      <c r="WDN287" s="1069"/>
      <c r="WDO287" s="1069"/>
      <c r="WDP287" s="1069"/>
      <c r="WDQ287" s="1069"/>
      <c r="WDR287" s="1069"/>
      <c r="WDS287" s="1069"/>
      <c r="WDT287" s="1069"/>
      <c r="WDU287" s="1069"/>
      <c r="WDV287" s="1069"/>
      <c r="WDW287" s="1069"/>
      <c r="WDX287" s="1069"/>
      <c r="WDY287" s="1069"/>
      <c r="WDZ287" s="1069"/>
      <c r="WEA287" s="1069"/>
      <c r="WEB287" s="1069"/>
      <c r="WEC287" s="1069"/>
      <c r="WED287" s="1069"/>
      <c r="WEE287" s="1069"/>
      <c r="WEF287" s="1069"/>
      <c r="WEG287" s="1069"/>
      <c r="WEH287" s="1069"/>
      <c r="WEI287" s="1069"/>
      <c r="WEJ287" s="1069"/>
      <c r="WEK287" s="1069"/>
      <c r="WEL287" s="1069"/>
      <c r="WEM287" s="1069"/>
      <c r="WEN287" s="1069"/>
      <c r="WEO287" s="1069"/>
      <c r="WEP287" s="1069"/>
      <c r="WEQ287" s="1069"/>
      <c r="WER287" s="1069"/>
      <c r="WES287" s="1069"/>
      <c r="WET287" s="1069"/>
      <c r="WEU287" s="1069"/>
      <c r="WEV287" s="1069"/>
      <c r="WEW287" s="1069"/>
      <c r="WEX287" s="1069"/>
      <c r="WEY287" s="1069"/>
      <c r="WEZ287" s="1069"/>
      <c r="WFA287" s="1069"/>
      <c r="WFB287" s="1069"/>
      <c r="WFC287" s="1069"/>
      <c r="WFD287" s="1069"/>
      <c r="WFE287" s="1069"/>
      <c r="WFF287" s="1069"/>
      <c r="WFG287" s="1069"/>
      <c r="WFH287" s="1069"/>
      <c r="WFI287" s="1069"/>
      <c r="WFJ287" s="1069"/>
      <c r="WFK287" s="1069"/>
      <c r="WFL287" s="1069"/>
      <c r="WFM287" s="1069"/>
      <c r="WFN287" s="1069"/>
      <c r="WFO287" s="1069"/>
      <c r="WFP287" s="1069"/>
      <c r="WFQ287" s="1069"/>
      <c r="WFR287" s="1069"/>
      <c r="WFS287" s="1069"/>
      <c r="WFT287" s="1069"/>
      <c r="WFU287" s="1069"/>
      <c r="WFV287" s="1069"/>
      <c r="WFW287" s="1069"/>
      <c r="WFX287" s="1069"/>
      <c r="WFY287" s="1069"/>
      <c r="WFZ287" s="1069"/>
      <c r="WGA287" s="1069"/>
      <c r="WGB287" s="1069"/>
      <c r="WGC287" s="1069"/>
      <c r="WGD287" s="1069"/>
      <c r="WGE287" s="1069"/>
      <c r="WGF287" s="1069"/>
      <c r="WGG287" s="1069"/>
      <c r="WGH287" s="1069"/>
      <c r="WGI287" s="1069"/>
      <c r="WGJ287" s="1069"/>
      <c r="WGK287" s="1069"/>
      <c r="WGL287" s="1069"/>
      <c r="WGM287" s="1069"/>
      <c r="WGN287" s="1069"/>
      <c r="WGO287" s="1069"/>
      <c r="WGP287" s="1069"/>
      <c r="WGQ287" s="1069"/>
      <c r="WGR287" s="1069"/>
      <c r="WGS287" s="1069"/>
      <c r="WGT287" s="1069"/>
      <c r="WGU287" s="1069"/>
      <c r="WGV287" s="1069"/>
      <c r="WGW287" s="1069"/>
      <c r="WGX287" s="1069"/>
      <c r="WGY287" s="1069"/>
      <c r="WGZ287" s="1069"/>
      <c r="WHA287" s="1069"/>
      <c r="WHB287" s="1069"/>
      <c r="WHC287" s="1069"/>
      <c r="WHD287" s="1069"/>
      <c r="WHE287" s="1069"/>
      <c r="WHF287" s="1069"/>
      <c r="WHG287" s="1069"/>
      <c r="WHH287" s="1069"/>
      <c r="WHI287" s="1069"/>
      <c r="WHJ287" s="1069"/>
      <c r="WHK287" s="1069"/>
      <c r="WHL287" s="1069"/>
      <c r="WHM287" s="1069"/>
      <c r="WHN287" s="1069"/>
      <c r="WHO287" s="1069"/>
      <c r="WHP287" s="1069"/>
      <c r="WHQ287" s="1069"/>
      <c r="WHR287" s="1069"/>
      <c r="WHS287" s="1069"/>
      <c r="WHT287" s="1069"/>
      <c r="WHU287" s="1069"/>
      <c r="WHV287" s="1069"/>
      <c r="WHW287" s="1069"/>
      <c r="WHX287" s="1069"/>
      <c r="WHY287" s="1069"/>
      <c r="WHZ287" s="1069"/>
      <c r="WIA287" s="1069"/>
      <c r="WIB287" s="1069"/>
      <c r="WIC287" s="1069"/>
      <c r="WID287" s="1069"/>
      <c r="WIE287" s="1069"/>
      <c r="WIF287" s="1069"/>
      <c r="WIG287" s="1069"/>
      <c r="WIH287" s="1069"/>
      <c r="WII287" s="1069"/>
      <c r="WIJ287" s="1069"/>
      <c r="WIK287" s="1069"/>
      <c r="WIL287" s="1069"/>
      <c r="WIM287" s="1069"/>
      <c r="WIN287" s="1069"/>
      <c r="WIO287" s="1069"/>
      <c r="WIP287" s="1069"/>
      <c r="WIQ287" s="1069"/>
      <c r="WIR287" s="1069"/>
      <c r="WIS287" s="1069"/>
      <c r="WIT287" s="1069"/>
      <c r="WIU287" s="1069"/>
      <c r="WIV287" s="1069"/>
      <c r="WIW287" s="1069"/>
      <c r="WIX287" s="1069"/>
      <c r="WIY287" s="1069"/>
      <c r="WIZ287" s="1069"/>
      <c r="WJA287" s="1069"/>
      <c r="WJB287" s="1069"/>
      <c r="WJC287" s="1069"/>
      <c r="WJD287" s="1069"/>
      <c r="WJE287" s="1069"/>
      <c r="WJF287" s="1069"/>
      <c r="WJG287" s="1069"/>
      <c r="WJH287" s="1069"/>
      <c r="WJI287" s="1069"/>
      <c r="WJJ287" s="1069"/>
      <c r="WJK287" s="1069"/>
      <c r="WJL287" s="1069"/>
      <c r="WJM287" s="1069"/>
      <c r="WJN287" s="1069"/>
      <c r="WJO287" s="1069"/>
      <c r="WJP287" s="1069"/>
      <c r="WJQ287" s="1069"/>
      <c r="WJR287" s="1069"/>
      <c r="WJS287" s="1069"/>
      <c r="WJT287" s="1069"/>
      <c r="WJU287" s="1069"/>
      <c r="WJV287" s="1069"/>
      <c r="WJW287" s="1069"/>
      <c r="WJX287" s="1069"/>
      <c r="WJY287" s="1069"/>
      <c r="WJZ287" s="1069"/>
      <c r="WKA287" s="1069"/>
      <c r="WKB287" s="1069"/>
      <c r="WKC287" s="1069"/>
      <c r="WKD287" s="1069"/>
      <c r="WKE287" s="1069"/>
      <c r="WKF287" s="1069"/>
      <c r="WKG287" s="1069"/>
      <c r="WKH287" s="1069"/>
      <c r="WKI287" s="1069"/>
      <c r="WKJ287" s="1069"/>
      <c r="WKK287" s="1069"/>
      <c r="WKL287" s="1069"/>
      <c r="WKM287" s="1069"/>
      <c r="WKN287" s="1069"/>
      <c r="WKO287" s="1069"/>
      <c r="WKP287" s="1069"/>
      <c r="WKQ287" s="1069"/>
      <c r="WKR287" s="1069"/>
      <c r="WKS287" s="1069"/>
      <c r="WKT287" s="1069"/>
      <c r="WKU287" s="1069"/>
      <c r="WKV287" s="1069"/>
      <c r="WKW287" s="1069"/>
      <c r="WKX287" s="1069"/>
      <c r="WKY287" s="1069"/>
      <c r="WKZ287" s="1069"/>
      <c r="WLA287" s="1069"/>
      <c r="WLB287" s="1069"/>
      <c r="WLC287" s="1069"/>
      <c r="WLD287" s="1069"/>
      <c r="WLE287" s="1069"/>
      <c r="WLF287" s="1069"/>
      <c r="WLG287" s="1069"/>
      <c r="WLH287" s="1069"/>
      <c r="WLI287" s="1069"/>
      <c r="WLJ287" s="1069"/>
      <c r="WLK287" s="1069"/>
      <c r="WLL287" s="1069"/>
      <c r="WLM287" s="1069"/>
      <c r="WLN287" s="1069"/>
      <c r="WLO287" s="1069"/>
      <c r="WLP287" s="1069"/>
      <c r="WLQ287" s="1069"/>
      <c r="WLR287" s="1069"/>
      <c r="WLS287" s="1069"/>
      <c r="WLT287" s="1069"/>
      <c r="WLU287" s="1069"/>
      <c r="WLV287" s="1069"/>
      <c r="WLW287" s="1069"/>
      <c r="WLX287" s="1069"/>
      <c r="WLY287" s="1069"/>
      <c r="WLZ287" s="1069"/>
      <c r="WMA287" s="1069"/>
      <c r="WMB287" s="1069"/>
      <c r="WMC287" s="1069"/>
      <c r="WMD287" s="1069"/>
      <c r="WME287" s="1069"/>
      <c r="WMF287" s="1069"/>
      <c r="WMG287" s="1069"/>
      <c r="WMH287" s="1069"/>
      <c r="WMI287" s="1069"/>
      <c r="WMJ287" s="1069"/>
      <c r="WMK287" s="1069"/>
      <c r="WML287" s="1069"/>
      <c r="WMM287" s="1069"/>
      <c r="WMN287" s="1069"/>
      <c r="WMO287" s="1069"/>
      <c r="WMP287" s="1069"/>
      <c r="WMQ287" s="1069"/>
      <c r="WMR287" s="1069"/>
      <c r="WMS287" s="1069"/>
      <c r="WMT287" s="1069"/>
      <c r="WMU287" s="1069"/>
      <c r="WMV287" s="1069"/>
      <c r="WMW287" s="1069"/>
      <c r="WMX287" s="1069"/>
      <c r="WMY287" s="1069"/>
      <c r="WMZ287" s="1069"/>
      <c r="WNA287" s="1069"/>
      <c r="WNB287" s="1069"/>
      <c r="WNC287" s="1069"/>
      <c r="WND287" s="1069"/>
      <c r="WNE287" s="1069"/>
      <c r="WNF287" s="1069"/>
      <c r="WNG287" s="1069"/>
      <c r="WNH287" s="1069"/>
      <c r="WNI287" s="1069"/>
      <c r="WNJ287" s="1069"/>
      <c r="WNK287" s="1069"/>
      <c r="WNL287" s="1069"/>
      <c r="WNM287" s="1069"/>
      <c r="WNN287" s="1069"/>
      <c r="WNO287" s="1069"/>
      <c r="WNP287" s="1069"/>
      <c r="WNQ287" s="1069"/>
      <c r="WNR287" s="1069"/>
      <c r="WNS287" s="1069"/>
      <c r="WNT287" s="1069"/>
      <c r="WNU287" s="1069"/>
      <c r="WNV287" s="1069"/>
      <c r="WNW287" s="1069"/>
      <c r="WNX287" s="1069"/>
      <c r="WNY287" s="1069"/>
      <c r="WNZ287" s="1069"/>
      <c r="WOA287" s="1069"/>
      <c r="WOB287" s="1069"/>
      <c r="WOC287" s="1069"/>
      <c r="WOD287" s="1069"/>
      <c r="WOE287" s="1069"/>
      <c r="WOF287" s="1069"/>
      <c r="WOG287" s="1069"/>
      <c r="WOH287" s="1069"/>
      <c r="WOI287" s="1069"/>
      <c r="WOJ287" s="1069"/>
      <c r="WOK287" s="1069"/>
      <c r="WOL287" s="1069"/>
      <c r="WOM287" s="1069"/>
      <c r="WON287" s="1069"/>
      <c r="WOO287" s="1069"/>
      <c r="WOP287" s="1069"/>
      <c r="WOQ287" s="1069"/>
      <c r="WOR287" s="1069"/>
      <c r="WOS287" s="1069"/>
      <c r="WOT287" s="1069"/>
      <c r="WOU287" s="1069"/>
      <c r="WOV287" s="1069"/>
      <c r="WOW287" s="1069"/>
      <c r="WOX287" s="1069"/>
      <c r="WOY287" s="1069"/>
      <c r="WOZ287" s="1069"/>
      <c r="WPA287" s="1069"/>
      <c r="WPB287" s="1069"/>
      <c r="WPC287" s="1069"/>
      <c r="WPD287" s="1069"/>
      <c r="WPE287" s="1069"/>
      <c r="WPF287" s="1069"/>
      <c r="WPG287" s="1069"/>
      <c r="WPH287" s="1069"/>
      <c r="WPI287" s="1069"/>
      <c r="WPJ287" s="1069"/>
      <c r="WPK287" s="1069"/>
      <c r="WPL287" s="1069"/>
      <c r="WPM287" s="1069"/>
      <c r="WPN287" s="1069"/>
      <c r="WPO287" s="1069"/>
      <c r="WPP287" s="1069"/>
      <c r="WPQ287" s="1069"/>
      <c r="WPR287" s="1069"/>
      <c r="WPS287" s="1069"/>
      <c r="WPT287" s="1069"/>
      <c r="WPU287" s="1069"/>
      <c r="WPV287" s="1069"/>
      <c r="WPW287" s="1069"/>
      <c r="WPX287" s="1069"/>
      <c r="WPY287" s="1069"/>
      <c r="WPZ287" s="1069"/>
      <c r="WQA287" s="1069"/>
      <c r="WQB287" s="1069"/>
      <c r="WQC287" s="1069"/>
      <c r="WQD287" s="1069"/>
      <c r="WQE287" s="1069"/>
      <c r="WQF287" s="1069"/>
      <c r="WQG287" s="1069"/>
      <c r="WQH287" s="1069"/>
      <c r="WQI287" s="1069"/>
      <c r="WQJ287" s="1069"/>
      <c r="WQK287" s="1069"/>
      <c r="WQL287" s="1069"/>
      <c r="WQM287" s="1069"/>
      <c r="WQN287" s="1069"/>
      <c r="WQO287" s="1069"/>
      <c r="WQP287" s="1069"/>
      <c r="WQQ287" s="1069"/>
      <c r="WQR287" s="1069"/>
      <c r="WQS287" s="1069"/>
      <c r="WQT287" s="1069"/>
      <c r="WQU287" s="1069"/>
      <c r="WQV287" s="1069"/>
      <c r="WQW287" s="1069"/>
      <c r="WQX287" s="1069"/>
      <c r="WQY287" s="1069"/>
      <c r="WQZ287" s="1069"/>
      <c r="WRA287" s="1069"/>
      <c r="WRB287" s="1069"/>
      <c r="WRC287" s="1069"/>
      <c r="WRD287" s="1069"/>
      <c r="WRE287" s="1069"/>
      <c r="WRF287" s="1069"/>
      <c r="WRG287" s="1069"/>
      <c r="WRH287" s="1069"/>
      <c r="WRI287" s="1069"/>
      <c r="WRJ287" s="1069"/>
      <c r="WRK287" s="1069"/>
      <c r="WRL287" s="1069"/>
      <c r="WRM287" s="1069"/>
      <c r="WRN287" s="1069"/>
      <c r="WRO287" s="1069"/>
      <c r="WRP287" s="1069"/>
      <c r="WRQ287" s="1069"/>
      <c r="WRR287" s="1069"/>
      <c r="WRS287" s="1069"/>
      <c r="WRT287" s="1069"/>
      <c r="WRU287" s="1069"/>
      <c r="WRV287" s="1069"/>
      <c r="WRW287" s="1069"/>
      <c r="WRX287" s="1069"/>
      <c r="WRY287" s="1069"/>
      <c r="WRZ287" s="1069"/>
      <c r="WSA287" s="1069"/>
      <c r="WSB287" s="1069"/>
      <c r="WSC287" s="1069"/>
      <c r="WSD287" s="1069"/>
      <c r="WSE287" s="1069"/>
      <c r="WSF287" s="1069"/>
      <c r="WSG287" s="1069"/>
      <c r="WSH287" s="1069"/>
      <c r="WSI287" s="1069"/>
      <c r="WSJ287" s="1069"/>
      <c r="WSK287" s="1069"/>
      <c r="WSL287" s="1069"/>
      <c r="WSM287" s="1069"/>
      <c r="WSN287" s="1069"/>
      <c r="WSO287" s="1069"/>
      <c r="WSP287" s="1069"/>
      <c r="WSQ287" s="1069"/>
      <c r="WSR287" s="1069"/>
      <c r="WSS287" s="1069"/>
      <c r="WST287" s="1069"/>
      <c r="WSU287" s="1069"/>
      <c r="WSV287" s="1069"/>
      <c r="WSW287" s="1069"/>
      <c r="WSX287" s="1069"/>
      <c r="WSY287" s="1069"/>
      <c r="WSZ287" s="1069"/>
      <c r="WTA287" s="1069"/>
      <c r="WTB287" s="1069"/>
      <c r="WTC287" s="1069"/>
      <c r="WTD287" s="1069"/>
      <c r="WTE287" s="1069"/>
      <c r="WTF287" s="1069"/>
      <c r="WTG287" s="1069"/>
      <c r="WTH287" s="1069"/>
      <c r="WTI287" s="1069"/>
      <c r="WTJ287" s="1069"/>
      <c r="WTK287" s="1069"/>
      <c r="WTL287" s="1069"/>
      <c r="WTM287" s="1069"/>
      <c r="WTN287" s="1069"/>
      <c r="WTO287" s="1069"/>
      <c r="WTP287" s="1069"/>
      <c r="WTQ287" s="1069"/>
      <c r="WTR287" s="1069"/>
      <c r="WTS287" s="1069"/>
      <c r="WTT287" s="1069"/>
      <c r="WTU287" s="1069"/>
      <c r="WTV287" s="1069"/>
      <c r="WTW287" s="1069"/>
      <c r="WTX287" s="1069"/>
      <c r="WTY287" s="1069"/>
      <c r="WTZ287" s="1069"/>
      <c r="WUA287" s="1069"/>
      <c r="WUB287" s="1069"/>
      <c r="WUC287" s="1069"/>
      <c r="WUD287" s="1069"/>
      <c r="WUE287" s="1069"/>
      <c r="WUF287" s="1069"/>
      <c r="WUG287" s="1069"/>
      <c r="WUH287" s="1069"/>
      <c r="WUI287" s="1069"/>
      <c r="WUJ287" s="1069"/>
      <c r="WUK287" s="1069"/>
      <c r="WUL287" s="1069"/>
      <c r="WUM287" s="1069"/>
      <c r="WUN287" s="1069"/>
      <c r="WUO287" s="1069"/>
      <c r="WUP287" s="1069"/>
      <c r="WUQ287" s="1069"/>
      <c r="WUR287" s="1069"/>
      <c r="WUS287" s="1069"/>
      <c r="WUT287" s="1069"/>
      <c r="WUU287" s="1069"/>
      <c r="WUV287" s="1069"/>
      <c r="WUW287" s="1069"/>
      <c r="WUX287" s="1069"/>
      <c r="WUY287" s="1069"/>
      <c r="WUZ287" s="1069"/>
      <c r="WVA287" s="1069"/>
      <c r="WVB287" s="1069"/>
      <c r="WVC287" s="1069"/>
      <c r="WVD287" s="1069"/>
      <c r="WVE287" s="1069"/>
      <c r="WVF287" s="1069"/>
      <c r="WVG287" s="1069"/>
      <c r="WVH287" s="1069"/>
      <c r="WVI287" s="1069"/>
      <c r="WVJ287" s="1069"/>
      <c r="WVK287" s="1069"/>
      <c r="WVL287" s="1069"/>
      <c r="WVM287" s="1069"/>
      <c r="WVN287" s="1069"/>
      <c r="WVO287" s="1069"/>
      <c r="WVP287" s="1069"/>
      <c r="WVQ287" s="1069"/>
      <c r="WVR287" s="1069"/>
      <c r="WVS287" s="1069"/>
      <c r="WVT287" s="1069"/>
      <c r="WVU287" s="1069"/>
      <c r="WVV287" s="1069"/>
      <c r="WVW287" s="1069"/>
      <c r="WVX287" s="1069"/>
      <c r="WVY287" s="1069"/>
      <c r="WVZ287" s="1069"/>
      <c r="WWA287" s="1069"/>
      <c r="WWB287" s="1069"/>
      <c r="WWC287" s="1069"/>
      <c r="WWD287" s="1069"/>
      <c r="WWE287" s="1069"/>
      <c r="WWF287" s="1069"/>
      <c r="WWG287" s="1069"/>
      <c r="WWH287" s="1069"/>
      <c r="WWI287" s="1069"/>
      <c r="WWJ287" s="1069"/>
      <c r="WWK287" s="1069"/>
      <c r="WWL287" s="1069"/>
      <c r="WWM287" s="1069"/>
      <c r="WWN287" s="1069"/>
      <c r="WWO287" s="1069"/>
      <c r="WWP287" s="1069"/>
      <c r="WWQ287" s="1069"/>
      <c r="WWR287" s="1069"/>
      <c r="WWS287" s="1069"/>
      <c r="WWT287" s="1069"/>
      <c r="WWU287" s="1069"/>
      <c r="WWV287" s="1069"/>
      <c r="WWW287" s="1069"/>
      <c r="WWX287" s="1069"/>
      <c r="WWY287" s="1069"/>
      <c r="WWZ287" s="1069"/>
      <c r="WXA287" s="1069"/>
      <c r="WXB287" s="1069"/>
      <c r="WXC287" s="1069"/>
      <c r="WXD287" s="1069"/>
      <c r="WXE287" s="1069"/>
      <c r="WXF287" s="1069"/>
      <c r="WXG287" s="1069"/>
      <c r="WXH287" s="1069"/>
      <c r="WXI287" s="1069"/>
      <c r="WXJ287" s="1069"/>
      <c r="WXK287" s="1069"/>
      <c r="WXL287" s="1069"/>
      <c r="WXM287" s="1069"/>
      <c r="WXN287" s="1069"/>
      <c r="WXO287" s="1069"/>
      <c r="WXP287" s="1069"/>
      <c r="WXQ287" s="1069"/>
      <c r="WXR287" s="1069"/>
      <c r="WXS287" s="1069"/>
      <c r="WXT287" s="1069"/>
      <c r="WXU287" s="1069"/>
      <c r="WXV287" s="1069"/>
      <c r="WXW287" s="1069"/>
      <c r="WXX287" s="1069"/>
      <c r="WXY287" s="1069"/>
      <c r="WXZ287" s="1069"/>
      <c r="WYA287" s="1069"/>
      <c r="WYB287" s="1069"/>
      <c r="WYC287" s="1069"/>
      <c r="WYD287" s="1069"/>
      <c r="WYE287" s="1069"/>
      <c r="WYF287" s="1069"/>
      <c r="WYG287" s="1069"/>
      <c r="WYH287" s="1069"/>
      <c r="WYI287" s="1069"/>
      <c r="WYJ287" s="1069"/>
      <c r="WYK287" s="1069"/>
      <c r="WYL287" s="1069"/>
      <c r="WYM287" s="1069"/>
      <c r="WYN287" s="1069"/>
      <c r="WYO287" s="1069"/>
      <c r="WYP287" s="1069"/>
      <c r="WYQ287" s="1069"/>
      <c r="WYR287" s="1069"/>
      <c r="WYS287" s="1069"/>
      <c r="WYT287" s="1069"/>
      <c r="WYU287" s="1069"/>
      <c r="WYV287" s="1069"/>
      <c r="WYW287" s="1069"/>
      <c r="WYX287" s="1069"/>
      <c r="WYY287" s="1069"/>
      <c r="WYZ287" s="1069"/>
      <c r="WZA287" s="1069"/>
      <c r="WZB287" s="1069"/>
      <c r="WZC287" s="1069"/>
      <c r="WZD287" s="1069"/>
      <c r="WZE287" s="1069"/>
      <c r="WZF287" s="1069"/>
      <c r="WZG287" s="1069"/>
      <c r="WZH287" s="1069"/>
      <c r="WZI287" s="1069"/>
      <c r="WZJ287" s="1069"/>
      <c r="WZK287" s="1069"/>
      <c r="WZL287" s="1069"/>
      <c r="WZM287" s="1069"/>
      <c r="WZN287" s="1069"/>
      <c r="WZO287" s="1069"/>
      <c r="WZP287" s="1069"/>
      <c r="WZQ287" s="1069"/>
      <c r="WZR287" s="1069"/>
      <c r="WZS287" s="1069"/>
      <c r="WZT287" s="1069"/>
      <c r="WZU287" s="1069"/>
      <c r="WZV287" s="1069"/>
      <c r="WZW287" s="1069"/>
      <c r="WZX287" s="1069"/>
      <c r="WZY287" s="1069"/>
      <c r="WZZ287" s="1069"/>
      <c r="XAA287" s="1069"/>
      <c r="XAB287" s="1069"/>
      <c r="XAC287" s="1069"/>
      <c r="XAD287" s="1069"/>
      <c r="XAE287" s="1069"/>
      <c r="XAF287" s="1069"/>
      <c r="XAG287" s="1069"/>
      <c r="XAH287" s="1069"/>
      <c r="XAI287" s="1069"/>
      <c r="XAJ287" s="1069"/>
      <c r="XAK287" s="1069"/>
      <c r="XAL287" s="1069"/>
      <c r="XAM287" s="1069"/>
      <c r="XAN287" s="1069"/>
      <c r="XAO287" s="1069"/>
      <c r="XAP287" s="1069"/>
      <c r="XAQ287" s="1069"/>
      <c r="XAR287" s="1069"/>
      <c r="XAS287" s="1069"/>
      <c r="XAT287" s="1069"/>
      <c r="XAU287" s="1069"/>
      <c r="XAV287" s="1069"/>
      <c r="XAW287" s="1069"/>
      <c r="XAX287" s="1069"/>
      <c r="XAY287" s="1069"/>
      <c r="XAZ287" s="1069"/>
      <c r="XBA287" s="1069"/>
      <c r="XBB287" s="1069"/>
      <c r="XBC287" s="1069"/>
      <c r="XBD287" s="1069"/>
      <c r="XBE287" s="1069"/>
      <c r="XBF287" s="1069"/>
      <c r="XBG287" s="1069"/>
      <c r="XBH287" s="1069"/>
      <c r="XBI287" s="1069"/>
      <c r="XBJ287" s="1069"/>
      <c r="XBK287" s="1069"/>
      <c r="XBL287" s="1069"/>
      <c r="XBM287" s="1069"/>
      <c r="XBN287" s="1069"/>
      <c r="XBO287" s="1069"/>
      <c r="XBP287" s="1069"/>
      <c r="XBQ287" s="1069"/>
      <c r="XBR287" s="1069"/>
      <c r="XBS287" s="1069"/>
      <c r="XBT287" s="1069"/>
      <c r="XBU287" s="1069"/>
      <c r="XBV287" s="1069"/>
      <c r="XBW287" s="1069"/>
      <c r="XBX287" s="1069"/>
      <c r="XBY287" s="1069"/>
      <c r="XBZ287" s="1069"/>
      <c r="XCA287" s="1069"/>
      <c r="XCB287" s="1069"/>
      <c r="XCC287" s="1069"/>
      <c r="XCD287" s="1069"/>
      <c r="XCE287" s="1069"/>
      <c r="XCF287" s="1069"/>
      <c r="XCG287" s="1069"/>
      <c r="XCH287" s="1069"/>
      <c r="XCI287" s="1069"/>
      <c r="XCJ287" s="1069"/>
      <c r="XCK287" s="1069"/>
      <c r="XCL287" s="1069"/>
      <c r="XCM287" s="1069"/>
      <c r="XCN287" s="1069"/>
      <c r="XCO287" s="1069"/>
      <c r="XCP287" s="1069"/>
      <c r="XCQ287" s="1069"/>
      <c r="XCR287" s="1069"/>
      <c r="XCS287" s="1069"/>
      <c r="XCT287" s="1069"/>
      <c r="XCU287" s="1069"/>
      <c r="XCV287" s="1069"/>
      <c r="XCW287" s="1069"/>
      <c r="XCX287" s="1069"/>
      <c r="XCY287" s="1069"/>
      <c r="XCZ287" s="1069"/>
      <c r="XDA287" s="1069"/>
      <c r="XDB287" s="1069"/>
      <c r="XDC287" s="1069"/>
      <c r="XDD287" s="1069"/>
      <c r="XDE287" s="1069"/>
      <c r="XDF287" s="1069"/>
      <c r="XDG287" s="1069"/>
      <c r="XDH287" s="1069"/>
      <c r="XDI287" s="1069"/>
      <c r="XDJ287" s="1069"/>
      <c r="XDK287" s="1069"/>
      <c r="XDL287" s="1069"/>
      <c r="XDM287" s="1069"/>
      <c r="XDN287" s="1069"/>
      <c r="XDO287" s="1069"/>
      <c r="XDP287" s="1069"/>
      <c r="XDQ287" s="1069"/>
      <c r="XDR287" s="1069"/>
      <c r="XDS287" s="1069"/>
      <c r="XDT287" s="1069"/>
      <c r="XDU287" s="1069"/>
      <c r="XDV287" s="1069"/>
      <c r="XDW287" s="1069"/>
      <c r="XDX287" s="1069"/>
      <c r="XDY287" s="1069"/>
      <c r="XDZ287" s="1069"/>
      <c r="XEA287" s="1069"/>
      <c r="XEB287" s="1069"/>
      <c r="XEC287" s="1069"/>
    </row>
    <row r="288" spans="1:16357" s="1069" customFormat="1" ht="12.75" hidden="1" customHeight="1" outlineLevel="1" x14ac:dyDescent="0.35">
      <c r="A288" s="521" t="s">
        <v>708</v>
      </c>
      <c r="B288" s="50"/>
      <c r="C288" s="826"/>
      <c r="D288" s="827"/>
      <c r="E288" s="827"/>
      <c r="F288" s="828"/>
      <c r="G288" s="50"/>
      <c r="H288" s="826"/>
      <c r="I288" s="827"/>
      <c r="J288" s="827"/>
      <c r="K288" s="827"/>
      <c r="L288" s="50"/>
      <c r="M288" s="827"/>
      <c r="N288" s="827"/>
      <c r="O288" s="827"/>
      <c r="P288" s="827"/>
      <c r="Q288" s="50"/>
      <c r="R288" s="46"/>
      <c r="S288" s="46"/>
      <c r="T288" s="46"/>
      <c r="U288" s="47"/>
      <c r="V288" s="50"/>
      <c r="W288" s="46"/>
      <c r="X288" s="46"/>
      <c r="Y288" s="46"/>
      <c r="Z288" s="47"/>
      <c r="AA288" s="52"/>
      <c r="AB288" s="82"/>
      <c r="AC288" s="46"/>
      <c r="AD288" s="46"/>
      <c r="AE288" s="46"/>
      <c r="AF288" s="50"/>
      <c r="AG288" s="46"/>
      <c r="AH288" s="46"/>
      <c r="AI288" s="46"/>
      <c r="AJ288" s="46"/>
      <c r="AK288" s="50"/>
      <c r="AL288" s="46"/>
      <c r="AM288" s="46"/>
      <c r="AN288" s="46"/>
      <c r="AO288" s="46"/>
      <c r="AP288" s="50"/>
      <c r="AQ288" s="46"/>
      <c r="AR288" s="46"/>
      <c r="AS288" s="46"/>
      <c r="AT288" s="46"/>
      <c r="AU288" s="81"/>
      <c r="AV288" s="49"/>
      <c r="AW288" s="46"/>
      <c r="AX288" s="46"/>
      <c r="AY288" s="46"/>
      <c r="AZ288" s="46"/>
      <c r="BA288" s="50"/>
      <c r="BB288" s="46"/>
      <c r="BC288" s="46"/>
      <c r="BD288" s="46"/>
      <c r="BE288" s="46"/>
      <c r="BF288" s="50"/>
      <c r="BG288" s="46"/>
      <c r="BH288" s="46"/>
      <c r="BI288" s="46"/>
      <c r="BJ288" s="46"/>
      <c r="BK288" s="50"/>
      <c r="BL288" s="852">
        <f>BL286*BL287</f>
        <v>55.598000000000035</v>
      </c>
      <c r="BM288" s="852">
        <f t="shared" ref="BM288:BO288" si="1560">BM286*BM287</f>
        <v>69.577999999999975</v>
      </c>
      <c r="BN288" s="852">
        <f t="shared" si="1560"/>
        <v>62.350999999999992</v>
      </c>
      <c r="BO288" s="852">
        <f t="shared" si="1560"/>
        <v>64.911000000000016</v>
      </c>
      <c r="BP288" s="50">
        <f>SUM(BL288:BO288)</f>
        <v>252.43800000000005</v>
      </c>
      <c r="BQ288" s="852">
        <f>BQ286*BQ287</f>
        <v>58.35299999999998</v>
      </c>
      <c r="BR288" s="852">
        <f t="shared" ref="BR288" si="1561">BR286*BR287</f>
        <v>73.362000000000066</v>
      </c>
      <c r="BS288" s="852">
        <f t="shared" ref="BS288" si="1562">BS286*BS287</f>
        <v>76.65600000000002</v>
      </c>
      <c r="BT288" s="852">
        <f t="shared" ref="BT288" si="1563">BT286*BT287</f>
        <v>68.861000000000004</v>
      </c>
      <c r="BU288" s="50">
        <f>SUM(BQ288:BT288)</f>
        <v>277.23200000000003</v>
      </c>
      <c r="BV288" s="1309">
        <f>BV286*BV287</f>
        <v>471.05961889539788</v>
      </c>
      <c r="BW288" s="1309">
        <f t="shared" ref="BW288:BY288" si="1564">BW286*BW287</f>
        <v>524.78747517963666</v>
      </c>
      <c r="BX288" s="1309">
        <f t="shared" si="1564"/>
        <v>553.59721687904812</v>
      </c>
      <c r="BY288" s="1309">
        <f t="shared" si="1564"/>
        <v>563.79337165483378</v>
      </c>
      <c r="BZ288" s="50">
        <f>SUM(BV288:BY288)</f>
        <v>2113.2376826089162</v>
      </c>
      <c r="CA288" s="852">
        <f>CA286*CA287</f>
        <v>471.05961889539788</v>
      </c>
      <c r="CB288" s="852">
        <f t="shared" ref="CB288" si="1565">CB286*CB287</f>
        <v>524.78747517963666</v>
      </c>
      <c r="CC288" s="852">
        <f t="shared" ref="CC288" si="1566">CC286*CC287</f>
        <v>553.59721687904812</v>
      </c>
      <c r="CD288" s="852">
        <f t="shared" ref="CD288" si="1567">CD286*CD287</f>
        <v>563.79337165483378</v>
      </c>
      <c r="CE288" s="50">
        <f>SUM(CA288:CD288)</f>
        <v>2113.2376826089162</v>
      </c>
      <c r="CF288" s="852">
        <f>CF286*CF287</f>
        <v>518.98181746167938</v>
      </c>
      <c r="CG288" s="852">
        <f t="shared" ref="CG288" si="1568">CG286*CG287</f>
        <v>553.30663194217823</v>
      </c>
      <c r="CH288" s="852">
        <f t="shared" ref="CH288" si="1569">CH286*CH287</f>
        <v>580.21926193547165</v>
      </c>
      <c r="CI288" s="852">
        <f t="shared" ref="CI288" si="1570">CI286*CI287</f>
        <v>584.34877468216507</v>
      </c>
      <c r="CJ288" s="50">
        <f>SUM(CF288:CI288)</f>
        <v>2236.8564860214942</v>
      </c>
      <c r="CK288" s="852">
        <f>CK286*CK287</f>
        <v>526.98624028106804</v>
      </c>
      <c r="CL288" s="852">
        <f t="shared" ref="CL288" si="1571">CL286*CL287</f>
        <v>565.20547861212947</v>
      </c>
      <c r="CM288" s="852">
        <f t="shared" ref="CM288" si="1572">CM286*CM287</f>
        <v>599.78246677254617</v>
      </c>
      <c r="CN288" s="852">
        <f t="shared" ref="CN288" si="1573">CN286*CN287</f>
        <v>605.00595624610276</v>
      </c>
      <c r="CO288" s="50">
        <f>SUM(CK288:CN288)</f>
        <v>2296.9801419118467</v>
      </c>
      <c r="CP288" s="852">
        <f>CP286*CP287</f>
        <v>541.91691550656549</v>
      </c>
      <c r="CQ288" s="852">
        <f t="shared" ref="CQ288" si="1574">CQ286*CQ287</f>
        <v>582.13793220054629</v>
      </c>
      <c r="CR288" s="852">
        <f t="shared" ref="CR288" si="1575">CR286*CR287</f>
        <v>614.97153981751285</v>
      </c>
      <c r="CS288" s="852">
        <f t="shared" ref="CS288" si="1576">CS286*CS287</f>
        <v>612.95695260226466</v>
      </c>
      <c r="CT288" s="50">
        <f>SUM(CP288:CS288)</f>
        <v>2351.9833401268893</v>
      </c>
      <c r="CU288" s="852">
        <f>CU286*CU287</f>
        <v>552.88526434859671</v>
      </c>
      <c r="CV288" s="852">
        <f t="shared" ref="CV288" si="1577">CV286*CV287</f>
        <v>594.05716212694733</v>
      </c>
      <c r="CW288" s="852">
        <f t="shared" ref="CW288" si="1578">CW286*CW287</f>
        <v>627.8655778281709</v>
      </c>
      <c r="CX288" s="852">
        <f t="shared" ref="CX288" si="1579">CX286*CX287</f>
        <v>629.04687936817731</v>
      </c>
      <c r="CY288" s="50">
        <f>SUM(CU288:CX288)</f>
        <v>2403.8548836718919</v>
      </c>
      <c r="CZ288" s="852">
        <f>CZ286*CZ287</f>
        <v>574.25299322731883</v>
      </c>
      <c r="DA288" s="852">
        <f t="shared" ref="DA288" si="1580">DA286*DA287</f>
        <v>610.22043635621048</v>
      </c>
      <c r="DB288" s="852">
        <f t="shared" ref="DB288" si="1581">DB286*DB287</f>
        <v>645.33226384966736</v>
      </c>
      <c r="DC288" s="852">
        <f t="shared" ref="DC288" si="1582">DC286*DC287</f>
        <v>647.32811255341085</v>
      </c>
      <c r="DD288" s="50">
        <f>SUM(CZ288:DC288)</f>
        <v>2477.1338059866075</v>
      </c>
      <c r="DE288" s="852">
        <f>DE286*DE287</f>
        <v>585.36555446885848</v>
      </c>
      <c r="DF288" s="852">
        <f t="shared" ref="DF288" si="1583">DF286*DF287</f>
        <v>628.92122910764863</v>
      </c>
      <c r="DG288" s="852">
        <f t="shared" ref="DG288" si="1584">DG286*DG287</f>
        <v>665.08382657541915</v>
      </c>
      <c r="DH288" s="852">
        <f t="shared" ref="DH288" si="1585">DH286*DH287</f>
        <v>667.51708236109141</v>
      </c>
      <c r="DI288" s="50">
        <f>SUM(DE288:DH288)</f>
        <v>2546.8876925130176</v>
      </c>
      <c r="DJ288" s="852">
        <f>DJ286*DJ287</f>
        <v>604.92490006532057</v>
      </c>
      <c r="DK288" s="852">
        <f t="shared" ref="DK288" si="1586">DK286*DK287</f>
        <v>651.09321040178486</v>
      </c>
      <c r="DL288" s="852">
        <f t="shared" ref="DL288" si="1587">DL286*DL287</f>
        <v>689.74114842966696</v>
      </c>
      <c r="DM288" s="852">
        <f t="shared" ref="DM288" si="1588">DM286*DM287</f>
        <v>692.62743263105472</v>
      </c>
      <c r="DN288" s="50">
        <f>SUM(DJ288:DM288)</f>
        <v>2638.3866915278272</v>
      </c>
      <c r="DO288" s="852"/>
      <c r="DP288" s="852"/>
      <c r="DQ288" s="852"/>
      <c r="DR288" s="852"/>
      <c r="DS288" s="50"/>
      <c r="DT288" s="46"/>
      <c r="DU288" s="46"/>
      <c r="DV288" s="46"/>
      <c r="DW288" s="46"/>
      <c r="DX288" s="50"/>
      <c r="DY288" s="46"/>
      <c r="DZ288" s="46"/>
      <c r="EA288" s="46"/>
      <c r="EB288" s="46"/>
      <c r="EC288" s="50"/>
      <c r="ED288" s="46"/>
      <c r="EE288" s="37"/>
      <c r="EF288" s="286"/>
      <c r="EG288" s="25"/>
      <c r="EH288" s="25"/>
      <c r="EI288" s="25"/>
      <c r="EJ288" s="25"/>
      <c r="EK288" s="25"/>
      <c r="EL288" s="25"/>
      <c r="EM288" s="25"/>
      <c r="EN288" s="25"/>
      <c r="EO288" s="25"/>
      <c r="EP288" s="25"/>
      <c r="EQ288" s="25"/>
      <c r="ER288" s="25"/>
      <c r="ES288" s="25"/>
      <c r="ET288" s="25"/>
      <c r="EU288" s="25"/>
      <c r="EX288" s="25"/>
      <c r="EY288" s="294"/>
      <c r="EZ288" s="985"/>
      <c r="FA288" s="985"/>
      <c r="FB288" s="294"/>
      <c r="FC288" s="985"/>
      <c r="FD288" s="25"/>
      <c r="FE288"/>
      <c r="FF288"/>
      <c r="FG288"/>
      <c r="FH288"/>
      <c r="FI288"/>
      <c r="FJ288"/>
    </row>
    <row r="289" spans="1:16357" s="1069" customFormat="1" ht="12.75" hidden="1" customHeight="1" outlineLevel="1" x14ac:dyDescent="0.35">
      <c r="A289" s="521"/>
      <c r="B289" s="50"/>
      <c r="C289" s="826"/>
      <c r="D289" s="827"/>
      <c r="E289" s="827"/>
      <c r="F289" s="828"/>
      <c r="G289" s="50"/>
      <c r="H289" s="826"/>
      <c r="I289" s="827"/>
      <c r="J289" s="827"/>
      <c r="K289" s="827"/>
      <c r="L289" s="50"/>
      <c r="M289" s="827"/>
      <c r="N289" s="827"/>
      <c r="O289" s="827"/>
      <c r="P289" s="827"/>
      <c r="Q289" s="50"/>
      <c r="R289" s="46"/>
      <c r="S289" s="46"/>
      <c r="T289" s="46"/>
      <c r="U289" s="47"/>
      <c r="V289" s="50"/>
      <c r="W289" s="46"/>
      <c r="X289" s="46"/>
      <c r="Y289" s="46"/>
      <c r="Z289" s="47"/>
      <c r="AA289" s="52"/>
      <c r="AB289" s="82"/>
      <c r="AC289" s="46"/>
      <c r="AD289" s="46"/>
      <c r="AE289" s="46"/>
      <c r="AF289" s="50"/>
      <c r="AG289" s="46"/>
      <c r="AH289" s="46"/>
      <c r="AI289" s="46"/>
      <c r="AJ289" s="46"/>
      <c r="AK289" s="50"/>
      <c r="AL289" s="46"/>
      <c r="AM289" s="46"/>
      <c r="AN289" s="46"/>
      <c r="AO289" s="46"/>
      <c r="AP289" s="50"/>
      <c r="AQ289" s="46"/>
      <c r="AR289" s="46"/>
      <c r="AS289" s="46"/>
      <c r="AT289" s="46"/>
      <c r="AU289" s="81"/>
      <c r="AV289" s="49"/>
      <c r="AW289" s="46"/>
      <c r="AX289" s="46"/>
      <c r="AY289" s="46"/>
      <c r="AZ289" s="46"/>
      <c r="BA289" s="50"/>
      <c r="BB289" s="46"/>
      <c r="BC289" s="46"/>
      <c r="BD289" s="46"/>
      <c r="BE289" s="46"/>
      <c r="BF289" s="50"/>
      <c r="BG289" s="46"/>
      <c r="BH289" s="46"/>
      <c r="BI289" s="46"/>
      <c r="BJ289" s="46"/>
      <c r="BK289" s="50"/>
      <c r="BL289" s="852"/>
      <c r="BM289" s="852"/>
      <c r="BN289" s="852"/>
      <c r="BO289" s="852"/>
      <c r="BP289" s="50"/>
      <c r="BQ289" s="852"/>
      <c r="BR289" s="852"/>
      <c r="BS289" s="852"/>
      <c r="BT289" s="852"/>
      <c r="BU289" s="50"/>
      <c r="BV289" s="1309"/>
      <c r="BW289" s="1309"/>
      <c r="BX289" s="1309"/>
      <c r="BY289" s="1309"/>
      <c r="BZ289" s="50"/>
      <c r="CA289" s="852"/>
      <c r="CB289" s="852"/>
      <c r="CC289" s="852"/>
      <c r="CD289" s="852"/>
      <c r="CE289" s="50"/>
      <c r="CF289" s="852"/>
      <c r="CG289" s="852"/>
      <c r="CH289" s="852"/>
      <c r="CI289" s="852"/>
      <c r="CJ289" s="50"/>
      <c r="CK289" s="852"/>
      <c r="CL289" s="852"/>
      <c r="CM289" s="852"/>
      <c r="CN289" s="852"/>
      <c r="CO289" s="50"/>
      <c r="CP289" s="852"/>
      <c r="CQ289" s="852"/>
      <c r="CR289" s="852"/>
      <c r="CS289" s="852"/>
      <c r="CT289" s="50"/>
      <c r="CU289" s="852"/>
      <c r="CV289" s="852"/>
      <c r="CW289" s="852"/>
      <c r="CX289" s="852"/>
      <c r="CY289" s="50"/>
      <c r="CZ289" s="852"/>
      <c r="DA289" s="852"/>
      <c r="DB289" s="852"/>
      <c r="DC289" s="852"/>
      <c r="DD289" s="50"/>
      <c r="DE289" s="852"/>
      <c r="DF289" s="852"/>
      <c r="DG289" s="852"/>
      <c r="DH289" s="852"/>
      <c r="DI289" s="50"/>
      <c r="DJ289" s="852"/>
      <c r="DK289" s="852"/>
      <c r="DL289" s="852"/>
      <c r="DM289" s="852"/>
      <c r="DN289" s="50"/>
      <c r="DO289" s="852"/>
      <c r="DP289" s="852"/>
      <c r="DQ289" s="852"/>
      <c r="DR289" s="852"/>
      <c r="DS289" s="50"/>
      <c r="DT289" s="46"/>
      <c r="DU289" s="46"/>
      <c r="DV289" s="46"/>
      <c r="DW289" s="46"/>
      <c r="DX289" s="50"/>
      <c r="DY289" s="46"/>
      <c r="DZ289" s="46"/>
      <c r="EA289" s="46"/>
      <c r="EB289" s="46"/>
      <c r="EC289" s="50"/>
      <c r="ED289" s="46"/>
      <c r="EE289" s="37"/>
      <c r="EF289" s="286"/>
      <c r="EG289" s="25"/>
      <c r="EH289" s="25"/>
      <c r="EI289" s="25"/>
      <c r="EJ289" s="25"/>
      <c r="EK289" s="25"/>
      <c r="EL289" s="25"/>
      <c r="EM289" s="25"/>
      <c r="EN289" s="25"/>
      <c r="EO289" s="25"/>
      <c r="EP289" s="25"/>
      <c r="EQ289" s="25"/>
      <c r="ER289" s="25"/>
      <c r="ES289" s="25"/>
      <c r="ET289" s="25"/>
      <c r="EU289" s="25"/>
      <c r="EX289" s="25"/>
      <c r="EY289" s="294"/>
      <c r="EZ289" s="985"/>
      <c r="FA289" s="985"/>
      <c r="FB289" s="294"/>
      <c r="FC289" s="985"/>
      <c r="FD289" s="25"/>
      <c r="FE289"/>
      <c r="FF289"/>
      <c r="FG289"/>
      <c r="FH289"/>
      <c r="FI289"/>
      <c r="FJ289"/>
    </row>
    <row r="290" spans="1:16357" s="1072" customFormat="1" ht="12.75" hidden="1" customHeight="1" outlineLevel="1" x14ac:dyDescent="0.35">
      <c r="A290" s="1104" t="s">
        <v>711</v>
      </c>
      <c r="B290" s="438"/>
      <c r="C290" s="1138"/>
      <c r="D290" s="1139"/>
      <c r="E290" s="1139"/>
      <c r="F290" s="1140"/>
      <c r="G290" s="438"/>
      <c r="H290" s="1138"/>
      <c r="I290" s="1139"/>
      <c r="J290" s="1139"/>
      <c r="K290" s="1139"/>
      <c r="L290" s="438"/>
      <c r="M290" s="1139"/>
      <c r="N290" s="1139"/>
      <c r="O290" s="1139"/>
      <c r="P290" s="1139"/>
      <c r="Q290" s="438"/>
      <c r="R290" s="440"/>
      <c r="S290" s="440"/>
      <c r="T290" s="440"/>
      <c r="U290" s="441"/>
      <c r="V290" s="438"/>
      <c r="W290" s="440"/>
      <c r="X290" s="440"/>
      <c r="Y290" s="440"/>
      <c r="Z290" s="441"/>
      <c r="AA290" s="442"/>
      <c r="AB290" s="439"/>
      <c r="AC290" s="440"/>
      <c r="AD290" s="440"/>
      <c r="AE290" s="440"/>
      <c r="AF290" s="438"/>
      <c r="AG290" s="440"/>
      <c r="AH290" s="440"/>
      <c r="AI290" s="440"/>
      <c r="AJ290" s="440"/>
      <c r="AK290" s="438"/>
      <c r="AL290" s="440"/>
      <c r="AM290" s="440"/>
      <c r="AN290" s="440"/>
      <c r="AO290" s="440"/>
      <c r="AP290" s="438"/>
      <c r="AQ290" s="440"/>
      <c r="AR290" s="440"/>
      <c r="AS290" s="440"/>
      <c r="AT290" s="440"/>
      <c r="AU290" s="761"/>
      <c r="AV290" s="281"/>
      <c r="AW290" s="440"/>
      <c r="AX290" s="440"/>
      <c r="AY290" s="440"/>
      <c r="AZ290" s="440"/>
      <c r="BA290" s="438"/>
      <c r="BB290" s="440"/>
      <c r="BC290" s="440"/>
      <c r="BD290" s="440"/>
      <c r="BE290" s="440"/>
      <c r="BF290" s="438"/>
      <c r="BG290" s="440"/>
      <c r="BH290" s="440"/>
      <c r="BI290" s="440"/>
      <c r="BJ290" s="440"/>
      <c r="BK290" s="438"/>
      <c r="BL290" s="38"/>
      <c r="BM290" s="440"/>
      <c r="BN290" s="440"/>
      <c r="BO290" s="440"/>
      <c r="BP290" s="438"/>
      <c r="BQ290" s="38"/>
      <c r="BR290" s="440"/>
      <c r="BS290" s="440"/>
      <c r="BT290" s="440"/>
      <c r="BU290" s="438"/>
      <c r="BV290" s="1070"/>
      <c r="BW290" s="1300"/>
      <c r="BX290" s="1300"/>
      <c r="BY290" s="1300"/>
      <c r="BZ290" s="438"/>
      <c r="CA290" s="38"/>
      <c r="CB290" s="440"/>
      <c r="CC290" s="440"/>
      <c r="CD290" s="440"/>
      <c r="CE290" s="438"/>
      <c r="CF290" s="38"/>
      <c r="CG290" s="440"/>
      <c r="CH290" s="440"/>
      <c r="CI290" s="440"/>
      <c r="CJ290" s="438"/>
      <c r="CK290" s="38"/>
      <c r="CL290" s="440"/>
      <c r="CM290" s="440"/>
      <c r="CN290" s="440"/>
      <c r="CO290" s="438"/>
      <c r="CP290" s="38"/>
      <c r="CQ290" s="440"/>
      <c r="CR290" s="440"/>
      <c r="CS290" s="440"/>
      <c r="CT290" s="438"/>
      <c r="CU290" s="38"/>
      <c r="CV290" s="440"/>
      <c r="CW290" s="440"/>
      <c r="CX290" s="440"/>
      <c r="CY290" s="438"/>
      <c r="CZ290" s="38"/>
      <c r="DA290" s="440"/>
      <c r="DB290" s="440"/>
      <c r="DC290" s="440"/>
      <c r="DD290" s="438"/>
      <c r="DE290" s="38"/>
      <c r="DF290" s="440"/>
      <c r="DG290" s="440"/>
      <c r="DH290" s="440"/>
      <c r="DI290" s="438"/>
      <c r="DJ290" s="38"/>
      <c r="DK290" s="440"/>
      <c r="DL290" s="440"/>
      <c r="DM290" s="440"/>
      <c r="DN290" s="438"/>
      <c r="DO290" s="38"/>
      <c r="DP290" s="440"/>
      <c r="DQ290" s="440"/>
      <c r="DR290" s="440"/>
      <c r="DS290" s="438"/>
      <c r="DT290" s="440"/>
      <c r="DU290" s="440"/>
      <c r="DV290" s="440"/>
      <c r="DW290" s="440"/>
      <c r="DX290" s="438"/>
      <c r="DY290" s="440"/>
      <c r="DZ290" s="440"/>
      <c r="EA290" s="440"/>
      <c r="EB290" s="440"/>
      <c r="EC290" s="438"/>
      <c r="ED290" s="852"/>
      <c r="EE290" s="64"/>
      <c r="EF290" s="1141"/>
      <c r="EG290" s="120"/>
      <c r="EH290" s="120"/>
      <c r="EI290" s="120"/>
      <c r="EJ290" s="120"/>
      <c r="EK290" s="120"/>
      <c r="EL290" s="120"/>
      <c r="EM290" s="120"/>
      <c r="EN290" s="120"/>
      <c r="EO290" s="120"/>
      <c r="EP290" s="120"/>
      <c r="EQ290" s="120"/>
      <c r="ER290" s="120"/>
      <c r="ES290" s="120"/>
      <c r="ET290" s="120"/>
      <c r="EU290" s="120"/>
      <c r="EX290" s="120"/>
      <c r="EY290" s="1142"/>
      <c r="EZ290" s="1143"/>
      <c r="FA290" s="1143"/>
      <c r="FB290" s="1142"/>
      <c r="FC290" s="1143"/>
      <c r="FD290" s="120"/>
      <c r="FE290"/>
      <c r="FF290"/>
      <c r="FG290"/>
      <c r="FH290"/>
      <c r="FI290"/>
      <c r="FJ290"/>
      <c r="FK290" s="1144"/>
      <c r="FL290" s="1144"/>
      <c r="FM290" s="1144"/>
      <c r="FN290" s="1144"/>
      <c r="FO290" s="1144"/>
      <c r="FP290" s="1144"/>
      <c r="FQ290" s="1144"/>
      <c r="FR290" s="1144"/>
      <c r="FS290" s="1144"/>
      <c r="FT290" s="1144"/>
      <c r="FU290" s="1144"/>
      <c r="FV290" s="1144"/>
      <c r="FW290" s="1144"/>
      <c r="FX290" s="1144"/>
      <c r="FY290" s="1144"/>
      <c r="FZ290" s="1144"/>
      <c r="GA290" s="1144"/>
      <c r="GB290" s="1144"/>
      <c r="GC290" s="1144"/>
      <c r="GD290" s="1144"/>
      <c r="GE290" s="1144"/>
      <c r="GF290" s="1144"/>
      <c r="GG290" s="1144"/>
      <c r="GH290" s="1144"/>
      <c r="GI290" s="1144"/>
      <c r="GJ290" s="1144"/>
      <c r="GK290" s="1144"/>
      <c r="GL290" s="1144"/>
      <c r="GM290" s="1144"/>
      <c r="GN290" s="1144"/>
      <c r="GO290" s="1144"/>
      <c r="GP290" s="1144"/>
      <c r="GQ290" s="1144"/>
      <c r="GR290" s="1144"/>
      <c r="GS290" s="1144"/>
      <c r="GT290" s="1144"/>
      <c r="GU290" s="1144"/>
      <c r="GV290" s="1144"/>
      <c r="GW290" s="1144"/>
      <c r="GX290" s="1144"/>
      <c r="GY290" s="1144"/>
      <c r="GZ290" s="1144"/>
      <c r="HA290" s="1144"/>
      <c r="HB290" s="1144"/>
      <c r="HC290" s="1144"/>
      <c r="HD290" s="1144"/>
      <c r="HE290" s="1144"/>
      <c r="HF290" s="1144"/>
      <c r="HG290" s="1144"/>
      <c r="HH290" s="1144"/>
      <c r="HI290" s="1144"/>
      <c r="HJ290" s="1144"/>
      <c r="HK290" s="1144"/>
      <c r="HL290" s="1144"/>
      <c r="HM290" s="1144"/>
      <c r="HN290" s="1144"/>
      <c r="HO290" s="1144"/>
      <c r="HP290" s="1144"/>
      <c r="HQ290" s="1144"/>
      <c r="HR290" s="1144"/>
      <c r="HS290" s="1144"/>
      <c r="HT290" s="1144"/>
      <c r="HU290" s="1144"/>
      <c r="HV290" s="1144"/>
      <c r="HW290" s="1144"/>
      <c r="HX290" s="1144"/>
      <c r="HY290" s="1144"/>
      <c r="HZ290" s="1144"/>
      <c r="IA290" s="1144"/>
      <c r="IB290" s="1144"/>
      <c r="IC290" s="1144"/>
      <c r="ID290" s="1144"/>
      <c r="IE290" s="1144"/>
      <c r="IF290" s="1144"/>
      <c r="IG290" s="1144"/>
      <c r="IH290" s="1144"/>
      <c r="II290" s="1144"/>
      <c r="IJ290" s="1144"/>
      <c r="IK290" s="1144"/>
      <c r="IL290" s="1144"/>
      <c r="IM290" s="1144"/>
      <c r="IN290" s="1144"/>
      <c r="IO290" s="1144"/>
      <c r="IP290" s="1144"/>
      <c r="IQ290" s="1144"/>
      <c r="IR290" s="1144"/>
      <c r="IS290" s="1144"/>
      <c r="IT290" s="1144"/>
      <c r="IU290" s="1144"/>
      <c r="IV290" s="1144"/>
      <c r="IW290" s="1144"/>
      <c r="IX290" s="1144"/>
      <c r="IY290" s="1144"/>
      <c r="IZ290" s="1144"/>
      <c r="JA290" s="1144"/>
      <c r="JB290" s="1144"/>
      <c r="JC290" s="1144"/>
      <c r="JD290" s="1144"/>
      <c r="JE290" s="1144"/>
      <c r="JF290" s="1144"/>
      <c r="JG290" s="1144"/>
      <c r="JH290" s="1144"/>
      <c r="JI290" s="1144"/>
      <c r="JJ290" s="1144"/>
      <c r="JK290" s="1144"/>
      <c r="JL290" s="1144"/>
      <c r="JM290" s="1144"/>
      <c r="JN290" s="1144"/>
      <c r="JO290" s="1144"/>
      <c r="JP290" s="1144"/>
      <c r="JQ290" s="1144"/>
      <c r="JR290" s="1144"/>
      <c r="JS290" s="1144"/>
      <c r="JT290" s="1144"/>
      <c r="JU290" s="1144"/>
      <c r="JV290" s="1144"/>
      <c r="JW290" s="1144"/>
      <c r="JX290" s="1144"/>
      <c r="JY290" s="1144"/>
      <c r="JZ290" s="1144"/>
      <c r="KA290" s="1144"/>
      <c r="KB290" s="1144"/>
      <c r="KC290" s="1144"/>
      <c r="KD290" s="1144"/>
      <c r="KE290" s="1144"/>
      <c r="KF290" s="1144"/>
      <c r="KG290" s="1144"/>
      <c r="KH290" s="1144"/>
      <c r="KI290" s="1144"/>
      <c r="KJ290" s="1144"/>
      <c r="KK290" s="1144"/>
      <c r="KL290" s="1144"/>
      <c r="KM290" s="1144"/>
      <c r="KN290" s="1144"/>
      <c r="KO290" s="1144"/>
      <c r="KP290" s="1144"/>
      <c r="KQ290" s="1144"/>
      <c r="KR290" s="1144"/>
      <c r="KS290" s="1144"/>
      <c r="KT290" s="1144"/>
      <c r="KU290" s="1144"/>
      <c r="KV290" s="1144"/>
      <c r="KW290" s="1144"/>
      <c r="KX290" s="1144"/>
      <c r="KY290" s="1144"/>
      <c r="KZ290" s="1144"/>
      <c r="LA290" s="1144"/>
      <c r="LB290" s="1144"/>
      <c r="LC290" s="1144"/>
      <c r="LD290" s="1144"/>
      <c r="LE290" s="1144"/>
      <c r="LF290" s="1144"/>
      <c r="LG290" s="1144"/>
      <c r="LH290" s="1144"/>
      <c r="LI290" s="1144"/>
      <c r="LJ290" s="1144"/>
      <c r="LK290" s="1144"/>
      <c r="LL290" s="1144"/>
      <c r="LM290" s="1144"/>
      <c r="LN290" s="1144"/>
      <c r="LO290" s="1144"/>
      <c r="LP290" s="1144"/>
      <c r="LQ290" s="1144"/>
      <c r="LR290" s="1144"/>
      <c r="LS290" s="1144"/>
      <c r="LT290" s="1144"/>
      <c r="LU290" s="1144"/>
      <c r="LV290" s="1144"/>
      <c r="LW290" s="1144"/>
      <c r="LX290" s="1144"/>
      <c r="LY290" s="1144"/>
      <c r="LZ290" s="1144"/>
      <c r="MA290" s="1144"/>
      <c r="MB290" s="1144"/>
      <c r="MC290" s="1144"/>
      <c r="MD290" s="1144"/>
      <c r="ME290" s="1144"/>
      <c r="MF290" s="1144"/>
      <c r="MG290" s="1144"/>
      <c r="MH290" s="1144"/>
      <c r="MI290" s="1144"/>
      <c r="MJ290" s="1144"/>
      <c r="MK290" s="1144"/>
      <c r="ML290" s="1144"/>
      <c r="MM290" s="1144"/>
      <c r="MN290" s="1144"/>
      <c r="MO290" s="1144"/>
      <c r="MP290" s="1144"/>
      <c r="MQ290" s="1144"/>
      <c r="MR290" s="1144"/>
      <c r="MS290" s="1144"/>
      <c r="MT290" s="1144"/>
      <c r="MU290" s="1144"/>
      <c r="MV290" s="1144"/>
      <c r="MW290" s="1144"/>
      <c r="MX290" s="1144"/>
      <c r="MY290" s="1144"/>
      <c r="MZ290" s="1144"/>
      <c r="NA290" s="1144"/>
      <c r="NB290" s="1144"/>
      <c r="NC290" s="1144"/>
      <c r="ND290" s="1144"/>
      <c r="NE290" s="1144"/>
      <c r="NF290" s="1144"/>
      <c r="NG290" s="1144"/>
      <c r="NH290" s="1144"/>
      <c r="NI290" s="1144"/>
      <c r="NJ290" s="1144"/>
      <c r="NK290" s="1144"/>
      <c r="NL290" s="1144"/>
      <c r="NM290" s="1144"/>
      <c r="NN290" s="1144"/>
      <c r="NO290" s="1144"/>
      <c r="NP290" s="1144"/>
      <c r="NQ290" s="1144"/>
      <c r="NR290" s="1144"/>
      <c r="NS290" s="1144"/>
      <c r="NT290" s="1144"/>
      <c r="NU290" s="1144"/>
      <c r="NV290" s="1144"/>
      <c r="NW290" s="1144"/>
      <c r="NX290" s="1144"/>
      <c r="NY290" s="1144"/>
      <c r="NZ290" s="1144"/>
      <c r="OA290" s="1144"/>
      <c r="OB290" s="1144"/>
      <c r="OC290" s="1144"/>
      <c r="OD290" s="1144"/>
      <c r="OE290" s="1144"/>
      <c r="OF290" s="1144"/>
      <c r="OG290" s="1144"/>
      <c r="OH290" s="1144"/>
      <c r="OI290" s="1144"/>
      <c r="OJ290" s="1144"/>
      <c r="OK290" s="1144"/>
      <c r="OL290" s="1144"/>
      <c r="OM290" s="1144"/>
      <c r="ON290" s="1144"/>
      <c r="OO290" s="1144"/>
      <c r="OP290" s="1144"/>
      <c r="OQ290" s="1144"/>
      <c r="OR290" s="1144"/>
      <c r="OS290" s="1144"/>
      <c r="OT290" s="1144"/>
      <c r="OU290" s="1144"/>
      <c r="OV290" s="1144"/>
      <c r="OW290" s="1144"/>
      <c r="OX290" s="1144"/>
      <c r="OY290" s="1144"/>
      <c r="OZ290" s="1144"/>
      <c r="PA290" s="1144"/>
      <c r="PB290" s="1144"/>
      <c r="PC290" s="1144"/>
      <c r="PD290" s="1144"/>
      <c r="PE290" s="1144"/>
      <c r="PF290" s="1144"/>
      <c r="PG290" s="1144"/>
      <c r="PH290" s="1144"/>
      <c r="PI290" s="1144"/>
      <c r="PJ290" s="1144"/>
      <c r="PK290" s="1144"/>
      <c r="PL290" s="1144"/>
      <c r="PM290" s="1144"/>
      <c r="PN290" s="1144"/>
      <c r="PO290" s="1144"/>
      <c r="PP290" s="1144"/>
      <c r="PQ290" s="1144"/>
      <c r="PR290" s="1144"/>
      <c r="PS290" s="1144"/>
      <c r="PT290" s="1144"/>
      <c r="PU290" s="1144"/>
      <c r="PV290" s="1144"/>
      <c r="PW290" s="1144"/>
      <c r="PX290" s="1144"/>
      <c r="PY290" s="1144"/>
      <c r="PZ290" s="1144"/>
      <c r="QA290" s="1144"/>
      <c r="QB290" s="1144"/>
      <c r="QC290" s="1144"/>
      <c r="QD290" s="1144"/>
      <c r="QE290" s="1144"/>
      <c r="QF290" s="1144"/>
      <c r="QG290" s="1144"/>
      <c r="QH290" s="1144"/>
      <c r="QI290" s="1144"/>
      <c r="QJ290" s="1144"/>
      <c r="QK290" s="1144"/>
      <c r="QL290" s="1144"/>
      <c r="QM290" s="1144"/>
      <c r="QN290" s="1144"/>
      <c r="QO290" s="1144"/>
      <c r="QP290" s="1144"/>
      <c r="QQ290" s="1144"/>
      <c r="QR290" s="1144"/>
      <c r="QS290" s="1144"/>
      <c r="QT290" s="1144"/>
      <c r="QU290" s="1144"/>
      <c r="QV290" s="1144"/>
      <c r="QW290" s="1144"/>
      <c r="QX290" s="1144"/>
      <c r="QY290" s="1144"/>
      <c r="QZ290" s="1144"/>
      <c r="RA290" s="1144"/>
      <c r="RB290" s="1144"/>
      <c r="RC290" s="1144"/>
      <c r="RD290" s="1144"/>
      <c r="RE290" s="1144"/>
      <c r="RF290" s="1144"/>
      <c r="RG290" s="1144"/>
      <c r="RH290" s="1144"/>
      <c r="RI290" s="1144"/>
      <c r="RJ290" s="1144"/>
      <c r="RK290" s="1144"/>
      <c r="RL290" s="1144"/>
      <c r="RM290" s="1144"/>
      <c r="RN290" s="1144"/>
      <c r="RO290" s="1144"/>
      <c r="RP290" s="1144"/>
      <c r="RQ290" s="1144"/>
      <c r="RR290" s="1144"/>
      <c r="RS290" s="1144"/>
      <c r="RT290" s="1144"/>
      <c r="RU290" s="1144"/>
      <c r="RV290" s="1144"/>
      <c r="RW290" s="1144"/>
      <c r="RX290" s="1144"/>
      <c r="RY290" s="1144"/>
      <c r="RZ290" s="1144"/>
      <c r="SA290" s="1144"/>
      <c r="SB290" s="1144"/>
      <c r="SC290" s="1144"/>
      <c r="SD290" s="1144"/>
      <c r="SE290" s="1144"/>
      <c r="SF290" s="1144"/>
      <c r="SG290" s="1144"/>
      <c r="SH290" s="1144"/>
      <c r="SI290" s="1144"/>
      <c r="SJ290" s="1144"/>
      <c r="SK290" s="1144"/>
      <c r="SL290" s="1144"/>
      <c r="SM290" s="1144"/>
      <c r="SN290" s="1144"/>
      <c r="SO290" s="1144"/>
      <c r="SP290" s="1144"/>
      <c r="SQ290" s="1144"/>
      <c r="SR290" s="1144"/>
      <c r="SS290" s="1144"/>
      <c r="ST290" s="1144"/>
      <c r="SU290" s="1144"/>
      <c r="SV290" s="1144"/>
      <c r="SW290" s="1144"/>
      <c r="SX290" s="1144"/>
      <c r="SY290" s="1144"/>
      <c r="SZ290" s="1144"/>
      <c r="TA290" s="1144"/>
      <c r="TB290" s="1144"/>
      <c r="TC290" s="1144"/>
      <c r="TD290" s="1144"/>
      <c r="TE290" s="1144"/>
      <c r="TF290" s="1144"/>
      <c r="TG290" s="1144"/>
      <c r="TH290" s="1144"/>
      <c r="TI290" s="1144"/>
      <c r="TJ290" s="1144"/>
      <c r="TK290" s="1144"/>
      <c r="TL290" s="1144"/>
      <c r="TM290" s="1144"/>
      <c r="TN290" s="1144"/>
      <c r="TO290" s="1144"/>
      <c r="TP290" s="1144"/>
      <c r="TQ290" s="1144"/>
      <c r="TR290" s="1144"/>
      <c r="TS290" s="1144"/>
      <c r="TT290" s="1144"/>
      <c r="TU290" s="1144"/>
      <c r="TV290" s="1144"/>
      <c r="TW290" s="1144"/>
      <c r="TX290" s="1144"/>
      <c r="TY290" s="1144"/>
      <c r="TZ290" s="1144"/>
      <c r="UA290" s="1144"/>
      <c r="UB290" s="1144"/>
      <c r="UC290" s="1144"/>
      <c r="UD290" s="1144"/>
      <c r="UE290" s="1144"/>
      <c r="UF290" s="1144"/>
      <c r="UG290" s="1144"/>
      <c r="UH290" s="1144"/>
      <c r="UI290" s="1144"/>
      <c r="UJ290" s="1144"/>
      <c r="UK290" s="1144"/>
      <c r="UL290" s="1144"/>
      <c r="UM290" s="1144"/>
      <c r="UN290" s="1144"/>
      <c r="UO290" s="1144"/>
      <c r="UP290" s="1144"/>
      <c r="UQ290" s="1144"/>
      <c r="UR290" s="1144"/>
      <c r="US290" s="1144"/>
      <c r="UT290" s="1144"/>
      <c r="UU290" s="1144"/>
      <c r="UV290" s="1144"/>
      <c r="UW290" s="1144"/>
      <c r="UX290" s="1144"/>
      <c r="UY290" s="1144"/>
      <c r="UZ290" s="1144"/>
      <c r="VA290" s="1144"/>
      <c r="VB290" s="1144"/>
      <c r="VC290" s="1144"/>
      <c r="VD290" s="1144"/>
      <c r="VE290" s="1144"/>
      <c r="VF290" s="1144"/>
      <c r="VG290" s="1144"/>
      <c r="VH290" s="1144"/>
      <c r="VI290" s="1144"/>
      <c r="VJ290" s="1144"/>
      <c r="VK290" s="1144"/>
      <c r="VL290" s="1144"/>
      <c r="VM290" s="1144"/>
      <c r="VN290" s="1144"/>
      <c r="VO290" s="1144"/>
      <c r="VP290" s="1144"/>
      <c r="VQ290" s="1144"/>
      <c r="VR290" s="1144"/>
      <c r="VS290" s="1144"/>
      <c r="VT290" s="1144"/>
      <c r="VU290" s="1144"/>
      <c r="VV290" s="1144"/>
      <c r="VW290" s="1144"/>
      <c r="VX290" s="1144"/>
      <c r="VY290" s="1144"/>
      <c r="VZ290" s="1144"/>
      <c r="WA290" s="1144"/>
      <c r="WB290" s="1144"/>
      <c r="WC290" s="1144"/>
      <c r="WD290" s="1144"/>
      <c r="WE290" s="1144"/>
      <c r="WF290" s="1144"/>
      <c r="WG290" s="1144"/>
      <c r="WH290" s="1144"/>
      <c r="WI290" s="1144"/>
      <c r="WJ290" s="1144"/>
      <c r="WK290" s="1144"/>
      <c r="WL290" s="1144"/>
      <c r="WM290" s="1144"/>
      <c r="WN290" s="1144"/>
      <c r="WO290" s="1144"/>
      <c r="WP290" s="1144"/>
      <c r="WQ290" s="1144"/>
      <c r="WR290" s="1144"/>
      <c r="WS290" s="1144"/>
      <c r="WT290" s="1144"/>
      <c r="WU290" s="1144"/>
      <c r="WV290" s="1144"/>
      <c r="WW290" s="1144"/>
      <c r="WX290" s="1144"/>
      <c r="WY290" s="1144"/>
      <c r="WZ290" s="1144"/>
      <c r="XA290" s="1144"/>
      <c r="XB290" s="1144"/>
      <c r="XC290" s="1144"/>
      <c r="XD290" s="1144"/>
      <c r="XE290" s="1144"/>
      <c r="XF290" s="1144"/>
      <c r="XG290" s="1144"/>
      <c r="XH290" s="1144"/>
      <c r="XI290" s="1144"/>
      <c r="XJ290" s="1144"/>
      <c r="XK290" s="1144"/>
      <c r="XL290" s="1144"/>
      <c r="XM290" s="1144"/>
      <c r="XN290" s="1144"/>
      <c r="XO290" s="1144"/>
      <c r="XP290" s="1144"/>
      <c r="XQ290" s="1144"/>
      <c r="XR290" s="1144"/>
      <c r="XS290" s="1144"/>
      <c r="XT290" s="1144"/>
      <c r="XU290" s="1144"/>
      <c r="XV290" s="1144"/>
      <c r="XW290" s="1144"/>
      <c r="XX290" s="1144"/>
      <c r="XY290" s="1144"/>
      <c r="XZ290" s="1144"/>
      <c r="YA290" s="1144"/>
      <c r="YB290" s="1144"/>
      <c r="YC290" s="1144"/>
      <c r="YD290" s="1144"/>
      <c r="YE290" s="1144"/>
      <c r="YF290" s="1144"/>
      <c r="YG290" s="1144"/>
      <c r="YH290" s="1144"/>
      <c r="YI290" s="1144"/>
      <c r="YJ290" s="1144"/>
      <c r="YK290" s="1144"/>
      <c r="YL290" s="1144"/>
      <c r="YM290" s="1144"/>
      <c r="YN290" s="1144"/>
      <c r="YO290" s="1144"/>
      <c r="YP290" s="1144"/>
      <c r="YQ290" s="1144"/>
      <c r="YR290" s="1144"/>
      <c r="YS290" s="1144"/>
      <c r="YT290" s="1144"/>
      <c r="YU290" s="1144"/>
      <c r="YV290" s="1144"/>
      <c r="YW290" s="1144"/>
      <c r="YX290" s="1144"/>
      <c r="YY290" s="1144"/>
      <c r="YZ290" s="1144"/>
      <c r="ZA290" s="1144"/>
      <c r="ZB290" s="1144"/>
      <c r="ZC290" s="1144"/>
      <c r="ZD290" s="1144"/>
      <c r="ZE290" s="1144"/>
      <c r="ZF290" s="1144"/>
      <c r="ZG290" s="1144"/>
      <c r="ZH290" s="1144"/>
      <c r="ZI290" s="1144"/>
      <c r="ZJ290" s="1144"/>
      <c r="ZK290" s="1144"/>
      <c r="ZL290" s="1144"/>
      <c r="ZM290" s="1144"/>
      <c r="ZN290" s="1144"/>
      <c r="ZO290" s="1144"/>
      <c r="ZP290" s="1144"/>
      <c r="ZQ290" s="1144"/>
      <c r="ZR290" s="1144"/>
      <c r="ZS290" s="1144"/>
      <c r="ZT290" s="1144"/>
      <c r="ZU290" s="1144"/>
      <c r="ZV290" s="1144"/>
      <c r="ZW290" s="1144"/>
      <c r="ZX290" s="1144"/>
      <c r="ZY290" s="1144"/>
      <c r="ZZ290" s="1144"/>
      <c r="AAA290" s="1144"/>
      <c r="AAB290" s="1144"/>
      <c r="AAC290" s="1144"/>
      <c r="AAD290" s="1144"/>
      <c r="AAE290" s="1144"/>
      <c r="AAF290" s="1144"/>
      <c r="AAG290" s="1144"/>
      <c r="AAH290" s="1144"/>
      <c r="AAI290" s="1144"/>
      <c r="AAJ290" s="1144"/>
      <c r="AAK290" s="1144"/>
      <c r="AAL290" s="1144"/>
      <c r="AAM290" s="1144"/>
      <c r="AAN290" s="1144"/>
      <c r="AAO290" s="1144"/>
      <c r="AAP290" s="1144"/>
      <c r="AAQ290" s="1144"/>
      <c r="AAR290" s="1144"/>
      <c r="AAS290" s="1144"/>
      <c r="AAT290" s="1144"/>
      <c r="AAU290" s="1144"/>
      <c r="AAV290" s="1144"/>
      <c r="AAW290" s="1144"/>
      <c r="AAX290" s="1144"/>
      <c r="AAY290" s="1144"/>
      <c r="AAZ290" s="1144"/>
      <c r="ABA290" s="1144"/>
      <c r="ABB290" s="1144"/>
      <c r="ABC290" s="1144"/>
      <c r="ABD290" s="1144"/>
      <c r="ABE290" s="1144"/>
      <c r="ABF290" s="1144"/>
      <c r="ABG290" s="1144"/>
      <c r="ABH290" s="1144"/>
      <c r="ABI290" s="1144"/>
      <c r="ABJ290" s="1144"/>
      <c r="ABK290" s="1144"/>
      <c r="ABL290" s="1144"/>
      <c r="ABM290" s="1144"/>
      <c r="ABN290" s="1144"/>
      <c r="ABO290" s="1144"/>
      <c r="ABP290" s="1144"/>
      <c r="ABQ290" s="1144"/>
      <c r="ABR290" s="1144"/>
      <c r="ABS290" s="1144"/>
      <c r="ABT290" s="1144"/>
      <c r="ABU290" s="1144"/>
      <c r="ABV290" s="1144"/>
      <c r="ABW290" s="1144"/>
      <c r="ABX290" s="1144"/>
      <c r="ABY290" s="1144"/>
      <c r="ABZ290" s="1144"/>
      <c r="ACA290" s="1144"/>
      <c r="ACB290" s="1144"/>
      <c r="ACC290" s="1144"/>
      <c r="ACD290" s="1144"/>
      <c r="ACE290" s="1144"/>
      <c r="ACF290" s="1144"/>
      <c r="ACG290" s="1144"/>
      <c r="ACH290" s="1144"/>
      <c r="ACI290" s="1144"/>
      <c r="ACJ290" s="1144"/>
      <c r="ACK290" s="1144"/>
      <c r="ACL290" s="1144"/>
      <c r="ACM290" s="1144"/>
      <c r="ACN290" s="1144"/>
      <c r="ACO290" s="1144"/>
      <c r="ACP290" s="1144"/>
      <c r="ACQ290" s="1144"/>
      <c r="ACR290" s="1144"/>
      <c r="ACS290" s="1144"/>
      <c r="ACT290" s="1144"/>
      <c r="ACU290" s="1144"/>
      <c r="ACV290" s="1144"/>
      <c r="ACW290" s="1144"/>
      <c r="ACX290" s="1144"/>
      <c r="ACY290" s="1144"/>
      <c r="ACZ290" s="1144"/>
      <c r="ADA290" s="1144"/>
      <c r="ADB290" s="1144"/>
      <c r="ADC290" s="1144"/>
      <c r="ADD290" s="1144"/>
      <c r="ADE290" s="1144"/>
      <c r="ADF290" s="1144"/>
      <c r="ADG290" s="1144"/>
      <c r="ADH290" s="1144"/>
      <c r="ADI290" s="1144"/>
      <c r="ADJ290" s="1144"/>
      <c r="ADK290" s="1144"/>
      <c r="ADL290" s="1144"/>
      <c r="ADM290" s="1144"/>
      <c r="ADN290" s="1144"/>
      <c r="ADO290" s="1144"/>
      <c r="ADP290" s="1144"/>
      <c r="ADQ290" s="1144"/>
      <c r="ADR290" s="1144"/>
      <c r="ADS290" s="1144"/>
      <c r="ADT290" s="1144"/>
      <c r="ADU290" s="1144"/>
      <c r="ADV290" s="1144"/>
      <c r="ADW290" s="1144"/>
      <c r="ADX290" s="1144"/>
      <c r="ADY290" s="1144"/>
      <c r="ADZ290" s="1144"/>
      <c r="AEA290" s="1144"/>
      <c r="AEB290" s="1144"/>
      <c r="AEC290" s="1144"/>
      <c r="AED290" s="1144"/>
      <c r="AEE290" s="1144"/>
      <c r="AEF290" s="1144"/>
      <c r="AEG290" s="1144"/>
      <c r="AEH290" s="1144"/>
      <c r="AEI290" s="1144"/>
      <c r="AEJ290" s="1144"/>
      <c r="AEK290" s="1144"/>
      <c r="AEL290" s="1144"/>
      <c r="AEM290" s="1144"/>
      <c r="AEN290" s="1144"/>
      <c r="AEO290" s="1144"/>
      <c r="AEP290" s="1144"/>
      <c r="AEQ290" s="1144"/>
      <c r="AER290" s="1144"/>
      <c r="AES290" s="1144"/>
      <c r="AET290" s="1144"/>
      <c r="AEU290" s="1144"/>
      <c r="AEV290" s="1144"/>
      <c r="AEW290" s="1144"/>
      <c r="AEX290" s="1144"/>
      <c r="AEY290" s="1144"/>
      <c r="AEZ290" s="1144"/>
      <c r="AFA290" s="1144"/>
      <c r="AFB290" s="1144"/>
      <c r="AFC290" s="1144"/>
      <c r="AFD290" s="1144"/>
      <c r="AFE290" s="1144"/>
      <c r="AFF290" s="1144"/>
      <c r="AFG290" s="1144"/>
      <c r="AFH290" s="1144"/>
      <c r="AFI290" s="1144"/>
      <c r="AFJ290" s="1144"/>
      <c r="AFK290" s="1144"/>
      <c r="AFL290" s="1144"/>
      <c r="AFM290" s="1144"/>
      <c r="AFN290" s="1144"/>
      <c r="AFO290" s="1144"/>
      <c r="AFP290" s="1144"/>
      <c r="AFQ290" s="1144"/>
      <c r="AFR290" s="1144"/>
      <c r="AFS290" s="1144"/>
      <c r="AFT290" s="1144"/>
      <c r="AFU290" s="1144"/>
      <c r="AFV290" s="1144"/>
      <c r="AFW290" s="1144"/>
      <c r="AFX290" s="1144"/>
      <c r="AFY290" s="1144"/>
      <c r="AFZ290" s="1144"/>
      <c r="AGA290" s="1144"/>
      <c r="AGB290" s="1144"/>
      <c r="AGC290" s="1144"/>
      <c r="AGD290" s="1144"/>
      <c r="AGE290" s="1144"/>
      <c r="AGF290" s="1144"/>
      <c r="AGG290" s="1144"/>
      <c r="AGH290" s="1144"/>
      <c r="AGI290" s="1144"/>
      <c r="AGJ290" s="1144"/>
      <c r="AGK290" s="1144"/>
      <c r="AGL290" s="1144"/>
      <c r="AGM290" s="1144"/>
      <c r="AGN290" s="1144"/>
      <c r="AGO290" s="1144"/>
      <c r="AGP290" s="1144"/>
      <c r="AGQ290" s="1144"/>
      <c r="AGR290" s="1144"/>
      <c r="AGS290" s="1144"/>
      <c r="AGT290" s="1144"/>
      <c r="AGU290" s="1144"/>
      <c r="AGV290" s="1144"/>
      <c r="AGW290" s="1144"/>
      <c r="AGX290" s="1144"/>
      <c r="AGY290" s="1144"/>
      <c r="AGZ290" s="1144"/>
      <c r="AHA290" s="1144"/>
      <c r="AHB290" s="1144"/>
      <c r="AHC290" s="1144"/>
      <c r="AHD290" s="1144"/>
      <c r="AHE290" s="1144"/>
      <c r="AHF290" s="1144"/>
      <c r="AHG290" s="1144"/>
      <c r="AHH290" s="1144"/>
      <c r="AHI290" s="1144"/>
      <c r="AHJ290" s="1144"/>
      <c r="AHK290" s="1144"/>
      <c r="AHL290" s="1144"/>
      <c r="AHM290" s="1144"/>
      <c r="AHN290" s="1144"/>
      <c r="AHO290" s="1144"/>
      <c r="AHP290" s="1144"/>
      <c r="AHQ290" s="1144"/>
      <c r="AHR290" s="1144"/>
      <c r="AHS290" s="1144"/>
      <c r="AHT290" s="1144"/>
      <c r="AHU290" s="1144"/>
      <c r="AHV290" s="1144"/>
      <c r="AHW290" s="1144"/>
      <c r="AHX290" s="1144"/>
      <c r="AHY290" s="1144"/>
      <c r="AHZ290" s="1144"/>
      <c r="AIA290" s="1144"/>
      <c r="AIB290" s="1144"/>
      <c r="AIC290" s="1144"/>
      <c r="AID290" s="1144"/>
      <c r="AIE290" s="1144"/>
      <c r="AIF290" s="1144"/>
      <c r="AIG290" s="1144"/>
      <c r="AIH290" s="1144"/>
      <c r="AII290" s="1144"/>
      <c r="AIJ290" s="1144"/>
      <c r="AIK290" s="1144"/>
      <c r="AIL290" s="1144"/>
      <c r="AIM290" s="1144"/>
      <c r="AIN290" s="1144"/>
      <c r="AIO290" s="1144"/>
      <c r="AIP290" s="1144"/>
      <c r="AIQ290" s="1144"/>
      <c r="AIR290" s="1144"/>
      <c r="AIS290" s="1144"/>
      <c r="AIT290" s="1144"/>
      <c r="AIU290" s="1144"/>
      <c r="AIV290" s="1144"/>
      <c r="AIW290" s="1144"/>
      <c r="AIX290" s="1144"/>
      <c r="AIY290" s="1144"/>
      <c r="AIZ290" s="1144"/>
      <c r="AJA290" s="1144"/>
      <c r="AJB290" s="1144"/>
      <c r="AJC290" s="1144"/>
      <c r="AJD290" s="1144"/>
      <c r="AJE290" s="1144"/>
      <c r="AJF290" s="1144"/>
      <c r="AJG290" s="1144"/>
      <c r="AJH290" s="1144"/>
      <c r="AJI290" s="1144"/>
      <c r="AJJ290" s="1144"/>
      <c r="AJK290" s="1144"/>
      <c r="AJL290" s="1144"/>
      <c r="AJM290" s="1144"/>
      <c r="AJN290" s="1144"/>
      <c r="AJO290" s="1144"/>
      <c r="AJP290" s="1144"/>
      <c r="AJQ290" s="1144"/>
      <c r="AJR290" s="1144"/>
      <c r="AJS290" s="1144"/>
      <c r="AJT290" s="1144"/>
      <c r="AJU290" s="1144"/>
      <c r="AJV290" s="1144"/>
      <c r="AJW290" s="1144"/>
      <c r="AJX290" s="1144"/>
      <c r="AJY290" s="1144"/>
      <c r="AJZ290" s="1144"/>
      <c r="AKA290" s="1144"/>
      <c r="AKB290" s="1144"/>
      <c r="AKC290" s="1144"/>
      <c r="AKD290" s="1144"/>
      <c r="AKE290" s="1144"/>
      <c r="AKF290" s="1144"/>
      <c r="AKG290" s="1144"/>
      <c r="AKH290" s="1144"/>
      <c r="AKI290" s="1144"/>
      <c r="AKJ290" s="1144"/>
      <c r="AKK290" s="1144"/>
      <c r="AKL290" s="1144"/>
      <c r="AKM290" s="1144"/>
      <c r="AKN290" s="1144"/>
      <c r="AKO290" s="1144"/>
      <c r="AKP290" s="1144"/>
      <c r="AKQ290" s="1144"/>
      <c r="AKR290" s="1144"/>
      <c r="AKS290" s="1144"/>
      <c r="AKT290" s="1144"/>
      <c r="AKU290" s="1144"/>
      <c r="AKV290" s="1144"/>
      <c r="AKW290" s="1144"/>
      <c r="AKX290" s="1144"/>
      <c r="AKY290" s="1144"/>
      <c r="AKZ290" s="1144"/>
      <c r="ALA290" s="1144"/>
      <c r="ALB290" s="1144"/>
      <c r="ALC290" s="1144"/>
      <c r="ALD290" s="1144"/>
      <c r="ALE290" s="1144"/>
      <c r="ALF290" s="1144"/>
      <c r="ALG290" s="1144"/>
      <c r="ALH290" s="1144"/>
      <c r="ALI290" s="1144"/>
      <c r="ALJ290" s="1144"/>
      <c r="ALK290" s="1144"/>
      <c r="ALL290" s="1144"/>
      <c r="ALM290" s="1144"/>
      <c r="ALN290" s="1144"/>
      <c r="ALO290" s="1144"/>
      <c r="ALP290" s="1144"/>
      <c r="ALQ290" s="1144"/>
      <c r="ALR290" s="1144"/>
      <c r="ALS290" s="1144"/>
      <c r="ALT290" s="1144"/>
      <c r="ALU290" s="1144"/>
      <c r="ALV290" s="1144"/>
      <c r="ALW290" s="1144"/>
      <c r="ALX290" s="1144"/>
      <c r="ALY290" s="1144"/>
      <c r="ALZ290" s="1144"/>
      <c r="AMA290" s="1144"/>
      <c r="AMB290" s="1144"/>
      <c r="AMC290" s="1144"/>
      <c r="AMD290" s="1144"/>
      <c r="AME290" s="1144"/>
      <c r="AMF290" s="1144"/>
      <c r="AMG290" s="1144"/>
      <c r="AMH290" s="1144"/>
      <c r="AMI290" s="1144"/>
      <c r="AMJ290" s="1144"/>
      <c r="AMK290" s="1144"/>
      <c r="AML290" s="1144"/>
      <c r="AMM290" s="1144"/>
      <c r="AMN290" s="1144"/>
      <c r="AMO290" s="1144"/>
      <c r="AMP290" s="1144"/>
      <c r="AMQ290" s="1144"/>
      <c r="AMR290" s="1144"/>
      <c r="AMS290" s="1144"/>
      <c r="AMT290" s="1144"/>
      <c r="AMU290" s="1144"/>
      <c r="AMV290" s="1144"/>
      <c r="AMW290" s="1144"/>
      <c r="AMX290" s="1144"/>
      <c r="AMY290" s="1144"/>
      <c r="AMZ290" s="1144"/>
      <c r="ANA290" s="1144"/>
      <c r="ANB290" s="1144"/>
      <c r="ANC290" s="1144"/>
      <c r="AND290" s="1144"/>
      <c r="ANE290" s="1144"/>
      <c r="ANF290" s="1144"/>
      <c r="ANG290" s="1144"/>
      <c r="ANH290" s="1144"/>
      <c r="ANI290" s="1144"/>
      <c r="ANJ290" s="1144"/>
      <c r="ANK290" s="1144"/>
      <c r="ANL290" s="1144"/>
      <c r="ANM290" s="1144"/>
      <c r="ANN290" s="1144"/>
      <c r="ANO290" s="1144"/>
      <c r="ANP290" s="1144"/>
      <c r="ANQ290" s="1144"/>
      <c r="ANR290" s="1144"/>
      <c r="ANS290" s="1144"/>
      <c r="ANT290" s="1144"/>
      <c r="ANU290" s="1144"/>
      <c r="ANV290" s="1144"/>
      <c r="ANW290" s="1144"/>
      <c r="ANX290" s="1144"/>
      <c r="ANY290" s="1144"/>
      <c r="ANZ290" s="1144"/>
      <c r="AOA290" s="1144"/>
      <c r="AOB290" s="1144"/>
      <c r="AOC290" s="1144"/>
      <c r="AOD290" s="1144"/>
      <c r="AOE290" s="1144"/>
      <c r="AOF290" s="1144"/>
      <c r="AOG290" s="1144"/>
      <c r="AOH290" s="1144"/>
      <c r="AOI290" s="1144"/>
      <c r="AOJ290" s="1144"/>
      <c r="AOK290" s="1144"/>
      <c r="AOL290" s="1144"/>
      <c r="AOM290" s="1144"/>
      <c r="AON290" s="1144"/>
      <c r="AOO290" s="1144"/>
      <c r="AOP290" s="1144"/>
      <c r="AOQ290" s="1144"/>
      <c r="AOR290" s="1144"/>
      <c r="AOS290" s="1144"/>
      <c r="AOT290" s="1144"/>
      <c r="AOU290" s="1144"/>
      <c r="AOV290" s="1144"/>
      <c r="AOW290" s="1144"/>
      <c r="AOX290" s="1144"/>
      <c r="AOY290" s="1144"/>
      <c r="AOZ290" s="1144"/>
      <c r="APA290" s="1144"/>
      <c r="APB290" s="1144"/>
      <c r="APC290" s="1144"/>
      <c r="APD290" s="1144"/>
      <c r="APE290" s="1144"/>
      <c r="APF290" s="1144"/>
      <c r="APG290" s="1144"/>
      <c r="APH290" s="1144"/>
      <c r="API290" s="1144"/>
      <c r="APJ290" s="1144"/>
      <c r="APK290" s="1144"/>
      <c r="APL290" s="1144"/>
      <c r="APM290" s="1144"/>
      <c r="APN290" s="1144"/>
      <c r="APO290" s="1144"/>
      <c r="APP290" s="1144"/>
      <c r="APQ290" s="1144"/>
      <c r="APR290" s="1144"/>
      <c r="APS290" s="1144"/>
      <c r="APT290" s="1144"/>
      <c r="APU290" s="1144"/>
      <c r="APV290" s="1144"/>
      <c r="APW290" s="1144"/>
      <c r="APX290" s="1144"/>
      <c r="APY290" s="1144"/>
      <c r="APZ290" s="1144"/>
      <c r="AQA290" s="1144"/>
      <c r="AQB290" s="1144"/>
      <c r="AQC290" s="1144"/>
      <c r="AQD290" s="1144"/>
      <c r="AQE290" s="1144"/>
      <c r="AQF290" s="1144"/>
      <c r="AQG290" s="1144"/>
      <c r="AQH290" s="1144"/>
      <c r="AQI290" s="1144"/>
      <c r="AQJ290" s="1144"/>
      <c r="AQK290" s="1144"/>
      <c r="AQL290" s="1144"/>
      <c r="AQM290" s="1144"/>
      <c r="AQN290" s="1144"/>
      <c r="AQO290" s="1144"/>
      <c r="AQP290" s="1144"/>
      <c r="AQQ290" s="1144"/>
      <c r="AQR290" s="1144"/>
      <c r="AQS290" s="1144"/>
      <c r="AQT290" s="1144"/>
      <c r="AQU290" s="1144"/>
      <c r="AQV290" s="1144"/>
      <c r="AQW290" s="1144"/>
      <c r="AQX290" s="1144"/>
      <c r="AQY290" s="1144"/>
      <c r="AQZ290" s="1144"/>
      <c r="ARA290" s="1144"/>
      <c r="ARB290" s="1144"/>
      <c r="ARC290" s="1144"/>
      <c r="ARD290" s="1144"/>
      <c r="ARE290" s="1144"/>
      <c r="ARF290" s="1144"/>
      <c r="ARG290" s="1144"/>
      <c r="ARH290" s="1144"/>
      <c r="ARI290" s="1144"/>
      <c r="ARJ290" s="1144"/>
      <c r="ARK290" s="1144"/>
      <c r="ARL290" s="1144"/>
      <c r="ARM290" s="1144"/>
      <c r="ARN290" s="1144"/>
      <c r="ARO290" s="1144"/>
      <c r="ARP290" s="1144"/>
      <c r="ARQ290" s="1144"/>
      <c r="ARR290" s="1144"/>
      <c r="ARS290" s="1144"/>
      <c r="ART290" s="1144"/>
      <c r="ARU290" s="1144"/>
      <c r="ARV290" s="1144"/>
      <c r="ARW290" s="1144"/>
      <c r="ARX290" s="1144"/>
      <c r="ARY290" s="1144"/>
      <c r="ARZ290" s="1144"/>
      <c r="ASA290" s="1144"/>
      <c r="ASB290" s="1144"/>
      <c r="ASC290" s="1144"/>
      <c r="ASD290" s="1144"/>
      <c r="ASE290" s="1144"/>
      <c r="ASF290" s="1144"/>
      <c r="ASG290" s="1144"/>
      <c r="ASH290" s="1144"/>
      <c r="ASI290" s="1144"/>
      <c r="ASJ290" s="1144"/>
      <c r="ASK290" s="1144"/>
      <c r="ASL290" s="1144"/>
      <c r="ASM290" s="1144"/>
      <c r="ASN290" s="1144"/>
      <c r="ASO290" s="1144"/>
      <c r="ASP290" s="1144"/>
      <c r="ASQ290" s="1144"/>
      <c r="ASR290" s="1144"/>
      <c r="ASS290" s="1144"/>
      <c r="AST290" s="1144"/>
      <c r="ASU290" s="1144"/>
      <c r="ASV290" s="1144"/>
      <c r="ASW290" s="1144"/>
      <c r="ASX290" s="1144"/>
      <c r="ASY290" s="1144"/>
      <c r="ASZ290" s="1144"/>
      <c r="ATA290" s="1144"/>
      <c r="ATB290" s="1144"/>
      <c r="ATC290" s="1144"/>
      <c r="ATD290" s="1144"/>
      <c r="ATE290" s="1144"/>
      <c r="ATF290" s="1144"/>
      <c r="ATG290" s="1144"/>
      <c r="ATH290" s="1144"/>
      <c r="ATI290" s="1144"/>
      <c r="ATJ290" s="1144"/>
      <c r="ATK290" s="1144"/>
      <c r="ATL290" s="1144"/>
      <c r="ATM290" s="1144"/>
      <c r="ATN290" s="1144"/>
      <c r="ATO290" s="1144"/>
      <c r="ATP290" s="1144"/>
      <c r="ATQ290" s="1144"/>
      <c r="ATR290" s="1144"/>
      <c r="ATS290" s="1144"/>
      <c r="ATT290" s="1144"/>
      <c r="ATU290" s="1144"/>
      <c r="ATV290" s="1144"/>
      <c r="ATW290" s="1144"/>
      <c r="ATX290" s="1144"/>
      <c r="ATY290" s="1144"/>
      <c r="ATZ290" s="1144"/>
      <c r="AUA290" s="1144"/>
      <c r="AUB290" s="1144"/>
      <c r="AUC290" s="1144"/>
      <c r="AUD290" s="1144"/>
      <c r="AUE290" s="1144"/>
      <c r="AUF290" s="1144"/>
      <c r="AUG290" s="1144"/>
      <c r="AUH290" s="1144"/>
      <c r="AUI290" s="1144"/>
      <c r="AUJ290" s="1144"/>
      <c r="AUK290" s="1144"/>
      <c r="AUL290" s="1144"/>
      <c r="AUM290" s="1144"/>
      <c r="AUN290" s="1144"/>
      <c r="AUO290" s="1144"/>
      <c r="AUP290" s="1144"/>
      <c r="AUQ290" s="1144"/>
      <c r="AUR290" s="1144"/>
      <c r="AUS290" s="1144"/>
      <c r="AUT290" s="1144"/>
      <c r="AUU290" s="1144"/>
      <c r="AUV290" s="1144"/>
      <c r="AUW290" s="1144"/>
      <c r="AUX290" s="1144"/>
      <c r="AUY290" s="1144"/>
      <c r="AUZ290" s="1144"/>
      <c r="AVA290" s="1144"/>
      <c r="AVB290" s="1144"/>
      <c r="AVC290" s="1144"/>
      <c r="AVD290" s="1144"/>
      <c r="AVE290" s="1144"/>
      <c r="AVF290" s="1144"/>
      <c r="AVG290" s="1144"/>
      <c r="AVH290" s="1144"/>
      <c r="AVI290" s="1144"/>
      <c r="AVJ290" s="1144"/>
      <c r="AVK290" s="1144"/>
      <c r="AVL290" s="1144"/>
      <c r="AVM290" s="1144"/>
      <c r="AVN290" s="1144"/>
      <c r="AVO290" s="1144"/>
      <c r="AVP290" s="1144"/>
      <c r="AVQ290" s="1144"/>
      <c r="AVR290" s="1144"/>
      <c r="AVS290" s="1144"/>
      <c r="AVT290" s="1144"/>
      <c r="AVU290" s="1144"/>
      <c r="AVV290" s="1144"/>
      <c r="AVW290" s="1144"/>
      <c r="AVX290" s="1144"/>
      <c r="AVY290" s="1144"/>
      <c r="AVZ290" s="1144"/>
      <c r="AWA290" s="1144"/>
      <c r="AWB290" s="1144"/>
      <c r="AWC290" s="1144"/>
      <c r="AWD290" s="1144"/>
      <c r="AWE290" s="1144"/>
      <c r="AWF290" s="1144"/>
      <c r="AWG290" s="1144"/>
      <c r="AWH290" s="1144"/>
      <c r="AWI290" s="1144"/>
      <c r="AWJ290" s="1144"/>
      <c r="AWK290" s="1144"/>
      <c r="AWL290" s="1144"/>
      <c r="AWM290" s="1144"/>
      <c r="AWN290" s="1144"/>
      <c r="AWO290" s="1144"/>
      <c r="AWP290" s="1144"/>
      <c r="AWQ290" s="1144"/>
      <c r="AWR290" s="1144"/>
      <c r="AWS290" s="1144"/>
      <c r="AWT290" s="1144"/>
      <c r="AWU290" s="1144"/>
      <c r="AWV290" s="1144"/>
      <c r="AWW290" s="1144"/>
      <c r="AWX290" s="1144"/>
      <c r="AWY290" s="1144"/>
      <c r="AWZ290" s="1144"/>
      <c r="AXA290" s="1144"/>
      <c r="AXB290" s="1144"/>
      <c r="AXC290" s="1144"/>
      <c r="AXD290" s="1144"/>
      <c r="AXE290" s="1144"/>
      <c r="AXF290" s="1144"/>
      <c r="AXG290" s="1144"/>
      <c r="AXH290" s="1144"/>
      <c r="AXI290" s="1144"/>
      <c r="AXJ290" s="1144"/>
      <c r="AXK290" s="1144"/>
      <c r="AXL290" s="1144"/>
      <c r="AXM290" s="1144"/>
      <c r="AXN290" s="1144"/>
      <c r="AXO290" s="1144"/>
      <c r="AXP290" s="1144"/>
      <c r="AXQ290" s="1144"/>
      <c r="AXR290" s="1144"/>
      <c r="AXS290" s="1144"/>
      <c r="AXT290" s="1144"/>
      <c r="AXU290" s="1144"/>
      <c r="AXV290" s="1144"/>
      <c r="AXW290" s="1144"/>
      <c r="AXX290" s="1144"/>
      <c r="AXY290" s="1144"/>
      <c r="AXZ290" s="1144"/>
      <c r="AYA290" s="1144"/>
      <c r="AYB290" s="1144"/>
      <c r="AYC290" s="1144"/>
      <c r="AYD290" s="1144"/>
      <c r="AYE290" s="1144"/>
      <c r="AYF290" s="1144"/>
      <c r="AYG290" s="1144"/>
      <c r="AYH290" s="1144"/>
      <c r="AYI290" s="1144"/>
      <c r="AYJ290" s="1144"/>
      <c r="AYK290" s="1144"/>
      <c r="AYL290" s="1144"/>
      <c r="AYM290" s="1144"/>
      <c r="AYN290" s="1144"/>
      <c r="AYO290" s="1144"/>
      <c r="AYP290" s="1144"/>
      <c r="AYQ290" s="1144"/>
      <c r="AYR290" s="1144"/>
      <c r="AYS290" s="1144"/>
      <c r="AYT290" s="1144"/>
      <c r="AYU290" s="1144"/>
      <c r="AYV290" s="1144"/>
      <c r="AYW290" s="1144"/>
      <c r="AYX290" s="1144"/>
      <c r="AYY290" s="1144"/>
      <c r="AYZ290" s="1144"/>
      <c r="AZA290" s="1144"/>
      <c r="AZB290" s="1144"/>
      <c r="AZC290" s="1144"/>
      <c r="AZD290" s="1144"/>
      <c r="AZE290" s="1144"/>
      <c r="AZF290" s="1144"/>
      <c r="AZG290" s="1144"/>
      <c r="AZH290" s="1144"/>
      <c r="AZI290" s="1144"/>
      <c r="AZJ290" s="1144"/>
      <c r="AZK290" s="1144"/>
      <c r="AZL290" s="1144"/>
      <c r="AZM290" s="1144"/>
      <c r="AZN290" s="1144"/>
      <c r="AZO290" s="1144"/>
      <c r="AZP290" s="1144"/>
      <c r="AZQ290" s="1144"/>
      <c r="AZR290" s="1144"/>
      <c r="AZS290" s="1144"/>
      <c r="AZT290" s="1144"/>
      <c r="AZU290" s="1144"/>
      <c r="AZV290" s="1144"/>
      <c r="AZW290" s="1144"/>
      <c r="AZX290" s="1144"/>
      <c r="AZY290" s="1144"/>
      <c r="AZZ290" s="1144"/>
      <c r="BAA290" s="1144"/>
      <c r="BAB290" s="1144"/>
      <c r="BAC290" s="1144"/>
      <c r="BAD290" s="1144"/>
      <c r="BAE290" s="1144"/>
      <c r="BAF290" s="1144"/>
      <c r="BAG290" s="1144"/>
      <c r="BAH290" s="1144"/>
      <c r="BAI290" s="1144"/>
      <c r="BAJ290" s="1144"/>
      <c r="BAK290" s="1144"/>
      <c r="BAL290" s="1144"/>
      <c r="BAM290" s="1144"/>
      <c r="BAN290" s="1144"/>
      <c r="BAO290" s="1144"/>
      <c r="BAP290" s="1144"/>
      <c r="BAQ290" s="1144"/>
      <c r="BAR290" s="1144"/>
      <c r="BAS290" s="1144"/>
      <c r="BAT290" s="1144"/>
      <c r="BAU290" s="1144"/>
      <c r="BAV290" s="1144"/>
      <c r="BAW290" s="1144"/>
      <c r="BAX290" s="1144"/>
      <c r="BAY290" s="1144"/>
      <c r="BAZ290" s="1144"/>
      <c r="BBA290" s="1144"/>
      <c r="BBB290" s="1144"/>
      <c r="BBC290" s="1144"/>
      <c r="BBD290" s="1144"/>
      <c r="BBE290" s="1144"/>
      <c r="BBF290" s="1144"/>
      <c r="BBG290" s="1144"/>
      <c r="BBH290" s="1144"/>
      <c r="BBI290" s="1144"/>
      <c r="BBJ290" s="1144"/>
      <c r="BBK290" s="1144"/>
      <c r="BBL290" s="1144"/>
      <c r="BBM290" s="1144"/>
      <c r="BBN290" s="1144"/>
      <c r="BBO290" s="1144"/>
      <c r="BBP290" s="1144"/>
      <c r="BBQ290" s="1144"/>
      <c r="BBR290" s="1144"/>
      <c r="BBS290" s="1144"/>
      <c r="BBT290" s="1144"/>
      <c r="BBU290" s="1144"/>
      <c r="BBV290" s="1144"/>
      <c r="BBW290" s="1144"/>
      <c r="BBX290" s="1144"/>
      <c r="BBY290" s="1144"/>
      <c r="BBZ290" s="1144"/>
      <c r="BCA290" s="1144"/>
      <c r="BCB290" s="1144"/>
      <c r="BCC290" s="1144"/>
      <c r="BCD290" s="1144"/>
      <c r="BCE290" s="1144"/>
      <c r="BCF290" s="1144"/>
      <c r="BCG290" s="1144"/>
      <c r="BCH290" s="1144"/>
      <c r="BCI290" s="1144"/>
      <c r="BCJ290" s="1144"/>
      <c r="BCK290" s="1144"/>
      <c r="BCL290" s="1144"/>
      <c r="BCM290" s="1144"/>
      <c r="BCN290" s="1144"/>
      <c r="BCO290" s="1144"/>
      <c r="BCP290" s="1144"/>
      <c r="BCQ290" s="1144"/>
      <c r="BCR290" s="1144"/>
      <c r="BCS290" s="1144"/>
      <c r="BCT290" s="1144"/>
      <c r="BCU290" s="1144"/>
      <c r="BCV290" s="1144"/>
      <c r="BCW290" s="1144"/>
      <c r="BCX290" s="1144"/>
      <c r="BCY290" s="1144"/>
      <c r="BCZ290" s="1144"/>
      <c r="BDA290" s="1144"/>
      <c r="BDB290" s="1144"/>
      <c r="BDC290" s="1144"/>
      <c r="BDD290" s="1144"/>
      <c r="BDE290" s="1144"/>
      <c r="BDF290" s="1144"/>
      <c r="BDG290" s="1144"/>
      <c r="BDH290" s="1144"/>
      <c r="BDI290" s="1144"/>
      <c r="BDJ290" s="1144"/>
      <c r="BDK290" s="1144"/>
      <c r="BDL290" s="1144"/>
      <c r="BDM290" s="1144"/>
      <c r="BDN290" s="1144"/>
      <c r="BDO290" s="1144"/>
      <c r="BDP290" s="1144"/>
      <c r="BDQ290" s="1144"/>
      <c r="BDR290" s="1144"/>
      <c r="BDS290" s="1144"/>
      <c r="BDT290" s="1144"/>
      <c r="BDU290" s="1144"/>
      <c r="BDV290" s="1144"/>
      <c r="BDW290" s="1144"/>
      <c r="BDX290" s="1144"/>
      <c r="BDY290" s="1144"/>
      <c r="BDZ290" s="1144"/>
      <c r="BEA290" s="1144"/>
      <c r="BEB290" s="1144"/>
      <c r="BEC290" s="1144"/>
      <c r="BED290" s="1144"/>
      <c r="BEE290" s="1144"/>
      <c r="BEF290" s="1144"/>
      <c r="BEG290" s="1144"/>
      <c r="BEH290" s="1144"/>
      <c r="BEI290" s="1144"/>
      <c r="BEJ290" s="1144"/>
      <c r="BEK290" s="1144"/>
      <c r="BEL290" s="1144"/>
      <c r="BEM290" s="1144"/>
      <c r="BEN290" s="1144"/>
      <c r="BEO290" s="1144"/>
      <c r="BEP290" s="1144"/>
      <c r="BEQ290" s="1144"/>
      <c r="BER290" s="1144"/>
      <c r="BES290" s="1144"/>
      <c r="BET290" s="1144"/>
      <c r="BEU290" s="1144"/>
      <c r="BEV290" s="1144"/>
      <c r="BEW290" s="1144"/>
      <c r="BEX290" s="1144"/>
      <c r="BEY290" s="1144"/>
      <c r="BEZ290" s="1144"/>
      <c r="BFA290" s="1144"/>
      <c r="BFB290" s="1144"/>
      <c r="BFC290" s="1144"/>
      <c r="BFD290" s="1144"/>
      <c r="BFE290" s="1144"/>
      <c r="BFF290" s="1144"/>
      <c r="BFG290" s="1144"/>
      <c r="BFH290" s="1144"/>
      <c r="BFI290" s="1144"/>
      <c r="BFJ290" s="1144"/>
      <c r="BFK290" s="1144"/>
      <c r="BFL290" s="1144"/>
      <c r="BFM290" s="1144"/>
      <c r="BFN290" s="1144"/>
      <c r="BFO290" s="1144"/>
      <c r="BFP290" s="1144"/>
      <c r="BFQ290" s="1144"/>
      <c r="BFR290" s="1144"/>
      <c r="BFS290" s="1144"/>
      <c r="BFT290" s="1144"/>
      <c r="BFU290" s="1144"/>
      <c r="BFV290" s="1144"/>
      <c r="BFW290" s="1144"/>
      <c r="BFX290" s="1144"/>
      <c r="BFY290" s="1144"/>
      <c r="BFZ290" s="1144"/>
      <c r="BGA290" s="1144"/>
      <c r="BGB290" s="1144"/>
      <c r="BGC290" s="1144"/>
      <c r="BGD290" s="1144"/>
      <c r="BGE290" s="1144"/>
      <c r="BGF290" s="1144"/>
      <c r="BGG290" s="1144"/>
      <c r="BGH290" s="1144"/>
      <c r="BGI290" s="1144"/>
      <c r="BGJ290" s="1144"/>
      <c r="BGK290" s="1144"/>
      <c r="BGL290" s="1144"/>
      <c r="BGM290" s="1144"/>
      <c r="BGN290" s="1144"/>
      <c r="BGO290" s="1144"/>
      <c r="BGP290" s="1144"/>
      <c r="BGQ290" s="1144"/>
      <c r="BGR290" s="1144"/>
      <c r="BGS290" s="1144"/>
      <c r="BGT290" s="1144"/>
      <c r="BGU290" s="1144"/>
      <c r="BGV290" s="1144"/>
      <c r="BGW290" s="1144"/>
      <c r="BGX290" s="1144"/>
      <c r="BGY290" s="1144"/>
      <c r="BGZ290" s="1144"/>
      <c r="BHA290" s="1144"/>
      <c r="BHB290" s="1144"/>
      <c r="BHC290" s="1144"/>
      <c r="BHD290" s="1144"/>
      <c r="BHE290" s="1144"/>
      <c r="BHF290" s="1144"/>
      <c r="BHG290" s="1144"/>
      <c r="BHH290" s="1144"/>
      <c r="BHI290" s="1144"/>
      <c r="BHJ290" s="1144"/>
      <c r="BHK290" s="1144"/>
      <c r="BHL290" s="1144"/>
      <c r="BHM290" s="1144"/>
      <c r="BHN290" s="1144"/>
      <c r="BHO290" s="1144"/>
      <c r="BHP290" s="1144"/>
      <c r="BHQ290" s="1144"/>
      <c r="BHR290" s="1144"/>
      <c r="BHS290" s="1144"/>
      <c r="BHT290" s="1144"/>
      <c r="BHU290" s="1144"/>
      <c r="BHV290" s="1144"/>
      <c r="BHW290" s="1144"/>
      <c r="BHX290" s="1144"/>
      <c r="BHY290" s="1144"/>
      <c r="BHZ290" s="1144"/>
      <c r="BIA290" s="1144"/>
      <c r="BIB290" s="1144"/>
      <c r="BIC290" s="1144"/>
      <c r="BID290" s="1144"/>
      <c r="BIE290" s="1144"/>
      <c r="BIF290" s="1144"/>
      <c r="BIG290" s="1144"/>
      <c r="BIH290" s="1144"/>
      <c r="BII290" s="1144"/>
      <c r="BIJ290" s="1144"/>
      <c r="BIK290" s="1144"/>
      <c r="BIL290" s="1144"/>
      <c r="BIM290" s="1144"/>
      <c r="BIN290" s="1144"/>
      <c r="BIO290" s="1144"/>
      <c r="BIP290" s="1144"/>
      <c r="BIQ290" s="1144"/>
      <c r="BIR290" s="1144"/>
      <c r="BIS290" s="1144"/>
      <c r="BIT290" s="1144"/>
      <c r="BIU290" s="1144"/>
      <c r="BIV290" s="1144"/>
      <c r="BIW290" s="1144"/>
      <c r="BIX290" s="1144"/>
      <c r="BIY290" s="1144"/>
      <c r="BIZ290" s="1144"/>
      <c r="BJA290" s="1144"/>
      <c r="BJB290" s="1144"/>
      <c r="BJC290" s="1144"/>
      <c r="BJD290" s="1144"/>
      <c r="BJE290" s="1144"/>
      <c r="BJF290" s="1144"/>
      <c r="BJG290" s="1144"/>
      <c r="BJH290" s="1144"/>
      <c r="BJI290" s="1144"/>
      <c r="BJJ290" s="1144"/>
      <c r="BJK290" s="1144"/>
      <c r="BJL290" s="1144"/>
      <c r="BJM290" s="1144"/>
      <c r="BJN290" s="1144"/>
      <c r="BJO290" s="1144"/>
      <c r="BJP290" s="1144"/>
      <c r="BJQ290" s="1144"/>
      <c r="BJR290" s="1144"/>
      <c r="BJS290" s="1144"/>
      <c r="BJT290" s="1144"/>
      <c r="BJU290" s="1144"/>
      <c r="BJV290" s="1144"/>
      <c r="BJW290" s="1144"/>
      <c r="BJX290" s="1144"/>
      <c r="BJY290" s="1144"/>
      <c r="BJZ290" s="1144"/>
      <c r="BKA290" s="1144"/>
      <c r="BKB290" s="1144"/>
      <c r="BKC290" s="1144"/>
      <c r="BKD290" s="1144"/>
      <c r="BKE290" s="1144"/>
      <c r="BKF290" s="1144"/>
      <c r="BKG290" s="1144"/>
      <c r="BKH290" s="1144"/>
      <c r="BKI290" s="1144"/>
      <c r="BKJ290" s="1144"/>
      <c r="BKK290" s="1144"/>
      <c r="BKL290" s="1144"/>
      <c r="BKM290" s="1144"/>
      <c r="BKN290" s="1144"/>
      <c r="BKO290" s="1144"/>
      <c r="BKP290" s="1144"/>
      <c r="BKQ290" s="1144"/>
      <c r="BKR290" s="1144"/>
      <c r="BKS290" s="1144"/>
      <c r="BKT290" s="1144"/>
      <c r="BKU290" s="1144"/>
      <c r="BKV290" s="1144"/>
      <c r="BKW290" s="1144"/>
      <c r="BKX290" s="1144"/>
      <c r="BKY290" s="1144"/>
      <c r="BKZ290" s="1144"/>
      <c r="BLA290" s="1144"/>
      <c r="BLB290" s="1144"/>
      <c r="BLC290" s="1144"/>
      <c r="BLD290" s="1144"/>
      <c r="BLE290" s="1144"/>
      <c r="BLF290" s="1144"/>
      <c r="BLG290" s="1144"/>
      <c r="BLH290" s="1144"/>
      <c r="BLI290" s="1144"/>
      <c r="BLJ290" s="1144"/>
      <c r="BLK290" s="1144"/>
      <c r="BLL290" s="1144"/>
      <c r="BLM290" s="1144"/>
      <c r="BLN290" s="1144"/>
      <c r="BLO290" s="1144"/>
      <c r="BLP290" s="1144"/>
      <c r="BLQ290" s="1144"/>
      <c r="BLR290" s="1144"/>
      <c r="BLS290" s="1144"/>
      <c r="BLT290" s="1144"/>
      <c r="BLU290" s="1144"/>
      <c r="BLV290" s="1144"/>
      <c r="BLW290" s="1144"/>
      <c r="BLX290" s="1144"/>
      <c r="BLY290" s="1144"/>
      <c r="BLZ290" s="1144"/>
      <c r="BMA290" s="1144"/>
      <c r="BMB290" s="1144"/>
      <c r="BMC290" s="1144"/>
      <c r="BMD290" s="1144"/>
      <c r="BME290" s="1144"/>
      <c r="BMF290" s="1144"/>
      <c r="BMG290" s="1144"/>
      <c r="BMH290" s="1144"/>
      <c r="BMI290" s="1144"/>
      <c r="BMJ290" s="1144"/>
      <c r="BMK290" s="1144"/>
      <c r="BML290" s="1144"/>
      <c r="BMM290" s="1144"/>
      <c r="BMN290" s="1144"/>
      <c r="BMO290" s="1144"/>
      <c r="BMP290" s="1144"/>
      <c r="BMQ290" s="1144"/>
      <c r="BMR290" s="1144"/>
      <c r="BMS290" s="1144"/>
      <c r="BMT290" s="1144"/>
      <c r="BMU290" s="1144"/>
      <c r="BMV290" s="1144"/>
      <c r="BMW290" s="1144"/>
      <c r="BMX290" s="1144"/>
      <c r="BMY290" s="1144"/>
      <c r="BMZ290" s="1144"/>
      <c r="BNA290" s="1144"/>
      <c r="BNB290" s="1144"/>
      <c r="BNC290" s="1144"/>
      <c r="BND290" s="1144"/>
      <c r="BNE290" s="1144"/>
      <c r="BNF290" s="1144"/>
      <c r="BNG290" s="1144"/>
      <c r="BNH290" s="1144"/>
      <c r="BNI290" s="1144"/>
      <c r="BNJ290" s="1144"/>
      <c r="BNK290" s="1144"/>
      <c r="BNL290" s="1144"/>
      <c r="BNM290" s="1144"/>
      <c r="BNN290" s="1144"/>
      <c r="BNO290" s="1144"/>
      <c r="BNP290" s="1144"/>
      <c r="BNQ290" s="1144"/>
      <c r="BNR290" s="1144"/>
      <c r="BNS290" s="1144"/>
      <c r="BNT290" s="1144"/>
      <c r="BNU290" s="1144"/>
      <c r="BNV290" s="1144"/>
      <c r="BNW290" s="1144"/>
      <c r="BNX290" s="1144"/>
      <c r="BNY290" s="1144"/>
      <c r="BNZ290" s="1144"/>
      <c r="BOA290" s="1144"/>
      <c r="BOB290" s="1144"/>
      <c r="BOC290" s="1144"/>
      <c r="BOD290" s="1144"/>
      <c r="BOE290" s="1144"/>
      <c r="BOF290" s="1144"/>
      <c r="BOG290" s="1144"/>
      <c r="BOH290" s="1144"/>
      <c r="BOI290" s="1144"/>
      <c r="BOJ290" s="1144"/>
      <c r="BOK290" s="1144"/>
      <c r="BOL290" s="1144"/>
      <c r="BOM290" s="1144"/>
      <c r="BON290" s="1144"/>
      <c r="BOO290" s="1144"/>
      <c r="BOP290" s="1144"/>
      <c r="BOQ290" s="1144"/>
      <c r="BOR290" s="1144"/>
      <c r="BOS290" s="1144"/>
      <c r="BOT290" s="1144"/>
      <c r="BOU290" s="1144"/>
      <c r="BOV290" s="1144"/>
      <c r="BOW290" s="1144"/>
      <c r="BOX290" s="1144"/>
      <c r="BOY290" s="1144"/>
      <c r="BOZ290" s="1144"/>
      <c r="BPA290" s="1144"/>
      <c r="BPB290" s="1144"/>
      <c r="BPC290" s="1144"/>
      <c r="BPD290" s="1144"/>
      <c r="BPE290" s="1144"/>
      <c r="BPF290" s="1144"/>
      <c r="BPG290" s="1144"/>
      <c r="BPH290" s="1144"/>
      <c r="BPI290" s="1144"/>
      <c r="BPJ290" s="1144"/>
      <c r="BPK290" s="1144"/>
      <c r="BPL290" s="1144"/>
      <c r="BPM290" s="1144"/>
      <c r="BPN290" s="1144"/>
      <c r="BPO290" s="1144"/>
      <c r="BPP290" s="1144"/>
      <c r="BPQ290" s="1144"/>
      <c r="BPR290" s="1144"/>
      <c r="BPS290" s="1144"/>
      <c r="BPT290" s="1144"/>
      <c r="BPU290" s="1144"/>
      <c r="BPV290" s="1144"/>
      <c r="BPW290" s="1144"/>
      <c r="BPX290" s="1144"/>
      <c r="BPY290" s="1144"/>
      <c r="BPZ290" s="1144"/>
      <c r="BQA290" s="1144"/>
      <c r="BQB290" s="1144"/>
      <c r="BQC290" s="1144"/>
      <c r="BQD290" s="1144"/>
      <c r="BQE290" s="1144"/>
      <c r="BQF290" s="1144"/>
      <c r="BQG290" s="1144"/>
      <c r="BQH290" s="1144"/>
      <c r="BQI290" s="1144"/>
      <c r="BQJ290" s="1144"/>
      <c r="BQK290" s="1144"/>
      <c r="BQL290" s="1144"/>
      <c r="BQM290" s="1144"/>
      <c r="BQN290" s="1144"/>
      <c r="BQO290" s="1144"/>
      <c r="BQP290" s="1144"/>
      <c r="BQQ290" s="1144"/>
      <c r="BQR290" s="1144"/>
      <c r="BQS290" s="1144"/>
      <c r="BQT290" s="1144"/>
      <c r="BQU290" s="1144"/>
      <c r="BQV290" s="1144"/>
      <c r="BQW290" s="1144"/>
      <c r="BQX290" s="1144"/>
      <c r="BQY290" s="1144"/>
      <c r="BQZ290" s="1144"/>
      <c r="BRA290" s="1144"/>
      <c r="BRB290" s="1144"/>
      <c r="BRC290" s="1144"/>
      <c r="BRD290" s="1144"/>
      <c r="BRE290" s="1144"/>
      <c r="BRF290" s="1144"/>
      <c r="BRG290" s="1144"/>
      <c r="BRH290" s="1144"/>
      <c r="BRI290" s="1144"/>
      <c r="BRJ290" s="1144"/>
      <c r="BRK290" s="1144"/>
      <c r="BRL290" s="1144"/>
      <c r="BRM290" s="1144"/>
      <c r="BRN290" s="1144"/>
      <c r="BRO290" s="1144"/>
      <c r="BRP290" s="1144"/>
      <c r="BRQ290" s="1144"/>
      <c r="BRR290" s="1144"/>
      <c r="BRS290" s="1144"/>
      <c r="BRT290" s="1144"/>
      <c r="BRU290" s="1144"/>
      <c r="BRV290" s="1144"/>
      <c r="BRW290" s="1144"/>
      <c r="BRX290" s="1144"/>
      <c r="BRY290" s="1144"/>
      <c r="BRZ290" s="1144"/>
      <c r="BSA290" s="1144"/>
      <c r="BSB290" s="1144"/>
      <c r="BSC290" s="1144"/>
      <c r="BSD290" s="1144"/>
      <c r="BSE290" s="1144"/>
      <c r="BSF290" s="1144"/>
      <c r="BSG290" s="1144"/>
      <c r="BSH290" s="1144"/>
      <c r="BSI290" s="1144"/>
      <c r="BSJ290" s="1144"/>
      <c r="BSK290" s="1144"/>
      <c r="BSL290" s="1144"/>
      <c r="BSM290" s="1144"/>
      <c r="BSN290" s="1144"/>
      <c r="BSO290" s="1144"/>
      <c r="BSP290" s="1144"/>
      <c r="BSQ290" s="1144"/>
      <c r="BSR290" s="1144"/>
      <c r="BSS290" s="1144"/>
      <c r="BST290" s="1144"/>
      <c r="BSU290" s="1144"/>
      <c r="BSV290" s="1144"/>
      <c r="BSW290" s="1144"/>
      <c r="BSX290" s="1144"/>
      <c r="BSY290" s="1144"/>
      <c r="BSZ290" s="1144"/>
      <c r="BTA290" s="1144"/>
      <c r="BTB290" s="1144"/>
      <c r="BTC290" s="1144"/>
      <c r="BTD290" s="1144"/>
      <c r="BTE290" s="1144"/>
      <c r="BTF290" s="1144"/>
      <c r="BTG290" s="1144"/>
      <c r="BTH290" s="1144"/>
      <c r="BTI290" s="1144"/>
      <c r="BTJ290" s="1144"/>
      <c r="BTK290" s="1144"/>
      <c r="BTL290" s="1144"/>
      <c r="BTM290" s="1144"/>
      <c r="BTN290" s="1144"/>
      <c r="BTO290" s="1144"/>
      <c r="BTP290" s="1144"/>
      <c r="BTQ290" s="1144"/>
      <c r="BTR290" s="1144"/>
      <c r="BTS290" s="1144"/>
      <c r="BTT290" s="1144"/>
      <c r="BTU290" s="1144"/>
      <c r="BTV290" s="1144"/>
      <c r="BTW290" s="1144"/>
      <c r="BTX290" s="1144"/>
      <c r="BTY290" s="1144"/>
      <c r="BTZ290" s="1144"/>
      <c r="BUA290" s="1144"/>
      <c r="BUB290" s="1144"/>
      <c r="BUC290" s="1144"/>
      <c r="BUD290" s="1144"/>
      <c r="BUE290" s="1144"/>
      <c r="BUF290" s="1144"/>
      <c r="BUG290" s="1144"/>
      <c r="BUH290" s="1144"/>
      <c r="BUI290" s="1144"/>
      <c r="BUJ290" s="1144"/>
      <c r="BUK290" s="1144"/>
      <c r="BUL290" s="1144"/>
      <c r="BUM290" s="1144"/>
      <c r="BUN290" s="1144"/>
      <c r="BUO290" s="1144"/>
      <c r="BUP290" s="1144"/>
      <c r="BUQ290" s="1144"/>
      <c r="BUR290" s="1144"/>
      <c r="BUS290" s="1144"/>
      <c r="BUT290" s="1144"/>
      <c r="BUU290" s="1144"/>
      <c r="BUV290" s="1144"/>
      <c r="BUW290" s="1144"/>
      <c r="BUX290" s="1144"/>
      <c r="BUY290" s="1144"/>
      <c r="BUZ290" s="1144"/>
      <c r="BVA290" s="1144"/>
      <c r="BVB290" s="1144"/>
      <c r="BVC290" s="1144"/>
      <c r="BVD290" s="1144"/>
      <c r="BVE290" s="1144"/>
      <c r="BVF290" s="1144"/>
      <c r="BVG290" s="1144"/>
      <c r="BVH290" s="1144"/>
      <c r="BVI290" s="1144"/>
      <c r="BVJ290" s="1144"/>
      <c r="BVK290" s="1144"/>
      <c r="BVL290" s="1144"/>
      <c r="BVM290" s="1144"/>
      <c r="BVN290" s="1144"/>
      <c r="BVO290" s="1144"/>
      <c r="BVP290" s="1144"/>
      <c r="BVQ290" s="1144"/>
      <c r="BVR290" s="1144"/>
      <c r="BVS290" s="1144"/>
      <c r="BVT290" s="1144"/>
      <c r="BVU290" s="1144"/>
      <c r="BVV290" s="1144"/>
      <c r="BVW290" s="1144"/>
      <c r="BVX290" s="1144"/>
      <c r="BVY290" s="1144"/>
      <c r="BVZ290" s="1144"/>
      <c r="BWA290" s="1144"/>
      <c r="BWB290" s="1144"/>
      <c r="BWC290" s="1144"/>
      <c r="BWD290" s="1144"/>
      <c r="BWE290" s="1144"/>
      <c r="BWF290" s="1144"/>
      <c r="BWG290" s="1144"/>
      <c r="BWH290" s="1144"/>
      <c r="BWI290" s="1144"/>
      <c r="BWJ290" s="1144"/>
      <c r="BWK290" s="1144"/>
      <c r="BWL290" s="1144"/>
      <c r="BWM290" s="1144"/>
      <c r="BWN290" s="1144"/>
      <c r="BWO290" s="1144"/>
      <c r="BWP290" s="1144"/>
      <c r="BWQ290" s="1144"/>
      <c r="BWR290" s="1144"/>
      <c r="BWS290" s="1144"/>
      <c r="BWT290" s="1144"/>
      <c r="BWU290" s="1144"/>
      <c r="BWV290" s="1144"/>
      <c r="BWW290" s="1144"/>
      <c r="BWX290" s="1144"/>
      <c r="BWY290" s="1144"/>
      <c r="BWZ290" s="1144"/>
      <c r="BXA290" s="1144"/>
      <c r="BXB290" s="1144"/>
      <c r="BXC290" s="1144"/>
      <c r="BXD290" s="1144"/>
      <c r="BXE290" s="1144"/>
      <c r="BXF290" s="1144"/>
      <c r="BXG290" s="1144"/>
      <c r="BXH290" s="1144"/>
      <c r="BXI290" s="1144"/>
      <c r="BXJ290" s="1144"/>
      <c r="BXK290" s="1144"/>
      <c r="BXL290" s="1144"/>
      <c r="BXM290" s="1144"/>
      <c r="BXN290" s="1144"/>
      <c r="BXO290" s="1144"/>
      <c r="BXP290" s="1144"/>
      <c r="BXQ290" s="1144"/>
      <c r="BXR290" s="1144"/>
      <c r="BXS290" s="1144"/>
      <c r="BXT290" s="1144"/>
      <c r="BXU290" s="1144"/>
      <c r="BXV290" s="1144"/>
      <c r="BXW290" s="1144"/>
      <c r="BXX290" s="1144"/>
      <c r="BXY290" s="1144"/>
      <c r="BXZ290" s="1144"/>
      <c r="BYA290" s="1144"/>
      <c r="BYB290" s="1144"/>
      <c r="BYC290" s="1144"/>
      <c r="BYD290" s="1144"/>
      <c r="BYE290" s="1144"/>
      <c r="BYF290" s="1144"/>
      <c r="BYG290" s="1144"/>
      <c r="BYH290" s="1144"/>
      <c r="BYI290" s="1144"/>
      <c r="BYJ290" s="1144"/>
      <c r="BYK290" s="1144"/>
      <c r="BYL290" s="1144"/>
      <c r="BYM290" s="1144"/>
      <c r="BYN290" s="1144"/>
      <c r="BYO290" s="1144"/>
      <c r="BYP290" s="1144"/>
      <c r="BYQ290" s="1144"/>
      <c r="BYR290" s="1144"/>
      <c r="BYS290" s="1144"/>
      <c r="BYT290" s="1144"/>
      <c r="BYU290" s="1144"/>
      <c r="BYV290" s="1144"/>
      <c r="BYW290" s="1144"/>
      <c r="BYX290" s="1144"/>
      <c r="BYY290" s="1144"/>
      <c r="BYZ290" s="1144"/>
      <c r="BZA290" s="1144"/>
      <c r="BZB290" s="1144"/>
      <c r="BZC290" s="1144"/>
      <c r="BZD290" s="1144"/>
      <c r="BZE290" s="1144"/>
      <c r="BZF290" s="1144"/>
      <c r="BZG290" s="1144"/>
      <c r="BZH290" s="1144"/>
      <c r="BZI290" s="1144"/>
      <c r="BZJ290" s="1144"/>
      <c r="BZK290" s="1144"/>
      <c r="BZL290" s="1144"/>
      <c r="BZM290" s="1144"/>
      <c r="BZN290" s="1144"/>
      <c r="BZO290" s="1144"/>
      <c r="BZP290" s="1144"/>
      <c r="BZQ290" s="1144"/>
      <c r="BZR290" s="1144"/>
      <c r="BZS290" s="1144"/>
      <c r="BZT290" s="1144"/>
      <c r="BZU290" s="1144"/>
      <c r="BZV290" s="1144"/>
      <c r="BZW290" s="1144"/>
      <c r="BZX290" s="1144"/>
      <c r="BZY290" s="1144"/>
      <c r="BZZ290" s="1144"/>
      <c r="CAA290" s="1144"/>
      <c r="CAB290" s="1144"/>
      <c r="CAC290" s="1144"/>
      <c r="CAD290" s="1144"/>
      <c r="CAE290" s="1144"/>
      <c r="CAF290" s="1144"/>
      <c r="CAG290" s="1144"/>
      <c r="CAH290" s="1144"/>
      <c r="CAI290" s="1144"/>
      <c r="CAJ290" s="1144"/>
      <c r="CAK290" s="1144"/>
      <c r="CAL290" s="1144"/>
      <c r="CAM290" s="1144"/>
      <c r="CAN290" s="1144"/>
      <c r="CAO290" s="1144"/>
      <c r="CAP290" s="1144"/>
      <c r="CAQ290" s="1144"/>
      <c r="CAR290" s="1144"/>
      <c r="CAS290" s="1144"/>
      <c r="CAT290" s="1144"/>
      <c r="CAU290" s="1144"/>
      <c r="CAV290" s="1144"/>
      <c r="CAW290" s="1144"/>
      <c r="CAX290" s="1144"/>
      <c r="CAY290" s="1144"/>
      <c r="CAZ290" s="1144"/>
      <c r="CBA290" s="1144"/>
      <c r="CBB290" s="1144"/>
      <c r="CBC290" s="1144"/>
      <c r="CBD290" s="1144"/>
      <c r="CBE290" s="1144"/>
      <c r="CBF290" s="1144"/>
      <c r="CBG290" s="1144"/>
      <c r="CBH290" s="1144"/>
      <c r="CBI290" s="1144"/>
      <c r="CBJ290" s="1144"/>
      <c r="CBK290" s="1144"/>
      <c r="CBL290" s="1144"/>
      <c r="CBM290" s="1144"/>
      <c r="CBN290" s="1144"/>
      <c r="CBO290" s="1144"/>
      <c r="CBP290" s="1144"/>
      <c r="CBQ290" s="1144"/>
      <c r="CBR290" s="1144"/>
      <c r="CBS290" s="1144"/>
      <c r="CBT290" s="1144"/>
      <c r="CBU290" s="1144"/>
      <c r="CBV290" s="1144"/>
      <c r="CBW290" s="1144"/>
      <c r="CBX290" s="1144"/>
      <c r="CBY290" s="1144"/>
      <c r="CBZ290" s="1144"/>
      <c r="CCA290" s="1144"/>
      <c r="CCB290" s="1144"/>
      <c r="CCC290" s="1144"/>
      <c r="CCD290" s="1144"/>
      <c r="CCE290" s="1144"/>
      <c r="CCF290" s="1144"/>
      <c r="CCG290" s="1144"/>
      <c r="CCH290" s="1144"/>
      <c r="CCI290" s="1144"/>
      <c r="CCJ290" s="1144"/>
      <c r="CCK290" s="1144"/>
      <c r="CCL290" s="1144"/>
      <c r="CCM290" s="1144"/>
      <c r="CCN290" s="1144"/>
      <c r="CCO290" s="1144"/>
      <c r="CCP290" s="1144"/>
      <c r="CCQ290" s="1144"/>
      <c r="CCR290" s="1144"/>
      <c r="CCS290" s="1144"/>
      <c r="CCT290" s="1144"/>
      <c r="CCU290" s="1144"/>
      <c r="CCV290" s="1144"/>
      <c r="CCW290" s="1144"/>
      <c r="CCX290" s="1144"/>
      <c r="CCY290" s="1144"/>
      <c r="CCZ290" s="1144"/>
      <c r="CDA290" s="1144"/>
      <c r="CDB290" s="1144"/>
      <c r="CDC290" s="1144"/>
      <c r="CDD290" s="1144"/>
      <c r="CDE290" s="1144"/>
      <c r="CDF290" s="1144"/>
      <c r="CDG290" s="1144"/>
      <c r="CDH290" s="1144"/>
      <c r="CDI290" s="1144"/>
      <c r="CDJ290" s="1144"/>
      <c r="CDK290" s="1144"/>
      <c r="CDL290" s="1144"/>
      <c r="CDM290" s="1144"/>
      <c r="CDN290" s="1144"/>
      <c r="CDO290" s="1144"/>
      <c r="CDP290" s="1144"/>
      <c r="CDQ290" s="1144"/>
      <c r="CDR290" s="1144"/>
      <c r="CDS290" s="1144"/>
      <c r="CDT290" s="1144"/>
      <c r="CDU290" s="1144"/>
      <c r="CDV290" s="1144"/>
      <c r="CDW290" s="1144"/>
      <c r="CDX290" s="1144"/>
      <c r="CDY290" s="1144"/>
      <c r="CDZ290" s="1144"/>
      <c r="CEA290" s="1144"/>
      <c r="CEB290" s="1144"/>
      <c r="CEC290" s="1144"/>
      <c r="CED290" s="1144"/>
      <c r="CEE290" s="1144"/>
      <c r="CEF290" s="1144"/>
      <c r="CEG290" s="1144"/>
      <c r="CEH290" s="1144"/>
      <c r="CEI290" s="1144"/>
      <c r="CEJ290" s="1144"/>
      <c r="CEK290" s="1144"/>
      <c r="CEL290" s="1144"/>
      <c r="CEM290" s="1144"/>
      <c r="CEN290" s="1144"/>
      <c r="CEO290" s="1144"/>
      <c r="CEP290" s="1144"/>
      <c r="CEQ290" s="1144"/>
      <c r="CER290" s="1144"/>
      <c r="CES290" s="1144"/>
      <c r="CET290" s="1144"/>
      <c r="CEU290" s="1144"/>
      <c r="CEV290" s="1144"/>
      <c r="CEW290" s="1144"/>
      <c r="CEX290" s="1144"/>
      <c r="CEY290" s="1144"/>
      <c r="CEZ290" s="1144"/>
      <c r="CFA290" s="1144"/>
      <c r="CFB290" s="1144"/>
      <c r="CFC290" s="1144"/>
      <c r="CFD290" s="1144"/>
      <c r="CFE290" s="1144"/>
      <c r="CFF290" s="1144"/>
      <c r="CFG290" s="1144"/>
      <c r="CFH290" s="1144"/>
      <c r="CFI290" s="1144"/>
      <c r="CFJ290" s="1144"/>
      <c r="CFK290" s="1144"/>
      <c r="CFL290" s="1144"/>
      <c r="CFM290" s="1144"/>
      <c r="CFN290" s="1144"/>
      <c r="CFO290" s="1144"/>
      <c r="CFP290" s="1144"/>
      <c r="CFQ290" s="1144"/>
      <c r="CFR290" s="1144"/>
      <c r="CFS290" s="1144"/>
      <c r="CFT290" s="1144"/>
      <c r="CFU290" s="1144"/>
      <c r="CFV290" s="1144"/>
      <c r="CFW290" s="1144"/>
      <c r="CFX290" s="1144"/>
      <c r="CFY290" s="1144"/>
      <c r="CFZ290" s="1144"/>
      <c r="CGA290" s="1144"/>
      <c r="CGB290" s="1144"/>
      <c r="CGC290" s="1144"/>
      <c r="CGD290" s="1144"/>
      <c r="CGE290" s="1144"/>
      <c r="CGF290" s="1144"/>
      <c r="CGG290" s="1144"/>
      <c r="CGH290" s="1144"/>
      <c r="CGI290" s="1144"/>
      <c r="CGJ290" s="1144"/>
      <c r="CGK290" s="1144"/>
      <c r="CGL290" s="1144"/>
      <c r="CGM290" s="1144"/>
      <c r="CGN290" s="1144"/>
      <c r="CGO290" s="1144"/>
      <c r="CGP290" s="1144"/>
      <c r="CGQ290" s="1144"/>
      <c r="CGR290" s="1144"/>
      <c r="CGS290" s="1144"/>
      <c r="CGT290" s="1144"/>
      <c r="CGU290" s="1144"/>
      <c r="CGV290" s="1144"/>
      <c r="CGW290" s="1144"/>
      <c r="CGX290" s="1144"/>
      <c r="CGY290" s="1144"/>
      <c r="CGZ290" s="1144"/>
      <c r="CHA290" s="1144"/>
      <c r="CHB290" s="1144"/>
      <c r="CHC290" s="1144"/>
      <c r="CHD290" s="1144"/>
      <c r="CHE290" s="1144"/>
      <c r="CHF290" s="1144"/>
      <c r="CHG290" s="1144"/>
      <c r="CHH290" s="1144"/>
      <c r="CHI290" s="1144"/>
      <c r="CHJ290" s="1144"/>
      <c r="CHK290" s="1144"/>
      <c r="CHL290" s="1144"/>
      <c r="CHM290" s="1144"/>
      <c r="CHN290" s="1144"/>
      <c r="CHO290" s="1144"/>
      <c r="CHP290" s="1144"/>
      <c r="CHQ290" s="1144"/>
      <c r="CHR290" s="1144"/>
      <c r="CHS290" s="1144"/>
      <c r="CHT290" s="1144"/>
      <c r="CHU290" s="1144"/>
      <c r="CHV290" s="1144"/>
      <c r="CHW290" s="1144"/>
      <c r="CHX290" s="1144"/>
      <c r="CHY290" s="1144"/>
      <c r="CHZ290" s="1144"/>
      <c r="CIA290" s="1144"/>
      <c r="CIB290" s="1144"/>
      <c r="CIC290" s="1144"/>
      <c r="CID290" s="1144"/>
      <c r="CIE290" s="1144"/>
      <c r="CIF290" s="1144"/>
      <c r="CIG290" s="1144"/>
      <c r="CIH290" s="1144"/>
      <c r="CII290" s="1144"/>
      <c r="CIJ290" s="1144"/>
      <c r="CIK290" s="1144"/>
      <c r="CIL290" s="1144"/>
      <c r="CIM290" s="1144"/>
      <c r="CIN290" s="1144"/>
      <c r="CIO290" s="1144"/>
      <c r="CIP290" s="1144"/>
      <c r="CIQ290" s="1144"/>
      <c r="CIR290" s="1144"/>
      <c r="CIS290" s="1144"/>
      <c r="CIT290" s="1144"/>
      <c r="CIU290" s="1144"/>
      <c r="CIV290" s="1144"/>
      <c r="CIW290" s="1144"/>
      <c r="CIX290" s="1144"/>
      <c r="CIY290" s="1144"/>
      <c r="CIZ290" s="1144"/>
      <c r="CJA290" s="1144"/>
      <c r="CJB290" s="1144"/>
      <c r="CJC290" s="1144"/>
      <c r="CJD290" s="1144"/>
      <c r="CJE290" s="1144"/>
      <c r="CJF290" s="1144"/>
      <c r="CJG290" s="1144"/>
      <c r="CJH290" s="1144"/>
      <c r="CJI290" s="1144"/>
      <c r="CJJ290" s="1144"/>
      <c r="CJK290" s="1144"/>
      <c r="CJL290" s="1144"/>
      <c r="CJM290" s="1144"/>
      <c r="CJN290" s="1144"/>
      <c r="CJO290" s="1144"/>
      <c r="CJP290" s="1144"/>
      <c r="CJQ290" s="1144"/>
      <c r="CJR290" s="1144"/>
      <c r="CJS290" s="1144"/>
      <c r="CJT290" s="1144"/>
      <c r="CJU290" s="1144"/>
      <c r="CJV290" s="1144"/>
      <c r="CJW290" s="1144"/>
      <c r="CJX290" s="1144"/>
      <c r="CJY290" s="1144"/>
      <c r="CJZ290" s="1144"/>
      <c r="CKA290" s="1144"/>
      <c r="CKB290" s="1144"/>
      <c r="CKC290" s="1144"/>
      <c r="CKD290" s="1144"/>
      <c r="CKE290" s="1144"/>
      <c r="CKF290" s="1144"/>
      <c r="CKG290" s="1144"/>
      <c r="CKH290" s="1144"/>
      <c r="CKI290" s="1144"/>
      <c r="CKJ290" s="1144"/>
      <c r="CKK290" s="1144"/>
      <c r="CKL290" s="1144"/>
      <c r="CKM290" s="1144"/>
      <c r="CKN290" s="1144"/>
      <c r="CKO290" s="1144"/>
      <c r="CKP290" s="1144"/>
      <c r="CKQ290" s="1144"/>
      <c r="CKR290" s="1144"/>
      <c r="CKS290" s="1144"/>
      <c r="CKT290" s="1144"/>
      <c r="CKU290" s="1144"/>
      <c r="CKV290" s="1144"/>
      <c r="CKW290" s="1144"/>
      <c r="CKX290" s="1144"/>
      <c r="CKY290" s="1144"/>
      <c r="CKZ290" s="1144"/>
      <c r="CLA290" s="1144"/>
      <c r="CLB290" s="1144"/>
      <c r="CLC290" s="1144"/>
      <c r="CLD290" s="1144"/>
      <c r="CLE290" s="1144"/>
      <c r="CLF290" s="1144"/>
      <c r="CLG290" s="1144"/>
      <c r="CLH290" s="1144"/>
      <c r="CLI290" s="1144"/>
      <c r="CLJ290" s="1144"/>
      <c r="CLK290" s="1144"/>
      <c r="CLL290" s="1144"/>
      <c r="CLM290" s="1144"/>
      <c r="CLN290" s="1144"/>
      <c r="CLO290" s="1144"/>
      <c r="CLP290" s="1144"/>
      <c r="CLQ290" s="1144"/>
      <c r="CLR290" s="1144"/>
      <c r="CLS290" s="1144"/>
      <c r="CLT290" s="1144"/>
      <c r="CLU290" s="1144"/>
      <c r="CLV290" s="1144"/>
      <c r="CLW290" s="1144"/>
      <c r="CLX290" s="1144"/>
      <c r="CLY290" s="1144"/>
      <c r="CLZ290" s="1144"/>
      <c r="CMA290" s="1144"/>
      <c r="CMB290" s="1144"/>
      <c r="CMC290" s="1144"/>
      <c r="CMD290" s="1144"/>
      <c r="CME290" s="1144"/>
      <c r="CMF290" s="1144"/>
      <c r="CMG290" s="1144"/>
      <c r="CMH290" s="1144"/>
      <c r="CMI290" s="1144"/>
      <c r="CMJ290" s="1144"/>
      <c r="CMK290" s="1144"/>
      <c r="CML290" s="1144"/>
      <c r="CMM290" s="1144"/>
      <c r="CMN290" s="1144"/>
      <c r="CMO290" s="1144"/>
      <c r="CMP290" s="1144"/>
      <c r="CMQ290" s="1144"/>
      <c r="CMR290" s="1144"/>
      <c r="CMS290" s="1144"/>
      <c r="CMT290" s="1144"/>
      <c r="CMU290" s="1144"/>
      <c r="CMV290" s="1144"/>
      <c r="CMW290" s="1144"/>
      <c r="CMX290" s="1144"/>
      <c r="CMY290" s="1144"/>
      <c r="CMZ290" s="1144"/>
      <c r="CNA290" s="1144"/>
      <c r="CNB290" s="1144"/>
      <c r="CNC290" s="1144"/>
      <c r="CND290" s="1144"/>
      <c r="CNE290" s="1144"/>
      <c r="CNF290" s="1144"/>
      <c r="CNG290" s="1144"/>
      <c r="CNH290" s="1144"/>
      <c r="CNI290" s="1144"/>
      <c r="CNJ290" s="1144"/>
      <c r="CNK290" s="1144"/>
      <c r="CNL290" s="1144"/>
      <c r="CNM290" s="1144"/>
      <c r="CNN290" s="1144"/>
      <c r="CNO290" s="1144"/>
      <c r="CNP290" s="1144"/>
      <c r="CNQ290" s="1144"/>
      <c r="CNR290" s="1144"/>
      <c r="CNS290" s="1144"/>
      <c r="CNT290" s="1144"/>
      <c r="CNU290" s="1144"/>
      <c r="CNV290" s="1144"/>
      <c r="CNW290" s="1144"/>
      <c r="CNX290" s="1144"/>
      <c r="CNY290" s="1144"/>
      <c r="CNZ290" s="1144"/>
      <c r="COA290" s="1144"/>
      <c r="COB290" s="1144"/>
      <c r="COC290" s="1144"/>
      <c r="COD290" s="1144"/>
      <c r="COE290" s="1144"/>
      <c r="COF290" s="1144"/>
      <c r="COG290" s="1144"/>
      <c r="COH290" s="1144"/>
      <c r="COI290" s="1144"/>
      <c r="COJ290" s="1144"/>
      <c r="COK290" s="1144"/>
      <c r="COL290" s="1144"/>
      <c r="COM290" s="1144"/>
      <c r="CON290" s="1144"/>
      <c r="COO290" s="1144"/>
      <c r="COP290" s="1144"/>
      <c r="COQ290" s="1144"/>
      <c r="COR290" s="1144"/>
      <c r="COS290" s="1144"/>
      <c r="COT290" s="1144"/>
      <c r="COU290" s="1144"/>
      <c r="COV290" s="1144"/>
      <c r="COW290" s="1144"/>
      <c r="COX290" s="1144"/>
      <c r="COY290" s="1144"/>
      <c r="COZ290" s="1144"/>
      <c r="CPA290" s="1144"/>
      <c r="CPB290" s="1144"/>
      <c r="CPC290" s="1144"/>
      <c r="CPD290" s="1144"/>
      <c r="CPE290" s="1144"/>
      <c r="CPF290" s="1144"/>
      <c r="CPG290" s="1144"/>
      <c r="CPH290" s="1144"/>
      <c r="CPI290" s="1144"/>
      <c r="CPJ290" s="1144"/>
      <c r="CPK290" s="1144"/>
      <c r="CPL290" s="1144"/>
      <c r="CPM290" s="1144"/>
      <c r="CPN290" s="1144"/>
      <c r="CPO290" s="1144"/>
      <c r="CPP290" s="1144"/>
      <c r="CPQ290" s="1144"/>
      <c r="CPR290" s="1144"/>
      <c r="CPS290" s="1144"/>
      <c r="CPT290" s="1144"/>
      <c r="CPU290" s="1144"/>
      <c r="CPV290" s="1144"/>
      <c r="CPW290" s="1144"/>
      <c r="CPX290" s="1144"/>
      <c r="CPY290" s="1144"/>
      <c r="CPZ290" s="1144"/>
      <c r="CQA290" s="1144"/>
      <c r="CQB290" s="1144"/>
      <c r="CQC290" s="1144"/>
      <c r="CQD290" s="1144"/>
      <c r="CQE290" s="1144"/>
      <c r="CQF290" s="1144"/>
      <c r="CQG290" s="1144"/>
      <c r="CQH290" s="1144"/>
      <c r="CQI290" s="1144"/>
      <c r="CQJ290" s="1144"/>
      <c r="CQK290" s="1144"/>
      <c r="CQL290" s="1144"/>
      <c r="CQM290" s="1144"/>
      <c r="CQN290" s="1144"/>
      <c r="CQO290" s="1144"/>
      <c r="CQP290" s="1144"/>
      <c r="CQQ290" s="1144"/>
      <c r="CQR290" s="1144"/>
      <c r="CQS290" s="1144"/>
      <c r="CQT290" s="1144"/>
      <c r="CQU290" s="1144"/>
      <c r="CQV290" s="1144"/>
      <c r="CQW290" s="1144"/>
      <c r="CQX290" s="1144"/>
      <c r="CQY290" s="1144"/>
      <c r="CQZ290" s="1144"/>
      <c r="CRA290" s="1144"/>
      <c r="CRB290" s="1144"/>
      <c r="CRC290" s="1144"/>
      <c r="CRD290" s="1144"/>
      <c r="CRE290" s="1144"/>
      <c r="CRF290" s="1144"/>
      <c r="CRG290" s="1144"/>
      <c r="CRH290" s="1144"/>
      <c r="CRI290" s="1144"/>
      <c r="CRJ290" s="1144"/>
      <c r="CRK290" s="1144"/>
      <c r="CRL290" s="1144"/>
      <c r="CRM290" s="1144"/>
      <c r="CRN290" s="1144"/>
      <c r="CRO290" s="1144"/>
      <c r="CRP290" s="1144"/>
      <c r="CRQ290" s="1144"/>
      <c r="CRR290" s="1144"/>
      <c r="CRS290" s="1144"/>
      <c r="CRT290" s="1144"/>
      <c r="CRU290" s="1144"/>
      <c r="CRV290" s="1144"/>
      <c r="CRW290" s="1144"/>
      <c r="CRX290" s="1144"/>
      <c r="CRY290" s="1144"/>
      <c r="CRZ290" s="1144"/>
      <c r="CSA290" s="1144"/>
      <c r="CSB290" s="1144"/>
      <c r="CSC290" s="1144"/>
      <c r="CSD290" s="1144"/>
      <c r="CSE290" s="1144"/>
      <c r="CSF290" s="1144"/>
      <c r="CSG290" s="1144"/>
      <c r="CSH290" s="1144"/>
      <c r="CSI290" s="1144"/>
      <c r="CSJ290" s="1144"/>
      <c r="CSK290" s="1144"/>
      <c r="CSL290" s="1144"/>
      <c r="CSM290" s="1144"/>
      <c r="CSN290" s="1144"/>
      <c r="CSO290" s="1144"/>
      <c r="CSP290" s="1144"/>
      <c r="CSQ290" s="1144"/>
      <c r="CSR290" s="1144"/>
      <c r="CSS290" s="1144"/>
      <c r="CST290" s="1144"/>
      <c r="CSU290" s="1144"/>
      <c r="CSV290" s="1144"/>
      <c r="CSW290" s="1144"/>
      <c r="CSX290" s="1144"/>
      <c r="CSY290" s="1144"/>
      <c r="CSZ290" s="1144"/>
      <c r="CTA290" s="1144"/>
      <c r="CTB290" s="1144"/>
      <c r="CTC290" s="1144"/>
      <c r="CTD290" s="1144"/>
      <c r="CTE290" s="1144"/>
      <c r="CTF290" s="1144"/>
      <c r="CTG290" s="1144"/>
      <c r="CTH290" s="1144"/>
      <c r="CTI290" s="1144"/>
      <c r="CTJ290" s="1144"/>
      <c r="CTK290" s="1144"/>
      <c r="CTL290" s="1144"/>
      <c r="CTM290" s="1144"/>
      <c r="CTN290" s="1144"/>
      <c r="CTO290" s="1144"/>
      <c r="CTP290" s="1144"/>
      <c r="CTQ290" s="1144"/>
      <c r="CTR290" s="1144"/>
      <c r="CTS290" s="1144"/>
      <c r="CTT290" s="1144"/>
      <c r="CTU290" s="1144"/>
      <c r="CTV290" s="1144"/>
      <c r="CTW290" s="1144"/>
      <c r="CTX290" s="1144"/>
      <c r="CTY290" s="1144"/>
      <c r="CTZ290" s="1144"/>
      <c r="CUA290" s="1144"/>
      <c r="CUB290" s="1144"/>
      <c r="CUC290" s="1144"/>
      <c r="CUD290" s="1144"/>
      <c r="CUE290" s="1144"/>
      <c r="CUF290" s="1144"/>
      <c r="CUG290" s="1144"/>
      <c r="CUH290" s="1144"/>
      <c r="CUI290" s="1144"/>
      <c r="CUJ290" s="1144"/>
      <c r="CUK290" s="1144"/>
      <c r="CUL290" s="1144"/>
      <c r="CUM290" s="1144"/>
      <c r="CUN290" s="1144"/>
      <c r="CUO290" s="1144"/>
      <c r="CUP290" s="1144"/>
      <c r="CUQ290" s="1144"/>
      <c r="CUR290" s="1144"/>
      <c r="CUS290" s="1144"/>
      <c r="CUT290" s="1144"/>
      <c r="CUU290" s="1144"/>
      <c r="CUV290" s="1144"/>
      <c r="CUW290" s="1144"/>
      <c r="CUX290" s="1144"/>
      <c r="CUY290" s="1144"/>
      <c r="CUZ290" s="1144"/>
      <c r="CVA290" s="1144"/>
      <c r="CVB290" s="1144"/>
      <c r="CVC290" s="1144"/>
      <c r="CVD290" s="1144"/>
      <c r="CVE290" s="1144"/>
      <c r="CVF290" s="1144"/>
      <c r="CVG290" s="1144"/>
      <c r="CVH290" s="1144"/>
      <c r="CVI290" s="1144"/>
      <c r="CVJ290" s="1144"/>
      <c r="CVK290" s="1144"/>
      <c r="CVL290" s="1144"/>
      <c r="CVM290" s="1144"/>
      <c r="CVN290" s="1144"/>
      <c r="CVO290" s="1144"/>
      <c r="CVP290" s="1144"/>
      <c r="CVQ290" s="1144"/>
      <c r="CVR290" s="1144"/>
      <c r="CVS290" s="1144"/>
      <c r="CVT290" s="1144"/>
      <c r="CVU290" s="1144"/>
      <c r="CVV290" s="1144"/>
      <c r="CVW290" s="1144"/>
      <c r="CVX290" s="1144"/>
      <c r="CVY290" s="1144"/>
      <c r="CVZ290" s="1144"/>
      <c r="CWA290" s="1144"/>
      <c r="CWB290" s="1144"/>
      <c r="CWC290" s="1144"/>
      <c r="CWD290" s="1144"/>
      <c r="CWE290" s="1144"/>
      <c r="CWF290" s="1144"/>
      <c r="CWG290" s="1144"/>
      <c r="CWH290" s="1144"/>
      <c r="CWI290" s="1144"/>
      <c r="CWJ290" s="1144"/>
      <c r="CWK290" s="1144"/>
      <c r="CWL290" s="1144"/>
      <c r="CWM290" s="1144"/>
      <c r="CWN290" s="1144"/>
      <c r="CWO290" s="1144"/>
      <c r="CWP290" s="1144"/>
      <c r="CWQ290" s="1144"/>
      <c r="CWR290" s="1144"/>
      <c r="CWS290" s="1144"/>
      <c r="CWT290" s="1144"/>
      <c r="CWU290" s="1144"/>
      <c r="CWV290" s="1144"/>
      <c r="CWW290" s="1144"/>
      <c r="CWX290" s="1144"/>
      <c r="CWY290" s="1144"/>
      <c r="CWZ290" s="1144"/>
      <c r="CXA290" s="1144"/>
      <c r="CXB290" s="1144"/>
      <c r="CXC290" s="1144"/>
      <c r="CXD290" s="1144"/>
      <c r="CXE290" s="1144"/>
      <c r="CXF290" s="1144"/>
      <c r="CXG290" s="1144"/>
      <c r="CXH290" s="1144"/>
      <c r="CXI290" s="1144"/>
      <c r="CXJ290" s="1144"/>
      <c r="CXK290" s="1144"/>
      <c r="CXL290" s="1144"/>
      <c r="CXM290" s="1144"/>
      <c r="CXN290" s="1144"/>
      <c r="CXO290" s="1144"/>
      <c r="CXP290" s="1144"/>
      <c r="CXQ290" s="1144"/>
      <c r="CXR290" s="1144"/>
      <c r="CXS290" s="1144"/>
      <c r="CXT290" s="1144"/>
      <c r="CXU290" s="1144"/>
      <c r="CXV290" s="1144"/>
      <c r="CXW290" s="1144"/>
      <c r="CXX290" s="1144"/>
      <c r="CXY290" s="1144"/>
      <c r="CXZ290" s="1144"/>
      <c r="CYA290" s="1144"/>
      <c r="CYB290" s="1144"/>
      <c r="CYC290" s="1144"/>
      <c r="CYD290" s="1144"/>
      <c r="CYE290" s="1144"/>
      <c r="CYF290" s="1144"/>
      <c r="CYG290" s="1144"/>
      <c r="CYH290" s="1144"/>
      <c r="CYI290" s="1144"/>
      <c r="CYJ290" s="1144"/>
      <c r="CYK290" s="1144"/>
      <c r="CYL290" s="1144"/>
      <c r="CYM290" s="1144"/>
      <c r="CYN290" s="1144"/>
      <c r="CYO290" s="1144"/>
      <c r="CYP290" s="1144"/>
      <c r="CYQ290" s="1144"/>
      <c r="CYR290" s="1144"/>
      <c r="CYS290" s="1144"/>
      <c r="CYT290" s="1144"/>
      <c r="CYU290" s="1144"/>
      <c r="CYV290" s="1144"/>
      <c r="CYW290" s="1144"/>
      <c r="CYX290" s="1144"/>
      <c r="CYY290" s="1144"/>
      <c r="CYZ290" s="1144"/>
      <c r="CZA290" s="1144"/>
      <c r="CZB290" s="1144"/>
      <c r="CZC290" s="1144"/>
      <c r="CZD290" s="1144"/>
      <c r="CZE290" s="1144"/>
      <c r="CZF290" s="1144"/>
      <c r="CZG290" s="1144"/>
      <c r="CZH290" s="1144"/>
      <c r="CZI290" s="1144"/>
      <c r="CZJ290" s="1144"/>
      <c r="CZK290" s="1144"/>
      <c r="CZL290" s="1144"/>
      <c r="CZM290" s="1144"/>
      <c r="CZN290" s="1144"/>
      <c r="CZO290" s="1144"/>
      <c r="CZP290" s="1144"/>
      <c r="CZQ290" s="1144"/>
      <c r="CZR290" s="1144"/>
      <c r="CZS290" s="1144"/>
      <c r="CZT290" s="1144"/>
      <c r="CZU290" s="1144"/>
      <c r="CZV290" s="1144"/>
      <c r="CZW290" s="1144"/>
      <c r="CZX290" s="1144"/>
      <c r="CZY290" s="1144"/>
      <c r="CZZ290" s="1144"/>
      <c r="DAA290" s="1144"/>
      <c r="DAB290" s="1144"/>
      <c r="DAC290" s="1144"/>
      <c r="DAD290" s="1144"/>
      <c r="DAE290" s="1144"/>
      <c r="DAF290" s="1144"/>
      <c r="DAG290" s="1144"/>
      <c r="DAH290" s="1144"/>
      <c r="DAI290" s="1144"/>
      <c r="DAJ290" s="1144"/>
      <c r="DAK290" s="1144"/>
      <c r="DAL290" s="1144"/>
      <c r="DAM290" s="1144"/>
      <c r="DAN290" s="1144"/>
      <c r="DAO290" s="1144"/>
      <c r="DAP290" s="1144"/>
      <c r="DAQ290" s="1144"/>
      <c r="DAR290" s="1144"/>
      <c r="DAS290" s="1144"/>
      <c r="DAT290" s="1144"/>
      <c r="DAU290" s="1144"/>
      <c r="DAV290" s="1144"/>
      <c r="DAW290" s="1144"/>
      <c r="DAX290" s="1144"/>
      <c r="DAY290" s="1144"/>
      <c r="DAZ290" s="1144"/>
      <c r="DBA290" s="1144"/>
      <c r="DBB290" s="1144"/>
      <c r="DBC290" s="1144"/>
      <c r="DBD290" s="1144"/>
      <c r="DBE290" s="1144"/>
      <c r="DBF290" s="1144"/>
      <c r="DBG290" s="1144"/>
      <c r="DBH290" s="1144"/>
      <c r="DBI290" s="1144"/>
      <c r="DBJ290" s="1144"/>
      <c r="DBK290" s="1144"/>
      <c r="DBL290" s="1144"/>
      <c r="DBM290" s="1144"/>
      <c r="DBN290" s="1144"/>
      <c r="DBO290" s="1144"/>
      <c r="DBP290" s="1144"/>
      <c r="DBQ290" s="1144"/>
      <c r="DBR290" s="1144"/>
      <c r="DBS290" s="1144"/>
      <c r="DBT290" s="1144"/>
      <c r="DBU290" s="1144"/>
      <c r="DBV290" s="1144"/>
      <c r="DBW290" s="1144"/>
      <c r="DBX290" s="1144"/>
      <c r="DBY290" s="1144"/>
      <c r="DBZ290" s="1144"/>
      <c r="DCA290" s="1144"/>
      <c r="DCB290" s="1144"/>
      <c r="DCC290" s="1144"/>
      <c r="DCD290" s="1144"/>
      <c r="DCE290" s="1144"/>
      <c r="DCF290" s="1144"/>
      <c r="DCG290" s="1144"/>
      <c r="DCH290" s="1144"/>
      <c r="DCI290" s="1144"/>
      <c r="DCJ290" s="1144"/>
      <c r="DCK290" s="1144"/>
      <c r="DCL290" s="1144"/>
      <c r="DCM290" s="1144"/>
      <c r="DCN290" s="1144"/>
      <c r="DCO290" s="1144"/>
      <c r="DCP290" s="1144"/>
      <c r="DCQ290" s="1144"/>
      <c r="DCR290" s="1144"/>
      <c r="DCS290" s="1144"/>
      <c r="DCT290" s="1144"/>
      <c r="DCU290" s="1144"/>
      <c r="DCV290" s="1144"/>
      <c r="DCW290" s="1144"/>
      <c r="DCX290" s="1144"/>
      <c r="DCY290" s="1144"/>
      <c r="DCZ290" s="1144"/>
      <c r="DDA290" s="1144"/>
      <c r="DDB290" s="1144"/>
      <c r="DDC290" s="1144"/>
      <c r="DDD290" s="1144"/>
      <c r="DDE290" s="1144"/>
      <c r="DDF290" s="1144"/>
      <c r="DDG290" s="1144"/>
      <c r="DDH290" s="1144"/>
      <c r="DDI290" s="1144"/>
      <c r="DDJ290" s="1144"/>
      <c r="DDK290" s="1144"/>
      <c r="DDL290" s="1144"/>
      <c r="DDM290" s="1144"/>
      <c r="DDN290" s="1144"/>
      <c r="DDO290" s="1144"/>
      <c r="DDP290" s="1144"/>
      <c r="DDQ290" s="1144"/>
      <c r="DDR290" s="1144"/>
      <c r="DDS290" s="1144"/>
      <c r="DDT290" s="1144"/>
      <c r="DDU290" s="1144"/>
      <c r="DDV290" s="1144"/>
      <c r="DDW290" s="1144"/>
      <c r="DDX290" s="1144"/>
      <c r="DDY290" s="1144"/>
      <c r="DDZ290" s="1144"/>
      <c r="DEA290" s="1144"/>
      <c r="DEB290" s="1144"/>
      <c r="DEC290" s="1144"/>
      <c r="DED290" s="1144"/>
      <c r="DEE290" s="1144"/>
      <c r="DEF290" s="1144"/>
      <c r="DEG290" s="1144"/>
      <c r="DEH290" s="1144"/>
      <c r="DEI290" s="1144"/>
      <c r="DEJ290" s="1144"/>
      <c r="DEK290" s="1144"/>
      <c r="DEL290" s="1144"/>
      <c r="DEM290" s="1144"/>
      <c r="DEN290" s="1144"/>
      <c r="DEO290" s="1144"/>
      <c r="DEP290" s="1144"/>
      <c r="DEQ290" s="1144"/>
      <c r="DER290" s="1144"/>
      <c r="DES290" s="1144"/>
      <c r="DET290" s="1144"/>
      <c r="DEU290" s="1144"/>
      <c r="DEV290" s="1144"/>
      <c r="DEW290" s="1144"/>
      <c r="DEX290" s="1144"/>
      <c r="DEY290" s="1144"/>
      <c r="DEZ290" s="1144"/>
      <c r="DFA290" s="1144"/>
      <c r="DFB290" s="1144"/>
      <c r="DFC290" s="1144"/>
      <c r="DFD290" s="1144"/>
      <c r="DFE290" s="1144"/>
      <c r="DFF290" s="1144"/>
      <c r="DFG290" s="1144"/>
      <c r="DFH290" s="1144"/>
      <c r="DFI290" s="1144"/>
      <c r="DFJ290" s="1144"/>
      <c r="DFK290" s="1144"/>
      <c r="DFL290" s="1144"/>
      <c r="DFM290" s="1144"/>
      <c r="DFN290" s="1144"/>
      <c r="DFO290" s="1144"/>
      <c r="DFP290" s="1144"/>
      <c r="DFQ290" s="1144"/>
      <c r="DFR290" s="1144"/>
      <c r="DFS290" s="1144"/>
      <c r="DFT290" s="1144"/>
      <c r="DFU290" s="1144"/>
      <c r="DFV290" s="1144"/>
      <c r="DFW290" s="1144"/>
      <c r="DFX290" s="1144"/>
      <c r="DFY290" s="1144"/>
      <c r="DFZ290" s="1144"/>
      <c r="DGA290" s="1144"/>
      <c r="DGB290" s="1144"/>
      <c r="DGC290" s="1144"/>
      <c r="DGD290" s="1144"/>
      <c r="DGE290" s="1144"/>
      <c r="DGF290" s="1144"/>
      <c r="DGG290" s="1144"/>
      <c r="DGH290" s="1144"/>
      <c r="DGI290" s="1144"/>
      <c r="DGJ290" s="1144"/>
      <c r="DGK290" s="1144"/>
      <c r="DGL290" s="1144"/>
      <c r="DGM290" s="1144"/>
      <c r="DGN290" s="1144"/>
      <c r="DGO290" s="1144"/>
      <c r="DGP290" s="1144"/>
      <c r="DGQ290" s="1144"/>
      <c r="DGR290" s="1144"/>
      <c r="DGS290" s="1144"/>
      <c r="DGT290" s="1144"/>
      <c r="DGU290" s="1144"/>
      <c r="DGV290" s="1144"/>
      <c r="DGW290" s="1144"/>
      <c r="DGX290" s="1144"/>
      <c r="DGY290" s="1144"/>
      <c r="DGZ290" s="1144"/>
      <c r="DHA290" s="1144"/>
      <c r="DHB290" s="1144"/>
      <c r="DHC290" s="1144"/>
      <c r="DHD290" s="1144"/>
      <c r="DHE290" s="1144"/>
      <c r="DHF290" s="1144"/>
      <c r="DHG290" s="1144"/>
      <c r="DHH290" s="1144"/>
      <c r="DHI290" s="1144"/>
      <c r="DHJ290" s="1144"/>
      <c r="DHK290" s="1144"/>
      <c r="DHL290" s="1144"/>
      <c r="DHM290" s="1144"/>
      <c r="DHN290" s="1144"/>
      <c r="DHO290" s="1144"/>
      <c r="DHP290" s="1144"/>
      <c r="DHQ290" s="1144"/>
      <c r="DHR290" s="1144"/>
      <c r="DHS290" s="1144"/>
      <c r="DHT290" s="1144"/>
      <c r="DHU290" s="1144"/>
      <c r="DHV290" s="1144"/>
      <c r="DHW290" s="1144"/>
      <c r="DHX290" s="1144"/>
      <c r="DHY290" s="1144"/>
      <c r="DHZ290" s="1144"/>
      <c r="DIA290" s="1144"/>
      <c r="DIB290" s="1144"/>
      <c r="DIC290" s="1144"/>
      <c r="DID290" s="1144"/>
      <c r="DIE290" s="1144"/>
      <c r="DIF290" s="1144"/>
      <c r="DIG290" s="1144"/>
      <c r="DIH290" s="1144"/>
      <c r="DII290" s="1144"/>
      <c r="DIJ290" s="1144"/>
      <c r="DIK290" s="1144"/>
      <c r="DIL290" s="1144"/>
      <c r="DIM290" s="1144"/>
      <c r="DIN290" s="1144"/>
      <c r="DIO290" s="1144"/>
      <c r="DIP290" s="1144"/>
      <c r="DIQ290" s="1144"/>
      <c r="DIR290" s="1144"/>
      <c r="DIS290" s="1144"/>
      <c r="DIT290" s="1144"/>
      <c r="DIU290" s="1144"/>
      <c r="DIV290" s="1144"/>
      <c r="DIW290" s="1144"/>
      <c r="DIX290" s="1144"/>
      <c r="DIY290" s="1144"/>
      <c r="DIZ290" s="1144"/>
      <c r="DJA290" s="1144"/>
      <c r="DJB290" s="1144"/>
      <c r="DJC290" s="1144"/>
      <c r="DJD290" s="1144"/>
      <c r="DJE290" s="1144"/>
      <c r="DJF290" s="1144"/>
      <c r="DJG290" s="1144"/>
      <c r="DJH290" s="1144"/>
      <c r="DJI290" s="1144"/>
      <c r="DJJ290" s="1144"/>
      <c r="DJK290" s="1144"/>
      <c r="DJL290" s="1144"/>
      <c r="DJM290" s="1144"/>
      <c r="DJN290" s="1144"/>
      <c r="DJO290" s="1144"/>
      <c r="DJP290" s="1144"/>
      <c r="DJQ290" s="1144"/>
      <c r="DJR290" s="1144"/>
      <c r="DJS290" s="1144"/>
      <c r="DJT290" s="1144"/>
      <c r="DJU290" s="1144"/>
      <c r="DJV290" s="1144"/>
      <c r="DJW290" s="1144"/>
      <c r="DJX290" s="1144"/>
      <c r="DJY290" s="1144"/>
      <c r="DJZ290" s="1144"/>
      <c r="DKA290" s="1144"/>
      <c r="DKB290" s="1144"/>
      <c r="DKC290" s="1144"/>
      <c r="DKD290" s="1144"/>
      <c r="DKE290" s="1144"/>
      <c r="DKF290" s="1144"/>
      <c r="DKG290" s="1144"/>
      <c r="DKH290" s="1144"/>
      <c r="DKI290" s="1144"/>
      <c r="DKJ290" s="1144"/>
      <c r="DKK290" s="1144"/>
      <c r="DKL290" s="1144"/>
      <c r="DKM290" s="1144"/>
      <c r="DKN290" s="1144"/>
      <c r="DKO290" s="1144"/>
      <c r="DKP290" s="1144"/>
      <c r="DKQ290" s="1144"/>
      <c r="DKR290" s="1144"/>
      <c r="DKS290" s="1144"/>
      <c r="DKT290" s="1144"/>
      <c r="DKU290" s="1144"/>
      <c r="DKV290" s="1144"/>
      <c r="DKW290" s="1144"/>
      <c r="DKX290" s="1144"/>
      <c r="DKY290" s="1144"/>
      <c r="DKZ290" s="1144"/>
      <c r="DLA290" s="1144"/>
      <c r="DLB290" s="1144"/>
      <c r="DLC290" s="1144"/>
      <c r="DLD290" s="1144"/>
      <c r="DLE290" s="1144"/>
      <c r="DLF290" s="1144"/>
      <c r="DLG290" s="1144"/>
      <c r="DLH290" s="1144"/>
      <c r="DLI290" s="1144"/>
      <c r="DLJ290" s="1144"/>
      <c r="DLK290" s="1144"/>
      <c r="DLL290" s="1144"/>
      <c r="DLM290" s="1144"/>
      <c r="DLN290" s="1144"/>
      <c r="DLO290" s="1144"/>
      <c r="DLP290" s="1144"/>
      <c r="DLQ290" s="1144"/>
      <c r="DLR290" s="1144"/>
      <c r="DLS290" s="1144"/>
      <c r="DLT290" s="1144"/>
      <c r="DLU290" s="1144"/>
      <c r="DLV290" s="1144"/>
      <c r="DLW290" s="1144"/>
      <c r="DLX290" s="1144"/>
      <c r="DLY290" s="1144"/>
      <c r="DLZ290" s="1144"/>
      <c r="DMA290" s="1144"/>
      <c r="DMB290" s="1144"/>
      <c r="DMC290" s="1144"/>
      <c r="DMD290" s="1144"/>
      <c r="DME290" s="1144"/>
      <c r="DMF290" s="1144"/>
      <c r="DMG290" s="1144"/>
      <c r="DMH290" s="1144"/>
      <c r="DMI290" s="1144"/>
      <c r="DMJ290" s="1144"/>
      <c r="DMK290" s="1144"/>
      <c r="DML290" s="1144"/>
      <c r="DMM290" s="1144"/>
      <c r="DMN290" s="1144"/>
      <c r="DMO290" s="1144"/>
      <c r="DMP290" s="1144"/>
      <c r="DMQ290" s="1144"/>
      <c r="DMR290" s="1144"/>
      <c r="DMS290" s="1144"/>
      <c r="DMT290" s="1144"/>
      <c r="DMU290" s="1144"/>
      <c r="DMV290" s="1144"/>
      <c r="DMW290" s="1144"/>
      <c r="DMX290" s="1144"/>
      <c r="DMY290" s="1144"/>
      <c r="DMZ290" s="1144"/>
      <c r="DNA290" s="1144"/>
      <c r="DNB290" s="1144"/>
      <c r="DNC290" s="1144"/>
      <c r="DND290" s="1144"/>
      <c r="DNE290" s="1144"/>
      <c r="DNF290" s="1144"/>
      <c r="DNG290" s="1144"/>
      <c r="DNH290" s="1144"/>
      <c r="DNI290" s="1144"/>
      <c r="DNJ290" s="1144"/>
      <c r="DNK290" s="1144"/>
      <c r="DNL290" s="1144"/>
      <c r="DNM290" s="1144"/>
      <c r="DNN290" s="1144"/>
      <c r="DNO290" s="1144"/>
      <c r="DNP290" s="1144"/>
      <c r="DNQ290" s="1144"/>
      <c r="DNR290" s="1144"/>
      <c r="DNS290" s="1144"/>
      <c r="DNT290" s="1144"/>
      <c r="DNU290" s="1144"/>
      <c r="DNV290" s="1144"/>
      <c r="DNW290" s="1144"/>
      <c r="DNX290" s="1144"/>
      <c r="DNY290" s="1144"/>
      <c r="DNZ290" s="1144"/>
      <c r="DOA290" s="1144"/>
      <c r="DOB290" s="1144"/>
      <c r="DOC290" s="1144"/>
      <c r="DOD290" s="1144"/>
      <c r="DOE290" s="1144"/>
      <c r="DOF290" s="1144"/>
      <c r="DOG290" s="1144"/>
      <c r="DOH290" s="1144"/>
      <c r="DOI290" s="1144"/>
      <c r="DOJ290" s="1144"/>
      <c r="DOK290" s="1144"/>
      <c r="DOL290" s="1144"/>
      <c r="DOM290" s="1144"/>
      <c r="DON290" s="1144"/>
      <c r="DOO290" s="1144"/>
      <c r="DOP290" s="1144"/>
      <c r="DOQ290" s="1144"/>
      <c r="DOR290" s="1144"/>
      <c r="DOS290" s="1144"/>
      <c r="DOT290" s="1144"/>
      <c r="DOU290" s="1144"/>
      <c r="DOV290" s="1144"/>
      <c r="DOW290" s="1144"/>
      <c r="DOX290" s="1144"/>
      <c r="DOY290" s="1144"/>
      <c r="DOZ290" s="1144"/>
      <c r="DPA290" s="1144"/>
      <c r="DPB290" s="1144"/>
      <c r="DPC290" s="1144"/>
      <c r="DPD290" s="1144"/>
      <c r="DPE290" s="1144"/>
      <c r="DPF290" s="1144"/>
      <c r="DPG290" s="1144"/>
      <c r="DPH290" s="1144"/>
      <c r="DPI290" s="1144"/>
      <c r="DPJ290" s="1144"/>
      <c r="DPK290" s="1144"/>
      <c r="DPL290" s="1144"/>
      <c r="DPM290" s="1144"/>
      <c r="DPN290" s="1144"/>
      <c r="DPO290" s="1144"/>
      <c r="DPP290" s="1144"/>
      <c r="DPQ290" s="1144"/>
      <c r="DPR290" s="1144"/>
      <c r="DPS290" s="1144"/>
      <c r="DPT290" s="1144"/>
      <c r="DPU290" s="1144"/>
      <c r="DPV290" s="1144"/>
      <c r="DPW290" s="1144"/>
      <c r="DPX290" s="1144"/>
      <c r="DPY290" s="1144"/>
      <c r="DPZ290" s="1144"/>
      <c r="DQA290" s="1144"/>
      <c r="DQB290" s="1144"/>
      <c r="DQC290" s="1144"/>
      <c r="DQD290" s="1144"/>
      <c r="DQE290" s="1144"/>
      <c r="DQF290" s="1144"/>
      <c r="DQG290" s="1144"/>
      <c r="DQH290" s="1144"/>
      <c r="DQI290" s="1144"/>
      <c r="DQJ290" s="1144"/>
      <c r="DQK290" s="1144"/>
      <c r="DQL290" s="1144"/>
      <c r="DQM290" s="1144"/>
      <c r="DQN290" s="1144"/>
      <c r="DQO290" s="1144"/>
      <c r="DQP290" s="1144"/>
      <c r="DQQ290" s="1144"/>
      <c r="DQR290" s="1144"/>
      <c r="DQS290" s="1144"/>
      <c r="DQT290" s="1144"/>
      <c r="DQU290" s="1144"/>
      <c r="DQV290" s="1144"/>
      <c r="DQW290" s="1144"/>
      <c r="DQX290" s="1144"/>
      <c r="DQY290" s="1144"/>
      <c r="DQZ290" s="1144"/>
      <c r="DRA290" s="1144"/>
      <c r="DRB290" s="1144"/>
      <c r="DRC290" s="1144"/>
      <c r="DRD290" s="1144"/>
      <c r="DRE290" s="1144"/>
      <c r="DRF290" s="1144"/>
      <c r="DRG290" s="1144"/>
      <c r="DRH290" s="1144"/>
      <c r="DRI290" s="1144"/>
      <c r="DRJ290" s="1144"/>
      <c r="DRK290" s="1144"/>
      <c r="DRL290" s="1144"/>
      <c r="DRM290" s="1144"/>
      <c r="DRN290" s="1144"/>
      <c r="DRO290" s="1144"/>
      <c r="DRP290" s="1144"/>
      <c r="DRQ290" s="1144"/>
      <c r="DRR290" s="1144"/>
      <c r="DRS290" s="1144"/>
      <c r="DRT290" s="1144"/>
      <c r="DRU290" s="1144"/>
      <c r="DRV290" s="1144"/>
      <c r="DRW290" s="1144"/>
      <c r="DRX290" s="1144"/>
      <c r="DRY290" s="1144"/>
      <c r="DRZ290" s="1144"/>
      <c r="DSA290" s="1144"/>
      <c r="DSB290" s="1144"/>
      <c r="DSC290" s="1144"/>
      <c r="DSD290" s="1144"/>
      <c r="DSE290" s="1144"/>
      <c r="DSF290" s="1144"/>
      <c r="DSG290" s="1144"/>
      <c r="DSH290" s="1144"/>
      <c r="DSI290" s="1144"/>
      <c r="DSJ290" s="1144"/>
      <c r="DSK290" s="1144"/>
      <c r="DSL290" s="1144"/>
      <c r="DSM290" s="1144"/>
      <c r="DSN290" s="1144"/>
      <c r="DSO290" s="1144"/>
      <c r="DSP290" s="1144"/>
      <c r="DSQ290" s="1144"/>
      <c r="DSR290" s="1144"/>
      <c r="DSS290" s="1144"/>
      <c r="DST290" s="1144"/>
      <c r="DSU290" s="1144"/>
      <c r="DSV290" s="1144"/>
      <c r="DSW290" s="1144"/>
      <c r="DSX290" s="1144"/>
      <c r="DSY290" s="1144"/>
      <c r="DSZ290" s="1144"/>
      <c r="DTA290" s="1144"/>
      <c r="DTB290" s="1144"/>
      <c r="DTC290" s="1144"/>
      <c r="DTD290" s="1144"/>
      <c r="DTE290" s="1144"/>
      <c r="DTF290" s="1144"/>
      <c r="DTG290" s="1144"/>
      <c r="DTH290" s="1144"/>
      <c r="DTI290" s="1144"/>
      <c r="DTJ290" s="1144"/>
      <c r="DTK290" s="1144"/>
      <c r="DTL290" s="1144"/>
      <c r="DTM290" s="1144"/>
      <c r="DTN290" s="1144"/>
      <c r="DTO290" s="1144"/>
      <c r="DTP290" s="1144"/>
      <c r="DTQ290" s="1144"/>
      <c r="DTR290" s="1144"/>
      <c r="DTS290" s="1144"/>
      <c r="DTT290" s="1144"/>
      <c r="DTU290" s="1144"/>
      <c r="DTV290" s="1144"/>
      <c r="DTW290" s="1144"/>
      <c r="DTX290" s="1144"/>
      <c r="DTY290" s="1144"/>
      <c r="DTZ290" s="1144"/>
      <c r="DUA290" s="1144"/>
      <c r="DUB290" s="1144"/>
      <c r="DUC290" s="1144"/>
      <c r="DUD290" s="1144"/>
      <c r="DUE290" s="1144"/>
      <c r="DUF290" s="1144"/>
      <c r="DUG290" s="1144"/>
      <c r="DUH290" s="1144"/>
      <c r="DUI290" s="1144"/>
      <c r="DUJ290" s="1144"/>
      <c r="DUK290" s="1144"/>
      <c r="DUL290" s="1144"/>
      <c r="DUM290" s="1144"/>
      <c r="DUN290" s="1144"/>
      <c r="DUO290" s="1144"/>
      <c r="DUP290" s="1144"/>
      <c r="DUQ290" s="1144"/>
      <c r="DUR290" s="1144"/>
      <c r="DUS290" s="1144"/>
      <c r="DUT290" s="1144"/>
      <c r="DUU290" s="1144"/>
      <c r="DUV290" s="1144"/>
      <c r="DUW290" s="1144"/>
      <c r="DUX290" s="1144"/>
      <c r="DUY290" s="1144"/>
      <c r="DUZ290" s="1144"/>
      <c r="DVA290" s="1144"/>
      <c r="DVB290" s="1144"/>
      <c r="DVC290" s="1144"/>
      <c r="DVD290" s="1144"/>
      <c r="DVE290" s="1144"/>
      <c r="DVF290" s="1144"/>
      <c r="DVG290" s="1144"/>
      <c r="DVH290" s="1144"/>
      <c r="DVI290" s="1144"/>
      <c r="DVJ290" s="1144"/>
      <c r="DVK290" s="1144"/>
      <c r="DVL290" s="1144"/>
      <c r="DVM290" s="1144"/>
      <c r="DVN290" s="1144"/>
      <c r="DVO290" s="1144"/>
      <c r="DVP290" s="1144"/>
      <c r="DVQ290" s="1144"/>
      <c r="DVR290" s="1144"/>
      <c r="DVS290" s="1144"/>
      <c r="DVT290" s="1144"/>
      <c r="DVU290" s="1144"/>
      <c r="DVV290" s="1144"/>
      <c r="DVW290" s="1144"/>
      <c r="DVX290" s="1144"/>
      <c r="DVY290" s="1144"/>
      <c r="DVZ290" s="1144"/>
      <c r="DWA290" s="1144"/>
      <c r="DWB290" s="1144"/>
      <c r="DWC290" s="1144"/>
      <c r="DWD290" s="1144"/>
      <c r="DWE290" s="1144"/>
      <c r="DWF290" s="1144"/>
      <c r="DWG290" s="1144"/>
      <c r="DWH290" s="1144"/>
      <c r="DWI290" s="1144"/>
      <c r="DWJ290" s="1144"/>
      <c r="DWK290" s="1144"/>
      <c r="DWL290" s="1144"/>
      <c r="DWM290" s="1144"/>
      <c r="DWN290" s="1144"/>
      <c r="DWO290" s="1144"/>
      <c r="DWP290" s="1144"/>
      <c r="DWQ290" s="1144"/>
      <c r="DWR290" s="1144"/>
      <c r="DWS290" s="1144"/>
      <c r="DWT290" s="1144"/>
      <c r="DWU290" s="1144"/>
      <c r="DWV290" s="1144"/>
      <c r="DWW290" s="1144"/>
      <c r="DWX290" s="1144"/>
      <c r="DWY290" s="1144"/>
      <c r="DWZ290" s="1144"/>
      <c r="DXA290" s="1144"/>
      <c r="DXB290" s="1144"/>
      <c r="DXC290" s="1144"/>
      <c r="DXD290" s="1144"/>
      <c r="DXE290" s="1144"/>
      <c r="DXF290" s="1144"/>
      <c r="DXG290" s="1144"/>
      <c r="DXH290" s="1144"/>
      <c r="DXI290" s="1144"/>
      <c r="DXJ290" s="1144"/>
      <c r="DXK290" s="1144"/>
      <c r="DXL290" s="1144"/>
      <c r="DXM290" s="1144"/>
      <c r="DXN290" s="1144"/>
      <c r="DXO290" s="1144"/>
      <c r="DXP290" s="1144"/>
      <c r="DXQ290" s="1144"/>
      <c r="DXR290" s="1144"/>
      <c r="DXS290" s="1144"/>
      <c r="DXT290" s="1144"/>
      <c r="DXU290" s="1144"/>
      <c r="DXV290" s="1144"/>
      <c r="DXW290" s="1144"/>
      <c r="DXX290" s="1144"/>
      <c r="DXY290" s="1144"/>
      <c r="DXZ290" s="1144"/>
      <c r="DYA290" s="1144"/>
      <c r="DYB290" s="1144"/>
      <c r="DYC290" s="1144"/>
      <c r="DYD290" s="1144"/>
      <c r="DYE290" s="1144"/>
      <c r="DYF290" s="1144"/>
      <c r="DYG290" s="1144"/>
      <c r="DYH290" s="1144"/>
      <c r="DYI290" s="1144"/>
      <c r="DYJ290" s="1144"/>
      <c r="DYK290" s="1144"/>
      <c r="DYL290" s="1144"/>
      <c r="DYM290" s="1144"/>
      <c r="DYN290" s="1144"/>
      <c r="DYO290" s="1144"/>
      <c r="DYP290" s="1144"/>
      <c r="DYQ290" s="1144"/>
      <c r="DYR290" s="1144"/>
      <c r="DYS290" s="1144"/>
      <c r="DYT290" s="1144"/>
      <c r="DYU290" s="1144"/>
      <c r="DYV290" s="1144"/>
      <c r="DYW290" s="1144"/>
      <c r="DYX290" s="1144"/>
      <c r="DYY290" s="1144"/>
      <c r="DYZ290" s="1144"/>
      <c r="DZA290" s="1144"/>
      <c r="DZB290" s="1144"/>
      <c r="DZC290" s="1144"/>
      <c r="DZD290" s="1144"/>
      <c r="DZE290" s="1144"/>
      <c r="DZF290" s="1144"/>
      <c r="DZG290" s="1144"/>
      <c r="DZH290" s="1144"/>
      <c r="DZI290" s="1144"/>
      <c r="DZJ290" s="1144"/>
      <c r="DZK290" s="1144"/>
      <c r="DZL290" s="1144"/>
      <c r="DZM290" s="1144"/>
      <c r="DZN290" s="1144"/>
      <c r="DZO290" s="1144"/>
      <c r="DZP290" s="1144"/>
      <c r="DZQ290" s="1144"/>
      <c r="DZR290" s="1144"/>
      <c r="DZS290" s="1144"/>
      <c r="DZT290" s="1144"/>
      <c r="DZU290" s="1144"/>
      <c r="DZV290" s="1144"/>
      <c r="DZW290" s="1144"/>
      <c r="DZX290" s="1144"/>
      <c r="DZY290" s="1144"/>
      <c r="DZZ290" s="1144"/>
      <c r="EAA290" s="1144"/>
      <c r="EAB290" s="1144"/>
      <c r="EAC290" s="1144"/>
      <c r="EAD290" s="1144"/>
      <c r="EAE290" s="1144"/>
      <c r="EAF290" s="1144"/>
      <c r="EAG290" s="1144"/>
      <c r="EAH290" s="1144"/>
      <c r="EAI290" s="1144"/>
      <c r="EAJ290" s="1144"/>
      <c r="EAK290" s="1144"/>
      <c r="EAL290" s="1144"/>
      <c r="EAM290" s="1144"/>
      <c r="EAN290" s="1144"/>
      <c r="EAO290" s="1144"/>
      <c r="EAP290" s="1144"/>
      <c r="EAQ290" s="1144"/>
      <c r="EAR290" s="1144"/>
      <c r="EAS290" s="1144"/>
      <c r="EAT290" s="1144"/>
      <c r="EAU290" s="1144"/>
      <c r="EAV290" s="1144"/>
      <c r="EAW290" s="1144"/>
      <c r="EAX290" s="1144"/>
      <c r="EAY290" s="1144"/>
      <c r="EAZ290" s="1144"/>
      <c r="EBA290" s="1144"/>
      <c r="EBB290" s="1144"/>
      <c r="EBC290" s="1144"/>
      <c r="EBD290" s="1144"/>
      <c r="EBE290" s="1144"/>
      <c r="EBF290" s="1144"/>
      <c r="EBG290" s="1144"/>
      <c r="EBH290" s="1144"/>
      <c r="EBI290" s="1144"/>
      <c r="EBJ290" s="1144"/>
      <c r="EBK290" s="1144"/>
      <c r="EBL290" s="1144"/>
      <c r="EBM290" s="1144"/>
      <c r="EBN290" s="1144"/>
      <c r="EBO290" s="1144"/>
      <c r="EBP290" s="1144"/>
      <c r="EBQ290" s="1144"/>
      <c r="EBR290" s="1144"/>
      <c r="EBS290" s="1144"/>
      <c r="EBT290" s="1144"/>
      <c r="EBU290" s="1144"/>
      <c r="EBV290" s="1144"/>
      <c r="EBW290" s="1144"/>
      <c r="EBX290" s="1144"/>
      <c r="EBY290" s="1144"/>
      <c r="EBZ290" s="1144"/>
      <c r="ECA290" s="1144"/>
      <c r="ECB290" s="1144"/>
      <c r="ECC290" s="1144"/>
      <c r="ECD290" s="1144"/>
      <c r="ECE290" s="1144"/>
      <c r="ECF290" s="1144"/>
      <c r="ECG290" s="1144"/>
      <c r="ECH290" s="1144"/>
      <c r="ECI290" s="1144"/>
      <c r="ECJ290" s="1144"/>
      <c r="ECK290" s="1144"/>
      <c r="ECL290" s="1144"/>
      <c r="ECM290" s="1144"/>
      <c r="ECN290" s="1144"/>
      <c r="ECO290" s="1144"/>
      <c r="ECP290" s="1144"/>
      <c r="ECQ290" s="1144"/>
      <c r="ECR290" s="1144"/>
      <c r="ECS290" s="1144"/>
      <c r="ECT290" s="1144"/>
      <c r="ECU290" s="1144"/>
      <c r="ECV290" s="1144"/>
      <c r="ECW290" s="1144"/>
      <c r="ECX290" s="1144"/>
      <c r="ECY290" s="1144"/>
      <c r="ECZ290" s="1144"/>
      <c r="EDA290" s="1144"/>
      <c r="EDB290" s="1144"/>
      <c r="EDC290" s="1144"/>
      <c r="EDD290" s="1144"/>
      <c r="EDE290" s="1144"/>
      <c r="EDF290" s="1144"/>
      <c r="EDG290" s="1144"/>
      <c r="EDH290" s="1144"/>
      <c r="EDI290" s="1144"/>
      <c r="EDJ290" s="1144"/>
      <c r="EDK290" s="1144"/>
      <c r="EDL290" s="1144"/>
      <c r="EDM290" s="1144"/>
      <c r="EDN290" s="1144"/>
      <c r="EDO290" s="1144"/>
      <c r="EDP290" s="1144"/>
      <c r="EDQ290" s="1144"/>
      <c r="EDR290" s="1144"/>
      <c r="EDS290" s="1144"/>
      <c r="EDT290" s="1144"/>
      <c r="EDU290" s="1144"/>
      <c r="EDV290" s="1144"/>
      <c r="EDW290" s="1144"/>
      <c r="EDX290" s="1144"/>
      <c r="EDY290" s="1144"/>
      <c r="EDZ290" s="1144"/>
      <c r="EEA290" s="1144"/>
      <c r="EEB290" s="1144"/>
      <c r="EEC290" s="1144"/>
      <c r="EED290" s="1144"/>
      <c r="EEE290" s="1144"/>
      <c r="EEF290" s="1144"/>
      <c r="EEG290" s="1144"/>
      <c r="EEH290" s="1144"/>
      <c r="EEI290" s="1144"/>
      <c r="EEJ290" s="1144"/>
      <c r="EEK290" s="1144"/>
      <c r="EEL290" s="1144"/>
      <c r="EEM290" s="1144"/>
      <c r="EEN290" s="1144"/>
      <c r="EEO290" s="1144"/>
      <c r="EEP290" s="1144"/>
      <c r="EEQ290" s="1144"/>
      <c r="EER290" s="1144"/>
      <c r="EES290" s="1144"/>
      <c r="EET290" s="1144"/>
      <c r="EEU290" s="1144"/>
      <c r="EEV290" s="1144"/>
      <c r="EEW290" s="1144"/>
      <c r="EEX290" s="1144"/>
      <c r="EEY290" s="1144"/>
      <c r="EEZ290" s="1144"/>
      <c r="EFA290" s="1144"/>
      <c r="EFB290" s="1144"/>
      <c r="EFC290" s="1144"/>
      <c r="EFD290" s="1144"/>
      <c r="EFE290" s="1144"/>
      <c r="EFF290" s="1144"/>
      <c r="EFG290" s="1144"/>
      <c r="EFH290" s="1144"/>
      <c r="EFI290" s="1144"/>
      <c r="EFJ290" s="1144"/>
      <c r="EFK290" s="1144"/>
      <c r="EFL290" s="1144"/>
      <c r="EFM290" s="1144"/>
      <c r="EFN290" s="1144"/>
      <c r="EFO290" s="1144"/>
      <c r="EFP290" s="1144"/>
      <c r="EFQ290" s="1144"/>
      <c r="EFR290" s="1144"/>
      <c r="EFS290" s="1144"/>
      <c r="EFT290" s="1144"/>
      <c r="EFU290" s="1144"/>
      <c r="EFV290" s="1144"/>
      <c r="EFW290" s="1144"/>
      <c r="EFX290" s="1144"/>
      <c r="EFY290" s="1144"/>
      <c r="EFZ290" s="1144"/>
      <c r="EGA290" s="1144"/>
      <c r="EGB290" s="1144"/>
      <c r="EGC290" s="1144"/>
      <c r="EGD290" s="1144"/>
      <c r="EGE290" s="1144"/>
      <c r="EGF290" s="1144"/>
      <c r="EGG290" s="1144"/>
      <c r="EGH290" s="1144"/>
      <c r="EGI290" s="1144"/>
      <c r="EGJ290" s="1144"/>
      <c r="EGK290" s="1144"/>
      <c r="EGL290" s="1144"/>
      <c r="EGM290" s="1144"/>
      <c r="EGN290" s="1144"/>
      <c r="EGO290" s="1144"/>
      <c r="EGP290" s="1144"/>
      <c r="EGQ290" s="1144"/>
      <c r="EGR290" s="1144"/>
      <c r="EGS290" s="1144"/>
      <c r="EGT290" s="1144"/>
      <c r="EGU290" s="1144"/>
      <c r="EGV290" s="1144"/>
      <c r="EGW290" s="1144"/>
      <c r="EGX290" s="1144"/>
      <c r="EGY290" s="1144"/>
      <c r="EGZ290" s="1144"/>
      <c r="EHA290" s="1144"/>
      <c r="EHB290" s="1144"/>
      <c r="EHC290" s="1144"/>
      <c r="EHD290" s="1144"/>
      <c r="EHE290" s="1144"/>
      <c r="EHF290" s="1144"/>
      <c r="EHG290" s="1144"/>
      <c r="EHH290" s="1144"/>
      <c r="EHI290" s="1144"/>
      <c r="EHJ290" s="1144"/>
      <c r="EHK290" s="1144"/>
      <c r="EHL290" s="1144"/>
      <c r="EHM290" s="1144"/>
      <c r="EHN290" s="1144"/>
      <c r="EHO290" s="1144"/>
      <c r="EHP290" s="1144"/>
      <c r="EHQ290" s="1144"/>
      <c r="EHR290" s="1144"/>
      <c r="EHS290" s="1144"/>
      <c r="EHT290" s="1144"/>
      <c r="EHU290" s="1144"/>
      <c r="EHV290" s="1144"/>
      <c r="EHW290" s="1144"/>
      <c r="EHX290" s="1144"/>
      <c r="EHY290" s="1144"/>
      <c r="EHZ290" s="1144"/>
      <c r="EIA290" s="1144"/>
      <c r="EIB290" s="1144"/>
      <c r="EIC290" s="1144"/>
      <c r="EID290" s="1144"/>
      <c r="EIE290" s="1144"/>
      <c r="EIF290" s="1144"/>
      <c r="EIG290" s="1144"/>
      <c r="EIH290" s="1144"/>
      <c r="EII290" s="1144"/>
      <c r="EIJ290" s="1144"/>
      <c r="EIK290" s="1144"/>
      <c r="EIL290" s="1144"/>
      <c r="EIM290" s="1144"/>
      <c r="EIN290" s="1144"/>
      <c r="EIO290" s="1144"/>
      <c r="EIP290" s="1144"/>
      <c r="EIQ290" s="1144"/>
      <c r="EIR290" s="1144"/>
      <c r="EIS290" s="1144"/>
      <c r="EIT290" s="1144"/>
      <c r="EIU290" s="1144"/>
      <c r="EIV290" s="1144"/>
      <c r="EIW290" s="1144"/>
      <c r="EIX290" s="1144"/>
      <c r="EIY290" s="1144"/>
      <c r="EIZ290" s="1144"/>
      <c r="EJA290" s="1144"/>
      <c r="EJB290" s="1144"/>
      <c r="EJC290" s="1144"/>
      <c r="EJD290" s="1144"/>
      <c r="EJE290" s="1144"/>
      <c r="EJF290" s="1144"/>
      <c r="EJG290" s="1144"/>
      <c r="EJH290" s="1144"/>
      <c r="EJI290" s="1144"/>
      <c r="EJJ290" s="1144"/>
      <c r="EJK290" s="1144"/>
      <c r="EJL290" s="1144"/>
      <c r="EJM290" s="1144"/>
      <c r="EJN290" s="1144"/>
      <c r="EJO290" s="1144"/>
      <c r="EJP290" s="1144"/>
      <c r="EJQ290" s="1144"/>
      <c r="EJR290" s="1144"/>
      <c r="EJS290" s="1144"/>
      <c r="EJT290" s="1144"/>
      <c r="EJU290" s="1144"/>
      <c r="EJV290" s="1144"/>
      <c r="EJW290" s="1144"/>
      <c r="EJX290" s="1144"/>
      <c r="EJY290" s="1144"/>
      <c r="EJZ290" s="1144"/>
      <c r="EKA290" s="1144"/>
      <c r="EKB290" s="1144"/>
      <c r="EKC290" s="1144"/>
      <c r="EKD290" s="1144"/>
      <c r="EKE290" s="1144"/>
      <c r="EKF290" s="1144"/>
      <c r="EKG290" s="1144"/>
      <c r="EKH290" s="1144"/>
      <c r="EKI290" s="1144"/>
      <c r="EKJ290" s="1144"/>
      <c r="EKK290" s="1144"/>
      <c r="EKL290" s="1144"/>
      <c r="EKM290" s="1144"/>
      <c r="EKN290" s="1144"/>
      <c r="EKO290" s="1144"/>
      <c r="EKP290" s="1144"/>
      <c r="EKQ290" s="1144"/>
      <c r="EKR290" s="1144"/>
      <c r="EKS290" s="1144"/>
      <c r="EKT290" s="1144"/>
      <c r="EKU290" s="1144"/>
      <c r="EKV290" s="1144"/>
      <c r="EKW290" s="1144"/>
      <c r="EKX290" s="1144"/>
      <c r="EKY290" s="1144"/>
      <c r="EKZ290" s="1144"/>
      <c r="ELA290" s="1144"/>
      <c r="ELB290" s="1144"/>
      <c r="ELC290" s="1144"/>
      <c r="ELD290" s="1144"/>
      <c r="ELE290" s="1144"/>
      <c r="ELF290" s="1144"/>
      <c r="ELG290" s="1144"/>
      <c r="ELH290" s="1144"/>
      <c r="ELI290" s="1144"/>
      <c r="ELJ290" s="1144"/>
      <c r="ELK290" s="1144"/>
      <c r="ELL290" s="1144"/>
      <c r="ELM290" s="1144"/>
      <c r="ELN290" s="1144"/>
      <c r="ELO290" s="1144"/>
      <c r="ELP290" s="1144"/>
      <c r="ELQ290" s="1144"/>
      <c r="ELR290" s="1144"/>
      <c r="ELS290" s="1144"/>
      <c r="ELT290" s="1144"/>
      <c r="ELU290" s="1144"/>
      <c r="ELV290" s="1144"/>
      <c r="ELW290" s="1144"/>
      <c r="ELX290" s="1144"/>
      <c r="ELY290" s="1144"/>
      <c r="ELZ290" s="1144"/>
      <c r="EMA290" s="1144"/>
      <c r="EMB290" s="1144"/>
      <c r="EMC290" s="1144"/>
      <c r="EMD290" s="1144"/>
      <c r="EME290" s="1144"/>
      <c r="EMF290" s="1144"/>
      <c r="EMG290" s="1144"/>
      <c r="EMH290" s="1144"/>
      <c r="EMI290" s="1144"/>
      <c r="EMJ290" s="1144"/>
      <c r="EMK290" s="1144"/>
      <c r="EML290" s="1144"/>
      <c r="EMM290" s="1144"/>
      <c r="EMN290" s="1144"/>
      <c r="EMO290" s="1144"/>
      <c r="EMP290" s="1144"/>
      <c r="EMQ290" s="1144"/>
      <c r="EMR290" s="1144"/>
      <c r="EMS290" s="1144"/>
      <c r="EMT290" s="1144"/>
      <c r="EMU290" s="1144"/>
      <c r="EMV290" s="1144"/>
      <c r="EMW290" s="1144"/>
      <c r="EMX290" s="1144"/>
      <c r="EMY290" s="1144"/>
      <c r="EMZ290" s="1144"/>
      <c r="ENA290" s="1144"/>
      <c r="ENB290" s="1144"/>
      <c r="ENC290" s="1144"/>
      <c r="END290" s="1144"/>
      <c r="ENE290" s="1144"/>
      <c r="ENF290" s="1144"/>
      <c r="ENG290" s="1144"/>
      <c r="ENH290" s="1144"/>
      <c r="ENI290" s="1144"/>
      <c r="ENJ290" s="1144"/>
      <c r="ENK290" s="1144"/>
      <c r="ENL290" s="1144"/>
      <c r="ENM290" s="1144"/>
      <c r="ENN290" s="1144"/>
      <c r="ENO290" s="1144"/>
      <c r="ENP290" s="1144"/>
      <c r="ENQ290" s="1144"/>
      <c r="ENR290" s="1144"/>
      <c r="ENS290" s="1144"/>
      <c r="ENT290" s="1144"/>
      <c r="ENU290" s="1144"/>
      <c r="ENV290" s="1144"/>
      <c r="ENW290" s="1144"/>
      <c r="ENX290" s="1144"/>
      <c r="ENY290" s="1144"/>
      <c r="ENZ290" s="1144"/>
      <c r="EOA290" s="1144"/>
      <c r="EOB290" s="1144"/>
      <c r="EOC290" s="1144"/>
      <c r="EOD290" s="1144"/>
      <c r="EOE290" s="1144"/>
      <c r="EOF290" s="1144"/>
      <c r="EOG290" s="1144"/>
      <c r="EOH290" s="1144"/>
      <c r="EOI290" s="1144"/>
      <c r="EOJ290" s="1144"/>
      <c r="EOK290" s="1144"/>
      <c r="EOL290" s="1144"/>
      <c r="EOM290" s="1144"/>
      <c r="EON290" s="1144"/>
      <c r="EOO290" s="1144"/>
      <c r="EOP290" s="1144"/>
      <c r="EOQ290" s="1144"/>
      <c r="EOR290" s="1144"/>
      <c r="EOS290" s="1144"/>
      <c r="EOT290" s="1144"/>
      <c r="EOU290" s="1144"/>
      <c r="EOV290" s="1144"/>
      <c r="EOW290" s="1144"/>
      <c r="EOX290" s="1144"/>
      <c r="EOY290" s="1144"/>
      <c r="EOZ290" s="1144"/>
      <c r="EPA290" s="1144"/>
      <c r="EPB290" s="1144"/>
      <c r="EPC290" s="1144"/>
      <c r="EPD290" s="1144"/>
      <c r="EPE290" s="1144"/>
      <c r="EPF290" s="1144"/>
      <c r="EPG290" s="1144"/>
      <c r="EPH290" s="1144"/>
      <c r="EPI290" s="1144"/>
      <c r="EPJ290" s="1144"/>
      <c r="EPK290" s="1144"/>
      <c r="EPL290" s="1144"/>
      <c r="EPM290" s="1144"/>
      <c r="EPN290" s="1144"/>
      <c r="EPO290" s="1144"/>
      <c r="EPP290" s="1144"/>
      <c r="EPQ290" s="1144"/>
      <c r="EPR290" s="1144"/>
      <c r="EPS290" s="1144"/>
      <c r="EPT290" s="1144"/>
      <c r="EPU290" s="1144"/>
      <c r="EPV290" s="1144"/>
      <c r="EPW290" s="1144"/>
      <c r="EPX290" s="1144"/>
      <c r="EPY290" s="1144"/>
      <c r="EPZ290" s="1144"/>
      <c r="EQA290" s="1144"/>
      <c r="EQB290" s="1144"/>
      <c r="EQC290" s="1144"/>
      <c r="EQD290" s="1144"/>
      <c r="EQE290" s="1144"/>
      <c r="EQF290" s="1144"/>
      <c r="EQG290" s="1144"/>
      <c r="EQH290" s="1144"/>
      <c r="EQI290" s="1144"/>
      <c r="EQJ290" s="1144"/>
      <c r="EQK290" s="1144"/>
      <c r="EQL290" s="1144"/>
      <c r="EQM290" s="1144"/>
      <c r="EQN290" s="1144"/>
      <c r="EQO290" s="1144"/>
      <c r="EQP290" s="1144"/>
      <c r="EQQ290" s="1144"/>
      <c r="EQR290" s="1144"/>
      <c r="EQS290" s="1144"/>
      <c r="EQT290" s="1144"/>
      <c r="EQU290" s="1144"/>
      <c r="EQV290" s="1144"/>
      <c r="EQW290" s="1144"/>
      <c r="EQX290" s="1144"/>
      <c r="EQY290" s="1144"/>
      <c r="EQZ290" s="1144"/>
      <c r="ERA290" s="1144"/>
      <c r="ERB290" s="1144"/>
      <c r="ERC290" s="1144"/>
      <c r="ERD290" s="1144"/>
      <c r="ERE290" s="1144"/>
      <c r="ERF290" s="1144"/>
      <c r="ERG290" s="1144"/>
      <c r="ERH290" s="1144"/>
      <c r="ERI290" s="1144"/>
      <c r="ERJ290" s="1144"/>
      <c r="ERK290" s="1144"/>
      <c r="ERL290" s="1144"/>
      <c r="ERM290" s="1144"/>
      <c r="ERN290" s="1144"/>
      <c r="ERO290" s="1144"/>
      <c r="ERP290" s="1144"/>
      <c r="ERQ290" s="1144"/>
      <c r="ERR290" s="1144"/>
      <c r="ERS290" s="1144"/>
      <c r="ERT290" s="1144"/>
      <c r="ERU290" s="1144"/>
      <c r="ERV290" s="1144"/>
      <c r="ERW290" s="1144"/>
      <c r="ERX290" s="1144"/>
      <c r="ERY290" s="1144"/>
      <c r="ERZ290" s="1144"/>
      <c r="ESA290" s="1144"/>
      <c r="ESB290" s="1144"/>
      <c r="ESC290" s="1144"/>
      <c r="ESD290" s="1144"/>
      <c r="ESE290" s="1144"/>
      <c r="ESF290" s="1144"/>
      <c r="ESG290" s="1144"/>
      <c r="ESH290" s="1144"/>
      <c r="ESI290" s="1144"/>
      <c r="ESJ290" s="1144"/>
      <c r="ESK290" s="1144"/>
      <c r="ESL290" s="1144"/>
      <c r="ESM290" s="1144"/>
      <c r="ESN290" s="1144"/>
      <c r="ESO290" s="1144"/>
      <c r="ESP290" s="1144"/>
      <c r="ESQ290" s="1144"/>
      <c r="ESR290" s="1144"/>
      <c r="ESS290" s="1144"/>
      <c r="EST290" s="1144"/>
      <c r="ESU290" s="1144"/>
      <c r="ESV290" s="1144"/>
      <c r="ESW290" s="1144"/>
      <c r="ESX290" s="1144"/>
      <c r="ESY290" s="1144"/>
      <c r="ESZ290" s="1144"/>
      <c r="ETA290" s="1144"/>
      <c r="ETB290" s="1144"/>
      <c r="ETC290" s="1144"/>
      <c r="ETD290" s="1144"/>
      <c r="ETE290" s="1144"/>
      <c r="ETF290" s="1144"/>
      <c r="ETG290" s="1144"/>
      <c r="ETH290" s="1144"/>
      <c r="ETI290" s="1144"/>
      <c r="ETJ290" s="1144"/>
      <c r="ETK290" s="1144"/>
      <c r="ETL290" s="1144"/>
      <c r="ETM290" s="1144"/>
      <c r="ETN290" s="1144"/>
      <c r="ETO290" s="1144"/>
      <c r="ETP290" s="1144"/>
      <c r="ETQ290" s="1144"/>
      <c r="ETR290" s="1144"/>
      <c r="ETS290" s="1144"/>
      <c r="ETT290" s="1144"/>
      <c r="ETU290" s="1144"/>
      <c r="ETV290" s="1144"/>
      <c r="ETW290" s="1144"/>
      <c r="ETX290" s="1144"/>
      <c r="ETY290" s="1144"/>
      <c r="ETZ290" s="1144"/>
      <c r="EUA290" s="1144"/>
      <c r="EUB290" s="1144"/>
      <c r="EUC290" s="1144"/>
      <c r="EUD290" s="1144"/>
      <c r="EUE290" s="1144"/>
      <c r="EUF290" s="1144"/>
      <c r="EUG290" s="1144"/>
      <c r="EUH290" s="1144"/>
      <c r="EUI290" s="1144"/>
      <c r="EUJ290" s="1144"/>
      <c r="EUK290" s="1144"/>
      <c r="EUL290" s="1144"/>
      <c r="EUM290" s="1144"/>
      <c r="EUN290" s="1144"/>
      <c r="EUO290" s="1144"/>
      <c r="EUP290" s="1144"/>
      <c r="EUQ290" s="1144"/>
      <c r="EUR290" s="1144"/>
      <c r="EUS290" s="1144"/>
      <c r="EUT290" s="1144"/>
      <c r="EUU290" s="1144"/>
      <c r="EUV290" s="1144"/>
      <c r="EUW290" s="1144"/>
      <c r="EUX290" s="1144"/>
      <c r="EUY290" s="1144"/>
      <c r="EUZ290" s="1144"/>
      <c r="EVA290" s="1144"/>
      <c r="EVB290" s="1144"/>
      <c r="EVC290" s="1144"/>
      <c r="EVD290" s="1144"/>
      <c r="EVE290" s="1144"/>
      <c r="EVF290" s="1144"/>
      <c r="EVG290" s="1144"/>
      <c r="EVH290" s="1144"/>
      <c r="EVI290" s="1144"/>
      <c r="EVJ290" s="1144"/>
      <c r="EVK290" s="1144"/>
      <c r="EVL290" s="1144"/>
      <c r="EVM290" s="1144"/>
      <c r="EVN290" s="1144"/>
      <c r="EVO290" s="1144"/>
      <c r="EVP290" s="1144"/>
      <c r="EVQ290" s="1144"/>
      <c r="EVR290" s="1144"/>
      <c r="EVS290" s="1144"/>
      <c r="EVT290" s="1144"/>
      <c r="EVU290" s="1144"/>
      <c r="EVV290" s="1144"/>
      <c r="EVW290" s="1144"/>
      <c r="EVX290" s="1144"/>
      <c r="EVY290" s="1144"/>
      <c r="EVZ290" s="1144"/>
      <c r="EWA290" s="1144"/>
      <c r="EWB290" s="1144"/>
      <c r="EWC290" s="1144"/>
      <c r="EWD290" s="1144"/>
      <c r="EWE290" s="1144"/>
      <c r="EWF290" s="1144"/>
      <c r="EWG290" s="1144"/>
      <c r="EWH290" s="1144"/>
      <c r="EWI290" s="1144"/>
      <c r="EWJ290" s="1144"/>
      <c r="EWK290" s="1144"/>
      <c r="EWL290" s="1144"/>
      <c r="EWM290" s="1144"/>
      <c r="EWN290" s="1144"/>
      <c r="EWO290" s="1144"/>
      <c r="EWP290" s="1144"/>
      <c r="EWQ290" s="1144"/>
      <c r="EWR290" s="1144"/>
      <c r="EWS290" s="1144"/>
      <c r="EWT290" s="1144"/>
      <c r="EWU290" s="1144"/>
      <c r="EWV290" s="1144"/>
      <c r="EWW290" s="1144"/>
      <c r="EWX290" s="1144"/>
      <c r="EWY290" s="1144"/>
      <c r="EWZ290" s="1144"/>
      <c r="EXA290" s="1144"/>
      <c r="EXB290" s="1144"/>
      <c r="EXC290" s="1144"/>
      <c r="EXD290" s="1144"/>
      <c r="EXE290" s="1144"/>
      <c r="EXF290" s="1144"/>
      <c r="EXG290" s="1144"/>
      <c r="EXH290" s="1144"/>
      <c r="EXI290" s="1144"/>
      <c r="EXJ290" s="1144"/>
      <c r="EXK290" s="1144"/>
      <c r="EXL290" s="1144"/>
      <c r="EXM290" s="1144"/>
      <c r="EXN290" s="1144"/>
      <c r="EXO290" s="1144"/>
      <c r="EXP290" s="1144"/>
      <c r="EXQ290" s="1144"/>
      <c r="EXR290" s="1144"/>
      <c r="EXS290" s="1144"/>
      <c r="EXT290" s="1144"/>
      <c r="EXU290" s="1144"/>
      <c r="EXV290" s="1144"/>
      <c r="EXW290" s="1144"/>
      <c r="EXX290" s="1144"/>
      <c r="EXY290" s="1144"/>
      <c r="EXZ290" s="1144"/>
      <c r="EYA290" s="1144"/>
      <c r="EYB290" s="1144"/>
      <c r="EYC290" s="1144"/>
      <c r="EYD290" s="1144"/>
      <c r="EYE290" s="1144"/>
      <c r="EYF290" s="1144"/>
      <c r="EYG290" s="1144"/>
      <c r="EYH290" s="1144"/>
      <c r="EYI290" s="1144"/>
      <c r="EYJ290" s="1144"/>
      <c r="EYK290" s="1144"/>
      <c r="EYL290" s="1144"/>
      <c r="EYM290" s="1144"/>
      <c r="EYN290" s="1144"/>
      <c r="EYO290" s="1144"/>
      <c r="EYP290" s="1144"/>
      <c r="EYQ290" s="1144"/>
      <c r="EYR290" s="1144"/>
      <c r="EYS290" s="1144"/>
      <c r="EYT290" s="1144"/>
      <c r="EYU290" s="1144"/>
      <c r="EYV290" s="1144"/>
      <c r="EYW290" s="1144"/>
      <c r="EYX290" s="1144"/>
      <c r="EYY290" s="1144"/>
      <c r="EYZ290" s="1144"/>
      <c r="EZA290" s="1144"/>
      <c r="EZB290" s="1144"/>
      <c r="EZC290" s="1144"/>
      <c r="EZD290" s="1144"/>
      <c r="EZE290" s="1144"/>
      <c r="EZF290" s="1144"/>
      <c r="EZG290" s="1144"/>
      <c r="EZH290" s="1144"/>
      <c r="EZI290" s="1144"/>
      <c r="EZJ290" s="1144"/>
      <c r="EZK290" s="1144"/>
      <c r="EZL290" s="1144"/>
      <c r="EZM290" s="1144"/>
      <c r="EZN290" s="1144"/>
      <c r="EZO290" s="1144"/>
      <c r="EZP290" s="1144"/>
      <c r="EZQ290" s="1144"/>
      <c r="EZR290" s="1144"/>
      <c r="EZS290" s="1144"/>
      <c r="EZT290" s="1144"/>
      <c r="EZU290" s="1144"/>
      <c r="EZV290" s="1144"/>
      <c r="EZW290" s="1144"/>
      <c r="EZX290" s="1144"/>
      <c r="EZY290" s="1144"/>
      <c r="EZZ290" s="1144"/>
      <c r="FAA290" s="1144"/>
      <c r="FAB290" s="1144"/>
      <c r="FAC290" s="1144"/>
      <c r="FAD290" s="1144"/>
      <c r="FAE290" s="1144"/>
      <c r="FAF290" s="1144"/>
      <c r="FAG290" s="1144"/>
      <c r="FAH290" s="1144"/>
      <c r="FAI290" s="1144"/>
      <c r="FAJ290" s="1144"/>
      <c r="FAK290" s="1144"/>
      <c r="FAL290" s="1144"/>
      <c r="FAM290" s="1144"/>
      <c r="FAN290" s="1144"/>
      <c r="FAO290" s="1144"/>
      <c r="FAP290" s="1144"/>
      <c r="FAQ290" s="1144"/>
      <c r="FAR290" s="1144"/>
      <c r="FAS290" s="1144"/>
      <c r="FAT290" s="1144"/>
      <c r="FAU290" s="1144"/>
      <c r="FAV290" s="1144"/>
      <c r="FAW290" s="1144"/>
      <c r="FAX290" s="1144"/>
      <c r="FAY290" s="1144"/>
      <c r="FAZ290" s="1144"/>
      <c r="FBA290" s="1144"/>
      <c r="FBB290" s="1144"/>
      <c r="FBC290" s="1144"/>
      <c r="FBD290" s="1144"/>
      <c r="FBE290" s="1144"/>
      <c r="FBF290" s="1144"/>
      <c r="FBG290" s="1144"/>
      <c r="FBH290" s="1144"/>
      <c r="FBI290" s="1144"/>
      <c r="FBJ290" s="1144"/>
      <c r="FBK290" s="1144"/>
      <c r="FBL290" s="1144"/>
      <c r="FBM290" s="1144"/>
      <c r="FBN290" s="1144"/>
      <c r="FBO290" s="1144"/>
      <c r="FBP290" s="1144"/>
      <c r="FBQ290" s="1144"/>
      <c r="FBR290" s="1144"/>
      <c r="FBS290" s="1144"/>
      <c r="FBT290" s="1144"/>
      <c r="FBU290" s="1144"/>
      <c r="FBV290" s="1144"/>
      <c r="FBW290" s="1144"/>
      <c r="FBX290" s="1144"/>
      <c r="FBY290" s="1144"/>
      <c r="FBZ290" s="1144"/>
      <c r="FCA290" s="1144"/>
      <c r="FCB290" s="1144"/>
      <c r="FCC290" s="1144"/>
      <c r="FCD290" s="1144"/>
      <c r="FCE290" s="1144"/>
      <c r="FCF290" s="1144"/>
      <c r="FCG290" s="1144"/>
      <c r="FCH290" s="1144"/>
      <c r="FCI290" s="1144"/>
      <c r="FCJ290" s="1144"/>
      <c r="FCK290" s="1144"/>
      <c r="FCL290" s="1144"/>
      <c r="FCM290" s="1144"/>
      <c r="FCN290" s="1144"/>
      <c r="FCO290" s="1144"/>
      <c r="FCP290" s="1144"/>
      <c r="FCQ290" s="1144"/>
      <c r="FCR290" s="1144"/>
      <c r="FCS290" s="1144"/>
      <c r="FCT290" s="1144"/>
      <c r="FCU290" s="1144"/>
      <c r="FCV290" s="1144"/>
      <c r="FCW290" s="1144"/>
      <c r="FCX290" s="1144"/>
      <c r="FCY290" s="1144"/>
      <c r="FCZ290" s="1144"/>
      <c r="FDA290" s="1144"/>
      <c r="FDB290" s="1144"/>
      <c r="FDC290" s="1144"/>
      <c r="FDD290" s="1144"/>
      <c r="FDE290" s="1144"/>
      <c r="FDF290" s="1144"/>
      <c r="FDG290" s="1144"/>
      <c r="FDH290" s="1144"/>
      <c r="FDI290" s="1144"/>
      <c r="FDJ290" s="1144"/>
      <c r="FDK290" s="1144"/>
      <c r="FDL290" s="1144"/>
      <c r="FDM290" s="1144"/>
      <c r="FDN290" s="1144"/>
      <c r="FDO290" s="1144"/>
      <c r="FDP290" s="1144"/>
      <c r="FDQ290" s="1144"/>
      <c r="FDR290" s="1144"/>
      <c r="FDS290" s="1144"/>
      <c r="FDT290" s="1144"/>
      <c r="FDU290" s="1144"/>
      <c r="FDV290" s="1144"/>
      <c r="FDW290" s="1144"/>
      <c r="FDX290" s="1144"/>
      <c r="FDY290" s="1144"/>
      <c r="FDZ290" s="1144"/>
      <c r="FEA290" s="1144"/>
      <c r="FEB290" s="1144"/>
      <c r="FEC290" s="1144"/>
      <c r="FED290" s="1144"/>
      <c r="FEE290" s="1144"/>
      <c r="FEF290" s="1144"/>
      <c r="FEG290" s="1144"/>
      <c r="FEH290" s="1144"/>
      <c r="FEI290" s="1144"/>
      <c r="FEJ290" s="1144"/>
      <c r="FEK290" s="1144"/>
      <c r="FEL290" s="1144"/>
      <c r="FEM290" s="1144"/>
      <c r="FEN290" s="1144"/>
      <c r="FEO290" s="1144"/>
      <c r="FEP290" s="1144"/>
      <c r="FEQ290" s="1144"/>
      <c r="FER290" s="1144"/>
      <c r="FES290" s="1144"/>
      <c r="FET290" s="1144"/>
      <c r="FEU290" s="1144"/>
      <c r="FEV290" s="1144"/>
      <c r="FEW290" s="1144"/>
      <c r="FEX290" s="1144"/>
      <c r="FEY290" s="1144"/>
      <c r="FEZ290" s="1144"/>
      <c r="FFA290" s="1144"/>
      <c r="FFB290" s="1144"/>
      <c r="FFC290" s="1144"/>
      <c r="FFD290" s="1144"/>
      <c r="FFE290" s="1144"/>
      <c r="FFF290" s="1144"/>
      <c r="FFG290" s="1144"/>
      <c r="FFH290" s="1144"/>
      <c r="FFI290" s="1144"/>
      <c r="FFJ290" s="1144"/>
      <c r="FFK290" s="1144"/>
      <c r="FFL290" s="1144"/>
      <c r="FFM290" s="1144"/>
      <c r="FFN290" s="1144"/>
      <c r="FFO290" s="1144"/>
      <c r="FFP290" s="1144"/>
      <c r="FFQ290" s="1144"/>
      <c r="FFR290" s="1144"/>
      <c r="FFS290" s="1144"/>
      <c r="FFT290" s="1144"/>
      <c r="FFU290" s="1144"/>
      <c r="FFV290" s="1144"/>
      <c r="FFW290" s="1144"/>
      <c r="FFX290" s="1144"/>
      <c r="FFY290" s="1144"/>
      <c r="FFZ290" s="1144"/>
      <c r="FGA290" s="1144"/>
      <c r="FGB290" s="1144"/>
      <c r="FGC290" s="1144"/>
      <c r="FGD290" s="1144"/>
      <c r="FGE290" s="1144"/>
      <c r="FGF290" s="1144"/>
      <c r="FGG290" s="1144"/>
      <c r="FGH290" s="1144"/>
      <c r="FGI290" s="1144"/>
      <c r="FGJ290" s="1144"/>
      <c r="FGK290" s="1144"/>
      <c r="FGL290" s="1144"/>
      <c r="FGM290" s="1144"/>
      <c r="FGN290" s="1144"/>
      <c r="FGO290" s="1144"/>
      <c r="FGP290" s="1144"/>
      <c r="FGQ290" s="1144"/>
      <c r="FGR290" s="1144"/>
      <c r="FGS290" s="1144"/>
      <c r="FGT290" s="1144"/>
      <c r="FGU290" s="1144"/>
      <c r="FGV290" s="1144"/>
      <c r="FGW290" s="1144"/>
      <c r="FGX290" s="1144"/>
      <c r="FGY290" s="1144"/>
      <c r="FGZ290" s="1144"/>
      <c r="FHA290" s="1144"/>
      <c r="FHB290" s="1144"/>
      <c r="FHC290" s="1144"/>
      <c r="FHD290" s="1144"/>
      <c r="FHE290" s="1144"/>
      <c r="FHF290" s="1144"/>
      <c r="FHG290" s="1144"/>
      <c r="FHH290" s="1144"/>
      <c r="FHI290" s="1144"/>
      <c r="FHJ290" s="1144"/>
      <c r="FHK290" s="1144"/>
      <c r="FHL290" s="1144"/>
      <c r="FHM290" s="1144"/>
      <c r="FHN290" s="1144"/>
      <c r="FHO290" s="1144"/>
      <c r="FHP290" s="1144"/>
      <c r="FHQ290" s="1144"/>
      <c r="FHR290" s="1144"/>
      <c r="FHS290" s="1144"/>
      <c r="FHT290" s="1144"/>
      <c r="FHU290" s="1144"/>
      <c r="FHV290" s="1144"/>
      <c r="FHW290" s="1144"/>
      <c r="FHX290" s="1144"/>
      <c r="FHY290" s="1144"/>
      <c r="FHZ290" s="1144"/>
      <c r="FIA290" s="1144"/>
      <c r="FIB290" s="1144"/>
      <c r="FIC290" s="1144"/>
      <c r="FID290" s="1144"/>
      <c r="FIE290" s="1144"/>
      <c r="FIF290" s="1144"/>
      <c r="FIG290" s="1144"/>
      <c r="FIH290" s="1144"/>
      <c r="FII290" s="1144"/>
      <c r="FIJ290" s="1144"/>
      <c r="FIK290" s="1144"/>
      <c r="FIL290" s="1144"/>
      <c r="FIM290" s="1144"/>
      <c r="FIN290" s="1144"/>
      <c r="FIO290" s="1144"/>
      <c r="FIP290" s="1144"/>
      <c r="FIQ290" s="1144"/>
      <c r="FIR290" s="1144"/>
      <c r="FIS290" s="1144"/>
      <c r="FIT290" s="1144"/>
      <c r="FIU290" s="1144"/>
      <c r="FIV290" s="1144"/>
      <c r="FIW290" s="1144"/>
      <c r="FIX290" s="1144"/>
      <c r="FIY290" s="1144"/>
      <c r="FIZ290" s="1144"/>
      <c r="FJA290" s="1144"/>
      <c r="FJB290" s="1144"/>
      <c r="FJC290" s="1144"/>
      <c r="FJD290" s="1144"/>
      <c r="FJE290" s="1144"/>
      <c r="FJF290" s="1144"/>
      <c r="FJG290" s="1144"/>
      <c r="FJH290" s="1144"/>
      <c r="FJI290" s="1144"/>
      <c r="FJJ290" s="1144"/>
      <c r="FJK290" s="1144"/>
      <c r="FJL290" s="1144"/>
      <c r="FJM290" s="1144"/>
      <c r="FJN290" s="1144"/>
      <c r="FJO290" s="1144"/>
      <c r="FJP290" s="1144"/>
      <c r="FJQ290" s="1144"/>
      <c r="FJR290" s="1144"/>
      <c r="FJS290" s="1144"/>
      <c r="FJT290" s="1144"/>
      <c r="FJU290" s="1144"/>
      <c r="FJV290" s="1144"/>
      <c r="FJW290" s="1144"/>
      <c r="FJX290" s="1144"/>
      <c r="FJY290" s="1144"/>
      <c r="FJZ290" s="1144"/>
      <c r="FKA290" s="1144"/>
      <c r="FKB290" s="1144"/>
      <c r="FKC290" s="1144"/>
      <c r="FKD290" s="1144"/>
      <c r="FKE290" s="1144"/>
      <c r="FKF290" s="1144"/>
      <c r="FKG290" s="1144"/>
      <c r="FKH290" s="1144"/>
      <c r="FKI290" s="1144"/>
      <c r="FKJ290" s="1144"/>
      <c r="FKK290" s="1144"/>
      <c r="FKL290" s="1144"/>
      <c r="FKM290" s="1144"/>
      <c r="FKN290" s="1144"/>
      <c r="FKO290" s="1144"/>
      <c r="FKP290" s="1144"/>
      <c r="FKQ290" s="1144"/>
      <c r="FKR290" s="1144"/>
      <c r="FKS290" s="1144"/>
      <c r="FKT290" s="1144"/>
      <c r="FKU290" s="1144"/>
      <c r="FKV290" s="1144"/>
      <c r="FKW290" s="1144"/>
      <c r="FKX290" s="1144"/>
      <c r="FKY290" s="1144"/>
      <c r="FKZ290" s="1144"/>
      <c r="FLA290" s="1144"/>
      <c r="FLB290" s="1144"/>
      <c r="FLC290" s="1144"/>
      <c r="FLD290" s="1144"/>
      <c r="FLE290" s="1144"/>
      <c r="FLF290" s="1144"/>
      <c r="FLG290" s="1144"/>
      <c r="FLH290" s="1144"/>
      <c r="FLI290" s="1144"/>
      <c r="FLJ290" s="1144"/>
      <c r="FLK290" s="1144"/>
      <c r="FLL290" s="1144"/>
      <c r="FLM290" s="1144"/>
      <c r="FLN290" s="1144"/>
      <c r="FLO290" s="1144"/>
      <c r="FLP290" s="1144"/>
      <c r="FLQ290" s="1144"/>
      <c r="FLR290" s="1144"/>
      <c r="FLS290" s="1144"/>
      <c r="FLT290" s="1144"/>
      <c r="FLU290" s="1144"/>
      <c r="FLV290" s="1144"/>
      <c r="FLW290" s="1144"/>
      <c r="FLX290" s="1144"/>
      <c r="FLY290" s="1144"/>
      <c r="FLZ290" s="1144"/>
      <c r="FMA290" s="1144"/>
      <c r="FMB290" s="1144"/>
      <c r="FMC290" s="1144"/>
      <c r="FMD290" s="1144"/>
      <c r="FME290" s="1144"/>
      <c r="FMF290" s="1144"/>
      <c r="FMG290" s="1144"/>
      <c r="FMH290" s="1144"/>
      <c r="FMI290" s="1144"/>
      <c r="FMJ290" s="1144"/>
      <c r="FMK290" s="1144"/>
      <c r="FML290" s="1144"/>
      <c r="FMM290" s="1144"/>
      <c r="FMN290" s="1144"/>
      <c r="FMO290" s="1144"/>
      <c r="FMP290" s="1144"/>
      <c r="FMQ290" s="1144"/>
      <c r="FMR290" s="1144"/>
      <c r="FMS290" s="1144"/>
      <c r="FMT290" s="1144"/>
      <c r="FMU290" s="1144"/>
      <c r="FMV290" s="1144"/>
      <c r="FMW290" s="1144"/>
      <c r="FMX290" s="1144"/>
      <c r="FMY290" s="1144"/>
      <c r="FMZ290" s="1144"/>
      <c r="FNA290" s="1144"/>
      <c r="FNB290" s="1144"/>
      <c r="FNC290" s="1144"/>
      <c r="FND290" s="1144"/>
      <c r="FNE290" s="1144"/>
      <c r="FNF290" s="1144"/>
      <c r="FNG290" s="1144"/>
      <c r="FNH290" s="1144"/>
      <c r="FNI290" s="1144"/>
      <c r="FNJ290" s="1144"/>
      <c r="FNK290" s="1144"/>
      <c r="FNL290" s="1144"/>
      <c r="FNM290" s="1144"/>
      <c r="FNN290" s="1144"/>
      <c r="FNO290" s="1144"/>
      <c r="FNP290" s="1144"/>
      <c r="FNQ290" s="1144"/>
      <c r="FNR290" s="1144"/>
      <c r="FNS290" s="1144"/>
      <c r="FNT290" s="1144"/>
      <c r="FNU290" s="1144"/>
      <c r="FNV290" s="1144"/>
      <c r="FNW290" s="1144"/>
      <c r="FNX290" s="1144"/>
      <c r="FNY290" s="1144"/>
      <c r="FNZ290" s="1144"/>
      <c r="FOA290" s="1144"/>
      <c r="FOB290" s="1144"/>
      <c r="FOC290" s="1144"/>
      <c r="FOD290" s="1144"/>
      <c r="FOE290" s="1144"/>
      <c r="FOF290" s="1144"/>
      <c r="FOG290" s="1144"/>
      <c r="FOH290" s="1144"/>
      <c r="FOI290" s="1144"/>
      <c r="FOJ290" s="1144"/>
      <c r="FOK290" s="1144"/>
      <c r="FOL290" s="1144"/>
      <c r="FOM290" s="1144"/>
      <c r="FON290" s="1144"/>
      <c r="FOO290" s="1144"/>
      <c r="FOP290" s="1144"/>
      <c r="FOQ290" s="1144"/>
      <c r="FOR290" s="1144"/>
      <c r="FOS290" s="1144"/>
      <c r="FOT290" s="1144"/>
      <c r="FOU290" s="1144"/>
      <c r="FOV290" s="1144"/>
      <c r="FOW290" s="1144"/>
      <c r="FOX290" s="1144"/>
      <c r="FOY290" s="1144"/>
      <c r="FOZ290" s="1144"/>
      <c r="FPA290" s="1144"/>
      <c r="FPB290" s="1144"/>
      <c r="FPC290" s="1144"/>
      <c r="FPD290" s="1144"/>
      <c r="FPE290" s="1144"/>
      <c r="FPF290" s="1144"/>
      <c r="FPG290" s="1144"/>
      <c r="FPH290" s="1144"/>
      <c r="FPI290" s="1144"/>
      <c r="FPJ290" s="1144"/>
      <c r="FPK290" s="1144"/>
      <c r="FPL290" s="1144"/>
      <c r="FPM290" s="1144"/>
      <c r="FPN290" s="1144"/>
      <c r="FPO290" s="1144"/>
      <c r="FPP290" s="1144"/>
      <c r="FPQ290" s="1144"/>
      <c r="FPR290" s="1144"/>
      <c r="FPS290" s="1144"/>
      <c r="FPT290" s="1144"/>
      <c r="FPU290" s="1144"/>
      <c r="FPV290" s="1144"/>
      <c r="FPW290" s="1144"/>
      <c r="FPX290" s="1144"/>
      <c r="FPY290" s="1144"/>
      <c r="FPZ290" s="1144"/>
      <c r="FQA290" s="1144"/>
      <c r="FQB290" s="1144"/>
      <c r="FQC290" s="1144"/>
      <c r="FQD290" s="1144"/>
      <c r="FQE290" s="1144"/>
      <c r="FQF290" s="1144"/>
      <c r="FQG290" s="1144"/>
      <c r="FQH290" s="1144"/>
      <c r="FQI290" s="1144"/>
      <c r="FQJ290" s="1144"/>
      <c r="FQK290" s="1144"/>
      <c r="FQL290" s="1144"/>
      <c r="FQM290" s="1144"/>
      <c r="FQN290" s="1144"/>
      <c r="FQO290" s="1144"/>
      <c r="FQP290" s="1144"/>
      <c r="FQQ290" s="1144"/>
      <c r="FQR290" s="1144"/>
      <c r="FQS290" s="1144"/>
      <c r="FQT290" s="1144"/>
      <c r="FQU290" s="1144"/>
      <c r="FQV290" s="1144"/>
      <c r="FQW290" s="1144"/>
      <c r="FQX290" s="1144"/>
      <c r="FQY290" s="1144"/>
      <c r="FQZ290" s="1144"/>
      <c r="FRA290" s="1144"/>
      <c r="FRB290" s="1144"/>
      <c r="FRC290" s="1144"/>
      <c r="FRD290" s="1144"/>
      <c r="FRE290" s="1144"/>
      <c r="FRF290" s="1144"/>
      <c r="FRG290" s="1144"/>
      <c r="FRH290" s="1144"/>
      <c r="FRI290" s="1144"/>
      <c r="FRJ290" s="1144"/>
      <c r="FRK290" s="1144"/>
      <c r="FRL290" s="1144"/>
      <c r="FRM290" s="1144"/>
      <c r="FRN290" s="1144"/>
      <c r="FRO290" s="1144"/>
      <c r="FRP290" s="1144"/>
      <c r="FRQ290" s="1144"/>
      <c r="FRR290" s="1144"/>
      <c r="FRS290" s="1144"/>
      <c r="FRT290" s="1144"/>
      <c r="FRU290" s="1144"/>
      <c r="FRV290" s="1144"/>
      <c r="FRW290" s="1144"/>
      <c r="FRX290" s="1144"/>
      <c r="FRY290" s="1144"/>
      <c r="FRZ290" s="1144"/>
      <c r="FSA290" s="1144"/>
      <c r="FSB290" s="1144"/>
      <c r="FSC290" s="1144"/>
      <c r="FSD290" s="1144"/>
      <c r="FSE290" s="1144"/>
      <c r="FSF290" s="1144"/>
      <c r="FSG290" s="1144"/>
      <c r="FSH290" s="1144"/>
      <c r="FSI290" s="1144"/>
      <c r="FSJ290" s="1144"/>
      <c r="FSK290" s="1144"/>
      <c r="FSL290" s="1144"/>
      <c r="FSM290" s="1144"/>
      <c r="FSN290" s="1144"/>
      <c r="FSO290" s="1144"/>
      <c r="FSP290" s="1144"/>
      <c r="FSQ290" s="1144"/>
      <c r="FSR290" s="1144"/>
      <c r="FSS290" s="1144"/>
      <c r="FST290" s="1144"/>
      <c r="FSU290" s="1144"/>
      <c r="FSV290" s="1144"/>
      <c r="FSW290" s="1144"/>
      <c r="FSX290" s="1144"/>
      <c r="FSY290" s="1144"/>
      <c r="FSZ290" s="1144"/>
      <c r="FTA290" s="1144"/>
      <c r="FTB290" s="1144"/>
      <c r="FTC290" s="1144"/>
      <c r="FTD290" s="1144"/>
      <c r="FTE290" s="1144"/>
      <c r="FTF290" s="1144"/>
      <c r="FTG290" s="1144"/>
      <c r="FTH290" s="1144"/>
      <c r="FTI290" s="1144"/>
      <c r="FTJ290" s="1144"/>
      <c r="FTK290" s="1144"/>
      <c r="FTL290" s="1144"/>
      <c r="FTM290" s="1144"/>
      <c r="FTN290" s="1144"/>
      <c r="FTO290" s="1144"/>
      <c r="FTP290" s="1144"/>
      <c r="FTQ290" s="1144"/>
      <c r="FTR290" s="1144"/>
      <c r="FTS290" s="1144"/>
      <c r="FTT290" s="1144"/>
      <c r="FTU290" s="1144"/>
      <c r="FTV290" s="1144"/>
      <c r="FTW290" s="1144"/>
      <c r="FTX290" s="1144"/>
      <c r="FTY290" s="1144"/>
      <c r="FTZ290" s="1144"/>
      <c r="FUA290" s="1144"/>
      <c r="FUB290" s="1144"/>
      <c r="FUC290" s="1144"/>
      <c r="FUD290" s="1144"/>
      <c r="FUE290" s="1144"/>
      <c r="FUF290" s="1144"/>
      <c r="FUG290" s="1144"/>
      <c r="FUH290" s="1144"/>
      <c r="FUI290" s="1144"/>
      <c r="FUJ290" s="1144"/>
      <c r="FUK290" s="1144"/>
      <c r="FUL290" s="1144"/>
      <c r="FUM290" s="1144"/>
      <c r="FUN290" s="1144"/>
      <c r="FUO290" s="1144"/>
      <c r="FUP290" s="1144"/>
      <c r="FUQ290" s="1144"/>
      <c r="FUR290" s="1144"/>
      <c r="FUS290" s="1144"/>
      <c r="FUT290" s="1144"/>
      <c r="FUU290" s="1144"/>
      <c r="FUV290" s="1144"/>
      <c r="FUW290" s="1144"/>
      <c r="FUX290" s="1144"/>
      <c r="FUY290" s="1144"/>
      <c r="FUZ290" s="1144"/>
      <c r="FVA290" s="1144"/>
      <c r="FVB290" s="1144"/>
      <c r="FVC290" s="1144"/>
      <c r="FVD290" s="1144"/>
      <c r="FVE290" s="1144"/>
      <c r="FVF290" s="1144"/>
      <c r="FVG290" s="1144"/>
      <c r="FVH290" s="1144"/>
      <c r="FVI290" s="1144"/>
      <c r="FVJ290" s="1144"/>
      <c r="FVK290" s="1144"/>
      <c r="FVL290" s="1144"/>
      <c r="FVM290" s="1144"/>
      <c r="FVN290" s="1144"/>
      <c r="FVO290" s="1144"/>
      <c r="FVP290" s="1144"/>
      <c r="FVQ290" s="1144"/>
      <c r="FVR290" s="1144"/>
      <c r="FVS290" s="1144"/>
      <c r="FVT290" s="1144"/>
      <c r="FVU290" s="1144"/>
      <c r="FVV290" s="1144"/>
      <c r="FVW290" s="1144"/>
      <c r="FVX290" s="1144"/>
      <c r="FVY290" s="1144"/>
      <c r="FVZ290" s="1144"/>
      <c r="FWA290" s="1144"/>
      <c r="FWB290" s="1144"/>
      <c r="FWC290" s="1144"/>
      <c r="FWD290" s="1144"/>
      <c r="FWE290" s="1144"/>
      <c r="FWF290" s="1144"/>
      <c r="FWG290" s="1144"/>
      <c r="FWH290" s="1144"/>
      <c r="FWI290" s="1144"/>
      <c r="FWJ290" s="1144"/>
      <c r="FWK290" s="1144"/>
      <c r="FWL290" s="1144"/>
      <c r="FWM290" s="1144"/>
      <c r="FWN290" s="1144"/>
      <c r="FWO290" s="1144"/>
      <c r="FWP290" s="1144"/>
      <c r="FWQ290" s="1144"/>
      <c r="FWR290" s="1144"/>
      <c r="FWS290" s="1144"/>
      <c r="FWT290" s="1144"/>
      <c r="FWU290" s="1144"/>
      <c r="FWV290" s="1144"/>
      <c r="FWW290" s="1144"/>
      <c r="FWX290" s="1144"/>
      <c r="FWY290" s="1144"/>
      <c r="FWZ290" s="1144"/>
      <c r="FXA290" s="1144"/>
      <c r="FXB290" s="1144"/>
      <c r="FXC290" s="1144"/>
      <c r="FXD290" s="1144"/>
      <c r="FXE290" s="1144"/>
      <c r="FXF290" s="1144"/>
      <c r="FXG290" s="1144"/>
      <c r="FXH290" s="1144"/>
      <c r="FXI290" s="1144"/>
      <c r="FXJ290" s="1144"/>
      <c r="FXK290" s="1144"/>
      <c r="FXL290" s="1144"/>
      <c r="FXM290" s="1144"/>
      <c r="FXN290" s="1144"/>
      <c r="FXO290" s="1144"/>
      <c r="FXP290" s="1144"/>
      <c r="FXQ290" s="1144"/>
      <c r="FXR290" s="1144"/>
      <c r="FXS290" s="1144"/>
      <c r="FXT290" s="1144"/>
      <c r="FXU290" s="1144"/>
      <c r="FXV290" s="1144"/>
      <c r="FXW290" s="1144"/>
      <c r="FXX290" s="1144"/>
      <c r="FXY290" s="1144"/>
      <c r="FXZ290" s="1144"/>
      <c r="FYA290" s="1144"/>
      <c r="FYB290" s="1144"/>
      <c r="FYC290" s="1144"/>
      <c r="FYD290" s="1144"/>
      <c r="FYE290" s="1144"/>
      <c r="FYF290" s="1144"/>
      <c r="FYG290" s="1144"/>
      <c r="FYH290" s="1144"/>
      <c r="FYI290" s="1144"/>
      <c r="FYJ290" s="1144"/>
      <c r="FYK290" s="1144"/>
      <c r="FYL290" s="1144"/>
      <c r="FYM290" s="1144"/>
      <c r="FYN290" s="1144"/>
      <c r="FYO290" s="1144"/>
      <c r="FYP290" s="1144"/>
      <c r="FYQ290" s="1144"/>
      <c r="FYR290" s="1144"/>
      <c r="FYS290" s="1144"/>
      <c r="FYT290" s="1144"/>
      <c r="FYU290" s="1144"/>
      <c r="FYV290" s="1144"/>
      <c r="FYW290" s="1144"/>
      <c r="FYX290" s="1144"/>
      <c r="FYY290" s="1144"/>
      <c r="FYZ290" s="1144"/>
      <c r="FZA290" s="1144"/>
      <c r="FZB290" s="1144"/>
      <c r="FZC290" s="1144"/>
      <c r="FZD290" s="1144"/>
      <c r="FZE290" s="1144"/>
      <c r="FZF290" s="1144"/>
      <c r="FZG290" s="1144"/>
      <c r="FZH290" s="1144"/>
      <c r="FZI290" s="1144"/>
      <c r="FZJ290" s="1144"/>
      <c r="FZK290" s="1144"/>
      <c r="FZL290" s="1144"/>
      <c r="FZM290" s="1144"/>
      <c r="FZN290" s="1144"/>
      <c r="FZO290" s="1144"/>
      <c r="FZP290" s="1144"/>
      <c r="FZQ290" s="1144"/>
      <c r="FZR290" s="1144"/>
      <c r="FZS290" s="1144"/>
      <c r="FZT290" s="1144"/>
      <c r="FZU290" s="1144"/>
      <c r="FZV290" s="1144"/>
      <c r="FZW290" s="1144"/>
      <c r="FZX290" s="1144"/>
      <c r="FZY290" s="1144"/>
      <c r="FZZ290" s="1144"/>
      <c r="GAA290" s="1144"/>
      <c r="GAB290" s="1144"/>
      <c r="GAC290" s="1144"/>
      <c r="GAD290" s="1144"/>
      <c r="GAE290" s="1144"/>
      <c r="GAF290" s="1144"/>
      <c r="GAG290" s="1144"/>
      <c r="GAH290" s="1144"/>
      <c r="GAI290" s="1144"/>
      <c r="GAJ290" s="1144"/>
      <c r="GAK290" s="1144"/>
      <c r="GAL290" s="1144"/>
      <c r="GAM290" s="1144"/>
      <c r="GAN290" s="1144"/>
      <c r="GAO290" s="1144"/>
      <c r="GAP290" s="1144"/>
      <c r="GAQ290" s="1144"/>
      <c r="GAR290" s="1144"/>
      <c r="GAS290" s="1144"/>
      <c r="GAT290" s="1144"/>
      <c r="GAU290" s="1144"/>
      <c r="GAV290" s="1144"/>
      <c r="GAW290" s="1144"/>
      <c r="GAX290" s="1144"/>
      <c r="GAY290" s="1144"/>
      <c r="GAZ290" s="1144"/>
      <c r="GBA290" s="1144"/>
      <c r="GBB290" s="1144"/>
      <c r="GBC290" s="1144"/>
      <c r="GBD290" s="1144"/>
      <c r="GBE290" s="1144"/>
      <c r="GBF290" s="1144"/>
      <c r="GBG290" s="1144"/>
      <c r="GBH290" s="1144"/>
      <c r="GBI290" s="1144"/>
      <c r="GBJ290" s="1144"/>
      <c r="GBK290" s="1144"/>
      <c r="GBL290" s="1144"/>
      <c r="GBM290" s="1144"/>
      <c r="GBN290" s="1144"/>
      <c r="GBO290" s="1144"/>
      <c r="GBP290" s="1144"/>
      <c r="GBQ290" s="1144"/>
      <c r="GBR290" s="1144"/>
      <c r="GBS290" s="1144"/>
      <c r="GBT290" s="1144"/>
      <c r="GBU290" s="1144"/>
      <c r="GBV290" s="1144"/>
      <c r="GBW290" s="1144"/>
      <c r="GBX290" s="1144"/>
      <c r="GBY290" s="1144"/>
      <c r="GBZ290" s="1144"/>
      <c r="GCA290" s="1144"/>
      <c r="GCB290" s="1144"/>
      <c r="GCC290" s="1144"/>
      <c r="GCD290" s="1144"/>
      <c r="GCE290" s="1144"/>
      <c r="GCF290" s="1144"/>
      <c r="GCG290" s="1144"/>
      <c r="GCH290" s="1144"/>
      <c r="GCI290" s="1144"/>
      <c r="GCJ290" s="1144"/>
      <c r="GCK290" s="1144"/>
      <c r="GCL290" s="1144"/>
      <c r="GCM290" s="1144"/>
      <c r="GCN290" s="1144"/>
      <c r="GCO290" s="1144"/>
      <c r="GCP290" s="1144"/>
      <c r="GCQ290" s="1144"/>
      <c r="GCR290" s="1144"/>
      <c r="GCS290" s="1144"/>
      <c r="GCT290" s="1144"/>
      <c r="GCU290" s="1144"/>
      <c r="GCV290" s="1144"/>
      <c r="GCW290" s="1144"/>
      <c r="GCX290" s="1144"/>
      <c r="GCY290" s="1144"/>
      <c r="GCZ290" s="1144"/>
      <c r="GDA290" s="1144"/>
      <c r="GDB290" s="1144"/>
      <c r="GDC290" s="1144"/>
      <c r="GDD290" s="1144"/>
      <c r="GDE290" s="1144"/>
      <c r="GDF290" s="1144"/>
      <c r="GDG290" s="1144"/>
      <c r="GDH290" s="1144"/>
      <c r="GDI290" s="1144"/>
      <c r="GDJ290" s="1144"/>
      <c r="GDK290" s="1144"/>
      <c r="GDL290" s="1144"/>
      <c r="GDM290" s="1144"/>
      <c r="GDN290" s="1144"/>
      <c r="GDO290" s="1144"/>
      <c r="GDP290" s="1144"/>
      <c r="GDQ290" s="1144"/>
      <c r="GDR290" s="1144"/>
      <c r="GDS290" s="1144"/>
      <c r="GDT290" s="1144"/>
      <c r="GDU290" s="1144"/>
      <c r="GDV290" s="1144"/>
      <c r="GDW290" s="1144"/>
      <c r="GDX290" s="1144"/>
      <c r="GDY290" s="1144"/>
      <c r="GDZ290" s="1144"/>
      <c r="GEA290" s="1144"/>
      <c r="GEB290" s="1144"/>
      <c r="GEC290" s="1144"/>
      <c r="GED290" s="1144"/>
      <c r="GEE290" s="1144"/>
      <c r="GEF290" s="1144"/>
      <c r="GEG290" s="1144"/>
      <c r="GEH290" s="1144"/>
      <c r="GEI290" s="1144"/>
      <c r="GEJ290" s="1144"/>
      <c r="GEK290" s="1144"/>
      <c r="GEL290" s="1144"/>
      <c r="GEM290" s="1144"/>
      <c r="GEN290" s="1144"/>
      <c r="GEO290" s="1144"/>
      <c r="GEP290" s="1144"/>
      <c r="GEQ290" s="1144"/>
      <c r="GER290" s="1144"/>
      <c r="GES290" s="1144"/>
      <c r="GET290" s="1144"/>
      <c r="GEU290" s="1144"/>
      <c r="GEV290" s="1144"/>
      <c r="GEW290" s="1144"/>
      <c r="GEX290" s="1144"/>
      <c r="GEY290" s="1144"/>
      <c r="GEZ290" s="1144"/>
      <c r="GFA290" s="1144"/>
      <c r="GFB290" s="1144"/>
      <c r="GFC290" s="1144"/>
      <c r="GFD290" s="1144"/>
      <c r="GFE290" s="1144"/>
      <c r="GFF290" s="1144"/>
      <c r="GFG290" s="1144"/>
      <c r="GFH290" s="1144"/>
      <c r="GFI290" s="1144"/>
      <c r="GFJ290" s="1144"/>
      <c r="GFK290" s="1144"/>
      <c r="GFL290" s="1144"/>
      <c r="GFM290" s="1144"/>
      <c r="GFN290" s="1144"/>
      <c r="GFO290" s="1144"/>
      <c r="GFP290" s="1144"/>
      <c r="GFQ290" s="1144"/>
      <c r="GFR290" s="1144"/>
      <c r="GFS290" s="1144"/>
      <c r="GFT290" s="1144"/>
      <c r="GFU290" s="1144"/>
      <c r="GFV290" s="1144"/>
      <c r="GFW290" s="1144"/>
      <c r="GFX290" s="1144"/>
      <c r="GFY290" s="1144"/>
      <c r="GFZ290" s="1144"/>
      <c r="GGA290" s="1144"/>
      <c r="GGB290" s="1144"/>
      <c r="GGC290" s="1144"/>
      <c r="GGD290" s="1144"/>
      <c r="GGE290" s="1144"/>
      <c r="GGF290" s="1144"/>
      <c r="GGG290" s="1144"/>
      <c r="GGH290" s="1144"/>
      <c r="GGI290" s="1144"/>
      <c r="GGJ290" s="1144"/>
      <c r="GGK290" s="1144"/>
      <c r="GGL290" s="1144"/>
      <c r="GGM290" s="1144"/>
      <c r="GGN290" s="1144"/>
      <c r="GGO290" s="1144"/>
      <c r="GGP290" s="1144"/>
      <c r="GGQ290" s="1144"/>
      <c r="GGR290" s="1144"/>
      <c r="GGS290" s="1144"/>
      <c r="GGT290" s="1144"/>
      <c r="GGU290" s="1144"/>
      <c r="GGV290" s="1144"/>
      <c r="GGW290" s="1144"/>
      <c r="GGX290" s="1144"/>
      <c r="GGY290" s="1144"/>
      <c r="GGZ290" s="1144"/>
      <c r="GHA290" s="1144"/>
      <c r="GHB290" s="1144"/>
      <c r="GHC290" s="1144"/>
      <c r="GHD290" s="1144"/>
      <c r="GHE290" s="1144"/>
      <c r="GHF290" s="1144"/>
      <c r="GHG290" s="1144"/>
      <c r="GHH290" s="1144"/>
      <c r="GHI290" s="1144"/>
      <c r="GHJ290" s="1144"/>
      <c r="GHK290" s="1144"/>
      <c r="GHL290" s="1144"/>
      <c r="GHM290" s="1144"/>
      <c r="GHN290" s="1144"/>
      <c r="GHO290" s="1144"/>
      <c r="GHP290" s="1144"/>
      <c r="GHQ290" s="1144"/>
      <c r="GHR290" s="1144"/>
      <c r="GHS290" s="1144"/>
      <c r="GHT290" s="1144"/>
      <c r="GHU290" s="1144"/>
      <c r="GHV290" s="1144"/>
      <c r="GHW290" s="1144"/>
      <c r="GHX290" s="1144"/>
      <c r="GHY290" s="1144"/>
      <c r="GHZ290" s="1144"/>
      <c r="GIA290" s="1144"/>
      <c r="GIB290" s="1144"/>
      <c r="GIC290" s="1144"/>
      <c r="GID290" s="1144"/>
      <c r="GIE290" s="1144"/>
      <c r="GIF290" s="1144"/>
      <c r="GIG290" s="1144"/>
      <c r="GIH290" s="1144"/>
      <c r="GII290" s="1144"/>
      <c r="GIJ290" s="1144"/>
      <c r="GIK290" s="1144"/>
      <c r="GIL290" s="1144"/>
      <c r="GIM290" s="1144"/>
      <c r="GIN290" s="1144"/>
      <c r="GIO290" s="1144"/>
      <c r="GIP290" s="1144"/>
      <c r="GIQ290" s="1144"/>
      <c r="GIR290" s="1144"/>
      <c r="GIS290" s="1144"/>
      <c r="GIT290" s="1144"/>
      <c r="GIU290" s="1144"/>
      <c r="GIV290" s="1144"/>
      <c r="GIW290" s="1144"/>
      <c r="GIX290" s="1144"/>
      <c r="GIY290" s="1144"/>
      <c r="GIZ290" s="1144"/>
      <c r="GJA290" s="1144"/>
      <c r="GJB290" s="1144"/>
      <c r="GJC290" s="1144"/>
      <c r="GJD290" s="1144"/>
      <c r="GJE290" s="1144"/>
      <c r="GJF290" s="1144"/>
      <c r="GJG290" s="1144"/>
      <c r="GJH290" s="1144"/>
      <c r="GJI290" s="1144"/>
      <c r="GJJ290" s="1144"/>
      <c r="GJK290" s="1144"/>
      <c r="GJL290" s="1144"/>
      <c r="GJM290" s="1144"/>
      <c r="GJN290" s="1144"/>
      <c r="GJO290" s="1144"/>
      <c r="GJP290" s="1144"/>
      <c r="GJQ290" s="1144"/>
      <c r="GJR290" s="1144"/>
      <c r="GJS290" s="1144"/>
      <c r="GJT290" s="1144"/>
      <c r="GJU290" s="1144"/>
      <c r="GJV290" s="1144"/>
      <c r="GJW290" s="1144"/>
      <c r="GJX290" s="1144"/>
      <c r="GJY290" s="1144"/>
      <c r="GJZ290" s="1144"/>
      <c r="GKA290" s="1144"/>
      <c r="GKB290" s="1144"/>
      <c r="GKC290" s="1144"/>
      <c r="GKD290" s="1144"/>
      <c r="GKE290" s="1144"/>
      <c r="GKF290" s="1144"/>
      <c r="GKG290" s="1144"/>
      <c r="GKH290" s="1144"/>
      <c r="GKI290" s="1144"/>
      <c r="GKJ290" s="1144"/>
      <c r="GKK290" s="1144"/>
      <c r="GKL290" s="1144"/>
      <c r="GKM290" s="1144"/>
      <c r="GKN290" s="1144"/>
      <c r="GKO290" s="1144"/>
      <c r="GKP290" s="1144"/>
      <c r="GKQ290" s="1144"/>
      <c r="GKR290" s="1144"/>
      <c r="GKS290" s="1144"/>
      <c r="GKT290" s="1144"/>
      <c r="GKU290" s="1144"/>
      <c r="GKV290" s="1144"/>
      <c r="GKW290" s="1144"/>
      <c r="GKX290" s="1144"/>
      <c r="GKY290" s="1144"/>
      <c r="GKZ290" s="1144"/>
      <c r="GLA290" s="1144"/>
      <c r="GLB290" s="1144"/>
      <c r="GLC290" s="1144"/>
      <c r="GLD290" s="1144"/>
      <c r="GLE290" s="1144"/>
      <c r="GLF290" s="1144"/>
      <c r="GLG290" s="1144"/>
      <c r="GLH290" s="1144"/>
      <c r="GLI290" s="1144"/>
      <c r="GLJ290" s="1144"/>
      <c r="GLK290" s="1144"/>
      <c r="GLL290" s="1144"/>
      <c r="GLM290" s="1144"/>
      <c r="GLN290" s="1144"/>
      <c r="GLO290" s="1144"/>
      <c r="GLP290" s="1144"/>
      <c r="GLQ290" s="1144"/>
      <c r="GLR290" s="1144"/>
      <c r="GLS290" s="1144"/>
      <c r="GLT290" s="1144"/>
      <c r="GLU290" s="1144"/>
      <c r="GLV290" s="1144"/>
      <c r="GLW290" s="1144"/>
      <c r="GLX290" s="1144"/>
      <c r="GLY290" s="1144"/>
      <c r="GLZ290" s="1144"/>
      <c r="GMA290" s="1144"/>
      <c r="GMB290" s="1144"/>
      <c r="GMC290" s="1144"/>
      <c r="GMD290" s="1144"/>
      <c r="GME290" s="1144"/>
      <c r="GMF290" s="1144"/>
      <c r="GMG290" s="1144"/>
      <c r="GMH290" s="1144"/>
      <c r="GMI290" s="1144"/>
      <c r="GMJ290" s="1144"/>
      <c r="GMK290" s="1144"/>
      <c r="GML290" s="1144"/>
      <c r="GMM290" s="1144"/>
      <c r="GMN290" s="1144"/>
      <c r="GMO290" s="1144"/>
      <c r="GMP290" s="1144"/>
      <c r="GMQ290" s="1144"/>
      <c r="GMR290" s="1144"/>
      <c r="GMS290" s="1144"/>
      <c r="GMT290" s="1144"/>
      <c r="GMU290" s="1144"/>
      <c r="GMV290" s="1144"/>
      <c r="GMW290" s="1144"/>
      <c r="GMX290" s="1144"/>
      <c r="GMY290" s="1144"/>
      <c r="GMZ290" s="1144"/>
      <c r="GNA290" s="1144"/>
      <c r="GNB290" s="1144"/>
      <c r="GNC290" s="1144"/>
      <c r="GND290" s="1144"/>
      <c r="GNE290" s="1144"/>
      <c r="GNF290" s="1144"/>
      <c r="GNG290" s="1144"/>
      <c r="GNH290" s="1144"/>
      <c r="GNI290" s="1144"/>
      <c r="GNJ290" s="1144"/>
      <c r="GNK290" s="1144"/>
      <c r="GNL290" s="1144"/>
      <c r="GNM290" s="1144"/>
      <c r="GNN290" s="1144"/>
      <c r="GNO290" s="1144"/>
      <c r="GNP290" s="1144"/>
      <c r="GNQ290" s="1144"/>
      <c r="GNR290" s="1144"/>
      <c r="GNS290" s="1144"/>
      <c r="GNT290" s="1144"/>
      <c r="GNU290" s="1144"/>
      <c r="GNV290" s="1144"/>
      <c r="GNW290" s="1144"/>
      <c r="GNX290" s="1144"/>
      <c r="GNY290" s="1144"/>
      <c r="GNZ290" s="1144"/>
      <c r="GOA290" s="1144"/>
      <c r="GOB290" s="1144"/>
      <c r="GOC290" s="1144"/>
      <c r="GOD290" s="1144"/>
      <c r="GOE290" s="1144"/>
      <c r="GOF290" s="1144"/>
      <c r="GOG290" s="1144"/>
      <c r="GOH290" s="1144"/>
      <c r="GOI290" s="1144"/>
      <c r="GOJ290" s="1144"/>
      <c r="GOK290" s="1144"/>
      <c r="GOL290" s="1144"/>
      <c r="GOM290" s="1144"/>
      <c r="GON290" s="1144"/>
      <c r="GOO290" s="1144"/>
      <c r="GOP290" s="1144"/>
      <c r="GOQ290" s="1144"/>
      <c r="GOR290" s="1144"/>
      <c r="GOS290" s="1144"/>
      <c r="GOT290" s="1144"/>
      <c r="GOU290" s="1144"/>
      <c r="GOV290" s="1144"/>
      <c r="GOW290" s="1144"/>
      <c r="GOX290" s="1144"/>
      <c r="GOY290" s="1144"/>
      <c r="GOZ290" s="1144"/>
      <c r="GPA290" s="1144"/>
      <c r="GPB290" s="1144"/>
      <c r="GPC290" s="1144"/>
      <c r="GPD290" s="1144"/>
      <c r="GPE290" s="1144"/>
      <c r="GPF290" s="1144"/>
      <c r="GPG290" s="1144"/>
      <c r="GPH290" s="1144"/>
      <c r="GPI290" s="1144"/>
      <c r="GPJ290" s="1144"/>
      <c r="GPK290" s="1144"/>
      <c r="GPL290" s="1144"/>
      <c r="GPM290" s="1144"/>
      <c r="GPN290" s="1144"/>
      <c r="GPO290" s="1144"/>
      <c r="GPP290" s="1144"/>
      <c r="GPQ290" s="1144"/>
      <c r="GPR290" s="1144"/>
      <c r="GPS290" s="1144"/>
      <c r="GPT290" s="1144"/>
      <c r="GPU290" s="1144"/>
      <c r="GPV290" s="1144"/>
      <c r="GPW290" s="1144"/>
      <c r="GPX290" s="1144"/>
      <c r="GPY290" s="1144"/>
      <c r="GPZ290" s="1144"/>
      <c r="GQA290" s="1144"/>
      <c r="GQB290" s="1144"/>
      <c r="GQC290" s="1144"/>
      <c r="GQD290" s="1144"/>
      <c r="GQE290" s="1144"/>
      <c r="GQF290" s="1144"/>
      <c r="GQG290" s="1144"/>
      <c r="GQH290" s="1144"/>
      <c r="GQI290" s="1144"/>
      <c r="GQJ290" s="1144"/>
      <c r="GQK290" s="1144"/>
      <c r="GQL290" s="1144"/>
      <c r="GQM290" s="1144"/>
      <c r="GQN290" s="1144"/>
      <c r="GQO290" s="1144"/>
      <c r="GQP290" s="1144"/>
      <c r="GQQ290" s="1144"/>
      <c r="GQR290" s="1144"/>
      <c r="GQS290" s="1144"/>
      <c r="GQT290" s="1144"/>
      <c r="GQU290" s="1144"/>
      <c r="GQV290" s="1144"/>
      <c r="GQW290" s="1144"/>
      <c r="GQX290" s="1144"/>
      <c r="GQY290" s="1144"/>
      <c r="GQZ290" s="1144"/>
      <c r="GRA290" s="1144"/>
      <c r="GRB290" s="1144"/>
      <c r="GRC290" s="1144"/>
      <c r="GRD290" s="1144"/>
      <c r="GRE290" s="1144"/>
      <c r="GRF290" s="1144"/>
      <c r="GRG290" s="1144"/>
      <c r="GRH290" s="1144"/>
      <c r="GRI290" s="1144"/>
      <c r="GRJ290" s="1144"/>
      <c r="GRK290" s="1144"/>
      <c r="GRL290" s="1144"/>
      <c r="GRM290" s="1144"/>
      <c r="GRN290" s="1144"/>
      <c r="GRO290" s="1144"/>
      <c r="GRP290" s="1144"/>
      <c r="GRQ290" s="1144"/>
      <c r="GRR290" s="1144"/>
      <c r="GRS290" s="1144"/>
      <c r="GRT290" s="1144"/>
      <c r="GRU290" s="1144"/>
      <c r="GRV290" s="1144"/>
      <c r="GRW290" s="1144"/>
      <c r="GRX290" s="1144"/>
      <c r="GRY290" s="1144"/>
      <c r="GRZ290" s="1144"/>
      <c r="GSA290" s="1144"/>
      <c r="GSB290" s="1144"/>
      <c r="GSC290" s="1144"/>
      <c r="GSD290" s="1144"/>
      <c r="GSE290" s="1144"/>
      <c r="GSF290" s="1144"/>
      <c r="GSG290" s="1144"/>
      <c r="GSH290" s="1144"/>
      <c r="GSI290" s="1144"/>
      <c r="GSJ290" s="1144"/>
      <c r="GSK290" s="1144"/>
      <c r="GSL290" s="1144"/>
      <c r="GSM290" s="1144"/>
      <c r="GSN290" s="1144"/>
      <c r="GSO290" s="1144"/>
      <c r="GSP290" s="1144"/>
      <c r="GSQ290" s="1144"/>
      <c r="GSR290" s="1144"/>
      <c r="GSS290" s="1144"/>
      <c r="GST290" s="1144"/>
      <c r="GSU290" s="1144"/>
      <c r="GSV290" s="1144"/>
      <c r="GSW290" s="1144"/>
      <c r="GSX290" s="1144"/>
      <c r="GSY290" s="1144"/>
      <c r="GSZ290" s="1144"/>
      <c r="GTA290" s="1144"/>
      <c r="GTB290" s="1144"/>
      <c r="GTC290" s="1144"/>
      <c r="GTD290" s="1144"/>
      <c r="GTE290" s="1144"/>
      <c r="GTF290" s="1144"/>
      <c r="GTG290" s="1144"/>
      <c r="GTH290" s="1144"/>
      <c r="GTI290" s="1144"/>
      <c r="GTJ290" s="1144"/>
      <c r="GTK290" s="1144"/>
      <c r="GTL290" s="1144"/>
      <c r="GTM290" s="1144"/>
      <c r="GTN290" s="1144"/>
      <c r="GTO290" s="1144"/>
      <c r="GTP290" s="1144"/>
      <c r="GTQ290" s="1144"/>
      <c r="GTR290" s="1144"/>
      <c r="GTS290" s="1144"/>
      <c r="GTT290" s="1144"/>
      <c r="GTU290" s="1144"/>
      <c r="GTV290" s="1144"/>
      <c r="GTW290" s="1144"/>
      <c r="GTX290" s="1144"/>
      <c r="GTY290" s="1144"/>
      <c r="GTZ290" s="1144"/>
      <c r="GUA290" s="1144"/>
      <c r="GUB290" s="1144"/>
      <c r="GUC290" s="1144"/>
      <c r="GUD290" s="1144"/>
      <c r="GUE290" s="1144"/>
      <c r="GUF290" s="1144"/>
      <c r="GUG290" s="1144"/>
      <c r="GUH290" s="1144"/>
      <c r="GUI290" s="1144"/>
      <c r="GUJ290" s="1144"/>
      <c r="GUK290" s="1144"/>
      <c r="GUL290" s="1144"/>
      <c r="GUM290" s="1144"/>
      <c r="GUN290" s="1144"/>
      <c r="GUO290" s="1144"/>
      <c r="GUP290" s="1144"/>
      <c r="GUQ290" s="1144"/>
      <c r="GUR290" s="1144"/>
      <c r="GUS290" s="1144"/>
      <c r="GUT290" s="1144"/>
      <c r="GUU290" s="1144"/>
      <c r="GUV290" s="1144"/>
      <c r="GUW290" s="1144"/>
      <c r="GUX290" s="1144"/>
      <c r="GUY290" s="1144"/>
      <c r="GUZ290" s="1144"/>
      <c r="GVA290" s="1144"/>
      <c r="GVB290" s="1144"/>
      <c r="GVC290" s="1144"/>
      <c r="GVD290" s="1144"/>
      <c r="GVE290" s="1144"/>
      <c r="GVF290" s="1144"/>
      <c r="GVG290" s="1144"/>
      <c r="GVH290" s="1144"/>
      <c r="GVI290" s="1144"/>
      <c r="GVJ290" s="1144"/>
      <c r="GVK290" s="1144"/>
      <c r="GVL290" s="1144"/>
      <c r="GVM290" s="1144"/>
      <c r="GVN290" s="1144"/>
      <c r="GVO290" s="1144"/>
      <c r="GVP290" s="1144"/>
      <c r="GVQ290" s="1144"/>
      <c r="GVR290" s="1144"/>
      <c r="GVS290" s="1144"/>
      <c r="GVT290" s="1144"/>
      <c r="GVU290" s="1144"/>
      <c r="GVV290" s="1144"/>
      <c r="GVW290" s="1144"/>
      <c r="GVX290" s="1144"/>
      <c r="GVY290" s="1144"/>
      <c r="GVZ290" s="1144"/>
      <c r="GWA290" s="1144"/>
      <c r="GWB290" s="1144"/>
      <c r="GWC290" s="1144"/>
      <c r="GWD290" s="1144"/>
      <c r="GWE290" s="1144"/>
      <c r="GWF290" s="1144"/>
      <c r="GWG290" s="1144"/>
      <c r="GWH290" s="1144"/>
      <c r="GWI290" s="1144"/>
      <c r="GWJ290" s="1144"/>
      <c r="GWK290" s="1144"/>
      <c r="GWL290" s="1144"/>
      <c r="GWM290" s="1144"/>
      <c r="GWN290" s="1144"/>
      <c r="GWO290" s="1144"/>
      <c r="GWP290" s="1144"/>
      <c r="GWQ290" s="1144"/>
      <c r="GWR290" s="1144"/>
      <c r="GWS290" s="1144"/>
      <c r="GWT290" s="1144"/>
      <c r="GWU290" s="1144"/>
      <c r="GWV290" s="1144"/>
      <c r="GWW290" s="1144"/>
      <c r="GWX290" s="1144"/>
      <c r="GWY290" s="1144"/>
      <c r="GWZ290" s="1144"/>
      <c r="GXA290" s="1144"/>
      <c r="GXB290" s="1144"/>
      <c r="GXC290" s="1144"/>
      <c r="GXD290" s="1144"/>
      <c r="GXE290" s="1144"/>
      <c r="GXF290" s="1144"/>
      <c r="GXG290" s="1144"/>
      <c r="GXH290" s="1144"/>
      <c r="GXI290" s="1144"/>
      <c r="GXJ290" s="1144"/>
      <c r="GXK290" s="1144"/>
      <c r="GXL290" s="1144"/>
      <c r="GXM290" s="1144"/>
      <c r="GXN290" s="1144"/>
      <c r="GXO290" s="1144"/>
      <c r="GXP290" s="1144"/>
      <c r="GXQ290" s="1144"/>
      <c r="GXR290" s="1144"/>
      <c r="GXS290" s="1144"/>
      <c r="GXT290" s="1144"/>
      <c r="GXU290" s="1144"/>
      <c r="GXV290" s="1144"/>
      <c r="GXW290" s="1144"/>
      <c r="GXX290" s="1144"/>
      <c r="GXY290" s="1144"/>
      <c r="GXZ290" s="1144"/>
      <c r="GYA290" s="1144"/>
      <c r="GYB290" s="1144"/>
      <c r="GYC290" s="1144"/>
      <c r="GYD290" s="1144"/>
      <c r="GYE290" s="1144"/>
      <c r="GYF290" s="1144"/>
      <c r="GYG290" s="1144"/>
      <c r="GYH290" s="1144"/>
      <c r="GYI290" s="1144"/>
      <c r="GYJ290" s="1144"/>
      <c r="GYK290" s="1144"/>
      <c r="GYL290" s="1144"/>
      <c r="GYM290" s="1144"/>
      <c r="GYN290" s="1144"/>
      <c r="GYO290" s="1144"/>
      <c r="GYP290" s="1144"/>
      <c r="GYQ290" s="1144"/>
      <c r="GYR290" s="1144"/>
      <c r="GYS290" s="1144"/>
      <c r="GYT290" s="1144"/>
      <c r="GYU290" s="1144"/>
      <c r="GYV290" s="1144"/>
      <c r="GYW290" s="1144"/>
      <c r="GYX290" s="1144"/>
      <c r="GYY290" s="1144"/>
      <c r="GYZ290" s="1144"/>
      <c r="GZA290" s="1144"/>
      <c r="GZB290" s="1144"/>
      <c r="GZC290" s="1144"/>
      <c r="GZD290" s="1144"/>
      <c r="GZE290" s="1144"/>
      <c r="GZF290" s="1144"/>
      <c r="GZG290" s="1144"/>
      <c r="GZH290" s="1144"/>
      <c r="GZI290" s="1144"/>
      <c r="GZJ290" s="1144"/>
      <c r="GZK290" s="1144"/>
      <c r="GZL290" s="1144"/>
      <c r="GZM290" s="1144"/>
      <c r="GZN290" s="1144"/>
      <c r="GZO290" s="1144"/>
      <c r="GZP290" s="1144"/>
      <c r="GZQ290" s="1144"/>
      <c r="GZR290" s="1144"/>
      <c r="GZS290" s="1144"/>
      <c r="GZT290" s="1144"/>
      <c r="GZU290" s="1144"/>
      <c r="GZV290" s="1144"/>
      <c r="GZW290" s="1144"/>
      <c r="GZX290" s="1144"/>
      <c r="GZY290" s="1144"/>
      <c r="GZZ290" s="1144"/>
      <c r="HAA290" s="1144"/>
      <c r="HAB290" s="1144"/>
      <c r="HAC290" s="1144"/>
      <c r="HAD290" s="1144"/>
      <c r="HAE290" s="1144"/>
      <c r="HAF290" s="1144"/>
      <c r="HAG290" s="1144"/>
      <c r="HAH290" s="1144"/>
      <c r="HAI290" s="1144"/>
      <c r="HAJ290" s="1144"/>
      <c r="HAK290" s="1144"/>
      <c r="HAL290" s="1144"/>
      <c r="HAM290" s="1144"/>
      <c r="HAN290" s="1144"/>
      <c r="HAO290" s="1144"/>
      <c r="HAP290" s="1144"/>
      <c r="HAQ290" s="1144"/>
      <c r="HAR290" s="1144"/>
      <c r="HAS290" s="1144"/>
      <c r="HAT290" s="1144"/>
      <c r="HAU290" s="1144"/>
      <c r="HAV290" s="1144"/>
      <c r="HAW290" s="1144"/>
      <c r="HAX290" s="1144"/>
      <c r="HAY290" s="1144"/>
      <c r="HAZ290" s="1144"/>
      <c r="HBA290" s="1144"/>
      <c r="HBB290" s="1144"/>
      <c r="HBC290" s="1144"/>
      <c r="HBD290" s="1144"/>
      <c r="HBE290" s="1144"/>
      <c r="HBF290" s="1144"/>
      <c r="HBG290" s="1144"/>
      <c r="HBH290" s="1144"/>
      <c r="HBI290" s="1144"/>
      <c r="HBJ290" s="1144"/>
      <c r="HBK290" s="1144"/>
      <c r="HBL290" s="1144"/>
      <c r="HBM290" s="1144"/>
      <c r="HBN290" s="1144"/>
      <c r="HBO290" s="1144"/>
      <c r="HBP290" s="1144"/>
      <c r="HBQ290" s="1144"/>
      <c r="HBR290" s="1144"/>
      <c r="HBS290" s="1144"/>
      <c r="HBT290" s="1144"/>
      <c r="HBU290" s="1144"/>
      <c r="HBV290" s="1144"/>
      <c r="HBW290" s="1144"/>
      <c r="HBX290" s="1144"/>
      <c r="HBY290" s="1144"/>
      <c r="HBZ290" s="1144"/>
      <c r="HCA290" s="1144"/>
      <c r="HCB290" s="1144"/>
      <c r="HCC290" s="1144"/>
      <c r="HCD290" s="1144"/>
      <c r="HCE290" s="1144"/>
      <c r="HCF290" s="1144"/>
      <c r="HCG290" s="1144"/>
      <c r="HCH290" s="1144"/>
      <c r="HCI290" s="1144"/>
      <c r="HCJ290" s="1144"/>
      <c r="HCK290" s="1144"/>
      <c r="HCL290" s="1144"/>
      <c r="HCM290" s="1144"/>
      <c r="HCN290" s="1144"/>
      <c r="HCO290" s="1144"/>
      <c r="HCP290" s="1144"/>
      <c r="HCQ290" s="1144"/>
      <c r="HCR290" s="1144"/>
      <c r="HCS290" s="1144"/>
      <c r="HCT290" s="1144"/>
      <c r="HCU290" s="1144"/>
      <c r="HCV290" s="1144"/>
      <c r="HCW290" s="1144"/>
      <c r="HCX290" s="1144"/>
      <c r="HCY290" s="1144"/>
      <c r="HCZ290" s="1144"/>
      <c r="HDA290" s="1144"/>
      <c r="HDB290" s="1144"/>
      <c r="HDC290" s="1144"/>
      <c r="HDD290" s="1144"/>
      <c r="HDE290" s="1144"/>
      <c r="HDF290" s="1144"/>
      <c r="HDG290" s="1144"/>
      <c r="HDH290" s="1144"/>
      <c r="HDI290" s="1144"/>
      <c r="HDJ290" s="1144"/>
      <c r="HDK290" s="1144"/>
      <c r="HDL290" s="1144"/>
      <c r="HDM290" s="1144"/>
      <c r="HDN290" s="1144"/>
      <c r="HDO290" s="1144"/>
      <c r="HDP290" s="1144"/>
      <c r="HDQ290" s="1144"/>
      <c r="HDR290" s="1144"/>
      <c r="HDS290" s="1144"/>
      <c r="HDT290" s="1144"/>
      <c r="HDU290" s="1144"/>
      <c r="HDV290" s="1144"/>
      <c r="HDW290" s="1144"/>
      <c r="HDX290" s="1144"/>
      <c r="HDY290" s="1144"/>
      <c r="HDZ290" s="1144"/>
      <c r="HEA290" s="1144"/>
      <c r="HEB290" s="1144"/>
      <c r="HEC290" s="1144"/>
      <c r="HED290" s="1144"/>
      <c r="HEE290" s="1144"/>
      <c r="HEF290" s="1144"/>
      <c r="HEG290" s="1144"/>
      <c r="HEH290" s="1144"/>
      <c r="HEI290" s="1144"/>
      <c r="HEJ290" s="1144"/>
      <c r="HEK290" s="1144"/>
      <c r="HEL290" s="1144"/>
      <c r="HEM290" s="1144"/>
      <c r="HEN290" s="1144"/>
      <c r="HEO290" s="1144"/>
      <c r="HEP290" s="1144"/>
      <c r="HEQ290" s="1144"/>
      <c r="HER290" s="1144"/>
      <c r="HES290" s="1144"/>
      <c r="HET290" s="1144"/>
      <c r="HEU290" s="1144"/>
      <c r="HEV290" s="1144"/>
      <c r="HEW290" s="1144"/>
      <c r="HEX290" s="1144"/>
      <c r="HEY290" s="1144"/>
      <c r="HEZ290" s="1144"/>
      <c r="HFA290" s="1144"/>
      <c r="HFB290" s="1144"/>
      <c r="HFC290" s="1144"/>
      <c r="HFD290" s="1144"/>
      <c r="HFE290" s="1144"/>
      <c r="HFF290" s="1144"/>
      <c r="HFG290" s="1144"/>
      <c r="HFH290" s="1144"/>
      <c r="HFI290" s="1144"/>
      <c r="HFJ290" s="1144"/>
      <c r="HFK290" s="1144"/>
      <c r="HFL290" s="1144"/>
      <c r="HFM290" s="1144"/>
      <c r="HFN290" s="1144"/>
      <c r="HFO290" s="1144"/>
      <c r="HFP290" s="1144"/>
      <c r="HFQ290" s="1144"/>
      <c r="HFR290" s="1144"/>
      <c r="HFS290" s="1144"/>
      <c r="HFT290" s="1144"/>
      <c r="HFU290" s="1144"/>
      <c r="HFV290" s="1144"/>
      <c r="HFW290" s="1144"/>
      <c r="HFX290" s="1144"/>
      <c r="HFY290" s="1144"/>
      <c r="HFZ290" s="1144"/>
      <c r="HGA290" s="1144"/>
      <c r="HGB290" s="1144"/>
      <c r="HGC290" s="1144"/>
      <c r="HGD290" s="1144"/>
      <c r="HGE290" s="1144"/>
      <c r="HGF290" s="1144"/>
      <c r="HGG290" s="1144"/>
      <c r="HGH290" s="1144"/>
      <c r="HGI290" s="1144"/>
      <c r="HGJ290" s="1144"/>
      <c r="HGK290" s="1144"/>
      <c r="HGL290" s="1144"/>
      <c r="HGM290" s="1144"/>
      <c r="HGN290" s="1144"/>
      <c r="HGO290" s="1144"/>
      <c r="HGP290" s="1144"/>
      <c r="HGQ290" s="1144"/>
      <c r="HGR290" s="1144"/>
      <c r="HGS290" s="1144"/>
      <c r="HGT290" s="1144"/>
      <c r="HGU290" s="1144"/>
      <c r="HGV290" s="1144"/>
      <c r="HGW290" s="1144"/>
      <c r="HGX290" s="1144"/>
      <c r="HGY290" s="1144"/>
      <c r="HGZ290" s="1144"/>
      <c r="HHA290" s="1144"/>
      <c r="HHB290" s="1144"/>
      <c r="HHC290" s="1144"/>
      <c r="HHD290" s="1144"/>
      <c r="HHE290" s="1144"/>
      <c r="HHF290" s="1144"/>
      <c r="HHG290" s="1144"/>
      <c r="HHH290" s="1144"/>
      <c r="HHI290" s="1144"/>
      <c r="HHJ290" s="1144"/>
      <c r="HHK290" s="1144"/>
      <c r="HHL290" s="1144"/>
      <c r="HHM290" s="1144"/>
      <c r="HHN290" s="1144"/>
      <c r="HHO290" s="1144"/>
      <c r="HHP290" s="1144"/>
      <c r="HHQ290" s="1144"/>
      <c r="HHR290" s="1144"/>
      <c r="HHS290" s="1144"/>
      <c r="HHT290" s="1144"/>
      <c r="HHU290" s="1144"/>
      <c r="HHV290" s="1144"/>
      <c r="HHW290" s="1144"/>
      <c r="HHX290" s="1144"/>
      <c r="HHY290" s="1144"/>
      <c r="HHZ290" s="1144"/>
      <c r="HIA290" s="1144"/>
      <c r="HIB290" s="1144"/>
      <c r="HIC290" s="1144"/>
      <c r="HID290" s="1144"/>
      <c r="HIE290" s="1144"/>
      <c r="HIF290" s="1144"/>
      <c r="HIG290" s="1144"/>
      <c r="HIH290" s="1144"/>
      <c r="HII290" s="1144"/>
      <c r="HIJ290" s="1144"/>
      <c r="HIK290" s="1144"/>
      <c r="HIL290" s="1144"/>
      <c r="HIM290" s="1144"/>
      <c r="HIN290" s="1144"/>
      <c r="HIO290" s="1144"/>
      <c r="HIP290" s="1144"/>
      <c r="HIQ290" s="1144"/>
      <c r="HIR290" s="1144"/>
      <c r="HIS290" s="1144"/>
      <c r="HIT290" s="1144"/>
      <c r="HIU290" s="1144"/>
      <c r="HIV290" s="1144"/>
      <c r="HIW290" s="1144"/>
      <c r="HIX290" s="1144"/>
      <c r="HIY290" s="1144"/>
      <c r="HIZ290" s="1144"/>
      <c r="HJA290" s="1144"/>
      <c r="HJB290" s="1144"/>
      <c r="HJC290" s="1144"/>
      <c r="HJD290" s="1144"/>
      <c r="HJE290" s="1144"/>
      <c r="HJF290" s="1144"/>
      <c r="HJG290" s="1144"/>
      <c r="HJH290" s="1144"/>
      <c r="HJI290" s="1144"/>
      <c r="HJJ290" s="1144"/>
      <c r="HJK290" s="1144"/>
      <c r="HJL290" s="1144"/>
      <c r="HJM290" s="1144"/>
      <c r="HJN290" s="1144"/>
      <c r="HJO290" s="1144"/>
      <c r="HJP290" s="1144"/>
      <c r="HJQ290" s="1144"/>
      <c r="HJR290" s="1144"/>
      <c r="HJS290" s="1144"/>
      <c r="HJT290" s="1144"/>
      <c r="HJU290" s="1144"/>
      <c r="HJV290" s="1144"/>
      <c r="HJW290" s="1144"/>
      <c r="HJX290" s="1144"/>
      <c r="HJY290" s="1144"/>
      <c r="HJZ290" s="1144"/>
      <c r="HKA290" s="1144"/>
      <c r="HKB290" s="1144"/>
      <c r="HKC290" s="1144"/>
      <c r="HKD290" s="1144"/>
      <c r="HKE290" s="1144"/>
      <c r="HKF290" s="1144"/>
      <c r="HKG290" s="1144"/>
      <c r="HKH290" s="1144"/>
      <c r="HKI290" s="1144"/>
      <c r="HKJ290" s="1144"/>
      <c r="HKK290" s="1144"/>
      <c r="HKL290" s="1144"/>
      <c r="HKM290" s="1144"/>
      <c r="HKN290" s="1144"/>
      <c r="HKO290" s="1144"/>
      <c r="HKP290" s="1144"/>
      <c r="HKQ290" s="1144"/>
      <c r="HKR290" s="1144"/>
      <c r="HKS290" s="1144"/>
      <c r="HKT290" s="1144"/>
      <c r="HKU290" s="1144"/>
      <c r="HKV290" s="1144"/>
      <c r="HKW290" s="1144"/>
      <c r="HKX290" s="1144"/>
      <c r="HKY290" s="1144"/>
      <c r="HKZ290" s="1144"/>
      <c r="HLA290" s="1144"/>
      <c r="HLB290" s="1144"/>
      <c r="HLC290" s="1144"/>
      <c r="HLD290" s="1144"/>
      <c r="HLE290" s="1144"/>
      <c r="HLF290" s="1144"/>
      <c r="HLG290" s="1144"/>
      <c r="HLH290" s="1144"/>
      <c r="HLI290" s="1144"/>
      <c r="HLJ290" s="1144"/>
      <c r="HLK290" s="1144"/>
      <c r="HLL290" s="1144"/>
      <c r="HLM290" s="1144"/>
      <c r="HLN290" s="1144"/>
      <c r="HLO290" s="1144"/>
      <c r="HLP290" s="1144"/>
      <c r="HLQ290" s="1144"/>
      <c r="HLR290" s="1144"/>
      <c r="HLS290" s="1144"/>
      <c r="HLT290" s="1144"/>
      <c r="HLU290" s="1144"/>
      <c r="HLV290" s="1144"/>
      <c r="HLW290" s="1144"/>
      <c r="HLX290" s="1144"/>
      <c r="HLY290" s="1144"/>
      <c r="HLZ290" s="1144"/>
      <c r="HMA290" s="1144"/>
      <c r="HMB290" s="1144"/>
      <c r="HMC290" s="1144"/>
      <c r="HMD290" s="1144"/>
      <c r="HME290" s="1144"/>
      <c r="HMF290" s="1144"/>
      <c r="HMG290" s="1144"/>
      <c r="HMH290" s="1144"/>
      <c r="HMI290" s="1144"/>
      <c r="HMJ290" s="1144"/>
      <c r="HMK290" s="1144"/>
      <c r="HML290" s="1144"/>
      <c r="HMM290" s="1144"/>
      <c r="HMN290" s="1144"/>
      <c r="HMO290" s="1144"/>
      <c r="HMP290" s="1144"/>
      <c r="HMQ290" s="1144"/>
      <c r="HMR290" s="1144"/>
      <c r="HMS290" s="1144"/>
      <c r="HMT290" s="1144"/>
      <c r="HMU290" s="1144"/>
      <c r="HMV290" s="1144"/>
      <c r="HMW290" s="1144"/>
      <c r="HMX290" s="1144"/>
      <c r="HMY290" s="1144"/>
      <c r="HMZ290" s="1144"/>
      <c r="HNA290" s="1144"/>
      <c r="HNB290" s="1144"/>
      <c r="HNC290" s="1144"/>
      <c r="HND290" s="1144"/>
      <c r="HNE290" s="1144"/>
      <c r="HNF290" s="1144"/>
      <c r="HNG290" s="1144"/>
      <c r="HNH290" s="1144"/>
      <c r="HNI290" s="1144"/>
      <c r="HNJ290" s="1144"/>
      <c r="HNK290" s="1144"/>
      <c r="HNL290" s="1144"/>
      <c r="HNM290" s="1144"/>
      <c r="HNN290" s="1144"/>
      <c r="HNO290" s="1144"/>
      <c r="HNP290" s="1144"/>
      <c r="HNQ290" s="1144"/>
      <c r="HNR290" s="1144"/>
      <c r="HNS290" s="1144"/>
      <c r="HNT290" s="1144"/>
      <c r="HNU290" s="1144"/>
      <c r="HNV290" s="1144"/>
      <c r="HNW290" s="1144"/>
      <c r="HNX290" s="1144"/>
      <c r="HNY290" s="1144"/>
      <c r="HNZ290" s="1144"/>
      <c r="HOA290" s="1144"/>
      <c r="HOB290" s="1144"/>
      <c r="HOC290" s="1144"/>
      <c r="HOD290" s="1144"/>
      <c r="HOE290" s="1144"/>
      <c r="HOF290" s="1144"/>
      <c r="HOG290" s="1144"/>
      <c r="HOH290" s="1144"/>
      <c r="HOI290" s="1144"/>
      <c r="HOJ290" s="1144"/>
      <c r="HOK290" s="1144"/>
      <c r="HOL290" s="1144"/>
      <c r="HOM290" s="1144"/>
      <c r="HON290" s="1144"/>
      <c r="HOO290" s="1144"/>
      <c r="HOP290" s="1144"/>
      <c r="HOQ290" s="1144"/>
      <c r="HOR290" s="1144"/>
      <c r="HOS290" s="1144"/>
      <c r="HOT290" s="1144"/>
      <c r="HOU290" s="1144"/>
      <c r="HOV290" s="1144"/>
      <c r="HOW290" s="1144"/>
      <c r="HOX290" s="1144"/>
      <c r="HOY290" s="1144"/>
      <c r="HOZ290" s="1144"/>
      <c r="HPA290" s="1144"/>
      <c r="HPB290" s="1144"/>
      <c r="HPC290" s="1144"/>
      <c r="HPD290" s="1144"/>
      <c r="HPE290" s="1144"/>
      <c r="HPF290" s="1144"/>
      <c r="HPG290" s="1144"/>
      <c r="HPH290" s="1144"/>
      <c r="HPI290" s="1144"/>
      <c r="HPJ290" s="1144"/>
      <c r="HPK290" s="1144"/>
      <c r="HPL290" s="1144"/>
      <c r="HPM290" s="1144"/>
      <c r="HPN290" s="1144"/>
      <c r="HPO290" s="1144"/>
      <c r="HPP290" s="1144"/>
      <c r="HPQ290" s="1144"/>
      <c r="HPR290" s="1144"/>
      <c r="HPS290" s="1144"/>
      <c r="HPT290" s="1144"/>
      <c r="HPU290" s="1144"/>
      <c r="HPV290" s="1144"/>
      <c r="HPW290" s="1144"/>
      <c r="HPX290" s="1144"/>
      <c r="HPY290" s="1144"/>
      <c r="HPZ290" s="1144"/>
      <c r="HQA290" s="1144"/>
      <c r="HQB290" s="1144"/>
      <c r="HQC290" s="1144"/>
      <c r="HQD290" s="1144"/>
      <c r="HQE290" s="1144"/>
      <c r="HQF290" s="1144"/>
      <c r="HQG290" s="1144"/>
      <c r="HQH290" s="1144"/>
      <c r="HQI290" s="1144"/>
      <c r="HQJ290" s="1144"/>
      <c r="HQK290" s="1144"/>
      <c r="HQL290" s="1144"/>
      <c r="HQM290" s="1144"/>
      <c r="HQN290" s="1144"/>
      <c r="HQO290" s="1144"/>
      <c r="HQP290" s="1144"/>
      <c r="HQQ290" s="1144"/>
      <c r="HQR290" s="1144"/>
      <c r="HQS290" s="1144"/>
      <c r="HQT290" s="1144"/>
      <c r="HQU290" s="1144"/>
      <c r="HQV290" s="1144"/>
      <c r="HQW290" s="1144"/>
      <c r="HQX290" s="1144"/>
      <c r="HQY290" s="1144"/>
      <c r="HQZ290" s="1144"/>
      <c r="HRA290" s="1144"/>
      <c r="HRB290" s="1144"/>
      <c r="HRC290" s="1144"/>
      <c r="HRD290" s="1144"/>
      <c r="HRE290" s="1144"/>
      <c r="HRF290" s="1144"/>
      <c r="HRG290" s="1144"/>
      <c r="HRH290" s="1144"/>
      <c r="HRI290" s="1144"/>
      <c r="HRJ290" s="1144"/>
      <c r="HRK290" s="1144"/>
      <c r="HRL290" s="1144"/>
      <c r="HRM290" s="1144"/>
      <c r="HRN290" s="1144"/>
      <c r="HRO290" s="1144"/>
      <c r="HRP290" s="1144"/>
      <c r="HRQ290" s="1144"/>
      <c r="HRR290" s="1144"/>
      <c r="HRS290" s="1144"/>
      <c r="HRT290" s="1144"/>
      <c r="HRU290" s="1144"/>
      <c r="HRV290" s="1144"/>
      <c r="HRW290" s="1144"/>
      <c r="HRX290" s="1144"/>
      <c r="HRY290" s="1144"/>
      <c r="HRZ290" s="1144"/>
      <c r="HSA290" s="1144"/>
      <c r="HSB290" s="1144"/>
      <c r="HSC290" s="1144"/>
      <c r="HSD290" s="1144"/>
      <c r="HSE290" s="1144"/>
      <c r="HSF290" s="1144"/>
      <c r="HSG290" s="1144"/>
      <c r="HSH290" s="1144"/>
      <c r="HSI290" s="1144"/>
      <c r="HSJ290" s="1144"/>
      <c r="HSK290" s="1144"/>
      <c r="HSL290" s="1144"/>
      <c r="HSM290" s="1144"/>
      <c r="HSN290" s="1144"/>
      <c r="HSO290" s="1144"/>
      <c r="HSP290" s="1144"/>
      <c r="HSQ290" s="1144"/>
      <c r="HSR290" s="1144"/>
      <c r="HSS290" s="1144"/>
      <c r="HST290" s="1144"/>
      <c r="HSU290" s="1144"/>
      <c r="HSV290" s="1144"/>
      <c r="HSW290" s="1144"/>
      <c r="HSX290" s="1144"/>
      <c r="HSY290" s="1144"/>
      <c r="HSZ290" s="1144"/>
      <c r="HTA290" s="1144"/>
      <c r="HTB290" s="1144"/>
      <c r="HTC290" s="1144"/>
      <c r="HTD290" s="1144"/>
      <c r="HTE290" s="1144"/>
      <c r="HTF290" s="1144"/>
      <c r="HTG290" s="1144"/>
      <c r="HTH290" s="1144"/>
      <c r="HTI290" s="1144"/>
      <c r="HTJ290" s="1144"/>
      <c r="HTK290" s="1144"/>
      <c r="HTL290" s="1144"/>
      <c r="HTM290" s="1144"/>
      <c r="HTN290" s="1144"/>
      <c r="HTO290" s="1144"/>
      <c r="HTP290" s="1144"/>
      <c r="HTQ290" s="1144"/>
      <c r="HTR290" s="1144"/>
      <c r="HTS290" s="1144"/>
      <c r="HTT290" s="1144"/>
      <c r="HTU290" s="1144"/>
      <c r="HTV290" s="1144"/>
      <c r="HTW290" s="1144"/>
      <c r="HTX290" s="1144"/>
      <c r="HTY290" s="1144"/>
      <c r="HTZ290" s="1144"/>
      <c r="HUA290" s="1144"/>
      <c r="HUB290" s="1144"/>
      <c r="HUC290" s="1144"/>
      <c r="HUD290" s="1144"/>
      <c r="HUE290" s="1144"/>
      <c r="HUF290" s="1144"/>
      <c r="HUG290" s="1144"/>
      <c r="HUH290" s="1144"/>
      <c r="HUI290" s="1144"/>
      <c r="HUJ290" s="1144"/>
      <c r="HUK290" s="1144"/>
      <c r="HUL290" s="1144"/>
      <c r="HUM290" s="1144"/>
      <c r="HUN290" s="1144"/>
      <c r="HUO290" s="1144"/>
      <c r="HUP290" s="1144"/>
      <c r="HUQ290" s="1144"/>
      <c r="HUR290" s="1144"/>
      <c r="HUS290" s="1144"/>
      <c r="HUT290" s="1144"/>
      <c r="HUU290" s="1144"/>
      <c r="HUV290" s="1144"/>
      <c r="HUW290" s="1144"/>
      <c r="HUX290" s="1144"/>
      <c r="HUY290" s="1144"/>
      <c r="HUZ290" s="1144"/>
      <c r="HVA290" s="1144"/>
      <c r="HVB290" s="1144"/>
      <c r="HVC290" s="1144"/>
      <c r="HVD290" s="1144"/>
      <c r="HVE290" s="1144"/>
      <c r="HVF290" s="1144"/>
      <c r="HVG290" s="1144"/>
      <c r="HVH290" s="1144"/>
      <c r="HVI290" s="1144"/>
      <c r="HVJ290" s="1144"/>
      <c r="HVK290" s="1144"/>
      <c r="HVL290" s="1144"/>
      <c r="HVM290" s="1144"/>
      <c r="HVN290" s="1144"/>
      <c r="HVO290" s="1144"/>
      <c r="HVP290" s="1144"/>
      <c r="HVQ290" s="1144"/>
      <c r="HVR290" s="1144"/>
      <c r="HVS290" s="1144"/>
      <c r="HVT290" s="1144"/>
      <c r="HVU290" s="1144"/>
      <c r="HVV290" s="1144"/>
      <c r="HVW290" s="1144"/>
      <c r="HVX290" s="1144"/>
      <c r="HVY290" s="1144"/>
      <c r="HVZ290" s="1144"/>
      <c r="HWA290" s="1144"/>
      <c r="HWB290" s="1144"/>
      <c r="HWC290" s="1144"/>
      <c r="HWD290" s="1144"/>
      <c r="HWE290" s="1144"/>
      <c r="HWF290" s="1144"/>
      <c r="HWG290" s="1144"/>
      <c r="HWH290" s="1144"/>
      <c r="HWI290" s="1144"/>
      <c r="HWJ290" s="1144"/>
      <c r="HWK290" s="1144"/>
      <c r="HWL290" s="1144"/>
      <c r="HWM290" s="1144"/>
      <c r="HWN290" s="1144"/>
      <c r="HWO290" s="1144"/>
      <c r="HWP290" s="1144"/>
      <c r="HWQ290" s="1144"/>
      <c r="HWR290" s="1144"/>
      <c r="HWS290" s="1144"/>
      <c r="HWT290" s="1144"/>
      <c r="HWU290" s="1144"/>
      <c r="HWV290" s="1144"/>
      <c r="HWW290" s="1144"/>
      <c r="HWX290" s="1144"/>
      <c r="HWY290" s="1144"/>
      <c r="HWZ290" s="1144"/>
      <c r="HXA290" s="1144"/>
      <c r="HXB290" s="1144"/>
      <c r="HXC290" s="1144"/>
      <c r="HXD290" s="1144"/>
      <c r="HXE290" s="1144"/>
      <c r="HXF290" s="1144"/>
      <c r="HXG290" s="1144"/>
      <c r="HXH290" s="1144"/>
      <c r="HXI290" s="1144"/>
      <c r="HXJ290" s="1144"/>
      <c r="HXK290" s="1144"/>
      <c r="HXL290" s="1144"/>
      <c r="HXM290" s="1144"/>
      <c r="HXN290" s="1144"/>
      <c r="HXO290" s="1144"/>
      <c r="HXP290" s="1144"/>
      <c r="HXQ290" s="1144"/>
      <c r="HXR290" s="1144"/>
      <c r="HXS290" s="1144"/>
      <c r="HXT290" s="1144"/>
      <c r="HXU290" s="1144"/>
      <c r="HXV290" s="1144"/>
      <c r="HXW290" s="1144"/>
      <c r="HXX290" s="1144"/>
      <c r="HXY290" s="1144"/>
      <c r="HXZ290" s="1144"/>
      <c r="HYA290" s="1144"/>
      <c r="HYB290" s="1144"/>
      <c r="HYC290" s="1144"/>
      <c r="HYD290" s="1144"/>
      <c r="HYE290" s="1144"/>
      <c r="HYF290" s="1144"/>
      <c r="HYG290" s="1144"/>
      <c r="HYH290" s="1144"/>
      <c r="HYI290" s="1144"/>
      <c r="HYJ290" s="1144"/>
      <c r="HYK290" s="1144"/>
      <c r="HYL290" s="1144"/>
      <c r="HYM290" s="1144"/>
      <c r="HYN290" s="1144"/>
      <c r="HYO290" s="1144"/>
      <c r="HYP290" s="1144"/>
      <c r="HYQ290" s="1144"/>
      <c r="HYR290" s="1144"/>
      <c r="HYS290" s="1144"/>
      <c r="HYT290" s="1144"/>
      <c r="HYU290" s="1144"/>
      <c r="HYV290" s="1144"/>
      <c r="HYW290" s="1144"/>
      <c r="HYX290" s="1144"/>
      <c r="HYY290" s="1144"/>
      <c r="HYZ290" s="1144"/>
      <c r="HZA290" s="1144"/>
      <c r="HZB290" s="1144"/>
      <c r="HZC290" s="1144"/>
      <c r="HZD290" s="1144"/>
      <c r="HZE290" s="1144"/>
      <c r="HZF290" s="1144"/>
      <c r="HZG290" s="1144"/>
      <c r="HZH290" s="1144"/>
      <c r="HZI290" s="1144"/>
      <c r="HZJ290" s="1144"/>
      <c r="HZK290" s="1144"/>
      <c r="HZL290" s="1144"/>
      <c r="HZM290" s="1144"/>
      <c r="HZN290" s="1144"/>
      <c r="HZO290" s="1144"/>
      <c r="HZP290" s="1144"/>
      <c r="HZQ290" s="1144"/>
      <c r="HZR290" s="1144"/>
      <c r="HZS290" s="1144"/>
      <c r="HZT290" s="1144"/>
      <c r="HZU290" s="1144"/>
      <c r="HZV290" s="1144"/>
      <c r="HZW290" s="1144"/>
      <c r="HZX290" s="1144"/>
      <c r="HZY290" s="1144"/>
      <c r="HZZ290" s="1144"/>
      <c r="IAA290" s="1144"/>
      <c r="IAB290" s="1144"/>
      <c r="IAC290" s="1144"/>
      <c r="IAD290" s="1144"/>
      <c r="IAE290" s="1144"/>
      <c r="IAF290" s="1144"/>
      <c r="IAG290" s="1144"/>
      <c r="IAH290" s="1144"/>
      <c r="IAI290" s="1144"/>
      <c r="IAJ290" s="1144"/>
      <c r="IAK290" s="1144"/>
      <c r="IAL290" s="1144"/>
      <c r="IAM290" s="1144"/>
      <c r="IAN290" s="1144"/>
      <c r="IAO290" s="1144"/>
      <c r="IAP290" s="1144"/>
      <c r="IAQ290" s="1144"/>
      <c r="IAR290" s="1144"/>
      <c r="IAS290" s="1144"/>
      <c r="IAT290" s="1144"/>
      <c r="IAU290" s="1144"/>
      <c r="IAV290" s="1144"/>
      <c r="IAW290" s="1144"/>
      <c r="IAX290" s="1144"/>
      <c r="IAY290" s="1144"/>
      <c r="IAZ290" s="1144"/>
      <c r="IBA290" s="1144"/>
      <c r="IBB290" s="1144"/>
      <c r="IBC290" s="1144"/>
      <c r="IBD290" s="1144"/>
      <c r="IBE290" s="1144"/>
      <c r="IBF290" s="1144"/>
      <c r="IBG290" s="1144"/>
      <c r="IBH290" s="1144"/>
      <c r="IBI290" s="1144"/>
      <c r="IBJ290" s="1144"/>
      <c r="IBK290" s="1144"/>
      <c r="IBL290" s="1144"/>
      <c r="IBM290" s="1144"/>
      <c r="IBN290" s="1144"/>
      <c r="IBO290" s="1144"/>
      <c r="IBP290" s="1144"/>
      <c r="IBQ290" s="1144"/>
      <c r="IBR290" s="1144"/>
      <c r="IBS290" s="1144"/>
      <c r="IBT290" s="1144"/>
      <c r="IBU290" s="1144"/>
      <c r="IBV290" s="1144"/>
      <c r="IBW290" s="1144"/>
      <c r="IBX290" s="1144"/>
      <c r="IBY290" s="1144"/>
      <c r="IBZ290" s="1144"/>
      <c r="ICA290" s="1144"/>
      <c r="ICB290" s="1144"/>
      <c r="ICC290" s="1144"/>
      <c r="ICD290" s="1144"/>
      <c r="ICE290" s="1144"/>
      <c r="ICF290" s="1144"/>
      <c r="ICG290" s="1144"/>
      <c r="ICH290" s="1144"/>
      <c r="ICI290" s="1144"/>
      <c r="ICJ290" s="1144"/>
      <c r="ICK290" s="1144"/>
      <c r="ICL290" s="1144"/>
      <c r="ICM290" s="1144"/>
      <c r="ICN290" s="1144"/>
      <c r="ICO290" s="1144"/>
      <c r="ICP290" s="1144"/>
      <c r="ICQ290" s="1144"/>
      <c r="ICR290" s="1144"/>
      <c r="ICS290" s="1144"/>
      <c r="ICT290" s="1144"/>
      <c r="ICU290" s="1144"/>
      <c r="ICV290" s="1144"/>
      <c r="ICW290" s="1144"/>
      <c r="ICX290" s="1144"/>
      <c r="ICY290" s="1144"/>
      <c r="ICZ290" s="1144"/>
      <c r="IDA290" s="1144"/>
      <c r="IDB290" s="1144"/>
      <c r="IDC290" s="1144"/>
      <c r="IDD290" s="1144"/>
      <c r="IDE290" s="1144"/>
      <c r="IDF290" s="1144"/>
      <c r="IDG290" s="1144"/>
      <c r="IDH290" s="1144"/>
      <c r="IDI290" s="1144"/>
      <c r="IDJ290" s="1144"/>
      <c r="IDK290" s="1144"/>
      <c r="IDL290" s="1144"/>
      <c r="IDM290" s="1144"/>
      <c r="IDN290" s="1144"/>
      <c r="IDO290" s="1144"/>
      <c r="IDP290" s="1144"/>
      <c r="IDQ290" s="1144"/>
      <c r="IDR290" s="1144"/>
      <c r="IDS290" s="1144"/>
      <c r="IDT290" s="1144"/>
      <c r="IDU290" s="1144"/>
      <c r="IDV290" s="1144"/>
      <c r="IDW290" s="1144"/>
      <c r="IDX290" s="1144"/>
      <c r="IDY290" s="1144"/>
      <c r="IDZ290" s="1144"/>
      <c r="IEA290" s="1144"/>
      <c r="IEB290" s="1144"/>
      <c r="IEC290" s="1144"/>
      <c r="IED290" s="1144"/>
      <c r="IEE290" s="1144"/>
      <c r="IEF290" s="1144"/>
      <c r="IEG290" s="1144"/>
      <c r="IEH290" s="1144"/>
      <c r="IEI290" s="1144"/>
      <c r="IEJ290" s="1144"/>
      <c r="IEK290" s="1144"/>
      <c r="IEL290" s="1144"/>
      <c r="IEM290" s="1144"/>
      <c r="IEN290" s="1144"/>
      <c r="IEO290" s="1144"/>
      <c r="IEP290" s="1144"/>
      <c r="IEQ290" s="1144"/>
      <c r="IER290" s="1144"/>
      <c r="IES290" s="1144"/>
      <c r="IET290" s="1144"/>
      <c r="IEU290" s="1144"/>
      <c r="IEV290" s="1144"/>
      <c r="IEW290" s="1144"/>
      <c r="IEX290" s="1144"/>
      <c r="IEY290" s="1144"/>
      <c r="IEZ290" s="1144"/>
      <c r="IFA290" s="1144"/>
      <c r="IFB290" s="1144"/>
      <c r="IFC290" s="1144"/>
      <c r="IFD290" s="1144"/>
      <c r="IFE290" s="1144"/>
      <c r="IFF290" s="1144"/>
      <c r="IFG290" s="1144"/>
      <c r="IFH290" s="1144"/>
      <c r="IFI290" s="1144"/>
      <c r="IFJ290" s="1144"/>
      <c r="IFK290" s="1144"/>
      <c r="IFL290" s="1144"/>
      <c r="IFM290" s="1144"/>
      <c r="IFN290" s="1144"/>
      <c r="IFO290" s="1144"/>
      <c r="IFP290" s="1144"/>
      <c r="IFQ290" s="1144"/>
      <c r="IFR290" s="1144"/>
      <c r="IFS290" s="1144"/>
      <c r="IFT290" s="1144"/>
      <c r="IFU290" s="1144"/>
      <c r="IFV290" s="1144"/>
      <c r="IFW290" s="1144"/>
      <c r="IFX290" s="1144"/>
      <c r="IFY290" s="1144"/>
      <c r="IFZ290" s="1144"/>
      <c r="IGA290" s="1144"/>
      <c r="IGB290" s="1144"/>
      <c r="IGC290" s="1144"/>
      <c r="IGD290" s="1144"/>
      <c r="IGE290" s="1144"/>
      <c r="IGF290" s="1144"/>
      <c r="IGG290" s="1144"/>
      <c r="IGH290" s="1144"/>
      <c r="IGI290" s="1144"/>
      <c r="IGJ290" s="1144"/>
      <c r="IGK290" s="1144"/>
      <c r="IGL290" s="1144"/>
      <c r="IGM290" s="1144"/>
      <c r="IGN290" s="1144"/>
      <c r="IGO290" s="1144"/>
      <c r="IGP290" s="1144"/>
      <c r="IGQ290" s="1144"/>
      <c r="IGR290" s="1144"/>
      <c r="IGS290" s="1144"/>
      <c r="IGT290" s="1144"/>
      <c r="IGU290" s="1144"/>
      <c r="IGV290" s="1144"/>
      <c r="IGW290" s="1144"/>
      <c r="IGX290" s="1144"/>
      <c r="IGY290" s="1144"/>
      <c r="IGZ290" s="1144"/>
      <c r="IHA290" s="1144"/>
      <c r="IHB290" s="1144"/>
      <c r="IHC290" s="1144"/>
      <c r="IHD290" s="1144"/>
      <c r="IHE290" s="1144"/>
      <c r="IHF290" s="1144"/>
      <c r="IHG290" s="1144"/>
      <c r="IHH290" s="1144"/>
      <c r="IHI290" s="1144"/>
      <c r="IHJ290" s="1144"/>
      <c r="IHK290" s="1144"/>
      <c r="IHL290" s="1144"/>
      <c r="IHM290" s="1144"/>
      <c r="IHN290" s="1144"/>
      <c r="IHO290" s="1144"/>
      <c r="IHP290" s="1144"/>
      <c r="IHQ290" s="1144"/>
      <c r="IHR290" s="1144"/>
      <c r="IHS290" s="1144"/>
      <c r="IHT290" s="1144"/>
      <c r="IHU290" s="1144"/>
      <c r="IHV290" s="1144"/>
      <c r="IHW290" s="1144"/>
      <c r="IHX290" s="1144"/>
      <c r="IHY290" s="1144"/>
      <c r="IHZ290" s="1144"/>
      <c r="IIA290" s="1144"/>
      <c r="IIB290" s="1144"/>
      <c r="IIC290" s="1144"/>
      <c r="IID290" s="1144"/>
      <c r="IIE290" s="1144"/>
      <c r="IIF290" s="1144"/>
      <c r="IIG290" s="1144"/>
      <c r="IIH290" s="1144"/>
      <c r="III290" s="1144"/>
      <c r="IIJ290" s="1144"/>
      <c r="IIK290" s="1144"/>
      <c r="IIL290" s="1144"/>
      <c r="IIM290" s="1144"/>
      <c r="IIN290" s="1144"/>
      <c r="IIO290" s="1144"/>
      <c r="IIP290" s="1144"/>
      <c r="IIQ290" s="1144"/>
      <c r="IIR290" s="1144"/>
      <c r="IIS290" s="1144"/>
      <c r="IIT290" s="1144"/>
      <c r="IIU290" s="1144"/>
      <c r="IIV290" s="1144"/>
      <c r="IIW290" s="1144"/>
      <c r="IIX290" s="1144"/>
      <c r="IIY290" s="1144"/>
      <c r="IIZ290" s="1144"/>
      <c r="IJA290" s="1144"/>
      <c r="IJB290" s="1144"/>
      <c r="IJC290" s="1144"/>
      <c r="IJD290" s="1144"/>
      <c r="IJE290" s="1144"/>
      <c r="IJF290" s="1144"/>
      <c r="IJG290" s="1144"/>
      <c r="IJH290" s="1144"/>
      <c r="IJI290" s="1144"/>
      <c r="IJJ290" s="1144"/>
      <c r="IJK290" s="1144"/>
      <c r="IJL290" s="1144"/>
      <c r="IJM290" s="1144"/>
      <c r="IJN290" s="1144"/>
      <c r="IJO290" s="1144"/>
      <c r="IJP290" s="1144"/>
      <c r="IJQ290" s="1144"/>
      <c r="IJR290" s="1144"/>
      <c r="IJS290" s="1144"/>
      <c r="IJT290" s="1144"/>
      <c r="IJU290" s="1144"/>
      <c r="IJV290" s="1144"/>
      <c r="IJW290" s="1144"/>
      <c r="IJX290" s="1144"/>
      <c r="IJY290" s="1144"/>
      <c r="IJZ290" s="1144"/>
      <c r="IKA290" s="1144"/>
      <c r="IKB290" s="1144"/>
      <c r="IKC290" s="1144"/>
      <c r="IKD290" s="1144"/>
      <c r="IKE290" s="1144"/>
      <c r="IKF290" s="1144"/>
      <c r="IKG290" s="1144"/>
      <c r="IKH290" s="1144"/>
      <c r="IKI290" s="1144"/>
      <c r="IKJ290" s="1144"/>
      <c r="IKK290" s="1144"/>
      <c r="IKL290" s="1144"/>
      <c r="IKM290" s="1144"/>
      <c r="IKN290" s="1144"/>
      <c r="IKO290" s="1144"/>
      <c r="IKP290" s="1144"/>
      <c r="IKQ290" s="1144"/>
      <c r="IKR290" s="1144"/>
      <c r="IKS290" s="1144"/>
      <c r="IKT290" s="1144"/>
      <c r="IKU290" s="1144"/>
      <c r="IKV290" s="1144"/>
      <c r="IKW290" s="1144"/>
      <c r="IKX290" s="1144"/>
      <c r="IKY290" s="1144"/>
      <c r="IKZ290" s="1144"/>
      <c r="ILA290" s="1144"/>
      <c r="ILB290" s="1144"/>
      <c r="ILC290" s="1144"/>
      <c r="ILD290" s="1144"/>
      <c r="ILE290" s="1144"/>
      <c r="ILF290" s="1144"/>
      <c r="ILG290" s="1144"/>
      <c r="ILH290" s="1144"/>
      <c r="ILI290" s="1144"/>
      <c r="ILJ290" s="1144"/>
      <c r="ILK290" s="1144"/>
      <c r="ILL290" s="1144"/>
      <c r="ILM290" s="1144"/>
      <c r="ILN290" s="1144"/>
      <c r="ILO290" s="1144"/>
      <c r="ILP290" s="1144"/>
      <c r="ILQ290" s="1144"/>
      <c r="ILR290" s="1144"/>
      <c r="ILS290" s="1144"/>
      <c r="ILT290" s="1144"/>
      <c r="ILU290" s="1144"/>
      <c r="ILV290" s="1144"/>
      <c r="ILW290" s="1144"/>
      <c r="ILX290" s="1144"/>
      <c r="ILY290" s="1144"/>
      <c r="ILZ290" s="1144"/>
      <c r="IMA290" s="1144"/>
      <c r="IMB290" s="1144"/>
      <c r="IMC290" s="1144"/>
      <c r="IMD290" s="1144"/>
      <c r="IME290" s="1144"/>
      <c r="IMF290" s="1144"/>
      <c r="IMG290" s="1144"/>
      <c r="IMH290" s="1144"/>
      <c r="IMI290" s="1144"/>
      <c r="IMJ290" s="1144"/>
      <c r="IMK290" s="1144"/>
      <c r="IML290" s="1144"/>
      <c r="IMM290" s="1144"/>
      <c r="IMN290" s="1144"/>
      <c r="IMO290" s="1144"/>
      <c r="IMP290" s="1144"/>
      <c r="IMQ290" s="1144"/>
      <c r="IMR290" s="1144"/>
      <c r="IMS290" s="1144"/>
      <c r="IMT290" s="1144"/>
      <c r="IMU290" s="1144"/>
      <c r="IMV290" s="1144"/>
      <c r="IMW290" s="1144"/>
      <c r="IMX290" s="1144"/>
      <c r="IMY290" s="1144"/>
      <c r="IMZ290" s="1144"/>
      <c r="INA290" s="1144"/>
      <c r="INB290" s="1144"/>
      <c r="INC290" s="1144"/>
      <c r="IND290" s="1144"/>
      <c r="INE290" s="1144"/>
      <c r="INF290" s="1144"/>
      <c r="ING290" s="1144"/>
      <c r="INH290" s="1144"/>
      <c r="INI290" s="1144"/>
      <c r="INJ290" s="1144"/>
      <c r="INK290" s="1144"/>
      <c r="INL290" s="1144"/>
      <c r="INM290" s="1144"/>
      <c r="INN290" s="1144"/>
      <c r="INO290" s="1144"/>
      <c r="INP290" s="1144"/>
      <c r="INQ290" s="1144"/>
      <c r="INR290" s="1144"/>
      <c r="INS290" s="1144"/>
      <c r="INT290" s="1144"/>
      <c r="INU290" s="1144"/>
      <c r="INV290" s="1144"/>
      <c r="INW290" s="1144"/>
      <c r="INX290" s="1144"/>
      <c r="INY290" s="1144"/>
      <c r="INZ290" s="1144"/>
      <c r="IOA290" s="1144"/>
      <c r="IOB290" s="1144"/>
      <c r="IOC290" s="1144"/>
      <c r="IOD290" s="1144"/>
      <c r="IOE290" s="1144"/>
      <c r="IOF290" s="1144"/>
      <c r="IOG290" s="1144"/>
      <c r="IOH290" s="1144"/>
      <c r="IOI290" s="1144"/>
      <c r="IOJ290" s="1144"/>
      <c r="IOK290" s="1144"/>
      <c r="IOL290" s="1144"/>
      <c r="IOM290" s="1144"/>
      <c r="ION290" s="1144"/>
      <c r="IOO290" s="1144"/>
      <c r="IOP290" s="1144"/>
      <c r="IOQ290" s="1144"/>
      <c r="IOR290" s="1144"/>
      <c r="IOS290" s="1144"/>
      <c r="IOT290" s="1144"/>
      <c r="IOU290" s="1144"/>
      <c r="IOV290" s="1144"/>
      <c r="IOW290" s="1144"/>
      <c r="IOX290" s="1144"/>
      <c r="IOY290" s="1144"/>
      <c r="IOZ290" s="1144"/>
      <c r="IPA290" s="1144"/>
      <c r="IPB290" s="1144"/>
      <c r="IPC290" s="1144"/>
      <c r="IPD290" s="1144"/>
      <c r="IPE290" s="1144"/>
      <c r="IPF290" s="1144"/>
      <c r="IPG290" s="1144"/>
      <c r="IPH290" s="1144"/>
      <c r="IPI290" s="1144"/>
      <c r="IPJ290" s="1144"/>
      <c r="IPK290" s="1144"/>
      <c r="IPL290" s="1144"/>
      <c r="IPM290" s="1144"/>
      <c r="IPN290" s="1144"/>
      <c r="IPO290" s="1144"/>
      <c r="IPP290" s="1144"/>
      <c r="IPQ290" s="1144"/>
      <c r="IPR290" s="1144"/>
      <c r="IPS290" s="1144"/>
      <c r="IPT290" s="1144"/>
      <c r="IPU290" s="1144"/>
      <c r="IPV290" s="1144"/>
      <c r="IPW290" s="1144"/>
      <c r="IPX290" s="1144"/>
      <c r="IPY290" s="1144"/>
      <c r="IPZ290" s="1144"/>
      <c r="IQA290" s="1144"/>
      <c r="IQB290" s="1144"/>
      <c r="IQC290" s="1144"/>
      <c r="IQD290" s="1144"/>
      <c r="IQE290" s="1144"/>
      <c r="IQF290" s="1144"/>
      <c r="IQG290" s="1144"/>
      <c r="IQH290" s="1144"/>
      <c r="IQI290" s="1144"/>
      <c r="IQJ290" s="1144"/>
      <c r="IQK290" s="1144"/>
      <c r="IQL290" s="1144"/>
      <c r="IQM290" s="1144"/>
      <c r="IQN290" s="1144"/>
      <c r="IQO290" s="1144"/>
      <c r="IQP290" s="1144"/>
      <c r="IQQ290" s="1144"/>
      <c r="IQR290" s="1144"/>
      <c r="IQS290" s="1144"/>
      <c r="IQT290" s="1144"/>
      <c r="IQU290" s="1144"/>
      <c r="IQV290" s="1144"/>
      <c r="IQW290" s="1144"/>
      <c r="IQX290" s="1144"/>
      <c r="IQY290" s="1144"/>
      <c r="IQZ290" s="1144"/>
      <c r="IRA290" s="1144"/>
      <c r="IRB290" s="1144"/>
      <c r="IRC290" s="1144"/>
      <c r="IRD290" s="1144"/>
      <c r="IRE290" s="1144"/>
      <c r="IRF290" s="1144"/>
      <c r="IRG290" s="1144"/>
      <c r="IRH290" s="1144"/>
      <c r="IRI290" s="1144"/>
      <c r="IRJ290" s="1144"/>
      <c r="IRK290" s="1144"/>
      <c r="IRL290" s="1144"/>
      <c r="IRM290" s="1144"/>
      <c r="IRN290" s="1144"/>
      <c r="IRO290" s="1144"/>
      <c r="IRP290" s="1144"/>
      <c r="IRQ290" s="1144"/>
      <c r="IRR290" s="1144"/>
      <c r="IRS290" s="1144"/>
      <c r="IRT290" s="1144"/>
      <c r="IRU290" s="1144"/>
      <c r="IRV290" s="1144"/>
      <c r="IRW290" s="1144"/>
      <c r="IRX290" s="1144"/>
      <c r="IRY290" s="1144"/>
      <c r="IRZ290" s="1144"/>
      <c r="ISA290" s="1144"/>
      <c r="ISB290" s="1144"/>
      <c r="ISC290" s="1144"/>
      <c r="ISD290" s="1144"/>
      <c r="ISE290" s="1144"/>
      <c r="ISF290" s="1144"/>
      <c r="ISG290" s="1144"/>
      <c r="ISH290" s="1144"/>
      <c r="ISI290" s="1144"/>
      <c r="ISJ290" s="1144"/>
      <c r="ISK290" s="1144"/>
      <c r="ISL290" s="1144"/>
      <c r="ISM290" s="1144"/>
      <c r="ISN290" s="1144"/>
      <c r="ISO290" s="1144"/>
      <c r="ISP290" s="1144"/>
      <c r="ISQ290" s="1144"/>
      <c r="ISR290" s="1144"/>
      <c r="ISS290" s="1144"/>
      <c r="IST290" s="1144"/>
      <c r="ISU290" s="1144"/>
      <c r="ISV290" s="1144"/>
      <c r="ISW290" s="1144"/>
      <c r="ISX290" s="1144"/>
      <c r="ISY290" s="1144"/>
      <c r="ISZ290" s="1144"/>
      <c r="ITA290" s="1144"/>
      <c r="ITB290" s="1144"/>
      <c r="ITC290" s="1144"/>
      <c r="ITD290" s="1144"/>
      <c r="ITE290" s="1144"/>
      <c r="ITF290" s="1144"/>
      <c r="ITG290" s="1144"/>
      <c r="ITH290" s="1144"/>
      <c r="ITI290" s="1144"/>
      <c r="ITJ290" s="1144"/>
      <c r="ITK290" s="1144"/>
      <c r="ITL290" s="1144"/>
      <c r="ITM290" s="1144"/>
      <c r="ITN290" s="1144"/>
      <c r="ITO290" s="1144"/>
      <c r="ITP290" s="1144"/>
      <c r="ITQ290" s="1144"/>
      <c r="ITR290" s="1144"/>
      <c r="ITS290" s="1144"/>
      <c r="ITT290" s="1144"/>
      <c r="ITU290" s="1144"/>
      <c r="ITV290" s="1144"/>
      <c r="ITW290" s="1144"/>
      <c r="ITX290" s="1144"/>
      <c r="ITY290" s="1144"/>
      <c r="ITZ290" s="1144"/>
      <c r="IUA290" s="1144"/>
      <c r="IUB290" s="1144"/>
      <c r="IUC290" s="1144"/>
      <c r="IUD290" s="1144"/>
      <c r="IUE290" s="1144"/>
      <c r="IUF290" s="1144"/>
      <c r="IUG290" s="1144"/>
      <c r="IUH290" s="1144"/>
      <c r="IUI290" s="1144"/>
      <c r="IUJ290" s="1144"/>
      <c r="IUK290" s="1144"/>
      <c r="IUL290" s="1144"/>
      <c r="IUM290" s="1144"/>
      <c r="IUN290" s="1144"/>
      <c r="IUO290" s="1144"/>
      <c r="IUP290" s="1144"/>
      <c r="IUQ290" s="1144"/>
      <c r="IUR290" s="1144"/>
      <c r="IUS290" s="1144"/>
      <c r="IUT290" s="1144"/>
      <c r="IUU290" s="1144"/>
      <c r="IUV290" s="1144"/>
      <c r="IUW290" s="1144"/>
      <c r="IUX290" s="1144"/>
      <c r="IUY290" s="1144"/>
      <c r="IUZ290" s="1144"/>
      <c r="IVA290" s="1144"/>
      <c r="IVB290" s="1144"/>
      <c r="IVC290" s="1144"/>
      <c r="IVD290" s="1144"/>
      <c r="IVE290" s="1144"/>
      <c r="IVF290" s="1144"/>
      <c r="IVG290" s="1144"/>
      <c r="IVH290" s="1144"/>
      <c r="IVI290" s="1144"/>
      <c r="IVJ290" s="1144"/>
      <c r="IVK290" s="1144"/>
      <c r="IVL290" s="1144"/>
      <c r="IVM290" s="1144"/>
      <c r="IVN290" s="1144"/>
      <c r="IVO290" s="1144"/>
      <c r="IVP290" s="1144"/>
      <c r="IVQ290" s="1144"/>
      <c r="IVR290" s="1144"/>
      <c r="IVS290" s="1144"/>
      <c r="IVT290" s="1144"/>
      <c r="IVU290" s="1144"/>
      <c r="IVV290" s="1144"/>
      <c r="IVW290" s="1144"/>
      <c r="IVX290" s="1144"/>
      <c r="IVY290" s="1144"/>
      <c r="IVZ290" s="1144"/>
      <c r="IWA290" s="1144"/>
      <c r="IWB290" s="1144"/>
      <c r="IWC290" s="1144"/>
      <c r="IWD290" s="1144"/>
      <c r="IWE290" s="1144"/>
      <c r="IWF290" s="1144"/>
      <c r="IWG290" s="1144"/>
      <c r="IWH290" s="1144"/>
      <c r="IWI290" s="1144"/>
      <c r="IWJ290" s="1144"/>
      <c r="IWK290" s="1144"/>
      <c r="IWL290" s="1144"/>
      <c r="IWM290" s="1144"/>
      <c r="IWN290" s="1144"/>
      <c r="IWO290" s="1144"/>
      <c r="IWP290" s="1144"/>
      <c r="IWQ290" s="1144"/>
      <c r="IWR290" s="1144"/>
      <c r="IWS290" s="1144"/>
      <c r="IWT290" s="1144"/>
      <c r="IWU290" s="1144"/>
      <c r="IWV290" s="1144"/>
      <c r="IWW290" s="1144"/>
      <c r="IWX290" s="1144"/>
      <c r="IWY290" s="1144"/>
      <c r="IWZ290" s="1144"/>
      <c r="IXA290" s="1144"/>
      <c r="IXB290" s="1144"/>
      <c r="IXC290" s="1144"/>
      <c r="IXD290" s="1144"/>
      <c r="IXE290" s="1144"/>
      <c r="IXF290" s="1144"/>
      <c r="IXG290" s="1144"/>
      <c r="IXH290" s="1144"/>
      <c r="IXI290" s="1144"/>
      <c r="IXJ290" s="1144"/>
      <c r="IXK290" s="1144"/>
      <c r="IXL290" s="1144"/>
      <c r="IXM290" s="1144"/>
      <c r="IXN290" s="1144"/>
      <c r="IXO290" s="1144"/>
      <c r="IXP290" s="1144"/>
      <c r="IXQ290" s="1144"/>
      <c r="IXR290" s="1144"/>
      <c r="IXS290" s="1144"/>
      <c r="IXT290" s="1144"/>
      <c r="IXU290" s="1144"/>
      <c r="IXV290" s="1144"/>
      <c r="IXW290" s="1144"/>
      <c r="IXX290" s="1144"/>
      <c r="IXY290" s="1144"/>
      <c r="IXZ290" s="1144"/>
      <c r="IYA290" s="1144"/>
      <c r="IYB290" s="1144"/>
      <c r="IYC290" s="1144"/>
      <c r="IYD290" s="1144"/>
      <c r="IYE290" s="1144"/>
      <c r="IYF290" s="1144"/>
      <c r="IYG290" s="1144"/>
      <c r="IYH290" s="1144"/>
      <c r="IYI290" s="1144"/>
      <c r="IYJ290" s="1144"/>
      <c r="IYK290" s="1144"/>
      <c r="IYL290" s="1144"/>
      <c r="IYM290" s="1144"/>
      <c r="IYN290" s="1144"/>
      <c r="IYO290" s="1144"/>
      <c r="IYP290" s="1144"/>
      <c r="IYQ290" s="1144"/>
      <c r="IYR290" s="1144"/>
      <c r="IYS290" s="1144"/>
      <c r="IYT290" s="1144"/>
      <c r="IYU290" s="1144"/>
      <c r="IYV290" s="1144"/>
      <c r="IYW290" s="1144"/>
      <c r="IYX290" s="1144"/>
      <c r="IYY290" s="1144"/>
      <c r="IYZ290" s="1144"/>
      <c r="IZA290" s="1144"/>
      <c r="IZB290" s="1144"/>
      <c r="IZC290" s="1144"/>
      <c r="IZD290" s="1144"/>
      <c r="IZE290" s="1144"/>
      <c r="IZF290" s="1144"/>
      <c r="IZG290" s="1144"/>
      <c r="IZH290" s="1144"/>
      <c r="IZI290" s="1144"/>
      <c r="IZJ290" s="1144"/>
      <c r="IZK290" s="1144"/>
      <c r="IZL290" s="1144"/>
      <c r="IZM290" s="1144"/>
      <c r="IZN290" s="1144"/>
      <c r="IZO290" s="1144"/>
      <c r="IZP290" s="1144"/>
      <c r="IZQ290" s="1144"/>
      <c r="IZR290" s="1144"/>
      <c r="IZS290" s="1144"/>
      <c r="IZT290" s="1144"/>
      <c r="IZU290" s="1144"/>
      <c r="IZV290" s="1144"/>
      <c r="IZW290" s="1144"/>
      <c r="IZX290" s="1144"/>
      <c r="IZY290" s="1144"/>
      <c r="IZZ290" s="1144"/>
      <c r="JAA290" s="1144"/>
      <c r="JAB290" s="1144"/>
      <c r="JAC290" s="1144"/>
      <c r="JAD290" s="1144"/>
      <c r="JAE290" s="1144"/>
      <c r="JAF290" s="1144"/>
      <c r="JAG290" s="1144"/>
      <c r="JAH290" s="1144"/>
      <c r="JAI290" s="1144"/>
      <c r="JAJ290" s="1144"/>
      <c r="JAK290" s="1144"/>
      <c r="JAL290" s="1144"/>
      <c r="JAM290" s="1144"/>
      <c r="JAN290" s="1144"/>
      <c r="JAO290" s="1144"/>
      <c r="JAP290" s="1144"/>
      <c r="JAQ290" s="1144"/>
      <c r="JAR290" s="1144"/>
      <c r="JAS290" s="1144"/>
      <c r="JAT290" s="1144"/>
      <c r="JAU290" s="1144"/>
      <c r="JAV290" s="1144"/>
      <c r="JAW290" s="1144"/>
      <c r="JAX290" s="1144"/>
      <c r="JAY290" s="1144"/>
      <c r="JAZ290" s="1144"/>
      <c r="JBA290" s="1144"/>
      <c r="JBB290" s="1144"/>
      <c r="JBC290" s="1144"/>
      <c r="JBD290" s="1144"/>
      <c r="JBE290" s="1144"/>
      <c r="JBF290" s="1144"/>
      <c r="JBG290" s="1144"/>
      <c r="JBH290" s="1144"/>
      <c r="JBI290" s="1144"/>
      <c r="JBJ290" s="1144"/>
      <c r="JBK290" s="1144"/>
      <c r="JBL290" s="1144"/>
      <c r="JBM290" s="1144"/>
      <c r="JBN290" s="1144"/>
      <c r="JBO290" s="1144"/>
      <c r="JBP290" s="1144"/>
      <c r="JBQ290" s="1144"/>
      <c r="JBR290" s="1144"/>
      <c r="JBS290" s="1144"/>
      <c r="JBT290" s="1144"/>
      <c r="JBU290" s="1144"/>
      <c r="JBV290" s="1144"/>
      <c r="JBW290" s="1144"/>
      <c r="JBX290" s="1144"/>
      <c r="JBY290" s="1144"/>
      <c r="JBZ290" s="1144"/>
      <c r="JCA290" s="1144"/>
      <c r="JCB290" s="1144"/>
      <c r="JCC290" s="1144"/>
      <c r="JCD290" s="1144"/>
      <c r="JCE290" s="1144"/>
      <c r="JCF290" s="1144"/>
      <c r="JCG290" s="1144"/>
      <c r="JCH290" s="1144"/>
      <c r="JCI290" s="1144"/>
      <c r="JCJ290" s="1144"/>
      <c r="JCK290" s="1144"/>
      <c r="JCL290" s="1144"/>
      <c r="JCM290" s="1144"/>
      <c r="JCN290" s="1144"/>
      <c r="JCO290" s="1144"/>
      <c r="JCP290" s="1144"/>
      <c r="JCQ290" s="1144"/>
      <c r="JCR290" s="1144"/>
      <c r="JCS290" s="1144"/>
      <c r="JCT290" s="1144"/>
      <c r="JCU290" s="1144"/>
      <c r="JCV290" s="1144"/>
      <c r="JCW290" s="1144"/>
      <c r="JCX290" s="1144"/>
      <c r="JCY290" s="1144"/>
      <c r="JCZ290" s="1144"/>
      <c r="JDA290" s="1144"/>
      <c r="JDB290" s="1144"/>
      <c r="JDC290" s="1144"/>
      <c r="JDD290" s="1144"/>
      <c r="JDE290" s="1144"/>
      <c r="JDF290" s="1144"/>
      <c r="JDG290" s="1144"/>
      <c r="JDH290" s="1144"/>
      <c r="JDI290" s="1144"/>
      <c r="JDJ290" s="1144"/>
      <c r="JDK290" s="1144"/>
      <c r="JDL290" s="1144"/>
      <c r="JDM290" s="1144"/>
      <c r="JDN290" s="1144"/>
      <c r="JDO290" s="1144"/>
      <c r="JDP290" s="1144"/>
      <c r="JDQ290" s="1144"/>
      <c r="JDR290" s="1144"/>
      <c r="JDS290" s="1144"/>
      <c r="JDT290" s="1144"/>
      <c r="JDU290" s="1144"/>
      <c r="JDV290" s="1144"/>
      <c r="JDW290" s="1144"/>
      <c r="JDX290" s="1144"/>
      <c r="JDY290" s="1144"/>
      <c r="JDZ290" s="1144"/>
      <c r="JEA290" s="1144"/>
      <c r="JEB290" s="1144"/>
      <c r="JEC290" s="1144"/>
      <c r="JED290" s="1144"/>
      <c r="JEE290" s="1144"/>
      <c r="JEF290" s="1144"/>
      <c r="JEG290" s="1144"/>
      <c r="JEH290" s="1144"/>
      <c r="JEI290" s="1144"/>
      <c r="JEJ290" s="1144"/>
      <c r="JEK290" s="1144"/>
      <c r="JEL290" s="1144"/>
      <c r="JEM290" s="1144"/>
      <c r="JEN290" s="1144"/>
      <c r="JEO290" s="1144"/>
      <c r="JEP290" s="1144"/>
      <c r="JEQ290" s="1144"/>
      <c r="JER290" s="1144"/>
      <c r="JES290" s="1144"/>
      <c r="JET290" s="1144"/>
      <c r="JEU290" s="1144"/>
      <c r="JEV290" s="1144"/>
      <c r="JEW290" s="1144"/>
      <c r="JEX290" s="1144"/>
      <c r="JEY290" s="1144"/>
      <c r="JEZ290" s="1144"/>
      <c r="JFA290" s="1144"/>
      <c r="JFB290" s="1144"/>
      <c r="JFC290" s="1144"/>
      <c r="JFD290" s="1144"/>
      <c r="JFE290" s="1144"/>
      <c r="JFF290" s="1144"/>
      <c r="JFG290" s="1144"/>
      <c r="JFH290" s="1144"/>
      <c r="JFI290" s="1144"/>
      <c r="JFJ290" s="1144"/>
      <c r="JFK290" s="1144"/>
      <c r="JFL290" s="1144"/>
      <c r="JFM290" s="1144"/>
      <c r="JFN290" s="1144"/>
      <c r="JFO290" s="1144"/>
      <c r="JFP290" s="1144"/>
      <c r="JFQ290" s="1144"/>
      <c r="JFR290" s="1144"/>
      <c r="JFS290" s="1144"/>
      <c r="JFT290" s="1144"/>
      <c r="JFU290" s="1144"/>
      <c r="JFV290" s="1144"/>
      <c r="JFW290" s="1144"/>
      <c r="JFX290" s="1144"/>
      <c r="JFY290" s="1144"/>
      <c r="JFZ290" s="1144"/>
      <c r="JGA290" s="1144"/>
      <c r="JGB290" s="1144"/>
      <c r="JGC290" s="1144"/>
      <c r="JGD290" s="1144"/>
      <c r="JGE290" s="1144"/>
      <c r="JGF290" s="1144"/>
      <c r="JGG290" s="1144"/>
      <c r="JGH290" s="1144"/>
      <c r="JGI290" s="1144"/>
      <c r="JGJ290" s="1144"/>
      <c r="JGK290" s="1144"/>
      <c r="JGL290" s="1144"/>
      <c r="JGM290" s="1144"/>
      <c r="JGN290" s="1144"/>
      <c r="JGO290" s="1144"/>
      <c r="JGP290" s="1144"/>
      <c r="JGQ290" s="1144"/>
      <c r="JGR290" s="1144"/>
      <c r="JGS290" s="1144"/>
      <c r="JGT290" s="1144"/>
      <c r="JGU290" s="1144"/>
      <c r="JGV290" s="1144"/>
      <c r="JGW290" s="1144"/>
      <c r="JGX290" s="1144"/>
      <c r="JGY290" s="1144"/>
      <c r="JGZ290" s="1144"/>
      <c r="JHA290" s="1144"/>
      <c r="JHB290" s="1144"/>
      <c r="JHC290" s="1144"/>
      <c r="JHD290" s="1144"/>
      <c r="JHE290" s="1144"/>
      <c r="JHF290" s="1144"/>
      <c r="JHG290" s="1144"/>
      <c r="JHH290" s="1144"/>
      <c r="JHI290" s="1144"/>
      <c r="JHJ290" s="1144"/>
      <c r="JHK290" s="1144"/>
      <c r="JHL290" s="1144"/>
      <c r="JHM290" s="1144"/>
      <c r="JHN290" s="1144"/>
      <c r="JHO290" s="1144"/>
      <c r="JHP290" s="1144"/>
      <c r="JHQ290" s="1144"/>
      <c r="JHR290" s="1144"/>
      <c r="JHS290" s="1144"/>
      <c r="JHT290" s="1144"/>
      <c r="JHU290" s="1144"/>
      <c r="JHV290" s="1144"/>
      <c r="JHW290" s="1144"/>
      <c r="JHX290" s="1144"/>
      <c r="JHY290" s="1144"/>
      <c r="JHZ290" s="1144"/>
      <c r="JIA290" s="1144"/>
      <c r="JIB290" s="1144"/>
      <c r="JIC290" s="1144"/>
      <c r="JID290" s="1144"/>
      <c r="JIE290" s="1144"/>
      <c r="JIF290" s="1144"/>
      <c r="JIG290" s="1144"/>
      <c r="JIH290" s="1144"/>
      <c r="JII290" s="1144"/>
      <c r="JIJ290" s="1144"/>
      <c r="JIK290" s="1144"/>
      <c r="JIL290" s="1144"/>
      <c r="JIM290" s="1144"/>
      <c r="JIN290" s="1144"/>
      <c r="JIO290" s="1144"/>
      <c r="JIP290" s="1144"/>
      <c r="JIQ290" s="1144"/>
      <c r="JIR290" s="1144"/>
      <c r="JIS290" s="1144"/>
      <c r="JIT290" s="1144"/>
      <c r="JIU290" s="1144"/>
      <c r="JIV290" s="1144"/>
      <c r="JIW290" s="1144"/>
      <c r="JIX290" s="1144"/>
      <c r="JIY290" s="1144"/>
      <c r="JIZ290" s="1144"/>
      <c r="JJA290" s="1144"/>
      <c r="JJB290" s="1144"/>
      <c r="JJC290" s="1144"/>
      <c r="JJD290" s="1144"/>
      <c r="JJE290" s="1144"/>
      <c r="JJF290" s="1144"/>
      <c r="JJG290" s="1144"/>
      <c r="JJH290" s="1144"/>
      <c r="JJI290" s="1144"/>
      <c r="JJJ290" s="1144"/>
      <c r="JJK290" s="1144"/>
      <c r="JJL290" s="1144"/>
      <c r="JJM290" s="1144"/>
      <c r="JJN290" s="1144"/>
      <c r="JJO290" s="1144"/>
      <c r="JJP290" s="1144"/>
      <c r="JJQ290" s="1144"/>
      <c r="JJR290" s="1144"/>
      <c r="JJS290" s="1144"/>
      <c r="JJT290" s="1144"/>
      <c r="JJU290" s="1144"/>
      <c r="JJV290" s="1144"/>
      <c r="JJW290" s="1144"/>
      <c r="JJX290" s="1144"/>
      <c r="JJY290" s="1144"/>
      <c r="JJZ290" s="1144"/>
      <c r="JKA290" s="1144"/>
      <c r="JKB290" s="1144"/>
      <c r="JKC290" s="1144"/>
      <c r="JKD290" s="1144"/>
      <c r="JKE290" s="1144"/>
      <c r="JKF290" s="1144"/>
      <c r="JKG290" s="1144"/>
      <c r="JKH290" s="1144"/>
      <c r="JKI290" s="1144"/>
      <c r="JKJ290" s="1144"/>
      <c r="JKK290" s="1144"/>
      <c r="JKL290" s="1144"/>
      <c r="JKM290" s="1144"/>
      <c r="JKN290" s="1144"/>
      <c r="JKO290" s="1144"/>
      <c r="JKP290" s="1144"/>
      <c r="JKQ290" s="1144"/>
      <c r="JKR290" s="1144"/>
      <c r="JKS290" s="1144"/>
      <c r="JKT290" s="1144"/>
      <c r="JKU290" s="1144"/>
      <c r="JKV290" s="1144"/>
      <c r="JKW290" s="1144"/>
      <c r="JKX290" s="1144"/>
      <c r="JKY290" s="1144"/>
      <c r="JKZ290" s="1144"/>
      <c r="JLA290" s="1144"/>
      <c r="JLB290" s="1144"/>
      <c r="JLC290" s="1144"/>
      <c r="JLD290" s="1144"/>
      <c r="JLE290" s="1144"/>
      <c r="JLF290" s="1144"/>
      <c r="JLG290" s="1144"/>
      <c r="JLH290" s="1144"/>
      <c r="JLI290" s="1144"/>
      <c r="JLJ290" s="1144"/>
      <c r="JLK290" s="1144"/>
      <c r="JLL290" s="1144"/>
      <c r="JLM290" s="1144"/>
      <c r="JLN290" s="1144"/>
      <c r="JLO290" s="1144"/>
      <c r="JLP290" s="1144"/>
      <c r="JLQ290" s="1144"/>
      <c r="JLR290" s="1144"/>
      <c r="JLS290" s="1144"/>
      <c r="JLT290" s="1144"/>
      <c r="JLU290" s="1144"/>
      <c r="JLV290" s="1144"/>
      <c r="JLW290" s="1144"/>
      <c r="JLX290" s="1144"/>
      <c r="JLY290" s="1144"/>
      <c r="JLZ290" s="1144"/>
      <c r="JMA290" s="1144"/>
      <c r="JMB290" s="1144"/>
      <c r="JMC290" s="1144"/>
      <c r="JMD290" s="1144"/>
      <c r="JME290" s="1144"/>
      <c r="JMF290" s="1144"/>
      <c r="JMG290" s="1144"/>
      <c r="JMH290" s="1144"/>
      <c r="JMI290" s="1144"/>
      <c r="JMJ290" s="1144"/>
      <c r="JMK290" s="1144"/>
      <c r="JML290" s="1144"/>
      <c r="JMM290" s="1144"/>
      <c r="JMN290" s="1144"/>
      <c r="JMO290" s="1144"/>
      <c r="JMP290" s="1144"/>
      <c r="JMQ290" s="1144"/>
      <c r="JMR290" s="1144"/>
      <c r="JMS290" s="1144"/>
      <c r="JMT290" s="1144"/>
      <c r="JMU290" s="1144"/>
      <c r="JMV290" s="1144"/>
      <c r="JMW290" s="1144"/>
      <c r="JMX290" s="1144"/>
      <c r="JMY290" s="1144"/>
      <c r="JMZ290" s="1144"/>
      <c r="JNA290" s="1144"/>
      <c r="JNB290" s="1144"/>
      <c r="JNC290" s="1144"/>
      <c r="JND290" s="1144"/>
      <c r="JNE290" s="1144"/>
      <c r="JNF290" s="1144"/>
      <c r="JNG290" s="1144"/>
      <c r="JNH290" s="1144"/>
      <c r="JNI290" s="1144"/>
      <c r="JNJ290" s="1144"/>
      <c r="JNK290" s="1144"/>
      <c r="JNL290" s="1144"/>
      <c r="JNM290" s="1144"/>
      <c r="JNN290" s="1144"/>
      <c r="JNO290" s="1144"/>
      <c r="JNP290" s="1144"/>
      <c r="JNQ290" s="1144"/>
      <c r="JNR290" s="1144"/>
      <c r="JNS290" s="1144"/>
      <c r="JNT290" s="1144"/>
      <c r="JNU290" s="1144"/>
      <c r="JNV290" s="1144"/>
      <c r="JNW290" s="1144"/>
      <c r="JNX290" s="1144"/>
      <c r="JNY290" s="1144"/>
      <c r="JNZ290" s="1144"/>
      <c r="JOA290" s="1144"/>
      <c r="JOB290" s="1144"/>
      <c r="JOC290" s="1144"/>
      <c r="JOD290" s="1144"/>
      <c r="JOE290" s="1144"/>
      <c r="JOF290" s="1144"/>
      <c r="JOG290" s="1144"/>
      <c r="JOH290" s="1144"/>
      <c r="JOI290" s="1144"/>
      <c r="JOJ290" s="1144"/>
      <c r="JOK290" s="1144"/>
      <c r="JOL290" s="1144"/>
      <c r="JOM290" s="1144"/>
      <c r="JON290" s="1144"/>
      <c r="JOO290" s="1144"/>
      <c r="JOP290" s="1144"/>
      <c r="JOQ290" s="1144"/>
      <c r="JOR290" s="1144"/>
      <c r="JOS290" s="1144"/>
      <c r="JOT290" s="1144"/>
      <c r="JOU290" s="1144"/>
      <c r="JOV290" s="1144"/>
      <c r="JOW290" s="1144"/>
      <c r="JOX290" s="1144"/>
      <c r="JOY290" s="1144"/>
      <c r="JOZ290" s="1144"/>
      <c r="JPA290" s="1144"/>
      <c r="JPB290" s="1144"/>
      <c r="JPC290" s="1144"/>
      <c r="JPD290" s="1144"/>
      <c r="JPE290" s="1144"/>
      <c r="JPF290" s="1144"/>
      <c r="JPG290" s="1144"/>
      <c r="JPH290" s="1144"/>
      <c r="JPI290" s="1144"/>
      <c r="JPJ290" s="1144"/>
      <c r="JPK290" s="1144"/>
      <c r="JPL290" s="1144"/>
      <c r="JPM290" s="1144"/>
      <c r="JPN290" s="1144"/>
      <c r="JPO290" s="1144"/>
      <c r="JPP290" s="1144"/>
      <c r="JPQ290" s="1144"/>
      <c r="JPR290" s="1144"/>
      <c r="JPS290" s="1144"/>
      <c r="JPT290" s="1144"/>
      <c r="JPU290" s="1144"/>
      <c r="JPV290" s="1144"/>
      <c r="JPW290" s="1144"/>
      <c r="JPX290" s="1144"/>
      <c r="JPY290" s="1144"/>
      <c r="JPZ290" s="1144"/>
      <c r="JQA290" s="1144"/>
      <c r="JQB290" s="1144"/>
      <c r="JQC290" s="1144"/>
      <c r="JQD290" s="1144"/>
      <c r="JQE290" s="1144"/>
      <c r="JQF290" s="1144"/>
      <c r="JQG290" s="1144"/>
      <c r="JQH290" s="1144"/>
      <c r="JQI290" s="1144"/>
      <c r="JQJ290" s="1144"/>
      <c r="JQK290" s="1144"/>
      <c r="JQL290" s="1144"/>
      <c r="JQM290" s="1144"/>
      <c r="JQN290" s="1144"/>
      <c r="JQO290" s="1144"/>
      <c r="JQP290" s="1144"/>
      <c r="JQQ290" s="1144"/>
      <c r="JQR290" s="1144"/>
      <c r="JQS290" s="1144"/>
      <c r="JQT290" s="1144"/>
      <c r="JQU290" s="1144"/>
      <c r="JQV290" s="1144"/>
      <c r="JQW290" s="1144"/>
      <c r="JQX290" s="1144"/>
      <c r="JQY290" s="1144"/>
      <c r="JQZ290" s="1144"/>
      <c r="JRA290" s="1144"/>
      <c r="JRB290" s="1144"/>
      <c r="JRC290" s="1144"/>
      <c r="JRD290" s="1144"/>
      <c r="JRE290" s="1144"/>
      <c r="JRF290" s="1144"/>
      <c r="JRG290" s="1144"/>
      <c r="JRH290" s="1144"/>
      <c r="JRI290" s="1144"/>
      <c r="JRJ290" s="1144"/>
      <c r="JRK290" s="1144"/>
      <c r="JRL290" s="1144"/>
      <c r="JRM290" s="1144"/>
      <c r="JRN290" s="1144"/>
      <c r="JRO290" s="1144"/>
      <c r="JRP290" s="1144"/>
      <c r="JRQ290" s="1144"/>
      <c r="JRR290" s="1144"/>
      <c r="JRS290" s="1144"/>
      <c r="JRT290" s="1144"/>
      <c r="JRU290" s="1144"/>
      <c r="JRV290" s="1144"/>
      <c r="JRW290" s="1144"/>
      <c r="JRX290" s="1144"/>
      <c r="JRY290" s="1144"/>
      <c r="JRZ290" s="1144"/>
      <c r="JSA290" s="1144"/>
      <c r="JSB290" s="1144"/>
      <c r="JSC290" s="1144"/>
      <c r="JSD290" s="1144"/>
      <c r="JSE290" s="1144"/>
      <c r="JSF290" s="1144"/>
      <c r="JSG290" s="1144"/>
      <c r="JSH290" s="1144"/>
      <c r="JSI290" s="1144"/>
      <c r="JSJ290" s="1144"/>
      <c r="JSK290" s="1144"/>
      <c r="JSL290" s="1144"/>
      <c r="JSM290" s="1144"/>
      <c r="JSN290" s="1144"/>
      <c r="JSO290" s="1144"/>
      <c r="JSP290" s="1144"/>
      <c r="JSQ290" s="1144"/>
      <c r="JSR290" s="1144"/>
      <c r="JSS290" s="1144"/>
      <c r="JST290" s="1144"/>
      <c r="JSU290" s="1144"/>
      <c r="JSV290" s="1144"/>
      <c r="JSW290" s="1144"/>
      <c r="JSX290" s="1144"/>
      <c r="JSY290" s="1144"/>
      <c r="JSZ290" s="1144"/>
      <c r="JTA290" s="1144"/>
      <c r="JTB290" s="1144"/>
      <c r="JTC290" s="1144"/>
      <c r="JTD290" s="1144"/>
      <c r="JTE290" s="1144"/>
      <c r="JTF290" s="1144"/>
      <c r="JTG290" s="1144"/>
      <c r="JTH290" s="1144"/>
      <c r="JTI290" s="1144"/>
      <c r="JTJ290" s="1144"/>
      <c r="JTK290" s="1144"/>
      <c r="JTL290" s="1144"/>
      <c r="JTM290" s="1144"/>
      <c r="JTN290" s="1144"/>
      <c r="JTO290" s="1144"/>
      <c r="JTP290" s="1144"/>
      <c r="JTQ290" s="1144"/>
      <c r="JTR290" s="1144"/>
      <c r="JTS290" s="1144"/>
      <c r="JTT290" s="1144"/>
      <c r="JTU290" s="1144"/>
      <c r="JTV290" s="1144"/>
      <c r="JTW290" s="1144"/>
      <c r="JTX290" s="1144"/>
      <c r="JTY290" s="1144"/>
      <c r="JTZ290" s="1144"/>
      <c r="JUA290" s="1144"/>
      <c r="JUB290" s="1144"/>
      <c r="JUC290" s="1144"/>
      <c r="JUD290" s="1144"/>
      <c r="JUE290" s="1144"/>
      <c r="JUF290" s="1144"/>
      <c r="JUG290" s="1144"/>
      <c r="JUH290" s="1144"/>
      <c r="JUI290" s="1144"/>
      <c r="JUJ290" s="1144"/>
      <c r="JUK290" s="1144"/>
      <c r="JUL290" s="1144"/>
      <c r="JUM290" s="1144"/>
      <c r="JUN290" s="1144"/>
      <c r="JUO290" s="1144"/>
      <c r="JUP290" s="1144"/>
      <c r="JUQ290" s="1144"/>
      <c r="JUR290" s="1144"/>
      <c r="JUS290" s="1144"/>
      <c r="JUT290" s="1144"/>
      <c r="JUU290" s="1144"/>
      <c r="JUV290" s="1144"/>
      <c r="JUW290" s="1144"/>
      <c r="JUX290" s="1144"/>
      <c r="JUY290" s="1144"/>
      <c r="JUZ290" s="1144"/>
      <c r="JVA290" s="1144"/>
      <c r="JVB290" s="1144"/>
      <c r="JVC290" s="1144"/>
      <c r="JVD290" s="1144"/>
      <c r="JVE290" s="1144"/>
      <c r="JVF290" s="1144"/>
      <c r="JVG290" s="1144"/>
      <c r="JVH290" s="1144"/>
      <c r="JVI290" s="1144"/>
      <c r="JVJ290" s="1144"/>
      <c r="JVK290" s="1144"/>
      <c r="JVL290" s="1144"/>
      <c r="JVM290" s="1144"/>
      <c r="JVN290" s="1144"/>
      <c r="JVO290" s="1144"/>
      <c r="JVP290" s="1144"/>
      <c r="JVQ290" s="1144"/>
      <c r="JVR290" s="1144"/>
      <c r="JVS290" s="1144"/>
      <c r="JVT290" s="1144"/>
      <c r="JVU290" s="1144"/>
      <c r="JVV290" s="1144"/>
      <c r="JVW290" s="1144"/>
      <c r="JVX290" s="1144"/>
      <c r="JVY290" s="1144"/>
      <c r="JVZ290" s="1144"/>
      <c r="JWA290" s="1144"/>
      <c r="JWB290" s="1144"/>
      <c r="JWC290" s="1144"/>
      <c r="JWD290" s="1144"/>
      <c r="JWE290" s="1144"/>
      <c r="JWF290" s="1144"/>
      <c r="JWG290" s="1144"/>
      <c r="JWH290" s="1144"/>
      <c r="JWI290" s="1144"/>
      <c r="JWJ290" s="1144"/>
      <c r="JWK290" s="1144"/>
      <c r="JWL290" s="1144"/>
      <c r="JWM290" s="1144"/>
      <c r="JWN290" s="1144"/>
      <c r="JWO290" s="1144"/>
      <c r="JWP290" s="1144"/>
      <c r="JWQ290" s="1144"/>
      <c r="JWR290" s="1144"/>
      <c r="JWS290" s="1144"/>
      <c r="JWT290" s="1144"/>
      <c r="JWU290" s="1144"/>
      <c r="JWV290" s="1144"/>
      <c r="JWW290" s="1144"/>
      <c r="JWX290" s="1144"/>
      <c r="JWY290" s="1144"/>
      <c r="JWZ290" s="1144"/>
      <c r="JXA290" s="1144"/>
      <c r="JXB290" s="1144"/>
      <c r="JXC290" s="1144"/>
      <c r="JXD290" s="1144"/>
      <c r="JXE290" s="1144"/>
      <c r="JXF290" s="1144"/>
      <c r="JXG290" s="1144"/>
      <c r="JXH290" s="1144"/>
      <c r="JXI290" s="1144"/>
      <c r="JXJ290" s="1144"/>
      <c r="JXK290" s="1144"/>
      <c r="JXL290" s="1144"/>
      <c r="JXM290" s="1144"/>
      <c r="JXN290" s="1144"/>
      <c r="JXO290" s="1144"/>
      <c r="JXP290" s="1144"/>
      <c r="JXQ290" s="1144"/>
      <c r="JXR290" s="1144"/>
      <c r="JXS290" s="1144"/>
      <c r="JXT290" s="1144"/>
      <c r="JXU290" s="1144"/>
      <c r="JXV290" s="1144"/>
      <c r="JXW290" s="1144"/>
      <c r="JXX290" s="1144"/>
      <c r="JXY290" s="1144"/>
      <c r="JXZ290" s="1144"/>
      <c r="JYA290" s="1144"/>
      <c r="JYB290" s="1144"/>
      <c r="JYC290" s="1144"/>
      <c r="JYD290" s="1144"/>
      <c r="JYE290" s="1144"/>
      <c r="JYF290" s="1144"/>
      <c r="JYG290" s="1144"/>
      <c r="JYH290" s="1144"/>
      <c r="JYI290" s="1144"/>
      <c r="JYJ290" s="1144"/>
      <c r="JYK290" s="1144"/>
      <c r="JYL290" s="1144"/>
      <c r="JYM290" s="1144"/>
      <c r="JYN290" s="1144"/>
      <c r="JYO290" s="1144"/>
      <c r="JYP290" s="1144"/>
      <c r="JYQ290" s="1144"/>
      <c r="JYR290" s="1144"/>
      <c r="JYS290" s="1144"/>
      <c r="JYT290" s="1144"/>
      <c r="JYU290" s="1144"/>
      <c r="JYV290" s="1144"/>
      <c r="JYW290" s="1144"/>
      <c r="JYX290" s="1144"/>
      <c r="JYY290" s="1144"/>
      <c r="JYZ290" s="1144"/>
      <c r="JZA290" s="1144"/>
      <c r="JZB290" s="1144"/>
      <c r="JZC290" s="1144"/>
      <c r="JZD290" s="1144"/>
      <c r="JZE290" s="1144"/>
      <c r="JZF290" s="1144"/>
      <c r="JZG290" s="1144"/>
      <c r="JZH290" s="1144"/>
      <c r="JZI290" s="1144"/>
      <c r="JZJ290" s="1144"/>
      <c r="JZK290" s="1144"/>
      <c r="JZL290" s="1144"/>
      <c r="JZM290" s="1144"/>
      <c r="JZN290" s="1144"/>
      <c r="JZO290" s="1144"/>
      <c r="JZP290" s="1144"/>
      <c r="JZQ290" s="1144"/>
      <c r="JZR290" s="1144"/>
      <c r="JZS290" s="1144"/>
      <c r="JZT290" s="1144"/>
      <c r="JZU290" s="1144"/>
      <c r="JZV290" s="1144"/>
      <c r="JZW290" s="1144"/>
      <c r="JZX290" s="1144"/>
      <c r="JZY290" s="1144"/>
      <c r="JZZ290" s="1144"/>
      <c r="KAA290" s="1144"/>
      <c r="KAB290" s="1144"/>
      <c r="KAC290" s="1144"/>
      <c r="KAD290" s="1144"/>
      <c r="KAE290" s="1144"/>
      <c r="KAF290" s="1144"/>
      <c r="KAG290" s="1144"/>
      <c r="KAH290" s="1144"/>
      <c r="KAI290" s="1144"/>
      <c r="KAJ290" s="1144"/>
      <c r="KAK290" s="1144"/>
      <c r="KAL290" s="1144"/>
      <c r="KAM290" s="1144"/>
      <c r="KAN290" s="1144"/>
      <c r="KAO290" s="1144"/>
      <c r="KAP290" s="1144"/>
      <c r="KAQ290" s="1144"/>
      <c r="KAR290" s="1144"/>
      <c r="KAS290" s="1144"/>
      <c r="KAT290" s="1144"/>
      <c r="KAU290" s="1144"/>
      <c r="KAV290" s="1144"/>
      <c r="KAW290" s="1144"/>
      <c r="KAX290" s="1144"/>
      <c r="KAY290" s="1144"/>
      <c r="KAZ290" s="1144"/>
      <c r="KBA290" s="1144"/>
      <c r="KBB290" s="1144"/>
      <c r="KBC290" s="1144"/>
      <c r="KBD290" s="1144"/>
      <c r="KBE290" s="1144"/>
      <c r="KBF290" s="1144"/>
      <c r="KBG290" s="1144"/>
      <c r="KBH290" s="1144"/>
      <c r="KBI290" s="1144"/>
      <c r="KBJ290" s="1144"/>
      <c r="KBK290" s="1144"/>
      <c r="KBL290" s="1144"/>
      <c r="KBM290" s="1144"/>
      <c r="KBN290" s="1144"/>
      <c r="KBO290" s="1144"/>
      <c r="KBP290" s="1144"/>
      <c r="KBQ290" s="1144"/>
      <c r="KBR290" s="1144"/>
      <c r="KBS290" s="1144"/>
      <c r="KBT290" s="1144"/>
      <c r="KBU290" s="1144"/>
      <c r="KBV290" s="1144"/>
      <c r="KBW290" s="1144"/>
      <c r="KBX290" s="1144"/>
      <c r="KBY290" s="1144"/>
      <c r="KBZ290" s="1144"/>
      <c r="KCA290" s="1144"/>
      <c r="KCB290" s="1144"/>
      <c r="KCC290" s="1144"/>
      <c r="KCD290" s="1144"/>
      <c r="KCE290" s="1144"/>
      <c r="KCF290" s="1144"/>
      <c r="KCG290" s="1144"/>
      <c r="KCH290" s="1144"/>
      <c r="KCI290" s="1144"/>
      <c r="KCJ290" s="1144"/>
      <c r="KCK290" s="1144"/>
      <c r="KCL290" s="1144"/>
      <c r="KCM290" s="1144"/>
      <c r="KCN290" s="1144"/>
      <c r="KCO290" s="1144"/>
      <c r="KCP290" s="1144"/>
      <c r="KCQ290" s="1144"/>
      <c r="KCR290" s="1144"/>
      <c r="KCS290" s="1144"/>
      <c r="KCT290" s="1144"/>
      <c r="KCU290" s="1144"/>
      <c r="KCV290" s="1144"/>
      <c r="KCW290" s="1144"/>
      <c r="KCX290" s="1144"/>
      <c r="KCY290" s="1144"/>
      <c r="KCZ290" s="1144"/>
      <c r="KDA290" s="1144"/>
      <c r="KDB290" s="1144"/>
      <c r="KDC290" s="1144"/>
      <c r="KDD290" s="1144"/>
      <c r="KDE290" s="1144"/>
      <c r="KDF290" s="1144"/>
      <c r="KDG290" s="1144"/>
      <c r="KDH290" s="1144"/>
      <c r="KDI290" s="1144"/>
      <c r="KDJ290" s="1144"/>
      <c r="KDK290" s="1144"/>
      <c r="KDL290" s="1144"/>
      <c r="KDM290" s="1144"/>
      <c r="KDN290" s="1144"/>
      <c r="KDO290" s="1144"/>
      <c r="KDP290" s="1144"/>
      <c r="KDQ290" s="1144"/>
      <c r="KDR290" s="1144"/>
      <c r="KDS290" s="1144"/>
      <c r="KDT290" s="1144"/>
      <c r="KDU290" s="1144"/>
      <c r="KDV290" s="1144"/>
      <c r="KDW290" s="1144"/>
      <c r="KDX290" s="1144"/>
      <c r="KDY290" s="1144"/>
      <c r="KDZ290" s="1144"/>
      <c r="KEA290" s="1144"/>
      <c r="KEB290" s="1144"/>
      <c r="KEC290" s="1144"/>
      <c r="KED290" s="1144"/>
      <c r="KEE290" s="1144"/>
      <c r="KEF290" s="1144"/>
      <c r="KEG290" s="1144"/>
      <c r="KEH290" s="1144"/>
      <c r="KEI290" s="1144"/>
      <c r="KEJ290" s="1144"/>
      <c r="KEK290" s="1144"/>
      <c r="KEL290" s="1144"/>
      <c r="KEM290" s="1144"/>
      <c r="KEN290" s="1144"/>
      <c r="KEO290" s="1144"/>
      <c r="KEP290" s="1144"/>
      <c r="KEQ290" s="1144"/>
      <c r="KER290" s="1144"/>
      <c r="KES290" s="1144"/>
      <c r="KET290" s="1144"/>
      <c r="KEU290" s="1144"/>
      <c r="KEV290" s="1144"/>
      <c r="KEW290" s="1144"/>
      <c r="KEX290" s="1144"/>
      <c r="KEY290" s="1144"/>
      <c r="KEZ290" s="1144"/>
      <c r="KFA290" s="1144"/>
      <c r="KFB290" s="1144"/>
      <c r="KFC290" s="1144"/>
      <c r="KFD290" s="1144"/>
      <c r="KFE290" s="1144"/>
      <c r="KFF290" s="1144"/>
      <c r="KFG290" s="1144"/>
      <c r="KFH290" s="1144"/>
      <c r="KFI290" s="1144"/>
      <c r="KFJ290" s="1144"/>
      <c r="KFK290" s="1144"/>
      <c r="KFL290" s="1144"/>
      <c r="KFM290" s="1144"/>
      <c r="KFN290" s="1144"/>
      <c r="KFO290" s="1144"/>
      <c r="KFP290" s="1144"/>
      <c r="KFQ290" s="1144"/>
      <c r="KFR290" s="1144"/>
      <c r="KFS290" s="1144"/>
      <c r="KFT290" s="1144"/>
      <c r="KFU290" s="1144"/>
      <c r="KFV290" s="1144"/>
      <c r="KFW290" s="1144"/>
      <c r="KFX290" s="1144"/>
      <c r="KFY290" s="1144"/>
      <c r="KFZ290" s="1144"/>
      <c r="KGA290" s="1144"/>
      <c r="KGB290" s="1144"/>
      <c r="KGC290" s="1144"/>
      <c r="KGD290" s="1144"/>
      <c r="KGE290" s="1144"/>
      <c r="KGF290" s="1144"/>
      <c r="KGG290" s="1144"/>
      <c r="KGH290" s="1144"/>
      <c r="KGI290" s="1144"/>
      <c r="KGJ290" s="1144"/>
      <c r="KGK290" s="1144"/>
      <c r="KGL290" s="1144"/>
      <c r="KGM290" s="1144"/>
      <c r="KGN290" s="1144"/>
      <c r="KGO290" s="1144"/>
      <c r="KGP290" s="1144"/>
      <c r="KGQ290" s="1144"/>
      <c r="KGR290" s="1144"/>
      <c r="KGS290" s="1144"/>
      <c r="KGT290" s="1144"/>
      <c r="KGU290" s="1144"/>
      <c r="KGV290" s="1144"/>
      <c r="KGW290" s="1144"/>
      <c r="KGX290" s="1144"/>
      <c r="KGY290" s="1144"/>
      <c r="KGZ290" s="1144"/>
      <c r="KHA290" s="1144"/>
      <c r="KHB290" s="1144"/>
      <c r="KHC290" s="1144"/>
      <c r="KHD290" s="1144"/>
      <c r="KHE290" s="1144"/>
      <c r="KHF290" s="1144"/>
      <c r="KHG290" s="1144"/>
      <c r="KHH290" s="1144"/>
      <c r="KHI290" s="1144"/>
      <c r="KHJ290" s="1144"/>
      <c r="KHK290" s="1144"/>
      <c r="KHL290" s="1144"/>
      <c r="KHM290" s="1144"/>
      <c r="KHN290" s="1144"/>
      <c r="KHO290" s="1144"/>
      <c r="KHP290" s="1144"/>
      <c r="KHQ290" s="1144"/>
      <c r="KHR290" s="1144"/>
      <c r="KHS290" s="1144"/>
      <c r="KHT290" s="1144"/>
      <c r="KHU290" s="1144"/>
      <c r="KHV290" s="1144"/>
      <c r="KHW290" s="1144"/>
      <c r="KHX290" s="1144"/>
      <c r="KHY290" s="1144"/>
      <c r="KHZ290" s="1144"/>
      <c r="KIA290" s="1144"/>
      <c r="KIB290" s="1144"/>
      <c r="KIC290" s="1144"/>
      <c r="KID290" s="1144"/>
      <c r="KIE290" s="1144"/>
      <c r="KIF290" s="1144"/>
      <c r="KIG290" s="1144"/>
      <c r="KIH290" s="1144"/>
      <c r="KII290" s="1144"/>
      <c r="KIJ290" s="1144"/>
      <c r="KIK290" s="1144"/>
      <c r="KIL290" s="1144"/>
      <c r="KIM290" s="1144"/>
      <c r="KIN290" s="1144"/>
      <c r="KIO290" s="1144"/>
      <c r="KIP290" s="1144"/>
      <c r="KIQ290" s="1144"/>
      <c r="KIR290" s="1144"/>
      <c r="KIS290" s="1144"/>
      <c r="KIT290" s="1144"/>
      <c r="KIU290" s="1144"/>
      <c r="KIV290" s="1144"/>
      <c r="KIW290" s="1144"/>
      <c r="KIX290" s="1144"/>
      <c r="KIY290" s="1144"/>
      <c r="KIZ290" s="1144"/>
      <c r="KJA290" s="1144"/>
      <c r="KJB290" s="1144"/>
      <c r="KJC290" s="1144"/>
      <c r="KJD290" s="1144"/>
      <c r="KJE290" s="1144"/>
      <c r="KJF290" s="1144"/>
      <c r="KJG290" s="1144"/>
      <c r="KJH290" s="1144"/>
      <c r="KJI290" s="1144"/>
      <c r="KJJ290" s="1144"/>
      <c r="KJK290" s="1144"/>
      <c r="KJL290" s="1144"/>
      <c r="KJM290" s="1144"/>
      <c r="KJN290" s="1144"/>
      <c r="KJO290" s="1144"/>
      <c r="KJP290" s="1144"/>
      <c r="KJQ290" s="1144"/>
      <c r="KJR290" s="1144"/>
      <c r="KJS290" s="1144"/>
      <c r="KJT290" s="1144"/>
      <c r="KJU290" s="1144"/>
      <c r="KJV290" s="1144"/>
      <c r="KJW290" s="1144"/>
      <c r="KJX290" s="1144"/>
      <c r="KJY290" s="1144"/>
      <c r="KJZ290" s="1144"/>
      <c r="KKA290" s="1144"/>
      <c r="KKB290" s="1144"/>
      <c r="KKC290" s="1144"/>
      <c r="KKD290" s="1144"/>
      <c r="KKE290" s="1144"/>
      <c r="KKF290" s="1144"/>
      <c r="KKG290" s="1144"/>
      <c r="KKH290" s="1144"/>
      <c r="KKI290" s="1144"/>
      <c r="KKJ290" s="1144"/>
      <c r="KKK290" s="1144"/>
      <c r="KKL290" s="1144"/>
      <c r="KKM290" s="1144"/>
      <c r="KKN290" s="1144"/>
      <c r="KKO290" s="1144"/>
      <c r="KKP290" s="1144"/>
      <c r="KKQ290" s="1144"/>
      <c r="KKR290" s="1144"/>
      <c r="KKS290" s="1144"/>
      <c r="KKT290" s="1144"/>
      <c r="KKU290" s="1144"/>
      <c r="KKV290" s="1144"/>
      <c r="KKW290" s="1144"/>
      <c r="KKX290" s="1144"/>
      <c r="KKY290" s="1144"/>
      <c r="KKZ290" s="1144"/>
      <c r="KLA290" s="1144"/>
      <c r="KLB290" s="1144"/>
      <c r="KLC290" s="1144"/>
      <c r="KLD290" s="1144"/>
      <c r="KLE290" s="1144"/>
      <c r="KLF290" s="1144"/>
      <c r="KLG290" s="1144"/>
      <c r="KLH290" s="1144"/>
      <c r="KLI290" s="1144"/>
      <c r="KLJ290" s="1144"/>
      <c r="KLK290" s="1144"/>
      <c r="KLL290" s="1144"/>
      <c r="KLM290" s="1144"/>
      <c r="KLN290" s="1144"/>
      <c r="KLO290" s="1144"/>
      <c r="KLP290" s="1144"/>
      <c r="KLQ290" s="1144"/>
      <c r="KLR290" s="1144"/>
      <c r="KLS290" s="1144"/>
      <c r="KLT290" s="1144"/>
      <c r="KLU290" s="1144"/>
      <c r="KLV290" s="1144"/>
      <c r="KLW290" s="1144"/>
      <c r="KLX290" s="1144"/>
      <c r="KLY290" s="1144"/>
      <c r="KLZ290" s="1144"/>
      <c r="KMA290" s="1144"/>
      <c r="KMB290" s="1144"/>
      <c r="KMC290" s="1144"/>
      <c r="KMD290" s="1144"/>
      <c r="KME290" s="1144"/>
      <c r="KMF290" s="1144"/>
      <c r="KMG290" s="1144"/>
      <c r="KMH290" s="1144"/>
      <c r="KMI290" s="1144"/>
      <c r="KMJ290" s="1144"/>
      <c r="KMK290" s="1144"/>
      <c r="KML290" s="1144"/>
      <c r="KMM290" s="1144"/>
      <c r="KMN290" s="1144"/>
      <c r="KMO290" s="1144"/>
      <c r="KMP290" s="1144"/>
      <c r="KMQ290" s="1144"/>
      <c r="KMR290" s="1144"/>
      <c r="KMS290" s="1144"/>
      <c r="KMT290" s="1144"/>
      <c r="KMU290" s="1144"/>
      <c r="KMV290" s="1144"/>
      <c r="KMW290" s="1144"/>
      <c r="KMX290" s="1144"/>
      <c r="KMY290" s="1144"/>
      <c r="KMZ290" s="1144"/>
      <c r="KNA290" s="1144"/>
      <c r="KNB290" s="1144"/>
      <c r="KNC290" s="1144"/>
      <c r="KND290" s="1144"/>
      <c r="KNE290" s="1144"/>
      <c r="KNF290" s="1144"/>
      <c r="KNG290" s="1144"/>
      <c r="KNH290" s="1144"/>
      <c r="KNI290" s="1144"/>
      <c r="KNJ290" s="1144"/>
      <c r="KNK290" s="1144"/>
      <c r="KNL290" s="1144"/>
      <c r="KNM290" s="1144"/>
      <c r="KNN290" s="1144"/>
      <c r="KNO290" s="1144"/>
      <c r="KNP290" s="1144"/>
      <c r="KNQ290" s="1144"/>
      <c r="KNR290" s="1144"/>
      <c r="KNS290" s="1144"/>
      <c r="KNT290" s="1144"/>
      <c r="KNU290" s="1144"/>
      <c r="KNV290" s="1144"/>
      <c r="KNW290" s="1144"/>
      <c r="KNX290" s="1144"/>
      <c r="KNY290" s="1144"/>
      <c r="KNZ290" s="1144"/>
      <c r="KOA290" s="1144"/>
      <c r="KOB290" s="1144"/>
      <c r="KOC290" s="1144"/>
      <c r="KOD290" s="1144"/>
      <c r="KOE290" s="1144"/>
      <c r="KOF290" s="1144"/>
      <c r="KOG290" s="1144"/>
      <c r="KOH290" s="1144"/>
      <c r="KOI290" s="1144"/>
      <c r="KOJ290" s="1144"/>
      <c r="KOK290" s="1144"/>
      <c r="KOL290" s="1144"/>
      <c r="KOM290" s="1144"/>
      <c r="KON290" s="1144"/>
      <c r="KOO290" s="1144"/>
      <c r="KOP290" s="1144"/>
      <c r="KOQ290" s="1144"/>
      <c r="KOR290" s="1144"/>
      <c r="KOS290" s="1144"/>
      <c r="KOT290" s="1144"/>
      <c r="KOU290" s="1144"/>
      <c r="KOV290" s="1144"/>
      <c r="KOW290" s="1144"/>
      <c r="KOX290" s="1144"/>
      <c r="KOY290" s="1144"/>
      <c r="KOZ290" s="1144"/>
      <c r="KPA290" s="1144"/>
      <c r="KPB290" s="1144"/>
      <c r="KPC290" s="1144"/>
      <c r="KPD290" s="1144"/>
      <c r="KPE290" s="1144"/>
      <c r="KPF290" s="1144"/>
      <c r="KPG290" s="1144"/>
      <c r="KPH290" s="1144"/>
      <c r="KPI290" s="1144"/>
      <c r="KPJ290" s="1144"/>
      <c r="KPK290" s="1144"/>
      <c r="KPL290" s="1144"/>
      <c r="KPM290" s="1144"/>
      <c r="KPN290" s="1144"/>
      <c r="KPO290" s="1144"/>
      <c r="KPP290" s="1144"/>
      <c r="KPQ290" s="1144"/>
      <c r="KPR290" s="1144"/>
      <c r="KPS290" s="1144"/>
      <c r="KPT290" s="1144"/>
      <c r="KPU290" s="1144"/>
      <c r="KPV290" s="1144"/>
      <c r="KPW290" s="1144"/>
      <c r="KPX290" s="1144"/>
      <c r="KPY290" s="1144"/>
      <c r="KPZ290" s="1144"/>
      <c r="KQA290" s="1144"/>
      <c r="KQB290" s="1144"/>
      <c r="KQC290" s="1144"/>
      <c r="KQD290" s="1144"/>
      <c r="KQE290" s="1144"/>
      <c r="KQF290" s="1144"/>
      <c r="KQG290" s="1144"/>
      <c r="KQH290" s="1144"/>
      <c r="KQI290" s="1144"/>
      <c r="KQJ290" s="1144"/>
      <c r="KQK290" s="1144"/>
      <c r="KQL290" s="1144"/>
      <c r="KQM290" s="1144"/>
      <c r="KQN290" s="1144"/>
      <c r="KQO290" s="1144"/>
      <c r="KQP290" s="1144"/>
      <c r="KQQ290" s="1144"/>
      <c r="KQR290" s="1144"/>
      <c r="KQS290" s="1144"/>
      <c r="KQT290" s="1144"/>
      <c r="KQU290" s="1144"/>
      <c r="KQV290" s="1144"/>
      <c r="KQW290" s="1144"/>
      <c r="KQX290" s="1144"/>
      <c r="KQY290" s="1144"/>
      <c r="KQZ290" s="1144"/>
      <c r="KRA290" s="1144"/>
      <c r="KRB290" s="1144"/>
      <c r="KRC290" s="1144"/>
      <c r="KRD290" s="1144"/>
      <c r="KRE290" s="1144"/>
      <c r="KRF290" s="1144"/>
      <c r="KRG290" s="1144"/>
      <c r="KRH290" s="1144"/>
      <c r="KRI290" s="1144"/>
      <c r="KRJ290" s="1144"/>
      <c r="KRK290" s="1144"/>
      <c r="KRL290" s="1144"/>
      <c r="KRM290" s="1144"/>
      <c r="KRN290" s="1144"/>
      <c r="KRO290" s="1144"/>
      <c r="KRP290" s="1144"/>
      <c r="KRQ290" s="1144"/>
      <c r="KRR290" s="1144"/>
      <c r="KRS290" s="1144"/>
      <c r="KRT290" s="1144"/>
      <c r="KRU290" s="1144"/>
      <c r="KRV290" s="1144"/>
      <c r="KRW290" s="1144"/>
      <c r="KRX290" s="1144"/>
      <c r="KRY290" s="1144"/>
      <c r="KRZ290" s="1144"/>
      <c r="KSA290" s="1144"/>
      <c r="KSB290" s="1144"/>
      <c r="KSC290" s="1144"/>
      <c r="KSD290" s="1144"/>
      <c r="KSE290" s="1144"/>
      <c r="KSF290" s="1144"/>
      <c r="KSG290" s="1144"/>
      <c r="KSH290" s="1144"/>
      <c r="KSI290" s="1144"/>
      <c r="KSJ290" s="1144"/>
      <c r="KSK290" s="1144"/>
      <c r="KSL290" s="1144"/>
      <c r="KSM290" s="1144"/>
      <c r="KSN290" s="1144"/>
      <c r="KSO290" s="1144"/>
      <c r="KSP290" s="1144"/>
      <c r="KSQ290" s="1144"/>
      <c r="KSR290" s="1144"/>
      <c r="KSS290" s="1144"/>
      <c r="KST290" s="1144"/>
      <c r="KSU290" s="1144"/>
      <c r="KSV290" s="1144"/>
      <c r="KSW290" s="1144"/>
      <c r="KSX290" s="1144"/>
      <c r="KSY290" s="1144"/>
      <c r="KSZ290" s="1144"/>
      <c r="KTA290" s="1144"/>
      <c r="KTB290" s="1144"/>
      <c r="KTC290" s="1144"/>
      <c r="KTD290" s="1144"/>
      <c r="KTE290" s="1144"/>
      <c r="KTF290" s="1144"/>
      <c r="KTG290" s="1144"/>
      <c r="KTH290" s="1144"/>
      <c r="KTI290" s="1144"/>
      <c r="KTJ290" s="1144"/>
      <c r="KTK290" s="1144"/>
      <c r="KTL290" s="1144"/>
      <c r="KTM290" s="1144"/>
      <c r="KTN290" s="1144"/>
      <c r="KTO290" s="1144"/>
      <c r="KTP290" s="1144"/>
      <c r="KTQ290" s="1144"/>
      <c r="KTR290" s="1144"/>
      <c r="KTS290" s="1144"/>
      <c r="KTT290" s="1144"/>
      <c r="KTU290" s="1144"/>
      <c r="KTV290" s="1144"/>
      <c r="KTW290" s="1144"/>
      <c r="KTX290" s="1144"/>
      <c r="KTY290" s="1144"/>
      <c r="KTZ290" s="1144"/>
      <c r="KUA290" s="1144"/>
      <c r="KUB290" s="1144"/>
      <c r="KUC290" s="1144"/>
      <c r="KUD290" s="1144"/>
      <c r="KUE290" s="1144"/>
      <c r="KUF290" s="1144"/>
      <c r="KUG290" s="1144"/>
      <c r="KUH290" s="1144"/>
      <c r="KUI290" s="1144"/>
      <c r="KUJ290" s="1144"/>
      <c r="KUK290" s="1144"/>
      <c r="KUL290" s="1144"/>
      <c r="KUM290" s="1144"/>
      <c r="KUN290" s="1144"/>
      <c r="KUO290" s="1144"/>
      <c r="KUP290" s="1144"/>
      <c r="KUQ290" s="1144"/>
      <c r="KUR290" s="1144"/>
      <c r="KUS290" s="1144"/>
      <c r="KUT290" s="1144"/>
      <c r="KUU290" s="1144"/>
      <c r="KUV290" s="1144"/>
      <c r="KUW290" s="1144"/>
      <c r="KUX290" s="1144"/>
      <c r="KUY290" s="1144"/>
      <c r="KUZ290" s="1144"/>
      <c r="KVA290" s="1144"/>
      <c r="KVB290" s="1144"/>
      <c r="KVC290" s="1144"/>
      <c r="KVD290" s="1144"/>
      <c r="KVE290" s="1144"/>
      <c r="KVF290" s="1144"/>
      <c r="KVG290" s="1144"/>
      <c r="KVH290" s="1144"/>
      <c r="KVI290" s="1144"/>
      <c r="KVJ290" s="1144"/>
      <c r="KVK290" s="1144"/>
      <c r="KVL290" s="1144"/>
      <c r="KVM290" s="1144"/>
      <c r="KVN290" s="1144"/>
      <c r="KVO290" s="1144"/>
      <c r="KVP290" s="1144"/>
      <c r="KVQ290" s="1144"/>
      <c r="KVR290" s="1144"/>
      <c r="KVS290" s="1144"/>
      <c r="KVT290" s="1144"/>
      <c r="KVU290" s="1144"/>
      <c r="KVV290" s="1144"/>
      <c r="KVW290" s="1144"/>
      <c r="KVX290" s="1144"/>
      <c r="KVY290" s="1144"/>
      <c r="KVZ290" s="1144"/>
      <c r="KWA290" s="1144"/>
      <c r="KWB290" s="1144"/>
      <c r="KWC290" s="1144"/>
      <c r="KWD290" s="1144"/>
      <c r="KWE290" s="1144"/>
      <c r="KWF290" s="1144"/>
      <c r="KWG290" s="1144"/>
      <c r="KWH290" s="1144"/>
      <c r="KWI290" s="1144"/>
      <c r="KWJ290" s="1144"/>
      <c r="KWK290" s="1144"/>
      <c r="KWL290" s="1144"/>
      <c r="KWM290" s="1144"/>
      <c r="KWN290" s="1144"/>
      <c r="KWO290" s="1144"/>
      <c r="KWP290" s="1144"/>
      <c r="KWQ290" s="1144"/>
      <c r="KWR290" s="1144"/>
      <c r="KWS290" s="1144"/>
      <c r="KWT290" s="1144"/>
      <c r="KWU290" s="1144"/>
      <c r="KWV290" s="1144"/>
      <c r="KWW290" s="1144"/>
      <c r="KWX290" s="1144"/>
      <c r="KWY290" s="1144"/>
      <c r="KWZ290" s="1144"/>
      <c r="KXA290" s="1144"/>
      <c r="KXB290" s="1144"/>
      <c r="KXC290" s="1144"/>
      <c r="KXD290" s="1144"/>
      <c r="KXE290" s="1144"/>
      <c r="KXF290" s="1144"/>
      <c r="KXG290" s="1144"/>
      <c r="KXH290" s="1144"/>
      <c r="KXI290" s="1144"/>
      <c r="KXJ290" s="1144"/>
      <c r="KXK290" s="1144"/>
      <c r="KXL290" s="1144"/>
      <c r="KXM290" s="1144"/>
      <c r="KXN290" s="1144"/>
      <c r="KXO290" s="1144"/>
      <c r="KXP290" s="1144"/>
      <c r="KXQ290" s="1144"/>
      <c r="KXR290" s="1144"/>
      <c r="KXS290" s="1144"/>
      <c r="KXT290" s="1144"/>
      <c r="KXU290" s="1144"/>
      <c r="KXV290" s="1144"/>
      <c r="KXW290" s="1144"/>
      <c r="KXX290" s="1144"/>
      <c r="KXY290" s="1144"/>
      <c r="KXZ290" s="1144"/>
      <c r="KYA290" s="1144"/>
      <c r="KYB290" s="1144"/>
      <c r="KYC290" s="1144"/>
      <c r="KYD290" s="1144"/>
      <c r="KYE290" s="1144"/>
      <c r="KYF290" s="1144"/>
      <c r="KYG290" s="1144"/>
      <c r="KYH290" s="1144"/>
      <c r="KYI290" s="1144"/>
      <c r="KYJ290" s="1144"/>
      <c r="KYK290" s="1144"/>
      <c r="KYL290" s="1144"/>
      <c r="KYM290" s="1144"/>
      <c r="KYN290" s="1144"/>
      <c r="KYO290" s="1144"/>
      <c r="KYP290" s="1144"/>
      <c r="KYQ290" s="1144"/>
      <c r="KYR290" s="1144"/>
      <c r="KYS290" s="1144"/>
      <c r="KYT290" s="1144"/>
      <c r="KYU290" s="1144"/>
      <c r="KYV290" s="1144"/>
      <c r="KYW290" s="1144"/>
      <c r="KYX290" s="1144"/>
      <c r="KYY290" s="1144"/>
      <c r="KYZ290" s="1144"/>
      <c r="KZA290" s="1144"/>
      <c r="KZB290" s="1144"/>
      <c r="KZC290" s="1144"/>
      <c r="KZD290" s="1144"/>
      <c r="KZE290" s="1144"/>
      <c r="KZF290" s="1144"/>
      <c r="KZG290" s="1144"/>
      <c r="KZH290" s="1144"/>
      <c r="KZI290" s="1144"/>
      <c r="KZJ290" s="1144"/>
      <c r="KZK290" s="1144"/>
      <c r="KZL290" s="1144"/>
      <c r="KZM290" s="1144"/>
      <c r="KZN290" s="1144"/>
      <c r="KZO290" s="1144"/>
      <c r="KZP290" s="1144"/>
      <c r="KZQ290" s="1144"/>
      <c r="KZR290" s="1144"/>
      <c r="KZS290" s="1144"/>
      <c r="KZT290" s="1144"/>
      <c r="KZU290" s="1144"/>
      <c r="KZV290" s="1144"/>
      <c r="KZW290" s="1144"/>
      <c r="KZX290" s="1144"/>
      <c r="KZY290" s="1144"/>
      <c r="KZZ290" s="1144"/>
      <c r="LAA290" s="1144"/>
      <c r="LAB290" s="1144"/>
      <c r="LAC290" s="1144"/>
      <c r="LAD290" s="1144"/>
      <c r="LAE290" s="1144"/>
      <c r="LAF290" s="1144"/>
      <c r="LAG290" s="1144"/>
      <c r="LAH290" s="1144"/>
      <c r="LAI290" s="1144"/>
      <c r="LAJ290" s="1144"/>
      <c r="LAK290" s="1144"/>
      <c r="LAL290" s="1144"/>
      <c r="LAM290" s="1144"/>
      <c r="LAN290" s="1144"/>
      <c r="LAO290" s="1144"/>
      <c r="LAP290" s="1144"/>
      <c r="LAQ290" s="1144"/>
      <c r="LAR290" s="1144"/>
      <c r="LAS290" s="1144"/>
      <c r="LAT290" s="1144"/>
      <c r="LAU290" s="1144"/>
      <c r="LAV290" s="1144"/>
      <c r="LAW290" s="1144"/>
      <c r="LAX290" s="1144"/>
      <c r="LAY290" s="1144"/>
      <c r="LAZ290" s="1144"/>
      <c r="LBA290" s="1144"/>
      <c r="LBB290" s="1144"/>
      <c r="LBC290" s="1144"/>
      <c r="LBD290" s="1144"/>
      <c r="LBE290" s="1144"/>
      <c r="LBF290" s="1144"/>
      <c r="LBG290" s="1144"/>
      <c r="LBH290" s="1144"/>
      <c r="LBI290" s="1144"/>
      <c r="LBJ290" s="1144"/>
      <c r="LBK290" s="1144"/>
      <c r="LBL290" s="1144"/>
      <c r="LBM290" s="1144"/>
      <c r="LBN290" s="1144"/>
      <c r="LBO290" s="1144"/>
      <c r="LBP290" s="1144"/>
      <c r="LBQ290" s="1144"/>
      <c r="LBR290" s="1144"/>
      <c r="LBS290" s="1144"/>
      <c r="LBT290" s="1144"/>
      <c r="LBU290" s="1144"/>
      <c r="LBV290" s="1144"/>
      <c r="LBW290" s="1144"/>
      <c r="LBX290" s="1144"/>
      <c r="LBY290" s="1144"/>
      <c r="LBZ290" s="1144"/>
      <c r="LCA290" s="1144"/>
      <c r="LCB290" s="1144"/>
      <c r="LCC290" s="1144"/>
      <c r="LCD290" s="1144"/>
      <c r="LCE290" s="1144"/>
      <c r="LCF290" s="1144"/>
      <c r="LCG290" s="1144"/>
      <c r="LCH290" s="1144"/>
      <c r="LCI290" s="1144"/>
      <c r="LCJ290" s="1144"/>
      <c r="LCK290" s="1144"/>
      <c r="LCL290" s="1144"/>
      <c r="LCM290" s="1144"/>
      <c r="LCN290" s="1144"/>
      <c r="LCO290" s="1144"/>
      <c r="LCP290" s="1144"/>
      <c r="LCQ290" s="1144"/>
      <c r="LCR290" s="1144"/>
      <c r="LCS290" s="1144"/>
      <c r="LCT290" s="1144"/>
      <c r="LCU290" s="1144"/>
      <c r="LCV290" s="1144"/>
      <c r="LCW290" s="1144"/>
      <c r="LCX290" s="1144"/>
      <c r="LCY290" s="1144"/>
      <c r="LCZ290" s="1144"/>
      <c r="LDA290" s="1144"/>
      <c r="LDB290" s="1144"/>
      <c r="LDC290" s="1144"/>
      <c r="LDD290" s="1144"/>
      <c r="LDE290" s="1144"/>
      <c r="LDF290" s="1144"/>
      <c r="LDG290" s="1144"/>
      <c r="LDH290" s="1144"/>
      <c r="LDI290" s="1144"/>
      <c r="LDJ290" s="1144"/>
      <c r="LDK290" s="1144"/>
      <c r="LDL290" s="1144"/>
      <c r="LDM290" s="1144"/>
      <c r="LDN290" s="1144"/>
      <c r="LDO290" s="1144"/>
      <c r="LDP290" s="1144"/>
      <c r="LDQ290" s="1144"/>
      <c r="LDR290" s="1144"/>
      <c r="LDS290" s="1144"/>
      <c r="LDT290" s="1144"/>
      <c r="LDU290" s="1144"/>
      <c r="LDV290" s="1144"/>
      <c r="LDW290" s="1144"/>
      <c r="LDX290" s="1144"/>
      <c r="LDY290" s="1144"/>
      <c r="LDZ290" s="1144"/>
      <c r="LEA290" s="1144"/>
      <c r="LEB290" s="1144"/>
      <c r="LEC290" s="1144"/>
      <c r="LED290" s="1144"/>
      <c r="LEE290" s="1144"/>
      <c r="LEF290" s="1144"/>
      <c r="LEG290" s="1144"/>
      <c r="LEH290" s="1144"/>
      <c r="LEI290" s="1144"/>
      <c r="LEJ290" s="1144"/>
      <c r="LEK290" s="1144"/>
      <c r="LEL290" s="1144"/>
      <c r="LEM290" s="1144"/>
      <c r="LEN290" s="1144"/>
      <c r="LEO290" s="1144"/>
      <c r="LEP290" s="1144"/>
      <c r="LEQ290" s="1144"/>
      <c r="LER290" s="1144"/>
      <c r="LES290" s="1144"/>
      <c r="LET290" s="1144"/>
      <c r="LEU290" s="1144"/>
      <c r="LEV290" s="1144"/>
      <c r="LEW290" s="1144"/>
      <c r="LEX290" s="1144"/>
      <c r="LEY290" s="1144"/>
      <c r="LEZ290" s="1144"/>
      <c r="LFA290" s="1144"/>
      <c r="LFB290" s="1144"/>
      <c r="LFC290" s="1144"/>
      <c r="LFD290" s="1144"/>
      <c r="LFE290" s="1144"/>
      <c r="LFF290" s="1144"/>
      <c r="LFG290" s="1144"/>
      <c r="LFH290" s="1144"/>
      <c r="LFI290" s="1144"/>
      <c r="LFJ290" s="1144"/>
      <c r="LFK290" s="1144"/>
      <c r="LFL290" s="1144"/>
      <c r="LFM290" s="1144"/>
      <c r="LFN290" s="1144"/>
      <c r="LFO290" s="1144"/>
      <c r="LFP290" s="1144"/>
      <c r="LFQ290" s="1144"/>
      <c r="LFR290" s="1144"/>
      <c r="LFS290" s="1144"/>
      <c r="LFT290" s="1144"/>
      <c r="LFU290" s="1144"/>
      <c r="LFV290" s="1144"/>
      <c r="LFW290" s="1144"/>
      <c r="LFX290" s="1144"/>
      <c r="LFY290" s="1144"/>
      <c r="LFZ290" s="1144"/>
      <c r="LGA290" s="1144"/>
      <c r="LGB290" s="1144"/>
      <c r="LGC290" s="1144"/>
      <c r="LGD290" s="1144"/>
      <c r="LGE290" s="1144"/>
      <c r="LGF290" s="1144"/>
      <c r="LGG290" s="1144"/>
      <c r="LGH290" s="1144"/>
      <c r="LGI290" s="1144"/>
      <c r="LGJ290" s="1144"/>
      <c r="LGK290" s="1144"/>
      <c r="LGL290" s="1144"/>
      <c r="LGM290" s="1144"/>
      <c r="LGN290" s="1144"/>
      <c r="LGO290" s="1144"/>
      <c r="LGP290" s="1144"/>
      <c r="LGQ290" s="1144"/>
      <c r="LGR290" s="1144"/>
      <c r="LGS290" s="1144"/>
      <c r="LGT290" s="1144"/>
      <c r="LGU290" s="1144"/>
      <c r="LGV290" s="1144"/>
      <c r="LGW290" s="1144"/>
      <c r="LGX290" s="1144"/>
      <c r="LGY290" s="1144"/>
      <c r="LGZ290" s="1144"/>
      <c r="LHA290" s="1144"/>
      <c r="LHB290" s="1144"/>
      <c r="LHC290" s="1144"/>
      <c r="LHD290" s="1144"/>
      <c r="LHE290" s="1144"/>
      <c r="LHF290" s="1144"/>
      <c r="LHG290" s="1144"/>
      <c r="LHH290" s="1144"/>
      <c r="LHI290" s="1144"/>
      <c r="LHJ290" s="1144"/>
      <c r="LHK290" s="1144"/>
      <c r="LHL290" s="1144"/>
      <c r="LHM290" s="1144"/>
      <c r="LHN290" s="1144"/>
      <c r="LHO290" s="1144"/>
      <c r="LHP290" s="1144"/>
      <c r="LHQ290" s="1144"/>
      <c r="LHR290" s="1144"/>
      <c r="LHS290" s="1144"/>
      <c r="LHT290" s="1144"/>
      <c r="LHU290" s="1144"/>
      <c r="LHV290" s="1144"/>
      <c r="LHW290" s="1144"/>
      <c r="LHX290" s="1144"/>
      <c r="LHY290" s="1144"/>
      <c r="LHZ290" s="1144"/>
      <c r="LIA290" s="1144"/>
      <c r="LIB290" s="1144"/>
      <c r="LIC290" s="1144"/>
      <c r="LID290" s="1144"/>
      <c r="LIE290" s="1144"/>
      <c r="LIF290" s="1144"/>
      <c r="LIG290" s="1144"/>
      <c r="LIH290" s="1144"/>
      <c r="LII290" s="1144"/>
      <c r="LIJ290" s="1144"/>
      <c r="LIK290" s="1144"/>
      <c r="LIL290" s="1144"/>
      <c r="LIM290" s="1144"/>
      <c r="LIN290" s="1144"/>
      <c r="LIO290" s="1144"/>
      <c r="LIP290" s="1144"/>
      <c r="LIQ290" s="1144"/>
      <c r="LIR290" s="1144"/>
      <c r="LIS290" s="1144"/>
      <c r="LIT290" s="1144"/>
      <c r="LIU290" s="1144"/>
      <c r="LIV290" s="1144"/>
      <c r="LIW290" s="1144"/>
      <c r="LIX290" s="1144"/>
      <c r="LIY290" s="1144"/>
      <c r="LIZ290" s="1144"/>
      <c r="LJA290" s="1144"/>
      <c r="LJB290" s="1144"/>
      <c r="LJC290" s="1144"/>
      <c r="LJD290" s="1144"/>
      <c r="LJE290" s="1144"/>
      <c r="LJF290" s="1144"/>
      <c r="LJG290" s="1144"/>
      <c r="LJH290" s="1144"/>
      <c r="LJI290" s="1144"/>
      <c r="LJJ290" s="1144"/>
      <c r="LJK290" s="1144"/>
      <c r="LJL290" s="1144"/>
      <c r="LJM290" s="1144"/>
      <c r="LJN290" s="1144"/>
      <c r="LJO290" s="1144"/>
      <c r="LJP290" s="1144"/>
      <c r="LJQ290" s="1144"/>
      <c r="LJR290" s="1144"/>
      <c r="LJS290" s="1144"/>
      <c r="LJT290" s="1144"/>
      <c r="LJU290" s="1144"/>
      <c r="LJV290" s="1144"/>
      <c r="LJW290" s="1144"/>
      <c r="LJX290" s="1144"/>
      <c r="LJY290" s="1144"/>
      <c r="LJZ290" s="1144"/>
      <c r="LKA290" s="1144"/>
      <c r="LKB290" s="1144"/>
      <c r="LKC290" s="1144"/>
      <c r="LKD290" s="1144"/>
      <c r="LKE290" s="1144"/>
      <c r="LKF290" s="1144"/>
      <c r="LKG290" s="1144"/>
      <c r="LKH290" s="1144"/>
      <c r="LKI290" s="1144"/>
      <c r="LKJ290" s="1144"/>
      <c r="LKK290" s="1144"/>
      <c r="LKL290" s="1144"/>
      <c r="LKM290" s="1144"/>
      <c r="LKN290" s="1144"/>
      <c r="LKO290" s="1144"/>
      <c r="LKP290" s="1144"/>
      <c r="LKQ290" s="1144"/>
      <c r="LKR290" s="1144"/>
      <c r="LKS290" s="1144"/>
      <c r="LKT290" s="1144"/>
      <c r="LKU290" s="1144"/>
      <c r="LKV290" s="1144"/>
      <c r="LKW290" s="1144"/>
      <c r="LKX290" s="1144"/>
      <c r="LKY290" s="1144"/>
      <c r="LKZ290" s="1144"/>
      <c r="LLA290" s="1144"/>
      <c r="LLB290" s="1144"/>
      <c r="LLC290" s="1144"/>
      <c r="LLD290" s="1144"/>
      <c r="LLE290" s="1144"/>
      <c r="LLF290" s="1144"/>
      <c r="LLG290" s="1144"/>
      <c r="LLH290" s="1144"/>
      <c r="LLI290" s="1144"/>
      <c r="LLJ290" s="1144"/>
      <c r="LLK290" s="1144"/>
      <c r="LLL290" s="1144"/>
      <c r="LLM290" s="1144"/>
      <c r="LLN290" s="1144"/>
      <c r="LLO290" s="1144"/>
      <c r="LLP290" s="1144"/>
      <c r="LLQ290" s="1144"/>
      <c r="LLR290" s="1144"/>
      <c r="LLS290" s="1144"/>
      <c r="LLT290" s="1144"/>
      <c r="LLU290" s="1144"/>
      <c r="LLV290" s="1144"/>
      <c r="LLW290" s="1144"/>
      <c r="LLX290" s="1144"/>
      <c r="LLY290" s="1144"/>
      <c r="LLZ290" s="1144"/>
      <c r="LMA290" s="1144"/>
      <c r="LMB290" s="1144"/>
      <c r="LMC290" s="1144"/>
      <c r="LMD290" s="1144"/>
      <c r="LME290" s="1144"/>
      <c r="LMF290" s="1144"/>
      <c r="LMG290" s="1144"/>
      <c r="LMH290" s="1144"/>
      <c r="LMI290" s="1144"/>
      <c r="LMJ290" s="1144"/>
      <c r="LMK290" s="1144"/>
      <c r="LML290" s="1144"/>
      <c r="LMM290" s="1144"/>
      <c r="LMN290" s="1144"/>
      <c r="LMO290" s="1144"/>
      <c r="LMP290" s="1144"/>
      <c r="LMQ290" s="1144"/>
      <c r="LMR290" s="1144"/>
      <c r="LMS290" s="1144"/>
      <c r="LMT290" s="1144"/>
      <c r="LMU290" s="1144"/>
      <c r="LMV290" s="1144"/>
      <c r="LMW290" s="1144"/>
      <c r="LMX290" s="1144"/>
      <c r="LMY290" s="1144"/>
      <c r="LMZ290" s="1144"/>
      <c r="LNA290" s="1144"/>
      <c r="LNB290" s="1144"/>
      <c r="LNC290" s="1144"/>
      <c r="LND290" s="1144"/>
      <c r="LNE290" s="1144"/>
      <c r="LNF290" s="1144"/>
      <c r="LNG290" s="1144"/>
      <c r="LNH290" s="1144"/>
      <c r="LNI290" s="1144"/>
      <c r="LNJ290" s="1144"/>
      <c r="LNK290" s="1144"/>
      <c r="LNL290" s="1144"/>
      <c r="LNM290" s="1144"/>
      <c r="LNN290" s="1144"/>
      <c r="LNO290" s="1144"/>
      <c r="LNP290" s="1144"/>
      <c r="LNQ290" s="1144"/>
      <c r="LNR290" s="1144"/>
      <c r="LNS290" s="1144"/>
      <c r="LNT290" s="1144"/>
      <c r="LNU290" s="1144"/>
      <c r="LNV290" s="1144"/>
      <c r="LNW290" s="1144"/>
      <c r="LNX290" s="1144"/>
      <c r="LNY290" s="1144"/>
      <c r="LNZ290" s="1144"/>
      <c r="LOA290" s="1144"/>
      <c r="LOB290" s="1144"/>
      <c r="LOC290" s="1144"/>
      <c r="LOD290" s="1144"/>
      <c r="LOE290" s="1144"/>
      <c r="LOF290" s="1144"/>
      <c r="LOG290" s="1144"/>
      <c r="LOH290" s="1144"/>
      <c r="LOI290" s="1144"/>
      <c r="LOJ290" s="1144"/>
      <c r="LOK290" s="1144"/>
      <c r="LOL290" s="1144"/>
      <c r="LOM290" s="1144"/>
      <c r="LON290" s="1144"/>
      <c r="LOO290" s="1144"/>
      <c r="LOP290" s="1144"/>
      <c r="LOQ290" s="1144"/>
      <c r="LOR290" s="1144"/>
      <c r="LOS290" s="1144"/>
      <c r="LOT290" s="1144"/>
      <c r="LOU290" s="1144"/>
      <c r="LOV290" s="1144"/>
      <c r="LOW290" s="1144"/>
      <c r="LOX290" s="1144"/>
      <c r="LOY290" s="1144"/>
      <c r="LOZ290" s="1144"/>
      <c r="LPA290" s="1144"/>
      <c r="LPB290" s="1144"/>
      <c r="LPC290" s="1144"/>
      <c r="LPD290" s="1144"/>
      <c r="LPE290" s="1144"/>
      <c r="LPF290" s="1144"/>
      <c r="LPG290" s="1144"/>
      <c r="LPH290" s="1144"/>
      <c r="LPI290" s="1144"/>
      <c r="LPJ290" s="1144"/>
      <c r="LPK290" s="1144"/>
      <c r="LPL290" s="1144"/>
      <c r="LPM290" s="1144"/>
      <c r="LPN290" s="1144"/>
      <c r="LPO290" s="1144"/>
      <c r="LPP290" s="1144"/>
      <c r="LPQ290" s="1144"/>
      <c r="LPR290" s="1144"/>
      <c r="LPS290" s="1144"/>
      <c r="LPT290" s="1144"/>
      <c r="LPU290" s="1144"/>
      <c r="LPV290" s="1144"/>
      <c r="LPW290" s="1144"/>
      <c r="LPX290" s="1144"/>
      <c r="LPY290" s="1144"/>
      <c r="LPZ290" s="1144"/>
      <c r="LQA290" s="1144"/>
      <c r="LQB290" s="1144"/>
      <c r="LQC290" s="1144"/>
      <c r="LQD290" s="1144"/>
      <c r="LQE290" s="1144"/>
      <c r="LQF290" s="1144"/>
      <c r="LQG290" s="1144"/>
      <c r="LQH290" s="1144"/>
      <c r="LQI290" s="1144"/>
      <c r="LQJ290" s="1144"/>
      <c r="LQK290" s="1144"/>
      <c r="LQL290" s="1144"/>
      <c r="LQM290" s="1144"/>
      <c r="LQN290" s="1144"/>
      <c r="LQO290" s="1144"/>
      <c r="LQP290" s="1144"/>
      <c r="LQQ290" s="1144"/>
      <c r="LQR290" s="1144"/>
      <c r="LQS290" s="1144"/>
      <c r="LQT290" s="1144"/>
      <c r="LQU290" s="1144"/>
      <c r="LQV290" s="1144"/>
      <c r="LQW290" s="1144"/>
      <c r="LQX290" s="1144"/>
      <c r="LQY290" s="1144"/>
      <c r="LQZ290" s="1144"/>
      <c r="LRA290" s="1144"/>
      <c r="LRB290" s="1144"/>
      <c r="LRC290" s="1144"/>
      <c r="LRD290" s="1144"/>
      <c r="LRE290" s="1144"/>
      <c r="LRF290" s="1144"/>
      <c r="LRG290" s="1144"/>
      <c r="LRH290" s="1144"/>
      <c r="LRI290" s="1144"/>
      <c r="LRJ290" s="1144"/>
      <c r="LRK290" s="1144"/>
      <c r="LRL290" s="1144"/>
      <c r="LRM290" s="1144"/>
      <c r="LRN290" s="1144"/>
      <c r="LRO290" s="1144"/>
      <c r="LRP290" s="1144"/>
      <c r="LRQ290" s="1144"/>
      <c r="LRR290" s="1144"/>
      <c r="LRS290" s="1144"/>
      <c r="LRT290" s="1144"/>
      <c r="LRU290" s="1144"/>
      <c r="LRV290" s="1144"/>
      <c r="LRW290" s="1144"/>
      <c r="LRX290" s="1144"/>
      <c r="LRY290" s="1144"/>
      <c r="LRZ290" s="1144"/>
      <c r="LSA290" s="1144"/>
      <c r="LSB290" s="1144"/>
      <c r="LSC290" s="1144"/>
      <c r="LSD290" s="1144"/>
      <c r="LSE290" s="1144"/>
      <c r="LSF290" s="1144"/>
      <c r="LSG290" s="1144"/>
      <c r="LSH290" s="1144"/>
      <c r="LSI290" s="1144"/>
      <c r="LSJ290" s="1144"/>
      <c r="LSK290" s="1144"/>
      <c r="LSL290" s="1144"/>
      <c r="LSM290" s="1144"/>
      <c r="LSN290" s="1144"/>
      <c r="LSO290" s="1144"/>
      <c r="LSP290" s="1144"/>
      <c r="LSQ290" s="1144"/>
      <c r="LSR290" s="1144"/>
      <c r="LSS290" s="1144"/>
      <c r="LST290" s="1144"/>
      <c r="LSU290" s="1144"/>
      <c r="LSV290" s="1144"/>
      <c r="LSW290" s="1144"/>
      <c r="LSX290" s="1144"/>
      <c r="LSY290" s="1144"/>
      <c r="LSZ290" s="1144"/>
      <c r="LTA290" s="1144"/>
      <c r="LTB290" s="1144"/>
      <c r="LTC290" s="1144"/>
      <c r="LTD290" s="1144"/>
      <c r="LTE290" s="1144"/>
      <c r="LTF290" s="1144"/>
      <c r="LTG290" s="1144"/>
      <c r="LTH290" s="1144"/>
      <c r="LTI290" s="1144"/>
      <c r="LTJ290" s="1144"/>
      <c r="LTK290" s="1144"/>
      <c r="LTL290" s="1144"/>
      <c r="LTM290" s="1144"/>
      <c r="LTN290" s="1144"/>
      <c r="LTO290" s="1144"/>
      <c r="LTP290" s="1144"/>
      <c r="LTQ290" s="1144"/>
      <c r="LTR290" s="1144"/>
      <c r="LTS290" s="1144"/>
      <c r="LTT290" s="1144"/>
      <c r="LTU290" s="1144"/>
      <c r="LTV290" s="1144"/>
      <c r="LTW290" s="1144"/>
      <c r="LTX290" s="1144"/>
      <c r="LTY290" s="1144"/>
      <c r="LTZ290" s="1144"/>
      <c r="LUA290" s="1144"/>
      <c r="LUB290" s="1144"/>
      <c r="LUC290" s="1144"/>
      <c r="LUD290" s="1144"/>
      <c r="LUE290" s="1144"/>
      <c r="LUF290" s="1144"/>
      <c r="LUG290" s="1144"/>
      <c r="LUH290" s="1144"/>
      <c r="LUI290" s="1144"/>
      <c r="LUJ290" s="1144"/>
      <c r="LUK290" s="1144"/>
      <c r="LUL290" s="1144"/>
      <c r="LUM290" s="1144"/>
      <c r="LUN290" s="1144"/>
      <c r="LUO290" s="1144"/>
      <c r="LUP290" s="1144"/>
      <c r="LUQ290" s="1144"/>
      <c r="LUR290" s="1144"/>
      <c r="LUS290" s="1144"/>
      <c r="LUT290" s="1144"/>
      <c r="LUU290" s="1144"/>
      <c r="LUV290" s="1144"/>
      <c r="LUW290" s="1144"/>
      <c r="LUX290" s="1144"/>
      <c r="LUY290" s="1144"/>
      <c r="LUZ290" s="1144"/>
      <c r="LVA290" s="1144"/>
      <c r="LVB290" s="1144"/>
      <c r="LVC290" s="1144"/>
      <c r="LVD290" s="1144"/>
      <c r="LVE290" s="1144"/>
      <c r="LVF290" s="1144"/>
      <c r="LVG290" s="1144"/>
      <c r="LVH290" s="1144"/>
      <c r="LVI290" s="1144"/>
      <c r="LVJ290" s="1144"/>
      <c r="LVK290" s="1144"/>
      <c r="LVL290" s="1144"/>
      <c r="LVM290" s="1144"/>
      <c r="LVN290" s="1144"/>
      <c r="LVO290" s="1144"/>
      <c r="LVP290" s="1144"/>
      <c r="LVQ290" s="1144"/>
      <c r="LVR290" s="1144"/>
      <c r="LVS290" s="1144"/>
      <c r="LVT290" s="1144"/>
      <c r="LVU290" s="1144"/>
      <c r="LVV290" s="1144"/>
      <c r="LVW290" s="1144"/>
      <c r="LVX290" s="1144"/>
      <c r="LVY290" s="1144"/>
      <c r="LVZ290" s="1144"/>
      <c r="LWA290" s="1144"/>
      <c r="LWB290" s="1144"/>
      <c r="LWC290" s="1144"/>
      <c r="LWD290" s="1144"/>
      <c r="LWE290" s="1144"/>
      <c r="LWF290" s="1144"/>
      <c r="LWG290" s="1144"/>
      <c r="LWH290" s="1144"/>
      <c r="LWI290" s="1144"/>
      <c r="LWJ290" s="1144"/>
      <c r="LWK290" s="1144"/>
      <c r="LWL290" s="1144"/>
      <c r="LWM290" s="1144"/>
      <c r="LWN290" s="1144"/>
      <c r="LWO290" s="1144"/>
      <c r="LWP290" s="1144"/>
      <c r="LWQ290" s="1144"/>
      <c r="LWR290" s="1144"/>
      <c r="LWS290" s="1144"/>
      <c r="LWT290" s="1144"/>
      <c r="LWU290" s="1144"/>
      <c r="LWV290" s="1144"/>
      <c r="LWW290" s="1144"/>
      <c r="LWX290" s="1144"/>
      <c r="LWY290" s="1144"/>
      <c r="LWZ290" s="1144"/>
      <c r="LXA290" s="1144"/>
      <c r="LXB290" s="1144"/>
      <c r="LXC290" s="1144"/>
      <c r="LXD290" s="1144"/>
      <c r="LXE290" s="1144"/>
      <c r="LXF290" s="1144"/>
      <c r="LXG290" s="1144"/>
      <c r="LXH290" s="1144"/>
      <c r="LXI290" s="1144"/>
      <c r="LXJ290" s="1144"/>
      <c r="LXK290" s="1144"/>
      <c r="LXL290" s="1144"/>
      <c r="LXM290" s="1144"/>
      <c r="LXN290" s="1144"/>
      <c r="LXO290" s="1144"/>
      <c r="LXP290" s="1144"/>
      <c r="LXQ290" s="1144"/>
      <c r="LXR290" s="1144"/>
      <c r="LXS290" s="1144"/>
      <c r="LXT290" s="1144"/>
      <c r="LXU290" s="1144"/>
      <c r="LXV290" s="1144"/>
      <c r="LXW290" s="1144"/>
      <c r="LXX290" s="1144"/>
      <c r="LXY290" s="1144"/>
      <c r="LXZ290" s="1144"/>
      <c r="LYA290" s="1144"/>
      <c r="LYB290" s="1144"/>
      <c r="LYC290" s="1144"/>
      <c r="LYD290" s="1144"/>
      <c r="LYE290" s="1144"/>
      <c r="LYF290" s="1144"/>
      <c r="LYG290" s="1144"/>
      <c r="LYH290" s="1144"/>
      <c r="LYI290" s="1144"/>
      <c r="LYJ290" s="1144"/>
      <c r="LYK290" s="1144"/>
      <c r="LYL290" s="1144"/>
      <c r="LYM290" s="1144"/>
      <c r="LYN290" s="1144"/>
      <c r="LYO290" s="1144"/>
      <c r="LYP290" s="1144"/>
      <c r="LYQ290" s="1144"/>
      <c r="LYR290" s="1144"/>
      <c r="LYS290" s="1144"/>
      <c r="LYT290" s="1144"/>
      <c r="LYU290" s="1144"/>
      <c r="LYV290" s="1144"/>
      <c r="LYW290" s="1144"/>
      <c r="LYX290" s="1144"/>
      <c r="LYY290" s="1144"/>
      <c r="LYZ290" s="1144"/>
      <c r="LZA290" s="1144"/>
      <c r="LZB290" s="1144"/>
      <c r="LZC290" s="1144"/>
      <c r="LZD290" s="1144"/>
      <c r="LZE290" s="1144"/>
      <c r="LZF290" s="1144"/>
      <c r="LZG290" s="1144"/>
      <c r="LZH290" s="1144"/>
      <c r="LZI290" s="1144"/>
      <c r="LZJ290" s="1144"/>
      <c r="LZK290" s="1144"/>
      <c r="LZL290" s="1144"/>
      <c r="LZM290" s="1144"/>
      <c r="LZN290" s="1144"/>
      <c r="LZO290" s="1144"/>
      <c r="LZP290" s="1144"/>
      <c r="LZQ290" s="1144"/>
      <c r="LZR290" s="1144"/>
      <c r="LZS290" s="1144"/>
      <c r="LZT290" s="1144"/>
      <c r="LZU290" s="1144"/>
      <c r="LZV290" s="1144"/>
      <c r="LZW290" s="1144"/>
      <c r="LZX290" s="1144"/>
      <c r="LZY290" s="1144"/>
      <c r="LZZ290" s="1144"/>
      <c r="MAA290" s="1144"/>
      <c r="MAB290" s="1144"/>
      <c r="MAC290" s="1144"/>
      <c r="MAD290" s="1144"/>
      <c r="MAE290" s="1144"/>
      <c r="MAF290" s="1144"/>
      <c r="MAG290" s="1144"/>
      <c r="MAH290" s="1144"/>
      <c r="MAI290" s="1144"/>
      <c r="MAJ290" s="1144"/>
      <c r="MAK290" s="1144"/>
      <c r="MAL290" s="1144"/>
      <c r="MAM290" s="1144"/>
      <c r="MAN290" s="1144"/>
      <c r="MAO290" s="1144"/>
      <c r="MAP290" s="1144"/>
      <c r="MAQ290" s="1144"/>
      <c r="MAR290" s="1144"/>
      <c r="MAS290" s="1144"/>
      <c r="MAT290" s="1144"/>
      <c r="MAU290" s="1144"/>
      <c r="MAV290" s="1144"/>
      <c r="MAW290" s="1144"/>
      <c r="MAX290" s="1144"/>
      <c r="MAY290" s="1144"/>
      <c r="MAZ290" s="1144"/>
      <c r="MBA290" s="1144"/>
      <c r="MBB290" s="1144"/>
      <c r="MBC290" s="1144"/>
      <c r="MBD290" s="1144"/>
      <c r="MBE290" s="1144"/>
      <c r="MBF290" s="1144"/>
      <c r="MBG290" s="1144"/>
      <c r="MBH290" s="1144"/>
      <c r="MBI290" s="1144"/>
      <c r="MBJ290" s="1144"/>
      <c r="MBK290" s="1144"/>
      <c r="MBL290" s="1144"/>
      <c r="MBM290" s="1144"/>
      <c r="MBN290" s="1144"/>
      <c r="MBO290" s="1144"/>
      <c r="MBP290" s="1144"/>
      <c r="MBQ290" s="1144"/>
      <c r="MBR290" s="1144"/>
      <c r="MBS290" s="1144"/>
      <c r="MBT290" s="1144"/>
      <c r="MBU290" s="1144"/>
      <c r="MBV290" s="1144"/>
      <c r="MBW290" s="1144"/>
      <c r="MBX290" s="1144"/>
      <c r="MBY290" s="1144"/>
      <c r="MBZ290" s="1144"/>
      <c r="MCA290" s="1144"/>
      <c r="MCB290" s="1144"/>
      <c r="MCC290" s="1144"/>
      <c r="MCD290" s="1144"/>
      <c r="MCE290" s="1144"/>
      <c r="MCF290" s="1144"/>
      <c r="MCG290" s="1144"/>
      <c r="MCH290" s="1144"/>
      <c r="MCI290" s="1144"/>
      <c r="MCJ290" s="1144"/>
      <c r="MCK290" s="1144"/>
      <c r="MCL290" s="1144"/>
      <c r="MCM290" s="1144"/>
      <c r="MCN290" s="1144"/>
      <c r="MCO290" s="1144"/>
      <c r="MCP290" s="1144"/>
      <c r="MCQ290" s="1144"/>
      <c r="MCR290" s="1144"/>
      <c r="MCS290" s="1144"/>
      <c r="MCT290" s="1144"/>
      <c r="MCU290" s="1144"/>
      <c r="MCV290" s="1144"/>
      <c r="MCW290" s="1144"/>
      <c r="MCX290" s="1144"/>
      <c r="MCY290" s="1144"/>
      <c r="MCZ290" s="1144"/>
      <c r="MDA290" s="1144"/>
      <c r="MDB290" s="1144"/>
      <c r="MDC290" s="1144"/>
      <c r="MDD290" s="1144"/>
      <c r="MDE290" s="1144"/>
      <c r="MDF290" s="1144"/>
      <c r="MDG290" s="1144"/>
      <c r="MDH290" s="1144"/>
      <c r="MDI290" s="1144"/>
      <c r="MDJ290" s="1144"/>
      <c r="MDK290" s="1144"/>
      <c r="MDL290" s="1144"/>
      <c r="MDM290" s="1144"/>
      <c r="MDN290" s="1144"/>
      <c r="MDO290" s="1144"/>
      <c r="MDP290" s="1144"/>
      <c r="MDQ290" s="1144"/>
      <c r="MDR290" s="1144"/>
      <c r="MDS290" s="1144"/>
      <c r="MDT290" s="1144"/>
      <c r="MDU290" s="1144"/>
      <c r="MDV290" s="1144"/>
      <c r="MDW290" s="1144"/>
      <c r="MDX290" s="1144"/>
      <c r="MDY290" s="1144"/>
      <c r="MDZ290" s="1144"/>
      <c r="MEA290" s="1144"/>
      <c r="MEB290" s="1144"/>
      <c r="MEC290" s="1144"/>
      <c r="MED290" s="1144"/>
      <c r="MEE290" s="1144"/>
      <c r="MEF290" s="1144"/>
      <c r="MEG290" s="1144"/>
      <c r="MEH290" s="1144"/>
      <c r="MEI290" s="1144"/>
      <c r="MEJ290" s="1144"/>
      <c r="MEK290" s="1144"/>
      <c r="MEL290" s="1144"/>
      <c r="MEM290" s="1144"/>
      <c r="MEN290" s="1144"/>
      <c r="MEO290" s="1144"/>
      <c r="MEP290" s="1144"/>
      <c r="MEQ290" s="1144"/>
      <c r="MER290" s="1144"/>
      <c r="MES290" s="1144"/>
      <c r="MET290" s="1144"/>
      <c r="MEU290" s="1144"/>
      <c r="MEV290" s="1144"/>
      <c r="MEW290" s="1144"/>
      <c r="MEX290" s="1144"/>
      <c r="MEY290" s="1144"/>
      <c r="MEZ290" s="1144"/>
      <c r="MFA290" s="1144"/>
      <c r="MFB290" s="1144"/>
      <c r="MFC290" s="1144"/>
      <c r="MFD290" s="1144"/>
      <c r="MFE290" s="1144"/>
      <c r="MFF290" s="1144"/>
      <c r="MFG290" s="1144"/>
      <c r="MFH290" s="1144"/>
      <c r="MFI290" s="1144"/>
      <c r="MFJ290" s="1144"/>
      <c r="MFK290" s="1144"/>
      <c r="MFL290" s="1144"/>
      <c r="MFM290" s="1144"/>
      <c r="MFN290" s="1144"/>
      <c r="MFO290" s="1144"/>
      <c r="MFP290" s="1144"/>
      <c r="MFQ290" s="1144"/>
      <c r="MFR290" s="1144"/>
      <c r="MFS290" s="1144"/>
      <c r="MFT290" s="1144"/>
      <c r="MFU290" s="1144"/>
      <c r="MFV290" s="1144"/>
      <c r="MFW290" s="1144"/>
      <c r="MFX290" s="1144"/>
      <c r="MFY290" s="1144"/>
      <c r="MFZ290" s="1144"/>
      <c r="MGA290" s="1144"/>
      <c r="MGB290" s="1144"/>
      <c r="MGC290" s="1144"/>
      <c r="MGD290" s="1144"/>
      <c r="MGE290" s="1144"/>
      <c r="MGF290" s="1144"/>
      <c r="MGG290" s="1144"/>
      <c r="MGH290" s="1144"/>
      <c r="MGI290" s="1144"/>
      <c r="MGJ290" s="1144"/>
      <c r="MGK290" s="1144"/>
      <c r="MGL290" s="1144"/>
      <c r="MGM290" s="1144"/>
      <c r="MGN290" s="1144"/>
      <c r="MGO290" s="1144"/>
      <c r="MGP290" s="1144"/>
      <c r="MGQ290" s="1144"/>
      <c r="MGR290" s="1144"/>
      <c r="MGS290" s="1144"/>
      <c r="MGT290" s="1144"/>
      <c r="MGU290" s="1144"/>
      <c r="MGV290" s="1144"/>
      <c r="MGW290" s="1144"/>
      <c r="MGX290" s="1144"/>
      <c r="MGY290" s="1144"/>
      <c r="MGZ290" s="1144"/>
      <c r="MHA290" s="1144"/>
      <c r="MHB290" s="1144"/>
      <c r="MHC290" s="1144"/>
      <c r="MHD290" s="1144"/>
      <c r="MHE290" s="1144"/>
      <c r="MHF290" s="1144"/>
      <c r="MHG290" s="1144"/>
      <c r="MHH290" s="1144"/>
      <c r="MHI290" s="1144"/>
      <c r="MHJ290" s="1144"/>
      <c r="MHK290" s="1144"/>
      <c r="MHL290" s="1144"/>
      <c r="MHM290" s="1144"/>
      <c r="MHN290" s="1144"/>
      <c r="MHO290" s="1144"/>
      <c r="MHP290" s="1144"/>
      <c r="MHQ290" s="1144"/>
      <c r="MHR290" s="1144"/>
      <c r="MHS290" s="1144"/>
      <c r="MHT290" s="1144"/>
      <c r="MHU290" s="1144"/>
      <c r="MHV290" s="1144"/>
      <c r="MHW290" s="1144"/>
      <c r="MHX290" s="1144"/>
      <c r="MHY290" s="1144"/>
      <c r="MHZ290" s="1144"/>
      <c r="MIA290" s="1144"/>
      <c r="MIB290" s="1144"/>
      <c r="MIC290" s="1144"/>
      <c r="MID290" s="1144"/>
      <c r="MIE290" s="1144"/>
      <c r="MIF290" s="1144"/>
      <c r="MIG290" s="1144"/>
      <c r="MIH290" s="1144"/>
      <c r="MII290" s="1144"/>
      <c r="MIJ290" s="1144"/>
      <c r="MIK290" s="1144"/>
      <c r="MIL290" s="1144"/>
      <c r="MIM290" s="1144"/>
      <c r="MIN290" s="1144"/>
      <c r="MIO290" s="1144"/>
      <c r="MIP290" s="1144"/>
      <c r="MIQ290" s="1144"/>
      <c r="MIR290" s="1144"/>
      <c r="MIS290" s="1144"/>
      <c r="MIT290" s="1144"/>
      <c r="MIU290" s="1144"/>
      <c r="MIV290" s="1144"/>
      <c r="MIW290" s="1144"/>
      <c r="MIX290" s="1144"/>
      <c r="MIY290" s="1144"/>
      <c r="MIZ290" s="1144"/>
      <c r="MJA290" s="1144"/>
      <c r="MJB290" s="1144"/>
      <c r="MJC290" s="1144"/>
      <c r="MJD290" s="1144"/>
      <c r="MJE290" s="1144"/>
      <c r="MJF290" s="1144"/>
      <c r="MJG290" s="1144"/>
      <c r="MJH290" s="1144"/>
      <c r="MJI290" s="1144"/>
      <c r="MJJ290" s="1144"/>
      <c r="MJK290" s="1144"/>
      <c r="MJL290" s="1144"/>
      <c r="MJM290" s="1144"/>
      <c r="MJN290" s="1144"/>
      <c r="MJO290" s="1144"/>
      <c r="MJP290" s="1144"/>
      <c r="MJQ290" s="1144"/>
      <c r="MJR290" s="1144"/>
      <c r="MJS290" s="1144"/>
      <c r="MJT290" s="1144"/>
      <c r="MJU290" s="1144"/>
      <c r="MJV290" s="1144"/>
      <c r="MJW290" s="1144"/>
      <c r="MJX290" s="1144"/>
      <c r="MJY290" s="1144"/>
      <c r="MJZ290" s="1144"/>
      <c r="MKA290" s="1144"/>
      <c r="MKB290" s="1144"/>
      <c r="MKC290" s="1144"/>
      <c r="MKD290" s="1144"/>
      <c r="MKE290" s="1144"/>
      <c r="MKF290" s="1144"/>
      <c r="MKG290" s="1144"/>
      <c r="MKH290" s="1144"/>
      <c r="MKI290" s="1144"/>
      <c r="MKJ290" s="1144"/>
      <c r="MKK290" s="1144"/>
      <c r="MKL290" s="1144"/>
      <c r="MKM290" s="1144"/>
      <c r="MKN290" s="1144"/>
      <c r="MKO290" s="1144"/>
      <c r="MKP290" s="1144"/>
      <c r="MKQ290" s="1144"/>
      <c r="MKR290" s="1144"/>
      <c r="MKS290" s="1144"/>
      <c r="MKT290" s="1144"/>
      <c r="MKU290" s="1144"/>
      <c r="MKV290" s="1144"/>
      <c r="MKW290" s="1144"/>
      <c r="MKX290" s="1144"/>
      <c r="MKY290" s="1144"/>
      <c r="MKZ290" s="1144"/>
      <c r="MLA290" s="1144"/>
      <c r="MLB290" s="1144"/>
      <c r="MLC290" s="1144"/>
      <c r="MLD290" s="1144"/>
      <c r="MLE290" s="1144"/>
      <c r="MLF290" s="1144"/>
      <c r="MLG290" s="1144"/>
      <c r="MLH290" s="1144"/>
      <c r="MLI290" s="1144"/>
      <c r="MLJ290" s="1144"/>
      <c r="MLK290" s="1144"/>
      <c r="MLL290" s="1144"/>
      <c r="MLM290" s="1144"/>
      <c r="MLN290" s="1144"/>
      <c r="MLO290" s="1144"/>
      <c r="MLP290" s="1144"/>
      <c r="MLQ290" s="1144"/>
      <c r="MLR290" s="1144"/>
      <c r="MLS290" s="1144"/>
      <c r="MLT290" s="1144"/>
      <c r="MLU290" s="1144"/>
      <c r="MLV290" s="1144"/>
      <c r="MLW290" s="1144"/>
      <c r="MLX290" s="1144"/>
      <c r="MLY290" s="1144"/>
      <c r="MLZ290" s="1144"/>
      <c r="MMA290" s="1144"/>
      <c r="MMB290" s="1144"/>
      <c r="MMC290" s="1144"/>
      <c r="MMD290" s="1144"/>
      <c r="MME290" s="1144"/>
      <c r="MMF290" s="1144"/>
      <c r="MMG290" s="1144"/>
      <c r="MMH290" s="1144"/>
      <c r="MMI290" s="1144"/>
      <c r="MMJ290" s="1144"/>
      <c r="MMK290" s="1144"/>
      <c r="MML290" s="1144"/>
      <c r="MMM290" s="1144"/>
      <c r="MMN290" s="1144"/>
      <c r="MMO290" s="1144"/>
      <c r="MMP290" s="1144"/>
      <c r="MMQ290" s="1144"/>
      <c r="MMR290" s="1144"/>
      <c r="MMS290" s="1144"/>
      <c r="MMT290" s="1144"/>
      <c r="MMU290" s="1144"/>
      <c r="MMV290" s="1144"/>
      <c r="MMW290" s="1144"/>
      <c r="MMX290" s="1144"/>
      <c r="MMY290" s="1144"/>
      <c r="MMZ290" s="1144"/>
      <c r="MNA290" s="1144"/>
      <c r="MNB290" s="1144"/>
      <c r="MNC290" s="1144"/>
      <c r="MND290" s="1144"/>
      <c r="MNE290" s="1144"/>
      <c r="MNF290" s="1144"/>
      <c r="MNG290" s="1144"/>
      <c r="MNH290" s="1144"/>
      <c r="MNI290" s="1144"/>
      <c r="MNJ290" s="1144"/>
      <c r="MNK290" s="1144"/>
      <c r="MNL290" s="1144"/>
      <c r="MNM290" s="1144"/>
      <c r="MNN290" s="1144"/>
      <c r="MNO290" s="1144"/>
      <c r="MNP290" s="1144"/>
      <c r="MNQ290" s="1144"/>
      <c r="MNR290" s="1144"/>
      <c r="MNS290" s="1144"/>
      <c r="MNT290" s="1144"/>
      <c r="MNU290" s="1144"/>
      <c r="MNV290" s="1144"/>
      <c r="MNW290" s="1144"/>
      <c r="MNX290" s="1144"/>
      <c r="MNY290" s="1144"/>
      <c r="MNZ290" s="1144"/>
      <c r="MOA290" s="1144"/>
      <c r="MOB290" s="1144"/>
      <c r="MOC290" s="1144"/>
      <c r="MOD290" s="1144"/>
      <c r="MOE290" s="1144"/>
      <c r="MOF290" s="1144"/>
      <c r="MOG290" s="1144"/>
      <c r="MOH290" s="1144"/>
      <c r="MOI290" s="1144"/>
      <c r="MOJ290" s="1144"/>
      <c r="MOK290" s="1144"/>
      <c r="MOL290" s="1144"/>
      <c r="MOM290" s="1144"/>
      <c r="MON290" s="1144"/>
      <c r="MOO290" s="1144"/>
      <c r="MOP290" s="1144"/>
      <c r="MOQ290" s="1144"/>
      <c r="MOR290" s="1144"/>
      <c r="MOS290" s="1144"/>
      <c r="MOT290" s="1144"/>
      <c r="MOU290" s="1144"/>
      <c r="MOV290" s="1144"/>
      <c r="MOW290" s="1144"/>
      <c r="MOX290" s="1144"/>
      <c r="MOY290" s="1144"/>
      <c r="MOZ290" s="1144"/>
      <c r="MPA290" s="1144"/>
      <c r="MPB290" s="1144"/>
      <c r="MPC290" s="1144"/>
      <c r="MPD290" s="1144"/>
      <c r="MPE290" s="1144"/>
      <c r="MPF290" s="1144"/>
      <c r="MPG290" s="1144"/>
      <c r="MPH290" s="1144"/>
      <c r="MPI290" s="1144"/>
      <c r="MPJ290" s="1144"/>
      <c r="MPK290" s="1144"/>
      <c r="MPL290" s="1144"/>
      <c r="MPM290" s="1144"/>
      <c r="MPN290" s="1144"/>
      <c r="MPO290" s="1144"/>
      <c r="MPP290" s="1144"/>
      <c r="MPQ290" s="1144"/>
      <c r="MPR290" s="1144"/>
      <c r="MPS290" s="1144"/>
      <c r="MPT290" s="1144"/>
      <c r="MPU290" s="1144"/>
      <c r="MPV290" s="1144"/>
      <c r="MPW290" s="1144"/>
      <c r="MPX290" s="1144"/>
      <c r="MPY290" s="1144"/>
      <c r="MPZ290" s="1144"/>
      <c r="MQA290" s="1144"/>
      <c r="MQB290" s="1144"/>
      <c r="MQC290" s="1144"/>
      <c r="MQD290" s="1144"/>
      <c r="MQE290" s="1144"/>
      <c r="MQF290" s="1144"/>
      <c r="MQG290" s="1144"/>
      <c r="MQH290" s="1144"/>
      <c r="MQI290" s="1144"/>
      <c r="MQJ290" s="1144"/>
      <c r="MQK290" s="1144"/>
      <c r="MQL290" s="1144"/>
      <c r="MQM290" s="1144"/>
      <c r="MQN290" s="1144"/>
      <c r="MQO290" s="1144"/>
      <c r="MQP290" s="1144"/>
      <c r="MQQ290" s="1144"/>
      <c r="MQR290" s="1144"/>
      <c r="MQS290" s="1144"/>
      <c r="MQT290" s="1144"/>
      <c r="MQU290" s="1144"/>
      <c r="MQV290" s="1144"/>
      <c r="MQW290" s="1144"/>
      <c r="MQX290" s="1144"/>
      <c r="MQY290" s="1144"/>
      <c r="MQZ290" s="1144"/>
      <c r="MRA290" s="1144"/>
      <c r="MRB290" s="1144"/>
      <c r="MRC290" s="1144"/>
      <c r="MRD290" s="1144"/>
      <c r="MRE290" s="1144"/>
      <c r="MRF290" s="1144"/>
      <c r="MRG290" s="1144"/>
      <c r="MRH290" s="1144"/>
      <c r="MRI290" s="1144"/>
      <c r="MRJ290" s="1144"/>
      <c r="MRK290" s="1144"/>
      <c r="MRL290" s="1144"/>
      <c r="MRM290" s="1144"/>
      <c r="MRN290" s="1144"/>
      <c r="MRO290" s="1144"/>
      <c r="MRP290" s="1144"/>
      <c r="MRQ290" s="1144"/>
      <c r="MRR290" s="1144"/>
      <c r="MRS290" s="1144"/>
      <c r="MRT290" s="1144"/>
      <c r="MRU290" s="1144"/>
      <c r="MRV290" s="1144"/>
      <c r="MRW290" s="1144"/>
      <c r="MRX290" s="1144"/>
      <c r="MRY290" s="1144"/>
      <c r="MRZ290" s="1144"/>
      <c r="MSA290" s="1144"/>
      <c r="MSB290" s="1144"/>
      <c r="MSC290" s="1144"/>
      <c r="MSD290" s="1144"/>
      <c r="MSE290" s="1144"/>
      <c r="MSF290" s="1144"/>
      <c r="MSG290" s="1144"/>
      <c r="MSH290" s="1144"/>
      <c r="MSI290" s="1144"/>
      <c r="MSJ290" s="1144"/>
      <c r="MSK290" s="1144"/>
      <c r="MSL290" s="1144"/>
      <c r="MSM290" s="1144"/>
      <c r="MSN290" s="1144"/>
      <c r="MSO290" s="1144"/>
      <c r="MSP290" s="1144"/>
      <c r="MSQ290" s="1144"/>
      <c r="MSR290" s="1144"/>
      <c r="MSS290" s="1144"/>
      <c r="MST290" s="1144"/>
      <c r="MSU290" s="1144"/>
      <c r="MSV290" s="1144"/>
      <c r="MSW290" s="1144"/>
      <c r="MSX290" s="1144"/>
      <c r="MSY290" s="1144"/>
      <c r="MSZ290" s="1144"/>
      <c r="MTA290" s="1144"/>
      <c r="MTB290" s="1144"/>
      <c r="MTC290" s="1144"/>
      <c r="MTD290" s="1144"/>
      <c r="MTE290" s="1144"/>
      <c r="MTF290" s="1144"/>
      <c r="MTG290" s="1144"/>
      <c r="MTH290" s="1144"/>
      <c r="MTI290" s="1144"/>
      <c r="MTJ290" s="1144"/>
      <c r="MTK290" s="1144"/>
      <c r="MTL290" s="1144"/>
      <c r="MTM290" s="1144"/>
      <c r="MTN290" s="1144"/>
      <c r="MTO290" s="1144"/>
      <c r="MTP290" s="1144"/>
      <c r="MTQ290" s="1144"/>
      <c r="MTR290" s="1144"/>
      <c r="MTS290" s="1144"/>
      <c r="MTT290" s="1144"/>
      <c r="MTU290" s="1144"/>
      <c r="MTV290" s="1144"/>
      <c r="MTW290" s="1144"/>
      <c r="MTX290" s="1144"/>
      <c r="MTY290" s="1144"/>
      <c r="MTZ290" s="1144"/>
      <c r="MUA290" s="1144"/>
      <c r="MUB290" s="1144"/>
      <c r="MUC290" s="1144"/>
      <c r="MUD290" s="1144"/>
      <c r="MUE290" s="1144"/>
      <c r="MUF290" s="1144"/>
      <c r="MUG290" s="1144"/>
      <c r="MUH290" s="1144"/>
      <c r="MUI290" s="1144"/>
      <c r="MUJ290" s="1144"/>
      <c r="MUK290" s="1144"/>
      <c r="MUL290" s="1144"/>
      <c r="MUM290" s="1144"/>
      <c r="MUN290" s="1144"/>
      <c r="MUO290" s="1144"/>
      <c r="MUP290" s="1144"/>
      <c r="MUQ290" s="1144"/>
      <c r="MUR290" s="1144"/>
      <c r="MUS290" s="1144"/>
      <c r="MUT290" s="1144"/>
      <c r="MUU290" s="1144"/>
      <c r="MUV290" s="1144"/>
      <c r="MUW290" s="1144"/>
      <c r="MUX290" s="1144"/>
      <c r="MUY290" s="1144"/>
      <c r="MUZ290" s="1144"/>
      <c r="MVA290" s="1144"/>
      <c r="MVB290" s="1144"/>
      <c r="MVC290" s="1144"/>
      <c r="MVD290" s="1144"/>
      <c r="MVE290" s="1144"/>
      <c r="MVF290" s="1144"/>
      <c r="MVG290" s="1144"/>
      <c r="MVH290" s="1144"/>
      <c r="MVI290" s="1144"/>
      <c r="MVJ290" s="1144"/>
      <c r="MVK290" s="1144"/>
      <c r="MVL290" s="1144"/>
      <c r="MVM290" s="1144"/>
      <c r="MVN290" s="1144"/>
      <c r="MVO290" s="1144"/>
      <c r="MVP290" s="1144"/>
      <c r="MVQ290" s="1144"/>
      <c r="MVR290" s="1144"/>
      <c r="MVS290" s="1144"/>
      <c r="MVT290" s="1144"/>
      <c r="MVU290" s="1144"/>
      <c r="MVV290" s="1144"/>
      <c r="MVW290" s="1144"/>
      <c r="MVX290" s="1144"/>
      <c r="MVY290" s="1144"/>
      <c r="MVZ290" s="1144"/>
      <c r="MWA290" s="1144"/>
      <c r="MWB290" s="1144"/>
      <c r="MWC290" s="1144"/>
      <c r="MWD290" s="1144"/>
      <c r="MWE290" s="1144"/>
      <c r="MWF290" s="1144"/>
      <c r="MWG290" s="1144"/>
      <c r="MWH290" s="1144"/>
      <c r="MWI290" s="1144"/>
      <c r="MWJ290" s="1144"/>
      <c r="MWK290" s="1144"/>
      <c r="MWL290" s="1144"/>
      <c r="MWM290" s="1144"/>
      <c r="MWN290" s="1144"/>
      <c r="MWO290" s="1144"/>
      <c r="MWP290" s="1144"/>
      <c r="MWQ290" s="1144"/>
      <c r="MWR290" s="1144"/>
      <c r="MWS290" s="1144"/>
      <c r="MWT290" s="1144"/>
      <c r="MWU290" s="1144"/>
      <c r="MWV290" s="1144"/>
      <c r="MWW290" s="1144"/>
      <c r="MWX290" s="1144"/>
      <c r="MWY290" s="1144"/>
      <c r="MWZ290" s="1144"/>
      <c r="MXA290" s="1144"/>
      <c r="MXB290" s="1144"/>
      <c r="MXC290" s="1144"/>
      <c r="MXD290" s="1144"/>
      <c r="MXE290" s="1144"/>
      <c r="MXF290" s="1144"/>
      <c r="MXG290" s="1144"/>
      <c r="MXH290" s="1144"/>
      <c r="MXI290" s="1144"/>
      <c r="MXJ290" s="1144"/>
      <c r="MXK290" s="1144"/>
      <c r="MXL290" s="1144"/>
      <c r="MXM290" s="1144"/>
      <c r="MXN290" s="1144"/>
      <c r="MXO290" s="1144"/>
      <c r="MXP290" s="1144"/>
      <c r="MXQ290" s="1144"/>
      <c r="MXR290" s="1144"/>
      <c r="MXS290" s="1144"/>
      <c r="MXT290" s="1144"/>
      <c r="MXU290" s="1144"/>
      <c r="MXV290" s="1144"/>
      <c r="MXW290" s="1144"/>
      <c r="MXX290" s="1144"/>
      <c r="MXY290" s="1144"/>
      <c r="MXZ290" s="1144"/>
      <c r="MYA290" s="1144"/>
      <c r="MYB290" s="1144"/>
      <c r="MYC290" s="1144"/>
      <c r="MYD290" s="1144"/>
      <c r="MYE290" s="1144"/>
      <c r="MYF290" s="1144"/>
      <c r="MYG290" s="1144"/>
      <c r="MYH290" s="1144"/>
      <c r="MYI290" s="1144"/>
      <c r="MYJ290" s="1144"/>
      <c r="MYK290" s="1144"/>
      <c r="MYL290" s="1144"/>
      <c r="MYM290" s="1144"/>
      <c r="MYN290" s="1144"/>
      <c r="MYO290" s="1144"/>
      <c r="MYP290" s="1144"/>
      <c r="MYQ290" s="1144"/>
      <c r="MYR290" s="1144"/>
      <c r="MYS290" s="1144"/>
      <c r="MYT290" s="1144"/>
      <c r="MYU290" s="1144"/>
      <c r="MYV290" s="1144"/>
      <c r="MYW290" s="1144"/>
      <c r="MYX290" s="1144"/>
      <c r="MYY290" s="1144"/>
      <c r="MYZ290" s="1144"/>
      <c r="MZA290" s="1144"/>
      <c r="MZB290" s="1144"/>
      <c r="MZC290" s="1144"/>
      <c r="MZD290" s="1144"/>
      <c r="MZE290" s="1144"/>
      <c r="MZF290" s="1144"/>
      <c r="MZG290" s="1144"/>
      <c r="MZH290" s="1144"/>
      <c r="MZI290" s="1144"/>
      <c r="MZJ290" s="1144"/>
      <c r="MZK290" s="1144"/>
      <c r="MZL290" s="1144"/>
      <c r="MZM290" s="1144"/>
      <c r="MZN290" s="1144"/>
      <c r="MZO290" s="1144"/>
      <c r="MZP290" s="1144"/>
      <c r="MZQ290" s="1144"/>
      <c r="MZR290" s="1144"/>
      <c r="MZS290" s="1144"/>
      <c r="MZT290" s="1144"/>
      <c r="MZU290" s="1144"/>
      <c r="MZV290" s="1144"/>
      <c r="MZW290" s="1144"/>
      <c r="MZX290" s="1144"/>
      <c r="MZY290" s="1144"/>
      <c r="MZZ290" s="1144"/>
      <c r="NAA290" s="1144"/>
      <c r="NAB290" s="1144"/>
      <c r="NAC290" s="1144"/>
      <c r="NAD290" s="1144"/>
      <c r="NAE290" s="1144"/>
      <c r="NAF290" s="1144"/>
      <c r="NAG290" s="1144"/>
      <c r="NAH290" s="1144"/>
      <c r="NAI290" s="1144"/>
      <c r="NAJ290" s="1144"/>
      <c r="NAK290" s="1144"/>
      <c r="NAL290" s="1144"/>
      <c r="NAM290" s="1144"/>
      <c r="NAN290" s="1144"/>
      <c r="NAO290" s="1144"/>
      <c r="NAP290" s="1144"/>
      <c r="NAQ290" s="1144"/>
      <c r="NAR290" s="1144"/>
      <c r="NAS290" s="1144"/>
      <c r="NAT290" s="1144"/>
      <c r="NAU290" s="1144"/>
      <c r="NAV290" s="1144"/>
      <c r="NAW290" s="1144"/>
      <c r="NAX290" s="1144"/>
      <c r="NAY290" s="1144"/>
      <c r="NAZ290" s="1144"/>
      <c r="NBA290" s="1144"/>
      <c r="NBB290" s="1144"/>
      <c r="NBC290" s="1144"/>
      <c r="NBD290" s="1144"/>
      <c r="NBE290" s="1144"/>
      <c r="NBF290" s="1144"/>
      <c r="NBG290" s="1144"/>
      <c r="NBH290" s="1144"/>
      <c r="NBI290" s="1144"/>
      <c r="NBJ290" s="1144"/>
      <c r="NBK290" s="1144"/>
      <c r="NBL290" s="1144"/>
      <c r="NBM290" s="1144"/>
      <c r="NBN290" s="1144"/>
      <c r="NBO290" s="1144"/>
      <c r="NBP290" s="1144"/>
      <c r="NBQ290" s="1144"/>
      <c r="NBR290" s="1144"/>
      <c r="NBS290" s="1144"/>
      <c r="NBT290" s="1144"/>
      <c r="NBU290" s="1144"/>
      <c r="NBV290" s="1144"/>
      <c r="NBW290" s="1144"/>
      <c r="NBX290" s="1144"/>
      <c r="NBY290" s="1144"/>
      <c r="NBZ290" s="1144"/>
      <c r="NCA290" s="1144"/>
      <c r="NCB290" s="1144"/>
      <c r="NCC290" s="1144"/>
      <c r="NCD290" s="1144"/>
      <c r="NCE290" s="1144"/>
      <c r="NCF290" s="1144"/>
      <c r="NCG290" s="1144"/>
      <c r="NCH290" s="1144"/>
      <c r="NCI290" s="1144"/>
      <c r="NCJ290" s="1144"/>
      <c r="NCK290" s="1144"/>
      <c r="NCL290" s="1144"/>
      <c r="NCM290" s="1144"/>
      <c r="NCN290" s="1144"/>
      <c r="NCO290" s="1144"/>
      <c r="NCP290" s="1144"/>
      <c r="NCQ290" s="1144"/>
      <c r="NCR290" s="1144"/>
      <c r="NCS290" s="1144"/>
      <c r="NCT290" s="1144"/>
      <c r="NCU290" s="1144"/>
      <c r="NCV290" s="1144"/>
      <c r="NCW290" s="1144"/>
      <c r="NCX290" s="1144"/>
      <c r="NCY290" s="1144"/>
      <c r="NCZ290" s="1144"/>
      <c r="NDA290" s="1144"/>
      <c r="NDB290" s="1144"/>
      <c r="NDC290" s="1144"/>
      <c r="NDD290" s="1144"/>
      <c r="NDE290" s="1144"/>
      <c r="NDF290" s="1144"/>
      <c r="NDG290" s="1144"/>
      <c r="NDH290" s="1144"/>
      <c r="NDI290" s="1144"/>
      <c r="NDJ290" s="1144"/>
      <c r="NDK290" s="1144"/>
      <c r="NDL290" s="1144"/>
      <c r="NDM290" s="1144"/>
      <c r="NDN290" s="1144"/>
      <c r="NDO290" s="1144"/>
      <c r="NDP290" s="1144"/>
      <c r="NDQ290" s="1144"/>
      <c r="NDR290" s="1144"/>
      <c r="NDS290" s="1144"/>
      <c r="NDT290" s="1144"/>
      <c r="NDU290" s="1144"/>
      <c r="NDV290" s="1144"/>
      <c r="NDW290" s="1144"/>
      <c r="NDX290" s="1144"/>
      <c r="NDY290" s="1144"/>
      <c r="NDZ290" s="1144"/>
      <c r="NEA290" s="1144"/>
      <c r="NEB290" s="1144"/>
      <c r="NEC290" s="1144"/>
      <c r="NED290" s="1144"/>
      <c r="NEE290" s="1144"/>
      <c r="NEF290" s="1144"/>
      <c r="NEG290" s="1144"/>
      <c r="NEH290" s="1144"/>
      <c r="NEI290" s="1144"/>
      <c r="NEJ290" s="1144"/>
      <c r="NEK290" s="1144"/>
      <c r="NEL290" s="1144"/>
      <c r="NEM290" s="1144"/>
      <c r="NEN290" s="1144"/>
      <c r="NEO290" s="1144"/>
      <c r="NEP290" s="1144"/>
      <c r="NEQ290" s="1144"/>
      <c r="NER290" s="1144"/>
      <c r="NES290" s="1144"/>
      <c r="NET290" s="1144"/>
      <c r="NEU290" s="1144"/>
      <c r="NEV290" s="1144"/>
      <c r="NEW290" s="1144"/>
      <c r="NEX290" s="1144"/>
      <c r="NEY290" s="1144"/>
      <c r="NEZ290" s="1144"/>
      <c r="NFA290" s="1144"/>
      <c r="NFB290" s="1144"/>
      <c r="NFC290" s="1144"/>
      <c r="NFD290" s="1144"/>
      <c r="NFE290" s="1144"/>
      <c r="NFF290" s="1144"/>
      <c r="NFG290" s="1144"/>
      <c r="NFH290" s="1144"/>
      <c r="NFI290" s="1144"/>
      <c r="NFJ290" s="1144"/>
      <c r="NFK290" s="1144"/>
      <c r="NFL290" s="1144"/>
      <c r="NFM290" s="1144"/>
      <c r="NFN290" s="1144"/>
      <c r="NFO290" s="1144"/>
      <c r="NFP290" s="1144"/>
      <c r="NFQ290" s="1144"/>
      <c r="NFR290" s="1144"/>
      <c r="NFS290" s="1144"/>
      <c r="NFT290" s="1144"/>
      <c r="NFU290" s="1144"/>
      <c r="NFV290" s="1144"/>
      <c r="NFW290" s="1144"/>
      <c r="NFX290" s="1144"/>
      <c r="NFY290" s="1144"/>
      <c r="NFZ290" s="1144"/>
      <c r="NGA290" s="1144"/>
      <c r="NGB290" s="1144"/>
      <c r="NGC290" s="1144"/>
      <c r="NGD290" s="1144"/>
      <c r="NGE290" s="1144"/>
      <c r="NGF290" s="1144"/>
      <c r="NGG290" s="1144"/>
      <c r="NGH290" s="1144"/>
      <c r="NGI290" s="1144"/>
      <c r="NGJ290" s="1144"/>
      <c r="NGK290" s="1144"/>
      <c r="NGL290" s="1144"/>
      <c r="NGM290" s="1144"/>
      <c r="NGN290" s="1144"/>
      <c r="NGO290" s="1144"/>
      <c r="NGP290" s="1144"/>
      <c r="NGQ290" s="1144"/>
      <c r="NGR290" s="1144"/>
      <c r="NGS290" s="1144"/>
      <c r="NGT290" s="1144"/>
      <c r="NGU290" s="1144"/>
      <c r="NGV290" s="1144"/>
      <c r="NGW290" s="1144"/>
      <c r="NGX290" s="1144"/>
      <c r="NGY290" s="1144"/>
      <c r="NGZ290" s="1144"/>
      <c r="NHA290" s="1144"/>
      <c r="NHB290" s="1144"/>
      <c r="NHC290" s="1144"/>
      <c r="NHD290" s="1144"/>
      <c r="NHE290" s="1144"/>
      <c r="NHF290" s="1144"/>
      <c r="NHG290" s="1144"/>
      <c r="NHH290" s="1144"/>
      <c r="NHI290" s="1144"/>
      <c r="NHJ290" s="1144"/>
      <c r="NHK290" s="1144"/>
      <c r="NHL290" s="1144"/>
      <c r="NHM290" s="1144"/>
      <c r="NHN290" s="1144"/>
      <c r="NHO290" s="1144"/>
      <c r="NHP290" s="1144"/>
      <c r="NHQ290" s="1144"/>
      <c r="NHR290" s="1144"/>
      <c r="NHS290" s="1144"/>
      <c r="NHT290" s="1144"/>
      <c r="NHU290" s="1144"/>
      <c r="NHV290" s="1144"/>
      <c r="NHW290" s="1144"/>
      <c r="NHX290" s="1144"/>
      <c r="NHY290" s="1144"/>
      <c r="NHZ290" s="1144"/>
      <c r="NIA290" s="1144"/>
      <c r="NIB290" s="1144"/>
      <c r="NIC290" s="1144"/>
      <c r="NID290" s="1144"/>
      <c r="NIE290" s="1144"/>
      <c r="NIF290" s="1144"/>
      <c r="NIG290" s="1144"/>
      <c r="NIH290" s="1144"/>
      <c r="NII290" s="1144"/>
      <c r="NIJ290" s="1144"/>
      <c r="NIK290" s="1144"/>
      <c r="NIL290" s="1144"/>
      <c r="NIM290" s="1144"/>
      <c r="NIN290" s="1144"/>
      <c r="NIO290" s="1144"/>
      <c r="NIP290" s="1144"/>
      <c r="NIQ290" s="1144"/>
      <c r="NIR290" s="1144"/>
      <c r="NIS290" s="1144"/>
      <c r="NIT290" s="1144"/>
      <c r="NIU290" s="1144"/>
      <c r="NIV290" s="1144"/>
      <c r="NIW290" s="1144"/>
      <c r="NIX290" s="1144"/>
      <c r="NIY290" s="1144"/>
      <c r="NIZ290" s="1144"/>
      <c r="NJA290" s="1144"/>
      <c r="NJB290" s="1144"/>
      <c r="NJC290" s="1144"/>
      <c r="NJD290" s="1144"/>
      <c r="NJE290" s="1144"/>
      <c r="NJF290" s="1144"/>
      <c r="NJG290" s="1144"/>
      <c r="NJH290" s="1144"/>
      <c r="NJI290" s="1144"/>
      <c r="NJJ290" s="1144"/>
      <c r="NJK290" s="1144"/>
      <c r="NJL290" s="1144"/>
      <c r="NJM290" s="1144"/>
      <c r="NJN290" s="1144"/>
      <c r="NJO290" s="1144"/>
      <c r="NJP290" s="1144"/>
      <c r="NJQ290" s="1144"/>
      <c r="NJR290" s="1144"/>
      <c r="NJS290" s="1144"/>
      <c r="NJT290" s="1144"/>
      <c r="NJU290" s="1144"/>
      <c r="NJV290" s="1144"/>
      <c r="NJW290" s="1144"/>
      <c r="NJX290" s="1144"/>
      <c r="NJY290" s="1144"/>
      <c r="NJZ290" s="1144"/>
      <c r="NKA290" s="1144"/>
      <c r="NKB290" s="1144"/>
      <c r="NKC290" s="1144"/>
      <c r="NKD290" s="1144"/>
      <c r="NKE290" s="1144"/>
      <c r="NKF290" s="1144"/>
      <c r="NKG290" s="1144"/>
      <c r="NKH290" s="1144"/>
      <c r="NKI290" s="1144"/>
      <c r="NKJ290" s="1144"/>
      <c r="NKK290" s="1144"/>
      <c r="NKL290" s="1144"/>
      <c r="NKM290" s="1144"/>
      <c r="NKN290" s="1144"/>
      <c r="NKO290" s="1144"/>
      <c r="NKP290" s="1144"/>
      <c r="NKQ290" s="1144"/>
      <c r="NKR290" s="1144"/>
      <c r="NKS290" s="1144"/>
      <c r="NKT290" s="1144"/>
      <c r="NKU290" s="1144"/>
      <c r="NKV290" s="1144"/>
      <c r="NKW290" s="1144"/>
      <c r="NKX290" s="1144"/>
      <c r="NKY290" s="1144"/>
      <c r="NKZ290" s="1144"/>
      <c r="NLA290" s="1144"/>
      <c r="NLB290" s="1144"/>
      <c r="NLC290" s="1144"/>
      <c r="NLD290" s="1144"/>
      <c r="NLE290" s="1144"/>
      <c r="NLF290" s="1144"/>
      <c r="NLG290" s="1144"/>
      <c r="NLH290" s="1144"/>
      <c r="NLI290" s="1144"/>
      <c r="NLJ290" s="1144"/>
      <c r="NLK290" s="1144"/>
      <c r="NLL290" s="1144"/>
      <c r="NLM290" s="1144"/>
      <c r="NLN290" s="1144"/>
      <c r="NLO290" s="1144"/>
      <c r="NLP290" s="1144"/>
      <c r="NLQ290" s="1144"/>
      <c r="NLR290" s="1144"/>
      <c r="NLS290" s="1144"/>
      <c r="NLT290" s="1144"/>
      <c r="NLU290" s="1144"/>
      <c r="NLV290" s="1144"/>
      <c r="NLW290" s="1144"/>
      <c r="NLX290" s="1144"/>
      <c r="NLY290" s="1144"/>
      <c r="NLZ290" s="1144"/>
      <c r="NMA290" s="1144"/>
      <c r="NMB290" s="1144"/>
      <c r="NMC290" s="1144"/>
      <c r="NMD290" s="1144"/>
      <c r="NME290" s="1144"/>
      <c r="NMF290" s="1144"/>
      <c r="NMG290" s="1144"/>
      <c r="NMH290" s="1144"/>
      <c r="NMI290" s="1144"/>
      <c r="NMJ290" s="1144"/>
      <c r="NMK290" s="1144"/>
      <c r="NML290" s="1144"/>
      <c r="NMM290" s="1144"/>
      <c r="NMN290" s="1144"/>
      <c r="NMO290" s="1144"/>
      <c r="NMP290" s="1144"/>
      <c r="NMQ290" s="1144"/>
      <c r="NMR290" s="1144"/>
      <c r="NMS290" s="1144"/>
      <c r="NMT290" s="1144"/>
      <c r="NMU290" s="1144"/>
      <c r="NMV290" s="1144"/>
      <c r="NMW290" s="1144"/>
      <c r="NMX290" s="1144"/>
      <c r="NMY290" s="1144"/>
      <c r="NMZ290" s="1144"/>
      <c r="NNA290" s="1144"/>
      <c r="NNB290" s="1144"/>
      <c r="NNC290" s="1144"/>
      <c r="NND290" s="1144"/>
      <c r="NNE290" s="1144"/>
      <c r="NNF290" s="1144"/>
      <c r="NNG290" s="1144"/>
      <c r="NNH290" s="1144"/>
      <c r="NNI290" s="1144"/>
      <c r="NNJ290" s="1144"/>
      <c r="NNK290" s="1144"/>
      <c r="NNL290" s="1144"/>
      <c r="NNM290" s="1144"/>
      <c r="NNN290" s="1144"/>
      <c r="NNO290" s="1144"/>
      <c r="NNP290" s="1144"/>
      <c r="NNQ290" s="1144"/>
      <c r="NNR290" s="1144"/>
      <c r="NNS290" s="1144"/>
      <c r="NNT290" s="1144"/>
      <c r="NNU290" s="1144"/>
      <c r="NNV290" s="1144"/>
      <c r="NNW290" s="1144"/>
      <c r="NNX290" s="1144"/>
      <c r="NNY290" s="1144"/>
      <c r="NNZ290" s="1144"/>
      <c r="NOA290" s="1144"/>
      <c r="NOB290" s="1144"/>
      <c r="NOC290" s="1144"/>
      <c r="NOD290" s="1144"/>
      <c r="NOE290" s="1144"/>
      <c r="NOF290" s="1144"/>
      <c r="NOG290" s="1144"/>
      <c r="NOH290" s="1144"/>
      <c r="NOI290" s="1144"/>
      <c r="NOJ290" s="1144"/>
      <c r="NOK290" s="1144"/>
      <c r="NOL290" s="1144"/>
      <c r="NOM290" s="1144"/>
      <c r="NON290" s="1144"/>
      <c r="NOO290" s="1144"/>
      <c r="NOP290" s="1144"/>
      <c r="NOQ290" s="1144"/>
      <c r="NOR290" s="1144"/>
      <c r="NOS290" s="1144"/>
      <c r="NOT290" s="1144"/>
      <c r="NOU290" s="1144"/>
      <c r="NOV290" s="1144"/>
      <c r="NOW290" s="1144"/>
      <c r="NOX290" s="1144"/>
      <c r="NOY290" s="1144"/>
      <c r="NOZ290" s="1144"/>
      <c r="NPA290" s="1144"/>
      <c r="NPB290" s="1144"/>
      <c r="NPC290" s="1144"/>
      <c r="NPD290" s="1144"/>
      <c r="NPE290" s="1144"/>
      <c r="NPF290" s="1144"/>
      <c r="NPG290" s="1144"/>
      <c r="NPH290" s="1144"/>
      <c r="NPI290" s="1144"/>
      <c r="NPJ290" s="1144"/>
      <c r="NPK290" s="1144"/>
      <c r="NPL290" s="1144"/>
      <c r="NPM290" s="1144"/>
      <c r="NPN290" s="1144"/>
      <c r="NPO290" s="1144"/>
      <c r="NPP290" s="1144"/>
      <c r="NPQ290" s="1144"/>
      <c r="NPR290" s="1144"/>
      <c r="NPS290" s="1144"/>
      <c r="NPT290" s="1144"/>
      <c r="NPU290" s="1144"/>
      <c r="NPV290" s="1144"/>
      <c r="NPW290" s="1144"/>
      <c r="NPX290" s="1144"/>
      <c r="NPY290" s="1144"/>
      <c r="NPZ290" s="1144"/>
      <c r="NQA290" s="1144"/>
      <c r="NQB290" s="1144"/>
      <c r="NQC290" s="1144"/>
      <c r="NQD290" s="1144"/>
      <c r="NQE290" s="1144"/>
      <c r="NQF290" s="1144"/>
      <c r="NQG290" s="1144"/>
      <c r="NQH290" s="1144"/>
      <c r="NQI290" s="1144"/>
      <c r="NQJ290" s="1144"/>
      <c r="NQK290" s="1144"/>
      <c r="NQL290" s="1144"/>
      <c r="NQM290" s="1144"/>
      <c r="NQN290" s="1144"/>
      <c r="NQO290" s="1144"/>
      <c r="NQP290" s="1144"/>
      <c r="NQQ290" s="1144"/>
      <c r="NQR290" s="1144"/>
      <c r="NQS290" s="1144"/>
      <c r="NQT290" s="1144"/>
      <c r="NQU290" s="1144"/>
      <c r="NQV290" s="1144"/>
      <c r="NQW290" s="1144"/>
      <c r="NQX290" s="1144"/>
      <c r="NQY290" s="1144"/>
      <c r="NQZ290" s="1144"/>
      <c r="NRA290" s="1144"/>
      <c r="NRB290" s="1144"/>
      <c r="NRC290" s="1144"/>
      <c r="NRD290" s="1144"/>
      <c r="NRE290" s="1144"/>
      <c r="NRF290" s="1144"/>
      <c r="NRG290" s="1144"/>
      <c r="NRH290" s="1144"/>
      <c r="NRI290" s="1144"/>
      <c r="NRJ290" s="1144"/>
      <c r="NRK290" s="1144"/>
      <c r="NRL290" s="1144"/>
      <c r="NRM290" s="1144"/>
      <c r="NRN290" s="1144"/>
      <c r="NRO290" s="1144"/>
      <c r="NRP290" s="1144"/>
      <c r="NRQ290" s="1144"/>
      <c r="NRR290" s="1144"/>
      <c r="NRS290" s="1144"/>
      <c r="NRT290" s="1144"/>
      <c r="NRU290" s="1144"/>
      <c r="NRV290" s="1144"/>
      <c r="NRW290" s="1144"/>
      <c r="NRX290" s="1144"/>
      <c r="NRY290" s="1144"/>
      <c r="NRZ290" s="1144"/>
      <c r="NSA290" s="1144"/>
      <c r="NSB290" s="1144"/>
      <c r="NSC290" s="1144"/>
      <c r="NSD290" s="1144"/>
      <c r="NSE290" s="1144"/>
      <c r="NSF290" s="1144"/>
      <c r="NSG290" s="1144"/>
      <c r="NSH290" s="1144"/>
      <c r="NSI290" s="1144"/>
      <c r="NSJ290" s="1144"/>
      <c r="NSK290" s="1144"/>
      <c r="NSL290" s="1144"/>
      <c r="NSM290" s="1144"/>
      <c r="NSN290" s="1144"/>
      <c r="NSO290" s="1144"/>
      <c r="NSP290" s="1144"/>
      <c r="NSQ290" s="1144"/>
      <c r="NSR290" s="1144"/>
      <c r="NSS290" s="1144"/>
      <c r="NST290" s="1144"/>
      <c r="NSU290" s="1144"/>
      <c r="NSV290" s="1144"/>
      <c r="NSW290" s="1144"/>
      <c r="NSX290" s="1144"/>
      <c r="NSY290" s="1144"/>
      <c r="NSZ290" s="1144"/>
      <c r="NTA290" s="1144"/>
      <c r="NTB290" s="1144"/>
      <c r="NTC290" s="1144"/>
      <c r="NTD290" s="1144"/>
      <c r="NTE290" s="1144"/>
      <c r="NTF290" s="1144"/>
      <c r="NTG290" s="1144"/>
      <c r="NTH290" s="1144"/>
      <c r="NTI290" s="1144"/>
      <c r="NTJ290" s="1144"/>
      <c r="NTK290" s="1144"/>
      <c r="NTL290" s="1144"/>
      <c r="NTM290" s="1144"/>
      <c r="NTN290" s="1144"/>
      <c r="NTO290" s="1144"/>
      <c r="NTP290" s="1144"/>
      <c r="NTQ290" s="1144"/>
      <c r="NTR290" s="1144"/>
      <c r="NTS290" s="1144"/>
      <c r="NTT290" s="1144"/>
      <c r="NTU290" s="1144"/>
      <c r="NTV290" s="1144"/>
      <c r="NTW290" s="1144"/>
      <c r="NTX290" s="1144"/>
      <c r="NTY290" s="1144"/>
      <c r="NTZ290" s="1144"/>
      <c r="NUA290" s="1144"/>
      <c r="NUB290" s="1144"/>
      <c r="NUC290" s="1144"/>
      <c r="NUD290" s="1144"/>
      <c r="NUE290" s="1144"/>
      <c r="NUF290" s="1144"/>
      <c r="NUG290" s="1144"/>
      <c r="NUH290" s="1144"/>
      <c r="NUI290" s="1144"/>
      <c r="NUJ290" s="1144"/>
      <c r="NUK290" s="1144"/>
      <c r="NUL290" s="1144"/>
      <c r="NUM290" s="1144"/>
      <c r="NUN290" s="1144"/>
      <c r="NUO290" s="1144"/>
      <c r="NUP290" s="1144"/>
      <c r="NUQ290" s="1144"/>
      <c r="NUR290" s="1144"/>
      <c r="NUS290" s="1144"/>
      <c r="NUT290" s="1144"/>
      <c r="NUU290" s="1144"/>
      <c r="NUV290" s="1144"/>
      <c r="NUW290" s="1144"/>
      <c r="NUX290" s="1144"/>
      <c r="NUY290" s="1144"/>
      <c r="NUZ290" s="1144"/>
      <c r="NVA290" s="1144"/>
      <c r="NVB290" s="1144"/>
      <c r="NVC290" s="1144"/>
      <c r="NVD290" s="1144"/>
      <c r="NVE290" s="1144"/>
      <c r="NVF290" s="1144"/>
      <c r="NVG290" s="1144"/>
      <c r="NVH290" s="1144"/>
      <c r="NVI290" s="1144"/>
      <c r="NVJ290" s="1144"/>
      <c r="NVK290" s="1144"/>
      <c r="NVL290" s="1144"/>
      <c r="NVM290" s="1144"/>
      <c r="NVN290" s="1144"/>
      <c r="NVO290" s="1144"/>
      <c r="NVP290" s="1144"/>
      <c r="NVQ290" s="1144"/>
      <c r="NVR290" s="1144"/>
      <c r="NVS290" s="1144"/>
      <c r="NVT290" s="1144"/>
      <c r="NVU290" s="1144"/>
      <c r="NVV290" s="1144"/>
      <c r="NVW290" s="1144"/>
      <c r="NVX290" s="1144"/>
      <c r="NVY290" s="1144"/>
      <c r="NVZ290" s="1144"/>
      <c r="NWA290" s="1144"/>
      <c r="NWB290" s="1144"/>
      <c r="NWC290" s="1144"/>
      <c r="NWD290" s="1144"/>
      <c r="NWE290" s="1144"/>
      <c r="NWF290" s="1144"/>
      <c r="NWG290" s="1144"/>
      <c r="NWH290" s="1144"/>
      <c r="NWI290" s="1144"/>
      <c r="NWJ290" s="1144"/>
      <c r="NWK290" s="1144"/>
      <c r="NWL290" s="1144"/>
      <c r="NWM290" s="1144"/>
      <c r="NWN290" s="1144"/>
      <c r="NWO290" s="1144"/>
      <c r="NWP290" s="1144"/>
      <c r="NWQ290" s="1144"/>
      <c r="NWR290" s="1144"/>
      <c r="NWS290" s="1144"/>
      <c r="NWT290" s="1144"/>
      <c r="NWU290" s="1144"/>
      <c r="NWV290" s="1144"/>
      <c r="NWW290" s="1144"/>
      <c r="NWX290" s="1144"/>
      <c r="NWY290" s="1144"/>
      <c r="NWZ290" s="1144"/>
      <c r="NXA290" s="1144"/>
      <c r="NXB290" s="1144"/>
      <c r="NXC290" s="1144"/>
      <c r="NXD290" s="1144"/>
      <c r="NXE290" s="1144"/>
      <c r="NXF290" s="1144"/>
      <c r="NXG290" s="1144"/>
      <c r="NXH290" s="1144"/>
      <c r="NXI290" s="1144"/>
      <c r="NXJ290" s="1144"/>
      <c r="NXK290" s="1144"/>
      <c r="NXL290" s="1144"/>
      <c r="NXM290" s="1144"/>
      <c r="NXN290" s="1144"/>
      <c r="NXO290" s="1144"/>
      <c r="NXP290" s="1144"/>
      <c r="NXQ290" s="1144"/>
      <c r="NXR290" s="1144"/>
      <c r="NXS290" s="1144"/>
      <c r="NXT290" s="1144"/>
      <c r="NXU290" s="1144"/>
      <c r="NXV290" s="1144"/>
      <c r="NXW290" s="1144"/>
      <c r="NXX290" s="1144"/>
      <c r="NXY290" s="1144"/>
      <c r="NXZ290" s="1144"/>
      <c r="NYA290" s="1144"/>
      <c r="NYB290" s="1144"/>
      <c r="NYC290" s="1144"/>
      <c r="NYD290" s="1144"/>
      <c r="NYE290" s="1144"/>
      <c r="NYF290" s="1144"/>
      <c r="NYG290" s="1144"/>
      <c r="NYH290" s="1144"/>
      <c r="NYI290" s="1144"/>
      <c r="NYJ290" s="1144"/>
      <c r="NYK290" s="1144"/>
      <c r="NYL290" s="1144"/>
      <c r="NYM290" s="1144"/>
      <c r="NYN290" s="1144"/>
      <c r="NYO290" s="1144"/>
      <c r="NYP290" s="1144"/>
      <c r="NYQ290" s="1144"/>
      <c r="NYR290" s="1144"/>
      <c r="NYS290" s="1144"/>
      <c r="NYT290" s="1144"/>
      <c r="NYU290" s="1144"/>
      <c r="NYV290" s="1144"/>
      <c r="NYW290" s="1144"/>
      <c r="NYX290" s="1144"/>
      <c r="NYY290" s="1144"/>
      <c r="NYZ290" s="1144"/>
      <c r="NZA290" s="1144"/>
      <c r="NZB290" s="1144"/>
      <c r="NZC290" s="1144"/>
      <c r="NZD290" s="1144"/>
      <c r="NZE290" s="1144"/>
      <c r="NZF290" s="1144"/>
      <c r="NZG290" s="1144"/>
      <c r="NZH290" s="1144"/>
      <c r="NZI290" s="1144"/>
      <c r="NZJ290" s="1144"/>
      <c r="NZK290" s="1144"/>
      <c r="NZL290" s="1144"/>
      <c r="NZM290" s="1144"/>
      <c r="NZN290" s="1144"/>
      <c r="NZO290" s="1144"/>
      <c r="NZP290" s="1144"/>
      <c r="NZQ290" s="1144"/>
      <c r="NZR290" s="1144"/>
      <c r="NZS290" s="1144"/>
      <c r="NZT290" s="1144"/>
      <c r="NZU290" s="1144"/>
      <c r="NZV290" s="1144"/>
      <c r="NZW290" s="1144"/>
      <c r="NZX290" s="1144"/>
      <c r="NZY290" s="1144"/>
      <c r="NZZ290" s="1144"/>
      <c r="OAA290" s="1144"/>
      <c r="OAB290" s="1144"/>
      <c r="OAC290" s="1144"/>
      <c r="OAD290" s="1144"/>
      <c r="OAE290" s="1144"/>
      <c r="OAF290" s="1144"/>
      <c r="OAG290" s="1144"/>
      <c r="OAH290" s="1144"/>
      <c r="OAI290" s="1144"/>
      <c r="OAJ290" s="1144"/>
      <c r="OAK290" s="1144"/>
      <c r="OAL290" s="1144"/>
      <c r="OAM290" s="1144"/>
      <c r="OAN290" s="1144"/>
      <c r="OAO290" s="1144"/>
      <c r="OAP290" s="1144"/>
      <c r="OAQ290" s="1144"/>
      <c r="OAR290" s="1144"/>
      <c r="OAS290" s="1144"/>
      <c r="OAT290" s="1144"/>
      <c r="OAU290" s="1144"/>
      <c r="OAV290" s="1144"/>
      <c r="OAW290" s="1144"/>
      <c r="OAX290" s="1144"/>
      <c r="OAY290" s="1144"/>
      <c r="OAZ290" s="1144"/>
      <c r="OBA290" s="1144"/>
      <c r="OBB290" s="1144"/>
      <c r="OBC290" s="1144"/>
      <c r="OBD290" s="1144"/>
      <c r="OBE290" s="1144"/>
      <c r="OBF290" s="1144"/>
      <c r="OBG290" s="1144"/>
      <c r="OBH290" s="1144"/>
      <c r="OBI290" s="1144"/>
      <c r="OBJ290" s="1144"/>
      <c r="OBK290" s="1144"/>
      <c r="OBL290" s="1144"/>
      <c r="OBM290" s="1144"/>
      <c r="OBN290" s="1144"/>
      <c r="OBO290" s="1144"/>
      <c r="OBP290" s="1144"/>
      <c r="OBQ290" s="1144"/>
      <c r="OBR290" s="1144"/>
      <c r="OBS290" s="1144"/>
      <c r="OBT290" s="1144"/>
      <c r="OBU290" s="1144"/>
      <c r="OBV290" s="1144"/>
      <c r="OBW290" s="1144"/>
      <c r="OBX290" s="1144"/>
      <c r="OBY290" s="1144"/>
      <c r="OBZ290" s="1144"/>
      <c r="OCA290" s="1144"/>
      <c r="OCB290" s="1144"/>
      <c r="OCC290" s="1144"/>
      <c r="OCD290" s="1144"/>
      <c r="OCE290" s="1144"/>
      <c r="OCF290" s="1144"/>
      <c r="OCG290" s="1144"/>
      <c r="OCH290" s="1144"/>
      <c r="OCI290" s="1144"/>
      <c r="OCJ290" s="1144"/>
      <c r="OCK290" s="1144"/>
      <c r="OCL290" s="1144"/>
      <c r="OCM290" s="1144"/>
      <c r="OCN290" s="1144"/>
      <c r="OCO290" s="1144"/>
      <c r="OCP290" s="1144"/>
      <c r="OCQ290" s="1144"/>
      <c r="OCR290" s="1144"/>
      <c r="OCS290" s="1144"/>
      <c r="OCT290" s="1144"/>
      <c r="OCU290" s="1144"/>
      <c r="OCV290" s="1144"/>
      <c r="OCW290" s="1144"/>
      <c r="OCX290" s="1144"/>
      <c r="OCY290" s="1144"/>
      <c r="OCZ290" s="1144"/>
      <c r="ODA290" s="1144"/>
      <c r="ODB290" s="1144"/>
      <c r="ODC290" s="1144"/>
      <c r="ODD290" s="1144"/>
      <c r="ODE290" s="1144"/>
      <c r="ODF290" s="1144"/>
      <c r="ODG290" s="1144"/>
      <c r="ODH290" s="1144"/>
      <c r="ODI290" s="1144"/>
      <c r="ODJ290" s="1144"/>
      <c r="ODK290" s="1144"/>
      <c r="ODL290" s="1144"/>
      <c r="ODM290" s="1144"/>
      <c r="ODN290" s="1144"/>
      <c r="ODO290" s="1144"/>
      <c r="ODP290" s="1144"/>
      <c r="ODQ290" s="1144"/>
      <c r="ODR290" s="1144"/>
      <c r="ODS290" s="1144"/>
      <c r="ODT290" s="1144"/>
      <c r="ODU290" s="1144"/>
      <c r="ODV290" s="1144"/>
      <c r="ODW290" s="1144"/>
      <c r="ODX290" s="1144"/>
      <c r="ODY290" s="1144"/>
      <c r="ODZ290" s="1144"/>
      <c r="OEA290" s="1144"/>
      <c r="OEB290" s="1144"/>
      <c r="OEC290" s="1144"/>
      <c r="OED290" s="1144"/>
      <c r="OEE290" s="1144"/>
      <c r="OEF290" s="1144"/>
      <c r="OEG290" s="1144"/>
      <c r="OEH290" s="1144"/>
      <c r="OEI290" s="1144"/>
      <c r="OEJ290" s="1144"/>
      <c r="OEK290" s="1144"/>
      <c r="OEL290" s="1144"/>
      <c r="OEM290" s="1144"/>
      <c r="OEN290" s="1144"/>
      <c r="OEO290" s="1144"/>
      <c r="OEP290" s="1144"/>
      <c r="OEQ290" s="1144"/>
      <c r="OER290" s="1144"/>
      <c r="OES290" s="1144"/>
      <c r="OET290" s="1144"/>
      <c r="OEU290" s="1144"/>
      <c r="OEV290" s="1144"/>
      <c r="OEW290" s="1144"/>
      <c r="OEX290" s="1144"/>
      <c r="OEY290" s="1144"/>
      <c r="OEZ290" s="1144"/>
      <c r="OFA290" s="1144"/>
      <c r="OFB290" s="1144"/>
      <c r="OFC290" s="1144"/>
      <c r="OFD290" s="1144"/>
      <c r="OFE290" s="1144"/>
      <c r="OFF290" s="1144"/>
      <c r="OFG290" s="1144"/>
      <c r="OFH290" s="1144"/>
      <c r="OFI290" s="1144"/>
      <c r="OFJ290" s="1144"/>
      <c r="OFK290" s="1144"/>
      <c r="OFL290" s="1144"/>
      <c r="OFM290" s="1144"/>
      <c r="OFN290" s="1144"/>
      <c r="OFO290" s="1144"/>
      <c r="OFP290" s="1144"/>
      <c r="OFQ290" s="1144"/>
      <c r="OFR290" s="1144"/>
      <c r="OFS290" s="1144"/>
      <c r="OFT290" s="1144"/>
      <c r="OFU290" s="1144"/>
      <c r="OFV290" s="1144"/>
      <c r="OFW290" s="1144"/>
      <c r="OFX290" s="1144"/>
      <c r="OFY290" s="1144"/>
      <c r="OFZ290" s="1144"/>
      <c r="OGA290" s="1144"/>
      <c r="OGB290" s="1144"/>
      <c r="OGC290" s="1144"/>
      <c r="OGD290" s="1144"/>
      <c r="OGE290" s="1144"/>
      <c r="OGF290" s="1144"/>
      <c r="OGG290" s="1144"/>
      <c r="OGH290" s="1144"/>
      <c r="OGI290" s="1144"/>
      <c r="OGJ290" s="1144"/>
      <c r="OGK290" s="1144"/>
      <c r="OGL290" s="1144"/>
      <c r="OGM290" s="1144"/>
      <c r="OGN290" s="1144"/>
      <c r="OGO290" s="1144"/>
      <c r="OGP290" s="1144"/>
      <c r="OGQ290" s="1144"/>
      <c r="OGR290" s="1144"/>
      <c r="OGS290" s="1144"/>
      <c r="OGT290" s="1144"/>
      <c r="OGU290" s="1144"/>
      <c r="OGV290" s="1144"/>
      <c r="OGW290" s="1144"/>
      <c r="OGX290" s="1144"/>
      <c r="OGY290" s="1144"/>
      <c r="OGZ290" s="1144"/>
      <c r="OHA290" s="1144"/>
      <c r="OHB290" s="1144"/>
      <c r="OHC290" s="1144"/>
      <c r="OHD290" s="1144"/>
      <c r="OHE290" s="1144"/>
      <c r="OHF290" s="1144"/>
      <c r="OHG290" s="1144"/>
      <c r="OHH290" s="1144"/>
      <c r="OHI290" s="1144"/>
      <c r="OHJ290" s="1144"/>
      <c r="OHK290" s="1144"/>
      <c r="OHL290" s="1144"/>
      <c r="OHM290" s="1144"/>
      <c r="OHN290" s="1144"/>
      <c r="OHO290" s="1144"/>
      <c r="OHP290" s="1144"/>
      <c r="OHQ290" s="1144"/>
      <c r="OHR290" s="1144"/>
      <c r="OHS290" s="1144"/>
      <c r="OHT290" s="1144"/>
      <c r="OHU290" s="1144"/>
      <c r="OHV290" s="1144"/>
      <c r="OHW290" s="1144"/>
      <c r="OHX290" s="1144"/>
      <c r="OHY290" s="1144"/>
      <c r="OHZ290" s="1144"/>
      <c r="OIA290" s="1144"/>
      <c r="OIB290" s="1144"/>
      <c r="OIC290" s="1144"/>
      <c r="OID290" s="1144"/>
      <c r="OIE290" s="1144"/>
      <c r="OIF290" s="1144"/>
      <c r="OIG290" s="1144"/>
      <c r="OIH290" s="1144"/>
      <c r="OII290" s="1144"/>
      <c r="OIJ290" s="1144"/>
      <c r="OIK290" s="1144"/>
      <c r="OIL290" s="1144"/>
      <c r="OIM290" s="1144"/>
      <c r="OIN290" s="1144"/>
      <c r="OIO290" s="1144"/>
      <c r="OIP290" s="1144"/>
      <c r="OIQ290" s="1144"/>
      <c r="OIR290" s="1144"/>
      <c r="OIS290" s="1144"/>
      <c r="OIT290" s="1144"/>
      <c r="OIU290" s="1144"/>
      <c r="OIV290" s="1144"/>
      <c r="OIW290" s="1144"/>
      <c r="OIX290" s="1144"/>
      <c r="OIY290" s="1144"/>
      <c r="OIZ290" s="1144"/>
      <c r="OJA290" s="1144"/>
      <c r="OJB290" s="1144"/>
      <c r="OJC290" s="1144"/>
      <c r="OJD290" s="1144"/>
      <c r="OJE290" s="1144"/>
      <c r="OJF290" s="1144"/>
      <c r="OJG290" s="1144"/>
      <c r="OJH290" s="1144"/>
      <c r="OJI290" s="1144"/>
      <c r="OJJ290" s="1144"/>
      <c r="OJK290" s="1144"/>
      <c r="OJL290" s="1144"/>
      <c r="OJM290" s="1144"/>
      <c r="OJN290" s="1144"/>
      <c r="OJO290" s="1144"/>
      <c r="OJP290" s="1144"/>
      <c r="OJQ290" s="1144"/>
      <c r="OJR290" s="1144"/>
      <c r="OJS290" s="1144"/>
      <c r="OJT290" s="1144"/>
      <c r="OJU290" s="1144"/>
      <c r="OJV290" s="1144"/>
      <c r="OJW290" s="1144"/>
      <c r="OJX290" s="1144"/>
      <c r="OJY290" s="1144"/>
      <c r="OJZ290" s="1144"/>
      <c r="OKA290" s="1144"/>
      <c r="OKB290" s="1144"/>
      <c r="OKC290" s="1144"/>
      <c r="OKD290" s="1144"/>
      <c r="OKE290" s="1144"/>
      <c r="OKF290" s="1144"/>
      <c r="OKG290" s="1144"/>
      <c r="OKH290" s="1144"/>
      <c r="OKI290" s="1144"/>
      <c r="OKJ290" s="1144"/>
      <c r="OKK290" s="1144"/>
      <c r="OKL290" s="1144"/>
      <c r="OKM290" s="1144"/>
      <c r="OKN290" s="1144"/>
      <c r="OKO290" s="1144"/>
      <c r="OKP290" s="1144"/>
      <c r="OKQ290" s="1144"/>
      <c r="OKR290" s="1144"/>
      <c r="OKS290" s="1144"/>
      <c r="OKT290" s="1144"/>
      <c r="OKU290" s="1144"/>
      <c r="OKV290" s="1144"/>
      <c r="OKW290" s="1144"/>
      <c r="OKX290" s="1144"/>
      <c r="OKY290" s="1144"/>
      <c r="OKZ290" s="1144"/>
      <c r="OLA290" s="1144"/>
      <c r="OLB290" s="1144"/>
      <c r="OLC290" s="1144"/>
      <c r="OLD290" s="1144"/>
      <c r="OLE290" s="1144"/>
      <c r="OLF290" s="1144"/>
      <c r="OLG290" s="1144"/>
      <c r="OLH290" s="1144"/>
      <c r="OLI290" s="1144"/>
      <c r="OLJ290" s="1144"/>
      <c r="OLK290" s="1144"/>
      <c r="OLL290" s="1144"/>
      <c r="OLM290" s="1144"/>
      <c r="OLN290" s="1144"/>
      <c r="OLO290" s="1144"/>
      <c r="OLP290" s="1144"/>
      <c r="OLQ290" s="1144"/>
      <c r="OLR290" s="1144"/>
      <c r="OLS290" s="1144"/>
      <c r="OLT290" s="1144"/>
      <c r="OLU290" s="1144"/>
      <c r="OLV290" s="1144"/>
      <c r="OLW290" s="1144"/>
      <c r="OLX290" s="1144"/>
      <c r="OLY290" s="1144"/>
      <c r="OLZ290" s="1144"/>
      <c r="OMA290" s="1144"/>
      <c r="OMB290" s="1144"/>
      <c r="OMC290" s="1144"/>
      <c r="OMD290" s="1144"/>
      <c r="OME290" s="1144"/>
      <c r="OMF290" s="1144"/>
      <c r="OMG290" s="1144"/>
      <c r="OMH290" s="1144"/>
      <c r="OMI290" s="1144"/>
      <c r="OMJ290" s="1144"/>
      <c r="OMK290" s="1144"/>
      <c r="OML290" s="1144"/>
      <c r="OMM290" s="1144"/>
      <c r="OMN290" s="1144"/>
      <c r="OMO290" s="1144"/>
      <c r="OMP290" s="1144"/>
      <c r="OMQ290" s="1144"/>
      <c r="OMR290" s="1144"/>
      <c r="OMS290" s="1144"/>
      <c r="OMT290" s="1144"/>
      <c r="OMU290" s="1144"/>
      <c r="OMV290" s="1144"/>
      <c r="OMW290" s="1144"/>
      <c r="OMX290" s="1144"/>
      <c r="OMY290" s="1144"/>
      <c r="OMZ290" s="1144"/>
      <c r="ONA290" s="1144"/>
      <c r="ONB290" s="1144"/>
      <c r="ONC290" s="1144"/>
      <c r="OND290" s="1144"/>
      <c r="ONE290" s="1144"/>
      <c r="ONF290" s="1144"/>
      <c r="ONG290" s="1144"/>
      <c r="ONH290" s="1144"/>
      <c r="ONI290" s="1144"/>
      <c r="ONJ290" s="1144"/>
      <c r="ONK290" s="1144"/>
      <c r="ONL290" s="1144"/>
      <c r="ONM290" s="1144"/>
      <c r="ONN290" s="1144"/>
      <c r="ONO290" s="1144"/>
      <c r="ONP290" s="1144"/>
      <c r="ONQ290" s="1144"/>
      <c r="ONR290" s="1144"/>
      <c r="ONS290" s="1144"/>
      <c r="ONT290" s="1144"/>
      <c r="ONU290" s="1144"/>
      <c r="ONV290" s="1144"/>
      <c r="ONW290" s="1144"/>
      <c r="ONX290" s="1144"/>
      <c r="ONY290" s="1144"/>
      <c r="ONZ290" s="1144"/>
      <c r="OOA290" s="1144"/>
      <c r="OOB290" s="1144"/>
      <c r="OOC290" s="1144"/>
      <c r="OOD290" s="1144"/>
      <c r="OOE290" s="1144"/>
      <c r="OOF290" s="1144"/>
      <c r="OOG290" s="1144"/>
      <c r="OOH290" s="1144"/>
      <c r="OOI290" s="1144"/>
      <c r="OOJ290" s="1144"/>
      <c r="OOK290" s="1144"/>
      <c r="OOL290" s="1144"/>
      <c r="OOM290" s="1144"/>
      <c r="OON290" s="1144"/>
      <c r="OOO290" s="1144"/>
      <c r="OOP290" s="1144"/>
      <c r="OOQ290" s="1144"/>
      <c r="OOR290" s="1144"/>
      <c r="OOS290" s="1144"/>
      <c r="OOT290" s="1144"/>
      <c r="OOU290" s="1144"/>
      <c r="OOV290" s="1144"/>
      <c r="OOW290" s="1144"/>
      <c r="OOX290" s="1144"/>
      <c r="OOY290" s="1144"/>
      <c r="OOZ290" s="1144"/>
      <c r="OPA290" s="1144"/>
      <c r="OPB290" s="1144"/>
      <c r="OPC290" s="1144"/>
      <c r="OPD290" s="1144"/>
      <c r="OPE290" s="1144"/>
      <c r="OPF290" s="1144"/>
      <c r="OPG290" s="1144"/>
      <c r="OPH290" s="1144"/>
      <c r="OPI290" s="1144"/>
      <c r="OPJ290" s="1144"/>
      <c r="OPK290" s="1144"/>
      <c r="OPL290" s="1144"/>
      <c r="OPM290" s="1144"/>
      <c r="OPN290" s="1144"/>
      <c r="OPO290" s="1144"/>
      <c r="OPP290" s="1144"/>
      <c r="OPQ290" s="1144"/>
      <c r="OPR290" s="1144"/>
      <c r="OPS290" s="1144"/>
      <c r="OPT290" s="1144"/>
      <c r="OPU290" s="1144"/>
      <c r="OPV290" s="1144"/>
      <c r="OPW290" s="1144"/>
      <c r="OPX290" s="1144"/>
      <c r="OPY290" s="1144"/>
      <c r="OPZ290" s="1144"/>
      <c r="OQA290" s="1144"/>
      <c r="OQB290" s="1144"/>
      <c r="OQC290" s="1144"/>
      <c r="OQD290" s="1144"/>
      <c r="OQE290" s="1144"/>
      <c r="OQF290" s="1144"/>
      <c r="OQG290" s="1144"/>
      <c r="OQH290" s="1144"/>
      <c r="OQI290" s="1144"/>
      <c r="OQJ290" s="1144"/>
      <c r="OQK290" s="1144"/>
      <c r="OQL290" s="1144"/>
      <c r="OQM290" s="1144"/>
      <c r="OQN290" s="1144"/>
      <c r="OQO290" s="1144"/>
      <c r="OQP290" s="1144"/>
      <c r="OQQ290" s="1144"/>
      <c r="OQR290" s="1144"/>
      <c r="OQS290" s="1144"/>
      <c r="OQT290" s="1144"/>
      <c r="OQU290" s="1144"/>
      <c r="OQV290" s="1144"/>
      <c r="OQW290" s="1144"/>
      <c r="OQX290" s="1144"/>
      <c r="OQY290" s="1144"/>
      <c r="OQZ290" s="1144"/>
      <c r="ORA290" s="1144"/>
      <c r="ORB290" s="1144"/>
      <c r="ORC290" s="1144"/>
      <c r="ORD290" s="1144"/>
      <c r="ORE290" s="1144"/>
      <c r="ORF290" s="1144"/>
      <c r="ORG290" s="1144"/>
      <c r="ORH290" s="1144"/>
      <c r="ORI290" s="1144"/>
      <c r="ORJ290" s="1144"/>
      <c r="ORK290" s="1144"/>
      <c r="ORL290" s="1144"/>
      <c r="ORM290" s="1144"/>
      <c r="ORN290" s="1144"/>
      <c r="ORO290" s="1144"/>
      <c r="ORP290" s="1144"/>
      <c r="ORQ290" s="1144"/>
      <c r="ORR290" s="1144"/>
      <c r="ORS290" s="1144"/>
      <c r="ORT290" s="1144"/>
      <c r="ORU290" s="1144"/>
      <c r="ORV290" s="1144"/>
      <c r="ORW290" s="1144"/>
      <c r="ORX290" s="1144"/>
      <c r="ORY290" s="1144"/>
      <c r="ORZ290" s="1144"/>
      <c r="OSA290" s="1144"/>
      <c r="OSB290" s="1144"/>
      <c r="OSC290" s="1144"/>
      <c r="OSD290" s="1144"/>
      <c r="OSE290" s="1144"/>
      <c r="OSF290" s="1144"/>
      <c r="OSG290" s="1144"/>
      <c r="OSH290" s="1144"/>
      <c r="OSI290" s="1144"/>
      <c r="OSJ290" s="1144"/>
      <c r="OSK290" s="1144"/>
      <c r="OSL290" s="1144"/>
      <c r="OSM290" s="1144"/>
      <c r="OSN290" s="1144"/>
      <c r="OSO290" s="1144"/>
      <c r="OSP290" s="1144"/>
      <c r="OSQ290" s="1144"/>
      <c r="OSR290" s="1144"/>
      <c r="OSS290" s="1144"/>
      <c r="OST290" s="1144"/>
      <c r="OSU290" s="1144"/>
      <c r="OSV290" s="1144"/>
      <c r="OSW290" s="1144"/>
      <c r="OSX290" s="1144"/>
      <c r="OSY290" s="1144"/>
      <c r="OSZ290" s="1144"/>
      <c r="OTA290" s="1144"/>
      <c r="OTB290" s="1144"/>
      <c r="OTC290" s="1144"/>
      <c r="OTD290" s="1144"/>
      <c r="OTE290" s="1144"/>
      <c r="OTF290" s="1144"/>
      <c r="OTG290" s="1144"/>
      <c r="OTH290" s="1144"/>
      <c r="OTI290" s="1144"/>
      <c r="OTJ290" s="1144"/>
      <c r="OTK290" s="1144"/>
      <c r="OTL290" s="1144"/>
      <c r="OTM290" s="1144"/>
      <c r="OTN290" s="1144"/>
      <c r="OTO290" s="1144"/>
      <c r="OTP290" s="1144"/>
      <c r="OTQ290" s="1144"/>
      <c r="OTR290" s="1144"/>
      <c r="OTS290" s="1144"/>
      <c r="OTT290" s="1144"/>
      <c r="OTU290" s="1144"/>
      <c r="OTV290" s="1144"/>
      <c r="OTW290" s="1144"/>
      <c r="OTX290" s="1144"/>
      <c r="OTY290" s="1144"/>
      <c r="OTZ290" s="1144"/>
      <c r="OUA290" s="1144"/>
      <c r="OUB290" s="1144"/>
      <c r="OUC290" s="1144"/>
      <c r="OUD290" s="1144"/>
      <c r="OUE290" s="1144"/>
      <c r="OUF290" s="1144"/>
      <c r="OUG290" s="1144"/>
      <c r="OUH290" s="1144"/>
      <c r="OUI290" s="1144"/>
      <c r="OUJ290" s="1144"/>
      <c r="OUK290" s="1144"/>
      <c r="OUL290" s="1144"/>
      <c r="OUM290" s="1144"/>
      <c r="OUN290" s="1144"/>
      <c r="OUO290" s="1144"/>
      <c r="OUP290" s="1144"/>
      <c r="OUQ290" s="1144"/>
      <c r="OUR290" s="1144"/>
      <c r="OUS290" s="1144"/>
      <c r="OUT290" s="1144"/>
      <c r="OUU290" s="1144"/>
      <c r="OUV290" s="1144"/>
      <c r="OUW290" s="1144"/>
      <c r="OUX290" s="1144"/>
      <c r="OUY290" s="1144"/>
      <c r="OUZ290" s="1144"/>
      <c r="OVA290" s="1144"/>
      <c r="OVB290" s="1144"/>
      <c r="OVC290" s="1144"/>
      <c r="OVD290" s="1144"/>
      <c r="OVE290" s="1144"/>
      <c r="OVF290" s="1144"/>
      <c r="OVG290" s="1144"/>
      <c r="OVH290" s="1144"/>
      <c r="OVI290" s="1144"/>
      <c r="OVJ290" s="1144"/>
      <c r="OVK290" s="1144"/>
      <c r="OVL290" s="1144"/>
      <c r="OVM290" s="1144"/>
      <c r="OVN290" s="1144"/>
      <c r="OVO290" s="1144"/>
      <c r="OVP290" s="1144"/>
      <c r="OVQ290" s="1144"/>
      <c r="OVR290" s="1144"/>
      <c r="OVS290" s="1144"/>
      <c r="OVT290" s="1144"/>
      <c r="OVU290" s="1144"/>
      <c r="OVV290" s="1144"/>
      <c r="OVW290" s="1144"/>
      <c r="OVX290" s="1144"/>
      <c r="OVY290" s="1144"/>
      <c r="OVZ290" s="1144"/>
      <c r="OWA290" s="1144"/>
      <c r="OWB290" s="1144"/>
      <c r="OWC290" s="1144"/>
      <c r="OWD290" s="1144"/>
      <c r="OWE290" s="1144"/>
      <c r="OWF290" s="1144"/>
      <c r="OWG290" s="1144"/>
      <c r="OWH290" s="1144"/>
      <c r="OWI290" s="1144"/>
      <c r="OWJ290" s="1144"/>
      <c r="OWK290" s="1144"/>
      <c r="OWL290" s="1144"/>
      <c r="OWM290" s="1144"/>
      <c r="OWN290" s="1144"/>
      <c r="OWO290" s="1144"/>
      <c r="OWP290" s="1144"/>
      <c r="OWQ290" s="1144"/>
      <c r="OWR290" s="1144"/>
      <c r="OWS290" s="1144"/>
      <c r="OWT290" s="1144"/>
      <c r="OWU290" s="1144"/>
      <c r="OWV290" s="1144"/>
      <c r="OWW290" s="1144"/>
      <c r="OWX290" s="1144"/>
      <c r="OWY290" s="1144"/>
      <c r="OWZ290" s="1144"/>
      <c r="OXA290" s="1144"/>
      <c r="OXB290" s="1144"/>
      <c r="OXC290" s="1144"/>
      <c r="OXD290" s="1144"/>
      <c r="OXE290" s="1144"/>
      <c r="OXF290" s="1144"/>
      <c r="OXG290" s="1144"/>
      <c r="OXH290" s="1144"/>
      <c r="OXI290" s="1144"/>
      <c r="OXJ290" s="1144"/>
      <c r="OXK290" s="1144"/>
      <c r="OXL290" s="1144"/>
      <c r="OXM290" s="1144"/>
      <c r="OXN290" s="1144"/>
      <c r="OXO290" s="1144"/>
      <c r="OXP290" s="1144"/>
      <c r="OXQ290" s="1144"/>
      <c r="OXR290" s="1144"/>
      <c r="OXS290" s="1144"/>
      <c r="OXT290" s="1144"/>
      <c r="OXU290" s="1144"/>
      <c r="OXV290" s="1144"/>
      <c r="OXW290" s="1144"/>
      <c r="OXX290" s="1144"/>
      <c r="OXY290" s="1144"/>
      <c r="OXZ290" s="1144"/>
      <c r="OYA290" s="1144"/>
      <c r="OYB290" s="1144"/>
      <c r="OYC290" s="1144"/>
      <c r="OYD290" s="1144"/>
      <c r="OYE290" s="1144"/>
      <c r="OYF290" s="1144"/>
      <c r="OYG290" s="1144"/>
      <c r="OYH290" s="1144"/>
      <c r="OYI290" s="1144"/>
      <c r="OYJ290" s="1144"/>
      <c r="OYK290" s="1144"/>
      <c r="OYL290" s="1144"/>
      <c r="OYM290" s="1144"/>
      <c r="OYN290" s="1144"/>
      <c r="OYO290" s="1144"/>
      <c r="OYP290" s="1144"/>
      <c r="OYQ290" s="1144"/>
      <c r="OYR290" s="1144"/>
      <c r="OYS290" s="1144"/>
      <c r="OYT290" s="1144"/>
      <c r="OYU290" s="1144"/>
      <c r="OYV290" s="1144"/>
      <c r="OYW290" s="1144"/>
      <c r="OYX290" s="1144"/>
      <c r="OYY290" s="1144"/>
      <c r="OYZ290" s="1144"/>
      <c r="OZA290" s="1144"/>
      <c r="OZB290" s="1144"/>
      <c r="OZC290" s="1144"/>
      <c r="OZD290" s="1144"/>
      <c r="OZE290" s="1144"/>
      <c r="OZF290" s="1144"/>
      <c r="OZG290" s="1144"/>
      <c r="OZH290" s="1144"/>
      <c r="OZI290" s="1144"/>
      <c r="OZJ290" s="1144"/>
      <c r="OZK290" s="1144"/>
      <c r="OZL290" s="1144"/>
      <c r="OZM290" s="1144"/>
      <c r="OZN290" s="1144"/>
      <c r="OZO290" s="1144"/>
      <c r="OZP290" s="1144"/>
      <c r="OZQ290" s="1144"/>
      <c r="OZR290" s="1144"/>
      <c r="OZS290" s="1144"/>
      <c r="OZT290" s="1144"/>
      <c r="OZU290" s="1144"/>
      <c r="OZV290" s="1144"/>
      <c r="OZW290" s="1144"/>
      <c r="OZX290" s="1144"/>
      <c r="OZY290" s="1144"/>
      <c r="OZZ290" s="1144"/>
      <c r="PAA290" s="1144"/>
      <c r="PAB290" s="1144"/>
      <c r="PAC290" s="1144"/>
      <c r="PAD290" s="1144"/>
      <c r="PAE290" s="1144"/>
      <c r="PAF290" s="1144"/>
      <c r="PAG290" s="1144"/>
      <c r="PAH290" s="1144"/>
      <c r="PAI290" s="1144"/>
      <c r="PAJ290" s="1144"/>
      <c r="PAK290" s="1144"/>
      <c r="PAL290" s="1144"/>
      <c r="PAM290" s="1144"/>
      <c r="PAN290" s="1144"/>
      <c r="PAO290" s="1144"/>
      <c r="PAP290" s="1144"/>
      <c r="PAQ290" s="1144"/>
      <c r="PAR290" s="1144"/>
      <c r="PAS290" s="1144"/>
      <c r="PAT290" s="1144"/>
      <c r="PAU290" s="1144"/>
      <c r="PAV290" s="1144"/>
      <c r="PAW290" s="1144"/>
      <c r="PAX290" s="1144"/>
      <c r="PAY290" s="1144"/>
      <c r="PAZ290" s="1144"/>
      <c r="PBA290" s="1144"/>
      <c r="PBB290" s="1144"/>
      <c r="PBC290" s="1144"/>
      <c r="PBD290" s="1144"/>
      <c r="PBE290" s="1144"/>
      <c r="PBF290" s="1144"/>
      <c r="PBG290" s="1144"/>
      <c r="PBH290" s="1144"/>
      <c r="PBI290" s="1144"/>
      <c r="PBJ290" s="1144"/>
      <c r="PBK290" s="1144"/>
      <c r="PBL290" s="1144"/>
      <c r="PBM290" s="1144"/>
      <c r="PBN290" s="1144"/>
      <c r="PBO290" s="1144"/>
      <c r="PBP290" s="1144"/>
      <c r="PBQ290" s="1144"/>
      <c r="PBR290" s="1144"/>
      <c r="PBS290" s="1144"/>
      <c r="PBT290" s="1144"/>
      <c r="PBU290" s="1144"/>
      <c r="PBV290" s="1144"/>
      <c r="PBW290" s="1144"/>
      <c r="PBX290" s="1144"/>
      <c r="PBY290" s="1144"/>
      <c r="PBZ290" s="1144"/>
      <c r="PCA290" s="1144"/>
      <c r="PCB290" s="1144"/>
      <c r="PCC290" s="1144"/>
      <c r="PCD290" s="1144"/>
      <c r="PCE290" s="1144"/>
      <c r="PCF290" s="1144"/>
      <c r="PCG290" s="1144"/>
      <c r="PCH290" s="1144"/>
      <c r="PCI290" s="1144"/>
      <c r="PCJ290" s="1144"/>
      <c r="PCK290" s="1144"/>
      <c r="PCL290" s="1144"/>
      <c r="PCM290" s="1144"/>
      <c r="PCN290" s="1144"/>
      <c r="PCO290" s="1144"/>
      <c r="PCP290" s="1144"/>
      <c r="PCQ290" s="1144"/>
      <c r="PCR290" s="1144"/>
      <c r="PCS290" s="1144"/>
      <c r="PCT290" s="1144"/>
      <c r="PCU290" s="1144"/>
      <c r="PCV290" s="1144"/>
      <c r="PCW290" s="1144"/>
      <c r="PCX290" s="1144"/>
      <c r="PCY290" s="1144"/>
      <c r="PCZ290" s="1144"/>
      <c r="PDA290" s="1144"/>
      <c r="PDB290" s="1144"/>
      <c r="PDC290" s="1144"/>
      <c r="PDD290" s="1144"/>
      <c r="PDE290" s="1144"/>
      <c r="PDF290" s="1144"/>
      <c r="PDG290" s="1144"/>
      <c r="PDH290" s="1144"/>
      <c r="PDI290" s="1144"/>
      <c r="PDJ290" s="1144"/>
      <c r="PDK290" s="1144"/>
      <c r="PDL290" s="1144"/>
      <c r="PDM290" s="1144"/>
      <c r="PDN290" s="1144"/>
      <c r="PDO290" s="1144"/>
      <c r="PDP290" s="1144"/>
      <c r="PDQ290" s="1144"/>
      <c r="PDR290" s="1144"/>
      <c r="PDS290" s="1144"/>
      <c r="PDT290" s="1144"/>
      <c r="PDU290" s="1144"/>
      <c r="PDV290" s="1144"/>
      <c r="PDW290" s="1144"/>
      <c r="PDX290" s="1144"/>
      <c r="PDY290" s="1144"/>
      <c r="PDZ290" s="1144"/>
      <c r="PEA290" s="1144"/>
      <c r="PEB290" s="1144"/>
      <c r="PEC290" s="1144"/>
      <c r="PED290" s="1144"/>
      <c r="PEE290" s="1144"/>
      <c r="PEF290" s="1144"/>
      <c r="PEG290" s="1144"/>
      <c r="PEH290" s="1144"/>
      <c r="PEI290" s="1144"/>
      <c r="PEJ290" s="1144"/>
      <c r="PEK290" s="1144"/>
      <c r="PEL290" s="1144"/>
      <c r="PEM290" s="1144"/>
      <c r="PEN290" s="1144"/>
      <c r="PEO290" s="1144"/>
      <c r="PEP290" s="1144"/>
      <c r="PEQ290" s="1144"/>
      <c r="PER290" s="1144"/>
      <c r="PES290" s="1144"/>
      <c r="PET290" s="1144"/>
      <c r="PEU290" s="1144"/>
      <c r="PEV290" s="1144"/>
      <c r="PEW290" s="1144"/>
      <c r="PEX290" s="1144"/>
      <c r="PEY290" s="1144"/>
      <c r="PEZ290" s="1144"/>
      <c r="PFA290" s="1144"/>
      <c r="PFB290" s="1144"/>
      <c r="PFC290" s="1144"/>
      <c r="PFD290" s="1144"/>
      <c r="PFE290" s="1144"/>
      <c r="PFF290" s="1144"/>
      <c r="PFG290" s="1144"/>
      <c r="PFH290" s="1144"/>
      <c r="PFI290" s="1144"/>
      <c r="PFJ290" s="1144"/>
      <c r="PFK290" s="1144"/>
      <c r="PFL290" s="1144"/>
      <c r="PFM290" s="1144"/>
      <c r="PFN290" s="1144"/>
      <c r="PFO290" s="1144"/>
      <c r="PFP290" s="1144"/>
      <c r="PFQ290" s="1144"/>
      <c r="PFR290" s="1144"/>
      <c r="PFS290" s="1144"/>
      <c r="PFT290" s="1144"/>
      <c r="PFU290" s="1144"/>
      <c r="PFV290" s="1144"/>
      <c r="PFW290" s="1144"/>
      <c r="PFX290" s="1144"/>
      <c r="PFY290" s="1144"/>
      <c r="PFZ290" s="1144"/>
      <c r="PGA290" s="1144"/>
      <c r="PGB290" s="1144"/>
      <c r="PGC290" s="1144"/>
      <c r="PGD290" s="1144"/>
      <c r="PGE290" s="1144"/>
      <c r="PGF290" s="1144"/>
      <c r="PGG290" s="1144"/>
      <c r="PGH290" s="1144"/>
      <c r="PGI290" s="1144"/>
      <c r="PGJ290" s="1144"/>
      <c r="PGK290" s="1144"/>
      <c r="PGL290" s="1144"/>
      <c r="PGM290" s="1144"/>
      <c r="PGN290" s="1144"/>
      <c r="PGO290" s="1144"/>
      <c r="PGP290" s="1144"/>
      <c r="PGQ290" s="1144"/>
      <c r="PGR290" s="1144"/>
      <c r="PGS290" s="1144"/>
      <c r="PGT290" s="1144"/>
      <c r="PGU290" s="1144"/>
      <c r="PGV290" s="1144"/>
      <c r="PGW290" s="1144"/>
      <c r="PGX290" s="1144"/>
      <c r="PGY290" s="1144"/>
      <c r="PGZ290" s="1144"/>
      <c r="PHA290" s="1144"/>
      <c r="PHB290" s="1144"/>
      <c r="PHC290" s="1144"/>
      <c r="PHD290" s="1144"/>
      <c r="PHE290" s="1144"/>
      <c r="PHF290" s="1144"/>
      <c r="PHG290" s="1144"/>
      <c r="PHH290" s="1144"/>
      <c r="PHI290" s="1144"/>
      <c r="PHJ290" s="1144"/>
      <c r="PHK290" s="1144"/>
      <c r="PHL290" s="1144"/>
      <c r="PHM290" s="1144"/>
      <c r="PHN290" s="1144"/>
      <c r="PHO290" s="1144"/>
      <c r="PHP290" s="1144"/>
      <c r="PHQ290" s="1144"/>
      <c r="PHR290" s="1144"/>
      <c r="PHS290" s="1144"/>
      <c r="PHT290" s="1144"/>
      <c r="PHU290" s="1144"/>
      <c r="PHV290" s="1144"/>
      <c r="PHW290" s="1144"/>
      <c r="PHX290" s="1144"/>
      <c r="PHY290" s="1144"/>
      <c r="PHZ290" s="1144"/>
      <c r="PIA290" s="1144"/>
      <c r="PIB290" s="1144"/>
      <c r="PIC290" s="1144"/>
      <c r="PID290" s="1144"/>
      <c r="PIE290" s="1144"/>
      <c r="PIF290" s="1144"/>
      <c r="PIG290" s="1144"/>
      <c r="PIH290" s="1144"/>
      <c r="PII290" s="1144"/>
      <c r="PIJ290" s="1144"/>
      <c r="PIK290" s="1144"/>
      <c r="PIL290" s="1144"/>
      <c r="PIM290" s="1144"/>
      <c r="PIN290" s="1144"/>
      <c r="PIO290" s="1144"/>
      <c r="PIP290" s="1144"/>
      <c r="PIQ290" s="1144"/>
      <c r="PIR290" s="1144"/>
      <c r="PIS290" s="1144"/>
      <c r="PIT290" s="1144"/>
      <c r="PIU290" s="1144"/>
      <c r="PIV290" s="1144"/>
      <c r="PIW290" s="1144"/>
      <c r="PIX290" s="1144"/>
      <c r="PIY290" s="1144"/>
      <c r="PIZ290" s="1144"/>
      <c r="PJA290" s="1144"/>
      <c r="PJB290" s="1144"/>
      <c r="PJC290" s="1144"/>
      <c r="PJD290" s="1144"/>
      <c r="PJE290" s="1144"/>
      <c r="PJF290" s="1144"/>
      <c r="PJG290" s="1144"/>
      <c r="PJH290" s="1144"/>
      <c r="PJI290" s="1144"/>
      <c r="PJJ290" s="1144"/>
      <c r="PJK290" s="1144"/>
      <c r="PJL290" s="1144"/>
      <c r="PJM290" s="1144"/>
      <c r="PJN290" s="1144"/>
      <c r="PJO290" s="1144"/>
      <c r="PJP290" s="1144"/>
      <c r="PJQ290" s="1144"/>
      <c r="PJR290" s="1144"/>
      <c r="PJS290" s="1144"/>
      <c r="PJT290" s="1144"/>
      <c r="PJU290" s="1144"/>
      <c r="PJV290" s="1144"/>
      <c r="PJW290" s="1144"/>
      <c r="PJX290" s="1144"/>
      <c r="PJY290" s="1144"/>
      <c r="PJZ290" s="1144"/>
      <c r="PKA290" s="1144"/>
      <c r="PKB290" s="1144"/>
      <c r="PKC290" s="1144"/>
      <c r="PKD290" s="1144"/>
      <c r="PKE290" s="1144"/>
      <c r="PKF290" s="1144"/>
      <c r="PKG290" s="1144"/>
      <c r="PKH290" s="1144"/>
      <c r="PKI290" s="1144"/>
      <c r="PKJ290" s="1144"/>
      <c r="PKK290" s="1144"/>
      <c r="PKL290" s="1144"/>
      <c r="PKM290" s="1144"/>
      <c r="PKN290" s="1144"/>
      <c r="PKO290" s="1144"/>
      <c r="PKP290" s="1144"/>
      <c r="PKQ290" s="1144"/>
      <c r="PKR290" s="1144"/>
      <c r="PKS290" s="1144"/>
      <c r="PKT290" s="1144"/>
      <c r="PKU290" s="1144"/>
      <c r="PKV290" s="1144"/>
      <c r="PKW290" s="1144"/>
      <c r="PKX290" s="1144"/>
      <c r="PKY290" s="1144"/>
      <c r="PKZ290" s="1144"/>
      <c r="PLA290" s="1144"/>
      <c r="PLB290" s="1144"/>
      <c r="PLC290" s="1144"/>
      <c r="PLD290" s="1144"/>
      <c r="PLE290" s="1144"/>
      <c r="PLF290" s="1144"/>
      <c r="PLG290" s="1144"/>
      <c r="PLH290" s="1144"/>
      <c r="PLI290" s="1144"/>
      <c r="PLJ290" s="1144"/>
      <c r="PLK290" s="1144"/>
      <c r="PLL290" s="1144"/>
      <c r="PLM290" s="1144"/>
      <c r="PLN290" s="1144"/>
      <c r="PLO290" s="1144"/>
      <c r="PLP290" s="1144"/>
      <c r="PLQ290" s="1144"/>
      <c r="PLR290" s="1144"/>
      <c r="PLS290" s="1144"/>
      <c r="PLT290" s="1144"/>
      <c r="PLU290" s="1144"/>
      <c r="PLV290" s="1144"/>
      <c r="PLW290" s="1144"/>
      <c r="PLX290" s="1144"/>
      <c r="PLY290" s="1144"/>
      <c r="PLZ290" s="1144"/>
      <c r="PMA290" s="1144"/>
      <c r="PMB290" s="1144"/>
      <c r="PMC290" s="1144"/>
      <c r="PMD290" s="1144"/>
      <c r="PME290" s="1144"/>
      <c r="PMF290" s="1144"/>
      <c r="PMG290" s="1144"/>
      <c r="PMH290" s="1144"/>
      <c r="PMI290" s="1144"/>
      <c r="PMJ290" s="1144"/>
      <c r="PMK290" s="1144"/>
      <c r="PML290" s="1144"/>
      <c r="PMM290" s="1144"/>
      <c r="PMN290" s="1144"/>
      <c r="PMO290" s="1144"/>
      <c r="PMP290" s="1144"/>
      <c r="PMQ290" s="1144"/>
      <c r="PMR290" s="1144"/>
      <c r="PMS290" s="1144"/>
      <c r="PMT290" s="1144"/>
      <c r="PMU290" s="1144"/>
      <c r="PMV290" s="1144"/>
      <c r="PMW290" s="1144"/>
      <c r="PMX290" s="1144"/>
      <c r="PMY290" s="1144"/>
      <c r="PMZ290" s="1144"/>
      <c r="PNA290" s="1144"/>
      <c r="PNB290" s="1144"/>
      <c r="PNC290" s="1144"/>
      <c r="PND290" s="1144"/>
      <c r="PNE290" s="1144"/>
      <c r="PNF290" s="1144"/>
      <c r="PNG290" s="1144"/>
      <c r="PNH290" s="1144"/>
      <c r="PNI290" s="1144"/>
      <c r="PNJ290" s="1144"/>
      <c r="PNK290" s="1144"/>
      <c r="PNL290" s="1144"/>
      <c r="PNM290" s="1144"/>
      <c r="PNN290" s="1144"/>
      <c r="PNO290" s="1144"/>
      <c r="PNP290" s="1144"/>
      <c r="PNQ290" s="1144"/>
      <c r="PNR290" s="1144"/>
      <c r="PNS290" s="1144"/>
      <c r="PNT290" s="1144"/>
      <c r="PNU290" s="1144"/>
      <c r="PNV290" s="1144"/>
      <c r="PNW290" s="1144"/>
      <c r="PNX290" s="1144"/>
      <c r="PNY290" s="1144"/>
      <c r="PNZ290" s="1144"/>
      <c r="POA290" s="1144"/>
      <c r="POB290" s="1144"/>
      <c r="POC290" s="1144"/>
      <c r="POD290" s="1144"/>
      <c r="POE290" s="1144"/>
      <c r="POF290" s="1144"/>
      <c r="POG290" s="1144"/>
      <c r="POH290" s="1144"/>
      <c r="POI290" s="1144"/>
      <c r="POJ290" s="1144"/>
      <c r="POK290" s="1144"/>
      <c r="POL290" s="1144"/>
      <c r="POM290" s="1144"/>
      <c r="PON290" s="1144"/>
      <c r="POO290" s="1144"/>
      <c r="POP290" s="1144"/>
      <c r="POQ290" s="1144"/>
      <c r="POR290" s="1144"/>
      <c r="POS290" s="1144"/>
      <c r="POT290" s="1144"/>
      <c r="POU290" s="1144"/>
      <c r="POV290" s="1144"/>
      <c r="POW290" s="1144"/>
      <c r="POX290" s="1144"/>
      <c r="POY290" s="1144"/>
      <c r="POZ290" s="1144"/>
      <c r="PPA290" s="1144"/>
      <c r="PPB290" s="1144"/>
      <c r="PPC290" s="1144"/>
      <c r="PPD290" s="1144"/>
      <c r="PPE290" s="1144"/>
      <c r="PPF290" s="1144"/>
      <c r="PPG290" s="1144"/>
      <c r="PPH290" s="1144"/>
      <c r="PPI290" s="1144"/>
      <c r="PPJ290" s="1144"/>
      <c r="PPK290" s="1144"/>
      <c r="PPL290" s="1144"/>
      <c r="PPM290" s="1144"/>
      <c r="PPN290" s="1144"/>
      <c r="PPO290" s="1144"/>
      <c r="PPP290" s="1144"/>
      <c r="PPQ290" s="1144"/>
      <c r="PPR290" s="1144"/>
      <c r="PPS290" s="1144"/>
      <c r="PPT290" s="1144"/>
      <c r="PPU290" s="1144"/>
      <c r="PPV290" s="1144"/>
      <c r="PPW290" s="1144"/>
      <c r="PPX290" s="1144"/>
      <c r="PPY290" s="1144"/>
      <c r="PPZ290" s="1144"/>
      <c r="PQA290" s="1144"/>
      <c r="PQB290" s="1144"/>
      <c r="PQC290" s="1144"/>
      <c r="PQD290" s="1144"/>
      <c r="PQE290" s="1144"/>
      <c r="PQF290" s="1144"/>
      <c r="PQG290" s="1144"/>
      <c r="PQH290" s="1144"/>
      <c r="PQI290" s="1144"/>
      <c r="PQJ290" s="1144"/>
      <c r="PQK290" s="1144"/>
      <c r="PQL290" s="1144"/>
      <c r="PQM290" s="1144"/>
      <c r="PQN290" s="1144"/>
      <c r="PQO290" s="1144"/>
      <c r="PQP290" s="1144"/>
      <c r="PQQ290" s="1144"/>
      <c r="PQR290" s="1144"/>
      <c r="PQS290" s="1144"/>
      <c r="PQT290" s="1144"/>
      <c r="PQU290" s="1144"/>
      <c r="PQV290" s="1144"/>
      <c r="PQW290" s="1144"/>
      <c r="PQX290" s="1144"/>
      <c r="PQY290" s="1144"/>
      <c r="PQZ290" s="1144"/>
      <c r="PRA290" s="1144"/>
      <c r="PRB290" s="1144"/>
      <c r="PRC290" s="1144"/>
      <c r="PRD290" s="1144"/>
      <c r="PRE290" s="1144"/>
      <c r="PRF290" s="1144"/>
      <c r="PRG290" s="1144"/>
      <c r="PRH290" s="1144"/>
      <c r="PRI290" s="1144"/>
      <c r="PRJ290" s="1144"/>
      <c r="PRK290" s="1144"/>
      <c r="PRL290" s="1144"/>
      <c r="PRM290" s="1144"/>
      <c r="PRN290" s="1144"/>
      <c r="PRO290" s="1144"/>
      <c r="PRP290" s="1144"/>
      <c r="PRQ290" s="1144"/>
      <c r="PRR290" s="1144"/>
      <c r="PRS290" s="1144"/>
      <c r="PRT290" s="1144"/>
      <c r="PRU290" s="1144"/>
      <c r="PRV290" s="1144"/>
      <c r="PRW290" s="1144"/>
      <c r="PRX290" s="1144"/>
      <c r="PRY290" s="1144"/>
      <c r="PRZ290" s="1144"/>
      <c r="PSA290" s="1144"/>
      <c r="PSB290" s="1144"/>
      <c r="PSC290" s="1144"/>
      <c r="PSD290" s="1144"/>
      <c r="PSE290" s="1144"/>
      <c r="PSF290" s="1144"/>
      <c r="PSG290" s="1144"/>
      <c r="PSH290" s="1144"/>
      <c r="PSI290" s="1144"/>
      <c r="PSJ290" s="1144"/>
      <c r="PSK290" s="1144"/>
      <c r="PSL290" s="1144"/>
      <c r="PSM290" s="1144"/>
      <c r="PSN290" s="1144"/>
      <c r="PSO290" s="1144"/>
      <c r="PSP290" s="1144"/>
      <c r="PSQ290" s="1144"/>
      <c r="PSR290" s="1144"/>
      <c r="PSS290" s="1144"/>
      <c r="PST290" s="1144"/>
      <c r="PSU290" s="1144"/>
      <c r="PSV290" s="1144"/>
      <c r="PSW290" s="1144"/>
      <c r="PSX290" s="1144"/>
      <c r="PSY290" s="1144"/>
      <c r="PSZ290" s="1144"/>
      <c r="PTA290" s="1144"/>
      <c r="PTB290" s="1144"/>
      <c r="PTC290" s="1144"/>
      <c r="PTD290" s="1144"/>
      <c r="PTE290" s="1144"/>
      <c r="PTF290" s="1144"/>
      <c r="PTG290" s="1144"/>
      <c r="PTH290" s="1144"/>
      <c r="PTI290" s="1144"/>
      <c r="PTJ290" s="1144"/>
      <c r="PTK290" s="1144"/>
      <c r="PTL290" s="1144"/>
      <c r="PTM290" s="1144"/>
      <c r="PTN290" s="1144"/>
      <c r="PTO290" s="1144"/>
      <c r="PTP290" s="1144"/>
      <c r="PTQ290" s="1144"/>
      <c r="PTR290" s="1144"/>
      <c r="PTS290" s="1144"/>
      <c r="PTT290" s="1144"/>
      <c r="PTU290" s="1144"/>
      <c r="PTV290" s="1144"/>
      <c r="PTW290" s="1144"/>
      <c r="PTX290" s="1144"/>
      <c r="PTY290" s="1144"/>
      <c r="PTZ290" s="1144"/>
      <c r="PUA290" s="1144"/>
      <c r="PUB290" s="1144"/>
      <c r="PUC290" s="1144"/>
      <c r="PUD290" s="1144"/>
      <c r="PUE290" s="1144"/>
      <c r="PUF290" s="1144"/>
      <c r="PUG290" s="1144"/>
      <c r="PUH290" s="1144"/>
      <c r="PUI290" s="1144"/>
      <c r="PUJ290" s="1144"/>
      <c r="PUK290" s="1144"/>
      <c r="PUL290" s="1144"/>
      <c r="PUM290" s="1144"/>
      <c r="PUN290" s="1144"/>
      <c r="PUO290" s="1144"/>
      <c r="PUP290" s="1144"/>
      <c r="PUQ290" s="1144"/>
      <c r="PUR290" s="1144"/>
      <c r="PUS290" s="1144"/>
      <c r="PUT290" s="1144"/>
      <c r="PUU290" s="1144"/>
      <c r="PUV290" s="1144"/>
      <c r="PUW290" s="1144"/>
      <c r="PUX290" s="1144"/>
      <c r="PUY290" s="1144"/>
      <c r="PUZ290" s="1144"/>
      <c r="PVA290" s="1144"/>
      <c r="PVB290" s="1144"/>
      <c r="PVC290" s="1144"/>
      <c r="PVD290" s="1144"/>
      <c r="PVE290" s="1144"/>
      <c r="PVF290" s="1144"/>
      <c r="PVG290" s="1144"/>
      <c r="PVH290" s="1144"/>
      <c r="PVI290" s="1144"/>
      <c r="PVJ290" s="1144"/>
      <c r="PVK290" s="1144"/>
      <c r="PVL290" s="1144"/>
      <c r="PVM290" s="1144"/>
      <c r="PVN290" s="1144"/>
      <c r="PVO290" s="1144"/>
      <c r="PVP290" s="1144"/>
      <c r="PVQ290" s="1144"/>
      <c r="PVR290" s="1144"/>
      <c r="PVS290" s="1144"/>
      <c r="PVT290" s="1144"/>
      <c r="PVU290" s="1144"/>
      <c r="PVV290" s="1144"/>
      <c r="PVW290" s="1144"/>
      <c r="PVX290" s="1144"/>
      <c r="PVY290" s="1144"/>
      <c r="PVZ290" s="1144"/>
      <c r="PWA290" s="1144"/>
      <c r="PWB290" s="1144"/>
      <c r="PWC290" s="1144"/>
      <c r="PWD290" s="1144"/>
      <c r="PWE290" s="1144"/>
      <c r="PWF290" s="1144"/>
      <c r="PWG290" s="1144"/>
      <c r="PWH290" s="1144"/>
      <c r="PWI290" s="1144"/>
      <c r="PWJ290" s="1144"/>
      <c r="PWK290" s="1144"/>
      <c r="PWL290" s="1144"/>
      <c r="PWM290" s="1144"/>
      <c r="PWN290" s="1144"/>
      <c r="PWO290" s="1144"/>
      <c r="PWP290" s="1144"/>
      <c r="PWQ290" s="1144"/>
      <c r="PWR290" s="1144"/>
      <c r="PWS290" s="1144"/>
      <c r="PWT290" s="1144"/>
      <c r="PWU290" s="1144"/>
      <c r="PWV290" s="1144"/>
      <c r="PWW290" s="1144"/>
      <c r="PWX290" s="1144"/>
      <c r="PWY290" s="1144"/>
      <c r="PWZ290" s="1144"/>
      <c r="PXA290" s="1144"/>
      <c r="PXB290" s="1144"/>
      <c r="PXC290" s="1144"/>
      <c r="PXD290" s="1144"/>
      <c r="PXE290" s="1144"/>
      <c r="PXF290" s="1144"/>
      <c r="PXG290" s="1144"/>
      <c r="PXH290" s="1144"/>
      <c r="PXI290" s="1144"/>
      <c r="PXJ290" s="1144"/>
      <c r="PXK290" s="1144"/>
      <c r="PXL290" s="1144"/>
      <c r="PXM290" s="1144"/>
      <c r="PXN290" s="1144"/>
      <c r="PXO290" s="1144"/>
      <c r="PXP290" s="1144"/>
      <c r="PXQ290" s="1144"/>
      <c r="PXR290" s="1144"/>
      <c r="PXS290" s="1144"/>
      <c r="PXT290" s="1144"/>
      <c r="PXU290" s="1144"/>
      <c r="PXV290" s="1144"/>
      <c r="PXW290" s="1144"/>
      <c r="PXX290" s="1144"/>
      <c r="PXY290" s="1144"/>
      <c r="PXZ290" s="1144"/>
      <c r="PYA290" s="1144"/>
      <c r="PYB290" s="1144"/>
      <c r="PYC290" s="1144"/>
      <c r="PYD290" s="1144"/>
      <c r="PYE290" s="1144"/>
      <c r="PYF290" s="1144"/>
      <c r="PYG290" s="1144"/>
      <c r="PYH290" s="1144"/>
      <c r="PYI290" s="1144"/>
      <c r="PYJ290" s="1144"/>
      <c r="PYK290" s="1144"/>
      <c r="PYL290" s="1144"/>
      <c r="PYM290" s="1144"/>
      <c r="PYN290" s="1144"/>
      <c r="PYO290" s="1144"/>
      <c r="PYP290" s="1144"/>
      <c r="PYQ290" s="1144"/>
      <c r="PYR290" s="1144"/>
      <c r="PYS290" s="1144"/>
      <c r="PYT290" s="1144"/>
      <c r="PYU290" s="1144"/>
      <c r="PYV290" s="1144"/>
      <c r="PYW290" s="1144"/>
      <c r="PYX290" s="1144"/>
      <c r="PYY290" s="1144"/>
      <c r="PYZ290" s="1144"/>
      <c r="PZA290" s="1144"/>
      <c r="PZB290" s="1144"/>
      <c r="PZC290" s="1144"/>
      <c r="PZD290" s="1144"/>
      <c r="PZE290" s="1144"/>
      <c r="PZF290" s="1144"/>
      <c r="PZG290" s="1144"/>
      <c r="PZH290" s="1144"/>
      <c r="PZI290" s="1144"/>
      <c r="PZJ290" s="1144"/>
      <c r="PZK290" s="1144"/>
      <c r="PZL290" s="1144"/>
      <c r="PZM290" s="1144"/>
      <c r="PZN290" s="1144"/>
      <c r="PZO290" s="1144"/>
      <c r="PZP290" s="1144"/>
      <c r="PZQ290" s="1144"/>
      <c r="PZR290" s="1144"/>
      <c r="PZS290" s="1144"/>
      <c r="PZT290" s="1144"/>
      <c r="PZU290" s="1144"/>
      <c r="PZV290" s="1144"/>
      <c r="PZW290" s="1144"/>
      <c r="PZX290" s="1144"/>
      <c r="PZY290" s="1144"/>
      <c r="PZZ290" s="1144"/>
      <c r="QAA290" s="1144"/>
      <c r="QAB290" s="1144"/>
      <c r="QAC290" s="1144"/>
      <c r="QAD290" s="1144"/>
      <c r="QAE290" s="1144"/>
      <c r="QAF290" s="1144"/>
      <c r="QAG290" s="1144"/>
      <c r="QAH290" s="1144"/>
      <c r="QAI290" s="1144"/>
      <c r="QAJ290" s="1144"/>
      <c r="QAK290" s="1144"/>
      <c r="QAL290" s="1144"/>
      <c r="QAM290" s="1144"/>
      <c r="QAN290" s="1144"/>
      <c r="QAO290" s="1144"/>
      <c r="QAP290" s="1144"/>
      <c r="QAQ290" s="1144"/>
      <c r="QAR290" s="1144"/>
      <c r="QAS290" s="1144"/>
      <c r="QAT290" s="1144"/>
      <c r="QAU290" s="1144"/>
      <c r="QAV290" s="1144"/>
      <c r="QAW290" s="1144"/>
      <c r="QAX290" s="1144"/>
      <c r="QAY290" s="1144"/>
      <c r="QAZ290" s="1144"/>
      <c r="QBA290" s="1144"/>
      <c r="QBB290" s="1144"/>
      <c r="QBC290" s="1144"/>
      <c r="QBD290" s="1144"/>
      <c r="QBE290" s="1144"/>
      <c r="QBF290" s="1144"/>
      <c r="QBG290" s="1144"/>
      <c r="QBH290" s="1144"/>
      <c r="QBI290" s="1144"/>
      <c r="QBJ290" s="1144"/>
      <c r="QBK290" s="1144"/>
      <c r="QBL290" s="1144"/>
      <c r="QBM290" s="1144"/>
      <c r="QBN290" s="1144"/>
      <c r="QBO290" s="1144"/>
      <c r="QBP290" s="1144"/>
      <c r="QBQ290" s="1144"/>
      <c r="QBR290" s="1144"/>
      <c r="QBS290" s="1144"/>
      <c r="QBT290" s="1144"/>
      <c r="QBU290" s="1144"/>
      <c r="QBV290" s="1144"/>
      <c r="QBW290" s="1144"/>
      <c r="QBX290" s="1144"/>
      <c r="QBY290" s="1144"/>
      <c r="QBZ290" s="1144"/>
      <c r="QCA290" s="1144"/>
      <c r="QCB290" s="1144"/>
      <c r="QCC290" s="1144"/>
      <c r="QCD290" s="1144"/>
      <c r="QCE290" s="1144"/>
      <c r="QCF290" s="1144"/>
      <c r="QCG290" s="1144"/>
      <c r="QCH290" s="1144"/>
      <c r="QCI290" s="1144"/>
      <c r="QCJ290" s="1144"/>
      <c r="QCK290" s="1144"/>
      <c r="QCL290" s="1144"/>
      <c r="QCM290" s="1144"/>
      <c r="QCN290" s="1144"/>
      <c r="QCO290" s="1144"/>
      <c r="QCP290" s="1144"/>
      <c r="QCQ290" s="1144"/>
      <c r="QCR290" s="1144"/>
      <c r="QCS290" s="1144"/>
      <c r="QCT290" s="1144"/>
      <c r="QCU290" s="1144"/>
      <c r="QCV290" s="1144"/>
      <c r="QCW290" s="1144"/>
      <c r="QCX290" s="1144"/>
      <c r="QCY290" s="1144"/>
      <c r="QCZ290" s="1144"/>
      <c r="QDA290" s="1144"/>
      <c r="QDB290" s="1144"/>
      <c r="QDC290" s="1144"/>
      <c r="QDD290" s="1144"/>
      <c r="QDE290" s="1144"/>
      <c r="QDF290" s="1144"/>
      <c r="QDG290" s="1144"/>
      <c r="QDH290" s="1144"/>
      <c r="QDI290" s="1144"/>
      <c r="QDJ290" s="1144"/>
      <c r="QDK290" s="1144"/>
      <c r="QDL290" s="1144"/>
      <c r="QDM290" s="1144"/>
      <c r="QDN290" s="1144"/>
      <c r="QDO290" s="1144"/>
      <c r="QDP290" s="1144"/>
      <c r="QDQ290" s="1144"/>
      <c r="QDR290" s="1144"/>
      <c r="QDS290" s="1144"/>
      <c r="QDT290" s="1144"/>
      <c r="QDU290" s="1144"/>
      <c r="QDV290" s="1144"/>
      <c r="QDW290" s="1144"/>
      <c r="QDX290" s="1144"/>
      <c r="QDY290" s="1144"/>
      <c r="QDZ290" s="1144"/>
      <c r="QEA290" s="1144"/>
      <c r="QEB290" s="1144"/>
      <c r="QEC290" s="1144"/>
      <c r="QED290" s="1144"/>
      <c r="QEE290" s="1144"/>
      <c r="QEF290" s="1144"/>
      <c r="QEG290" s="1144"/>
      <c r="QEH290" s="1144"/>
      <c r="QEI290" s="1144"/>
      <c r="QEJ290" s="1144"/>
      <c r="QEK290" s="1144"/>
      <c r="QEL290" s="1144"/>
      <c r="QEM290" s="1144"/>
      <c r="QEN290" s="1144"/>
      <c r="QEO290" s="1144"/>
      <c r="QEP290" s="1144"/>
      <c r="QEQ290" s="1144"/>
      <c r="QER290" s="1144"/>
      <c r="QES290" s="1144"/>
      <c r="QET290" s="1144"/>
      <c r="QEU290" s="1144"/>
      <c r="QEV290" s="1144"/>
      <c r="QEW290" s="1144"/>
      <c r="QEX290" s="1144"/>
      <c r="QEY290" s="1144"/>
      <c r="QEZ290" s="1144"/>
      <c r="QFA290" s="1144"/>
      <c r="QFB290" s="1144"/>
      <c r="QFC290" s="1144"/>
      <c r="QFD290" s="1144"/>
      <c r="QFE290" s="1144"/>
      <c r="QFF290" s="1144"/>
      <c r="QFG290" s="1144"/>
      <c r="QFH290" s="1144"/>
      <c r="QFI290" s="1144"/>
      <c r="QFJ290" s="1144"/>
      <c r="QFK290" s="1144"/>
      <c r="QFL290" s="1144"/>
      <c r="QFM290" s="1144"/>
      <c r="QFN290" s="1144"/>
      <c r="QFO290" s="1144"/>
      <c r="QFP290" s="1144"/>
      <c r="QFQ290" s="1144"/>
      <c r="QFR290" s="1144"/>
      <c r="QFS290" s="1144"/>
      <c r="QFT290" s="1144"/>
      <c r="QFU290" s="1144"/>
      <c r="QFV290" s="1144"/>
      <c r="QFW290" s="1144"/>
      <c r="QFX290" s="1144"/>
      <c r="QFY290" s="1144"/>
      <c r="QFZ290" s="1144"/>
      <c r="QGA290" s="1144"/>
      <c r="QGB290" s="1144"/>
      <c r="QGC290" s="1144"/>
      <c r="QGD290" s="1144"/>
      <c r="QGE290" s="1144"/>
      <c r="QGF290" s="1144"/>
      <c r="QGG290" s="1144"/>
      <c r="QGH290" s="1144"/>
      <c r="QGI290" s="1144"/>
      <c r="QGJ290" s="1144"/>
      <c r="QGK290" s="1144"/>
      <c r="QGL290" s="1144"/>
      <c r="QGM290" s="1144"/>
      <c r="QGN290" s="1144"/>
      <c r="QGO290" s="1144"/>
      <c r="QGP290" s="1144"/>
      <c r="QGQ290" s="1144"/>
      <c r="QGR290" s="1144"/>
      <c r="QGS290" s="1144"/>
      <c r="QGT290" s="1144"/>
      <c r="QGU290" s="1144"/>
      <c r="QGV290" s="1144"/>
      <c r="QGW290" s="1144"/>
      <c r="QGX290" s="1144"/>
      <c r="QGY290" s="1144"/>
      <c r="QGZ290" s="1144"/>
      <c r="QHA290" s="1144"/>
      <c r="QHB290" s="1144"/>
      <c r="QHC290" s="1144"/>
      <c r="QHD290" s="1144"/>
      <c r="QHE290" s="1144"/>
      <c r="QHF290" s="1144"/>
      <c r="QHG290" s="1144"/>
      <c r="QHH290" s="1144"/>
      <c r="QHI290" s="1144"/>
      <c r="QHJ290" s="1144"/>
      <c r="QHK290" s="1144"/>
      <c r="QHL290" s="1144"/>
      <c r="QHM290" s="1144"/>
      <c r="QHN290" s="1144"/>
      <c r="QHO290" s="1144"/>
      <c r="QHP290" s="1144"/>
      <c r="QHQ290" s="1144"/>
      <c r="QHR290" s="1144"/>
      <c r="QHS290" s="1144"/>
      <c r="QHT290" s="1144"/>
      <c r="QHU290" s="1144"/>
      <c r="QHV290" s="1144"/>
      <c r="QHW290" s="1144"/>
      <c r="QHX290" s="1144"/>
      <c r="QHY290" s="1144"/>
      <c r="QHZ290" s="1144"/>
      <c r="QIA290" s="1144"/>
      <c r="QIB290" s="1144"/>
      <c r="QIC290" s="1144"/>
      <c r="QID290" s="1144"/>
      <c r="QIE290" s="1144"/>
      <c r="QIF290" s="1144"/>
      <c r="QIG290" s="1144"/>
      <c r="QIH290" s="1144"/>
      <c r="QII290" s="1144"/>
      <c r="QIJ290" s="1144"/>
      <c r="QIK290" s="1144"/>
      <c r="QIL290" s="1144"/>
      <c r="QIM290" s="1144"/>
      <c r="QIN290" s="1144"/>
      <c r="QIO290" s="1144"/>
      <c r="QIP290" s="1144"/>
      <c r="QIQ290" s="1144"/>
      <c r="QIR290" s="1144"/>
      <c r="QIS290" s="1144"/>
      <c r="QIT290" s="1144"/>
      <c r="QIU290" s="1144"/>
      <c r="QIV290" s="1144"/>
      <c r="QIW290" s="1144"/>
      <c r="QIX290" s="1144"/>
      <c r="QIY290" s="1144"/>
      <c r="QIZ290" s="1144"/>
      <c r="QJA290" s="1144"/>
      <c r="QJB290" s="1144"/>
      <c r="QJC290" s="1144"/>
      <c r="QJD290" s="1144"/>
      <c r="QJE290" s="1144"/>
      <c r="QJF290" s="1144"/>
      <c r="QJG290" s="1144"/>
      <c r="QJH290" s="1144"/>
      <c r="QJI290" s="1144"/>
      <c r="QJJ290" s="1144"/>
      <c r="QJK290" s="1144"/>
      <c r="QJL290" s="1144"/>
      <c r="QJM290" s="1144"/>
      <c r="QJN290" s="1144"/>
      <c r="QJO290" s="1144"/>
      <c r="QJP290" s="1144"/>
      <c r="QJQ290" s="1144"/>
      <c r="QJR290" s="1144"/>
      <c r="QJS290" s="1144"/>
      <c r="QJT290" s="1144"/>
      <c r="QJU290" s="1144"/>
      <c r="QJV290" s="1144"/>
      <c r="QJW290" s="1144"/>
      <c r="QJX290" s="1144"/>
      <c r="QJY290" s="1144"/>
      <c r="QJZ290" s="1144"/>
      <c r="QKA290" s="1144"/>
      <c r="QKB290" s="1144"/>
      <c r="QKC290" s="1144"/>
      <c r="QKD290" s="1144"/>
      <c r="QKE290" s="1144"/>
      <c r="QKF290" s="1144"/>
      <c r="QKG290" s="1144"/>
      <c r="QKH290" s="1144"/>
      <c r="QKI290" s="1144"/>
      <c r="QKJ290" s="1144"/>
      <c r="QKK290" s="1144"/>
      <c r="QKL290" s="1144"/>
      <c r="QKM290" s="1144"/>
      <c r="QKN290" s="1144"/>
      <c r="QKO290" s="1144"/>
      <c r="QKP290" s="1144"/>
      <c r="QKQ290" s="1144"/>
      <c r="QKR290" s="1144"/>
      <c r="QKS290" s="1144"/>
      <c r="QKT290" s="1144"/>
      <c r="QKU290" s="1144"/>
      <c r="QKV290" s="1144"/>
      <c r="QKW290" s="1144"/>
      <c r="QKX290" s="1144"/>
      <c r="QKY290" s="1144"/>
      <c r="QKZ290" s="1144"/>
      <c r="QLA290" s="1144"/>
      <c r="QLB290" s="1144"/>
      <c r="QLC290" s="1144"/>
      <c r="QLD290" s="1144"/>
      <c r="QLE290" s="1144"/>
      <c r="QLF290" s="1144"/>
      <c r="QLG290" s="1144"/>
      <c r="QLH290" s="1144"/>
      <c r="QLI290" s="1144"/>
      <c r="QLJ290" s="1144"/>
      <c r="QLK290" s="1144"/>
      <c r="QLL290" s="1144"/>
      <c r="QLM290" s="1144"/>
      <c r="QLN290" s="1144"/>
      <c r="QLO290" s="1144"/>
      <c r="QLP290" s="1144"/>
      <c r="QLQ290" s="1144"/>
      <c r="QLR290" s="1144"/>
      <c r="QLS290" s="1144"/>
      <c r="QLT290" s="1144"/>
      <c r="QLU290" s="1144"/>
      <c r="QLV290" s="1144"/>
      <c r="QLW290" s="1144"/>
      <c r="QLX290" s="1144"/>
      <c r="QLY290" s="1144"/>
      <c r="QLZ290" s="1144"/>
      <c r="QMA290" s="1144"/>
      <c r="QMB290" s="1144"/>
      <c r="QMC290" s="1144"/>
      <c r="QMD290" s="1144"/>
      <c r="QME290" s="1144"/>
      <c r="QMF290" s="1144"/>
      <c r="QMG290" s="1144"/>
      <c r="QMH290" s="1144"/>
      <c r="QMI290" s="1144"/>
      <c r="QMJ290" s="1144"/>
      <c r="QMK290" s="1144"/>
      <c r="QML290" s="1144"/>
      <c r="QMM290" s="1144"/>
      <c r="QMN290" s="1144"/>
      <c r="QMO290" s="1144"/>
      <c r="QMP290" s="1144"/>
      <c r="QMQ290" s="1144"/>
      <c r="QMR290" s="1144"/>
      <c r="QMS290" s="1144"/>
      <c r="QMT290" s="1144"/>
      <c r="QMU290" s="1144"/>
      <c r="QMV290" s="1144"/>
      <c r="QMW290" s="1144"/>
      <c r="QMX290" s="1144"/>
      <c r="QMY290" s="1144"/>
      <c r="QMZ290" s="1144"/>
      <c r="QNA290" s="1144"/>
      <c r="QNB290" s="1144"/>
      <c r="QNC290" s="1144"/>
      <c r="QND290" s="1144"/>
      <c r="QNE290" s="1144"/>
      <c r="QNF290" s="1144"/>
      <c r="QNG290" s="1144"/>
      <c r="QNH290" s="1144"/>
      <c r="QNI290" s="1144"/>
      <c r="QNJ290" s="1144"/>
      <c r="QNK290" s="1144"/>
      <c r="QNL290" s="1144"/>
      <c r="QNM290" s="1144"/>
      <c r="QNN290" s="1144"/>
      <c r="QNO290" s="1144"/>
      <c r="QNP290" s="1144"/>
      <c r="QNQ290" s="1144"/>
      <c r="QNR290" s="1144"/>
      <c r="QNS290" s="1144"/>
      <c r="QNT290" s="1144"/>
      <c r="QNU290" s="1144"/>
      <c r="QNV290" s="1144"/>
      <c r="QNW290" s="1144"/>
      <c r="QNX290" s="1144"/>
      <c r="QNY290" s="1144"/>
      <c r="QNZ290" s="1144"/>
      <c r="QOA290" s="1144"/>
      <c r="QOB290" s="1144"/>
      <c r="QOC290" s="1144"/>
      <c r="QOD290" s="1144"/>
      <c r="QOE290" s="1144"/>
      <c r="QOF290" s="1144"/>
      <c r="QOG290" s="1144"/>
      <c r="QOH290" s="1144"/>
      <c r="QOI290" s="1144"/>
      <c r="QOJ290" s="1144"/>
      <c r="QOK290" s="1144"/>
      <c r="QOL290" s="1144"/>
      <c r="QOM290" s="1144"/>
      <c r="QON290" s="1144"/>
      <c r="QOO290" s="1144"/>
      <c r="QOP290" s="1144"/>
      <c r="QOQ290" s="1144"/>
      <c r="QOR290" s="1144"/>
      <c r="QOS290" s="1144"/>
      <c r="QOT290" s="1144"/>
      <c r="QOU290" s="1144"/>
      <c r="QOV290" s="1144"/>
      <c r="QOW290" s="1144"/>
      <c r="QOX290" s="1144"/>
      <c r="QOY290" s="1144"/>
      <c r="QOZ290" s="1144"/>
      <c r="QPA290" s="1144"/>
      <c r="QPB290" s="1144"/>
      <c r="QPC290" s="1144"/>
      <c r="QPD290" s="1144"/>
      <c r="QPE290" s="1144"/>
      <c r="QPF290" s="1144"/>
      <c r="QPG290" s="1144"/>
      <c r="QPH290" s="1144"/>
      <c r="QPI290" s="1144"/>
      <c r="QPJ290" s="1144"/>
      <c r="QPK290" s="1144"/>
      <c r="QPL290" s="1144"/>
      <c r="QPM290" s="1144"/>
      <c r="QPN290" s="1144"/>
      <c r="QPO290" s="1144"/>
      <c r="QPP290" s="1144"/>
      <c r="QPQ290" s="1144"/>
      <c r="QPR290" s="1144"/>
      <c r="QPS290" s="1144"/>
      <c r="QPT290" s="1144"/>
      <c r="QPU290" s="1144"/>
      <c r="QPV290" s="1144"/>
      <c r="QPW290" s="1144"/>
      <c r="QPX290" s="1144"/>
      <c r="QPY290" s="1144"/>
      <c r="QPZ290" s="1144"/>
      <c r="QQA290" s="1144"/>
      <c r="QQB290" s="1144"/>
      <c r="QQC290" s="1144"/>
      <c r="QQD290" s="1144"/>
      <c r="QQE290" s="1144"/>
      <c r="QQF290" s="1144"/>
      <c r="QQG290" s="1144"/>
      <c r="QQH290" s="1144"/>
      <c r="QQI290" s="1144"/>
      <c r="QQJ290" s="1144"/>
      <c r="QQK290" s="1144"/>
      <c r="QQL290" s="1144"/>
      <c r="QQM290" s="1144"/>
      <c r="QQN290" s="1144"/>
      <c r="QQO290" s="1144"/>
      <c r="QQP290" s="1144"/>
      <c r="QQQ290" s="1144"/>
      <c r="QQR290" s="1144"/>
      <c r="QQS290" s="1144"/>
      <c r="QQT290" s="1144"/>
      <c r="QQU290" s="1144"/>
      <c r="QQV290" s="1144"/>
      <c r="QQW290" s="1144"/>
      <c r="QQX290" s="1144"/>
      <c r="QQY290" s="1144"/>
      <c r="QQZ290" s="1144"/>
      <c r="QRA290" s="1144"/>
      <c r="QRB290" s="1144"/>
      <c r="QRC290" s="1144"/>
      <c r="QRD290" s="1144"/>
      <c r="QRE290" s="1144"/>
      <c r="QRF290" s="1144"/>
      <c r="QRG290" s="1144"/>
      <c r="QRH290" s="1144"/>
      <c r="QRI290" s="1144"/>
      <c r="QRJ290" s="1144"/>
      <c r="QRK290" s="1144"/>
      <c r="QRL290" s="1144"/>
      <c r="QRM290" s="1144"/>
      <c r="QRN290" s="1144"/>
      <c r="QRO290" s="1144"/>
      <c r="QRP290" s="1144"/>
      <c r="QRQ290" s="1144"/>
      <c r="QRR290" s="1144"/>
      <c r="QRS290" s="1144"/>
      <c r="QRT290" s="1144"/>
      <c r="QRU290" s="1144"/>
      <c r="QRV290" s="1144"/>
      <c r="QRW290" s="1144"/>
      <c r="QRX290" s="1144"/>
      <c r="QRY290" s="1144"/>
      <c r="QRZ290" s="1144"/>
      <c r="QSA290" s="1144"/>
      <c r="QSB290" s="1144"/>
      <c r="QSC290" s="1144"/>
      <c r="QSD290" s="1144"/>
      <c r="QSE290" s="1144"/>
      <c r="QSF290" s="1144"/>
      <c r="QSG290" s="1144"/>
      <c r="QSH290" s="1144"/>
      <c r="QSI290" s="1144"/>
      <c r="QSJ290" s="1144"/>
      <c r="QSK290" s="1144"/>
      <c r="QSL290" s="1144"/>
      <c r="QSM290" s="1144"/>
      <c r="QSN290" s="1144"/>
      <c r="QSO290" s="1144"/>
      <c r="QSP290" s="1144"/>
      <c r="QSQ290" s="1144"/>
      <c r="QSR290" s="1144"/>
      <c r="QSS290" s="1144"/>
      <c r="QST290" s="1144"/>
      <c r="QSU290" s="1144"/>
      <c r="QSV290" s="1144"/>
      <c r="QSW290" s="1144"/>
      <c r="QSX290" s="1144"/>
      <c r="QSY290" s="1144"/>
      <c r="QSZ290" s="1144"/>
      <c r="QTA290" s="1144"/>
      <c r="QTB290" s="1144"/>
      <c r="QTC290" s="1144"/>
      <c r="QTD290" s="1144"/>
      <c r="QTE290" s="1144"/>
      <c r="QTF290" s="1144"/>
      <c r="QTG290" s="1144"/>
      <c r="QTH290" s="1144"/>
      <c r="QTI290" s="1144"/>
      <c r="QTJ290" s="1144"/>
      <c r="QTK290" s="1144"/>
      <c r="QTL290" s="1144"/>
      <c r="QTM290" s="1144"/>
      <c r="QTN290" s="1144"/>
      <c r="QTO290" s="1144"/>
      <c r="QTP290" s="1144"/>
      <c r="QTQ290" s="1144"/>
      <c r="QTR290" s="1144"/>
      <c r="QTS290" s="1144"/>
      <c r="QTT290" s="1144"/>
      <c r="QTU290" s="1144"/>
      <c r="QTV290" s="1144"/>
      <c r="QTW290" s="1144"/>
      <c r="QTX290" s="1144"/>
      <c r="QTY290" s="1144"/>
      <c r="QTZ290" s="1144"/>
      <c r="QUA290" s="1144"/>
      <c r="QUB290" s="1144"/>
      <c r="QUC290" s="1144"/>
      <c r="QUD290" s="1144"/>
      <c r="QUE290" s="1144"/>
      <c r="QUF290" s="1144"/>
      <c r="QUG290" s="1144"/>
      <c r="QUH290" s="1144"/>
      <c r="QUI290" s="1144"/>
      <c r="QUJ290" s="1144"/>
      <c r="QUK290" s="1144"/>
      <c r="QUL290" s="1144"/>
      <c r="QUM290" s="1144"/>
      <c r="QUN290" s="1144"/>
      <c r="QUO290" s="1144"/>
      <c r="QUP290" s="1144"/>
      <c r="QUQ290" s="1144"/>
      <c r="QUR290" s="1144"/>
      <c r="QUS290" s="1144"/>
      <c r="QUT290" s="1144"/>
      <c r="QUU290" s="1144"/>
      <c r="QUV290" s="1144"/>
      <c r="QUW290" s="1144"/>
      <c r="QUX290" s="1144"/>
      <c r="QUY290" s="1144"/>
      <c r="QUZ290" s="1144"/>
      <c r="QVA290" s="1144"/>
      <c r="QVB290" s="1144"/>
      <c r="QVC290" s="1144"/>
      <c r="QVD290" s="1144"/>
      <c r="QVE290" s="1144"/>
      <c r="QVF290" s="1144"/>
      <c r="QVG290" s="1144"/>
      <c r="QVH290" s="1144"/>
      <c r="QVI290" s="1144"/>
      <c r="QVJ290" s="1144"/>
      <c r="QVK290" s="1144"/>
      <c r="QVL290" s="1144"/>
      <c r="QVM290" s="1144"/>
      <c r="QVN290" s="1144"/>
      <c r="QVO290" s="1144"/>
      <c r="QVP290" s="1144"/>
      <c r="QVQ290" s="1144"/>
      <c r="QVR290" s="1144"/>
      <c r="QVS290" s="1144"/>
      <c r="QVT290" s="1144"/>
      <c r="QVU290" s="1144"/>
      <c r="QVV290" s="1144"/>
      <c r="QVW290" s="1144"/>
      <c r="QVX290" s="1144"/>
      <c r="QVY290" s="1144"/>
      <c r="QVZ290" s="1144"/>
      <c r="QWA290" s="1144"/>
      <c r="QWB290" s="1144"/>
      <c r="QWC290" s="1144"/>
      <c r="QWD290" s="1144"/>
      <c r="QWE290" s="1144"/>
      <c r="QWF290" s="1144"/>
      <c r="QWG290" s="1144"/>
      <c r="QWH290" s="1144"/>
      <c r="QWI290" s="1144"/>
      <c r="QWJ290" s="1144"/>
      <c r="QWK290" s="1144"/>
      <c r="QWL290" s="1144"/>
      <c r="QWM290" s="1144"/>
      <c r="QWN290" s="1144"/>
      <c r="QWO290" s="1144"/>
      <c r="QWP290" s="1144"/>
      <c r="QWQ290" s="1144"/>
      <c r="QWR290" s="1144"/>
      <c r="QWS290" s="1144"/>
      <c r="QWT290" s="1144"/>
      <c r="QWU290" s="1144"/>
      <c r="QWV290" s="1144"/>
      <c r="QWW290" s="1144"/>
      <c r="QWX290" s="1144"/>
      <c r="QWY290" s="1144"/>
      <c r="QWZ290" s="1144"/>
      <c r="QXA290" s="1144"/>
      <c r="QXB290" s="1144"/>
      <c r="QXC290" s="1144"/>
      <c r="QXD290" s="1144"/>
      <c r="QXE290" s="1144"/>
      <c r="QXF290" s="1144"/>
      <c r="QXG290" s="1144"/>
      <c r="QXH290" s="1144"/>
      <c r="QXI290" s="1144"/>
      <c r="QXJ290" s="1144"/>
      <c r="QXK290" s="1144"/>
      <c r="QXL290" s="1144"/>
      <c r="QXM290" s="1144"/>
      <c r="QXN290" s="1144"/>
      <c r="QXO290" s="1144"/>
      <c r="QXP290" s="1144"/>
      <c r="QXQ290" s="1144"/>
      <c r="QXR290" s="1144"/>
      <c r="QXS290" s="1144"/>
      <c r="QXT290" s="1144"/>
      <c r="QXU290" s="1144"/>
      <c r="QXV290" s="1144"/>
      <c r="QXW290" s="1144"/>
      <c r="QXX290" s="1144"/>
      <c r="QXY290" s="1144"/>
      <c r="QXZ290" s="1144"/>
      <c r="QYA290" s="1144"/>
      <c r="QYB290" s="1144"/>
      <c r="QYC290" s="1144"/>
      <c r="QYD290" s="1144"/>
      <c r="QYE290" s="1144"/>
      <c r="QYF290" s="1144"/>
      <c r="QYG290" s="1144"/>
      <c r="QYH290" s="1144"/>
      <c r="QYI290" s="1144"/>
      <c r="QYJ290" s="1144"/>
      <c r="QYK290" s="1144"/>
      <c r="QYL290" s="1144"/>
      <c r="QYM290" s="1144"/>
      <c r="QYN290" s="1144"/>
      <c r="QYO290" s="1144"/>
      <c r="QYP290" s="1144"/>
      <c r="QYQ290" s="1144"/>
      <c r="QYR290" s="1144"/>
      <c r="QYS290" s="1144"/>
      <c r="QYT290" s="1144"/>
      <c r="QYU290" s="1144"/>
      <c r="QYV290" s="1144"/>
      <c r="QYW290" s="1144"/>
      <c r="QYX290" s="1144"/>
      <c r="QYY290" s="1144"/>
      <c r="QYZ290" s="1144"/>
      <c r="QZA290" s="1144"/>
      <c r="QZB290" s="1144"/>
      <c r="QZC290" s="1144"/>
      <c r="QZD290" s="1144"/>
      <c r="QZE290" s="1144"/>
      <c r="QZF290" s="1144"/>
      <c r="QZG290" s="1144"/>
      <c r="QZH290" s="1144"/>
      <c r="QZI290" s="1144"/>
      <c r="QZJ290" s="1144"/>
      <c r="QZK290" s="1144"/>
      <c r="QZL290" s="1144"/>
      <c r="QZM290" s="1144"/>
      <c r="QZN290" s="1144"/>
      <c r="QZO290" s="1144"/>
      <c r="QZP290" s="1144"/>
      <c r="QZQ290" s="1144"/>
      <c r="QZR290" s="1144"/>
      <c r="QZS290" s="1144"/>
      <c r="QZT290" s="1144"/>
      <c r="QZU290" s="1144"/>
      <c r="QZV290" s="1144"/>
      <c r="QZW290" s="1144"/>
      <c r="QZX290" s="1144"/>
      <c r="QZY290" s="1144"/>
      <c r="QZZ290" s="1144"/>
      <c r="RAA290" s="1144"/>
      <c r="RAB290" s="1144"/>
      <c r="RAC290" s="1144"/>
      <c r="RAD290" s="1144"/>
      <c r="RAE290" s="1144"/>
      <c r="RAF290" s="1144"/>
      <c r="RAG290" s="1144"/>
      <c r="RAH290" s="1144"/>
      <c r="RAI290" s="1144"/>
      <c r="RAJ290" s="1144"/>
      <c r="RAK290" s="1144"/>
      <c r="RAL290" s="1144"/>
      <c r="RAM290" s="1144"/>
      <c r="RAN290" s="1144"/>
      <c r="RAO290" s="1144"/>
      <c r="RAP290" s="1144"/>
      <c r="RAQ290" s="1144"/>
      <c r="RAR290" s="1144"/>
      <c r="RAS290" s="1144"/>
      <c r="RAT290" s="1144"/>
      <c r="RAU290" s="1144"/>
      <c r="RAV290" s="1144"/>
      <c r="RAW290" s="1144"/>
      <c r="RAX290" s="1144"/>
      <c r="RAY290" s="1144"/>
      <c r="RAZ290" s="1144"/>
      <c r="RBA290" s="1144"/>
      <c r="RBB290" s="1144"/>
      <c r="RBC290" s="1144"/>
      <c r="RBD290" s="1144"/>
      <c r="RBE290" s="1144"/>
      <c r="RBF290" s="1144"/>
      <c r="RBG290" s="1144"/>
      <c r="RBH290" s="1144"/>
      <c r="RBI290" s="1144"/>
      <c r="RBJ290" s="1144"/>
      <c r="RBK290" s="1144"/>
      <c r="RBL290" s="1144"/>
      <c r="RBM290" s="1144"/>
      <c r="RBN290" s="1144"/>
      <c r="RBO290" s="1144"/>
      <c r="RBP290" s="1144"/>
      <c r="RBQ290" s="1144"/>
      <c r="RBR290" s="1144"/>
      <c r="RBS290" s="1144"/>
      <c r="RBT290" s="1144"/>
      <c r="RBU290" s="1144"/>
      <c r="RBV290" s="1144"/>
      <c r="RBW290" s="1144"/>
      <c r="RBX290" s="1144"/>
      <c r="RBY290" s="1144"/>
      <c r="RBZ290" s="1144"/>
      <c r="RCA290" s="1144"/>
      <c r="RCB290" s="1144"/>
      <c r="RCC290" s="1144"/>
      <c r="RCD290" s="1144"/>
      <c r="RCE290" s="1144"/>
      <c r="RCF290" s="1144"/>
      <c r="RCG290" s="1144"/>
      <c r="RCH290" s="1144"/>
      <c r="RCI290" s="1144"/>
      <c r="RCJ290" s="1144"/>
      <c r="RCK290" s="1144"/>
      <c r="RCL290" s="1144"/>
      <c r="RCM290" s="1144"/>
      <c r="RCN290" s="1144"/>
      <c r="RCO290" s="1144"/>
      <c r="RCP290" s="1144"/>
      <c r="RCQ290" s="1144"/>
      <c r="RCR290" s="1144"/>
      <c r="RCS290" s="1144"/>
      <c r="RCT290" s="1144"/>
      <c r="RCU290" s="1144"/>
      <c r="RCV290" s="1144"/>
      <c r="RCW290" s="1144"/>
      <c r="RCX290" s="1144"/>
      <c r="RCY290" s="1144"/>
      <c r="RCZ290" s="1144"/>
      <c r="RDA290" s="1144"/>
      <c r="RDB290" s="1144"/>
      <c r="RDC290" s="1144"/>
      <c r="RDD290" s="1144"/>
      <c r="RDE290" s="1144"/>
      <c r="RDF290" s="1144"/>
      <c r="RDG290" s="1144"/>
      <c r="RDH290" s="1144"/>
      <c r="RDI290" s="1144"/>
      <c r="RDJ290" s="1144"/>
      <c r="RDK290" s="1144"/>
      <c r="RDL290" s="1144"/>
      <c r="RDM290" s="1144"/>
      <c r="RDN290" s="1144"/>
      <c r="RDO290" s="1144"/>
      <c r="RDP290" s="1144"/>
      <c r="RDQ290" s="1144"/>
      <c r="RDR290" s="1144"/>
      <c r="RDS290" s="1144"/>
      <c r="RDT290" s="1144"/>
      <c r="RDU290" s="1144"/>
      <c r="RDV290" s="1144"/>
      <c r="RDW290" s="1144"/>
      <c r="RDX290" s="1144"/>
      <c r="RDY290" s="1144"/>
      <c r="RDZ290" s="1144"/>
      <c r="REA290" s="1144"/>
      <c r="REB290" s="1144"/>
      <c r="REC290" s="1144"/>
      <c r="RED290" s="1144"/>
      <c r="REE290" s="1144"/>
      <c r="REF290" s="1144"/>
      <c r="REG290" s="1144"/>
      <c r="REH290" s="1144"/>
      <c r="REI290" s="1144"/>
      <c r="REJ290" s="1144"/>
      <c r="REK290" s="1144"/>
      <c r="REL290" s="1144"/>
      <c r="REM290" s="1144"/>
      <c r="REN290" s="1144"/>
      <c r="REO290" s="1144"/>
      <c r="REP290" s="1144"/>
      <c r="REQ290" s="1144"/>
      <c r="RER290" s="1144"/>
      <c r="RES290" s="1144"/>
      <c r="RET290" s="1144"/>
      <c r="REU290" s="1144"/>
      <c r="REV290" s="1144"/>
      <c r="REW290" s="1144"/>
      <c r="REX290" s="1144"/>
      <c r="REY290" s="1144"/>
      <c r="REZ290" s="1144"/>
      <c r="RFA290" s="1144"/>
      <c r="RFB290" s="1144"/>
      <c r="RFC290" s="1144"/>
      <c r="RFD290" s="1144"/>
      <c r="RFE290" s="1144"/>
      <c r="RFF290" s="1144"/>
      <c r="RFG290" s="1144"/>
      <c r="RFH290" s="1144"/>
      <c r="RFI290" s="1144"/>
      <c r="RFJ290" s="1144"/>
      <c r="RFK290" s="1144"/>
      <c r="RFL290" s="1144"/>
      <c r="RFM290" s="1144"/>
      <c r="RFN290" s="1144"/>
      <c r="RFO290" s="1144"/>
      <c r="RFP290" s="1144"/>
      <c r="RFQ290" s="1144"/>
      <c r="RFR290" s="1144"/>
      <c r="RFS290" s="1144"/>
      <c r="RFT290" s="1144"/>
      <c r="RFU290" s="1144"/>
      <c r="RFV290" s="1144"/>
      <c r="RFW290" s="1144"/>
      <c r="RFX290" s="1144"/>
      <c r="RFY290" s="1144"/>
      <c r="RFZ290" s="1144"/>
      <c r="RGA290" s="1144"/>
      <c r="RGB290" s="1144"/>
      <c r="RGC290" s="1144"/>
      <c r="RGD290" s="1144"/>
      <c r="RGE290" s="1144"/>
      <c r="RGF290" s="1144"/>
      <c r="RGG290" s="1144"/>
      <c r="RGH290" s="1144"/>
      <c r="RGI290" s="1144"/>
      <c r="RGJ290" s="1144"/>
      <c r="RGK290" s="1144"/>
      <c r="RGL290" s="1144"/>
      <c r="RGM290" s="1144"/>
      <c r="RGN290" s="1144"/>
      <c r="RGO290" s="1144"/>
      <c r="RGP290" s="1144"/>
      <c r="RGQ290" s="1144"/>
      <c r="RGR290" s="1144"/>
      <c r="RGS290" s="1144"/>
      <c r="RGT290" s="1144"/>
      <c r="RGU290" s="1144"/>
      <c r="RGV290" s="1144"/>
      <c r="RGW290" s="1144"/>
      <c r="RGX290" s="1144"/>
      <c r="RGY290" s="1144"/>
      <c r="RGZ290" s="1144"/>
      <c r="RHA290" s="1144"/>
      <c r="RHB290" s="1144"/>
      <c r="RHC290" s="1144"/>
      <c r="RHD290" s="1144"/>
      <c r="RHE290" s="1144"/>
      <c r="RHF290" s="1144"/>
      <c r="RHG290" s="1144"/>
      <c r="RHH290" s="1144"/>
      <c r="RHI290" s="1144"/>
      <c r="RHJ290" s="1144"/>
      <c r="RHK290" s="1144"/>
      <c r="RHL290" s="1144"/>
      <c r="RHM290" s="1144"/>
      <c r="RHN290" s="1144"/>
      <c r="RHO290" s="1144"/>
      <c r="RHP290" s="1144"/>
      <c r="RHQ290" s="1144"/>
      <c r="RHR290" s="1144"/>
      <c r="RHS290" s="1144"/>
      <c r="RHT290" s="1144"/>
      <c r="RHU290" s="1144"/>
      <c r="RHV290" s="1144"/>
      <c r="RHW290" s="1144"/>
      <c r="RHX290" s="1144"/>
      <c r="RHY290" s="1144"/>
      <c r="RHZ290" s="1144"/>
      <c r="RIA290" s="1144"/>
      <c r="RIB290" s="1144"/>
      <c r="RIC290" s="1144"/>
      <c r="RID290" s="1144"/>
      <c r="RIE290" s="1144"/>
      <c r="RIF290" s="1144"/>
      <c r="RIG290" s="1144"/>
      <c r="RIH290" s="1144"/>
      <c r="RII290" s="1144"/>
      <c r="RIJ290" s="1144"/>
      <c r="RIK290" s="1144"/>
      <c r="RIL290" s="1144"/>
      <c r="RIM290" s="1144"/>
      <c r="RIN290" s="1144"/>
      <c r="RIO290" s="1144"/>
      <c r="RIP290" s="1144"/>
      <c r="RIQ290" s="1144"/>
      <c r="RIR290" s="1144"/>
      <c r="RIS290" s="1144"/>
      <c r="RIT290" s="1144"/>
      <c r="RIU290" s="1144"/>
      <c r="RIV290" s="1144"/>
      <c r="RIW290" s="1144"/>
      <c r="RIX290" s="1144"/>
      <c r="RIY290" s="1144"/>
      <c r="RIZ290" s="1144"/>
      <c r="RJA290" s="1144"/>
      <c r="RJB290" s="1144"/>
      <c r="RJC290" s="1144"/>
      <c r="RJD290" s="1144"/>
      <c r="RJE290" s="1144"/>
      <c r="RJF290" s="1144"/>
      <c r="RJG290" s="1144"/>
      <c r="RJH290" s="1144"/>
      <c r="RJI290" s="1144"/>
      <c r="RJJ290" s="1144"/>
      <c r="RJK290" s="1144"/>
      <c r="RJL290" s="1144"/>
      <c r="RJM290" s="1144"/>
      <c r="RJN290" s="1144"/>
      <c r="RJO290" s="1144"/>
      <c r="RJP290" s="1144"/>
      <c r="RJQ290" s="1144"/>
      <c r="RJR290" s="1144"/>
      <c r="RJS290" s="1144"/>
      <c r="RJT290" s="1144"/>
      <c r="RJU290" s="1144"/>
      <c r="RJV290" s="1144"/>
      <c r="RJW290" s="1144"/>
      <c r="RJX290" s="1144"/>
      <c r="RJY290" s="1144"/>
      <c r="RJZ290" s="1144"/>
      <c r="RKA290" s="1144"/>
      <c r="RKB290" s="1144"/>
      <c r="RKC290" s="1144"/>
      <c r="RKD290" s="1144"/>
      <c r="RKE290" s="1144"/>
      <c r="RKF290" s="1144"/>
      <c r="RKG290" s="1144"/>
      <c r="RKH290" s="1144"/>
      <c r="RKI290" s="1144"/>
      <c r="RKJ290" s="1144"/>
      <c r="RKK290" s="1144"/>
      <c r="RKL290" s="1144"/>
      <c r="RKM290" s="1144"/>
      <c r="RKN290" s="1144"/>
      <c r="RKO290" s="1144"/>
      <c r="RKP290" s="1144"/>
      <c r="RKQ290" s="1144"/>
      <c r="RKR290" s="1144"/>
      <c r="RKS290" s="1144"/>
      <c r="RKT290" s="1144"/>
      <c r="RKU290" s="1144"/>
      <c r="RKV290" s="1144"/>
      <c r="RKW290" s="1144"/>
      <c r="RKX290" s="1144"/>
      <c r="RKY290" s="1144"/>
      <c r="RKZ290" s="1144"/>
      <c r="RLA290" s="1144"/>
      <c r="RLB290" s="1144"/>
      <c r="RLC290" s="1144"/>
      <c r="RLD290" s="1144"/>
      <c r="RLE290" s="1144"/>
      <c r="RLF290" s="1144"/>
      <c r="RLG290" s="1144"/>
      <c r="RLH290" s="1144"/>
      <c r="RLI290" s="1144"/>
      <c r="RLJ290" s="1144"/>
      <c r="RLK290" s="1144"/>
      <c r="RLL290" s="1144"/>
      <c r="RLM290" s="1144"/>
      <c r="RLN290" s="1144"/>
      <c r="RLO290" s="1144"/>
      <c r="RLP290" s="1144"/>
      <c r="RLQ290" s="1144"/>
      <c r="RLR290" s="1144"/>
      <c r="RLS290" s="1144"/>
      <c r="RLT290" s="1144"/>
      <c r="RLU290" s="1144"/>
      <c r="RLV290" s="1144"/>
      <c r="RLW290" s="1144"/>
      <c r="RLX290" s="1144"/>
      <c r="RLY290" s="1144"/>
      <c r="RLZ290" s="1144"/>
      <c r="RMA290" s="1144"/>
      <c r="RMB290" s="1144"/>
      <c r="RMC290" s="1144"/>
      <c r="RMD290" s="1144"/>
      <c r="RME290" s="1144"/>
      <c r="RMF290" s="1144"/>
      <c r="RMG290" s="1144"/>
      <c r="RMH290" s="1144"/>
      <c r="RMI290" s="1144"/>
      <c r="RMJ290" s="1144"/>
      <c r="RMK290" s="1144"/>
      <c r="RML290" s="1144"/>
      <c r="RMM290" s="1144"/>
      <c r="RMN290" s="1144"/>
      <c r="RMO290" s="1144"/>
      <c r="RMP290" s="1144"/>
      <c r="RMQ290" s="1144"/>
      <c r="RMR290" s="1144"/>
      <c r="RMS290" s="1144"/>
      <c r="RMT290" s="1144"/>
      <c r="RMU290" s="1144"/>
      <c r="RMV290" s="1144"/>
      <c r="RMW290" s="1144"/>
      <c r="RMX290" s="1144"/>
      <c r="RMY290" s="1144"/>
      <c r="RMZ290" s="1144"/>
      <c r="RNA290" s="1144"/>
      <c r="RNB290" s="1144"/>
      <c r="RNC290" s="1144"/>
      <c r="RND290" s="1144"/>
      <c r="RNE290" s="1144"/>
      <c r="RNF290" s="1144"/>
      <c r="RNG290" s="1144"/>
      <c r="RNH290" s="1144"/>
      <c r="RNI290" s="1144"/>
      <c r="RNJ290" s="1144"/>
      <c r="RNK290" s="1144"/>
      <c r="RNL290" s="1144"/>
      <c r="RNM290" s="1144"/>
      <c r="RNN290" s="1144"/>
      <c r="RNO290" s="1144"/>
      <c r="RNP290" s="1144"/>
      <c r="RNQ290" s="1144"/>
      <c r="RNR290" s="1144"/>
      <c r="RNS290" s="1144"/>
      <c r="RNT290" s="1144"/>
      <c r="RNU290" s="1144"/>
      <c r="RNV290" s="1144"/>
      <c r="RNW290" s="1144"/>
      <c r="RNX290" s="1144"/>
      <c r="RNY290" s="1144"/>
      <c r="RNZ290" s="1144"/>
      <c r="ROA290" s="1144"/>
      <c r="ROB290" s="1144"/>
      <c r="ROC290" s="1144"/>
      <c r="ROD290" s="1144"/>
      <c r="ROE290" s="1144"/>
      <c r="ROF290" s="1144"/>
      <c r="ROG290" s="1144"/>
      <c r="ROH290" s="1144"/>
      <c r="ROI290" s="1144"/>
      <c r="ROJ290" s="1144"/>
      <c r="ROK290" s="1144"/>
      <c r="ROL290" s="1144"/>
      <c r="ROM290" s="1144"/>
      <c r="RON290" s="1144"/>
      <c r="ROO290" s="1144"/>
      <c r="ROP290" s="1144"/>
      <c r="ROQ290" s="1144"/>
      <c r="ROR290" s="1144"/>
      <c r="ROS290" s="1144"/>
      <c r="ROT290" s="1144"/>
      <c r="ROU290" s="1144"/>
      <c r="ROV290" s="1144"/>
      <c r="ROW290" s="1144"/>
      <c r="ROX290" s="1144"/>
      <c r="ROY290" s="1144"/>
      <c r="ROZ290" s="1144"/>
      <c r="RPA290" s="1144"/>
      <c r="RPB290" s="1144"/>
      <c r="RPC290" s="1144"/>
      <c r="RPD290" s="1144"/>
      <c r="RPE290" s="1144"/>
      <c r="RPF290" s="1144"/>
      <c r="RPG290" s="1144"/>
      <c r="RPH290" s="1144"/>
      <c r="RPI290" s="1144"/>
      <c r="RPJ290" s="1144"/>
      <c r="RPK290" s="1144"/>
      <c r="RPL290" s="1144"/>
      <c r="RPM290" s="1144"/>
      <c r="RPN290" s="1144"/>
      <c r="RPO290" s="1144"/>
      <c r="RPP290" s="1144"/>
      <c r="RPQ290" s="1144"/>
      <c r="RPR290" s="1144"/>
      <c r="RPS290" s="1144"/>
      <c r="RPT290" s="1144"/>
      <c r="RPU290" s="1144"/>
      <c r="RPV290" s="1144"/>
      <c r="RPW290" s="1144"/>
      <c r="RPX290" s="1144"/>
      <c r="RPY290" s="1144"/>
      <c r="RPZ290" s="1144"/>
      <c r="RQA290" s="1144"/>
      <c r="RQB290" s="1144"/>
      <c r="RQC290" s="1144"/>
      <c r="RQD290" s="1144"/>
      <c r="RQE290" s="1144"/>
      <c r="RQF290" s="1144"/>
      <c r="RQG290" s="1144"/>
      <c r="RQH290" s="1144"/>
      <c r="RQI290" s="1144"/>
      <c r="RQJ290" s="1144"/>
      <c r="RQK290" s="1144"/>
      <c r="RQL290" s="1144"/>
      <c r="RQM290" s="1144"/>
      <c r="RQN290" s="1144"/>
      <c r="RQO290" s="1144"/>
      <c r="RQP290" s="1144"/>
      <c r="RQQ290" s="1144"/>
      <c r="RQR290" s="1144"/>
      <c r="RQS290" s="1144"/>
      <c r="RQT290" s="1144"/>
      <c r="RQU290" s="1144"/>
      <c r="RQV290" s="1144"/>
      <c r="RQW290" s="1144"/>
      <c r="RQX290" s="1144"/>
      <c r="RQY290" s="1144"/>
      <c r="RQZ290" s="1144"/>
      <c r="RRA290" s="1144"/>
      <c r="RRB290" s="1144"/>
      <c r="RRC290" s="1144"/>
      <c r="RRD290" s="1144"/>
      <c r="RRE290" s="1144"/>
      <c r="RRF290" s="1144"/>
      <c r="RRG290" s="1144"/>
      <c r="RRH290" s="1144"/>
      <c r="RRI290" s="1144"/>
      <c r="RRJ290" s="1144"/>
      <c r="RRK290" s="1144"/>
      <c r="RRL290" s="1144"/>
      <c r="RRM290" s="1144"/>
      <c r="RRN290" s="1144"/>
      <c r="RRO290" s="1144"/>
      <c r="RRP290" s="1144"/>
      <c r="RRQ290" s="1144"/>
      <c r="RRR290" s="1144"/>
      <c r="RRS290" s="1144"/>
      <c r="RRT290" s="1144"/>
      <c r="RRU290" s="1144"/>
      <c r="RRV290" s="1144"/>
      <c r="RRW290" s="1144"/>
      <c r="RRX290" s="1144"/>
      <c r="RRY290" s="1144"/>
      <c r="RRZ290" s="1144"/>
      <c r="RSA290" s="1144"/>
      <c r="RSB290" s="1144"/>
      <c r="RSC290" s="1144"/>
      <c r="RSD290" s="1144"/>
      <c r="RSE290" s="1144"/>
      <c r="RSF290" s="1144"/>
      <c r="RSG290" s="1144"/>
      <c r="RSH290" s="1144"/>
      <c r="RSI290" s="1144"/>
      <c r="RSJ290" s="1144"/>
      <c r="RSK290" s="1144"/>
      <c r="RSL290" s="1144"/>
      <c r="RSM290" s="1144"/>
      <c r="RSN290" s="1144"/>
      <c r="RSO290" s="1144"/>
      <c r="RSP290" s="1144"/>
      <c r="RSQ290" s="1144"/>
      <c r="RSR290" s="1144"/>
      <c r="RSS290" s="1144"/>
      <c r="RST290" s="1144"/>
      <c r="RSU290" s="1144"/>
      <c r="RSV290" s="1144"/>
      <c r="RSW290" s="1144"/>
      <c r="RSX290" s="1144"/>
      <c r="RSY290" s="1144"/>
      <c r="RSZ290" s="1144"/>
      <c r="RTA290" s="1144"/>
      <c r="RTB290" s="1144"/>
      <c r="RTC290" s="1144"/>
      <c r="RTD290" s="1144"/>
      <c r="RTE290" s="1144"/>
      <c r="RTF290" s="1144"/>
      <c r="RTG290" s="1144"/>
      <c r="RTH290" s="1144"/>
      <c r="RTI290" s="1144"/>
      <c r="RTJ290" s="1144"/>
      <c r="RTK290" s="1144"/>
      <c r="RTL290" s="1144"/>
      <c r="RTM290" s="1144"/>
      <c r="RTN290" s="1144"/>
      <c r="RTO290" s="1144"/>
      <c r="RTP290" s="1144"/>
      <c r="RTQ290" s="1144"/>
      <c r="RTR290" s="1144"/>
      <c r="RTS290" s="1144"/>
      <c r="RTT290" s="1144"/>
      <c r="RTU290" s="1144"/>
      <c r="RTV290" s="1144"/>
      <c r="RTW290" s="1144"/>
      <c r="RTX290" s="1144"/>
      <c r="RTY290" s="1144"/>
      <c r="RTZ290" s="1144"/>
      <c r="RUA290" s="1144"/>
      <c r="RUB290" s="1144"/>
      <c r="RUC290" s="1144"/>
      <c r="RUD290" s="1144"/>
      <c r="RUE290" s="1144"/>
      <c r="RUF290" s="1144"/>
      <c r="RUG290" s="1144"/>
      <c r="RUH290" s="1144"/>
      <c r="RUI290" s="1144"/>
      <c r="RUJ290" s="1144"/>
      <c r="RUK290" s="1144"/>
      <c r="RUL290" s="1144"/>
      <c r="RUM290" s="1144"/>
      <c r="RUN290" s="1144"/>
      <c r="RUO290" s="1144"/>
      <c r="RUP290" s="1144"/>
      <c r="RUQ290" s="1144"/>
      <c r="RUR290" s="1144"/>
      <c r="RUS290" s="1144"/>
      <c r="RUT290" s="1144"/>
      <c r="RUU290" s="1144"/>
      <c r="RUV290" s="1144"/>
      <c r="RUW290" s="1144"/>
      <c r="RUX290" s="1144"/>
      <c r="RUY290" s="1144"/>
      <c r="RUZ290" s="1144"/>
      <c r="RVA290" s="1144"/>
      <c r="RVB290" s="1144"/>
      <c r="RVC290" s="1144"/>
      <c r="RVD290" s="1144"/>
      <c r="RVE290" s="1144"/>
      <c r="RVF290" s="1144"/>
      <c r="RVG290" s="1144"/>
      <c r="RVH290" s="1144"/>
      <c r="RVI290" s="1144"/>
      <c r="RVJ290" s="1144"/>
      <c r="RVK290" s="1144"/>
      <c r="RVL290" s="1144"/>
      <c r="RVM290" s="1144"/>
      <c r="RVN290" s="1144"/>
      <c r="RVO290" s="1144"/>
      <c r="RVP290" s="1144"/>
      <c r="RVQ290" s="1144"/>
      <c r="RVR290" s="1144"/>
      <c r="RVS290" s="1144"/>
      <c r="RVT290" s="1144"/>
      <c r="RVU290" s="1144"/>
      <c r="RVV290" s="1144"/>
      <c r="RVW290" s="1144"/>
      <c r="RVX290" s="1144"/>
      <c r="RVY290" s="1144"/>
      <c r="RVZ290" s="1144"/>
      <c r="RWA290" s="1144"/>
      <c r="RWB290" s="1144"/>
      <c r="RWC290" s="1144"/>
      <c r="RWD290" s="1144"/>
      <c r="RWE290" s="1144"/>
      <c r="RWF290" s="1144"/>
      <c r="RWG290" s="1144"/>
      <c r="RWH290" s="1144"/>
      <c r="RWI290" s="1144"/>
      <c r="RWJ290" s="1144"/>
      <c r="RWK290" s="1144"/>
      <c r="RWL290" s="1144"/>
      <c r="RWM290" s="1144"/>
      <c r="RWN290" s="1144"/>
      <c r="RWO290" s="1144"/>
      <c r="RWP290" s="1144"/>
      <c r="RWQ290" s="1144"/>
      <c r="RWR290" s="1144"/>
      <c r="RWS290" s="1144"/>
      <c r="RWT290" s="1144"/>
      <c r="RWU290" s="1144"/>
      <c r="RWV290" s="1144"/>
      <c r="RWW290" s="1144"/>
      <c r="RWX290" s="1144"/>
      <c r="RWY290" s="1144"/>
      <c r="RWZ290" s="1144"/>
      <c r="RXA290" s="1144"/>
      <c r="RXB290" s="1144"/>
      <c r="RXC290" s="1144"/>
      <c r="RXD290" s="1144"/>
      <c r="RXE290" s="1144"/>
      <c r="RXF290" s="1144"/>
      <c r="RXG290" s="1144"/>
      <c r="RXH290" s="1144"/>
      <c r="RXI290" s="1144"/>
      <c r="RXJ290" s="1144"/>
      <c r="RXK290" s="1144"/>
      <c r="RXL290" s="1144"/>
      <c r="RXM290" s="1144"/>
      <c r="RXN290" s="1144"/>
      <c r="RXO290" s="1144"/>
      <c r="RXP290" s="1144"/>
      <c r="RXQ290" s="1144"/>
      <c r="RXR290" s="1144"/>
      <c r="RXS290" s="1144"/>
      <c r="RXT290" s="1144"/>
      <c r="RXU290" s="1144"/>
      <c r="RXV290" s="1144"/>
      <c r="RXW290" s="1144"/>
      <c r="RXX290" s="1144"/>
      <c r="RXY290" s="1144"/>
      <c r="RXZ290" s="1144"/>
      <c r="RYA290" s="1144"/>
      <c r="RYB290" s="1144"/>
      <c r="RYC290" s="1144"/>
      <c r="RYD290" s="1144"/>
      <c r="RYE290" s="1144"/>
      <c r="RYF290" s="1144"/>
      <c r="RYG290" s="1144"/>
      <c r="RYH290" s="1144"/>
      <c r="RYI290" s="1144"/>
      <c r="RYJ290" s="1144"/>
      <c r="RYK290" s="1144"/>
      <c r="RYL290" s="1144"/>
      <c r="RYM290" s="1144"/>
      <c r="RYN290" s="1144"/>
      <c r="RYO290" s="1144"/>
      <c r="RYP290" s="1144"/>
      <c r="RYQ290" s="1144"/>
      <c r="RYR290" s="1144"/>
      <c r="RYS290" s="1144"/>
      <c r="RYT290" s="1144"/>
      <c r="RYU290" s="1144"/>
      <c r="RYV290" s="1144"/>
      <c r="RYW290" s="1144"/>
      <c r="RYX290" s="1144"/>
      <c r="RYY290" s="1144"/>
      <c r="RYZ290" s="1144"/>
      <c r="RZA290" s="1144"/>
      <c r="RZB290" s="1144"/>
      <c r="RZC290" s="1144"/>
      <c r="RZD290" s="1144"/>
      <c r="RZE290" s="1144"/>
      <c r="RZF290" s="1144"/>
      <c r="RZG290" s="1144"/>
      <c r="RZH290" s="1144"/>
      <c r="RZI290" s="1144"/>
      <c r="RZJ290" s="1144"/>
      <c r="RZK290" s="1144"/>
      <c r="RZL290" s="1144"/>
      <c r="RZM290" s="1144"/>
      <c r="RZN290" s="1144"/>
      <c r="RZO290" s="1144"/>
      <c r="RZP290" s="1144"/>
      <c r="RZQ290" s="1144"/>
      <c r="RZR290" s="1144"/>
      <c r="RZS290" s="1144"/>
      <c r="RZT290" s="1144"/>
      <c r="RZU290" s="1144"/>
      <c r="RZV290" s="1144"/>
      <c r="RZW290" s="1144"/>
      <c r="RZX290" s="1144"/>
      <c r="RZY290" s="1144"/>
      <c r="RZZ290" s="1144"/>
      <c r="SAA290" s="1144"/>
      <c r="SAB290" s="1144"/>
      <c r="SAC290" s="1144"/>
      <c r="SAD290" s="1144"/>
      <c r="SAE290" s="1144"/>
      <c r="SAF290" s="1144"/>
      <c r="SAG290" s="1144"/>
      <c r="SAH290" s="1144"/>
      <c r="SAI290" s="1144"/>
      <c r="SAJ290" s="1144"/>
      <c r="SAK290" s="1144"/>
      <c r="SAL290" s="1144"/>
      <c r="SAM290" s="1144"/>
      <c r="SAN290" s="1144"/>
      <c r="SAO290" s="1144"/>
      <c r="SAP290" s="1144"/>
      <c r="SAQ290" s="1144"/>
      <c r="SAR290" s="1144"/>
      <c r="SAS290" s="1144"/>
      <c r="SAT290" s="1144"/>
      <c r="SAU290" s="1144"/>
      <c r="SAV290" s="1144"/>
      <c r="SAW290" s="1144"/>
      <c r="SAX290" s="1144"/>
      <c r="SAY290" s="1144"/>
      <c r="SAZ290" s="1144"/>
      <c r="SBA290" s="1144"/>
      <c r="SBB290" s="1144"/>
      <c r="SBC290" s="1144"/>
      <c r="SBD290" s="1144"/>
      <c r="SBE290" s="1144"/>
      <c r="SBF290" s="1144"/>
      <c r="SBG290" s="1144"/>
      <c r="SBH290" s="1144"/>
      <c r="SBI290" s="1144"/>
      <c r="SBJ290" s="1144"/>
      <c r="SBK290" s="1144"/>
      <c r="SBL290" s="1144"/>
      <c r="SBM290" s="1144"/>
      <c r="SBN290" s="1144"/>
      <c r="SBO290" s="1144"/>
      <c r="SBP290" s="1144"/>
      <c r="SBQ290" s="1144"/>
      <c r="SBR290" s="1144"/>
      <c r="SBS290" s="1144"/>
      <c r="SBT290" s="1144"/>
      <c r="SBU290" s="1144"/>
      <c r="SBV290" s="1144"/>
      <c r="SBW290" s="1144"/>
      <c r="SBX290" s="1144"/>
      <c r="SBY290" s="1144"/>
      <c r="SBZ290" s="1144"/>
      <c r="SCA290" s="1144"/>
      <c r="SCB290" s="1144"/>
      <c r="SCC290" s="1144"/>
      <c r="SCD290" s="1144"/>
      <c r="SCE290" s="1144"/>
      <c r="SCF290" s="1144"/>
      <c r="SCG290" s="1144"/>
      <c r="SCH290" s="1144"/>
      <c r="SCI290" s="1144"/>
      <c r="SCJ290" s="1144"/>
      <c r="SCK290" s="1144"/>
      <c r="SCL290" s="1144"/>
      <c r="SCM290" s="1144"/>
      <c r="SCN290" s="1144"/>
      <c r="SCO290" s="1144"/>
      <c r="SCP290" s="1144"/>
      <c r="SCQ290" s="1144"/>
      <c r="SCR290" s="1144"/>
      <c r="SCS290" s="1144"/>
      <c r="SCT290" s="1144"/>
      <c r="SCU290" s="1144"/>
      <c r="SCV290" s="1144"/>
      <c r="SCW290" s="1144"/>
      <c r="SCX290" s="1144"/>
      <c r="SCY290" s="1144"/>
      <c r="SCZ290" s="1144"/>
      <c r="SDA290" s="1144"/>
      <c r="SDB290" s="1144"/>
      <c r="SDC290" s="1144"/>
      <c r="SDD290" s="1144"/>
      <c r="SDE290" s="1144"/>
      <c r="SDF290" s="1144"/>
      <c r="SDG290" s="1144"/>
      <c r="SDH290" s="1144"/>
      <c r="SDI290" s="1144"/>
      <c r="SDJ290" s="1144"/>
      <c r="SDK290" s="1144"/>
      <c r="SDL290" s="1144"/>
      <c r="SDM290" s="1144"/>
      <c r="SDN290" s="1144"/>
      <c r="SDO290" s="1144"/>
      <c r="SDP290" s="1144"/>
      <c r="SDQ290" s="1144"/>
      <c r="SDR290" s="1144"/>
      <c r="SDS290" s="1144"/>
      <c r="SDT290" s="1144"/>
      <c r="SDU290" s="1144"/>
      <c r="SDV290" s="1144"/>
      <c r="SDW290" s="1144"/>
      <c r="SDX290" s="1144"/>
      <c r="SDY290" s="1144"/>
      <c r="SDZ290" s="1144"/>
      <c r="SEA290" s="1144"/>
      <c r="SEB290" s="1144"/>
      <c r="SEC290" s="1144"/>
      <c r="SED290" s="1144"/>
      <c r="SEE290" s="1144"/>
      <c r="SEF290" s="1144"/>
      <c r="SEG290" s="1144"/>
      <c r="SEH290" s="1144"/>
      <c r="SEI290" s="1144"/>
      <c r="SEJ290" s="1144"/>
      <c r="SEK290" s="1144"/>
      <c r="SEL290" s="1144"/>
      <c r="SEM290" s="1144"/>
      <c r="SEN290" s="1144"/>
      <c r="SEO290" s="1144"/>
      <c r="SEP290" s="1144"/>
      <c r="SEQ290" s="1144"/>
      <c r="SER290" s="1144"/>
      <c r="SES290" s="1144"/>
      <c r="SET290" s="1144"/>
      <c r="SEU290" s="1144"/>
      <c r="SEV290" s="1144"/>
      <c r="SEW290" s="1144"/>
      <c r="SEX290" s="1144"/>
      <c r="SEY290" s="1144"/>
      <c r="SEZ290" s="1144"/>
      <c r="SFA290" s="1144"/>
      <c r="SFB290" s="1144"/>
      <c r="SFC290" s="1144"/>
      <c r="SFD290" s="1144"/>
      <c r="SFE290" s="1144"/>
      <c r="SFF290" s="1144"/>
      <c r="SFG290" s="1144"/>
      <c r="SFH290" s="1144"/>
      <c r="SFI290" s="1144"/>
      <c r="SFJ290" s="1144"/>
      <c r="SFK290" s="1144"/>
      <c r="SFL290" s="1144"/>
      <c r="SFM290" s="1144"/>
      <c r="SFN290" s="1144"/>
      <c r="SFO290" s="1144"/>
      <c r="SFP290" s="1144"/>
      <c r="SFQ290" s="1144"/>
      <c r="SFR290" s="1144"/>
      <c r="SFS290" s="1144"/>
      <c r="SFT290" s="1144"/>
      <c r="SFU290" s="1144"/>
      <c r="SFV290" s="1144"/>
      <c r="SFW290" s="1144"/>
      <c r="SFX290" s="1144"/>
      <c r="SFY290" s="1144"/>
      <c r="SFZ290" s="1144"/>
      <c r="SGA290" s="1144"/>
      <c r="SGB290" s="1144"/>
      <c r="SGC290" s="1144"/>
      <c r="SGD290" s="1144"/>
      <c r="SGE290" s="1144"/>
      <c r="SGF290" s="1144"/>
      <c r="SGG290" s="1144"/>
      <c r="SGH290" s="1144"/>
      <c r="SGI290" s="1144"/>
      <c r="SGJ290" s="1144"/>
      <c r="SGK290" s="1144"/>
      <c r="SGL290" s="1144"/>
      <c r="SGM290" s="1144"/>
      <c r="SGN290" s="1144"/>
      <c r="SGO290" s="1144"/>
      <c r="SGP290" s="1144"/>
      <c r="SGQ290" s="1144"/>
      <c r="SGR290" s="1144"/>
      <c r="SGS290" s="1144"/>
      <c r="SGT290" s="1144"/>
      <c r="SGU290" s="1144"/>
      <c r="SGV290" s="1144"/>
      <c r="SGW290" s="1144"/>
      <c r="SGX290" s="1144"/>
      <c r="SGY290" s="1144"/>
      <c r="SGZ290" s="1144"/>
      <c r="SHA290" s="1144"/>
      <c r="SHB290" s="1144"/>
      <c r="SHC290" s="1144"/>
      <c r="SHD290" s="1144"/>
      <c r="SHE290" s="1144"/>
      <c r="SHF290" s="1144"/>
      <c r="SHG290" s="1144"/>
      <c r="SHH290" s="1144"/>
      <c r="SHI290" s="1144"/>
      <c r="SHJ290" s="1144"/>
      <c r="SHK290" s="1144"/>
      <c r="SHL290" s="1144"/>
      <c r="SHM290" s="1144"/>
      <c r="SHN290" s="1144"/>
      <c r="SHO290" s="1144"/>
      <c r="SHP290" s="1144"/>
      <c r="SHQ290" s="1144"/>
      <c r="SHR290" s="1144"/>
      <c r="SHS290" s="1144"/>
      <c r="SHT290" s="1144"/>
      <c r="SHU290" s="1144"/>
      <c r="SHV290" s="1144"/>
      <c r="SHW290" s="1144"/>
      <c r="SHX290" s="1144"/>
      <c r="SHY290" s="1144"/>
      <c r="SHZ290" s="1144"/>
      <c r="SIA290" s="1144"/>
      <c r="SIB290" s="1144"/>
      <c r="SIC290" s="1144"/>
      <c r="SID290" s="1144"/>
      <c r="SIE290" s="1144"/>
      <c r="SIF290" s="1144"/>
      <c r="SIG290" s="1144"/>
      <c r="SIH290" s="1144"/>
      <c r="SII290" s="1144"/>
      <c r="SIJ290" s="1144"/>
      <c r="SIK290" s="1144"/>
      <c r="SIL290" s="1144"/>
      <c r="SIM290" s="1144"/>
      <c r="SIN290" s="1144"/>
      <c r="SIO290" s="1144"/>
      <c r="SIP290" s="1144"/>
      <c r="SIQ290" s="1144"/>
      <c r="SIR290" s="1144"/>
      <c r="SIS290" s="1144"/>
      <c r="SIT290" s="1144"/>
      <c r="SIU290" s="1144"/>
      <c r="SIV290" s="1144"/>
      <c r="SIW290" s="1144"/>
      <c r="SIX290" s="1144"/>
      <c r="SIY290" s="1144"/>
      <c r="SIZ290" s="1144"/>
      <c r="SJA290" s="1144"/>
      <c r="SJB290" s="1144"/>
      <c r="SJC290" s="1144"/>
      <c r="SJD290" s="1144"/>
      <c r="SJE290" s="1144"/>
      <c r="SJF290" s="1144"/>
      <c r="SJG290" s="1144"/>
      <c r="SJH290" s="1144"/>
      <c r="SJI290" s="1144"/>
      <c r="SJJ290" s="1144"/>
      <c r="SJK290" s="1144"/>
      <c r="SJL290" s="1144"/>
      <c r="SJM290" s="1144"/>
      <c r="SJN290" s="1144"/>
      <c r="SJO290" s="1144"/>
      <c r="SJP290" s="1144"/>
      <c r="SJQ290" s="1144"/>
      <c r="SJR290" s="1144"/>
      <c r="SJS290" s="1144"/>
      <c r="SJT290" s="1144"/>
      <c r="SJU290" s="1144"/>
      <c r="SJV290" s="1144"/>
      <c r="SJW290" s="1144"/>
      <c r="SJX290" s="1144"/>
      <c r="SJY290" s="1144"/>
      <c r="SJZ290" s="1144"/>
      <c r="SKA290" s="1144"/>
      <c r="SKB290" s="1144"/>
      <c r="SKC290" s="1144"/>
      <c r="SKD290" s="1144"/>
      <c r="SKE290" s="1144"/>
      <c r="SKF290" s="1144"/>
      <c r="SKG290" s="1144"/>
      <c r="SKH290" s="1144"/>
      <c r="SKI290" s="1144"/>
      <c r="SKJ290" s="1144"/>
      <c r="SKK290" s="1144"/>
      <c r="SKL290" s="1144"/>
      <c r="SKM290" s="1144"/>
      <c r="SKN290" s="1144"/>
      <c r="SKO290" s="1144"/>
      <c r="SKP290" s="1144"/>
      <c r="SKQ290" s="1144"/>
      <c r="SKR290" s="1144"/>
      <c r="SKS290" s="1144"/>
      <c r="SKT290" s="1144"/>
      <c r="SKU290" s="1144"/>
      <c r="SKV290" s="1144"/>
      <c r="SKW290" s="1144"/>
      <c r="SKX290" s="1144"/>
      <c r="SKY290" s="1144"/>
      <c r="SKZ290" s="1144"/>
      <c r="SLA290" s="1144"/>
      <c r="SLB290" s="1144"/>
      <c r="SLC290" s="1144"/>
      <c r="SLD290" s="1144"/>
      <c r="SLE290" s="1144"/>
      <c r="SLF290" s="1144"/>
      <c r="SLG290" s="1144"/>
      <c r="SLH290" s="1144"/>
      <c r="SLI290" s="1144"/>
      <c r="SLJ290" s="1144"/>
      <c r="SLK290" s="1144"/>
      <c r="SLL290" s="1144"/>
      <c r="SLM290" s="1144"/>
      <c r="SLN290" s="1144"/>
      <c r="SLO290" s="1144"/>
      <c r="SLP290" s="1144"/>
      <c r="SLQ290" s="1144"/>
      <c r="SLR290" s="1144"/>
      <c r="SLS290" s="1144"/>
      <c r="SLT290" s="1144"/>
      <c r="SLU290" s="1144"/>
      <c r="SLV290" s="1144"/>
      <c r="SLW290" s="1144"/>
      <c r="SLX290" s="1144"/>
      <c r="SLY290" s="1144"/>
      <c r="SLZ290" s="1144"/>
      <c r="SMA290" s="1144"/>
      <c r="SMB290" s="1144"/>
      <c r="SMC290" s="1144"/>
      <c r="SMD290" s="1144"/>
      <c r="SME290" s="1144"/>
      <c r="SMF290" s="1144"/>
      <c r="SMG290" s="1144"/>
      <c r="SMH290" s="1144"/>
      <c r="SMI290" s="1144"/>
      <c r="SMJ290" s="1144"/>
      <c r="SMK290" s="1144"/>
      <c r="SML290" s="1144"/>
      <c r="SMM290" s="1144"/>
      <c r="SMN290" s="1144"/>
      <c r="SMO290" s="1144"/>
      <c r="SMP290" s="1144"/>
      <c r="SMQ290" s="1144"/>
      <c r="SMR290" s="1144"/>
      <c r="SMS290" s="1144"/>
      <c r="SMT290" s="1144"/>
      <c r="SMU290" s="1144"/>
      <c r="SMV290" s="1144"/>
      <c r="SMW290" s="1144"/>
      <c r="SMX290" s="1144"/>
      <c r="SMY290" s="1144"/>
      <c r="SMZ290" s="1144"/>
      <c r="SNA290" s="1144"/>
      <c r="SNB290" s="1144"/>
      <c r="SNC290" s="1144"/>
      <c r="SND290" s="1144"/>
      <c r="SNE290" s="1144"/>
      <c r="SNF290" s="1144"/>
      <c r="SNG290" s="1144"/>
      <c r="SNH290" s="1144"/>
      <c r="SNI290" s="1144"/>
      <c r="SNJ290" s="1144"/>
      <c r="SNK290" s="1144"/>
      <c r="SNL290" s="1144"/>
      <c r="SNM290" s="1144"/>
      <c r="SNN290" s="1144"/>
      <c r="SNO290" s="1144"/>
      <c r="SNP290" s="1144"/>
      <c r="SNQ290" s="1144"/>
      <c r="SNR290" s="1144"/>
      <c r="SNS290" s="1144"/>
      <c r="SNT290" s="1144"/>
      <c r="SNU290" s="1144"/>
      <c r="SNV290" s="1144"/>
      <c r="SNW290" s="1144"/>
      <c r="SNX290" s="1144"/>
      <c r="SNY290" s="1144"/>
      <c r="SNZ290" s="1144"/>
      <c r="SOA290" s="1144"/>
      <c r="SOB290" s="1144"/>
      <c r="SOC290" s="1144"/>
      <c r="SOD290" s="1144"/>
      <c r="SOE290" s="1144"/>
      <c r="SOF290" s="1144"/>
      <c r="SOG290" s="1144"/>
      <c r="SOH290" s="1144"/>
      <c r="SOI290" s="1144"/>
      <c r="SOJ290" s="1144"/>
      <c r="SOK290" s="1144"/>
      <c r="SOL290" s="1144"/>
      <c r="SOM290" s="1144"/>
      <c r="SON290" s="1144"/>
      <c r="SOO290" s="1144"/>
      <c r="SOP290" s="1144"/>
      <c r="SOQ290" s="1144"/>
      <c r="SOR290" s="1144"/>
      <c r="SOS290" s="1144"/>
      <c r="SOT290" s="1144"/>
      <c r="SOU290" s="1144"/>
      <c r="SOV290" s="1144"/>
      <c r="SOW290" s="1144"/>
      <c r="SOX290" s="1144"/>
      <c r="SOY290" s="1144"/>
      <c r="SOZ290" s="1144"/>
      <c r="SPA290" s="1144"/>
      <c r="SPB290" s="1144"/>
      <c r="SPC290" s="1144"/>
      <c r="SPD290" s="1144"/>
      <c r="SPE290" s="1144"/>
      <c r="SPF290" s="1144"/>
      <c r="SPG290" s="1144"/>
      <c r="SPH290" s="1144"/>
      <c r="SPI290" s="1144"/>
      <c r="SPJ290" s="1144"/>
      <c r="SPK290" s="1144"/>
      <c r="SPL290" s="1144"/>
      <c r="SPM290" s="1144"/>
      <c r="SPN290" s="1144"/>
      <c r="SPO290" s="1144"/>
      <c r="SPP290" s="1144"/>
      <c r="SPQ290" s="1144"/>
      <c r="SPR290" s="1144"/>
      <c r="SPS290" s="1144"/>
      <c r="SPT290" s="1144"/>
      <c r="SPU290" s="1144"/>
      <c r="SPV290" s="1144"/>
      <c r="SPW290" s="1144"/>
      <c r="SPX290" s="1144"/>
      <c r="SPY290" s="1144"/>
      <c r="SPZ290" s="1144"/>
      <c r="SQA290" s="1144"/>
      <c r="SQB290" s="1144"/>
      <c r="SQC290" s="1144"/>
      <c r="SQD290" s="1144"/>
      <c r="SQE290" s="1144"/>
      <c r="SQF290" s="1144"/>
      <c r="SQG290" s="1144"/>
      <c r="SQH290" s="1144"/>
      <c r="SQI290" s="1144"/>
      <c r="SQJ290" s="1144"/>
      <c r="SQK290" s="1144"/>
      <c r="SQL290" s="1144"/>
      <c r="SQM290" s="1144"/>
      <c r="SQN290" s="1144"/>
      <c r="SQO290" s="1144"/>
      <c r="SQP290" s="1144"/>
      <c r="SQQ290" s="1144"/>
      <c r="SQR290" s="1144"/>
      <c r="SQS290" s="1144"/>
      <c r="SQT290" s="1144"/>
      <c r="SQU290" s="1144"/>
      <c r="SQV290" s="1144"/>
      <c r="SQW290" s="1144"/>
      <c r="SQX290" s="1144"/>
      <c r="SQY290" s="1144"/>
      <c r="SQZ290" s="1144"/>
      <c r="SRA290" s="1144"/>
      <c r="SRB290" s="1144"/>
      <c r="SRC290" s="1144"/>
      <c r="SRD290" s="1144"/>
      <c r="SRE290" s="1144"/>
      <c r="SRF290" s="1144"/>
      <c r="SRG290" s="1144"/>
      <c r="SRH290" s="1144"/>
      <c r="SRI290" s="1144"/>
      <c r="SRJ290" s="1144"/>
      <c r="SRK290" s="1144"/>
      <c r="SRL290" s="1144"/>
      <c r="SRM290" s="1144"/>
      <c r="SRN290" s="1144"/>
      <c r="SRO290" s="1144"/>
      <c r="SRP290" s="1144"/>
      <c r="SRQ290" s="1144"/>
      <c r="SRR290" s="1144"/>
      <c r="SRS290" s="1144"/>
      <c r="SRT290" s="1144"/>
      <c r="SRU290" s="1144"/>
      <c r="SRV290" s="1144"/>
      <c r="SRW290" s="1144"/>
      <c r="SRX290" s="1144"/>
      <c r="SRY290" s="1144"/>
      <c r="SRZ290" s="1144"/>
      <c r="SSA290" s="1144"/>
      <c r="SSB290" s="1144"/>
      <c r="SSC290" s="1144"/>
      <c r="SSD290" s="1144"/>
      <c r="SSE290" s="1144"/>
      <c r="SSF290" s="1144"/>
      <c r="SSG290" s="1144"/>
      <c r="SSH290" s="1144"/>
      <c r="SSI290" s="1144"/>
      <c r="SSJ290" s="1144"/>
      <c r="SSK290" s="1144"/>
      <c r="SSL290" s="1144"/>
      <c r="SSM290" s="1144"/>
      <c r="SSN290" s="1144"/>
      <c r="SSO290" s="1144"/>
      <c r="SSP290" s="1144"/>
      <c r="SSQ290" s="1144"/>
      <c r="SSR290" s="1144"/>
      <c r="SSS290" s="1144"/>
      <c r="SST290" s="1144"/>
      <c r="SSU290" s="1144"/>
      <c r="SSV290" s="1144"/>
      <c r="SSW290" s="1144"/>
      <c r="SSX290" s="1144"/>
      <c r="SSY290" s="1144"/>
      <c r="SSZ290" s="1144"/>
      <c r="STA290" s="1144"/>
      <c r="STB290" s="1144"/>
      <c r="STC290" s="1144"/>
      <c r="STD290" s="1144"/>
      <c r="STE290" s="1144"/>
      <c r="STF290" s="1144"/>
      <c r="STG290" s="1144"/>
      <c r="STH290" s="1144"/>
      <c r="STI290" s="1144"/>
      <c r="STJ290" s="1144"/>
      <c r="STK290" s="1144"/>
      <c r="STL290" s="1144"/>
      <c r="STM290" s="1144"/>
      <c r="STN290" s="1144"/>
      <c r="STO290" s="1144"/>
      <c r="STP290" s="1144"/>
      <c r="STQ290" s="1144"/>
      <c r="STR290" s="1144"/>
      <c r="STS290" s="1144"/>
      <c r="STT290" s="1144"/>
      <c r="STU290" s="1144"/>
      <c r="STV290" s="1144"/>
      <c r="STW290" s="1144"/>
      <c r="STX290" s="1144"/>
      <c r="STY290" s="1144"/>
      <c r="STZ290" s="1144"/>
      <c r="SUA290" s="1144"/>
      <c r="SUB290" s="1144"/>
      <c r="SUC290" s="1144"/>
      <c r="SUD290" s="1144"/>
      <c r="SUE290" s="1144"/>
      <c r="SUF290" s="1144"/>
      <c r="SUG290" s="1144"/>
      <c r="SUH290" s="1144"/>
      <c r="SUI290" s="1144"/>
      <c r="SUJ290" s="1144"/>
      <c r="SUK290" s="1144"/>
      <c r="SUL290" s="1144"/>
      <c r="SUM290" s="1144"/>
      <c r="SUN290" s="1144"/>
      <c r="SUO290" s="1144"/>
      <c r="SUP290" s="1144"/>
      <c r="SUQ290" s="1144"/>
      <c r="SUR290" s="1144"/>
      <c r="SUS290" s="1144"/>
      <c r="SUT290" s="1144"/>
      <c r="SUU290" s="1144"/>
      <c r="SUV290" s="1144"/>
      <c r="SUW290" s="1144"/>
      <c r="SUX290" s="1144"/>
      <c r="SUY290" s="1144"/>
      <c r="SUZ290" s="1144"/>
      <c r="SVA290" s="1144"/>
      <c r="SVB290" s="1144"/>
      <c r="SVC290" s="1144"/>
      <c r="SVD290" s="1144"/>
      <c r="SVE290" s="1144"/>
      <c r="SVF290" s="1144"/>
      <c r="SVG290" s="1144"/>
      <c r="SVH290" s="1144"/>
      <c r="SVI290" s="1144"/>
      <c r="SVJ290" s="1144"/>
      <c r="SVK290" s="1144"/>
      <c r="SVL290" s="1144"/>
      <c r="SVM290" s="1144"/>
      <c r="SVN290" s="1144"/>
      <c r="SVO290" s="1144"/>
      <c r="SVP290" s="1144"/>
      <c r="SVQ290" s="1144"/>
      <c r="SVR290" s="1144"/>
      <c r="SVS290" s="1144"/>
      <c r="SVT290" s="1144"/>
      <c r="SVU290" s="1144"/>
      <c r="SVV290" s="1144"/>
      <c r="SVW290" s="1144"/>
      <c r="SVX290" s="1144"/>
      <c r="SVY290" s="1144"/>
      <c r="SVZ290" s="1144"/>
      <c r="SWA290" s="1144"/>
      <c r="SWB290" s="1144"/>
      <c r="SWC290" s="1144"/>
      <c r="SWD290" s="1144"/>
      <c r="SWE290" s="1144"/>
      <c r="SWF290" s="1144"/>
      <c r="SWG290" s="1144"/>
      <c r="SWH290" s="1144"/>
      <c r="SWI290" s="1144"/>
      <c r="SWJ290" s="1144"/>
      <c r="SWK290" s="1144"/>
      <c r="SWL290" s="1144"/>
      <c r="SWM290" s="1144"/>
      <c r="SWN290" s="1144"/>
      <c r="SWO290" s="1144"/>
      <c r="SWP290" s="1144"/>
      <c r="SWQ290" s="1144"/>
      <c r="SWR290" s="1144"/>
      <c r="SWS290" s="1144"/>
      <c r="SWT290" s="1144"/>
      <c r="SWU290" s="1144"/>
      <c r="SWV290" s="1144"/>
      <c r="SWW290" s="1144"/>
      <c r="SWX290" s="1144"/>
      <c r="SWY290" s="1144"/>
      <c r="SWZ290" s="1144"/>
      <c r="SXA290" s="1144"/>
      <c r="SXB290" s="1144"/>
      <c r="SXC290" s="1144"/>
      <c r="SXD290" s="1144"/>
      <c r="SXE290" s="1144"/>
      <c r="SXF290" s="1144"/>
      <c r="SXG290" s="1144"/>
      <c r="SXH290" s="1144"/>
      <c r="SXI290" s="1144"/>
      <c r="SXJ290" s="1144"/>
      <c r="SXK290" s="1144"/>
      <c r="SXL290" s="1144"/>
      <c r="SXM290" s="1144"/>
      <c r="SXN290" s="1144"/>
      <c r="SXO290" s="1144"/>
      <c r="SXP290" s="1144"/>
      <c r="SXQ290" s="1144"/>
      <c r="SXR290" s="1144"/>
      <c r="SXS290" s="1144"/>
      <c r="SXT290" s="1144"/>
      <c r="SXU290" s="1144"/>
      <c r="SXV290" s="1144"/>
      <c r="SXW290" s="1144"/>
      <c r="SXX290" s="1144"/>
      <c r="SXY290" s="1144"/>
      <c r="SXZ290" s="1144"/>
      <c r="SYA290" s="1144"/>
      <c r="SYB290" s="1144"/>
      <c r="SYC290" s="1144"/>
      <c r="SYD290" s="1144"/>
      <c r="SYE290" s="1144"/>
      <c r="SYF290" s="1144"/>
      <c r="SYG290" s="1144"/>
      <c r="SYH290" s="1144"/>
      <c r="SYI290" s="1144"/>
      <c r="SYJ290" s="1144"/>
      <c r="SYK290" s="1144"/>
      <c r="SYL290" s="1144"/>
      <c r="SYM290" s="1144"/>
      <c r="SYN290" s="1144"/>
      <c r="SYO290" s="1144"/>
      <c r="SYP290" s="1144"/>
      <c r="SYQ290" s="1144"/>
      <c r="SYR290" s="1144"/>
      <c r="SYS290" s="1144"/>
      <c r="SYT290" s="1144"/>
      <c r="SYU290" s="1144"/>
      <c r="SYV290" s="1144"/>
      <c r="SYW290" s="1144"/>
      <c r="SYX290" s="1144"/>
      <c r="SYY290" s="1144"/>
      <c r="SYZ290" s="1144"/>
      <c r="SZA290" s="1144"/>
      <c r="SZB290" s="1144"/>
      <c r="SZC290" s="1144"/>
      <c r="SZD290" s="1144"/>
      <c r="SZE290" s="1144"/>
      <c r="SZF290" s="1144"/>
      <c r="SZG290" s="1144"/>
      <c r="SZH290" s="1144"/>
      <c r="SZI290" s="1144"/>
      <c r="SZJ290" s="1144"/>
      <c r="SZK290" s="1144"/>
      <c r="SZL290" s="1144"/>
      <c r="SZM290" s="1144"/>
      <c r="SZN290" s="1144"/>
      <c r="SZO290" s="1144"/>
      <c r="SZP290" s="1144"/>
      <c r="SZQ290" s="1144"/>
      <c r="SZR290" s="1144"/>
      <c r="SZS290" s="1144"/>
      <c r="SZT290" s="1144"/>
      <c r="SZU290" s="1144"/>
      <c r="SZV290" s="1144"/>
      <c r="SZW290" s="1144"/>
      <c r="SZX290" s="1144"/>
      <c r="SZY290" s="1144"/>
      <c r="SZZ290" s="1144"/>
      <c r="TAA290" s="1144"/>
      <c r="TAB290" s="1144"/>
      <c r="TAC290" s="1144"/>
      <c r="TAD290" s="1144"/>
      <c r="TAE290" s="1144"/>
      <c r="TAF290" s="1144"/>
      <c r="TAG290" s="1144"/>
      <c r="TAH290" s="1144"/>
      <c r="TAI290" s="1144"/>
      <c r="TAJ290" s="1144"/>
      <c r="TAK290" s="1144"/>
      <c r="TAL290" s="1144"/>
      <c r="TAM290" s="1144"/>
      <c r="TAN290" s="1144"/>
      <c r="TAO290" s="1144"/>
      <c r="TAP290" s="1144"/>
      <c r="TAQ290" s="1144"/>
      <c r="TAR290" s="1144"/>
      <c r="TAS290" s="1144"/>
      <c r="TAT290" s="1144"/>
      <c r="TAU290" s="1144"/>
      <c r="TAV290" s="1144"/>
      <c r="TAW290" s="1144"/>
      <c r="TAX290" s="1144"/>
      <c r="TAY290" s="1144"/>
      <c r="TAZ290" s="1144"/>
      <c r="TBA290" s="1144"/>
      <c r="TBB290" s="1144"/>
      <c r="TBC290" s="1144"/>
      <c r="TBD290" s="1144"/>
      <c r="TBE290" s="1144"/>
      <c r="TBF290" s="1144"/>
      <c r="TBG290" s="1144"/>
      <c r="TBH290" s="1144"/>
      <c r="TBI290" s="1144"/>
      <c r="TBJ290" s="1144"/>
      <c r="TBK290" s="1144"/>
      <c r="TBL290" s="1144"/>
      <c r="TBM290" s="1144"/>
      <c r="TBN290" s="1144"/>
      <c r="TBO290" s="1144"/>
      <c r="TBP290" s="1144"/>
      <c r="TBQ290" s="1144"/>
      <c r="TBR290" s="1144"/>
      <c r="TBS290" s="1144"/>
      <c r="TBT290" s="1144"/>
      <c r="TBU290" s="1144"/>
      <c r="TBV290" s="1144"/>
      <c r="TBW290" s="1144"/>
      <c r="TBX290" s="1144"/>
      <c r="TBY290" s="1144"/>
      <c r="TBZ290" s="1144"/>
      <c r="TCA290" s="1144"/>
      <c r="TCB290" s="1144"/>
      <c r="TCC290" s="1144"/>
      <c r="TCD290" s="1144"/>
      <c r="TCE290" s="1144"/>
      <c r="TCF290" s="1144"/>
      <c r="TCG290" s="1144"/>
      <c r="TCH290" s="1144"/>
      <c r="TCI290" s="1144"/>
      <c r="TCJ290" s="1144"/>
      <c r="TCK290" s="1144"/>
      <c r="TCL290" s="1144"/>
      <c r="TCM290" s="1144"/>
      <c r="TCN290" s="1144"/>
      <c r="TCO290" s="1144"/>
      <c r="TCP290" s="1144"/>
      <c r="TCQ290" s="1144"/>
      <c r="TCR290" s="1144"/>
      <c r="TCS290" s="1144"/>
      <c r="TCT290" s="1144"/>
      <c r="TCU290" s="1144"/>
      <c r="TCV290" s="1144"/>
      <c r="TCW290" s="1144"/>
      <c r="TCX290" s="1144"/>
      <c r="TCY290" s="1144"/>
      <c r="TCZ290" s="1144"/>
      <c r="TDA290" s="1144"/>
      <c r="TDB290" s="1144"/>
      <c r="TDC290" s="1144"/>
      <c r="TDD290" s="1144"/>
      <c r="TDE290" s="1144"/>
      <c r="TDF290" s="1144"/>
      <c r="TDG290" s="1144"/>
      <c r="TDH290" s="1144"/>
      <c r="TDI290" s="1144"/>
      <c r="TDJ290" s="1144"/>
      <c r="TDK290" s="1144"/>
      <c r="TDL290" s="1144"/>
      <c r="TDM290" s="1144"/>
      <c r="TDN290" s="1144"/>
      <c r="TDO290" s="1144"/>
      <c r="TDP290" s="1144"/>
      <c r="TDQ290" s="1144"/>
      <c r="TDR290" s="1144"/>
      <c r="TDS290" s="1144"/>
      <c r="TDT290" s="1144"/>
      <c r="TDU290" s="1144"/>
      <c r="TDV290" s="1144"/>
      <c r="TDW290" s="1144"/>
      <c r="TDX290" s="1144"/>
      <c r="TDY290" s="1144"/>
      <c r="TDZ290" s="1144"/>
      <c r="TEA290" s="1144"/>
      <c r="TEB290" s="1144"/>
      <c r="TEC290" s="1144"/>
      <c r="TED290" s="1144"/>
      <c r="TEE290" s="1144"/>
      <c r="TEF290" s="1144"/>
      <c r="TEG290" s="1144"/>
      <c r="TEH290" s="1144"/>
      <c r="TEI290" s="1144"/>
      <c r="TEJ290" s="1144"/>
      <c r="TEK290" s="1144"/>
      <c r="TEL290" s="1144"/>
      <c r="TEM290" s="1144"/>
      <c r="TEN290" s="1144"/>
      <c r="TEO290" s="1144"/>
      <c r="TEP290" s="1144"/>
      <c r="TEQ290" s="1144"/>
      <c r="TER290" s="1144"/>
      <c r="TES290" s="1144"/>
      <c r="TET290" s="1144"/>
      <c r="TEU290" s="1144"/>
      <c r="TEV290" s="1144"/>
      <c r="TEW290" s="1144"/>
      <c r="TEX290" s="1144"/>
      <c r="TEY290" s="1144"/>
      <c r="TEZ290" s="1144"/>
      <c r="TFA290" s="1144"/>
      <c r="TFB290" s="1144"/>
      <c r="TFC290" s="1144"/>
      <c r="TFD290" s="1144"/>
      <c r="TFE290" s="1144"/>
      <c r="TFF290" s="1144"/>
      <c r="TFG290" s="1144"/>
      <c r="TFH290" s="1144"/>
      <c r="TFI290" s="1144"/>
      <c r="TFJ290" s="1144"/>
      <c r="TFK290" s="1144"/>
      <c r="TFL290" s="1144"/>
      <c r="TFM290" s="1144"/>
      <c r="TFN290" s="1144"/>
      <c r="TFO290" s="1144"/>
      <c r="TFP290" s="1144"/>
      <c r="TFQ290" s="1144"/>
      <c r="TFR290" s="1144"/>
      <c r="TFS290" s="1144"/>
      <c r="TFT290" s="1144"/>
      <c r="TFU290" s="1144"/>
      <c r="TFV290" s="1144"/>
      <c r="TFW290" s="1144"/>
      <c r="TFX290" s="1144"/>
      <c r="TFY290" s="1144"/>
      <c r="TFZ290" s="1144"/>
      <c r="TGA290" s="1144"/>
      <c r="TGB290" s="1144"/>
      <c r="TGC290" s="1144"/>
      <c r="TGD290" s="1144"/>
      <c r="TGE290" s="1144"/>
      <c r="TGF290" s="1144"/>
      <c r="TGG290" s="1144"/>
      <c r="TGH290" s="1144"/>
      <c r="TGI290" s="1144"/>
      <c r="TGJ290" s="1144"/>
      <c r="TGK290" s="1144"/>
      <c r="TGL290" s="1144"/>
      <c r="TGM290" s="1144"/>
      <c r="TGN290" s="1144"/>
      <c r="TGO290" s="1144"/>
      <c r="TGP290" s="1144"/>
      <c r="TGQ290" s="1144"/>
      <c r="TGR290" s="1144"/>
      <c r="TGS290" s="1144"/>
      <c r="TGT290" s="1144"/>
      <c r="TGU290" s="1144"/>
      <c r="TGV290" s="1144"/>
      <c r="TGW290" s="1144"/>
      <c r="TGX290" s="1144"/>
      <c r="TGY290" s="1144"/>
      <c r="TGZ290" s="1144"/>
      <c r="THA290" s="1144"/>
      <c r="THB290" s="1144"/>
      <c r="THC290" s="1144"/>
      <c r="THD290" s="1144"/>
      <c r="THE290" s="1144"/>
      <c r="THF290" s="1144"/>
      <c r="THG290" s="1144"/>
      <c r="THH290" s="1144"/>
      <c r="THI290" s="1144"/>
      <c r="THJ290" s="1144"/>
      <c r="THK290" s="1144"/>
      <c r="THL290" s="1144"/>
      <c r="THM290" s="1144"/>
      <c r="THN290" s="1144"/>
      <c r="THO290" s="1144"/>
      <c r="THP290" s="1144"/>
      <c r="THQ290" s="1144"/>
      <c r="THR290" s="1144"/>
      <c r="THS290" s="1144"/>
      <c r="THT290" s="1144"/>
      <c r="THU290" s="1144"/>
      <c r="THV290" s="1144"/>
      <c r="THW290" s="1144"/>
      <c r="THX290" s="1144"/>
      <c r="THY290" s="1144"/>
      <c r="THZ290" s="1144"/>
      <c r="TIA290" s="1144"/>
      <c r="TIB290" s="1144"/>
      <c r="TIC290" s="1144"/>
      <c r="TID290" s="1144"/>
      <c r="TIE290" s="1144"/>
      <c r="TIF290" s="1144"/>
      <c r="TIG290" s="1144"/>
      <c r="TIH290" s="1144"/>
      <c r="TII290" s="1144"/>
      <c r="TIJ290" s="1144"/>
      <c r="TIK290" s="1144"/>
      <c r="TIL290" s="1144"/>
      <c r="TIM290" s="1144"/>
      <c r="TIN290" s="1144"/>
      <c r="TIO290" s="1144"/>
      <c r="TIP290" s="1144"/>
      <c r="TIQ290" s="1144"/>
      <c r="TIR290" s="1144"/>
      <c r="TIS290" s="1144"/>
      <c r="TIT290" s="1144"/>
      <c r="TIU290" s="1144"/>
      <c r="TIV290" s="1144"/>
      <c r="TIW290" s="1144"/>
      <c r="TIX290" s="1144"/>
      <c r="TIY290" s="1144"/>
      <c r="TIZ290" s="1144"/>
      <c r="TJA290" s="1144"/>
      <c r="TJB290" s="1144"/>
      <c r="TJC290" s="1144"/>
      <c r="TJD290" s="1144"/>
      <c r="TJE290" s="1144"/>
      <c r="TJF290" s="1144"/>
      <c r="TJG290" s="1144"/>
      <c r="TJH290" s="1144"/>
      <c r="TJI290" s="1144"/>
      <c r="TJJ290" s="1144"/>
      <c r="TJK290" s="1144"/>
      <c r="TJL290" s="1144"/>
      <c r="TJM290" s="1144"/>
      <c r="TJN290" s="1144"/>
      <c r="TJO290" s="1144"/>
      <c r="TJP290" s="1144"/>
      <c r="TJQ290" s="1144"/>
      <c r="TJR290" s="1144"/>
      <c r="TJS290" s="1144"/>
      <c r="TJT290" s="1144"/>
      <c r="TJU290" s="1144"/>
      <c r="TJV290" s="1144"/>
      <c r="TJW290" s="1144"/>
      <c r="TJX290" s="1144"/>
      <c r="TJY290" s="1144"/>
      <c r="TJZ290" s="1144"/>
      <c r="TKA290" s="1144"/>
      <c r="TKB290" s="1144"/>
      <c r="TKC290" s="1144"/>
      <c r="TKD290" s="1144"/>
      <c r="TKE290" s="1144"/>
      <c r="TKF290" s="1144"/>
      <c r="TKG290" s="1144"/>
      <c r="TKH290" s="1144"/>
      <c r="TKI290" s="1144"/>
      <c r="TKJ290" s="1144"/>
      <c r="TKK290" s="1144"/>
      <c r="TKL290" s="1144"/>
      <c r="TKM290" s="1144"/>
      <c r="TKN290" s="1144"/>
      <c r="TKO290" s="1144"/>
      <c r="TKP290" s="1144"/>
      <c r="TKQ290" s="1144"/>
      <c r="TKR290" s="1144"/>
      <c r="TKS290" s="1144"/>
      <c r="TKT290" s="1144"/>
      <c r="TKU290" s="1144"/>
      <c r="TKV290" s="1144"/>
      <c r="TKW290" s="1144"/>
      <c r="TKX290" s="1144"/>
      <c r="TKY290" s="1144"/>
      <c r="TKZ290" s="1144"/>
      <c r="TLA290" s="1144"/>
      <c r="TLB290" s="1144"/>
      <c r="TLC290" s="1144"/>
      <c r="TLD290" s="1144"/>
      <c r="TLE290" s="1144"/>
      <c r="TLF290" s="1144"/>
      <c r="TLG290" s="1144"/>
      <c r="TLH290" s="1144"/>
      <c r="TLI290" s="1144"/>
      <c r="TLJ290" s="1144"/>
      <c r="TLK290" s="1144"/>
      <c r="TLL290" s="1144"/>
      <c r="TLM290" s="1144"/>
      <c r="TLN290" s="1144"/>
      <c r="TLO290" s="1144"/>
      <c r="TLP290" s="1144"/>
      <c r="TLQ290" s="1144"/>
      <c r="TLR290" s="1144"/>
      <c r="TLS290" s="1144"/>
      <c r="TLT290" s="1144"/>
      <c r="TLU290" s="1144"/>
      <c r="TLV290" s="1144"/>
      <c r="TLW290" s="1144"/>
      <c r="TLX290" s="1144"/>
      <c r="TLY290" s="1144"/>
      <c r="TLZ290" s="1144"/>
      <c r="TMA290" s="1144"/>
      <c r="TMB290" s="1144"/>
      <c r="TMC290" s="1144"/>
      <c r="TMD290" s="1144"/>
      <c r="TME290" s="1144"/>
      <c r="TMF290" s="1144"/>
      <c r="TMG290" s="1144"/>
      <c r="TMH290" s="1144"/>
      <c r="TMI290" s="1144"/>
      <c r="TMJ290" s="1144"/>
      <c r="TMK290" s="1144"/>
      <c r="TML290" s="1144"/>
      <c r="TMM290" s="1144"/>
      <c r="TMN290" s="1144"/>
      <c r="TMO290" s="1144"/>
      <c r="TMP290" s="1144"/>
      <c r="TMQ290" s="1144"/>
      <c r="TMR290" s="1144"/>
      <c r="TMS290" s="1144"/>
      <c r="TMT290" s="1144"/>
      <c r="TMU290" s="1144"/>
      <c r="TMV290" s="1144"/>
      <c r="TMW290" s="1144"/>
      <c r="TMX290" s="1144"/>
      <c r="TMY290" s="1144"/>
      <c r="TMZ290" s="1144"/>
      <c r="TNA290" s="1144"/>
      <c r="TNB290" s="1144"/>
      <c r="TNC290" s="1144"/>
      <c r="TND290" s="1144"/>
      <c r="TNE290" s="1144"/>
      <c r="TNF290" s="1144"/>
      <c r="TNG290" s="1144"/>
      <c r="TNH290" s="1144"/>
      <c r="TNI290" s="1144"/>
      <c r="TNJ290" s="1144"/>
      <c r="TNK290" s="1144"/>
      <c r="TNL290" s="1144"/>
      <c r="TNM290" s="1144"/>
      <c r="TNN290" s="1144"/>
      <c r="TNO290" s="1144"/>
      <c r="TNP290" s="1144"/>
      <c r="TNQ290" s="1144"/>
      <c r="TNR290" s="1144"/>
      <c r="TNS290" s="1144"/>
      <c r="TNT290" s="1144"/>
      <c r="TNU290" s="1144"/>
      <c r="TNV290" s="1144"/>
      <c r="TNW290" s="1144"/>
      <c r="TNX290" s="1144"/>
      <c r="TNY290" s="1144"/>
      <c r="TNZ290" s="1144"/>
      <c r="TOA290" s="1144"/>
      <c r="TOB290" s="1144"/>
      <c r="TOC290" s="1144"/>
      <c r="TOD290" s="1144"/>
      <c r="TOE290" s="1144"/>
      <c r="TOF290" s="1144"/>
      <c r="TOG290" s="1144"/>
      <c r="TOH290" s="1144"/>
      <c r="TOI290" s="1144"/>
      <c r="TOJ290" s="1144"/>
      <c r="TOK290" s="1144"/>
      <c r="TOL290" s="1144"/>
      <c r="TOM290" s="1144"/>
      <c r="TON290" s="1144"/>
      <c r="TOO290" s="1144"/>
      <c r="TOP290" s="1144"/>
      <c r="TOQ290" s="1144"/>
      <c r="TOR290" s="1144"/>
      <c r="TOS290" s="1144"/>
      <c r="TOT290" s="1144"/>
      <c r="TOU290" s="1144"/>
      <c r="TOV290" s="1144"/>
      <c r="TOW290" s="1144"/>
      <c r="TOX290" s="1144"/>
      <c r="TOY290" s="1144"/>
      <c r="TOZ290" s="1144"/>
      <c r="TPA290" s="1144"/>
      <c r="TPB290" s="1144"/>
      <c r="TPC290" s="1144"/>
      <c r="TPD290" s="1144"/>
      <c r="TPE290" s="1144"/>
      <c r="TPF290" s="1144"/>
      <c r="TPG290" s="1144"/>
      <c r="TPH290" s="1144"/>
      <c r="TPI290" s="1144"/>
      <c r="TPJ290" s="1144"/>
      <c r="TPK290" s="1144"/>
      <c r="TPL290" s="1144"/>
      <c r="TPM290" s="1144"/>
      <c r="TPN290" s="1144"/>
      <c r="TPO290" s="1144"/>
      <c r="TPP290" s="1144"/>
      <c r="TPQ290" s="1144"/>
      <c r="TPR290" s="1144"/>
      <c r="TPS290" s="1144"/>
      <c r="TPT290" s="1144"/>
      <c r="TPU290" s="1144"/>
      <c r="TPV290" s="1144"/>
      <c r="TPW290" s="1144"/>
      <c r="TPX290" s="1144"/>
      <c r="TPY290" s="1144"/>
      <c r="TPZ290" s="1144"/>
      <c r="TQA290" s="1144"/>
      <c r="TQB290" s="1144"/>
      <c r="TQC290" s="1144"/>
      <c r="TQD290" s="1144"/>
      <c r="TQE290" s="1144"/>
      <c r="TQF290" s="1144"/>
      <c r="TQG290" s="1144"/>
      <c r="TQH290" s="1144"/>
      <c r="TQI290" s="1144"/>
      <c r="TQJ290" s="1144"/>
      <c r="TQK290" s="1144"/>
      <c r="TQL290" s="1144"/>
      <c r="TQM290" s="1144"/>
      <c r="TQN290" s="1144"/>
      <c r="TQO290" s="1144"/>
      <c r="TQP290" s="1144"/>
      <c r="TQQ290" s="1144"/>
      <c r="TQR290" s="1144"/>
      <c r="TQS290" s="1144"/>
      <c r="TQT290" s="1144"/>
      <c r="TQU290" s="1144"/>
      <c r="TQV290" s="1144"/>
      <c r="TQW290" s="1144"/>
      <c r="TQX290" s="1144"/>
      <c r="TQY290" s="1144"/>
      <c r="TQZ290" s="1144"/>
      <c r="TRA290" s="1144"/>
      <c r="TRB290" s="1144"/>
      <c r="TRC290" s="1144"/>
      <c r="TRD290" s="1144"/>
      <c r="TRE290" s="1144"/>
      <c r="TRF290" s="1144"/>
      <c r="TRG290" s="1144"/>
      <c r="TRH290" s="1144"/>
      <c r="TRI290" s="1144"/>
      <c r="TRJ290" s="1144"/>
      <c r="TRK290" s="1144"/>
      <c r="TRL290" s="1144"/>
      <c r="TRM290" s="1144"/>
      <c r="TRN290" s="1144"/>
      <c r="TRO290" s="1144"/>
      <c r="TRP290" s="1144"/>
      <c r="TRQ290" s="1144"/>
      <c r="TRR290" s="1144"/>
      <c r="TRS290" s="1144"/>
      <c r="TRT290" s="1144"/>
      <c r="TRU290" s="1144"/>
      <c r="TRV290" s="1144"/>
      <c r="TRW290" s="1144"/>
      <c r="TRX290" s="1144"/>
      <c r="TRY290" s="1144"/>
      <c r="TRZ290" s="1144"/>
      <c r="TSA290" s="1144"/>
      <c r="TSB290" s="1144"/>
      <c r="TSC290" s="1144"/>
      <c r="TSD290" s="1144"/>
      <c r="TSE290" s="1144"/>
      <c r="TSF290" s="1144"/>
      <c r="TSG290" s="1144"/>
      <c r="TSH290" s="1144"/>
      <c r="TSI290" s="1144"/>
      <c r="TSJ290" s="1144"/>
      <c r="TSK290" s="1144"/>
      <c r="TSL290" s="1144"/>
      <c r="TSM290" s="1144"/>
      <c r="TSN290" s="1144"/>
      <c r="TSO290" s="1144"/>
      <c r="TSP290" s="1144"/>
      <c r="TSQ290" s="1144"/>
      <c r="TSR290" s="1144"/>
      <c r="TSS290" s="1144"/>
      <c r="TST290" s="1144"/>
      <c r="TSU290" s="1144"/>
      <c r="TSV290" s="1144"/>
      <c r="TSW290" s="1144"/>
      <c r="TSX290" s="1144"/>
      <c r="TSY290" s="1144"/>
      <c r="TSZ290" s="1144"/>
      <c r="TTA290" s="1144"/>
      <c r="TTB290" s="1144"/>
      <c r="TTC290" s="1144"/>
      <c r="TTD290" s="1144"/>
      <c r="TTE290" s="1144"/>
      <c r="TTF290" s="1144"/>
      <c r="TTG290" s="1144"/>
      <c r="TTH290" s="1144"/>
      <c r="TTI290" s="1144"/>
      <c r="TTJ290" s="1144"/>
      <c r="TTK290" s="1144"/>
      <c r="TTL290" s="1144"/>
      <c r="TTM290" s="1144"/>
      <c r="TTN290" s="1144"/>
      <c r="TTO290" s="1144"/>
      <c r="TTP290" s="1144"/>
      <c r="TTQ290" s="1144"/>
      <c r="TTR290" s="1144"/>
      <c r="TTS290" s="1144"/>
      <c r="TTT290" s="1144"/>
      <c r="TTU290" s="1144"/>
      <c r="TTV290" s="1144"/>
      <c r="TTW290" s="1144"/>
      <c r="TTX290" s="1144"/>
      <c r="TTY290" s="1144"/>
      <c r="TTZ290" s="1144"/>
      <c r="TUA290" s="1144"/>
      <c r="TUB290" s="1144"/>
      <c r="TUC290" s="1144"/>
      <c r="TUD290" s="1144"/>
      <c r="TUE290" s="1144"/>
      <c r="TUF290" s="1144"/>
      <c r="TUG290" s="1144"/>
      <c r="TUH290" s="1144"/>
      <c r="TUI290" s="1144"/>
      <c r="TUJ290" s="1144"/>
      <c r="TUK290" s="1144"/>
      <c r="TUL290" s="1144"/>
      <c r="TUM290" s="1144"/>
      <c r="TUN290" s="1144"/>
      <c r="TUO290" s="1144"/>
      <c r="TUP290" s="1144"/>
      <c r="TUQ290" s="1144"/>
      <c r="TUR290" s="1144"/>
      <c r="TUS290" s="1144"/>
      <c r="TUT290" s="1144"/>
      <c r="TUU290" s="1144"/>
      <c r="TUV290" s="1144"/>
      <c r="TUW290" s="1144"/>
      <c r="TUX290" s="1144"/>
      <c r="TUY290" s="1144"/>
      <c r="TUZ290" s="1144"/>
      <c r="TVA290" s="1144"/>
      <c r="TVB290" s="1144"/>
      <c r="TVC290" s="1144"/>
      <c r="TVD290" s="1144"/>
      <c r="TVE290" s="1144"/>
      <c r="TVF290" s="1144"/>
      <c r="TVG290" s="1144"/>
      <c r="TVH290" s="1144"/>
      <c r="TVI290" s="1144"/>
      <c r="TVJ290" s="1144"/>
      <c r="TVK290" s="1144"/>
      <c r="TVL290" s="1144"/>
      <c r="TVM290" s="1144"/>
      <c r="TVN290" s="1144"/>
      <c r="TVO290" s="1144"/>
      <c r="TVP290" s="1144"/>
      <c r="TVQ290" s="1144"/>
      <c r="TVR290" s="1144"/>
      <c r="TVS290" s="1144"/>
      <c r="TVT290" s="1144"/>
      <c r="TVU290" s="1144"/>
      <c r="TVV290" s="1144"/>
      <c r="TVW290" s="1144"/>
      <c r="TVX290" s="1144"/>
      <c r="TVY290" s="1144"/>
      <c r="TVZ290" s="1144"/>
      <c r="TWA290" s="1144"/>
      <c r="TWB290" s="1144"/>
      <c r="TWC290" s="1144"/>
      <c r="TWD290" s="1144"/>
      <c r="TWE290" s="1144"/>
      <c r="TWF290" s="1144"/>
      <c r="TWG290" s="1144"/>
      <c r="TWH290" s="1144"/>
      <c r="TWI290" s="1144"/>
      <c r="TWJ290" s="1144"/>
      <c r="TWK290" s="1144"/>
      <c r="TWL290" s="1144"/>
      <c r="TWM290" s="1144"/>
      <c r="TWN290" s="1144"/>
      <c r="TWO290" s="1144"/>
      <c r="TWP290" s="1144"/>
      <c r="TWQ290" s="1144"/>
      <c r="TWR290" s="1144"/>
      <c r="TWS290" s="1144"/>
      <c r="TWT290" s="1144"/>
      <c r="TWU290" s="1144"/>
      <c r="TWV290" s="1144"/>
      <c r="TWW290" s="1144"/>
      <c r="TWX290" s="1144"/>
      <c r="TWY290" s="1144"/>
      <c r="TWZ290" s="1144"/>
      <c r="TXA290" s="1144"/>
      <c r="TXB290" s="1144"/>
      <c r="TXC290" s="1144"/>
      <c r="TXD290" s="1144"/>
      <c r="TXE290" s="1144"/>
      <c r="TXF290" s="1144"/>
      <c r="TXG290" s="1144"/>
      <c r="TXH290" s="1144"/>
      <c r="TXI290" s="1144"/>
      <c r="TXJ290" s="1144"/>
      <c r="TXK290" s="1144"/>
      <c r="TXL290" s="1144"/>
      <c r="TXM290" s="1144"/>
      <c r="TXN290" s="1144"/>
      <c r="TXO290" s="1144"/>
      <c r="TXP290" s="1144"/>
      <c r="TXQ290" s="1144"/>
      <c r="TXR290" s="1144"/>
      <c r="TXS290" s="1144"/>
      <c r="TXT290" s="1144"/>
      <c r="TXU290" s="1144"/>
      <c r="TXV290" s="1144"/>
      <c r="TXW290" s="1144"/>
      <c r="TXX290" s="1144"/>
      <c r="TXY290" s="1144"/>
      <c r="TXZ290" s="1144"/>
      <c r="TYA290" s="1144"/>
      <c r="TYB290" s="1144"/>
      <c r="TYC290" s="1144"/>
      <c r="TYD290" s="1144"/>
      <c r="TYE290" s="1144"/>
      <c r="TYF290" s="1144"/>
      <c r="TYG290" s="1144"/>
      <c r="TYH290" s="1144"/>
      <c r="TYI290" s="1144"/>
      <c r="TYJ290" s="1144"/>
      <c r="TYK290" s="1144"/>
      <c r="TYL290" s="1144"/>
      <c r="TYM290" s="1144"/>
      <c r="TYN290" s="1144"/>
      <c r="TYO290" s="1144"/>
      <c r="TYP290" s="1144"/>
      <c r="TYQ290" s="1144"/>
      <c r="TYR290" s="1144"/>
      <c r="TYS290" s="1144"/>
      <c r="TYT290" s="1144"/>
      <c r="TYU290" s="1144"/>
      <c r="TYV290" s="1144"/>
      <c r="TYW290" s="1144"/>
      <c r="TYX290" s="1144"/>
      <c r="TYY290" s="1144"/>
      <c r="TYZ290" s="1144"/>
      <c r="TZA290" s="1144"/>
      <c r="TZB290" s="1144"/>
      <c r="TZC290" s="1144"/>
      <c r="TZD290" s="1144"/>
      <c r="TZE290" s="1144"/>
      <c r="TZF290" s="1144"/>
      <c r="TZG290" s="1144"/>
      <c r="TZH290" s="1144"/>
      <c r="TZI290" s="1144"/>
      <c r="TZJ290" s="1144"/>
      <c r="TZK290" s="1144"/>
      <c r="TZL290" s="1144"/>
      <c r="TZM290" s="1144"/>
      <c r="TZN290" s="1144"/>
      <c r="TZO290" s="1144"/>
      <c r="TZP290" s="1144"/>
      <c r="TZQ290" s="1144"/>
      <c r="TZR290" s="1144"/>
      <c r="TZS290" s="1144"/>
      <c r="TZT290" s="1144"/>
      <c r="TZU290" s="1144"/>
      <c r="TZV290" s="1144"/>
      <c r="TZW290" s="1144"/>
      <c r="TZX290" s="1144"/>
      <c r="TZY290" s="1144"/>
      <c r="TZZ290" s="1144"/>
      <c r="UAA290" s="1144"/>
      <c r="UAB290" s="1144"/>
      <c r="UAC290" s="1144"/>
      <c r="UAD290" s="1144"/>
      <c r="UAE290" s="1144"/>
      <c r="UAF290" s="1144"/>
      <c r="UAG290" s="1144"/>
      <c r="UAH290" s="1144"/>
      <c r="UAI290" s="1144"/>
      <c r="UAJ290" s="1144"/>
      <c r="UAK290" s="1144"/>
      <c r="UAL290" s="1144"/>
      <c r="UAM290" s="1144"/>
      <c r="UAN290" s="1144"/>
      <c r="UAO290" s="1144"/>
      <c r="UAP290" s="1144"/>
      <c r="UAQ290" s="1144"/>
      <c r="UAR290" s="1144"/>
      <c r="UAS290" s="1144"/>
      <c r="UAT290" s="1144"/>
      <c r="UAU290" s="1144"/>
      <c r="UAV290" s="1144"/>
      <c r="UAW290" s="1144"/>
      <c r="UAX290" s="1144"/>
      <c r="UAY290" s="1144"/>
      <c r="UAZ290" s="1144"/>
      <c r="UBA290" s="1144"/>
      <c r="UBB290" s="1144"/>
      <c r="UBC290" s="1144"/>
      <c r="UBD290" s="1144"/>
      <c r="UBE290" s="1144"/>
      <c r="UBF290" s="1144"/>
      <c r="UBG290" s="1144"/>
      <c r="UBH290" s="1144"/>
      <c r="UBI290" s="1144"/>
      <c r="UBJ290" s="1144"/>
      <c r="UBK290" s="1144"/>
      <c r="UBL290" s="1144"/>
      <c r="UBM290" s="1144"/>
      <c r="UBN290" s="1144"/>
      <c r="UBO290" s="1144"/>
      <c r="UBP290" s="1144"/>
      <c r="UBQ290" s="1144"/>
      <c r="UBR290" s="1144"/>
      <c r="UBS290" s="1144"/>
      <c r="UBT290" s="1144"/>
      <c r="UBU290" s="1144"/>
      <c r="UBV290" s="1144"/>
      <c r="UBW290" s="1144"/>
      <c r="UBX290" s="1144"/>
      <c r="UBY290" s="1144"/>
      <c r="UBZ290" s="1144"/>
      <c r="UCA290" s="1144"/>
      <c r="UCB290" s="1144"/>
      <c r="UCC290" s="1144"/>
      <c r="UCD290" s="1144"/>
      <c r="UCE290" s="1144"/>
      <c r="UCF290" s="1144"/>
      <c r="UCG290" s="1144"/>
      <c r="UCH290" s="1144"/>
      <c r="UCI290" s="1144"/>
      <c r="UCJ290" s="1144"/>
      <c r="UCK290" s="1144"/>
      <c r="UCL290" s="1144"/>
      <c r="UCM290" s="1144"/>
      <c r="UCN290" s="1144"/>
      <c r="UCO290" s="1144"/>
      <c r="UCP290" s="1144"/>
      <c r="UCQ290" s="1144"/>
      <c r="UCR290" s="1144"/>
      <c r="UCS290" s="1144"/>
      <c r="UCT290" s="1144"/>
      <c r="UCU290" s="1144"/>
      <c r="UCV290" s="1144"/>
      <c r="UCW290" s="1144"/>
      <c r="UCX290" s="1144"/>
      <c r="UCY290" s="1144"/>
      <c r="UCZ290" s="1144"/>
      <c r="UDA290" s="1144"/>
      <c r="UDB290" s="1144"/>
      <c r="UDC290" s="1144"/>
      <c r="UDD290" s="1144"/>
      <c r="UDE290" s="1144"/>
      <c r="UDF290" s="1144"/>
      <c r="UDG290" s="1144"/>
      <c r="UDH290" s="1144"/>
      <c r="UDI290" s="1144"/>
      <c r="UDJ290" s="1144"/>
      <c r="UDK290" s="1144"/>
      <c r="UDL290" s="1144"/>
      <c r="UDM290" s="1144"/>
      <c r="UDN290" s="1144"/>
      <c r="UDO290" s="1144"/>
      <c r="UDP290" s="1144"/>
      <c r="UDQ290" s="1144"/>
      <c r="UDR290" s="1144"/>
      <c r="UDS290" s="1144"/>
      <c r="UDT290" s="1144"/>
      <c r="UDU290" s="1144"/>
      <c r="UDV290" s="1144"/>
      <c r="UDW290" s="1144"/>
      <c r="UDX290" s="1144"/>
      <c r="UDY290" s="1144"/>
      <c r="UDZ290" s="1144"/>
      <c r="UEA290" s="1144"/>
      <c r="UEB290" s="1144"/>
      <c r="UEC290" s="1144"/>
      <c r="UED290" s="1144"/>
      <c r="UEE290" s="1144"/>
      <c r="UEF290" s="1144"/>
      <c r="UEG290" s="1144"/>
      <c r="UEH290" s="1144"/>
      <c r="UEI290" s="1144"/>
      <c r="UEJ290" s="1144"/>
      <c r="UEK290" s="1144"/>
      <c r="UEL290" s="1144"/>
      <c r="UEM290" s="1144"/>
      <c r="UEN290" s="1144"/>
      <c r="UEO290" s="1144"/>
      <c r="UEP290" s="1144"/>
      <c r="UEQ290" s="1144"/>
      <c r="UER290" s="1144"/>
      <c r="UES290" s="1144"/>
      <c r="UET290" s="1144"/>
      <c r="UEU290" s="1144"/>
      <c r="UEV290" s="1144"/>
      <c r="UEW290" s="1144"/>
      <c r="UEX290" s="1144"/>
      <c r="UEY290" s="1144"/>
      <c r="UEZ290" s="1144"/>
      <c r="UFA290" s="1144"/>
      <c r="UFB290" s="1144"/>
      <c r="UFC290" s="1144"/>
      <c r="UFD290" s="1144"/>
      <c r="UFE290" s="1144"/>
      <c r="UFF290" s="1144"/>
      <c r="UFG290" s="1144"/>
      <c r="UFH290" s="1144"/>
      <c r="UFI290" s="1144"/>
      <c r="UFJ290" s="1144"/>
      <c r="UFK290" s="1144"/>
      <c r="UFL290" s="1144"/>
      <c r="UFM290" s="1144"/>
      <c r="UFN290" s="1144"/>
      <c r="UFO290" s="1144"/>
      <c r="UFP290" s="1144"/>
      <c r="UFQ290" s="1144"/>
      <c r="UFR290" s="1144"/>
      <c r="UFS290" s="1144"/>
      <c r="UFT290" s="1144"/>
      <c r="UFU290" s="1144"/>
      <c r="UFV290" s="1144"/>
      <c r="UFW290" s="1144"/>
      <c r="UFX290" s="1144"/>
      <c r="UFY290" s="1144"/>
      <c r="UFZ290" s="1144"/>
      <c r="UGA290" s="1144"/>
      <c r="UGB290" s="1144"/>
      <c r="UGC290" s="1144"/>
      <c r="UGD290" s="1144"/>
      <c r="UGE290" s="1144"/>
      <c r="UGF290" s="1144"/>
      <c r="UGG290" s="1144"/>
      <c r="UGH290" s="1144"/>
      <c r="UGI290" s="1144"/>
      <c r="UGJ290" s="1144"/>
      <c r="UGK290" s="1144"/>
      <c r="UGL290" s="1144"/>
      <c r="UGM290" s="1144"/>
      <c r="UGN290" s="1144"/>
      <c r="UGO290" s="1144"/>
      <c r="UGP290" s="1144"/>
      <c r="UGQ290" s="1144"/>
      <c r="UGR290" s="1144"/>
      <c r="UGS290" s="1144"/>
      <c r="UGT290" s="1144"/>
      <c r="UGU290" s="1144"/>
      <c r="UGV290" s="1144"/>
      <c r="UGW290" s="1144"/>
      <c r="UGX290" s="1144"/>
      <c r="UGY290" s="1144"/>
      <c r="UGZ290" s="1144"/>
      <c r="UHA290" s="1144"/>
      <c r="UHB290" s="1144"/>
      <c r="UHC290" s="1144"/>
      <c r="UHD290" s="1144"/>
      <c r="UHE290" s="1144"/>
      <c r="UHF290" s="1144"/>
      <c r="UHG290" s="1144"/>
      <c r="UHH290" s="1144"/>
      <c r="UHI290" s="1144"/>
      <c r="UHJ290" s="1144"/>
      <c r="UHK290" s="1144"/>
      <c r="UHL290" s="1144"/>
      <c r="UHM290" s="1144"/>
      <c r="UHN290" s="1144"/>
      <c r="UHO290" s="1144"/>
      <c r="UHP290" s="1144"/>
      <c r="UHQ290" s="1144"/>
      <c r="UHR290" s="1144"/>
      <c r="UHS290" s="1144"/>
      <c r="UHT290" s="1144"/>
      <c r="UHU290" s="1144"/>
      <c r="UHV290" s="1144"/>
      <c r="UHW290" s="1144"/>
      <c r="UHX290" s="1144"/>
      <c r="UHY290" s="1144"/>
      <c r="UHZ290" s="1144"/>
      <c r="UIA290" s="1144"/>
      <c r="UIB290" s="1144"/>
      <c r="UIC290" s="1144"/>
      <c r="UID290" s="1144"/>
      <c r="UIE290" s="1144"/>
      <c r="UIF290" s="1144"/>
      <c r="UIG290" s="1144"/>
      <c r="UIH290" s="1144"/>
      <c r="UII290" s="1144"/>
      <c r="UIJ290" s="1144"/>
      <c r="UIK290" s="1144"/>
      <c r="UIL290" s="1144"/>
      <c r="UIM290" s="1144"/>
      <c r="UIN290" s="1144"/>
      <c r="UIO290" s="1144"/>
      <c r="UIP290" s="1144"/>
      <c r="UIQ290" s="1144"/>
      <c r="UIR290" s="1144"/>
      <c r="UIS290" s="1144"/>
      <c r="UIT290" s="1144"/>
      <c r="UIU290" s="1144"/>
      <c r="UIV290" s="1144"/>
      <c r="UIW290" s="1144"/>
      <c r="UIX290" s="1144"/>
      <c r="UIY290" s="1144"/>
      <c r="UIZ290" s="1144"/>
      <c r="UJA290" s="1144"/>
      <c r="UJB290" s="1144"/>
      <c r="UJC290" s="1144"/>
      <c r="UJD290" s="1144"/>
      <c r="UJE290" s="1144"/>
      <c r="UJF290" s="1144"/>
      <c r="UJG290" s="1144"/>
      <c r="UJH290" s="1144"/>
      <c r="UJI290" s="1144"/>
      <c r="UJJ290" s="1144"/>
      <c r="UJK290" s="1144"/>
      <c r="UJL290" s="1144"/>
      <c r="UJM290" s="1144"/>
      <c r="UJN290" s="1144"/>
      <c r="UJO290" s="1144"/>
      <c r="UJP290" s="1144"/>
      <c r="UJQ290" s="1144"/>
      <c r="UJR290" s="1144"/>
      <c r="UJS290" s="1144"/>
      <c r="UJT290" s="1144"/>
      <c r="UJU290" s="1144"/>
      <c r="UJV290" s="1144"/>
      <c r="UJW290" s="1144"/>
      <c r="UJX290" s="1144"/>
      <c r="UJY290" s="1144"/>
      <c r="UJZ290" s="1144"/>
      <c r="UKA290" s="1144"/>
      <c r="UKB290" s="1144"/>
      <c r="UKC290" s="1144"/>
      <c r="UKD290" s="1144"/>
      <c r="UKE290" s="1144"/>
      <c r="UKF290" s="1144"/>
      <c r="UKG290" s="1144"/>
      <c r="UKH290" s="1144"/>
      <c r="UKI290" s="1144"/>
      <c r="UKJ290" s="1144"/>
      <c r="UKK290" s="1144"/>
      <c r="UKL290" s="1144"/>
      <c r="UKM290" s="1144"/>
      <c r="UKN290" s="1144"/>
      <c r="UKO290" s="1144"/>
      <c r="UKP290" s="1144"/>
      <c r="UKQ290" s="1144"/>
      <c r="UKR290" s="1144"/>
      <c r="UKS290" s="1144"/>
      <c r="UKT290" s="1144"/>
      <c r="UKU290" s="1144"/>
      <c r="UKV290" s="1144"/>
      <c r="UKW290" s="1144"/>
      <c r="UKX290" s="1144"/>
      <c r="UKY290" s="1144"/>
      <c r="UKZ290" s="1144"/>
      <c r="ULA290" s="1144"/>
      <c r="ULB290" s="1144"/>
      <c r="ULC290" s="1144"/>
      <c r="ULD290" s="1144"/>
      <c r="ULE290" s="1144"/>
      <c r="ULF290" s="1144"/>
      <c r="ULG290" s="1144"/>
      <c r="ULH290" s="1144"/>
      <c r="ULI290" s="1144"/>
      <c r="ULJ290" s="1144"/>
      <c r="ULK290" s="1144"/>
      <c r="ULL290" s="1144"/>
      <c r="ULM290" s="1144"/>
      <c r="ULN290" s="1144"/>
      <c r="ULO290" s="1144"/>
      <c r="ULP290" s="1144"/>
      <c r="ULQ290" s="1144"/>
      <c r="ULR290" s="1144"/>
      <c r="ULS290" s="1144"/>
      <c r="ULT290" s="1144"/>
      <c r="ULU290" s="1144"/>
      <c r="ULV290" s="1144"/>
      <c r="ULW290" s="1144"/>
      <c r="ULX290" s="1144"/>
      <c r="ULY290" s="1144"/>
      <c r="ULZ290" s="1144"/>
      <c r="UMA290" s="1144"/>
      <c r="UMB290" s="1144"/>
      <c r="UMC290" s="1144"/>
      <c r="UMD290" s="1144"/>
      <c r="UME290" s="1144"/>
      <c r="UMF290" s="1144"/>
      <c r="UMG290" s="1144"/>
      <c r="UMH290" s="1144"/>
      <c r="UMI290" s="1144"/>
      <c r="UMJ290" s="1144"/>
      <c r="UMK290" s="1144"/>
      <c r="UML290" s="1144"/>
      <c r="UMM290" s="1144"/>
      <c r="UMN290" s="1144"/>
      <c r="UMO290" s="1144"/>
      <c r="UMP290" s="1144"/>
      <c r="UMQ290" s="1144"/>
      <c r="UMR290" s="1144"/>
      <c r="UMS290" s="1144"/>
      <c r="UMT290" s="1144"/>
      <c r="UMU290" s="1144"/>
      <c r="UMV290" s="1144"/>
      <c r="UMW290" s="1144"/>
      <c r="UMX290" s="1144"/>
      <c r="UMY290" s="1144"/>
      <c r="UMZ290" s="1144"/>
      <c r="UNA290" s="1144"/>
      <c r="UNB290" s="1144"/>
      <c r="UNC290" s="1144"/>
      <c r="UND290" s="1144"/>
      <c r="UNE290" s="1144"/>
      <c r="UNF290" s="1144"/>
      <c r="UNG290" s="1144"/>
      <c r="UNH290" s="1144"/>
      <c r="UNI290" s="1144"/>
      <c r="UNJ290" s="1144"/>
      <c r="UNK290" s="1144"/>
      <c r="UNL290" s="1144"/>
      <c r="UNM290" s="1144"/>
      <c r="UNN290" s="1144"/>
      <c r="UNO290" s="1144"/>
      <c r="UNP290" s="1144"/>
      <c r="UNQ290" s="1144"/>
      <c r="UNR290" s="1144"/>
      <c r="UNS290" s="1144"/>
      <c r="UNT290" s="1144"/>
      <c r="UNU290" s="1144"/>
      <c r="UNV290" s="1144"/>
      <c r="UNW290" s="1144"/>
      <c r="UNX290" s="1144"/>
      <c r="UNY290" s="1144"/>
      <c r="UNZ290" s="1144"/>
      <c r="UOA290" s="1144"/>
      <c r="UOB290" s="1144"/>
      <c r="UOC290" s="1144"/>
      <c r="UOD290" s="1144"/>
      <c r="UOE290" s="1144"/>
      <c r="UOF290" s="1144"/>
      <c r="UOG290" s="1144"/>
      <c r="UOH290" s="1144"/>
      <c r="UOI290" s="1144"/>
      <c r="UOJ290" s="1144"/>
      <c r="UOK290" s="1144"/>
      <c r="UOL290" s="1144"/>
      <c r="UOM290" s="1144"/>
      <c r="UON290" s="1144"/>
      <c r="UOO290" s="1144"/>
      <c r="UOP290" s="1144"/>
      <c r="UOQ290" s="1144"/>
      <c r="UOR290" s="1144"/>
      <c r="UOS290" s="1144"/>
      <c r="UOT290" s="1144"/>
      <c r="UOU290" s="1144"/>
      <c r="UOV290" s="1144"/>
      <c r="UOW290" s="1144"/>
      <c r="UOX290" s="1144"/>
      <c r="UOY290" s="1144"/>
      <c r="UOZ290" s="1144"/>
      <c r="UPA290" s="1144"/>
      <c r="UPB290" s="1144"/>
      <c r="UPC290" s="1144"/>
      <c r="UPD290" s="1144"/>
      <c r="UPE290" s="1144"/>
      <c r="UPF290" s="1144"/>
      <c r="UPG290" s="1144"/>
      <c r="UPH290" s="1144"/>
      <c r="UPI290" s="1144"/>
      <c r="UPJ290" s="1144"/>
      <c r="UPK290" s="1144"/>
      <c r="UPL290" s="1144"/>
      <c r="UPM290" s="1144"/>
      <c r="UPN290" s="1144"/>
      <c r="UPO290" s="1144"/>
      <c r="UPP290" s="1144"/>
      <c r="UPQ290" s="1144"/>
      <c r="UPR290" s="1144"/>
      <c r="UPS290" s="1144"/>
      <c r="UPT290" s="1144"/>
      <c r="UPU290" s="1144"/>
      <c r="UPV290" s="1144"/>
      <c r="UPW290" s="1144"/>
      <c r="UPX290" s="1144"/>
      <c r="UPY290" s="1144"/>
      <c r="UPZ290" s="1144"/>
      <c r="UQA290" s="1144"/>
      <c r="UQB290" s="1144"/>
      <c r="UQC290" s="1144"/>
      <c r="UQD290" s="1144"/>
      <c r="UQE290" s="1144"/>
      <c r="UQF290" s="1144"/>
      <c r="UQG290" s="1144"/>
      <c r="UQH290" s="1144"/>
      <c r="UQI290" s="1144"/>
      <c r="UQJ290" s="1144"/>
      <c r="UQK290" s="1144"/>
      <c r="UQL290" s="1144"/>
      <c r="UQM290" s="1144"/>
      <c r="UQN290" s="1144"/>
      <c r="UQO290" s="1144"/>
      <c r="UQP290" s="1144"/>
      <c r="UQQ290" s="1144"/>
      <c r="UQR290" s="1144"/>
      <c r="UQS290" s="1144"/>
      <c r="UQT290" s="1144"/>
      <c r="UQU290" s="1144"/>
      <c r="UQV290" s="1144"/>
      <c r="UQW290" s="1144"/>
      <c r="UQX290" s="1144"/>
      <c r="UQY290" s="1144"/>
      <c r="UQZ290" s="1144"/>
      <c r="URA290" s="1144"/>
      <c r="URB290" s="1144"/>
      <c r="URC290" s="1144"/>
      <c r="URD290" s="1144"/>
      <c r="URE290" s="1144"/>
      <c r="URF290" s="1144"/>
      <c r="URG290" s="1144"/>
      <c r="URH290" s="1144"/>
      <c r="URI290" s="1144"/>
      <c r="URJ290" s="1144"/>
      <c r="URK290" s="1144"/>
      <c r="URL290" s="1144"/>
      <c r="URM290" s="1144"/>
      <c r="URN290" s="1144"/>
      <c r="URO290" s="1144"/>
      <c r="URP290" s="1144"/>
      <c r="URQ290" s="1144"/>
      <c r="URR290" s="1144"/>
      <c r="URS290" s="1144"/>
      <c r="URT290" s="1144"/>
      <c r="URU290" s="1144"/>
      <c r="URV290" s="1144"/>
      <c r="URW290" s="1144"/>
      <c r="URX290" s="1144"/>
      <c r="URY290" s="1144"/>
      <c r="URZ290" s="1144"/>
      <c r="USA290" s="1144"/>
      <c r="USB290" s="1144"/>
      <c r="USC290" s="1144"/>
      <c r="USD290" s="1144"/>
      <c r="USE290" s="1144"/>
      <c r="USF290" s="1144"/>
      <c r="USG290" s="1144"/>
      <c r="USH290" s="1144"/>
      <c r="USI290" s="1144"/>
      <c r="USJ290" s="1144"/>
      <c r="USK290" s="1144"/>
      <c r="USL290" s="1144"/>
      <c r="USM290" s="1144"/>
      <c r="USN290" s="1144"/>
      <c r="USO290" s="1144"/>
      <c r="USP290" s="1144"/>
      <c r="USQ290" s="1144"/>
      <c r="USR290" s="1144"/>
      <c r="USS290" s="1144"/>
      <c r="UST290" s="1144"/>
      <c r="USU290" s="1144"/>
      <c r="USV290" s="1144"/>
      <c r="USW290" s="1144"/>
      <c r="USX290" s="1144"/>
      <c r="USY290" s="1144"/>
      <c r="USZ290" s="1144"/>
      <c r="UTA290" s="1144"/>
      <c r="UTB290" s="1144"/>
      <c r="UTC290" s="1144"/>
      <c r="UTD290" s="1144"/>
      <c r="UTE290" s="1144"/>
      <c r="UTF290" s="1144"/>
      <c r="UTG290" s="1144"/>
      <c r="UTH290" s="1144"/>
      <c r="UTI290" s="1144"/>
      <c r="UTJ290" s="1144"/>
      <c r="UTK290" s="1144"/>
      <c r="UTL290" s="1144"/>
      <c r="UTM290" s="1144"/>
      <c r="UTN290" s="1144"/>
      <c r="UTO290" s="1144"/>
      <c r="UTP290" s="1144"/>
      <c r="UTQ290" s="1144"/>
      <c r="UTR290" s="1144"/>
      <c r="UTS290" s="1144"/>
      <c r="UTT290" s="1144"/>
      <c r="UTU290" s="1144"/>
      <c r="UTV290" s="1144"/>
      <c r="UTW290" s="1144"/>
      <c r="UTX290" s="1144"/>
      <c r="UTY290" s="1144"/>
      <c r="UTZ290" s="1144"/>
      <c r="UUA290" s="1144"/>
      <c r="UUB290" s="1144"/>
      <c r="UUC290" s="1144"/>
      <c r="UUD290" s="1144"/>
      <c r="UUE290" s="1144"/>
      <c r="UUF290" s="1144"/>
      <c r="UUG290" s="1144"/>
      <c r="UUH290" s="1144"/>
      <c r="UUI290" s="1144"/>
      <c r="UUJ290" s="1144"/>
      <c r="UUK290" s="1144"/>
      <c r="UUL290" s="1144"/>
      <c r="UUM290" s="1144"/>
      <c r="UUN290" s="1144"/>
      <c r="UUO290" s="1144"/>
      <c r="UUP290" s="1144"/>
      <c r="UUQ290" s="1144"/>
      <c r="UUR290" s="1144"/>
      <c r="UUS290" s="1144"/>
      <c r="UUT290" s="1144"/>
      <c r="UUU290" s="1144"/>
      <c r="UUV290" s="1144"/>
      <c r="UUW290" s="1144"/>
      <c r="UUX290" s="1144"/>
      <c r="UUY290" s="1144"/>
      <c r="UUZ290" s="1144"/>
      <c r="UVA290" s="1144"/>
      <c r="UVB290" s="1144"/>
      <c r="UVC290" s="1144"/>
      <c r="UVD290" s="1144"/>
      <c r="UVE290" s="1144"/>
      <c r="UVF290" s="1144"/>
      <c r="UVG290" s="1144"/>
      <c r="UVH290" s="1144"/>
      <c r="UVI290" s="1144"/>
      <c r="UVJ290" s="1144"/>
      <c r="UVK290" s="1144"/>
      <c r="UVL290" s="1144"/>
      <c r="UVM290" s="1144"/>
      <c r="UVN290" s="1144"/>
      <c r="UVO290" s="1144"/>
      <c r="UVP290" s="1144"/>
      <c r="UVQ290" s="1144"/>
      <c r="UVR290" s="1144"/>
      <c r="UVS290" s="1144"/>
      <c r="UVT290" s="1144"/>
      <c r="UVU290" s="1144"/>
      <c r="UVV290" s="1144"/>
      <c r="UVW290" s="1144"/>
      <c r="UVX290" s="1144"/>
      <c r="UVY290" s="1144"/>
      <c r="UVZ290" s="1144"/>
      <c r="UWA290" s="1144"/>
      <c r="UWB290" s="1144"/>
      <c r="UWC290" s="1144"/>
      <c r="UWD290" s="1144"/>
      <c r="UWE290" s="1144"/>
      <c r="UWF290" s="1144"/>
      <c r="UWG290" s="1144"/>
      <c r="UWH290" s="1144"/>
      <c r="UWI290" s="1144"/>
      <c r="UWJ290" s="1144"/>
      <c r="UWK290" s="1144"/>
      <c r="UWL290" s="1144"/>
      <c r="UWM290" s="1144"/>
      <c r="UWN290" s="1144"/>
      <c r="UWO290" s="1144"/>
      <c r="UWP290" s="1144"/>
      <c r="UWQ290" s="1144"/>
      <c r="UWR290" s="1144"/>
      <c r="UWS290" s="1144"/>
      <c r="UWT290" s="1144"/>
      <c r="UWU290" s="1144"/>
      <c r="UWV290" s="1144"/>
      <c r="UWW290" s="1144"/>
      <c r="UWX290" s="1144"/>
      <c r="UWY290" s="1144"/>
      <c r="UWZ290" s="1144"/>
      <c r="UXA290" s="1144"/>
      <c r="UXB290" s="1144"/>
      <c r="UXC290" s="1144"/>
      <c r="UXD290" s="1144"/>
      <c r="UXE290" s="1144"/>
      <c r="UXF290" s="1144"/>
      <c r="UXG290" s="1144"/>
      <c r="UXH290" s="1144"/>
      <c r="UXI290" s="1144"/>
      <c r="UXJ290" s="1144"/>
      <c r="UXK290" s="1144"/>
      <c r="UXL290" s="1144"/>
      <c r="UXM290" s="1144"/>
      <c r="UXN290" s="1144"/>
      <c r="UXO290" s="1144"/>
      <c r="UXP290" s="1144"/>
      <c r="UXQ290" s="1144"/>
      <c r="UXR290" s="1144"/>
      <c r="UXS290" s="1144"/>
      <c r="UXT290" s="1144"/>
      <c r="UXU290" s="1144"/>
      <c r="UXV290" s="1144"/>
      <c r="UXW290" s="1144"/>
      <c r="UXX290" s="1144"/>
      <c r="UXY290" s="1144"/>
      <c r="UXZ290" s="1144"/>
      <c r="UYA290" s="1144"/>
      <c r="UYB290" s="1144"/>
      <c r="UYC290" s="1144"/>
      <c r="UYD290" s="1144"/>
      <c r="UYE290" s="1144"/>
      <c r="UYF290" s="1144"/>
      <c r="UYG290" s="1144"/>
      <c r="UYH290" s="1144"/>
      <c r="UYI290" s="1144"/>
      <c r="UYJ290" s="1144"/>
      <c r="UYK290" s="1144"/>
      <c r="UYL290" s="1144"/>
      <c r="UYM290" s="1144"/>
      <c r="UYN290" s="1144"/>
      <c r="UYO290" s="1144"/>
      <c r="UYP290" s="1144"/>
      <c r="UYQ290" s="1144"/>
      <c r="UYR290" s="1144"/>
      <c r="UYS290" s="1144"/>
      <c r="UYT290" s="1144"/>
      <c r="UYU290" s="1144"/>
      <c r="UYV290" s="1144"/>
      <c r="UYW290" s="1144"/>
      <c r="UYX290" s="1144"/>
      <c r="UYY290" s="1144"/>
      <c r="UYZ290" s="1144"/>
      <c r="UZA290" s="1144"/>
      <c r="UZB290" s="1144"/>
      <c r="UZC290" s="1144"/>
      <c r="UZD290" s="1144"/>
      <c r="UZE290" s="1144"/>
      <c r="UZF290" s="1144"/>
      <c r="UZG290" s="1144"/>
      <c r="UZH290" s="1144"/>
      <c r="UZI290" s="1144"/>
      <c r="UZJ290" s="1144"/>
      <c r="UZK290" s="1144"/>
      <c r="UZL290" s="1144"/>
      <c r="UZM290" s="1144"/>
      <c r="UZN290" s="1144"/>
      <c r="UZO290" s="1144"/>
      <c r="UZP290" s="1144"/>
      <c r="UZQ290" s="1144"/>
      <c r="UZR290" s="1144"/>
      <c r="UZS290" s="1144"/>
      <c r="UZT290" s="1144"/>
      <c r="UZU290" s="1144"/>
      <c r="UZV290" s="1144"/>
      <c r="UZW290" s="1144"/>
      <c r="UZX290" s="1144"/>
      <c r="UZY290" s="1144"/>
      <c r="UZZ290" s="1144"/>
      <c r="VAA290" s="1144"/>
      <c r="VAB290" s="1144"/>
      <c r="VAC290" s="1144"/>
      <c r="VAD290" s="1144"/>
      <c r="VAE290" s="1144"/>
      <c r="VAF290" s="1144"/>
      <c r="VAG290" s="1144"/>
      <c r="VAH290" s="1144"/>
      <c r="VAI290" s="1144"/>
      <c r="VAJ290" s="1144"/>
      <c r="VAK290" s="1144"/>
      <c r="VAL290" s="1144"/>
      <c r="VAM290" s="1144"/>
      <c r="VAN290" s="1144"/>
      <c r="VAO290" s="1144"/>
      <c r="VAP290" s="1144"/>
      <c r="VAQ290" s="1144"/>
      <c r="VAR290" s="1144"/>
      <c r="VAS290" s="1144"/>
      <c r="VAT290" s="1144"/>
      <c r="VAU290" s="1144"/>
      <c r="VAV290" s="1144"/>
      <c r="VAW290" s="1144"/>
      <c r="VAX290" s="1144"/>
      <c r="VAY290" s="1144"/>
      <c r="VAZ290" s="1144"/>
      <c r="VBA290" s="1144"/>
      <c r="VBB290" s="1144"/>
      <c r="VBC290" s="1144"/>
      <c r="VBD290" s="1144"/>
      <c r="VBE290" s="1144"/>
      <c r="VBF290" s="1144"/>
      <c r="VBG290" s="1144"/>
      <c r="VBH290" s="1144"/>
      <c r="VBI290" s="1144"/>
      <c r="VBJ290" s="1144"/>
      <c r="VBK290" s="1144"/>
      <c r="VBL290" s="1144"/>
      <c r="VBM290" s="1144"/>
      <c r="VBN290" s="1144"/>
      <c r="VBO290" s="1144"/>
      <c r="VBP290" s="1144"/>
      <c r="VBQ290" s="1144"/>
      <c r="VBR290" s="1144"/>
      <c r="VBS290" s="1144"/>
      <c r="VBT290" s="1144"/>
      <c r="VBU290" s="1144"/>
      <c r="VBV290" s="1144"/>
      <c r="VBW290" s="1144"/>
      <c r="VBX290" s="1144"/>
      <c r="VBY290" s="1144"/>
      <c r="VBZ290" s="1144"/>
      <c r="VCA290" s="1144"/>
      <c r="VCB290" s="1144"/>
      <c r="VCC290" s="1144"/>
      <c r="VCD290" s="1144"/>
      <c r="VCE290" s="1144"/>
      <c r="VCF290" s="1144"/>
      <c r="VCG290" s="1144"/>
      <c r="VCH290" s="1144"/>
      <c r="VCI290" s="1144"/>
      <c r="VCJ290" s="1144"/>
      <c r="VCK290" s="1144"/>
      <c r="VCL290" s="1144"/>
      <c r="VCM290" s="1144"/>
      <c r="VCN290" s="1144"/>
      <c r="VCO290" s="1144"/>
      <c r="VCP290" s="1144"/>
      <c r="VCQ290" s="1144"/>
      <c r="VCR290" s="1144"/>
      <c r="VCS290" s="1144"/>
      <c r="VCT290" s="1144"/>
      <c r="VCU290" s="1144"/>
      <c r="VCV290" s="1144"/>
      <c r="VCW290" s="1144"/>
      <c r="VCX290" s="1144"/>
      <c r="VCY290" s="1144"/>
      <c r="VCZ290" s="1144"/>
      <c r="VDA290" s="1144"/>
      <c r="VDB290" s="1144"/>
      <c r="VDC290" s="1144"/>
      <c r="VDD290" s="1144"/>
      <c r="VDE290" s="1144"/>
      <c r="VDF290" s="1144"/>
      <c r="VDG290" s="1144"/>
      <c r="VDH290" s="1144"/>
      <c r="VDI290" s="1144"/>
      <c r="VDJ290" s="1144"/>
      <c r="VDK290" s="1144"/>
      <c r="VDL290" s="1144"/>
      <c r="VDM290" s="1144"/>
      <c r="VDN290" s="1144"/>
      <c r="VDO290" s="1144"/>
      <c r="VDP290" s="1144"/>
      <c r="VDQ290" s="1144"/>
      <c r="VDR290" s="1144"/>
      <c r="VDS290" s="1144"/>
      <c r="VDT290" s="1144"/>
      <c r="VDU290" s="1144"/>
      <c r="VDV290" s="1144"/>
      <c r="VDW290" s="1144"/>
      <c r="VDX290" s="1144"/>
      <c r="VDY290" s="1144"/>
      <c r="VDZ290" s="1144"/>
      <c r="VEA290" s="1144"/>
      <c r="VEB290" s="1144"/>
      <c r="VEC290" s="1144"/>
      <c r="VED290" s="1144"/>
      <c r="VEE290" s="1144"/>
      <c r="VEF290" s="1144"/>
      <c r="VEG290" s="1144"/>
      <c r="VEH290" s="1144"/>
      <c r="VEI290" s="1144"/>
      <c r="VEJ290" s="1144"/>
      <c r="VEK290" s="1144"/>
      <c r="VEL290" s="1144"/>
      <c r="VEM290" s="1144"/>
      <c r="VEN290" s="1144"/>
      <c r="VEO290" s="1144"/>
      <c r="VEP290" s="1144"/>
      <c r="VEQ290" s="1144"/>
      <c r="VER290" s="1144"/>
      <c r="VES290" s="1144"/>
      <c r="VET290" s="1144"/>
      <c r="VEU290" s="1144"/>
      <c r="VEV290" s="1144"/>
      <c r="VEW290" s="1144"/>
      <c r="VEX290" s="1144"/>
      <c r="VEY290" s="1144"/>
      <c r="VEZ290" s="1144"/>
      <c r="VFA290" s="1144"/>
      <c r="VFB290" s="1144"/>
      <c r="VFC290" s="1144"/>
      <c r="VFD290" s="1144"/>
      <c r="VFE290" s="1144"/>
      <c r="VFF290" s="1144"/>
      <c r="VFG290" s="1144"/>
      <c r="VFH290" s="1144"/>
      <c r="VFI290" s="1144"/>
      <c r="VFJ290" s="1144"/>
      <c r="VFK290" s="1144"/>
      <c r="VFL290" s="1144"/>
      <c r="VFM290" s="1144"/>
      <c r="VFN290" s="1144"/>
      <c r="VFO290" s="1144"/>
      <c r="VFP290" s="1144"/>
      <c r="VFQ290" s="1144"/>
      <c r="VFR290" s="1144"/>
      <c r="VFS290" s="1144"/>
      <c r="VFT290" s="1144"/>
      <c r="VFU290" s="1144"/>
      <c r="VFV290" s="1144"/>
      <c r="VFW290" s="1144"/>
      <c r="VFX290" s="1144"/>
      <c r="VFY290" s="1144"/>
      <c r="VFZ290" s="1144"/>
      <c r="VGA290" s="1144"/>
      <c r="VGB290" s="1144"/>
      <c r="VGC290" s="1144"/>
      <c r="VGD290" s="1144"/>
      <c r="VGE290" s="1144"/>
      <c r="VGF290" s="1144"/>
      <c r="VGG290" s="1144"/>
      <c r="VGH290" s="1144"/>
      <c r="VGI290" s="1144"/>
      <c r="VGJ290" s="1144"/>
      <c r="VGK290" s="1144"/>
      <c r="VGL290" s="1144"/>
      <c r="VGM290" s="1144"/>
      <c r="VGN290" s="1144"/>
      <c r="VGO290" s="1144"/>
      <c r="VGP290" s="1144"/>
      <c r="VGQ290" s="1144"/>
      <c r="VGR290" s="1144"/>
      <c r="VGS290" s="1144"/>
      <c r="VGT290" s="1144"/>
      <c r="VGU290" s="1144"/>
      <c r="VGV290" s="1144"/>
      <c r="VGW290" s="1144"/>
      <c r="VGX290" s="1144"/>
      <c r="VGY290" s="1144"/>
      <c r="VGZ290" s="1144"/>
      <c r="VHA290" s="1144"/>
      <c r="VHB290" s="1144"/>
      <c r="VHC290" s="1144"/>
      <c r="VHD290" s="1144"/>
      <c r="VHE290" s="1144"/>
      <c r="VHF290" s="1144"/>
      <c r="VHG290" s="1144"/>
      <c r="VHH290" s="1144"/>
      <c r="VHI290" s="1144"/>
      <c r="VHJ290" s="1144"/>
      <c r="VHK290" s="1144"/>
      <c r="VHL290" s="1144"/>
      <c r="VHM290" s="1144"/>
      <c r="VHN290" s="1144"/>
      <c r="VHO290" s="1144"/>
      <c r="VHP290" s="1144"/>
      <c r="VHQ290" s="1144"/>
      <c r="VHR290" s="1144"/>
      <c r="VHS290" s="1144"/>
      <c r="VHT290" s="1144"/>
      <c r="VHU290" s="1144"/>
      <c r="VHV290" s="1144"/>
      <c r="VHW290" s="1144"/>
      <c r="VHX290" s="1144"/>
      <c r="VHY290" s="1144"/>
      <c r="VHZ290" s="1144"/>
      <c r="VIA290" s="1144"/>
      <c r="VIB290" s="1144"/>
      <c r="VIC290" s="1144"/>
      <c r="VID290" s="1144"/>
      <c r="VIE290" s="1144"/>
      <c r="VIF290" s="1144"/>
      <c r="VIG290" s="1144"/>
      <c r="VIH290" s="1144"/>
      <c r="VII290" s="1144"/>
      <c r="VIJ290" s="1144"/>
      <c r="VIK290" s="1144"/>
      <c r="VIL290" s="1144"/>
      <c r="VIM290" s="1144"/>
      <c r="VIN290" s="1144"/>
      <c r="VIO290" s="1144"/>
      <c r="VIP290" s="1144"/>
      <c r="VIQ290" s="1144"/>
      <c r="VIR290" s="1144"/>
      <c r="VIS290" s="1144"/>
      <c r="VIT290" s="1144"/>
      <c r="VIU290" s="1144"/>
      <c r="VIV290" s="1144"/>
      <c r="VIW290" s="1144"/>
      <c r="VIX290" s="1144"/>
      <c r="VIY290" s="1144"/>
      <c r="VIZ290" s="1144"/>
      <c r="VJA290" s="1144"/>
      <c r="VJB290" s="1144"/>
      <c r="VJC290" s="1144"/>
      <c r="VJD290" s="1144"/>
      <c r="VJE290" s="1144"/>
      <c r="VJF290" s="1144"/>
      <c r="VJG290" s="1144"/>
      <c r="VJH290" s="1144"/>
      <c r="VJI290" s="1144"/>
      <c r="VJJ290" s="1144"/>
      <c r="VJK290" s="1144"/>
      <c r="VJL290" s="1144"/>
      <c r="VJM290" s="1144"/>
      <c r="VJN290" s="1144"/>
      <c r="VJO290" s="1144"/>
      <c r="VJP290" s="1144"/>
      <c r="VJQ290" s="1144"/>
      <c r="VJR290" s="1144"/>
      <c r="VJS290" s="1144"/>
      <c r="VJT290" s="1144"/>
      <c r="VJU290" s="1144"/>
      <c r="VJV290" s="1144"/>
      <c r="VJW290" s="1144"/>
      <c r="VJX290" s="1144"/>
      <c r="VJY290" s="1144"/>
      <c r="VJZ290" s="1144"/>
      <c r="VKA290" s="1144"/>
      <c r="VKB290" s="1144"/>
      <c r="VKC290" s="1144"/>
      <c r="VKD290" s="1144"/>
      <c r="VKE290" s="1144"/>
      <c r="VKF290" s="1144"/>
      <c r="VKG290" s="1144"/>
      <c r="VKH290" s="1144"/>
      <c r="VKI290" s="1144"/>
      <c r="VKJ290" s="1144"/>
      <c r="VKK290" s="1144"/>
      <c r="VKL290" s="1144"/>
      <c r="VKM290" s="1144"/>
      <c r="VKN290" s="1144"/>
      <c r="VKO290" s="1144"/>
      <c r="VKP290" s="1144"/>
      <c r="VKQ290" s="1144"/>
      <c r="VKR290" s="1144"/>
      <c r="VKS290" s="1144"/>
      <c r="VKT290" s="1144"/>
      <c r="VKU290" s="1144"/>
      <c r="VKV290" s="1144"/>
      <c r="VKW290" s="1144"/>
      <c r="VKX290" s="1144"/>
      <c r="VKY290" s="1144"/>
      <c r="VKZ290" s="1144"/>
      <c r="VLA290" s="1144"/>
      <c r="VLB290" s="1144"/>
      <c r="VLC290" s="1144"/>
      <c r="VLD290" s="1144"/>
      <c r="VLE290" s="1144"/>
      <c r="VLF290" s="1144"/>
      <c r="VLG290" s="1144"/>
      <c r="VLH290" s="1144"/>
      <c r="VLI290" s="1144"/>
      <c r="VLJ290" s="1144"/>
      <c r="VLK290" s="1144"/>
      <c r="VLL290" s="1144"/>
      <c r="VLM290" s="1144"/>
      <c r="VLN290" s="1144"/>
      <c r="VLO290" s="1144"/>
      <c r="VLP290" s="1144"/>
      <c r="VLQ290" s="1144"/>
      <c r="VLR290" s="1144"/>
      <c r="VLS290" s="1144"/>
      <c r="VLT290" s="1144"/>
      <c r="VLU290" s="1144"/>
      <c r="VLV290" s="1144"/>
      <c r="VLW290" s="1144"/>
      <c r="VLX290" s="1144"/>
      <c r="VLY290" s="1144"/>
      <c r="VLZ290" s="1144"/>
      <c r="VMA290" s="1144"/>
      <c r="VMB290" s="1144"/>
      <c r="VMC290" s="1144"/>
      <c r="VMD290" s="1144"/>
      <c r="VME290" s="1144"/>
      <c r="VMF290" s="1144"/>
      <c r="VMG290" s="1144"/>
      <c r="VMH290" s="1144"/>
      <c r="VMI290" s="1144"/>
      <c r="VMJ290" s="1144"/>
      <c r="VMK290" s="1144"/>
      <c r="VML290" s="1144"/>
      <c r="VMM290" s="1144"/>
      <c r="VMN290" s="1144"/>
      <c r="VMO290" s="1144"/>
      <c r="VMP290" s="1144"/>
      <c r="VMQ290" s="1144"/>
      <c r="VMR290" s="1144"/>
      <c r="VMS290" s="1144"/>
      <c r="VMT290" s="1144"/>
      <c r="VMU290" s="1144"/>
      <c r="VMV290" s="1144"/>
      <c r="VMW290" s="1144"/>
      <c r="VMX290" s="1144"/>
      <c r="VMY290" s="1144"/>
      <c r="VMZ290" s="1144"/>
      <c r="VNA290" s="1144"/>
      <c r="VNB290" s="1144"/>
      <c r="VNC290" s="1144"/>
      <c r="VND290" s="1144"/>
      <c r="VNE290" s="1144"/>
      <c r="VNF290" s="1144"/>
      <c r="VNG290" s="1144"/>
      <c r="VNH290" s="1144"/>
      <c r="VNI290" s="1144"/>
      <c r="VNJ290" s="1144"/>
      <c r="VNK290" s="1144"/>
      <c r="VNL290" s="1144"/>
      <c r="VNM290" s="1144"/>
      <c r="VNN290" s="1144"/>
      <c r="VNO290" s="1144"/>
      <c r="VNP290" s="1144"/>
      <c r="VNQ290" s="1144"/>
      <c r="VNR290" s="1144"/>
      <c r="VNS290" s="1144"/>
      <c r="VNT290" s="1144"/>
      <c r="VNU290" s="1144"/>
      <c r="VNV290" s="1144"/>
      <c r="VNW290" s="1144"/>
      <c r="VNX290" s="1144"/>
      <c r="VNY290" s="1144"/>
      <c r="VNZ290" s="1144"/>
      <c r="VOA290" s="1144"/>
      <c r="VOB290" s="1144"/>
      <c r="VOC290" s="1144"/>
      <c r="VOD290" s="1144"/>
      <c r="VOE290" s="1144"/>
      <c r="VOF290" s="1144"/>
      <c r="VOG290" s="1144"/>
      <c r="VOH290" s="1144"/>
      <c r="VOI290" s="1144"/>
      <c r="VOJ290" s="1144"/>
      <c r="VOK290" s="1144"/>
      <c r="VOL290" s="1144"/>
      <c r="VOM290" s="1144"/>
      <c r="VON290" s="1144"/>
      <c r="VOO290" s="1144"/>
      <c r="VOP290" s="1144"/>
      <c r="VOQ290" s="1144"/>
      <c r="VOR290" s="1144"/>
      <c r="VOS290" s="1144"/>
      <c r="VOT290" s="1144"/>
      <c r="VOU290" s="1144"/>
      <c r="VOV290" s="1144"/>
      <c r="VOW290" s="1144"/>
      <c r="VOX290" s="1144"/>
      <c r="VOY290" s="1144"/>
      <c r="VOZ290" s="1144"/>
      <c r="VPA290" s="1144"/>
      <c r="VPB290" s="1144"/>
      <c r="VPC290" s="1144"/>
      <c r="VPD290" s="1144"/>
      <c r="VPE290" s="1144"/>
      <c r="VPF290" s="1144"/>
      <c r="VPG290" s="1144"/>
      <c r="VPH290" s="1144"/>
      <c r="VPI290" s="1144"/>
      <c r="VPJ290" s="1144"/>
      <c r="VPK290" s="1144"/>
      <c r="VPL290" s="1144"/>
      <c r="VPM290" s="1144"/>
      <c r="VPN290" s="1144"/>
      <c r="VPO290" s="1144"/>
      <c r="VPP290" s="1144"/>
      <c r="VPQ290" s="1144"/>
      <c r="VPR290" s="1144"/>
      <c r="VPS290" s="1144"/>
      <c r="VPT290" s="1144"/>
      <c r="VPU290" s="1144"/>
      <c r="VPV290" s="1144"/>
      <c r="VPW290" s="1144"/>
      <c r="VPX290" s="1144"/>
      <c r="VPY290" s="1144"/>
      <c r="VPZ290" s="1144"/>
      <c r="VQA290" s="1144"/>
      <c r="VQB290" s="1144"/>
      <c r="VQC290" s="1144"/>
      <c r="VQD290" s="1144"/>
      <c r="VQE290" s="1144"/>
      <c r="VQF290" s="1144"/>
      <c r="VQG290" s="1144"/>
      <c r="VQH290" s="1144"/>
      <c r="VQI290" s="1144"/>
      <c r="VQJ290" s="1144"/>
      <c r="VQK290" s="1144"/>
      <c r="VQL290" s="1144"/>
      <c r="VQM290" s="1144"/>
      <c r="VQN290" s="1144"/>
      <c r="VQO290" s="1144"/>
      <c r="VQP290" s="1144"/>
      <c r="VQQ290" s="1144"/>
      <c r="VQR290" s="1144"/>
      <c r="VQS290" s="1144"/>
      <c r="VQT290" s="1144"/>
      <c r="VQU290" s="1144"/>
      <c r="VQV290" s="1144"/>
      <c r="VQW290" s="1144"/>
      <c r="VQX290" s="1144"/>
      <c r="VQY290" s="1144"/>
      <c r="VQZ290" s="1144"/>
      <c r="VRA290" s="1144"/>
      <c r="VRB290" s="1144"/>
      <c r="VRC290" s="1144"/>
      <c r="VRD290" s="1144"/>
      <c r="VRE290" s="1144"/>
      <c r="VRF290" s="1144"/>
      <c r="VRG290" s="1144"/>
      <c r="VRH290" s="1144"/>
      <c r="VRI290" s="1144"/>
      <c r="VRJ290" s="1144"/>
      <c r="VRK290" s="1144"/>
      <c r="VRL290" s="1144"/>
      <c r="VRM290" s="1144"/>
      <c r="VRN290" s="1144"/>
      <c r="VRO290" s="1144"/>
      <c r="VRP290" s="1144"/>
      <c r="VRQ290" s="1144"/>
      <c r="VRR290" s="1144"/>
      <c r="VRS290" s="1144"/>
      <c r="VRT290" s="1144"/>
      <c r="VRU290" s="1144"/>
      <c r="VRV290" s="1144"/>
      <c r="VRW290" s="1144"/>
      <c r="VRX290" s="1144"/>
      <c r="VRY290" s="1144"/>
      <c r="VRZ290" s="1144"/>
      <c r="VSA290" s="1144"/>
      <c r="VSB290" s="1144"/>
      <c r="VSC290" s="1144"/>
      <c r="VSD290" s="1144"/>
      <c r="VSE290" s="1144"/>
      <c r="VSF290" s="1144"/>
      <c r="VSG290" s="1144"/>
      <c r="VSH290" s="1144"/>
      <c r="VSI290" s="1144"/>
      <c r="VSJ290" s="1144"/>
      <c r="VSK290" s="1144"/>
      <c r="VSL290" s="1144"/>
      <c r="VSM290" s="1144"/>
      <c r="VSN290" s="1144"/>
      <c r="VSO290" s="1144"/>
      <c r="VSP290" s="1144"/>
      <c r="VSQ290" s="1144"/>
      <c r="VSR290" s="1144"/>
      <c r="VSS290" s="1144"/>
      <c r="VST290" s="1144"/>
      <c r="VSU290" s="1144"/>
      <c r="VSV290" s="1144"/>
      <c r="VSW290" s="1144"/>
      <c r="VSX290" s="1144"/>
      <c r="VSY290" s="1144"/>
      <c r="VSZ290" s="1144"/>
      <c r="VTA290" s="1144"/>
      <c r="VTB290" s="1144"/>
      <c r="VTC290" s="1144"/>
      <c r="VTD290" s="1144"/>
      <c r="VTE290" s="1144"/>
      <c r="VTF290" s="1144"/>
      <c r="VTG290" s="1144"/>
      <c r="VTH290" s="1144"/>
      <c r="VTI290" s="1144"/>
      <c r="VTJ290" s="1144"/>
      <c r="VTK290" s="1144"/>
      <c r="VTL290" s="1144"/>
      <c r="VTM290" s="1144"/>
      <c r="VTN290" s="1144"/>
      <c r="VTO290" s="1144"/>
      <c r="VTP290" s="1144"/>
      <c r="VTQ290" s="1144"/>
      <c r="VTR290" s="1144"/>
      <c r="VTS290" s="1144"/>
      <c r="VTT290" s="1144"/>
      <c r="VTU290" s="1144"/>
      <c r="VTV290" s="1144"/>
      <c r="VTW290" s="1144"/>
      <c r="VTX290" s="1144"/>
      <c r="VTY290" s="1144"/>
      <c r="VTZ290" s="1144"/>
      <c r="VUA290" s="1144"/>
      <c r="VUB290" s="1144"/>
      <c r="VUC290" s="1144"/>
      <c r="VUD290" s="1144"/>
      <c r="VUE290" s="1144"/>
      <c r="VUF290" s="1144"/>
      <c r="VUG290" s="1144"/>
      <c r="VUH290" s="1144"/>
      <c r="VUI290" s="1144"/>
      <c r="VUJ290" s="1144"/>
      <c r="VUK290" s="1144"/>
      <c r="VUL290" s="1144"/>
      <c r="VUM290" s="1144"/>
      <c r="VUN290" s="1144"/>
      <c r="VUO290" s="1144"/>
      <c r="VUP290" s="1144"/>
      <c r="VUQ290" s="1144"/>
      <c r="VUR290" s="1144"/>
      <c r="VUS290" s="1144"/>
      <c r="VUT290" s="1144"/>
      <c r="VUU290" s="1144"/>
      <c r="VUV290" s="1144"/>
      <c r="VUW290" s="1144"/>
      <c r="VUX290" s="1144"/>
      <c r="VUY290" s="1144"/>
      <c r="VUZ290" s="1144"/>
      <c r="VVA290" s="1144"/>
      <c r="VVB290" s="1144"/>
      <c r="VVC290" s="1144"/>
      <c r="VVD290" s="1144"/>
      <c r="VVE290" s="1144"/>
      <c r="VVF290" s="1144"/>
      <c r="VVG290" s="1144"/>
      <c r="VVH290" s="1144"/>
      <c r="VVI290" s="1144"/>
      <c r="VVJ290" s="1144"/>
      <c r="VVK290" s="1144"/>
      <c r="VVL290" s="1144"/>
      <c r="VVM290" s="1144"/>
      <c r="VVN290" s="1144"/>
      <c r="VVO290" s="1144"/>
      <c r="VVP290" s="1144"/>
      <c r="VVQ290" s="1144"/>
      <c r="VVR290" s="1144"/>
      <c r="VVS290" s="1144"/>
      <c r="VVT290" s="1144"/>
      <c r="VVU290" s="1144"/>
      <c r="VVV290" s="1144"/>
      <c r="VVW290" s="1144"/>
      <c r="VVX290" s="1144"/>
      <c r="VVY290" s="1144"/>
      <c r="VVZ290" s="1144"/>
      <c r="VWA290" s="1144"/>
      <c r="VWB290" s="1144"/>
      <c r="VWC290" s="1144"/>
      <c r="VWD290" s="1144"/>
      <c r="VWE290" s="1144"/>
      <c r="VWF290" s="1144"/>
      <c r="VWG290" s="1144"/>
      <c r="VWH290" s="1144"/>
      <c r="VWI290" s="1144"/>
      <c r="VWJ290" s="1144"/>
      <c r="VWK290" s="1144"/>
      <c r="VWL290" s="1144"/>
      <c r="VWM290" s="1144"/>
      <c r="VWN290" s="1144"/>
      <c r="VWO290" s="1144"/>
      <c r="VWP290" s="1144"/>
      <c r="VWQ290" s="1144"/>
      <c r="VWR290" s="1144"/>
      <c r="VWS290" s="1144"/>
      <c r="VWT290" s="1144"/>
      <c r="VWU290" s="1144"/>
      <c r="VWV290" s="1144"/>
      <c r="VWW290" s="1144"/>
      <c r="VWX290" s="1144"/>
      <c r="VWY290" s="1144"/>
      <c r="VWZ290" s="1144"/>
      <c r="VXA290" s="1144"/>
      <c r="VXB290" s="1144"/>
      <c r="VXC290" s="1144"/>
      <c r="VXD290" s="1144"/>
      <c r="VXE290" s="1144"/>
      <c r="VXF290" s="1144"/>
      <c r="VXG290" s="1144"/>
      <c r="VXH290" s="1144"/>
      <c r="VXI290" s="1144"/>
      <c r="VXJ290" s="1144"/>
      <c r="VXK290" s="1144"/>
      <c r="VXL290" s="1144"/>
      <c r="VXM290" s="1144"/>
      <c r="VXN290" s="1144"/>
      <c r="VXO290" s="1144"/>
      <c r="VXP290" s="1144"/>
      <c r="VXQ290" s="1144"/>
      <c r="VXR290" s="1144"/>
      <c r="VXS290" s="1144"/>
      <c r="VXT290" s="1144"/>
      <c r="VXU290" s="1144"/>
      <c r="VXV290" s="1144"/>
      <c r="VXW290" s="1144"/>
      <c r="VXX290" s="1144"/>
      <c r="VXY290" s="1144"/>
      <c r="VXZ290" s="1144"/>
      <c r="VYA290" s="1144"/>
      <c r="VYB290" s="1144"/>
      <c r="VYC290" s="1144"/>
      <c r="VYD290" s="1144"/>
      <c r="VYE290" s="1144"/>
      <c r="VYF290" s="1144"/>
      <c r="VYG290" s="1144"/>
      <c r="VYH290" s="1144"/>
      <c r="VYI290" s="1144"/>
      <c r="VYJ290" s="1144"/>
      <c r="VYK290" s="1144"/>
      <c r="VYL290" s="1144"/>
      <c r="VYM290" s="1144"/>
      <c r="VYN290" s="1144"/>
      <c r="VYO290" s="1144"/>
      <c r="VYP290" s="1144"/>
      <c r="VYQ290" s="1144"/>
      <c r="VYR290" s="1144"/>
      <c r="VYS290" s="1144"/>
      <c r="VYT290" s="1144"/>
      <c r="VYU290" s="1144"/>
      <c r="VYV290" s="1144"/>
      <c r="VYW290" s="1144"/>
      <c r="VYX290" s="1144"/>
      <c r="VYY290" s="1144"/>
      <c r="VYZ290" s="1144"/>
      <c r="VZA290" s="1144"/>
      <c r="VZB290" s="1144"/>
      <c r="VZC290" s="1144"/>
      <c r="VZD290" s="1144"/>
      <c r="VZE290" s="1144"/>
      <c r="VZF290" s="1144"/>
      <c r="VZG290" s="1144"/>
      <c r="VZH290" s="1144"/>
      <c r="VZI290" s="1144"/>
      <c r="VZJ290" s="1144"/>
      <c r="VZK290" s="1144"/>
      <c r="VZL290" s="1144"/>
      <c r="VZM290" s="1144"/>
      <c r="VZN290" s="1144"/>
      <c r="VZO290" s="1144"/>
      <c r="VZP290" s="1144"/>
      <c r="VZQ290" s="1144"/>
      <c r="VZR290" s="1144"/>
      <c r="VZS290" s="1144"/>
      <c r="VZT290" s="1144"/>
      <c r="VZU290" s="1144"/>
      <c r="VZV290" s="1144"/>
      <c r="VZW290" s="1144"/>
      <c r="VZX290" s="1144"/>
      <c r="VZY290" s="1144"/>
      <c r="VZZ290" s="1144"/>
      <c r="WAA290" s="1144"/>
      <c r="WAB290" s="1144"/>
      <c r="WAC290" s="1144"/>
      <c r="WAD290" s="1144"/>
      <c r="WAE290" s="1144"/>
      <c r="WAF290" s="1144"/>
      <c r="WAG290" s="1144"/>
      <c r="WAH290" s="1144"/>
      <c r="WAI290" s="1144"/>
      <c r="WAJ290" s="1144"/>
      <c r="WAK290" s="1144"/>
      <c r="WAL290" s="1144"/>
      <c r="WAM290" s="1144"/>
      <c r="WAN290" s="1144"/>
      <c r="WAO290" s="1144"/>
      <c r="WAP290" s="1144"/>
      <c r="WAQ290" s="1144"/>
      <c r="WAR290" s="1144"/>
      <c r="WAS290" s="1144"/>
      <c r="WAT290" s="1144"/>
      <c r="WAU290" s="1144"/>
      <c r="WAV290" s="1144"/>
      <c r="WAW290" s="1144"/>
      <c r="WAX290" s="1144"/>
      <c r="WAY290" s="1144"/>
      <c r="WAZ290" s="1144"/>
      <c r="WBA290" s="1144"/>
      <c r="WBB290" s="1144"/>
      <c r="WBC290" s="1144"/>
      <c r="WBD290" s="1144"/>
      <c r="WBE290" s="1144"/>
      <c r="WBF290" s="1144"/>
      <c r="WBG290" s="1144"/>
      <c r="WBH290" s="1144"/>
      <c r="WBI290" s="1144"/>
      <c r="WBJ290" s="1144"/>
      <c r="WBK290" s="1144"/>
      <c r="WBL290" s="1144"/>
      <c r="WBM290" s="1144"/>
      <c r="WBN290" s="1144"/>
      <c r="WBO290" s="1144"/>
      <c r="WBP290" s="1144"/>
      <c r="WBQ290" s="1144"/>
      <c r="WBR290" s="1144"/>
      <c r="WBS290" s="1144"/>
      <c r="WBT290" s="1144"/>
      <c r="WBU290" s="1144"/>
      <c r="WBV290" s="1144"/>
      <c r="WBW290" s="1144"/>
      <c r="WBX290" s="1144"/>
      <c r="WBY290" s="1144"/>
      <c r="WBZ290" s="1144"/>
      <c r="WCA290" s="1144"/>
      <c r="WCB290" s="1144"/>
      <c r="WCC290" s="1144"/>
      <c r="WCD290" s="1144"/>
      <c r="WCE290" s="1144"/>
      <c r="WCF290" s="1144"/>
      <c r="WCG290" s="1144"/>
      <c r="WCH290" s="1144"/>
      <c r="WCI290" s="1144"/>
      <c r="WCJ290" s="1144"/>
      <c r="WCK290" s="1144"/>
      <c r="WCL290" s="1144"/>
      <c r="WCM290" s="1144"/>
      <c r="WCN290" s="1144"/>
      <c r="WCO290" s="1144"/>
      <c r="WCP290" s="1144"/>
      <c r="WCQ290" s="1144"/>
      <c r="WCR290" s="1144"/>
      <c r="WCS290" s="1144"/>
      <c r="WCT290" s="1144"/>
      <c r="WCU290" s="1144"/>
      <c r="WCV290" s="1144"/>
      <c r="WCW290" s="1144"/>
      <c r="WCX290" s="1144"/>
      <c r="WCY290" s="1144"/>
      <c r="WCZ290" s="1144"/>
      <c r="WDA290" s="1144"/>
      <c r="WDB290" s="1144"/>
      <c r="WDC290" s="1144"/>
      <c r="WDD290" s="1144"/>
      <c r="WDE290" s="1144"/>
      <c r="WDF290" s="1144"/>
      <c r="WDG290" s="1144"/>
      <c r="WDH290" s="1144"/>
      <c r="WDI290" s="1144"/>
      <c r="WDJ290" s="1144"/>
      <c r="WDK290" s="1144"/>
      <c r="WDL290" s="1144"/>
      <c r="WDM290" s="1144"/>
      <c r="WDN290" s="1144"/>
      <c r="WDO290" s="1144"/>
      <c r="WDP290" s="1144"/>
      <c r="WDQ290" s="1144"/>
      <c r="WDR290" s="1144"/>
      <c r="WDS290" s="1144"/>
      <c r="WDT290" s="1144"/>
      <c r="WDU290" s="1144"/>
      <c r="WDV290" s="1144"/>
      <c r="WDW290" s="1144"/>
      <c r="WDX290" s="1144"/>
      <c r="WDY290" s="1144"/>
      <c r="WDZ290" s="1144"/>
      <c r="WEA290" s="1144"/>
      <c r="WEB290" s="1144"/>
      <c r="WEC290" s="1144"/>
      <c r="WED290" s="1144"/>
      <c r="WEE290" s="1144"/>
      <c r="WEF290" s="1144"/>
      <c r="WEG290" s="1144"/>
      <c r="WEH290" s="1144"/>
      <c r="WEI290" s="1144"/>
      <c r="WEJ290" s="1144"/>
      <c r="WEK290" s="1144"/>
      <c r="WEL290" s="1144"/>
      <c r="WEM290" s="1144"/>
      <c r="WEN290" s="1144"/>
      <c r="WEO290" s="1144"/>
      <c r="WEP290" s="1144"/>
      <c r="WEQ290" s="1144"/>
      <c r="WER290" s="1144"/>
      <c r="WES290" s="1144"/>
      <c r="WET290" s="1144"/>
      <c r="WEU290" s="1144"/>
      <c r="WEV290" s="1144"/>
      <c r="WEW290" s="1144"/>
      <c r="WEX290" s="1144"/>
      <c r="WEY290" s="1144"/>
      <c r="WEZ290" s="1144"/>
      <c r="WFA290" s="1144"/>
      <c r="WFB290" s="1144"/>
      <c r="WFC290" s="1144"/>
      <c r="WFD290" s="1144"/>
      <c r="WFE290" s="1144"/>
      <c r="WFF290" s="1144"/>
      <c r="WFG290" s="1144"/>
      <c r="WFH290" s="1144"/>
      <c r="WFI290" s="1144"/>
      <c r="WFJ290" s="1144"/>
      <c r="WFK290" s="1144"/>
      <c r="WFL290" s="1144"/>
      <c r="WFM290" s="1144"/>
      <c r="WFN290" s="1144"/>
      <c r="WFO290" s="1144"/>
      <c r="WFP290" s="1144"/>
      <c r="WFQ290" s="1144"/>
      <c r="WFR290" s="1144"/>
      <c r="WFS290" s="1144"/>
      <c r="WFT290" s="1144"/>
      <c r="WFU290" s="1144"/>
      <c r="WFV290" s="1144"/>
      <c r="WFW290" s="1144"/>
      <c r="WFX290" s="1144"/>
      <c r="WFY290" s="1144"/>
      <c r="WFZ290" s="1144"/>
      <c r="WGA290" s="1144"/>
      <c r="WGB290" s="1144"/>
      <c r="WGC290" s="1144"/>
      <c r="WGD290" s="1144"/>
      <c r="WGE290" s="1144"/>
      <c r="WGF290" s="1144"/>
      <c r="WGG290" s="1144"/>
      <c r="WGH290" s="1144"/>
      <c r="WGI290" s="1144"/>
      <c r="WGJ290" s="1144"/>
      <c r="WGK290" s="1144"/>
      <c r="WGL290" s="1144"/>
      <c r="WGM290" s="1144"/>
      <c r="WGN290" s="1144"/>
      <c r="WGO290" s="1144"/>
      <c r="WGP290" s="1144"/>
      <c r="WGQ290" s="1144"/>
      <c r="WGR290" s="1144"/>
      <c r="WGS290" s="1144"/>
      <c r="WGT290" s="1144"/>
      <c r="WGU290" s="1144"/>
      <c r="WGV290" s="1144"/>
      <c r="WGW290" s="1144"/>
      <c r="WGX290" s="1144"/>
      <c r="WGY290" s="1144"/>
      <c r="WGZ290" s="1144"/>
      <c r="WHA290" s="1144"/>
      <c r="WHB290" s="1144"/>
      <c r="WHC290" s="1144"/>
      <c r="WHD290" s="1144"/>
      <c r="WHE290" s="1144"/>
      <c r="WHF290" s="1144"/>
      <c r="WHG290" s="1144"/>
      <c r="WHH290" s="1144"/>
      <c r="WHI290" s="1144"/>
      <c r="WHJ290" s="1144"/>
      <c r="WHK290" s="1144"/>
      <c r="WHL290" s="1144"/>
      <c r="WHM290" s="1144"/>
      <c r="WHN290" s="1144"/>
      <c r="WHO290" s="1144"/>
      <c r="WHP290" s="1144"/>
      <c r="WHQ290" s="1144"/>
      <c r="WHR290" s="1144"/>
      <c r="WHS290" s="1144"/>
      <c r="WHT290" s="1144"/>
      <c r="WHU290" s="1144"/>
      <c r="WHV290" s="1144"/>
      <c r="WHW290" s="1144"/>
      <c r="WHX290" s="1144"/>
      <c r="WHY290" s="1144"/>
      <c r="WHZ290" s="1144"/>
      <c r="WIA290" s="1144"/>
      <c r="WIB290" s="1144"/>
      <c r="WIC290" s="1144"/>
      <c r="WID290" s="1144"/>
      <c r="WIE290" s="1144"/>
      <c r="WIF290" s="1144"/>
      <c r="WIG290" s="1144"/>
      <c r="WIH290" s="1144"/>
      <c r="WII290" s="1144"/>
      <c r="WIJ290" s="1144"/>
      <c r="WIK290" s="1144"/>
      <c r="WIL290" s="1144"/>
      <c r="WIM290" s="1144"/>
      <c r="WIN290" s="1144"/>
      <c r="WIO290" s="1144"/>
      <c r="WIP290" s="1144"/>
      <c r="WIQ290" s="1144"/>
      <c r="WIR290" s="1144"/>
      <c r="WIS290" s="1144"/>
      <c r="WIT290" s="1144"/>
      <c r="WIU290" s="1144"/>
      <c r="WIV290" s="1144"/>
      <c r="WIW290" s="1144"/>
      <c r="WIX290" s="1144"/>
      <c r="WIY290" s="1144"/>
      <c r="WIZ290" s="1144"/>
      <c r="WJA290" s="1144"/>
      <c r="WJB290" s="1144"/>
      <c r="WJC290" s="1144"/>
      <c r="WJD290" s="1144"/>
      <c r="WJE290" s="1144"/>
      <c r="WJF290" s="1144"/>
      <c r="WJG290" s="1144"/>
      <c r="WJH290" s="1144"/>
      <c r="WJI290" s="1144"/>
      <c r="WJJ290" s="1144"/>
      <c r="WJK290" s="1144"/>
      <c r="WJL290" s="1144"/>
      <c r="WJM290" s="1144"/>
      <c r="WJN290" s="1144"/>
      <c r="WJO290" s="1144"/>
      <c r="WJP290" s="1144"/>
      <c r="WJQ290" s="1144"/>
      <c r="WJR290" s="1144"/>
      <c r="WJS290" s="1144"/>
      <c r="WJT290" s="1144"/>
      <c r="WJU290" s="1144"/>
      <c r="WJV290" s="1144"/>
      <c r="WJW290" s="1144"/>
      <c r="WJX290" s="1144"/>
      <c r="WJY290" s="1144"/>
      <c r="WJZ290" s="1144"/>
      <c r="WKA290" s="1144"/>
      <c r="WKB290" s="1144"/>
      <c r="WKC290" s="1144"/>
      <c r="WKD290" s="1144"/>
      <c r="WKE290" s="1144"/>
      <c r="WKF290" s="1144"/>
      <c r="WKG290" s="1144"/>
      <c r="WKH290" s="1144"/>
      <c r="WKI290" s="1144"/>
      <c r="WKJ290" s="1144"/>
      <c r="WKK290" s="1144"/>
      <c r="WKL290" s="1144"/>
      <c r="WKM290" s="1144"/>
      <c r="WKN290" s="1144"/>
      <c r="WKO290" s="1144"/>
      <c r="WKP290" s="1144"/>
      <c r="WKQ290" s="1144"/>
      <c r="WKR290" s="1144"/>
      <c r="WKS290" s="1144"/>
      <c r="WKT290" s="1144"/>
      <c r="WKU290" s="1144"/>
      <c r="WKV290" s="1144"/>
      <c r="WKW290" s="1144"/>
      <c r="WKX290" s="1144"/>
      <c r="WKY290" s="1144"/>
      <c r="WKZ290" s="1144"/>
      <c r="WLA290" s="1144"/>
      <c r="WLB290" s="1144"/>
      <c r="WLC290" s="1144"/>
      <c r="WLD290" s="1144"/>
      <c r="WLE290" s="1144"/>
      <c r="WLF290" s="1144"/>
      <c r="WLG290" s="1144"/>
      <c r="WLH290" s="1144"/>
      <c r="WLI290" s="1144"/>
      <c r="WLJ290" s="1144"/>
      <c r="WLK290" s="1144"/>
      <c r="WLL290" s="1144"/>
      <c r="WLM290" s="1144"/>
      <c r="WLN290" s="1144"/>
      <c r="WLO290" s="1144"/>
      <c r="WLP290" s="1144"/>
      <c r="WLQ290" s="1144"/>
      <c r="WLR290" s="1144"/>
      <c r="WLS290" s="1144"/>
      <c r="WLT290" s="1144"/>
      <c r="WLU290" s="1144"/>
      <c r="WLV290" s="1144"/>
      <c r="WLW290" s="1144"/>
      <c r="WLX290" s="1144"/>
      <c r="WLY290" s="1144"/>
      <c r="WLZ290" s="1144"/>
      <c r="WMA290" s="1144"/>
      <c r="WMB290" s="1144"/>
      <c r="WMC290" s="1144"/>
      <c r="WMD290" s="1144"/>
      <c r="WME290" s="1144"/>
      <c r="WMF290" s="1144"/>
      <c r="WMG290" s="1144"/>
      <c r="WMH290" s="1144"/>
      <c r="WMI290" s="1144"/>
      <c r="WMJ290" s="1144"/>
      <c r="WMK290" s="1144"/>
      <c r="WML290" s="1144"/>
      <c r="WMM290" s="1144"/>
      <c r="WMN290" s="1144"/>
      <c r="WMO290" s="1144"/>
      <c r="WMP290" s="1144"/>
      <c r="WMQ290" s="1144"/>
      <c r="WMR290" s="1144"/>
      <c r="WMS290" s="1144"/>
      <c r="WMT290" s="1144"/>
      <c r="WMU290" s="1144"/>
      <c r="WMV290" s="1144"/>
      <c r="WMW290" s="1144"/>
      <c r="WMX290" s="1144"/>
      <c r="WMY290" s="1144"/>
      <c r="WMZ290" s="1144"/>
      <c r="WNA290" s="1144"/>
      <c r="WNB290" s="1144"/>
      <c r="WNC290" s="1144"/>
      <c r="WND290" s="1144"/>
      <c r="WNE290" s="1144"/>
      <c r="WNF290" s="1144"/>
      <c r="WNG290" s="1144"/>
      <c r="WNH290" s="1144"/>
      <c r="WNI290" s="1144"/>
      <c r="WNJ290" s="1144"/>
      <c r="WNK290" s="1144"/>
      <c r="WNL290" s="1144"/>
      <c r="WNM290" s="1144"/>
      <c r="WNN290" s="1144"/>
      <c r="WNO290" s="1144"/>
      <c r="WNP290" s="1144"/>
      <c r="WNQ290" s="1144"/>
      <c r="WNR290" s="1144"/>
      <c r="WNS290" s="1144"/>
      <c r="WNT290" s="1144"/>
      <c r="WNU290" s="1144"/>
      <c r="WNV290" s="1144"/>
      <c r="WNW290" s="1144"/>
      <c r="WNX290" s="1144"/>
      <c r="WNY290" s="1144"/>
      <c r="WNZ290" s="1144"/>
      <c r="WOA290" s="1144"/>
      <c r="WOB290" s="1144"/>
      <c r="WOC290" s="1144"/>
      <c r="WOD290" s="1144"/>
      <c r="WOE290" s="1144"/>
      <c r="WOF290" s="1144"/>
      <c r="WOG290" s="1144"/>
      <c r="WOH290" s="1144"/>
      <c r="WOI290" s="1144"/>
      <c r="WOJ290" s="1144"/>
      <c r="WOK290" s="1144"/>
      <c r="WOL290" s="1144"/>
      <c r="WOM290" s="1144"/>
      <c r="WON290" s="1144"/>
      <c r="WOO290" s="1144"/>
      <c r="WOP290" s="1144"/>
      <c r="WOQ290" s="1144"/>
      <c r="WOR290" s="1144"/>
      <c r="WOS290" s="1144"/>
      <c r="WOT290" s="1144"/>
      <c r="WOU290" s="1144"/>
      <c r="WOV290" s="1144"/>
      <c r="WOW290" s="1144"/>
      <c r="WOX290" s="1144"/>
      <c r="WOY290" s="1144"/>
      <c r="WOZ290" s="1144"/>
      <c r="WPA290" s="1144"/>
      <c r="WPB290" s="1144"/>
      <c r="WPC290" s="1144"/>
      <c r="WPD290" s="1144"/>
      <c r="WPE290" s="1144"/>
      <c r="WPF290" s="1144"/>
      <c r="WPG290" s="1144"/>
      <c r="WPH290" s="1144"/>
      <c r="WPI290" s="1144"/>
      <c r="WPJ290" s="1144"/>
      <c r="WPK290" s="1144"/>
      <c r="WPL290" s="1144"/>
      <c r="WPM290" s="1144"/>
      <c r="WPN290" s="1144"/>
      <c r="WPO290" s="1144"/>
      <c r="WPP290" s="1144"/>
      <c r="WPQ290" s="1144"/>
      <c r="WPR290" s="1144"/>
      <c r="WPS290" s="1144"/>
      <c r="WPT290" s="1144"/>
      <c r="WPU290" s="1144"/>
      <c r="WPV290" s="1144"/>
      <c r="WPW290" s="1144"/>
      <c r="WPX290" s="1144"/>
      <c r="WPY290" s="1144"/>
      <c r="WPZ290" s="1144"/>
      <c r="WQA290" s="1144"/>
      <c r="WQB290" s="1144"/>
      <c r="WQC290" s="1144"/>
      <c r="WQD290" s="1144"/>
      <c r="WQE290" s="1144"/>
      <c r="WQF290" s="1144"/>
      <c r="WQG290" s="1144"/>
      <c r="WQH290" s="1144"/>
      <c r="WQI290" s="1144"/>
      <c r="WQJ290" s="1144"/>
      <c r="WQK290" s="1144"/>
      <c r="WQL290" s="1144"/>
      <c r="WQM290" s="1144"/>
      <c r="WQN290" s="1144"/>
      <c r="WQO290" s="1144"/>
      <c r="WQP290" s="1144"/>
      <c r="WQQ290" s="1144"/>
      <c r="WQR290" s="1144"/>
      <c r="WQS290" s="1144"/>
      <c r="WQT290" s="1144"/>
      <c r="WQU290" s="1144"/>
      <c r="WQV290" s="1144"/>
      <c r="WQW290" s="1144"/>
      <c r="WQX290" s="1144"/>
      <c r="WQY290" s="1144"/>
      <c r="WQZ290" s="1144"/>
      <c r="WRA290" s="1144"/>
      <c r="WRB290" s="1144"/>
      <c r="WRC290" s="1144"/>
      <c r="WRD290" s="1144"/>
      <c r="WRE290" s="1144"/>
      <c r="WRF290" s="1144"/>
      <c r="WRG290" s="1144"/>
      <c r="WRH290" s="1144"/>
      <c r="WRI290" s="1144"/>
      <c r="WRJ290" s="1144"/>
      <c r="WRK290" s="1144"/>
      <c r="WRL290" s="1144"/>
      <c r="WRM290" s="1144"/>
      <c r="WRN290" s="1144"/>
      <c r="WRO290" s="1144"/>
      <c r="WRP290" s="1144"/>
      <c r="WRQ290" s="1144"/>
      <c r="WRR290" s="1144"/>
      <c r="WRS290" s="1144"/>
      <c r="WRT290" s="1144"/>
      <c r="WRU290" s="1144"/>
      <c r="WRV290" s="1144"/>
      <c r="WRW290" s="1144"/>
      <c r="WRX290" s="1144"/>
      <c r="WRY290" s="1144"/>
      <c r="WRZ290" s="1144"/>
      <c r="WSA290" s="1144"/>
      <c r="WSB290" s="1144"/>
      <c r="WSC290" s="1144"/>
      <c r="WSD290" s="1144"/>
      <c r="WSE290" s="1144"/>
      <c r="WSF290" s="1144"/>
      <c r="WSG290" s="1144"/>
      <c r="WSH290" s="1144"/>
      <c r="WSI290" s="1144"/>
      <c r="WSJ290" s="1144"/>
      <c r="WSK290" s="1144"/>
      <c r="WSL290" s="1144"/>
      <c r="WSM290" s="1144"/>
      <c r="WSN290" s="1144"/>
      <c r="WSO290" s="1144"/>
      <c r="WSP290" s="1144"/>
      <c r="WSQ290" s="1144"/>
      <c r="WSR290" s="1144"/>
      <c r="WSS290" s="1144"/>
      <c r="WST290" s="1144"/>
      <c r="WSU290" s="1144"/>
      <c r="WSV290" s="1144"/>
      <c r="WSW290" s="1144"/>
      <c r="WSX290" s="1144"/>
      <c r="WSY290" s="1144"/>
      <c r="WSZ290" s="1144"/>
      <c r="WTA290" s="1144"/>
      <c r="WTB290" s="1144"/>
      <c r="WTC290" s="1144"/>
      <c r="WTD290" s="1144"/>
      <c r="WTE290" s="1144"/>
      <c r="WTF290" s="1144"/>
      <c r="WTG290" s="1144"/>
      <c r="WTH290" s="1144"/>
      <c r="WTI290" s="1144"/>
      <c r="WTJ290" s="1144"/>
      <c r="WTK290" s="1144"/>
      <c r="WTL290" s="1144"/>
      <c r="WTM290" s="1144"/>
      <c r="WTN290" s="1144"/>
      <c r="WTO290" s="1144"/>
      <c r="WTP290" s="1144"/>
      <c r="WTQ290" s="1144"/>
      <c r="WTR290" s="1144"/>
      <c r="WTS290" s="1144"/>
      <c r="WTT290" s="1144"/>
      <c r="WTU290" s="1144"/>
      <c r="WTV290" s="1144"/>
      <c r="WTW290" s="1144"/>
      <c r="WTX290" s="1144"/>
      <c r="WTY290" s="1144"/>
      <c r="WTZ290" s="1144"/>
      <c r="WUA290" s="1144"/>
      <c r="WUB290" s="1144"/>
      <c r="WUC290" s="1144"/>
      <c r="WUD290" s="1144"/>
      <c r="WUE290" s="1144"/>
      <c r="WUF290" s="1144"/>
      <c r="WUG290" s="1144"/>
      <c r="WUH290" s="1144"/>
      <c r="WUI290" s="1144"/>
      <c r="WUJ290" s="1144"/>
      <c r="WUK290" s="1144"/>
      <c r="WUL290" s="1144"/>
      <c r="WUM290" s="1144"/>
      <c r="WUN290" s="1144"/>
      <c r="WUO290" s="1144"/>
      <c r="WUP290" s="1144"/>
      <c r="WUQ290" s="1144"/>
      <c r="WUR290" s="1144"/>
      <c r="WUS290" s="1144"/>
      <c r="WUT290" s="1144"/>
      <c r="WUU290" s="1144"/>
      <c r="WUV290" s="1144"/>
      <c r="WUW290" s="1144"/>
      <c r="WUX290" s="1144"/>
      <c r="WUY290" s="1144"/>
      <c r="WUZ290" s="1144"/>
      <c r="WVA290" s="1144"/>
      <c r="WVB290" s="1144"/>
      <c r="WVC290" s="1144"/>
      <c r="WVD290" s="1144"/>
      <c r="WVE290" s="1144"/>
      <c r="WVF290" s="1144"/>
      <c r="WVG290" s="1144"/>
      <c r="WVH290" s="1144"/>
      <c r="WVI290" s="1144"/>
      <c r="WVJ290" s="1144"/>
      <c r="WVK290" s="1144"/>
      <c r="WVL290" s="1144"/>
      <c r="WVM290" s="1144"/>
      <c r="WVN290" s="1144"/>
      <c r="WVO290" s="1144"/>
      <c r="WVP290" s="1144"/>
      <c r="WVQ290" s="1144"/>
      <c r="WVR290" s="1144"/>
      <c r="WVS290" s="1144"/>
      <c r="WVT290" s="1144"/>
      <c r="WVU290" s="1144"/>
      <c r="WVV290" s="1144"/>
      <c r="WVW290" s="1144"/>
      <c r="WVX290" s="1144"/>
      <c r="WVY290" s="1144"/>
      <c r="WVZ290" s="1144"/>
      <c r="WWA290" s="1144"/>
      <c r="WWB290" s="1144"/>
      <c r="WWC290" s="1144"/>
      <c r="WWD290" s="1144"/>
      <c r="WWE290" s="1144"/>
      <c r="WWF290" s="1144"/>
      <c r="WWG290" s="1144"/>
      <c r="WWH290" s="1144"/>
      <c r="WWI290" s="1144"/>
      <c r="WWJ290" s="1144"/>
      <c r="WWK290" s="1144"/>
      <c r="WWL290" s="1144"/>
      <c r="WWM290" s="1144"/>
      <c r="WWN290" s="1144"/>
      <c r="WWO290" s="1144"/>
      <c r="WWP290" s="1144"/>
      <c r="WWQ290" s="1144"/>
      <c r="WWR290" s="1144"/>
      <c r="WWS290" s="1144"/>
      <c r="WWT290" s="1144"/>
      <c r="WWU290" s="1144"/>
      <c r="WWV290" s="1144"/>
      <c r="WWW290" s="1144"/>
      <c r="WWX290" s="1144"/>
      <c r="WWY290" s="1144"/>
      <c r="WWZ290" s="1144"/>
      <c r="WXA290" s="1144"/>
      <c r="WXB290" s="1144"/>
      <c r="WXC290" s="1144"/>
      <c r="WXD290" s="1144"/>
      <c r="WXE290" s="1144"/>
      <c r="WXF290" s="1144"/>
      <c r="WXG290" s="1144"/>
      <c r="WXH290" s="1144"/>
      <c r="WXI290" s="1144"/>
      <c r="WXJ290" s="1144"/>
      <c r="WXK290" s="1144"/>
      <c r="WXL290" s="1144"/>
      <c r="WXM290" s="1144"/>
      <c r="WXN290" s="1144"/>
      <c r="WXO290" s="1144"/>
      <c r="WXP290" s="1144"/>
      <c r="WXQ290" s="1144"/>
      <c r="WXR290" s="1144"/>
      <c r="WXS290" s="1144"/>
      <c r="WXT290" s="1144"/>
      <c r="WXU290" s="1144"/>
      <c r="WXV290" s="1144"/>
      <c r="WXW290" s="1144"/>
      <c r="WXX290" s="1144"/>
      <c r="WXY290" s="1144"/>
      <c r="WXZ290" s="1144"/>
      <c r="WYA290" s="1144"/>
      <c r="WYB290" s="1144"/>
      <c r="WYC290" s="1144"/>
      <c r="WYD290" s="1144"/>
      <c r="WYE290" s="1144"/>
      <c r="WYF290" s="1144"/>
      <c r="WYG290" s="1144"/>
      <c r="WYH290" s="1144"/>
      <c r="WYI290" s="1144"/>
      <c r="WYJ290" s="1144"/>
      <c r="WYK290" s="1144"/>
      <c r="WYL290" s="1144"/>
      <c r="WYM290" s="1144"/>
      <c r="WYN290" s="1144"/>
      <c r="WYO290" s="1144"/>
      <c r="WYP290" s="1144"/>
      <c r="WYQ290" s="1144"/>
      <c r="WYR290" s="1144"/>
      <c r="WYS290" s="1144"/>
      <c r="WYT290" s="1144"/>
      <c r="WYU290" s="1144"/>
      <c r="WYV290" s="1144"/>
      <c r="WYW290" s="1144"/>
      <c r="WYX290" s="1144"/>
      <c r="WYY290" s="1144"/>
      <c r="WYZ290" s="1144"/>
      <c r="WZA290" s="1144"/>
      <c r="WZB290" s="1144"/>
      <c r="WZC290" s="1144"/>
      <c r="WZD290" s="1144"/>
      <c r="WZE290" s="1144"/>
      <c r="WZF290" s="1144"/>
      <c r="WZG290" s="1144"/>
      <c r="WZH290" s="1144"/>
      <c r="WZI290" s="1144"/>
      <c r="WZJ290" s="1144"/>
      <c r="WZK290" s="1144"/>
      <c r="WZL290" s="1144"/>
      <c r="WZM290" s="1144"/>
      <c r="WZN290" s="1144"/>
      <c r="WZO290" s="1144"/>
      <c r="WZP290" s="1144"/>
      <c r="WZQ290" s="1144"/>
      <c r="WZR290" s="1144"/>
      <c r="WZS290" s="1144"/>
      <c r="WZT290" s="1144"/>
      <c r="WZU290" s="1144"/>
      <c r="WZV290" s="1144"/>
      <c r="WZW290" s="1144"/>
      <c r="WZX290" s="1144"/>
      <c r="WZY290" s="1144"/>
      <c r="WZZ290" s="1144"/>
      <c r="XAA290" s="1144"/>
      <c r="XAB290" s="1144"/>
      <c r="XAC290" s="1144"/>
      <c r="XAD290" s="1144"/>
      <c r="XAE290" s="1144"/>
      <c r="XAF290" s="1144"/>
      <c r="XAG290" s="1144"/>
      <c r="XAH290" s="1144"/>
      <c r="XAI290" s="1144"/>
      <c r="XAJ290" s="1144"/>
      <c r="XAK290" s="1144"/>
      <c r="XAL290" s="1144"/>
      <c r="XAM290" s="1144"/>
      <c r="XAN290" s="1144"/>
      <c r="XAO290" s="1144"/>
      <c r="XAP290" s="1144"/>
      <c r="XAQ290" s="1144"/>
      <c r="XAR290" s="1144"/>
      <c r="XAS290" s="1144"/>
      <c r="XAT290" s="1144"/>
      <c r="XAU290" s="1144"/>
      <c r="XAV290" s="1144"/>
      <c r="XAW290" s="1144"/>
      <c r="XAX290" s="1144"/>
      <c r="XAY290" s="1144"/>
      <c r="XAZ290" s="1144"/>
      <c r="XBA290" s="1144"/>
      <c r="XBB290" s="1144"/>
      <c r="XBC290" s="1144"/>
      <c r="XBD290" s="1144"/>
      <c r="XBE290" s="1144"/>
      <c r="XBF290" s="1144"/>
      <c r="XBG290" s="1144"/>
      <c r="XBH290" s="1144"/>
      <c r="XBI290" s="1144"/>
      <c r="XBJ290" s="1144"/>
      <c r="XBK290" s="1144"/>
      <c r="XBL290" s="1144"/>
      <c r="XBM290" s="1144"/>
      <c r="XBN290" s="1144"/>
      <c r="XBO290" s="1144"/>
      <c r="XBP290" s="1144"/>
      <c r="XBQ290" s="1144"/>
      <c r="XBR290" s="1144"/>
      <c r="XBS290" s="1144"/>
      <c r="XBT290" s="1144"/>
      <c r="XBU290" s="1144"/>
      <c r="XBV290" s="1144"/>
      <c r="XBW290" s="1144"/>
      <c r="XBX290" s="1144"/>
      <c r="XBY290" s="1144"/>
      <c r="XBZ290" s="1144"/>
      <c r="XCA290" s="1144"/>
      <c r="XCB290" s="1144"/>
      <c r="XCC290" s="1144"/>
      <c r="XCD290" s="1144"/>
      <c r="XCE290" s="1144"/>
      <c r="XCF290" s="1144"/>
      <c r="XCG290" s="1144"/>
      <c r="XCH290" s="1144"/>
      <c r="XCI290" s="1144"/>
      <c r="XCJ290" s="1144"/>
      <c r="XCK290" s="1144"/>
      <c r="XCL290" s="1144"/>
      <c r="XCM290" s="1144"/>
      <c r="XCN290" s="1144"/>
      <c r="XCO290" s="1144"/>
      <c r="XCP290" s="1144"/>
      <c r="XCQ290" s="1144"/>
      <c r="XCR290" s="1144"/>
      <c r="XCS290" s="1144"/>
      <c r="XCT290" s="1144"/>
      <c r="XCU290" s="1144"/>
      <c r="XCV290" s="1144"/>
      <c r="XCW290" s="1144"/>
      <c r="XCX290" s="1144"/>
      <c r="XCY290" s="1144"/>
      <c r="XCZ290" s="1144"/>
      <c r="XDA290" s="1144"/>
      <c r="XDB290" s="1144"/>
      <c r="XDC290" s="1144"/>
      <c r="XDD290" s="1144"/>
      <c r="XDE290" s="1144"/>
      <c r="XDF290" s="1144"/>
      <c r="XDG290" s="1144"/>
      <c r="XDH290" s="1144"/>
      <c r="XDI290" s="1144"/>
      <c r="XDJ290" s="1144"/>
      <c r="XDK290" s="1144"/>
      <c r="XDL290" s="1144"/>
      <c r="XDM290" s="1144"/>
      <c r="XDN290" s="1144"/>
      <c r="XDO290" s="1144"/>
      <c r="XDP290" s="1144"/>
      <c r="XDQ290" s="1144"/>
      <c r="XDR290" s="1144"/>
      <c r="XDS290" s="1144"/>
      <c r="XDT290" s="1144"/>
      <c r="XDU290" s="1144"/>
      <c r="XDV290" s="1144"/>
      <c r="XDW290" s="1144"/>
      <c r="XDX290" s="1144"/>
      <c r="XDY290" s="1144"/>
      <c r="XDZ290" s="1144"/>
      <c r="XEA290" s="1144"/>
      <c r="XEB290" s="1144"/>
      <c r="XEC290" s="1144"/>
    </row>
    <row r="291" spans="1:16357" ht="12.75" hidden="1" customHeight="1" outlineLevel="1" x14ac:dyDescent="0.35">
      <c r="A291" s="17" t="s">
        <v>599</v>
      </c>
      <c r="B291" s="85"/>
      <c r="C291" s="89"/>
      <c r="D291" s="90"/>
      <c r="E291" s="90"/>
      <c r="F291" s="92"/>
      <c r="G291" s="85"/>
      <c r="H291" s="89"/>
      <c r="I291" s="90"/>
      <c r="J291" s="90"/>
      <c r="K291" s="90"/>
      <c r="L291" s="85"/>
      <c r="M291" s="90"/>
      <c r="N291" s="90"/>
      <c r="O291" s="90"/>
      <c r="P291" s="90"/>
      <c r="Q291" s="85"/>
      <c r="R291" s="38"/>
      <c r="S291" s="38"/>
      <c r="T291" s="38"/>
      <c r="U291" s="39"/>
      <c r="V291" s="85"/>
      <c r="W291" s="38"/>
      <c r="X291" s="38"/>
      <c r="Y291" s="38"/>
      <c r="Z291" s="39"/>
      <c r="AA291" s="54"/>
      <c r="AB291" s="87"/>
      <c r="AC291" s="38"/>
      <c r="AD291" s="38"/>
      <c r="AE291" s="38"/>
      <c r="AF291" s="85"/>
      <c r="AG291" s="38"/>
      <c r="AH291" s="38"/>
      <c r="AI291" s="38"/>
      <c r="AJ291" s="38"/>
      <c r="AK291" s="85"/>
      <c r="AL291" s="38"/>
      <c r="AM291" s="38"/>
      <c r="AN291" s="38"/>
      <c r="AO291" s="38"/>
      <c r="AP291" s="85"/>
      <c r="AQ291" s="38"/>
      <c r="AR291" s="38"/>
      <c r="AS291" s="38"/>
      <c r="AT291" s="38"/>
      <c r="AU291" s="86"/>
      <c r="AV291" s="45"/>
      <c r="AW291" s="38"/>
      <c r="AX291" s="38"/>
      <c r="AY291" s="38"/>
      <c r="AZ291" s="38"/>
      <c r="BA291" s="85"/>
      <c r="BB291" s="38"/>
      <c r="BC291" s="38"/>
      <c r="BD291" s="38"/>
      <c r="BE291" s="38"/>
      <c r="BF291" s="85"/>
      <c r="BG291" s="38"/>
      <c r="BH291" s="38"/>
      <c r="BI291" s="38"/>
      <c r="BJ291" s="38"/>
      <c r="BK291" s="85"/>
      <c r="BL291" s="38">
        <f>BL286-BL281</f>
        <v>0</v>
      </c>
      <c r="BM291" s="38">
        <f t="shared" ref="BM291:BP291" si="1589">BM286-BM281</f>
        <v>0</v>
      </c>
      <c r="BN291" s="38">
        <f t="shared" si="1589"/>
        <v>0</v>
      </c>
      <c r="BO291" s="38">
        <f t="shared" si="1589"/>
        <v>0</v>
      </c>
      <c r="BP291" s="40">
        <f t="shared" si="1589"/>
        <v>0</v>
      </c>
      <c r="BQ291" s="38">
        <f>BQ286-BQ281</f>
        <v>0</v>
      </c>
      <c r="BR291" s="38">
        <f t="shared" ref="BR291:BU291" si="1590">BR286-BR281</f>
        <v>0</v>
      </c>
      <c r="BS291" s="38">
        <f t="shared" si="1590"/>
        <v>0</v>
      </c>
      <c r="BT291" s="38">
        <f t="shared" si="1590"/>
        <v>-3.6601920528260052</v>
      </c>
      <c r="BU291" s="40">
        <f t="shared" si="1590"/>
        <v>-3.6601920528260052</v>
      </c>
      <c r="BV291" s="1070">
        <f>BV286-BV281</f>
        <v>-6.1418735362428265</v>
      </c>
      <c r="BW291" s="1070">
        <f t="shared" ref="BW291:BZ291" si="1591">BW286-BW281</f>
        <v>-12.239623419336908</v>
      </c>
      <c r="BX291" s="1070">
        <f t="shared" si="1591"/>
        <v>-7.3792769956937718</v>
      </c>
      <c r="BY291" s="1070">
        <f t="shared" si="1591"/>
        <v>-38.754909481755476</v>
      </c>
      <c r="BZ291" s="40">
        <f t="shared" si="1591"/>
        <v>-64.515683433029153</v>
      </c>
      <c r="CA291" s="38">
        <f>CA286-CA281</f>
        <v>-6.1418735362428265</v>
      </c>
      <c r="CB291" s="38">
        <f t="shared" ref="CB291:CE291" si="1592">CB286-CB281</f>
        <v>-12.239623419336908</v>
      </c>
      <c r="CC291" s="38">
        <f t="shared" si="1592"/>
        <v>-7.3792769956937718</v>
      </c>
      <c r="CD291" s="38">
        <f t="shared" si="1592"/>
        <v>-38.754909481755476</v>
      </c>
      <c r="CE291" s="40">
        <f t="shared" si="1592"/>
        <v>-64.515683433029153</v>
      </c>
      <c r="CF291" s="38">
        <f>CF286-CF281</f>
        <v>18.246925255624603</v>
      </c>
      <c r="CG291" s="38">
        <f t="shared" ref="CG291:CJ291" si="1593">CG286-CG281</f>
        <v>-10.091436865700985</v>
      </c>
      <c r="CH291" s="38">
        <f t="shared" si="1593"/>
        <v>-8.129912779462984</v>
      </c>
      <c r="CI291" s="38">
        <f t="shared" si="1593"/>
        <v>-2.6103899189439517</v>
      </c>
      <c r="CJ291" s="40">
        <f t="shared" si="1593"/>
        <v>-2.5848143084836011</v>
      </c>
      <c r="CK291" s="38">
        <f>CK286-CK281</f>
        <v>7.3184458591834982</v>
      </c>
      <c r="CL291" s="38">
        <f t="shared" ref="CL291:CO291" si="1594">CL286-CL281</f>
        <v>4.1019813346146066</v>
      </c>
      <c r="CM291" s="38">
        <f t="shared" si="1594"/>
        <v>26.739783855530959</v>
      </c>
      <c r="CN291" s="38">
        <f t="shared" si="1594"/>
        <v>4.4719196763586524</v>
      </c>
      <c r="CO291" s="40">
        <f t="shared" si="1594"/>
        <v>42.632130725687603</v>
      </c>
      <c r="CP291" s="38">
        <f>CP286-CP281</f>
        <v>-1.8151953252038311</v>
      </c>
      <c r="CQ291" s="38">
        <f t="shared" ref="CQ291:CT291" si="1595">CQ286-CQ281</f>
        <v>-4.4279045786324787</v>
      </c>
      <c r="CR291" s="38">
        <f t="shared" si="1595"/>
        <v>16.07487890739344</v>
      </c>
      <c r="CS291" s="38">
        <f t="shared" si="1595"/>
        <v>-14.551449685270768</v>
      </c>
      <c r="CT291" s="40">
        <f t="shared" si="1595"/>
        <v>-4.7196706817135237</v>
      </c>
      <c r="CU291" s="38">
        <f>CU286-CU281</f>
        <v>-20.659940768952879</v>
      </c>
      <c r="CV291" s="38">
        <f t="shared" ref="CV291:CY291" si="1596">CV286-CV281</f>
        <v>-24.511435303867756</v>
      </c>
      <c r="CW291" s="38">
        <f t="shared" si="1596"/>
        <v>-3.1935414760317826</v>
      </c>
      <c r="CX291" s="38">
        <f t="shared" si="1596"/>
        <v>-31.678255524285078</v>
      </c>
      <c r="CY291" s="40">
        <f t="shared" si="1596"/>
        <v>-80.04317307313795</v>
      </c>
      <c r="CZ291" s="38">
        <f>CZ286-CZ281</f>
        <v>-29.450232692230429</v>
      </c>
      <c r="DA291" s="38">
        <f t="shared" ref="DA291:DD291" si="1597">DA286-DA281</f>
        <v>-40.347015249504807</v>
      </c>
      <c r="DB291" s="38">
        <f t="shared" si="1597"/>
        <v>-17.49886202635264</v>
      </c>
      <c r="DC291" s="38">
        <f t="shared" si="1597"/>
        <v>-45.825377332529683</v>
      </c>
      <c r="DD291" s="40">
        <f t="shared" si="1597"/>
        <v>-133.12148730061745</v>
      </c>
      <c r="DE291" s="38">
        <f>DE286-DE281</f>
        <v>-47.429936118231694</v>
      </c>
      <c r="DF291" s="38">
        <f t="shared" ref="DF291:DI291" si="1598">DF286-DF281</f>
        <v>-52.477289307971887</v>
      </c>
      <c r="DG291" s="38">
        <f t="shared" si="1598"/>
        <v>-28.304576397887445</v>
      </c>
      <c r="DH291" s="38">
        <f t="shared" si="1598"/>
        <v>-56.003140210639685</v>
      </c>
      <c r="DI291" s="40">
        <f t="shared" si="1598"/>
        <v>-184.21494203473094</v>
      </c>
      <c r="DJ291" s="38">
        <f>DJ286-DJ281</f>
        <v>-54.364786018017298</v>
      </c>
      <c r="DK291" s="38">
        <f t="shared" ref="DK291:DN291" si="1599">DK286-DK281</f>
        <v>-58.706056155411034</v>
      </c>
      <c r="DL291" s="38">
        <f t="shared" si="1599"/>
        <v>-32.485239965567871</v>
      </c>
      <c r="DM291" s="38">
        <f t="shared" si="1599"/>
        <v>-61.035285006949493</v>
      </c>
      <c r="DN291" s="40">
        <f t="shared" si="1599"/>
        <v>-206.5913671459457</v>
      </c>
      <c r="DO291" s="38"/>
      <c r="DP291" s="38"/>
      <c r="DQ291" s="38"/>
      <c r="DR291" s="38"/>
      <c r="DS291" s="40"/>
      <c r="DT291" s="38"/>
      <c r="DU291" s="38"/>
      <c r="DV291" s="38"/>
      <c r="DW291" s="38"/>
      <c r="DX291" s="85"/>
      <c r="DY291" s="38"/>
      <c r="DZ291" s="38"/>
      <c r="EA291" s="38"/>
      <c r="EB291" s="38"/>
      <c r="EC291" s="85"/>
      <c r="ED291" s="46"/>
      <c r="EE291" s="37"/>
      <c r="EF291" s="286"/>
      <c r="EG291" s="25"/>
      <c r="EH291" s="25"/>
      <c r="EI291" s="25"/>
      <c r="EJ291" s="25"/>
      <c r="EK291" s="25"/>
      <c r="EL291" s="25"/>
      <c r="EM291" s="25"/>
      <c r="EN291" s="25"/>
      <c r="EO291" s="25"/>
      <c r="EP291" s="25"/>
      <c r="EQ291" s="25"/>
      <c r="ER291" s="25"/>
      <c r="ES291" s="25"/>
      <c r="ET291" s="25"/>
      <c r="EU291" s="25"/>
      <c r="EX291" s="25"/>
      <c r="EY291" s="294"/>
      <c r="EZ291" s="985"/>
      <c r="FA291" s="985"/>
      <c r="FB291" s="294"/>
      <c r="FC291" s="985"/>
      <c r="FD291" s="25"/>
      <c r="FK291" s="1069"/>
      <c r="FL291" s="1069"/>
      <c r="FM291" s="1069"/>
      <c r="FN291" s="1069"/>
      <c r="FO291" s="1069"/>
      <c r="FP291" s="1069"/>
      <c r="FQ291" s="1069"/>
      <c r="FR291" s="1069"/>
      <c r="FS291" s="1069"/>
      <c r="FT291" s="1069"/>
      <c r="FU291" s="1069"/>
      <c r="FV291" s="1069"/>
      <c r="FW291" s="1069"/>
      <c r="FX291" s="1069"/>
      <c r="FY291" s="1069"/>
      <c r="FZ291" s="1069"/>
      <c r="GA291" s="1069"/>
      <c r="GB291" s="1069"/>
      <c r="GC291" s="1069"/>
      <c r="GD291" s="1069"/>
      <c r="GE291" s="1069"/>
      <c r="GF291" s="1069"/>
      <c r="GG291" s="1069"/>
      <c r="GH291" s="1069"/>
      <c r="GI291" s="1069"/>
      <c r="GJ291" s="1069"/>
      <c r="GK291" s="1069"/>
      <c r="GL291" s="1069"/>
      <c r="GM291" s="1069"/>
      <c r="GN291" s="1069"/>
      <c r="GO291" s="1069"/>
      <c r="GP291" s="1069"/>
      <c r="GQ291" s="1069"/>
      <c r="GR291" s="1069"/>
      <c r="GS291" s="1069"/>
      <c r="GT291" s="1069"/>
      <c r="GU291" s="1069"/>
      <c r="GV291" s="1069"/>
      <c r="GW291" s="1069"/>
      <c r="GX291" s="1069"/>
      <c r="GY291" s="1069"/>
      <c r="GZ291" s="1069"/>
      <c r="HA291" s="1069"/>
      <c r="HB291" s="1069"/>
      <c r="HC291" s="1069"/>
      <c r="HD291" s="1069"/>
      <c r="HE291" s="1069"/>
      <c r="HF291" s="1069"/>
      <c r="HG291" s="1069"/>
      <c r="HH291" s="1069"/>
      <c r="HI291" s="1069"/>
      <c r="HJ291" s="1069"/>
      <c r="HK291" s="1069"/>
      <c r="HL291" s="1069"/>
      <c r="HM291" s="1069"/>
      <c r="HN291" s="1069"/>
      <c r="HO291" s="1069"/>
      <c r="HP291" s="1069"/>
      <c r="HQ291" s="1069"/>
      <c r="HR291" s="1069"/>
      <c r="HS291" s="1069"/>
      <c r="HT291" s="1069"/>
      <c r="HU291" s="1069"/>
      <c r="HV291" s="1069"/>
      <c r="HW291" s="1069"/>
      <c r="HX291" s="1069"/>
      <c r="HY291" s="1069"/>
      <c r="HZ291" s="1069"/>
      <c r="IA291" s="1069"/>
      <c r="IB291" s="1069"/>
      <c r="IC291" s="1069"/>
      <c r="ID291" s="1069"/>
      <c r="IE291" s="1069"/>
      <c r="IF291" s="1069"/>
      <c r="IG291" s="1069"/>
      <c r="IH291" s="1069"/>
      <c r="II291" s="1069"/>
      <c r="IJ291" s="1069"/>
      <c r="IK291" s="1069"/>
      <c r="IL291" s="1069"/>
      <c r="IM291" s="1069"/>
      <c r="IN291" s="1069"/>
      <c r="IO291" s="1069"/>
      <c r="IP291" s="1069"/>
      <c r="IQ291" s="1069"/>
      <c r="IR291" s="1069"/>
      <c r="IS291" s="1069"/>
      <c r="IT291" s="1069"/>
      <c r="IU291" s="1069"/>
      <c r="IV291" s="1069"/>
      <c r="IW291" s="1069"/>
      <c r="IX291" s="1069"/>
      <c r="IY291" s="1069"/>
      <c r="IZ291" s="1069"/>
      <c r="JA291" s="1069"/>
      <c r="JB291" s="1069"/>
      <c r="JC291" s="1069"/>
      <c r="JD291" s="1069"/>
      <c r="JE291" s="1069"/>
      <c r="JF291" s="1069"/>
      <c r="JG291" s="1069"/>
      <c r="JH291" s="1069"/>
      <c r="JI291" s="1069"/>
      <c r="JJ291" s="1069"/>
      <c r="JK291" s="1069"/>
      <c r="JL291" s="1069"/>
      <c r="JM291" s="1069"/>
      <c r="JN291" s="1069"/>
      <c r="JO291" s="1069"/>
      <c r="JP291" s="1069"/>
      <c r="JQ291" s="1069"/>
      <c r="JR291" s="1069"/>
      <c r="JS291" s="1069"/>
      <c r="JT291" s="1069"/>
      <c r="JU291" s="1069"/>
      <c r="JV291" s="1069"/>
      <c r="JW291" s="1069"/>
      <c r="JX291" s="1069"/>
      <c r="JY291" s="1069"/>
      <c r="JZ291" s="1069"/>
      <c r="KA291" s="1069"/>
      <c r="KB291" s="1069"/>
      <c r="KC291" s="1069"/>
      <c r="KD291" s="1069"/>
      <c r="KE291" s="1069"/>
      <c r="KF291" s="1069"/>
      <c r="KG291" s="1069"/>
      <c r="KH291" s="1069"/>
      <c r="KI291" s="1069"/>
      <c r="KJ291" s="1069"/>
      <c r="KK291" s="1069"/>
      <c r="KL291" s="1069"/>
      <c r="KM291" s="1069"/>
      <c r="KN291" s="1069"/>
      <c r="KO291" s="1069"/>
      <c r="KP291" s="1069"/>
      <c r="KQ291" s="1069"/>
      <c r="KR291" s="1069"/>
      <c r="KS291" s="1069"/>
      <c r="KT291" s="1069"/>
      <c r="KU291" s="1069"/>
      <c r="KV291" s="1069"/>
      <c r="KW291" s="1069"/>
      <c r="KX291" s="1069"/>
      <c r="KY291" s="1069"/>
      <c r="KZ291" s="1069"/>
      <c r="LA291" s="1069"/>
      <c r="LB291" s="1069"/>
      <c r="LC291" s="1069"/>
      <c r="LD291" s="1069"/>
      <c r="LE291" s="1069"/>
      <c r="LF291" s="1069"/>
      <c r="LG291" s="1069"/>
      <c r="LH291" s="1069"/>
      <c r="LI291" s="1069"/>
      <c r="LJ291" s="1069"/>
      <c r="LK291" s="1069"/>
      <c r="LL291" s="1069"/>
      <c r="LM291" s="1069"/>
      <c r="LN291" s="1069"/>
      <c r="LO291" s="1069"/>
      <c r="LP291" s="1069"/>
      <c r="LQ291" s="1069"/>
      <c r="LR291" s="1069"/>
      <c r="LS291" s="1069"/>
      <c r="LT291" s="1069"/>
      <c r="LU291" s="1069"/>
      <c r="LV291" s="1069"/>
      <c r="LW291" s="1069"/>
      <c r="LX291" s="1069"/>
      <c r="LY291" s="1069"/>
      <c r="LZ291" s="1069"/>
      <c r="MA291" s="1069"/>
      <c r="MB291" s="1069"/>
      <c r="MC291" s="1069"/>
      <c r="MD291" s="1069"/>
      <c r="ME291" s="1069"/>
      <c r="MF291" s="1069"/>
      <c r="MG291" s="1069"/>
      <c r="MH291" s="1069"/>
      <c r="MI291" s="1069"/>
      <c r="MJ291" s="1069"/>
      <c r="MK291" s="1069"/>
      <c r="ML291" s="1069"/>
      <c r="MM291" s="1069"/>
      <c r="MN291" s="1069"/>
      <c r="MO291" s="1069"/>
      <c r="MP291" s="1069"/>
      <c r="MQ291" s="1069"/>
      <c r="MR291" s="1069"/>
      <c r="MS291" s="1069"/>
      <c r="MT291" s="1069"/>
      <c r="MU291" s="1069"/>
      <c r="MV291" s="1069"/>
      <c r="MW291" s="1069"/>
      <c r="MX291" s="1069"/>
      <c r="MY291" s="1069"/>
      <c r="MZ291" s="1069"/>
      <c r="NA291" s="1069"/>
      <c r="NB291" s="1069"/>
      <c r="NC291" s="1069"/>
      <c r="ND291" s="1069"/>
      <c r="NE291" s="1069"/>
      <c r="NF291" s="1069"/>
      <c r="NG291" s="1069"/>
      <c r="NH291" s="1069"/>
      <c r="NI291" s="1069"/>
      <c r="NJ291" s="1069"/>
      <c r="NK291" s="1069"/>
      <c r="NL291" s="1069"/>
      <c r="NM291" s="1069"/>
      <c r="NN291" s="1069"/>
      <c r="NO291" s="1069"/>
      <c r="NP291" s="1069"/>
      <c r="NQ291" s="1069"/>
      <c r="NR291" s="1069"/>
      <c r="NS291" s="1069"/>
      <c r="NT291" s="1069"/>
      <c r="NU291" s="1069"/>
      <c r="NV291" s="1069"/>
      <c r="NW291" s="1069"/>
      <c r="NX291" s="1069"/>
      <c r="NY291" s="1069"/>
      <c r="NZ291" s="1069"/>
      <c r="OA291" s="1069"/>
      <c r="OB291" s="1069"/>
      <c r="OC291" s="1069"/>
      <c r="OD291" s="1069"/>
      <c r="OE291" s="1069"/>
      <c r="OF291" s="1069"/>
      <c r="OG291" s="1069"/>
      <c r="OH291" s="1069"/>
      <c r="OI291" s="1069"/>
      <c r="OJ291" s="1069"/>
      <c r="OK291" s="1069"/>
      <c r="OL291" s="1069"/>
      <c r="OM291" s="1069"/>
      <c r="ON291" s="1069"/>
      <c r="OO291" s="1069"/>
      <c r="OP291" s="1069"/>
      <c r="OQ291" s="1069"/>
      <c r="OR291" s="1069"/>
      <c r="OS291" s="1069"/>
      <c r="OT291" s="1069"/>
      <c r="OU291" s="1069"/>
      <c r="OV291" s="1069"/>
      <c r="OW291" s="1069"/>
      <c r="OX291" s="1069"/>
      <c r="OY291" s="1069"/>
      <c r="OZ291" s="1069"/>
      <c r="PA291" s="1069"/>
      <c r="PB291" s="1069"/>
      <c r="PC291" s="1069"/>
      <c r="PD291" s="1069"/>
      <c r="PE291" s="1069"/>
      <c r="PF291" s="1069"/>
      <c r="PG291" s="1069"/>
      <c r="PH291" s="1069"/>
      <c r="PI291" s="1069"/>
      <c r="PJ291" s="1069"/>
      <c r="PK291" s="1069"/>
      <c r="PL291" s="1069"/>
      <c r="PM291" s="1069"/>
      <c r="PN291" s="1069"/>
      <c r="PO291" s="1069"/>
      <c r="PP291" s="1069"/>
      <c r="PQ291" s="1069"/>
      <c r="PR291" s="1069"/>
      <c r="PS291" s="1069"/>
      <c r="PT291" s="1069"/>
      <c r="PU291" s="1069"/>
      <c r="PV291" s="1069"/>
      <c r="PW291" s="1069"/>
      <c r="PX291" s="1069"/>
      <c r="PY291" s="1069"/>
      <c r="PZ291" s="1069"/>
      <c r="QA291" s="1069"/>
      <c r="QB291" s="1069"/>
      <c r="QC291" s="1069"/>
      <c r="QD291" s="1069"/>
      <c r="QE291" s="1069"/>
      <c r="QF291" s="1069"/>
      <c r="QG291" s="1069"/>
      <c r="QH291" s="1069"/>
      <c r="QI291" s="1069"/>
      <c r="QJ291" s="1069"/>
      <c r="QK291" s="1069"/>
      <c r="QL291" s="1069"/>
      <c r="QM291" s="1069"/>
      <c r="QN291" s="1069"/>
      <c r="QO291" s="1069"/>
      <c r="QP291" s="1069"/>
      <c r="QQ291" s="1069"/>
      <c r="QR291" s="1069"/>
      <c r="QS291" s="1069"/>
      <c r="QT291" s="1069"/>
      <c r="QU291" s="1069"/>
      <c r="QV291" s="1069"/>
      <c r="QW291" s="1069"/>
      <c r="QX291" s="1069"/>
      <c r="QY291" s="1069"/>
      <c r="QZ291" s="1069"/>
      <c r="RA291" s="1069"/>
      <c r="RB291" s="1069"/>
      <c r="RC291" s="1069"/>
      <c r="RD291" s="1069"/>
      <c r="RE291" s="1069"/>
      <c r="RF291" s="1069"/>
      <c r="RG291" s="1069"/>
      <c r="RH291" s="1069"/>
      <c r="RI291" s="1069"/>
      <c r="RJ291" s="1069"/>
      <c r="RK291" s="1069"/>
      <c r="RL291" s="1069"/>
      <c r="RM291" s="1069"/>
      <c r="RN291" s="1069"/>
      <c r="RO291" s="1069"/>
      <c r="RP291" s="1069"/>
      <c r="RQ291" s="1069"/>
      <c r="RR291" s="1069"/>
      <c r="RS291" s="1069"/>
      <c r="RT291" s="1069"/>
      <c r="RU291" s="1069"/>
      <c r="RV291" s="1069"/>
      <c r="RW291" s="1069"/>
      <c r="RX291" s="1069"/>
      <c r="RY291" s="1069"/>
      <c r="RZ291" s="1069"/>
      <c r="SA291" s="1069"/>
      <c r="SB291" s="1069"/>
      <c r="SC291" s="1069"/>
      <c r="SD291" s="1069"/>
      <c r="SE291" s="1069"/>
      <c r="SF291" s="1069"/>
      <c r="SG291" s="1069"/>
      <c r="SH291" s="1069"/>
      <c r="SI291" s="1069"/>
      <c r="SJ291" s="1069"/>
      <c r="SK291" s="1069"/>
      <c r="SL291" s="1069"/>
      <c r="SM291" s="1069"/>
      <c r="SN291" s="1069"/>
      <c r="SO291" s="1069"/>
      <c r="SP291" s="1069"/>
      <c r="SQ291" s="1069"/>
      <c r="SR291" s="1069"/>
      <c r="SS291" s="1069"/>
      <c r="ST291" s="1069"/>
      <c r="SU291" s="1069"/>
      <c r="SV291" s="1069"/>
      <c r="SW291" s="1069"/>
      <c r="SX291" s="1069"/>
      <c r="SY291" s="1069"/>
      <c r="SZ291" s="1069"/>
      <c r="TA291" s="1069"/>
      <c r="TB291" s="1069"/>
      <c r="TC291" s="1069"/>
      <c r="TD291" s="1069"/>
      <c r="TE291" s="1069"/>
      <c r="TF291" s="1069"/>
      <c r="TG291" s="1069"/>
      <c r="TH291" s="1069"/>
      <c r="TI291" s="1069"/>
      <c r="TJ291" s="1069"/>
      <c r="TK291" s="1069"/>
      <c r="TL291" s="1069"/>
      <c r="TM291" s="1069"/>
      <c r="TN291" s="1069"/>
      <c r="TO291" s="1069"/>
      <c r="TP291" s="1069"/>
      <c r="TQ291" s="1069"/>
      <c r="TR291" s="1069"/>
      <c r="TS291" s="1069"/>
      <c r="TT291" s="1069"/>
      <c r="TU291" s="1069"/>
      <c r="TV291" s="1069"/>
      <c r="TW291" s="1069"/>
      <c r="TX291" s="1069"/>
      <c r="TY291" s="1069"/>
      <c r="TZ291" s="1069"/>
      <c r="UA291" s="1069"/>
      <c r="UB291" s="1069"/>
      <c r="UC291" s="1069"/>
      <c r="UD291" s="1069"/>
      <c r="UE291" s="1069"/>
      <c r="UF291" s="1069"/>
      <c r="UG291" s="1069"/>
      <c r="UH291" s="1069"/>
      <c r="UI291" s="1069"/>
      <c r="UJ291" s="1069"/>
      <c r="UK291" s="1069"/>
      <c r="UL291" s="1069"/>
      <c r="UM291" s="1069"/>
      <c r="UN291" s="1069"/>
      <c r="UO291" s="1069"/>
      <c r="UP291" s="1069"/>
      <c r="UQ291" s="1069"/>
      <c r="UR291" s="1069"/>
      <c r="US291" s="1069"/>
      <c r="UT291" s="1069"/>
      <c r="UU291" s="1069"/>
      <c r="UV291" s="1069"/>
      <c r="UW291" s="1069"/>
      <c r="UX291" s="1069"/>
      <c r="UY291" s="1069"/>
      <c r="UZ291" s="1069"/>
      <c r="VA291" s="1069"/>
      <c r="VB291" s="1069"/>
      <c r="VC291" s="1069"/>
      <c r="VD291" s="1069"/>
      <c r="VE291" s="1069"/>
      <c r="VF291" s="1069"/>
      <c r="VG291" s="1069"/>
      <c r="VH291" s="1069"/>
      <c r="VI291" s="1069"/>
      <c r="VJ291" s="1069"/>
      <c r="VK291" s="1069"/>
      <c r="VL291" s="1069"/>
      <c r="VM291" s="1069"/>
      <c r="VN291" s="1069"/>
      <c r="VO291" s="1069"/>
      <c r="VP291" s="1069"/>
      <c r="VQ291" s="1069"/>
      <c r="VR291" s="1069"/>
      <c r="VS291" s="1069"/>
      <c r="VT291" s="1069"/>
      <c r="VU291" s="1069"/>
      <c r="VV291" s="1069"/>
      <c r="VW291" s="1069"/>
      <c r="VX291" s="1069"/>
      <c r="VY291" s="1069"/>
      <c r="VZ291" s="1069"/>
      <c r="WA291" s="1069"/>
      <c r="WB291" s="1069"/>
      <c r="WC291" s="1069"/>
      <c r="WD291" s="1069"/>
      <c r="WE291" s="1069"/>
      <c r="WF291" s="1069"/>
      <c r="WG291" s="1069"/>
      <c r="WH291" s="1069"/>
      <c r="WI291" s="1069"/>
      <c r="WJ291" s="1069"/>
      <c r="WK291" s="1069"/>
      <c r="WL291" s="1069"/>
      <c r="WM291" s="1069"/>
      <c r="WN291" s="1069"/>
      <c r="WO291" s="1069"/>
      <c r="WP291" s="1069"/>
      <c r="WQ291" s="1069"/>
      <c r="WR291" s="1069"/>
      <c r="WS291" s="1069"/>
      <c r="WT291" s="1069"/>
      <c r="WU291" s="1069"/>
      <c r="WV291" s="1069"/>
      <c r="WW291" s="1069"/>
      <c r="WX291" s="1069"/>
      <c r="WY291" s="1069"/>
      <c r="WZ291" s="1069"/>
      <c r="XA291" s="1069"/>
      <c r="XB291" s="1069"/>
      <c r="XC291" s="1069"/>
      <c r="XD291" s="1069"/>
      <c r="XE291" s="1069"/>
      <c r="XF291" s="1069"/>
      <c r="XG291" s="1069"/>
      <c r="XH291" s="1069"/>
      <c r="XI291" s="1069"/>
      <c r="XJ291" s="1069"/>
      <c r="XK291" s="1069"/>
      <c r="XL291" s="1069"/>
      <c r="XM291" s="1069"/>
      <c r="XN291" s="1069"/>
      <c r="XO291" s="1069"/>
      <c r="XP291" s="1069"/>
      <c r="XQ291" s="1069"/>
      <c r="XR291" s="1069"/>
      <c r="XS291" s="1069"/>
      <c r="XT291" s="1069"/>
      <c r="XU291" s="1069"/>
      <c r="XV291" s="1069"/>
      <c r="XW291" s="1069"/>
      <c r="XX291" s="1069"/>
      <c r="XY291" s="1069"/>
      <c r="XZ291" s="1069"/>
      <c r="YA291" s="1069"/>
      <c r="YB291" s="1069"/>
      <c r="YC291" s="1069"/>
      <c r="YD291" s="1069"/>
      <c r="YE291" s="1069"/>
      <c r="YF291" s="1069"/>
      <c r="YG291" s="1069"/>
      <c r="YH291" s="1069"/>
      <c r="YI291" s="1069"/>
      <c r="YJ291" s="1069"/>
      <c r="YK291" s="1069"/>
      <c r="YL291" s="1069"/>
      <c r="YM291" s="1069"/>
      <c r="YN291" s="1069"/>
      <c r="YO291" s="1069"/>
      <c r="YP291" s="1069"/>
      <c r="YQ291" s="1069"/>
      <c r="YR291" s="1069"/>
      <c r="YS291" s="1069"/>
      <c r="YT291" s="1069"/>
      <c r="YU291" s="1069"/>
      <c r="YV291" s="1069"/>
      <c r="YW291" s="1069"/>
      <c r="YX291" s="1069"/>
      <c r="YY291" s="1069"/>
      <c r="YZ291" s="1069"/>
      <c r="ZA291" s="1069"/>
      <c r="ZB291" s="1069"/>
      <c r="ZC291" s="1069"/>
      <c r="ZD291" s="1069"/>
      <c r="ZE291" s="1069"/>
      <c r="ZF291" s="1069"/>
      <c r="ZG291" s="1069"/>
      <c r="ZH291" s="1069"/>
      <c r="ZI291" s="1069"/>
      <c r="ZJ291" s="1069"/>
      <c r="ZK291" s="1069"/>
      <c r="ZL291" s="1069"/>
      <c r="ZM291" s="1069"/>
      <c r="ZN291" s="1069"/>
      <c r="ZO291" s="1069"/>
      <c r="ZP291" s="1069"/>
      <c r="ZQ291" s="1069"/>
      <c r="ZR291" s="1069"/>
      <c r="ZS291" s="1069"/>
      <c r="ZT291" s="1069"/>
      <c r="ZU291" s="1069"/>
      <c r="ZV291" s="1069"/>
      <c r="ZW291" s="1069"/>
      <c r="ZX291" s="1069"/>
      <c r="ZY291" s="1069"/>
      <c r="ZZ291" s="1069"/>
      <c r="AAA291" s="1069"/>
      <c r="AAB291" s="1069"/>
      <c r="AAC291" s="1069"/>
      <c r="AAD291" s="1069"/>
      <c r="AAE291" s="1069"/>
      <c r="AAF291" s="1069"/>
      <c r="AAG291" s="1069"/>
      <c r="AAH291" s="1069"/>
      <c r="AAI291" s="1069"/>
      <c r="AAJ291" s="1069"/>
      <c r="AAK291" s="1069"/>
      <c r="AAL291" s="1069"/>
      <c r="AAM291" s="1069"/>
      <c r="AAN291" s="1069"/>
      <c r="AAO291" s="1069"/>
      <c r="AAP291" s="1069"/>
      <c r="AAQ291" s="1069"/>
      <c r="AAR291" s="1069"/>
      <c r="AAS291" s="1069"/>
      <c r="AAT291" s="1069"/>
      <c r="AAU291" s="1069"/>
      <c r="AAV291" s="1069"/>
      <c r="AAW291" s="1069"/>
      <c r="AAX291" s="1069"/>
      <c r="AAY291" s="1069"/>
      <c r="AAZ291" s="1069"/>
      <c r="ABA291" s="1069"/>
      <c r="ABB291" s="1069"/>
      <c r="ABC291" s="1069"/>
      <c r="ABD291" s="1069"/>
      <c r="ABE291" s="1069"/>
      <c r="ABF291" s="1069"/>
      <c r="ABG291" s="1069"/>
      <c r="ABH291" s="1069"/>
      <c r="ABI291" s="1069"/>
      <c r="ABJ291" s="1069"/>
      <c r="ABK291" s="1069"/>
      <c r="ABL291" s="1069"/>
      <c r="ABM291" s="1069"/>
      <c r="ABN291" s="1069"/>
      <c r="ABO291" s="1069"/>
      <c r="ABP291" s="1069"/>
      <c r="ABQ291" s="1069"/>
      <c r="ABR291" s="1069"/>
      <c r="ABS291" s="1069"/>
      <c r="ABT291" s="1069"/>
      <c r="ABU291" s="1069"/>
      <c r="ABV291" s="1069"/>
      <c r="ABW291" s="1069"/>
      <c r="ABX291" s="1069"/>
      <c r="ABY291" s="1069"/>
      <c r="ABZ291" s="1069"/>
      <c r="ACA291" s="1069"/>
      <c r="ACB291" s="1069"/>
      <c r="ACC291" s="1069"/>
      <c r="ACD291" s="1069"/>
      <c r="ACE291" s="1069"/>
      <c r="ACF291" s="1069"/>
      <c r="ACG291" s="1069"/>
      <c r="ACH291" s="1069"/>
      <c r="ACI291" s="1069"/>
      <c r="ACJ291" s="1069"/>
      <c r="ACK291" s="1069"/>
      <c r="ACL291" s="1069"/>
      <c r="ACM291" s="1069"/>
      <c r="ACN291" s="1069"/>
      <c r="ACO291" s="1069"/>
      <c r="ACP291" s="1069"/>
      <c r="ACQ291" s="1069"/>
      <c r="ACR291" s="1069"/>
      <c r="ACS291" s="1069"/>
      <c r="ACT291" s="1069"/>
      <c r="ACU291" s="1069"/>
      <c r="ACV291" s="1069"/>
      <c r="ACW291" s="1069"/>
      <c r="ACX291" s="1069"/>
      <c r="ACY291" s="1069"/>
      <c r="ACZ291" s="1069"/>
      <c r="ADA291" s="1069"/>
      <c r="ADB291" s="1069"/>
      <c r="ADC291" s="1069"/>
      <c r="ADD291" s="1069"/>
      <c r="ADE291" s="1069"/>
      <c r="ADF291" s="1069"/>
      <c r="ADG291" s="1069"/>
      <c r="ADH291" s="1069"/>
      <c r="ADI291" s="1069"/>
      <c r="ADJ291" s="1069"/>
      <c r="ADK291" s="1069"/>
      <c r="ADL291" s="1069"/>
      <c r="ADM291" s="1069"/>
      <c r="ADN291" s="1069"/>
      <c r="ADO291" s="1069"/>
      <c r="ADP291" s="1069"/>
      <c r="ADQ291" s="1069"/>
      <c r="ADR291" s="1069"/>
      <c r="ADS291" s="1069"/>
      <c r="ADT291" s="1069"/>
      <c r="ADU291" s="1069"/>
      <c r="ADV291" s="1069"/>
      <c r="ADW291" s="1069"/>
      <c r="ADX291" s="1069"/>
      <c r="ADY291" s="1069"/>
      <c r="ADZ291" s="1069"/>
      <c r="AEA291" s="1069"/>
      <c r="AEB291" s="1069"/>
      <c r="AEC291" s="1069"/>
      <c r="AED291" s="1069"/>
      <c r="AEE291" s="1069"/>
      <c r="AEF291" s="1069"/>
      <c r="AEG291" s="1069"/>
      <c r="AEH291" s="1069"/>
      <c r="AEI291" s="1069"/>
      <c r="AEJ291" s="1069"/>
      <c r="AEK291" s="1069"/>
      <c r="AEL291" s="1069"/>
      <c r="AEM291" s="1069"/>
      <c r="AEN291" s="1069"/>
      <c r="AEO291" s="1069"/>
      <c r="AEP291" s="1069"/>
      <c r="AEQ291" s="1069"/>
      <c r="AER291" s="1069"/>
      <c r="AES291" s="1069"/>
      <c r="AET291" s="1069"/>
      <c r="AEU291" s="1069"/>
      <c r="AEV291" s="1069"/>
      <c r="AEW291" s="1069"/>
      <c r="AEX291" s="1069"/>
      <c r="AEY291" s="1069"/>
      <c r="AEZ291" s="1069"/>
      <c r="AFA291" s="1069"/>
      <c r="AFB291" s="1069"/>
      <c r="AFC291" s="1069"/>
      <c r="AFD291" s="1069"/>
      <c r="AFE291" s="1069"/>
      <c r="AFF291" s="1069"/>
      <c r="AFG291" s="1069"/>
      <c r="AFH291" s="1069"/>
      <c r="AFI291" s="1069"/>
      <c r="AFJ291" s="1069"/>
      <c r="AFK291" s="1069"/>
      <c r="AFL291" s="1069"/>
      <c r="AFM291" s="1069"/>
      <c r="AFN291" s="1069"/>
      <c r="AFO291" s="1069"/>
      <c r="AFP291" s="1069"/>
      <c r="AFQ291" s="1069"/>
      <c r="AFR291" s="1069"/>
      <c r="AFS291" s="1069"/>
      <c r="AFT291" s="1069"/>
      <c r="AFU291" s="1069"/>
      <c r="AFV291" s="1069"/>
      <c r="AFW291" s="1069"/>
      <c r="AFX291" s="1069"/>
      <c r="AFY291" s="1069"/>
      <c r="AFZ291" s="1069"/>
      <c r="AGA291" s="1069"/>
      <c r="AGB291" s="1069"/>
      <c r="AGC291" s="1069"/>
      <c r="AGD291" s="1069"/>
      <c r="AGE291" s="1069"/>
      <c r="AGF291" s="1069"/>
      <c r="AGG291" s="1069"/>
      <c r="AGH291" s="1069"/>
      <c r="AGI291" s="1069"/>
      <c r="AGJ291" s="1069"/>
      <c r="AGK291" s="1069"/>
      <c r="AGL291" s="1069"/>
      <c r="AGM291" s="1069"/>
      <c r="AGN291" s="1069"/>
      <c r="AGO291" s="1069"/>
      <c r="AGP291" s="1069"/>
      <c r="AGQ291" s="1069"/>
      <c r="AGR291" s="1069"/>
      <c r="AGS291" s="1069"/>
      <c r="AGT291" s="1069"/>
      <c r="AGU291" s="1069"/>
      <c r="AGV291" s="1069"/>
      <c r="AGW291" s="1069"/>
      <c r="AGX291" s="1069"/>
      <c r="AGY291" s="1069"/>
      <c r="AGZ291" s="1069"/>
      <c r="AHA291" s="1069"/>
      <c r="AHB291" s="1069"/>
      <c r="AHC291" s="1069"/>
      <c r="AHD291" s="1069"/>
      <c r="AHE291" s="1069"/>
      <c r="AHF291" s="1069"/>
      <c r="AHG291" s="1069"/>
      <c r="AHH291" s="1069"/>
      <c r="AHI291" s="1069"/>
      <c r="AHJ291" s="1069"/>
      <c r="AHK291" s="1069"/>
      <c r="AHL291" s="1069"/>
      <c r="AHM291" s="1069"/>
      <c r="AHN291" s="1069"/>
      <c r="AHO291" s="1069"/>
      <c r="AHP291" s="1069"/>
      <c r="AHQ291" s="1069"/>
      <c r="AHR291" s="1069"/>
      <c r="AHS291" s="1069"/>
      <c r="AHT291" s="1069"/>
      <c r="AHU291" s="1069"/>
      <c r="AHV291" s="1069"/>
      <c r="AHW291" s="1069"/>
      <c r="AHX291" s="1069"/>
      <c r="AHY291" s="1069"/>
      <c r="AHZ291" s="1069"/>
      <c r="AIA291" s="1069"/>
      <c r="AIB291" s="1069"/>
      <c r="AIC291" s="1069"/>
      <c r="AID291" s="1069"/>
      <c r="AIE291" s="1069"/>
      <c r="AIF291" s="1069"/>
      <c r="AIG291" s="1069"/>
      <c r="AIH291" s="1069"/>
      <c r="AII291" s="1069"/>
      <c r="AIJ291" s="1069"/>
      <c r="AIK291" s="1069"/>
      <c r="AIL291" s="1069"/>
      <c r="AIM291" s="1069"/>
      <c r="AIN291" s="1069"/>
      <c r="AIO291" s="1069"/>
      <c r="AIP291" s="1069"/>
      <c r="AIQ291" s="1069"/>
      <c r="AIR291" s="1069"/>
      <c r="AIS291" s="1069"/>
      <c r="AIT291" s="1069"/>
      <c r="AIU291" s="1069"/>
      <c r="AIV291" s="1069"/>
      <c r="AIW291" s="1069"/>
      <c r="AIX291" s="1069"/>
      <c r="AIY291" s="1069"/>
      <c r="AIZ291" s="1069"/>
      <c r="AJA291" s="1069"/>
      <c r="AJB291" s="1069"/>
      <c r="AJC291" s="1069"/>
      <c r="AJD291" s="1069"/>
      <c r="AJE291" s="1069"/>
      <c r="AJF291" s="1069"/>
      <c r="AJG291" s="1069"/>
      <c r="AJH291" s="1069"/>
      <c r="AJI291" s="1069"/>
      <c r="AJJ291" s="1069"/>
      <c r="AJK291" s="1069"/>
      <c r="AJL291" s="1069"/>
      <c r="AJM291" s="1069"/>
      <c r="AJN291" s="1069"/>
      <c r="AJO291" s="1069"/>
      <c r="AJP291" s="1069"/>
      <c r="AJQ291" s="1069"/>
      <c r="AJR291" s="1069"/>
      <c r="AJS291" s="1069"/>
      <c r="AJT291" s="1069"/>
      <c r="AJU291" s="1069"/>
      <c r="AJV291" s="1069"/>
      <c r="AJW291" s="1069"/>
      <c r="AJX291" s="1069"/>
      <c r="AJY291" s="1069"/>
      <c r="AJZ291" s="1069"/>
      <c r="AKA291" s="1069"/>
      <c r="AKB291" s="1069"/>
      <c r="AKC291" s="1069"/>
      <c r="AKD291" s="1069"/>
      <c r="AKE291" s="1069"/>
      <c r="AKF291" s="1069"/>
      <c r="AKG291" s="1069"/>
      <c r="AKH291" s="1069"/>
      <c r="AKI291" s="1069"/>
      <c r="AKJ291" s="1069"/>
      <c r="AKK291" s="1069"/>
      <c r="AKL291" s="1069"/>
      <c r="AKM291" s="1069"/>
      <c r="AKN291" s="1069"/>
      <c r="AKO291" s="1069"/>
      <c r="AKP291" s="1069"/>
      <c r="AKQ291" s="1069"/>
      <c r="AKR291" s="1069"/>
      <c r="AKS291" s="1069"/>
      <c r="AKT291" s="1069"/>
      <c r="AKU291" s="1069"/>
      <c r="AKV291" s="1069"/>
      <c r="AKW291" s="1069"/>
      <c r="AKX291" s="1069"/>
      <c r="AKY291" s="1069"/>
      <c r="AKZ291" s="1069"/>
      <c r="ALA291" s="1069"/>
      <c r="ALB291" s="1069"/>
      <c r="ALC291" s="1069"/>
      <c r="ALD291" s="1069"/>
      <c r="ALE291" s="1069"/>
      <c r="ALF291" s="1069"/>
      <c r="ALG291" s="1069"/>
      <c r="ALH291" s="1069"/>
      <c r="ALI291" s="1069"/>
      <c r="ALJ291" s="1069"/>
      <c r="ALK291" s="1069"/>
      <c r="ALL291" s="1069"/>
      <c r="ALM291" s="1069"/>
      <c r="ALN291" s="1069"/>
      <c r="ALO291" s="1069"/>
      <c r="ALP291" s="1069"/>
      <c r="ALQ291" s="1069"/>
      <c r="ALR291" s="1069"/>
      <c r="ALS291" s="1069"/>
      <c r="ALT291" s="1069"/>
      <c r="ALU291" s="1069"/>
      <c r="ALV291" s="1069"/>
      <c r="ALW291" s="1069"/>
      <c r="ALX291" s="1069"/>
      <c r="ALY291" s="1069"/>
      <c r="ALZ291" s="1069"/>
      <c r="AMA291" s="1069"/>
      <c r="AMB291" s="1069"/>
      <c r="AMC291" s="1069"/>
      <c r="AMD291" s="1069"/>
      <c r="AME291" s="1069"/>
      <c r="AMF291" s="1069"/>
      <c r="AMG291" s="1069"/>
      <c r="AMH291" s="1069"/>
      <c r="AMI291" s="1069"/>
      <c r="AMJ291" s="1069"/>
      <c r="AMK291" s="1069"/>
      <c r="AML291" s="1069"/>
      <c r="AMM291" s="1069"/>
      <c r="AMN291" s="1069"/>
      <c r="AMO291" s="1069"/>
      <c r="AMP291" s="1069"/>
      <c r="AMQ291" s="1069"/>
      <c r="AMR291" s="1069"/>
      <c r="AMS291" s="1069"/>
      <c r="AMT291" s="1069"/>
      <c r="AMU291" s="1069"/>
      <c r="AMV291" s="1069"/>
      <c r="AMW291" s="1069"/>
      <c r="AMX291" s="1069"/>
      <c r="AMY291" s="1069"/>
      <c r="AMZ291" s="1069"/>
      <c r="ANA291" s="1069"/>
      <c r="ANB291" s="1069"/>
      <c r="ANC291" s="1069"/>
      <c r="AND291" s="1069"/>
      <c r="ANE291" s="1069"/>
      <c r="ANF291" s="1069"/>
      <c r="ANG291" s="1069"/>
      <c r="ANH291" s="1069"/>
      <c r="ANI291" s="1069"/>
      <c r="ANJ291" s="1069"/>
      <c r="ANK291" s="1069"/>
      <c r="ANL291" s="1069"/>
      <c r="ANM291" s="1069"/>
      <c r="ANN291" s="1069"/>
      <c r="ANO291" s="1069"/>
      <c r="ANP291" s="1069"/>
      <c r="ANQ291" s="1069"/>
      <c r="ANR291" s="1069"/>
      <c r="ANS291" s="1069"/>
      <c r="ANT291" s="1069"/>
      <c r="ANU291" s="1069"/>
      <c r="ANV291" s="1069"/>
      <c r="ANW291" s="1069"/>
      <c r="ANX291" s="1069"/>
      <c r="ANY291" s="1069"/>
      <c r="ANZ291" s="1069"/>
      <c r="AOA291" s="1069"/>
      <c r="AOB291" s="1069"/>
      <c r="AOC291" s="1069"/>
      <c r="AOD291" s="1069"/>
      <c r="AOE291" s="1069"/>
      <c r="AOF291" s="1069"/>
      <c r="AOG291" s="1069"/>
      <c r="AOH291" s="1069"/>
      <c r="AOI291" s="1069"/>
      <c r="AOJ291" s="1069"/>
      <c r="AOK291" s="1069"/>
      <c r="AOL291" s="1069"/>
      <c r="AOM291" s="1069"/>
      <c r="AON291" s="1069"/>
      <c r="AOO291" s="1069"/>
      <c r="AOP291" s="1069"/>
      <c r="AOQ291" s="1069"/>
      <c r="AOR291" s="1069"/>
      <c r="AOS291" s="1069"/>
      <c r="AOT291" s="1069"/>
      <c r="AOU291" s="1069"/>
      <c r="AOV291" s="1069"/>
      <c r="AOW291" s="1069"/>
      <c r="AOX291" s="1069"/>
      <c r="AOY291" s="1069"/>
      <c r="AOZ291" s="1069"/>
      <c r="APA291" s="1069"/>
      <c r="APB291" s="1069"/>
      <c r="APC291" s="1069"/>
      <c r="APD291" s="1069"/>
      <c r="APE291" s="1069"/>
      <c r="APF291" s="1069"/>
      <c r="APG291" s="1069"/>
      <c r="APH291" s="1069"/>
      <c r="API291" s="1069"/>
      <c r="APJ291" s="1069"/>
      <c r="APK291" s="1069"/>
      <c r="APL291" s="1069"/>
      <c r="APM291" s="1069"/>
      <c r="APN291" s="1069"/>
      <c r="APO291" s="1069"/>
      <c r="APP291" s="1069"/>
      <c r="APQ291" s="1069"/>
      <c r="APR291" s="1069"/>
      <c r="APS291" s="1069"/>
      <c r="APT291" s="1069"/>
      <c r="APU291" s="1069"/>
      <c r="APV291" s="1069"/>
      <c r="APW291" s="1069"/>
      <c r="APX291" s="1069"/>
      <c r="APY291" s="1069"/>
      <c r="APZ291" s="1069"/>
      <c r="AQA291" s="1069"/>
      <c r="AQB291" s="1069"/>
      <c r="AQC291" s="1069"/>
      <c r="AQD291" s="1069"/>
      <c r="AQE291" s="1069"/>
      <c r="AQF291" s="1069"/>
      <c r="AQG291" s="1069"/>
      <c r="AQH291" s="1069"/>
      <c r="AQI291" s="1069"/>
      <c r="AQJ291" s="1069"/>
      <c r="AQK291" s="1069"/>
      <c r="AQL291" s="1069"/>
      <c r="AQM291" s="1069"/>
      <c r="AQN291" s="1069"/>
      <c r="AQO291" s="1069"/>
      <c r="AQP291" s="1069"/>
      <c r="AQQ291" s="1069"/>
      <c r="AQR291" s="1069"/>
      <c r="AQS291" s="1069"/>
      <c r="AQT291" s="1069"/>
      <c r="AQU291" s="1069"/>
      <c r="AQV291" s="1069"/>
      <c r="AQW291" s="1069"/>
      <c r="AQX291" s="1069"/>
      <c r="AQY291" s="1069"/>
      <c r="AQZ291" s="1069"/>
      <c r="ARA291" s="1069"/>
      <c r="ARB291" s="1069"/>
      <c r="ARC291" s="1069"/>
      <c r="ARD291" s="1069"/>
      <c r="ARE291" s="1069"/>
      <c r="ARF291" s="1069"/>
      <c r="ARG291" s="1069"/>
      <c r="ARH291" s="1069"/>
      <c r="ARI291" s="1069"/>
      <c r="ARJ291" s="1069"/>
      <c r="ARK291" s="1069"/>
      <c r="ARL291" s="1069"/>
      <c r="ARM291" s="1069"/>
      <c r="ARN291" s="1069"/>
      <c r="ARO291" s="1069"/>
      <c r="ARP291" s="1069"/>
      <c r="ARQ291" s="1069"/>
      <c r="ARR291" s="1069"/>
      <c r="ARS291" s="1069"/>
      <c r="ART291" s="1069"/>
      <c r="ARU291" s="1069"/>
      <c r="ARV291" s="1069"/>
      <c r="ARW291" s="1069"/>
      <c r="ARX291" s="1069"/>
      <c r="ARY291" s="1069"/>
      <c r="ARZ291" s="1069"/>
      <c r="ASA291" s="1069"/>
      <c r="ASB291" s="1069"/>
      <c r="ASC291" s="1069"/>
      <c r="ASD291" s="1069"/>
      <c r="ASE291" s="1069"/>
      <c r="ASF291" s="1069"/>
      <c r="ASG291" s="1069"/>
      <c r="ASH291" s="1069"/>
      <c r="ASI291" s="1069"/>
      <c r="ASJ291" s="1069"/>
      <c r="ASK291" s="1069"/>
      <c r="ASL291" s="1069"/>
      <c r="ASM291" s="1069"/>
      <c r="ASN291" s="1069"/>
      <c r="ASO291" s="1069"/>
      <c r="ASP291" s="1069"/>
      <c r="ASQ291" s="1069"/>
      <c r="ASR291" s="1069"/>
      <c r="ASS291" s="1069"/>
      <c r="AST291" s="1069"/>
      <c r="ASU291" s="1069"/>
      <c r="ASV291" s="1069"/>
      <c r="ASW291" s="1069"/>
      <c r="ASX291" s="1069"/>
      <c r="ASY291" s="1069"/>
      <c r="ASZ291" s="1069"/>
      <c r="ATA291" s="1069"/>
      <c r="ATB291" s="1069"/>
      <c r="ATC291" s="1069"/>
      <c r="ATD291" s="1069"/>
      <c r="ATE291" s="1069"/>
      <c r="ATF291" s="1069"/>
      <c r="ATG291" s="1069"/>
      <c r="ATH291" s="1069"/>
      <c r="ATI291" s="1069"/>
      <c r="ATJ291" s="1069"/>
      <c r="ATK291" s="1069"/>
      <c r="ATL291" s="1069"/>
      <c r="ATM291" s="1069"/>
      <c r="ATN291" s="1069"/>
      <c r="ATO291" s="1069"/>
      <c r="ATP291" s="1069"/>
      <c r="ATQ291" s="1069"/>
      <c r="ATR291" s="1069"/>
      <c r="ATS291" s="1069"/>
      <c r="ATT291" s="1069"/>
      <c r="ATU291" s="1069"/>
      <c r="ATV291" s="1069"/>
      <c r="ATW291" s="1069"/>
      <c r="ATX291" s="1069"/>
      <c r="ATY291" s="1069"/>
      <c r="ATZ291" s="1069"/>
      <c r="AUA291" s="1069"/>
      <c r="AUB291" s="1069"/>
      <c r="AUC291" s="1069"/>
      <c r="AUD291" s="1069"/>
      <c r="AUE291" s="1069"/>
      <c r="AUF291" s="1069"/>
      <c r="AUG291" s="1069"/>
      <c r="AUH291" s="1069"/>
      <c r="AUI291" s="1069"/>
      <c r="AUJ291" s="1069"/>
      <c r="AUK291" s="1069"/>
      <c r="AUL291" s="1069"/>
      <c r="AUM291" s="1069"/>
      <c r="AUN291" s="1069"/>
      <c r="AUO291" s="1069"/>
      <c r="AUP291" s="1069"/>
      <c r="AUQ291" s="1069"/>
      <c r="AUR291" s="1069"/>
      <c r="AUS291" s="1069"/>
      <c r="AUT291" s="1069"/>
      <c r="AUU291" s="1069"/>
      <c r="AUV291" s="1069"/>
      <c r="AUW291" s="1069"/>
      <c r="AUX291" s="1069"/>
      <c r="AUY291" s="1069"/>
      <c r="AUZ291" s="1069"/>
      <c r="AVA291" s="1069"/>
      <c r="AVB291" s="1069"/>
      <c r="AVC291" s="1069"/>
      <c r="AVD291" s="1069"/>
      <c r="AVE291" s="1069"/>
      <c r="AVF291" s="1069"/>
      <c r="AVG291" s="1069"/>
      <c r="AVH291" s="1069"/>
      <c r="AVI291" s="1069"/>
      <c r="AVJ291" s="1069"/>
      <c r="AVK291" s="1069"/>
      <c r="AVL291" s="1069"/>
      <c r="AVM291" s="1069"/>
      <c r="AVN291" s="1069"/>
      <c r="AVO291" s="1069"/>
      <c r="AVP291" s="1069"/>
      <c r="AVQ291" s="1069"/>
      <c r="AVR291" s="1069"/>
      <c r="AVS291" s="1069"/>
      <c r="AVT291" s="1069"/>
      <c r="AVU291" s="1069"/>
      <c r="AVV291" s="1069"/>
      <c r="AVW291" s="1069"/>
      <c r="AVX291" s="1069"/>
      <c r="AVY291" s="1069"/>
      <c r="AVZ291" s="1069"/>
      <c r="AWA291" s="1069"/>
      <c r="AWB291" s="1069"/>
      <c r="AWC291" s="1069"/>
      <c r="AWD291" s="1069"/>
      <c r="AWE291" s="1069"/>
      <c r="AWF291" s="1069"/>
      <c r="AWG291" s="1069"/>
      <c r="AWH291" s="1069"/>
      <c r="AWI291" s="1069"/>
      <c r="AWJ291" s="1069"/>
      <c r="AWK291" s="1069"/>
      <c r="AWL291" s="1069"/>
      <c r="AWM291" s="1069"/>
      <c r="AWN291" s="1069"/>
      <c r="AWO291" s="1069"/>
      <c r="AWP291" s="1069"/>
      <c r="AWQ291" s="1069"/>
      <c r="AWR291" s="1069"/>
      <c r="AWS291" s="1069"/>
      <c r="AWT291" s="1069"/>
      <c r="AWU291" s="1069"/>
      <c r="AWV291" s="1069"/>
      <c r="AWW291" s="1069"/>
      <c r="AWX291" s="1069"/>
      <c r="AWY291" s="1069"/>
      <c r="AWZ291" s="1069"/>
      <c r="AXA291" s="1069"/>
      <c r="AXB291" s="1069"/>
      <c r="AXC291" s="1069"/>
      <c r="AXD291" s="1069"/>
      <c r="AXE291" s="1069"/>
      <c r="AXF291" s="1069"/>
      <c r="AXG291" s="1069"/>
      <c r="AXH291" s="1069"/>
      <c r="AXI291" s="1069"/>
      <c r="AXJ291" s="1069"/>
      <c r="AXK291" s="1069"/>
      <c r="AXL291" s="1069"/>
      <c r="AXM291" s="1069"/>
      <c r="AXN291" s="1069"/>
      <c r="AXO291" s="1069"/>
      <c r="AXP291" s="1069"/>
      <c r="AXQ291" s="1069"/>
      <c r="AXR291" s="1069"/>
      <c r="AXS291" s="1069"/>
      <c r="AXT291" s="1069"/>
      <c r="AXU291" s="1069"/>
      <c r="AXV291" s="1069"/>
      <c r="AXW291" s="1069"/>
      <c r="AXX291" s="1069"/>
      <c r="AXY291" s="1069"/>
      <c r="AXZ291" s="1069"/>
      <c r="AYA291" s="1069"/>
      <c r="AYB291" s="1069"/>
      <c r="AYC291" s="1069"/>
      <c r="AYD291" s="1069"/>
      <c r="AYE291" s="1069"/>
      <c r="AYF291" s="1069"/>
      <c r="AYG291" s="1069"/>
      <c r="AYH291" s="1069"/>
      <c r="AYI291" s="1069"/>
      <c r="AYJ291" s="1069"/>
      <c r="AYK291" s="1069"/>
      <c r="AYL291" s="1069"/>
      <c r="AYM291" s="1069"/>
      <c r="AYN291" s="1069"/>
      <c r="AYO291" s="1069"/>
      <c r="AYP291" s="1069"/>
      <c r="AYQ291" s="1069"/>
      <c r="AYR291" s="1069"/>
      <c r="AYS291" s="1069"/>
      <c r="AYT291" s="1069"/>
      <c r="AYU291" s="1069"/>
      <c r="AYV291" s="1069"/>
      <c r="AYW291" s="1069"/>
      <c r="AYX291" s="1069"/>
      <c r="AYY291" s="1069"/>
      <c r="AYZ291" s="1069"/>
      <c r="AZA291" s="1069"/>
      <c r="AZB291" s="1069"/>
      <c r="AZC291" s="1069"/>
      <c r="AZD291" s="1069"/>
      <c r="AZE291" s="1069"/>
      <c r="AZF291" s="1069"/>
      <c r="AZG291" s="1069"/>
      <c r="AZH291" s="1069"/>
      <c r="AZI291" s="1069"/>
      <c r="AZJ291" s="1069"/>
      <c r="AZK291" s="1069"/>
      <c r="AZL291" s="1069"/>
      <c r="AZM291" s="1069"/>
      <c r="AZN291" s="1069"/>
      <c r="AZO291" s="1069"/>
      <c r="AZP291" s="1069"/>
      <c r="AZQ291" s="1069"/>
      <c r="AZR291" s="1069"/>
      <c r="AZS291" s="1069"/>
      <c r="AZT291" s="1069"/>
      <c r="AZU291" s="1069"/>
      <c r="AZV291" s="1069"/>
      <c r="AZW291" s="1069"/>
      <c r="AZX291" s="1069"/>
      <c r="AZY291" s="1069"/>
      <c r="AZZ291" s="1069"/>
      <c r="BAA291" s="1069"/>
      <c r="BAB291" s="1069"/>
      <c r="BAC291" s="1069"/>
      <c r="BAD291" s="1069"/>
      <c r="BAE291" s="1069"/>
      <c r="BAF291" s="1069"/>
      <c r="BAG291" s="1069"/>
      <c r="BAH291" s="1069"/>
      <c r="BAI291" s="1069"/>
      <c r="BAJ291" s="1069"/>
      <c r="BAK291" s="1069"/>
      <c r="BAL291" s="1069"/>
      <c r="BAM291" s="1069"/>
      <c r="BAN291" s="1069"/>
      <c r="BAO291" s="1069"/>
      <c r="BAP291" s="1069"/>
      <c r="BAQ291" s="1069"/>
      <c r="BAR291" s="1069"/>
      <c r="BAS291" s="1069"/>
      <c r="BAT291" s="1069"/>
      <c r="BAU291" s="1069"/>
      <c r="BAV291" s="1069"/>
      <c r="BAW291" s="1069"/>
      <c r="BAX291" s="1069"/>
      <c r="BAY291" s="1069"/>
      <c r="BAZ291" s="1069"/>
      <c r="BBA291" s="1069"/>
      <c r="BBB291" s="1069"/>
      <c r="BBC291" s="1069"/>
      <c r="BBD291" s="1069"/>
      <c r="BBE291" s="1069"/>
      <c r="BBF291" s="1069"/>
      <c r="BBG291" s="1069"/>
      <c r="BBH291" s="1069"/>
      <c r="BBI291" s="1069"/>
      <c r="BBJ291" s="1069"/>
      <c r="BBK291" s="1069"/>
      <c r="BBL291" s="1069"/>
      <c r="BBM291" s="1069"/>
      <c r="BBN291" s="1069"/>
      <c r="BBO291" s="1069"/>
      <c r="BBP291" s="1069"/>
      <c r="BBQ291" s="1069"/>
      <c r="BBR291" s="1069"/>
      <c r="BBS291" s="1069"/>
      <c r="BBT291" s="1069"/>
      <c r="BBU291" s="1069"/>
      <c r="BBV291" s="1069"/>
      <c r="BBW291" s="1069"/>
      <c r="BBX291" s="1069"/>
      <c r="BBY291" s="1069"/>
      <c r="BBZ291" s="1069"/>
      <c r="BCA291" s="1069"/>
      <c r="BCB291" s="1069"/>
      <c r="BCC291" s="1069"/>
      <c r="BCD291" s="1069"/>
      <c r="BCE291" s="1069"/>
      <c r="BCF291" s="1069"/>
      <c r="BCG291" s="1069"/>
      <c r="BCH291" s="1069"/>
      <c r="BCI291" s="1069"/>
      <c r="BCJ291" s="1069"/>
      <c r="BCK291" s="1069"/>
      <c r="BCL291" s="1069"/>
      <c r="BCM291" s="1069"/>
      <c r="BCN291" s="1069"/>
      <c r="BCO291" s="1069"/>
      <c r="BCP291" s="1069"/>
      <c r="BCQ291" s="1069"/>
      <c r="BCR291" s="1069"/>
      <c r="BCS291" s="1069"/>
      <c r="BCT291" s="1069"/>
      <c r="BCU291" s="1069"/>
      <c r="BCV291" s="1069"/>
      <c r="BCW291" s="1069"/>
      <c r="BCX291" s="1069"/>
      <c r="BCY291" s="1069"/>
      <c r="BCZ291" s="1069"/>
      <c r="BDA291" s="1069"/>
      <c r="BDB291" s="1069"/>
      <c r="BDC291" s="1069"/>
      <c r="BDD291" s="1069"/>
      <c r="BDE291" s="1069"/>
      <c r="BDF291" s="1069"/>
      <c r="BDG291" s="1069"/>
      <c r="BDH291" s="1069"/>
      <c r="BDI291" s="1069"/>
      <c r="BDJ291" s="1069"/>
      <c r="BDK291" s="1069"/>
      <c r="BDL291" s="1069"/>
      <c r="BDM291" s="1069"/>
      <c r="BDN291" s="1069"/>
      <c r="BDO291" s="1069"/>
      <c r="BDP291" s="1069"/>
      <c r="BDQ291" s="1069"/>
      <c r="BDR291" s="1069"/>
      <c r="BDS291" s="1069"/>
      <c r="BDT291" s="1069"/>
      <c r="BDU291" s="1069"/>
      <c r="BDV291" s="1069"/>
      <c r="BDW291" s="1069"/>
      <c r="BDX291" s="1069"/>
      <c r="BDY291" s="1069"/>
      <c r="BDZ291" s="1069"/>
      <c r="BEA291" s="1069"/>
      <c r="BEB291" s="1069"/>
      <c r="BEC291" s="1069"/>
      <c r="BED291" s="1069"/>
      <c r="BEE291" s="1069"/>
      <c r="BEF291" s="1069"/>
      <c r="BEG291" s="1069"/>
      <c r="BEH291" s="1069"/>
      <c r="BEI291" s="1069"/>
      <c r="BEJ291" s="1069"/>
      <c r="BEK291" s="1069"/>
      <c r="BEL291" s="1069"/>
      <c r="BEM291" s="1069"/>
      <c r="BEN291" s="1069"/>
      <c r="BEO291" s="1069"/>
      <c r="BEP291" s="1069"/>
      <c r="BEQ291" s="1069"/>
      <c r="BER291" s="1069"/>
      <c r="BES291" s="1069"/>
      <c r="BET291" s="1069"/>
      <c r="BEU291" s="1069"/>
      <c r="BEV291" s="1069"/>
      <c r="BEW291" s="1069"/>
      <c r="BEX291" s="1069"/>
      <c r="BEY291" s="1069"/>
      <c r="BEZ291" s="1069"/>
      <c r="BFA291" s="1069"/>
      <c r="BFB291" s="1069"/>
      <c r="BFC291" s="1069"/>
      <c r="BFD291" s="1069"/>
      <c r="BFE291" s="1069"/>
      <c r="BFF291" s="1069"/>
      <c r="BFG291" s="1069"/>
      <c r="BFH291" s="1069"/>
      <c r="BFI291" s="1069"/>
      <c r="BFJ291" s="1069"/>
      <c r="BFK291" s="1069"/>
      <c r="BFL291" s="1069"/>
      <c r="BFM291" s="1069"/>
      <c r="BFN291" s="1069"/>
      <c r="BFO291" s="1069"/>
      <c r="BFP291" s="1069"/>
      <c r="BFQ291" s="1069"/>
      <c r="BFR291" s="1069"/>
      <c r="BFS291" s="1069"/>
      <c r="BFT291" s="1069"/>
      <c r="BFU291" s="1069"/>
      <c r="BFV291" s="1069"/>
      <c r="BFW291" s="1069"/>
      <c r="BFX291" s="1069"/>
      <c r="BFY291" s="1069"/>
      <c r="BFZ291" s="1069"/>
      <c r="BGA291" s="1069"/>
      <c r="BGB291" s="1069"/>
      <c r="BGC291" s="1069"/>
      <c r="BGD291" s="1069"/>
      <c r="BGE291" s="1069"/>
      <c r="BGF291" s="1069"/>
      <c r="BGG291" s="1069"/>
      <c r="BGH291" s="1069"/>
      <c r="BGI291" s="1069"/>
      <c r="BGJ291" s="1069"/>
      <c r="BGK291" s="1069"/>
      <c r="BGL291" s="1069"/>
      <c r="BGM291" s="1069"/>
      <c r="BGN291" s="1069"/>
      <c r="BGO291" s="1069"/>
      <c r="BGP291" s="1069"/>
      <c r="BGQ291" s="1069"/>
      <c r="BGR291" s="1069"/>
      <c r="BGS291" s="1069"/>
      <c r="BGT291" s="1069"/>
      <c r="BGU291" s="1069"/>
      <c r="BGV291" s="1069"/>
      <c r="BGW291" s="1069"/>
      <c r="BGX291" s="1069"/>
      <c r="BGY291" s="1069"/>
      <c r="BGZ291" s="1069"/>
      <c r="BHA291" s="1069"/>
      <c r="BHB291" s="1069"/>
      <c r="BHC291" s="1069"/>
      <c r="BHD291" s="1069"/>
      <c r="BHE291" s="1069"/>
      <c r="BHF291" s="1069"/>
      <c r="BHG291" s="1069"/>
      <c r="BHH291" s="1069"/>
      <c r="BHI291" s="1069"/>
      <c r="BHJ291" s="1069"/>
      <c r="BHK291" s="1069"/>
      <c r="BHL291" s="1069"/>
      <c r="BHM291" s="1069"/>
      <c r="BHN291" s="1069"/>
      <c r="BHO291" s="1069"/>
      <c r="BHP291" s="1069"/>
      <c r="BHQ291" s="1069"/>
      <c r="BHR291" s="1069"/>
      <c r="BHS291" s="1069"/>
      <c r="BHT291" s="1069"/>
      <c r="BHU291" s="1069"/>
      <c r="BHV291" s="1069"/>
      <c r="BHW291" s="1069"/>
      <c r="BHX291" s="1069"/>
      <c r="BHY291" s="1069"/>
      <c r="BHZ291" s="1069"/>
      <c r="BIA291" s="1069"/>
      <c r="BIB291" s="1069"/>
      <c r="BIC291" s="1069"/>
      <c r="BID291" s="1069"/>
      <c r="BIE291" s="1069"/>
      <c r="BIF291" s="1069"/>
      <c r="BIG291" s="1069"/>
      <c r="BIH291" s="1069"/>
      <c r="BII291" s="1069"/>
      <c r="BIJ291" s="1069"/>
      <c r="BIK291" s="1069"/>
      <c r="BIL291" s="1069"/>
      <c r="BIM291" s="1069"/>
      <c r="BIN291" s="1069"/>
      <c r="BIO291" s="1069"/>
      <c r="BIP291" s="1069"/>
      <c r="BIQ291" s="1069"/>
      <c r="BIR291" s="1069"/>
      <c r="BIS291" s="1069"/>
      <c r="BIT291" s="1069"/>
      <c r="BIU291" s="1069"/>
      <c r="BIV291" s="1069"/>
      <c r="BIW291" s="1069"/>
      <c r="BIX291" s="1069"/>
      <c r="BIY291" s="1069"/>
      <c r="BIZ291" s="1069"/>
      <c r="BJA291" s="1069"/>
      <c r="BJB291" s="1069"/>
      <c r="BJC291" s="1069"/>
      <c r="BJD291" s="1069"/>
      <c r="BJE291" s="1069"/>
      <c r="BJF291" s="1069"/>
      <c r="BJG291" s="1069"/>
      <c r="BJH291" s="1069"/>
      <c r="BJI291" s="1069"/>
      <c r="BJJ291" s="1069"/>
      <c r="BJK291" s="1069"/>
      <c r="BJL291" s="1069"/>
      <c r="BJM291" s="1069"/>
      <c r="BJN291" s="1069"/>
      <c r="BJO291" s="1069"/>
      <c r="BJP291" s="1069"/>
      <c r="BJQ291" s="1069"/>
      <c r="BJR291" s="1069"/>
      <c r="BJS291" s="1069"/>
      <c r="BJT291" s="1069"/>
      <c r="BJU291" s="1069"/>
      <c r="BJV291" s="1069"/>
      <c r="BJW291" s="1069"/>
      <c r="BJX291" s="1069"/>
      <c r="BJY291" s="1069"/>
      <c r="BJZ291" s="1069"/>
      <c r="BKA291" s="1069"/>
      <c r="BKB291" s="1069"/>
      <c r="BKC291" s="1069"/>
      <c r="BKD291" s="1069"/>
      <c r="BKE291" s="1069"/>
      <c r="BKF291" s="1069"/>
      <c r="BKG291" s="1069"/>
      <c r="BKH291" s="1069"/>
      <c r="BKI291" s="1069"/>
      <c r="BKJ291" s="1069"/>
      <c r="BKK291" s="1069"/>
      <c r="BKL291" s="1069"/>
      <c r="BKM291" s="1069"/>
      <c r="BKN291" s="1069"/>
      <c r="BKO291" s="1069"/>
      <c r="BKP291" s="1069"/>
      <c r="BKQ291" s="1069"/>
      <c r="BKR291" s="1069"/>
      <c r="BKS291" s="1069"/>
      <c r="BKT291" s="1069"/>
      <c r="BKU291" s="1069"/>
      <c r="BKV291" s="1069"/>
      <c r="BKW291" s="1069"/>
      <c r="BKX291" s="1069"/>
      <c r="BKY291" s="1069"/>
      <c r="BKZ291" s="1069"/>
      <c r="BLA291" s="1069"/>
      <c r="BLB291" s="1069"/>
      <c r="BLC291" s="1069"/>
      <c r="BLD291" s="1069"/>
      <c r="BLE291" s="1069"/>
      <c r="BLF291" s="1069"/>
      <c r="BLG291" s="1069"/>
      <c r="BLH291" s="1069"/>
      <c r="BLI291" s="1069"/>
      <c r="BLJ291" s="1069"/>
      <c r="BLK291" s="1069"/>
      <c r="BLL291" s="1069"/>
      <c r="BLM291" s="1069"/>
      <c r="BLN291" s="1069"/>
      <c r="BLO291" s="1069"/>
      <c r="BLP291" s="1069"/>
      <c r="BLQ291" s="1069"/>
      <c r="BLR291" s="1069"/>
      <c r="BLS291" s="1069"/>
      <c r="BLT291" s="1069"/>
      <c r="BLU291" s="1069"/>
      <c r="BLV291" s="1069"/>
      <c r="BLW291" s="1069"/>
      <c r="BLX291" s="1069"/>
      <c r="BLY291" s="1069"/>
      <c r="BLZ291" s="1069"/>
      <c r="BMA291" s="1069"/>
      <c r="BMB291" s="1069"/>
      <c r="BMC291" s="1069"/>
      <c r="BMD291" s="1069"/>
      <c r="BME291" s="1069"/>
      <c r="BMF291" s="1069"/>
      <c r="BMG291" s="1069"/>
      <c r="BMH291" s="1069"/>
      <c r="BMI291" s="1069"/>
      <c r="BMJ291" s="1069"/>
      <c r="BMK291" s="1069"/>
      <c r="BML291" s="1069"/>
      <c r="BMM291" s="1069"/>
      <c r="BMN291" s="1069"/>
      <c r="BMO291" s="1069"/>
      <c r="BMP291" s="1069"/>
      <c r="BMQ291" s="1069"/>
      <c r="BMR291" s="1069"/>
      <c r="BMS291" s="1069"/>
      <c r="BMT291" s="1069"/>
      <c r="BMU291" s="1069"/>
      <c r="BMV291" s="1069"/>
      <c r="BMW291" s="1069"/>
      <c r="BMX291" s="1069"/>
      <c r="BMY291" s="1069"/>
      <c r="BMZ291" s="1069"/>
      <c r="BNA291" s="1069"/>
      <c r="BNB291" s="1069"/>
      <c r="BNC291" s="1069"/>
      <c r="BND291" s="1069"/>
      <c r="BNE291" s="1069"/>
      <c r="BNF291" s="1069"/>
      <c r="BNG291" s="1069"/>
      <c r="BNH291" s="1069"/>
      <c r="BNI291" s="1069"/>
      <c r="BNJ291" s="1069"/>
      <c r="BNK291" s="1069"/>
      <c r="BNL291" s="1069"/>
      <c r="BNM291" s="1069"/>
      <c r="BNN291" s="1069"/>
      <c r="BNO291" s="1069"/>
      <c r="BNP291" s="1069"/>
      <c r="BNQ291" s="1069"/>
      <c r="BNR291" s="1069"/>
      <c r="BNS291" s="1069"/>
      <c r="BNT291" s="1069"/>
      <c r="BNU291" s="1069"/>
      <c r="BNV291" s="1069"/>
      <c r="BNW291" s="1069"/>
      <c r="BNX291" s="1069"/>
      <c r="BNY291" s="1069"/>
      <c r="BNZ291" s="1069"/>
      <c r="BOA291" s="1069"/>
      <c r="BOB291" s="1069"/>
      <c r="BOC291" s="1069"/>
      <c r="BOD291" s="1069"/>
      <c r="BOE291" s="1069"/>
      <c r="BOF291" s="1069"/>
      <c r="BOG291" s="1069"/>
      <c r="BOH291" s="1069"/>
      <c r="BOI291" s="1069"/>
      <c r="BOJ291" s="1069"/>
      <c r="BOK291" s="1069"/>
      <c r="BOL291" s="1069"/>
      <c r="BOM291" s="1069"/>
      <c r="BON291" s="1069"/>
      <c r="BOO291" s="1069"/>
      <c r="BOP291" s="1069"/>
      <c r="BOQ291" s="1069"/>
      <c r="BOR291" s="1069"/>
      <c r="BOS291" s="1069"/>
      <c r="BOT291" s="1069"/>
      <c r="BOU291" s="1069"/>
      <c r="BOV291" s="1069"/>
      <c r="BOW291" s="1069"/>
      <c r="BOX291" s="1069"/>
      <c r="BOY291" s="1069"/>
      <c r="BOZ291" s="1069"/>
      <c r="BPA291" s="1069"/>
      <c r="BPB291" s="1069"/>
      <c r="BPC291" s="1069"/>
      <c r="BPD291" s="1069"/>
      <c r="BPE291" s="1069"/>
      <c r="BPF291" s="1069"/>
      <c r="BPG291" s="1069"/>
      <c r="BPH291" s="1069"/>
      <c r="BPI291" s="1069"/>
      <c r="BPJ291" s="1069"/>
      <c r="BPK291" s="1069"/>
      <c r="BPL291" s="1069"/>
      <c r="BPM291" s="1069"/>
      <c r="BPN291" s="1069"/>
      <c r="BPO291" s="1069"/>
      <c r="BPP291" s="1069"/>
      <c r="BPQ291" s="1069"/>
      <c r="BPR291" s="1069"/>
      <c r="BPS291" s="1069"/>
      <c r="BPT291" s="1069"/>
      <c r="BPU291" s="1069"/>
      <c r="BPV291" s="1069"/>
      <c r="BPW291" s="1069"/>
      <c r="BPX291" s="1069"/>
      <c r="BPY291" s="1069"/>
      <c r="BPZ291" s="1069"/>
      <c r="BQA291" s="1069"/>
      <c r="BQB291" s="1069"/>
      <c r="BQC291" s="1069"/>
      <c r="BQD291" s="1069"/>
      <c r="BQE291" s="1069"/>
      <c r="BQF291" s="1069"/>
      <c r="BQG291" s="1069"/>
      <c r="BQH291" s="1069"/>
      <c r="BQI291" s="1069"/>
      <c r="BQJ291" s="1069"/>
      <c r="BQK291" s="1069"/>
      <c r="BQL291" s="1069"/>
      <c r="BQM291" s="1069"/>
      <c r="BQN291" s="1069"/>
      <c r="BQO291" s="1069"/>
      <c r="BQP291" s="1069"/>
      <c r="BQQ291" s="1069"/>
      <c r="BQR291" s="1069"/>
      <c r="BQS291" s="1069"/>
      <c r="BQT291" s="1069"/>
      <c r="BQU291" s="1069"/>
      <c r="BQV291" s="1069"/>
      <c r="BQW291" s="1069"/>
      <c r="BQX291" s="1069"/>
      <c r="BQY291" s="1069"/>
      <c r="BQZ291" s="1069"/>
      <c r="BRA291" s="1069"/>
      <c r="BRB291" s="1069"/>
      <c r="BRC291" s="1069"/>
      <c r="BRD291" s="1069"/>
      <c r="BRE291" s="1069"/>
      <c r="BRF291" s="1069"/>
      <c r="BRG291" s="1069"/>
      <c r="BRH291" s="1069"/>
      <c r="BRI291" s="1069"/>
      <c r="BRJ291" s="1069"/>
      <c r="BRK291" s="1069"/>
      <c r="BRL291" s="1069"/>
      <c r="BRM291" s="1069"/>
      <c r="BRN291" s="1069"/>
      <c r="BRO291" s="1069"/>
      <c r="BRP291" s="1069"/>
      <c r="BRQ291" s="1069"/>
      <c r="BRR291" s="1069"/>
      <c r="BRS291" s="1069"/>
      <c r="BRT291" s="1069"/>
      <c r="BRU291" s="1069"/>
      <c r="BRV291" s="1069"/>
      <c r="BRW291" s="1069"/>
      <c r="BRX291" s="1069"/>
      <c r="BRY291" s="1069"/>
      <c r="BRZ291" s="1069"/>
      <c r="BSA291" s="1069"/>
      <c r="BSB291" s="1069"/>
      <c r="BSC291" s="1069"/>
      <c r="BSD291" s="1069"/>
      <c r="BSE291" s="1069"/>
      <c r="BSF291" s="1069"/>
      <c r="BSG291" s="1069"/>
      <c r="BSH291" s="1069"/>
      <c r="BSI291" s="1069"/>
      <c r="BSJ291" s="1069"/>
      <c r="BSK291" s="1069"/>
      <c r="BSL291" s="1069"/>
      <c r="BSM291" s="1069"/>
      <c r="BSN291" s="1069"/>
      <c r="BSO291" s="1069"/>
      <c r="BSP291" s="1069"/>
      <c r="BSQ291" s="1069"/>
      <c r="BSR291" s="1069"/>
      <c r="BSS291" s="1069"/>
      <c r="BST291" s="1069"/>
      <c r="BSU291" s="1069"/>
      <c r="BSV291" s="1069"/>
      <c r="BSW291" s="1069"/>
      <c r="BSX291" s="1069"/>
      <c r="BSY291" s="1069"/>
      <c r="BSZ291" s="1069"/>
      <c r="BTA291" s="1069"/>
      <c r="BTB291" s="1069"/>
      <c r="BTC291" s="1069"/>
      <c r="BTD291" s="1069"/>
      <c r="BTE291" s="1069"/>
      <c r="BTF291" s="1069"/>
      <c r="BTG291" s="1069"/>
      <c r="BTH291" s="1069"/>
      <c r="BTI291" s="1069"/>
      <c r="BTJ291" s="1069"/>
      <c r="BTK291" s="1069"/>
      <c r="BTL291" s="1069"/>
      <c r="BTM291" s="1069"/>
      <c r="BTN291" s="1069"/>
      <c r="BTO291" s="1069"/>
      <c r="BTP291" s="1069"/>
      <c r="BTQ291" s="1069"/>
      <c r="BTR291" s="1069"/>
      <c r="BTS291" s="1069"/>
      <c r="BTT291" s="1069"/>
      <c r="BTU291" s="1069"/>
      <c r="BTV291" s="1069"/>
      <c r="BTW291" s="1069"/>
      <c r="BTX291" s="1069"/>
      <c r="BTY291" s="1069"/>
      <c r="BTZ291" s="1069"/>
      <c r="BUA291" s="1069"/>
      <c r="BUB291" s="1069"/>
      <c r="BUC291" s="1069"/>
      <c r="BUD291" s="1069"/>
      <c r="BUE291" s="1069"/>
      <c r="BUF291" s="1069"/>
      <c r="BUG291" s="1069"/>
      <c r="BUH291" s="1069"/>
      <c r="BUI291" s="1069"/>
      <c r="BUJ291" s="1069"/>
      <c r="BUK291" s="1069"/>
      <c r="BUL291" s="1069"/>
      <c r="BUM291" s="1069"/>
      <c r="BUN291" s="1069"/>
      <c r="BUO291" s="1069"/>
      <c r="BUP291" s="1069"/>
      <c r="BUQ291" s="1069"/>
      <c r="BUR291" s="1069"/>
      <c r="BUS291" s="1069"/>
      <c r="BUT291" s="1069"/>
      <c r="BUU291" s="1069"/>
      <c r="BUV291" s="1069"/>
      <c r="BUW291" s="1069"/>
      <c r="BUX291" s="1069"/>
      <c r="BUY291" s="1069"/>
      <c r="BUZ291" s="1069"/>
      <c r="BVA291" s="1069"/>
      <c r="BVB291" s="1069"/>
      <c r="BVC291" s="1069"/>
      <c r="BVD291" s="1069"/>
      <c r="BVE291" s="1069"/>
      <c r="BVF291" s="1069"/>
      <c r="BVG291" s="1069"/>
      <c r="BVH291" s="1069"/>
      <c r="BVI291" s="1069"/>
      <c r="BVJ291" s="1069"/>
      <c r="BVK291" s="1069"/>
      <c r="BVL291" s="1069"/>
      <c r="BVM291" s="1069"/>
      <c r="BVN291" s="1069"/>
      <c r="BVO291" s="1069"/>
      <c r="BVP291" s="1069"/>
      <c r="BVQ291" s="1069"/>
      <c r="BVR291" s="1069"/>
      <c r="BVS291" s="1069"/>
      <c r="BVT291" s="1069"/>
      <c r="BVU291" s="1069"/>
      <c r="BVV291" s="1069"/>
      <c r="BVW291" s="1069"/>
      <c r="BVX291" s="1069"/>
      <c r="BVY291" s="1069"/>
      <c r="BVZ291" s="1069"/>
      <c r="BWA291" s="1069"/>
      <c r="BWB291" s="1069"/>
      <c r="BWC291" s="1069"/>
      <c r="BWD291" s="1069"/>
      <c r="BWE291" s="1069"/>
      <c r="BWF291" s="1069"/>
      <c r="BWG291" s="1069"/>
      <c r="BWH291" s="1069"/>
      <c r="BWI291" s="1069"/>
      <c r="BWJ291" s="1069"/>
      <c r="BWK291" s="1069"/>
      <c r="BWL291" s="1069"/>
      <c r="BWM291" s="1069"/>
      <c r="BWN291" s="1069"/>
      <c r="BWO291" s="1069"/>
      <c r="BWP291" s="1069"/>
      <c r="BWQ291" s="1069"/>
      <c r="BWR291" s="1069"/>
      <c r="BWS291" s="1069"/>
      <c r="BWT291" s="1069"/>
      <c r="BWU291" s="1069"/>
      <c r="BWV291" s="1069"/>
      <c r="BWW291" s="1069"/>
      <c r="BWX291" s="1069"/>
      <c r="BWY291" s="1069"/>
      <c r="BWZ291" s="1069"/>
      <c r="BXA291" s="1069"/>
      <c r="BXB291" s="1069"/>
      <c r="BXC291" s="1069"/>
      <c r="BXD291" s="1069"/>
      <c r="BXE291" s="1069"/>
      <c r="BXF291" s="1069"/>
      <c r="BXG291" s="1069"/>
      <c r="BXH291" s="1069"/>
      <c r="BXI291" s="1069"/>
      <c r="BXJ291" s="1069"/>
      <c r="BXK291" s="1069"/>
      <c r="BXL291" s="1069"/>
      <c r="BXM291" s="1069"/>
      <c r="BXN291" s="1069"/>
      <c r="BXO291" s="1069"/>
      <c r="BXP291" s="1069"/>
      <c r="BXQ291" s="1069"/>
      <c r="BXR291" s="1069"/>
      <c r="BXS291" s="1069"/>
      <c r="BXT291" s="1069"/>
      <c r="BXU291" s="1069"/>
      <c r="BXV291" s="1069"/>
      <c r="BXW291" s="1069"/>
      <c r="BXX291" s="1069"/>
      <c r="BXY291" s="1069"/>
      <c r="BXZ291" s="1069"/>
      <c r="BYA291" s="1069"/>
      <c r="BYB291" s="1069"/>
      <c r="BYC291" s="1069"/>
      <c r="BYD291" s="1069"/>
      <c r="BYE291" s="1069"/>
      <c r="BYF291" s="1069"/>
      <c r="BYG291" s="1069"/>
      <c r="BYH291" s="1069"/>
      <c r="BYI291" s="1069"/>
      <c r="BYJ291" s="1069"/>
      <c r="BYK291" s="1069"/>
      <c r="BYL291" s="1069"/>
      <c r="BYM291" s="1069"/>
      <c r="BYN291" s="1069"/>
      <c r="BYO291" s="1069"/>
      <c r="BYP291" s="1069"/>
      <c r="BYQ291" s="1069"/>
      <c r="BYR291" s="1069"/>
      <c r="BYS291" s="1069"/>
      <c r="BYT291" s="1069"/>
      <c r="BYU291" s="1069"/>
      <c r="BYV291" s="1069"/>
      <c r="BYW291" s="1069"/>
      <c r="BYX291" s="1069"/>
      <c r="BYY291" s="1069"/>
      <c r="BYZ291" s="1069"/>
      <c r="BZA291" s="1069"/>
      <c r="BZB291" s="1069"/>
      <c r="BZC291" s="1069"/>
      <c r="BZD291" s="1069"/>
      <c r="BZE291" s="1069"/>
      <c r="BZF291" s="1069"/>
      <c r="BZG291" s="1069"/>
      <c r="BZH291" s="1069"/>
      <c r="BZI291" s="1069"/>
      <c r="BZJ291" s="1069"/>
      <c r="BZK291" s="1069"/>
      <c r="BZL291" s="1069"/>
      <c r="BZM291" s="1069"/>
      <c r="BZN291" s="1069"/>
      <c r="BZO291" s="1069"/>
      <c r="BZP291" s="1069"/>
      <c r="BZQ291" s="1069"/>
      <c r="BZR291" s="1069"/>
      <c r="BZS291" s="1069"/>
      <c r="BZT291" s="1069"/>
      <c r="BZU291" s="1069"/>
      <c r="BZV291" s="1069"/>
      <c r="BZW291" s="1069"/>
      <c r="BZX291" s="1069"/>
      <c r="BZY291" s="1069"/>
      <c r="BZZ291" s="1069"/>
      <c r="CAA291" s="1069"/>
      <c r="CAB291" s="1069"/>
      <c r="CAC291" s="1069"/>
      <c r="CAD291" s="1069"/>
      <c r="CAE291" s="1069"/>
      <c r="CAF291" s="1069"/>
      <c r="CAG291" s="1069"/>
      <c r="CAH291" s="1069"/>
      <c r="CAI291" s="1069"/>
      <c r="CAJ291" s="1069"/>
      <c r="CAK291" s="1069"/>
      <c r="CAL291" s="1069"/>
      <c r="CAM291" s="1069"/>
      <c r="CAN291" s="1069"/>
      <c r="CAO291" s="1069"/>
      <c r="CAP291" s="1069"/>
      <c r="CAQ291" s="1069"/>
      <c r="CAR291" s="1069"/>
      <c r="CAS291" s="1069"/>
      <c r="CAT291" s="1069"/>
      <c r="CAU291" s="1069"/>
      <c r="CAV291" s="1069"/>
      <c r="CAW291" s="1069"/>
      <c r="CAX291" s="1069"/>
      <c r="CAY291" s="1069"/>
      <c r="CAZ291" s="1069"/>
      <c r="CBA291" s="1069"/>
      <c r="CBB291" s="1069"/>
      <c r="CBC291" s="1069"/>
      <c r="CBD291" s="1069"/>
      <c r="CBE291" s="1069"/>
      <c r="CBF291" s="1069"/>
      <c r="CBG291" s="1069"/>
      <c r="CBH291" s="1069"/>
      <c r="CBI291" s="1069"/>
      <c r="CBJ291" s="1069"/>
      <c r="CBK291" s="1069"/>
      <c r="CBL291" s="1069"/>
      <c r="CBM291" s="1069"/>
      <c r="CBN291" s="1069"/>
      <c r="CBO291" s="1069"/>
      <c r="CBP291" s="1069"/>
      <c r="CBQ291" s="1069"/>
      <c r="CBR291" s="1069"/>
      <c r="CBS291" s="1069"/>
      <c r="CBT291" s="1069"/>
      <c r="CBU291" s="1069"/>
      <c r="CBV291" s="1069"/>
      <c r="CBW291" s="1069"/>
      <c r="CBX291" s="1069"/>
      <c r="CBY291" s="1069"/>
      <c r="CBZ291" s="1069"/>
      <c r="CCA291" s="1069"/>
      <c r="CCB291" s="1069"/>
      <c r="CCC291" s="1069"/>
      <c r="CCD291" s="1069"/>
      <c r="CCE291" s="1069"/>
      <c r="CCF291" s="1069"/>
      <c r="CCG291" s="1069"/>
      <c r="CCH291" s="1069"/>
      <c r="CCI291" s="1069"/>
      <c r="CCJ291" s="1069"/>
      <c r="CCK291" s="1069"/>
      <c r="CCL291" s="1069"/>
      <c r="CCM291" s="1069"/>
      <c r="CCN291" s="1069"/>
      <c r="CCO291" s="1069"/>
      <c r="CCP291" s="1069"/>
      <c r="CCQ291" s="1069"/>
      <c r="CCR291" s="1069"/>
      <c r="CCS291" s="1069"/>
      <c r="CCT291" s="1069"/>
      <c r="CCU291" s="1069"/>
      <c r="CCV291" s="1069"/>
      <c r="CCW291" s="1069"/>
      <c r="CCX291" s="1069"/>
      <c r="CCY291" s="1069"/>
      <c r="CCZ291" s="1069"/>
      <c r="CDA291" s="1069"/>
      <c r="CDB291" s="1069"/>
      <c r="CDC291" s="1069"/>
      <c r="CDD291" s="1069"/>
      <c r="CDE291" s="1069"/>
      <c r="CDF291" s="1069"/>
      <c r="CDG291" s="1069"/>
      <c r="CDH291" s="1069"/>
      <c r="CDI291" s="1069"/>
      <c r="CDJ291" s="1069"/>
      <c r="CDK291" s="1069"/>
      <c r="CDL291" s="1069"/>
      <c r="CDM291" s="1069"/>
      <c r="CDN291" s="1069"/>
      <c r="CDO291" s="1069"/>
      <c r="CDP291" s="1069"/>
      <c r="CDQ291" s="1069"/>
      <c r="CDR291" s="1069"/>
      <c r="CDS291" s="1069"/>
      <c r="CDT291" s="1069"/>
      <c r="CDU291" s="1069"/>
      <c r="CDV291" s="1069"/>
      <c r="CDW291" s="1069"/>
      <c r="CDX291" s="1069"/>
      <c r="CDY291" s="1069"/>
      <c r="CDZ291" s="1069"/>
      <c r="CEA291" s="1069"/>
      <c r="CEB291" s="1069"/>
      <c r="CEC291" s="1069"/>
      <c r="CED291" s="1069"/>
      <c r="CEE291" s="1069"/>
      <c r="CEF291" s="1069"/>
      <c r="CEG291" s="1069"/>
      <c r="CEH291" s="1069"/>
      <c r="CEI291" s="1069"/>
      <c r="CEJ291" s="1069"/>
      <c r="CEK291" s="1069"/>
      <c r="CEL291" s="1069"/>
      <c r="CEM291" s="1069"/>
      <c r="CEN291" s="1069"/>
      <c r="CEO291" s="1069"/>
      <c r="CEP291" s="1069"/>
      <c r="CEQ291" s="1069"/>
      <c r="CER291" s="1069"/>
      <c r="CES291" s="1069"/>
      <c r="CET291" s="1069"/>
      <c r="CEU291" s="1069"/>
      <c r="CEV291" s="1069"/>
      <c r="CEW291" s="1069"/>
      <c r="CEX291" s="1069"/>
      <c r="CEY291" s="1069"/>
      <c r="CEZ291" s="1069"/>
      <c r="CFA291" s="1069"/>
      <c r="CFB291" s="1069"/>
      <c r="CFC291" s="1069"/>
      <c r="CFD291" s="1069"/>
      <c r="CFE291" s="1069"/>
      <c r="CFF291" s="1069"/>
      <c r="CFG291" s="1069"/>
      <c r="CFH291" s="1069"/>
      <c r="CFI291" s="1069"/>
      <c r="CFJ291" s="1069"/>
      <c r="CFK291" s="1069"/>
      <c r="CFL291" s="1069"/>
      <c r="CFM291" s="1069"/>
      <c r="CFN291" s="1069"/>
      <c r="CFO291" s="1069"/>
      <c r="CFP291" s="1069"/>
      <c r="CFQ291" s="1069"/>
      <c r="CFR291" s="1069"/>
      <c r="CFS291" s="1069"/>
      <c r="CFT291" s="1069"/>
      <c r="CFU291" s="1069"/>
      <c r="CFV291" s="1069"/>
      <c r="CFW291" s="1069"/>
      <c r="CFX291" s="1069"/>
      <c r="CFY291" s="1069"/>
      <c r="CFZ291" s="1069"/>
      <c r="CGA291" s="1069"/>
      <c r="CGB291" s="1069"/>
      <c r="CGC291" s="1069"/>
      <c r="CGD291" s="1069"/>
      <c r="CGE291" s="1069"/>
      <c r="CGF291" s="1069"/>
      <c r="CGG291" s="1069"/>
      <c r="CGH291" s="1069"/>
      <c r="CGI291" s="1069"/>
      <c r="CGJ291" s="1069"/>
      <c r="CGK291" s="1069"/>
      <c r="CGL291" s="1069"/>
      <c r="CGM291" s="1069"/>
      <c r="CGN291" s="1069"/>
      <c r="CGO291" s="1069"/>
      <c r="CGP291" s="1069"/>
      <c r="CGQ291" s="1069"/>
      <c r="CGR291" s="1069"/>
      <c r="CGS291" s="1069"/>
      <c r="CGT291" s="1069"/>
      <c r="CGU291" s="1069"/>
      <c r="CGV291" s="1069"/>
      <c r="CGW291" s="1069"/>
      <c r="CGX291" s="1069"/>
      <c r="CGY291" s="1069"/>
      <c r="CGZ291" s="1069"/>
      <c r="CHA291" s="1069"/>
      <c r="CHB291" s="1069"/>
      <c r="CHC291" s="1069"/>
      <c r="CHD291" s="1069"/>
      <c r="CHE291" s="1069"/>
      <c r="CHF291" s="1069"/>
      <c r="CHG291" s="1069"/>
      <c r="CHH291" s="1069"/>
      <c r="CHI291" s="1069"/>
      <c r="CHJ291" s="1069"/>
      <c r="CHK291" s="1069"/>
      <c r="CHL291" s="1069"/>
      <c r="CHM291" s="1069"/>
      <c r="CHN291" s="1069"/>
      <c r="CHO291" s="1069"/>
      <c r="CHP291" s="1069"/>
      <c r="CHQ291" s="1069"/>
      <c r="CHR291" s="1069"/>
      <c r="CHS291" s="1069"/>
      <c r="CHT291" s="1069"/>
      <c r="CHU291" s="1069"/>
      <c r="CHV291" s="1069"/>
      <c r="CHW291" s="1069"/>
      <c r="CHX291" s="1069"/>
      <c r="CHY291" s="1069"/>
      <c r="CHZ291" s="1069"/>
      <c r="CIA291" s="1069"/>
      <c r="CIB291" s="1069"/>
      <c r="CIC291" s="1069"/>
      <c r="CID291" s="1069"/>
      <c r="CIE291" s="1069"/>
      <c r="CIF291" s="1069"/>
      <c r="CIG291" s="1069"/>
      <c r="CIH291" s="1069"/>
      <c r="CII291" s="1069"/>
      <c r="CIJ291" s="1069"/>
      <c r="CIK291" s="1069"/>
      <c r="CIL291" s="1069"/>
      <c r="CIM291" s="1069"/>
      <c r="CIN291" s="1069"/>
      <c r="CIO291" s="1069"/>
      <c r="CIP291" s="1069"/>
      <c r="CIQ291" s="1069"/>
      <c r="CIR291" s="1069"/>
      <c r="CIS291" s="1069"/>
      <c r="CIT291" s="1069"/>
      <c r="CIU291" s="1069"/>
      <c r="CIV291" s="1069"/>
      <c r="CIW291" s="1069"/>
      <c r="CIX291" s="1069"/>
      <c r="CIY291" s="1069"/>
      <c r="CIZ291" s="1069"/>
      <c r="CJA291" s="1069"/>
      <c r="CJB291" s="1069"/>
      <c r="CJC291" s="1069"/>
      <c r="CJD291" s="1069"/>
      <c r="CJE291" s="1069"/>
      <c r="CJF291" s="1069"/>
      <c r="CJG291" s="1069"/>
      <c r="CJH291" s="1069"/>
      <c r="CJI291" s="1069"/>
      <c r="CJJ291" s="1069"/>
      <c r="CJK291" s="1069"/>
      <c r="CJL291" s="1069"/>
      <c r="CJM291" s="1069"/>
      <c r="CJN291" s="1069"/>
      <c r="CJO291" s="1069"/>
      <c r="CJP291" s="1069"/>
      <c r="CJQ291" s="1069"/>
      <c r="CJR291" s="1069"/>
      <c r="CJS291" s="1069"/>
      <c r="CJT291" s="1069"/>
      <c r="CJU291" s="1069"/>
      <c r="CJV291" s="1069"/>
      <c r="CJW291" s="1069"/>
      <c r="CJX291" s="1069"/>
      <c r="CJY291" s="1069"/>
      <c r="CJZ291" s="1069"/>
      <c r="CKA291" s="1069"/>
      <c r="CKB291" s="1069"/>
      <c r="CKC291" s="1069"/>
      <c r="CKD291" s="1069"/>
      <c r="CKE291" s="1069"/>
      <c r="CKF291" s="1069"/>
      <c r="CKG291" s="1069"/>
      <c r="CKH291" s="1069"/>
      <c r="CKI291" s="1069"/>
      <c r="CKJ291" s="1069"/>
      <c r="CKK291" s="1069"/>
      <c r="CKL291" s="1069"/>
      <c r="CKM291" s="1069"/>
      <c r="CKN291" s="1069"/>
      <c r="CKO291" s="1069"/>
      <c r="CKP291" s="1069"/>
      <c r="CKQ291" s="1069"/>
      <c r="CKR291" s="1069"/>
      <c r="CKS291" s="1069"/>
      <c r="CKT291" s="1069"/>
      <c r="CKU291" s="1069"/>
      <c r="CKV291" s="1069"/>
      <c r="CKW291" s="1069"/>
      <c r="CKX291" s="1069"/>
      <c r="CKY291" s="1069"/>
      <c r="CKZ291" s="1069"/>
      <c r="CLA291" s="1069"/>
      <c r="CLB291" s="1069"/>
      <c r="CLC291" s="1069"/>
      <c r="CLD291" s="1069"/>
      <c r="CLE291" s="1069"/>
      <c r="CLF291" s="1069"/>
      <c r="CLG291" s="1069"/>
      <c r="CLH291" s="1069"/>
      <c r="CLI291" s="1069"/>
      <c r="CLJ291" s="1069"/>
      <c r="CLK291" s="1069"/>
      <c r="CLL291" s="1069"/>
      <c r="CLM291" s="1069"/>
      <c r="CLN291" s="1069"/>
      <c r="CLO291" s="1069"/>
      <c r="CLP291" s="1069"/>
      <c r="CLQ291" s="1069"/>
      <c r="CLR291" s="1069"/>
      <c r="CLS291" s="1069"/>
      <c r="CLT291" s="1069"/>
      <c r="CLU291" s="1069"/>
      <c r="CLV291" s="1069"/>
      <c r="CLW291" s="1069"/>
      <c r="CLX291" s="1069"/>
      <c r="CLY291" s="1069"/>
      <c r="CLZ291" s="1069"/>
      <c r="CMA291" s="1069"/>
      <c r="CMB291" s="1069"/>
      <c r="CMC291" s="1069"/>
      <c r="CMD291" s="1069"/>
      <c r="CME291" s="1069"/>
      <c r="CMF291" s="1069"/>
      <c r="CMG291" s="1069"/>
      <c r="CMH291" s="1069"/>
      <c r="CMI291" s="1069"/>
      <c r="CMJ291" s="1069"/>
      <c r="CMK291" s="1069"/>
      <c r="CML291" s="1069"/>
      <c r="CMM291" s="1069"/>
      <c r="CMN291" s="1069"/>
      <c r="CMO291" s="1069"/>
      <c r="CMP291" s="1069"/>
      <c r="CMQ291" s="1069"/>
      <c r="CMR291" s="1069"/>
      <c r="CMS291" s="1069"/>
      <c r="CMT291" s="1069"/>
      <c r="CMU291" s="1069"/>
      <c r="CMV291" s="1069"/>
      <c r="CMW291" s="1069"/>
      <c r="CMX291" s="1069"/>
      <c r="CMY291" s="1069"/>
      <c r="CMZ291" s="1069"/>
      <c r="CNA291" s="1069"/>
      <c r="CNB291" s="1069"/>
      <c r="CNC291" s="1069"/>
      <c r="CND291" s="1069"/>
      <c r="CNE291" s="1069"/>
      <c r="CNF291" s="1069"/>
      <c r="CNG291" s="1069"/>
      <c r="CNH291" s="1069"/>
      <c r="CNI291" s="1069"/>
      <c r="CNJ291" s="1069"/>
      <c r="CNK291" s="1069"/>
      <c r="CNL291" s="1069"/>
      <c r="CNM291" s="1069"/>
      <c r="CNN291" s="1069"/>
      <c r="CNO291" s="1069"/>
      <c r="CNP291" s="1069"/>
      <c r="CNQ291" s="1069"/>
      <c r="CNR291" s="1069"/>
      <c r="CNS291" s="1069"/>
      <c r="CNT291" s="1069"/>
      <c r="CNU291" s="1069"/>
      <c r="CNV291" s="1069"/>
      <c r="CNW291" s="1069"/>
      <c r="CNX291" s="1069"/>
      <c r="CNY291" s="1069"/>
      <c r="CNZ291" s="1069"/>
      <c r="COA291" s="1069"/>
      <c r="COB291" s="1069"/>
      <c r="COC291" s="1069"/>
      <c r="COD291" s="1069"/>
      <c r="COE291" s="1069"/>
      <c r="COF291" s="1069"/>
      <c r="COG291" s="1069"/>
      <c r="COH291" s="1069"/>
      <c r="COI291" s="1069"/>
      <c r="COJ291" s="1069"/>
      <c r="COK291" s="1069"/>
      <c r="COL291" s="1069"/>
      <c r="COM291" s="1069"/>
      <c r="CON291" s="1069"/>
      <c r="COO291" s="1069"/>
      <c r="COP291" s="1069"/>
      <c r="COQ291" s="1069"/>
      <c r="COR291" s="1069"/>
      <c r="COS291" s="1069"/>
      <c r="COT291" s="1069"/>
      <c r="COU291" s="1069"/>
      <c r="COV291" s="1069"/>
      <c r="COW291" s="1069"/>
      <c r="COX291" s="1069"/>
      <c r="COY291" s="1069"/>
      <c r="COZ291" s="1069"/>
      <c r="CPA291" s="1069"/>
      <c r="CPB291" s="1069"/>
      <c r="CPC291" s="1069"/>
      <c r="CPD291" s="1069"/>
      <c r="CPE291" s="1069"/>
      <c r="CPF291" s="1069"/>
      <c r="CPG291" s="1069"/>
      <c r="CPH291" s="1069"/>
      <c r="CPI291" s="1069"/>
      <c r="CPJ291" s="1069"/>
      <c r="CPK291" s="1069"/>
      <c r="CPL291" s="1069"/>
      <c r="CPM291" s="1069"/>
      <c r="CPN291" s="1069"/>
      <c r="CPO291" s="1069"/>
      <c r="CPP291" s="1069"/>
      <c r="CPQ291" s="1069"/>
      <c r="CPR291" s="1069"/>
      <c r="CPS291" s="1069"/>
      <c r="CPT291" s="1069"/>
      <c r="CPU291" s="1069"/>
      <c r="CPV291" s="1069"/>
      <c r="CPW291" s="1069"/>
      <c r="CPX291" s="1069"/>
      <c r="CPY291" s="1069"/>
      <c r="CPZ291" s="1069"/>
      <c r="CQA291" s="1069"/>
      <c r="CQB291" s="1069"/>
      <c r="CQC291" s="1069"/>
      <c r="CQD291" s="1069"/>
      <c r="CQE291" s="1069"/>
      <c r="CQF291" s="1069"/>
      <c r="CQG291" s="1069"/>
      <c r="CQH291" s="1069"/>
      <c r="CQI291" s="1069"/>
      <c r="CQJ291" s="1069"/>
      <c r="CQK291" s="1069"/>
      <c r="CQL291" s="1069"/>
      <c r="CQM291" s="1069"/>
      <c r="CQN291" s="1069"/>
      <c r="CQO291" s="1069"/>
      <c r="CQP291" s="1069"/>
      <c r="CQQ291" s="1069"/>
      <c r="CQR291" s="1069"/>
      <c r="CQS291" s="1069"/>
      <c r="CQT291" s="1069"/>
      <c r="CQU291" s="1069"/>
      <c r="CQV291" s="1069"/>
      <c r="CQW291" s="1069"/>
      <c r="CQX291" s="1069"/>
      <c r="CQY291" s="1069"/>
      <c r="CQZ291" s="1069"/>
      <c r="CRA291" s="1069"/>
      <c r="CRB291" s="1069"/>
      <c r="CRC291" s="1069"/>
      <c r="CRD291" s="1069"/>
      <c r="CRE291" s="1069"/>
      <c r="CRF291" s="1069"/>
      <c r="CRG291" s="1069"/>
      <c r="CRH291" s="1069"/>
      <c r="CRI291" s="1069"/>
      <c r="CRJ291" s="1069"/>
      <c r="CRK291" s="1069"/>
      <c r="CRL291" s="1069"/>
      <c r="CRM291" s="1069"/>
      <c r="CRN291" s="1069"/>
      <c r="CRO291" s="1069"/>
      <c r="CRP291" s="1069"/>
      <c r="CRQ291" s="1069"/>
      <c r="CRR291" s="1069"/>
      <c r="CRS291" s="1069"/>
      <c r="CRT291" s="1069"/>
      <c r="CRU291" s="1069"/>
      <c r="CRV291" s="1069"/>
      <c r="CRW291" s="1069"/>
      <c r="CRX291" s="1069"/>
      <c r="CRY291" s="1069"/>
      <c r="CRZ291" s="1069"/>
      <c r="CSA291" s="1069"/>
      <c r="CSB291" s="1069"/>
      <c r="CSC291" s="1069"/>
      <c r="CSD291" s="1069"/>
      <c r="CSE291" s="1069"/>
      <c r="CSF291" s="1069"/>
      <c r="CSG291" s="1069"/>
      <c r="CSH291" s="1069"/>
      <c r="CSI291" s="1069"/>
      <c r="CSJ291" s="1069"/>
      <c r="CSK291" s="1069"/>
      <c r="CSL291" s="1069"/>
      <c r="CSM291" s="1069"/>
      <c r="CSN291" s="1069"/>
      <c r="CSO291" s="1069"/>
      <c r="CSP291" s="1069"/>
      <c r="CSQ291" s="1069"/>
      <c r="CSR291" s="1069"/>
      <c r="CSS291" s="1069"/>
      <c r="CST291" s="1069"/>
      <c r="CSU291" s="1069"/>
      <c r="CSV291" s="1069"/>
      <c r="CSW291" s="1069"/>
      <c r="CSX291" s="1069"/>
      <c r="CSY291" s="1069"/>
      <c r="CSZ291" s="1069"/>
      <c r="CTA291" s="1069"/>
      <c r="CTB291" s="1069"/>
      <c r="CTC291" s="1069"/>
      <c r="CTD291" s="1069"/>
      <c r="CTE291" s="1069"/>
      <c r="CTF291" s="1069"/>
      <c r="CTG291" s="1069"/>
      <c r="CTH291" s="1069"/>
      <c r="CTI291" s="1069"/>
      <c r="CTJ291" s="1069"/>
      <c r="CTK291" s="1069"/>
      <c r="CTL291" s="1069"/>
      <c r="CTM291" s="1069"/>
      <c r="CTN291" s="1069"/>
      <c r="CTO291" s="1069"/>
      <c r="CTP291" s="1069"/>
      <c r="CTQ291" s="1069"/>
      <c r="CTR291" s="1069"/>
      <c r="CTS291" s="1069"/>
      <c r="CTT291" s="1069"/>
      <c r="CTU291" s="1069"/>
      <c r="CTV291" s="1069"/>
      <c r="CTW291" s="1069"/>
      <c r="CTX291" s="1069"/>
      <c r="CTY291" s="1069"/>
      <c r="CTZ291" s="1069"/>
      <c r="CUA291" s="1069"/>
      <c r="CUB291" s="1069"/>
      <c r="CUC291" s="1069"/>
      <c r="CUD291" s="1069"/>
      <c r="CUE291" s="1069"/>
      <c r="CUF291" s="1069"/>
      <c r="CUG291" s="1069"/>
      <c r="CUH291" s="1069"/>
      <c r="CUI291" s="1069"/>
      <c r="CUJ291" s="1069"/>
      <c r="CUK291" s="1069"/>
      <c r="CUL291" s="1069"/>
      <c r="CUM291" s="1069"/>
      <c r="CUN291" s="1069"/>
      <c r="CUO291" s="1069"/>
      <c r="CUP291" s="1069"/>
      <c r="CUQ291" s="1069"/>
      <c r="CUR291" s="1069"/>
      <c r="CUS291" s="1069"/>
      <c r="CUT291" s="1069"/>
      <c r="CUU291" s="1069"/>
      <c r="CUV291" s="1069"/>
      <c r="CUW291" s="1069"/>
      <c r="CUX291" s="1069"/>
      <c r="CUY291" s="1069"/>
      <c r="CUZ291" s="1069"/>
      <c r="CVA291" s="1069"/>
      <c r="CVB291" s="1069"/>
      <c r="CVC291" s="1069"/>
      <c r="CVD291" s="1069"/>
      <c r="CVE291" s="1069"/>
      <c r="CVF291" s="1069"/>
      <c r="CVG291" s="1069"/>
      <c r="CVH291" s="1069"/>
      <c r="CVI291" s="1069"/>
      <c r="CVJ291" s="1069"/>
      <c r="CVK291" s="1069"/>
      <c r="CVL291" s="1069"/>
      <c r="CVM291" s="1069"/>
      <c r="CVN291" s="1069"/>
      <c r="CVO291" s="1069"/>
      <c r="CVP291" s="1069"/>
      <c r="CVQ291" s="1069"/>
      <c r="CVR291" s="1069"/>
      <c r="CVS291" s="1069"/>
      <c r="CVT291" s="1069"/>
      <c r="CVU291" s="1069"/>
      <c r="CVV291" s="1069"/>
      <c r="CVW291" s="1069"/>
      <c r="CVX291" s="1069"/>
      <c r="CVY291" s="1069"/>
      <c r="CVZ291" s="1069"/>
      <c r="CWA291" s="1069"/>
      <c r="CWB291" s="1069"/>
      <c r="CWC291" s="1069"/>
      <c r="CWD291" s="1069"/>
      <c r="CWE291" s="1069"/>
      <c r="CWF291" s="1069"/>
      <c r="CWG291" s="1069"/>
      <c r="CWH291" s="1069"/>
      <c r="CWI291" s="1069"/>
      <c r="CWJ291" s="1069"/>
      <c r="CWK291" s="1069"/>
      <c r="CWL291" s="1069"/>
      <c r="CWM291" s="1069"/>
      <c r="CWN291" s="1069"/>
      <c r="CWO291" s="1069"/>
      <c r="CWP291" s="1069"/>
      <c r="CWQ291" s="1069"/>
      <c r="CWR291" s="1069"/>
      <c r="CWS291" s="1069"/>
      <c r="CWT291" s="1069"/>
      <c r="CWU291" s="1069"/>
      <c r="CWV291" s="1069"/>
      <c r="CWW291" s="1069"/>
      <c r="CWX291" s="1069"/>
      <c r="CWY291" s="1069"/>
      <c r="CWZ291" s="1069"/>
      <c r="CXA291" s="1069"/>
      <c r="CXB291" s="1069"/>
      <c r="CXC291" s="1069"/>
      <c r="CXD291" s="1069"/>
      <c r="CXE291" s="1069"/>
      <c r="CXF291" s="1069"/>
      <c r="CXG291" s="1069"/>
      <c r="CXH291" s="1069"/>
      <c r="CXI291" s="1069"/>
      <c r="CXJ291" s="1069"/>
      <c r="CXK291" s="1069"/>
      <c r="CXL291" s="1069"/>
      <c r="CXM291" s="1069"/>
      <c r="CXN291" s="1069"/>
      <c r="CXO291" s="1069"/>
      <c r="CXP291" s="1069"/>
      <c r="CXQ291" s="1069"/>
      <c r="CXR291" s="1069"/>
      <c r="CXS291" s="1069"/>
      <c r="CXT291" s="1069"/>
      <c r="CXU291" s="1069"/>
      <c r="CXV291" s="1069"/>
      <c r="CXW291" s="1069"/>
      <c r="CXX291" s="1069"/>
      <c r="CXY291" s="1069"/>
      <c r="CXZ291" s="1069"/>
      <c r="CYA291" s="1069"/>
      <c r="CYB291" s="1069"/>
      <c r="CYC291" s="1069"/>
      <c r="CYD291" s="1069"/>
      <c r="CYE291" s="1069"/>
      <c r="CYF291" s="1069"/>
      <c r="CYG291" s="1069"/>
      <c r="CYH291" s="1069"/>
      <c r="CYI291" s="1069"/>
      <c r="CYJ291" s="1069"/>
      <c r="CYK291" s="1069"/>
      <c r="CYL291" s="1069"/>
      <c r="CYM291" s="1069"/>
      <c r="CYN291" s="1069"/>
      <c r="CYO291" s="1069"/>
      <c r="CYP291" s="1069"/>
      <c r="CYQ291" s="1069"/>
      <c r="CYR291" s="1069"/>
      <c r="CYS291" s="1069"/>
      <c r="CYT291" s="1069"/>
      <c r="CYU291" s="1069"/>
      <c r="CYV291" s="1069"/>
      <c r="CYW291" s="1069"/>
      <c r="CYX291" s="1069"/>
      <c r="CYY291" s="1069"/>
      <c r="CYZ291" s="1069"/>
      <c r="CZA291" s="1069"/>
      <c r="CZB291" s="1069"/>
      <c r="CZC291" s="1069"/>
      <c r="CZD291" s="1069"/>
      <c r="CZE291" s="1069"/>
      <c r="CZF291" s="1069"/>
      <c r="CZG291" s="1069"/>
      <c r="CZH291" s="1069"/>
      <c r="CZI291" s="1069"/>
      <c r="CZJ291" s="1069"/>
      <c r="CZK291" s="1069"/>
      <c r="CZL291" s="1069"/>
      <c r="CZM291" s="1069"/>
      <c r="CZN291" s="1069"/>
      <c r="CZO291" s="1069"/>
      <c r="CZP291" s="1069"/>
      <c r="CZQ291" s="1069"/>
      <c r="CZR291" s="1069"/>
      <c r="CZS291" s="1069"/>
      <c r="CZT291" s="1069"/>
      <c r="CZU291" s="1069"/>
      <c r="CZV291" s="1069"/>
      <c r="CZW291" s="1069"/>
      <c r="CZX291" s="1069"/>
      <c r="CZY291" s="1069"/>
      <c r="CZZ291" s="1069"/>
      <c r="DAA291" s="1069"/>
      <c r="DAB291" s="1069"/>
      <c r="DAC291" s="1069"/>
      <c r="DAD291" s="1069"/>
      <c r="DAE291" s="1069"/>
      <c r="DAF291" s="1069"/>
      <c r="DAG291" s="1069"/>
      <c r="DAH291" s="1069"/>
      <c r="DAI291" s="1069"/>
      <c r="DAJ291" s="1069"/>
      <c r="DAK291" s="1069"/>
      <c r="DAL291" s="1069"/>
      <c r="DAM291" s="1069"/>
      <c r="DAN291" s="1069"/>
      <c r="DAO291" s="1069"/>
      <c r="DAP291" s="1069"/>
      <c r="DAQ291" s="1069"/>
      <c r="DAR291" s="1069"/>
      <c r="DAS291" s="1069"/>
      <c r="DAT291" s="1069"/>
      <c r="DAU291" s="1069"/>
      <c r="DAV291" s="1069"/>
      <c r="DAW291" s="1069"/>
      <c r="DAX291" s="1069"/>
      <c r="DAY291" s="1069"/>
      <c r="DAZ291" s="1069"/>
      <c r="DBA291" s="1069"/>
      <c r="DBB291" s="1069"/>
      <c r="DBC291" s="1069"/>
      <c r="DBD291" s="1069"/>
      <c r="DBE291" s="1069"/>
      <c r="DBF291" s="1069"/>
      <c r="DBG291" s="1069"/>
      <c r="DBH291" s="1069"/>
      <c r="DBI291" s="1069"/>
      <c r="DBJ291" s="1069"/>
      <c r="DBK291" s="1069"/>
      <c r="DBL291" s="1069"/>
      <c r="DBM291" s="1069"/>
      <c r="DBN291" s="1069"/>
      <c r="DBO291" s="1069"/>
      <c r="DBP291" s="1069"/>
      <c r="DBQ291" s="1069"/>
      <c r="DBR291" s="1069"/>
      <c r="DBS291" s="1069"/>
      <c r="DBT291" s="1069"/>
      <c r="DBU291" s="1069"/>
      <c r="DBV291" s="1069"/>
      <c r="DBW291" s="1069"/>
      <c r="DBX291" s="1069"/>
      <c r="DBY291" s="1069"/>
      <c r="DBZ291" s="1069"/>
      <c r="DCA291" s="1069"/>
      <c r="DCB291" s="1069"/>
      <c r="DCC291" s="1069"/>
      <c r="DCD291" s="1069"/>
      <c r="DCE291" s="1069"/>
      <c r="DCF291" s="1069"/>
      <c r="DCG291" s="1069"/>
      <c r="DCH291" s="1069"/>
      <c r="DCI291" s="1069"/>
      <c r="DCJ291" s="1069"/>
      <c r="DCK291" s="1069"/>
      <c r="DCL291" s="1069"/>
      <c r="DCM291" s="1069"/>
      <c r="DCN291" s="1069"/>
      <c r="DCO291" s="1069"/>
      <c r="DCP291" s="1069"/>
      <c r="DCQ291" s="1069"/>
      <c r="DCR291" s="1069"/>
      <c r="DCS291" s="1069"/>
      <c r="DCT291" s="1069"/>
      <c r="DCU291" s="1069"/>
      <c r="DCV291" s="1069"/>
      <c r="DCW291" s="1069"/>
      <c r="DCX291" s="1069"/>
      <c r="DCY291" s="1069"/>
      <c r="DCZ291" s="1069"/>
      <c r="DDA291" s="1069"/>
      <c r="DDB291" s="1069"/>
      <c r="DDC291" s="1069"/>
      <c r="DDD291" s="1069"/>
      <c r="DDE291" s="1069"/>
      <c r="DDF291" s="1069"/>
      <c r="DDG291" s="1069"/>
      <c r="DDH291" s="1069"/>
      <c r="DDI291" s="1069"/>
      <c r="DDJ291" s="1069"/>
      <c r="DDK291" s="1069"/>
      <c r="DDL291" s="1069"/>
      <c r="DDM291" s="1069"/>
      <c r="DDN291" s="1069"/>
      <c r="DDO291" s="1069"/>
      <c r="DDP291" s="1069"/>
      <c r="DDQ291" s="1069"/>
      <c r="DDR291" s="1069"/>
      <c r="DDS291" s="1069"/>
      <c r="DDT291" s="1069"/>
      <c r="DDU291" s="1069"/>
      <c r="DDV291" s="1069"/>
      <c r="DDW291" s="1069"/>
      <c r="DDX291" s="1069"/>
      <c r="DDY291" s="1069"/>
      <c r="DDZ291" s="1069"/>
      <c r="DEA291" s="1069"/>
      <c r="DEB291" s="1069"/>
      <c r="DEC291" s="1069"/>
      <c r="DED291" s="1069"/>
      <c r="DEE291" s="1069"/>
      <c r="DEF291" s="1069"/>
      <c r="DEG291" s="1069"/>
      <c r="DEH291" s="1069"/>
      <c r="DEI291" s="1069"/>
      <c r="DEJ291" s="1069"/>
      <c r="DEK291" s="1069"/>
      <c r="DEL291" s="1069"/>
      <c r="DEM291" s="1069"/>
      <c r="DEN291" s="1069"/>
      <c r="DEO291" s="1069"/>
      <c r="DEP291" s="1069"/>
      <c r="DEQ291" s="1069"/>
      <c r="DER291" s="1069"/>
      <c r="DES291" s="1069"/>
      <c r="DET291" s="1069"/>
      <c r="DEU291" s="1069"/>
      <c r="DEV291" s="1069"/>
      <c r="DEW291" s="1069"/>
      <c r="DEX291" s="1069"/>
      <c r="DEY291" s="1069"/>
      <c r="DEZ291" s="1069"/>
      <c r="DFA291" s="1069"/>
      <c r="DFB291" s="1069"/>
      <c r="DFC291" s="1069"/>
      <c r="DFD291" s="1069"/>
      <c r="DFE291" s="1069"/>
      <c r="DFF291" s="1069"/>
      <c r="DFG291" s="1069"/>
      <c r="DFH291" s="1069"/>
      <c r="DFI291" s="1069"/>
      <c r="DFJ291" s="1069"/>
      <c r="DFK291" s="1069"/>
      <c r="DFL291" s="1069"/>
      <c r="DFM291" s="1069"/>
      <c r="DFN291" s="1069"/>
      <c r="DFO291" s="1069"/>
      <c r="DFP291" s="1069"/>
      <c r="DFQ291" s="1069"/>
      <c r="DFR291" s="1069"/>
      <c r="DFS291" s="1069"/>
      <c r="DFT291" s="1069"/>
      <c r="DFU291" s="1069"/>
      <c r="DFV291" s="1069"/>
      <c r="DFW291" s="1069"/>
      <c r="DFX291" s="1069"/>
      <c r="DFY291" s="1069"/>
      <c r="DFZ291" s="1069"/>
      <c r="DGA291" s="1069"/>
      <c r="DGB291" s="1069"/>
      <c r="DGC291" s="1069"/>
      <c r="DGD291" s="1069"/>
      <c r="DGE291" s="1069"/>
      <c r="DGF291" s="1069"/>
      <c r="DGG291" s="1069"/>
      <c r="DGH291" s="1069"/>
      <c r="DGI291" s="1069"/>
      <c r="DGJ291" s="1069"/>
      <c r="DGK291" s="1069"/>
      <c r="DGL291" s="1069"/>
      <c r="DGM291" s="1069"/>
      <c r="DGN291" s="1069"/>
      <c r="DGO291" s="1069"/>
      <c r="DGP291" s="1069"/>
      <c r="DGQ291" s="1069"/>
      <c r="DGR291" s="1069"/>
      <c r="DGS291" s="1069"/>
      <c r="DGT291" s="1069"/>
      <c r="DGU291" s="1069"/>
      <c r="DGV291" s="1069"/>
      <c r="DGW291" s="1069"/>
      <c r="DGX291" s="1069"/>
      <c r="DGY291" s="1069"/>
      <c r="DGZ291" s="1069"/>
      <c r="DHA291" s="1069"/>
      <c r="DHB291" s="1069"/>
      <c r="DHC291" s="1069"/>
      <c r="DHD291" s="1069"/>
      <c r="DHE291" s="1069"/>
      <c r="DHF291" s="1069"/>
      <c r="DHG291" s="1069"/>
      <c r="DHH291" s="1069"/>
      <c r="DHI291" s="1069"/>
      <c r="DHJ291" s="1069"/>
      <c r="DHK291" s="1069"/>
      <c r="DHL291" s="1069"/>
      <c r="DHM291" s="1069"/>
      <c r="DHN291" s="1069"/>
      <c r="DHO291" s="1069"/>
      <c r="DHP291" s="1069"/>
      <c r="DHQ291" s="1069"/>
      <c r="DHR291" s="1069"/>
      <c r="DHS291" s="1069"/>
      <c r="DHT291" s="1069"/>
      <c r="DHU291" s="1069"/>
      <c r="DHV291" s="1069"/>
      <c r="DHW291" s="1069"/>
      <c r="DHX291" s="1069"/>
      <c r="DHY291" s="1069"/>
      <c r="DHZ291" s="1069"/>
      <c r="DIA291" s="1069"/>
      <c r="DIB291" s="1069"/>
      <c r="DIC291" s="1069"/>
      <c r="DID291" s="1069"/>
      <c r="DIE291" s="1069"/>
      <c r="DIF291" s="1069"/>
      <c r="DIG291" s="1069"/>
      <c r="DIH291" s="1069"/>
      <c r="DII291" s="1069"/>
      <c r="DIJ291" s="1069"/>
      <c r="DIK291" s="1069"/>
      <c r="DIL291" s="1069"/>
      <c r="DIM291" s="1069"/>
      <c r="DIN291" s="1069"/>
      <c r="DIO291" s="1069"/>
      <c r="DIP291" s="1069"/>
      <c r="DIQ291" s="1069"/>
      <c r="DIR291" s="1069"/>
      <c r="DIS291" s="1069"/>
      <c r="DIT291" s="1069"/>
      <c r="DIU291" s="1069"/>
      <c r="DIV291" s="1069"/>
      <c r="DIW291" s="1069"/>
      <c r="DIX291" s="1069"/>
      <c r="DIY291" s="1069"/>
      <c r="DIZ291" s="1069"/>
      <c r="DJA291" s="1069"/>
      <c r="DJB291" s="1069"/>
      <c r="DJC291" s="1069"/>
      <c r="DJD291" s="1069"/>
      <c r="DJE291" s="1069"/>
      <c r="DJF291" s="1069"/>
      <c r="DJG291" s="1069"/>
      <c r="DJH291" s="1069"/>
      <c r="DJI291" s="1069"/>
      <c r="DJJ291" s="1069"/>
      <c r="DJK291" s="1069"/>
      <c r="DJL291" s="1069"/>
      <c r="DJM291" s="1069"/>
      <c r="DJN291" s="1069"/>
      <c r="DJO291" s="1069"/>
      <c r="DJP291" s="1069"/>
      <c r="DJQ291" s="1069"/>
      <c r="DJR291" s="1069"/>
      <c r="DJS291" s="1069"/>
      <c r="DJT291" s="1069"/>
      <c r="DJU291" s="1069"/>
      <c r="DJV291" s="1069"/>
      <c r="DJW291" s="1069"/>
      <c r="DJX291" s="1069"/>
      <c r="DJY291" s="1069"/>
      <c r="DJZ291" s="1069"/>
      <c r="DKA291" s="1069"/>
      <c r="DKB291" s="1069"/>
      <c r="DKC291" s="1069"/>
      <c r="DKD291" s="1069"/>
      <c r="DKE291" s="1069"/>
      <c r="DKF291" s="1069"/>
      <c r="DKG291" s="1069"/>
      <c r="DKH291" s="1069"/>
      <c r="DKI291" s="1069"/>
      <c r="DKJ291" s="1069"/>
      <c r="DKK291" s="1069"/>
      <c r="DKL291" s="1069"/>
      <c r="DKM291" s="1069"/>
      <c r="DKN291" s="1069"/>
      <c r="DKO291" s="1069"/>
      <c r="DKP291" s="1069"/>
      <c r="DKQ291" s="1069"/>
      <c r="DKR291" s="1069"/>
      <c r="DKS291" s="1069"/>
      <c r="DKT291" s="1069"/>
      <c r="DKU291" s="1069"/>
      <c r="DKV291" s="1069"/>
      <c r="DKW291" s="1069"/>
      <c r="DKX291" s="1069"/>
      <c r="DKY291" s="1069"/>
      <c r="DKZ291" s="1069"/>
      <c r="DLA291" s="1069"/>
      <c r="DLB291" s="1069"/>
      <c r="DLC291" s="1069"/>
      <c r="DLD291" s="1069"/>
      <c r="DLE291" s="1069"/>
      <c r="DLF291" s="1069"/>
      <c r="DLG291" s="1069"/>
      <c r="DLH291" s="1069"/>
      <c r="DLI291" s="1069"/>
      <c r="DLJ291" s="1069"/>
      <c r="DLK291" s="1069"/>
      <c r="DLL291" s="1069"/>
      <c r="DLM291" s="1069"/>
      <c r="DLN291" s="1069"/>
      <c r="DLO291" s="1069"/>
      <c r="DLP291" s="1069"/>
      <c r="DLQ291" s="1069"/>
      <c r="DLR291" s="1069"/>
      <c r="DLS291" s="1069"/>
      <c r="DLT291" s="1069"/>
      <c r="DLU291" s="1069"/>
      <c r="DLV291" s="1069"/>
      <c r="DLW291" s="1069"/>
      <c r="DLX291" s="1069"/>
      <c r="DLY291" s="1069"/>
      <c r="DLZ291" s="1069"/>
      <c r="DMA291" s="1069"/>
      <c r="DMB291" s="1069"/>
      <c r="DMC291" s="1069"/>
      <c r="DMD291" s="1069"/>
      <c r="DME291" s="1069"/>
      <c r="DMF291" s="1069"/>
      <c r="DMG291" s="1069"/>
      <c r="DMH291" s="1069"/>
      <c r="DMI291" s="1069"/>
      <c r="DMJ291" s="1069"/>
      <c r="DMK291" s="1069"/>
      <c r="DML291" s="1069"/>
      <c r="DMM291" s="1069"/>
      <c r="DMN291" s="1069"/>
      <c r="DMO291" s="1069"/>
      <c r="DMP291" s="1069"/>
      <c r="DMQ291" s="1069"/>
      <c r="DMR291" s="1069"/>
      <c r="DMS291" s="1069"/>
      <c r="DMT291" s="1069"/>
      <c r="DMU291" s="1069"/>
      <c r="DMV291" s="1069"/>
      <c r="DMW291" s="1069"/>
      <c r="DMX291" s="1069"/>
      <c r="DMY291" s="1069"/>
      <c r="DMZ291" s="1069"/>
      <c r="DNA291" s="1069"/>
      <c r="DNB291" s="1069"/>
      <c r="DNC291" s="1069"/>
      <c r="DND291" s="1069"/>
      <c r="DNE291" s="1069"/>
      <c r="DNF291" s="1069"/>
      <c r="DNG291" s="1069"/>
      <c r="DNH291" s="1069"/>
      <c r="DNI291" s="1069"/>
      <c r="DNJ291" s="1069"/>
      <c r="DNK291" s="1069"/>
      <c r="DNL291" s="1069"/>
      <c r="DNM291" s="1069"/>
      <c r="DNN291" s="1069"/>
      <c r="DNO291" s="1069"/>
      <c r="DNP291" s="1069"/>
      <c r="DNQ291" s="1069"/>
      <c r="DNR291" s="1069"/>
      <c r="DNS291" s="1069"/>
      <c r="DNT291" s="1069"/>
      <c r="DNU291" s="1069"/>
      <c r="DNV291" s="1069"/>
      <c r="DNW291" s="1069"/>
      <c r="DNX291" s="1069"/>
      <c r="DNY291" s="1069"/>
      <c r="DNZ291" s="1069"/>
      <c r="DOA291" s="1069"/>
      <c r="DOB291" s="1069"/>
      <c r="DOC291" s="1069"/>
      <c r="DOD291" s="1069"/>
      <c r="DOE291" s="1069"/>
      <c r="DOF291" s="1069"/>
      <c r="DOG291" s="1069"/>
      <c r="DOH291" s="1069"/>
      <c r="DOI291" s="1069"/>
      <c r="DOJ291" s="1069"/>
      <c r="DOK291" s="1069"/>
      <c r="DOL291" s="1069"/>
      <c r="DOM291" s="1069"/>
      <c r="DON291" s="1069"/>
      <c r="DOO291" s="1069"/>
      <c r="DOP291" s="1069"/>
      <c r="DOQ291" s="1069"/>
      <c r="DOR291" s="1069"/>
      <c r="DOS291" s="1069"/>
      <c r="DOT291" s="1069"/>
      <c r="DOU291" s="1069"/>
      <c r="DOV291" s="1069"/>
      <c r="DOW291" s="1069"/>
      <c r="DOX291" s="1069"/>
      <c r="DOY291" s="1069"/>
      <c r="DOZ291" s="1069"/>
      <c r="DPA291" s="1069"/>
      <c r="DPB291" s="1069"/>
      <c r="DPC291" s="1069"/>
      <c r="DPD291" s="1069"/>
      <c r="DPE291" s="1069"/>
      <c r="DPF291" s="1069"/>
      <c r="DPG291" s="1069"/>
      <c r="DPH291" s="1069"/>
      <c r="DPI291" s="1069"/>
      <c r="DPJ291" s="1069"/>
      <c r="DPK291" s="1069"/>
      <c r="DPL291" s="1069"/>
      <c r="DPM291" s="1069"/>
      <c r="DPN291" s="1069"/>
      <c r="DPO291" s="1069"/>
      <c r="DPP291" s="1069"/>
      <c r="DPQ291" s="1069"/>
      <c r="DPR291" s="1069"/>
      <c r="DPS291" s="1069"/>
      <c r="DPT291" s="1069"/>
      <c r="DPU291" s="1069"/>
      <c r="DPV291" s="1069"/>
      <c r="DPW291" s="1069"/>
      <c r="DPX291" s="1069"/>
      <c r="DPY291" s="1069"/>
      <c r="DPZ291" s="1069"/>
      <c r="DQA291" s="1069"/>
      <c r="DQB291" s="1069"/>
      <c r="DQC291" s="1069"/>
      <c r="DQD291" s="1069"/>
      <c r="DQE291" s="1069"/>
      <c r="DQF291" s="1069"/>
      <c r="DQG291" s="1069"/>
      <c r="DQH291" s="1069"/>
      <c r="DQI291" s="1069"/>
      <c r="DQJ291" s="1069"/>
      <c r="DQK291" s="1069"/>
      <c r="DQL291" s="1069"/>
      <c r="DQM291" s="1069"/>
      <c r="DQN291" s="1069"/>
      <c r="DQO291" s="1069"/>
      <c r="DQP291" s="1069"/>
      <c r="DQQ291" s="1069"/>
      <c r="DQR291" s="1069"/>
      <c r="DQS291" s="1069"/>
      <c r="DQT291" s="1069"/>
      <c r="DQU291" s="1069"/>
      <c r="DQV291" s="1069"/>
      <c r="DQW291" s="1069"/>
      <c r="DQX291" s="1069"/>
      <c r="DQY291" s="1069"/>
      <c r="DQZ291" s="1069"/>
      <c r="DRA291" s="1069"/>
      <c r="DRB291" s="1069"/>
      <c r="DRC291" s="1069"/>
      <c r="DRD291" s="1069"/>
      <c r="DRE291" s="1069"/>
      <c r="DRF291" s="1069"/>
      <c r="DRG291" s="1069"/>
      <c r="DRH291" s="1069"/>
      <c r="DRI291" s="1069"/>
      <c r="DRJ291" s="1069"/>
      <c r="DRK291" s="1069"/>
      <c r="DRL291" s="1069"/>
      <c r="DRM291" s="1069"/>
      <c r="DRN291" s="1069"/>
      <c r="DRO291" s="1069"/>
      <c r="DRP291" s="1069"/>
      <c r="DRQ291" s="1069"/>
      <c r="DRR291" s="1069"/>
      <c r="DRS291" s="1069"/>
      <c r="DRT291" s="1069"/>
      <c r="DRU291" s="1069"/>
      <c r="DRV291" s="1069"/>
      <c r="DRW291" s="1069"/>
      <c r="DRX291" s="1069"/>
      <c r="DRY291" s="1069"/>
      <c r="DRZ291" s="1069"/>
      <c r="DSA291" s="1069"/>
      <c r="DSB291" s="1069"/>
      <c r="DSC291" s="1069"/>
      <c r="DSD291" s="1069"/>
      <c r="DSE291" s="1069"/>
      <c r="DSF291" s="1069"/>
      <c r="DSG291" s="1069"/>
      <c r="DSH291" s="1069"/>
      <c r="DSI291" s="1069"/>
      <c r="DSJ291" s="1069"/>
      <c r="DSK291" s="1069"/>
      <c r="DSL291" s="1069"/>
      <c r="DSM291" s="1069"/>
      <c r="DSN291" s="1069"/>
      <c r="DSO291" s="1069"/>
      <c r="DSP291" s="1069"/>
      <c r="DSQ291" s="1069"/>
      <c r="DSR291" s="1069"/>
      <c r="DSS291" s="1069"/>
      <c r="DST291" s="1069"/>
      <c r="DSU291" s="1069"/>
      <c r="DSV291" s="1069"/>
      <c r="DSW291" s="1069"/>
      <c r="DSX291" s="1069"/>
      <c r="DSY291" s="1069"/>
      <c r="DSZ291" s="1069"/>
      <c r="DTA291" s="1069"/>
      <c r="DTB291" s="1069"/>
      <c r="DTC291" s="1069"/>
      <c r="DTD291" s="1069"/>
      <c r="DTE291" s="1069"/>
      <c r="DTF291" s="1069"/>
      <c r="DTG291" s="1069"/>
      <c r="DTH291" s="1069"/>
      <c r="DTI291" s="1069"/>
      <c r="DTJ291" s="1069"/>
      <c r="DTK291" s="1069"/>
      <c r="DTL291" s="1069"/>
      <c r="DTM291" s="1069"/>
      <c r="DTN291" s="1069"/>
      <c r="DTO291" s="1069"/>
      <c r="DTP291" s="1069"/>
      <c r="DTQ291" s="1069"/>
      <c r="DTR291" s="1069"/>
      <c r="DTS291" s="1069"/>
      <c r="DTT291" s="1069"/>
      <c r="DTU291" s="1069"/>
      <c r="DTV291" s="1069"/>
      <c r="DTW291" s="1069"/>
      <c r="DTX291" s="1069"/>
      <c r="DTY291" s="1069"/>
      <c r="DTZ291" s="1069"/>
      <c r="DUA291" s="1069"/>
      <c r="DUB291" s="1069"/>
      <c r="DUC291" s="1069"/>
      <c r="DUD291" s="1069"/>
      <c r="DUE291" s="1069"/>
      <c r="DUF291" s="1069"/>
      <c r="DUG291" s="1069"/>
      <c r="DUH291" s="1069"/>
      <c r="DUI291" s="1069"/>
      <c r="DUJ291" s="1069"/>
      <c r="DUK291" s="1069"/>
      <c r="DUL291" s="1069"/>
      <c r="DUM291" s="1069"/>
      <c r="DUN291" s="1069"/>
      <c r="DUO291" s="1069"/>
      <c r="DUP291" s="1069"/>
      <c r="DUQ291" s="1069"/>
      <c r="DUR291" s="1069"/>
      <c r="DUS291" s="1069"/>
      <c r="DUT291" s="1069"/>
      <c r="DUU291" s="1069"/>
      <c r="DUV291" s="1069"/>
      <c r="DUW291" s="1069"/>
      <c r="DUX291" s="1069"/>
      <c r="DUY291" s="1069"/>
      <c r="DUZ291" s="1069"/>
      <c r="DVA291" s="1069"/>
      <c r="DVB291" s="1069"/>
      <c r="DVC291" s="1069"/>
      <c r="DVD291" s="1069"/>
      <c r="DVE291" s="1069"/>
      <c r="DVF291" s="1069"/>
      <c r="DVG291" s="1069"/>
      <c r="DVH291" s="1069"/>
      <c r="DVI291" s="1069"/>
      <c r="DVJ291" s="1069"/>
      <c r="DVK291" s="1069"/>
      <c r="DVL291" s="1069"/>
      <c r="DVM291" s="1069"/>
      <c r="DVN291" s="1069"/>
      <c r="DVO291" s="1069"/>
      <c r="DVP291" s="1069"/>
      <c r="DVQ291" s="1069"/>
      <c r="DVR291" s="1069"/>
      <c r="DVS291" s="1069"/>
      <c r="DVT291" s="1069"/>
      <c r="DVU291" s="1069"/>
      <c r="DVV291" s="1069"/>
      <c r="DVW291" s="1069"/>
      <c r="DVX291" s="1069"/>
      <c r="DVY291" s="1069"/>
      <c r="DVZ291" s="1069"/>
      <c r="DWA291" s="1069"/>
      <c r="DWB291" s="1069"/>
      <c r="DWC291" s="1069"/>
      <c r="DWD291" s="1069"/>
      <c r="DWE291" s="1069"/>
      <c r="DWF291" s="1069"/>
      <c r="DWG291" s="1069"/>
      <c r="DWH291" s="1069"/>
      <c r="DWI291" s="1069"/>
      <c r="DWJ291" s="1069"/>
      <c r="DWK291" s="1069"/>
      <c r="DWL291" s="1069"/>
      <c r="DWM291" s="1069"/>
      <c r="DWN291" s="1069"/>
      <c r="DWO291" s="1069"/>
      <c r="DWP291" s="1069"/>
      <c r="DWQ291" s="1069"/>
      <c r="DWR291" s="1069"/>
      <c r="DWS291" s="1069"/>
      <c r="DWT291" s="1069"/>
      <c r="DWU291" s="1069"/>
      <c r="DWV291" s="1069"/>
      <c r="DWW291" s="1069"/>
      <c r="DWX291" s="1069"/>
      <c r="DWY291" s="1069"/>
      <c r="DWZ291" s="1069"/>
      <c r="DXA291" s="1069"/>
      <c r="DXB291" s="1069"/>
      <c r="DXC291" s="1069"/>
      <c r="DXD291" s="1069"/>
      <c r="DXE291" s="1069"/>
      <c r="DXF291" s="1069"/>
      <c r="DXG291" s="1069"/>
      <c r="DXH291" s="1069"/>
      <c r="DXI291" s="1069"/>
      <c r="DXJ291" s="1069"/>
      <c r="DXK291" s="1069"/>
      <c r="DXL291" s="1069"/>
      <c r="DXM291" s="1069"/>
      <c r="DXN291" s="1069"/>
      <c r="DXO291" s="1069"/>
      <c r="DXP291" s="1069"/>
      <c r="DXQ291" s="1069"/>
      <c r="DXR291" s="1069"/>
      <c r="DXS291" s="1069"/>
      <c r="DXT291" s="1069"/>
      <c r="DXU291" s="1069"/>
      <c r="DXV291" s="1069"/>
      <c r="DXW291" s="1069"/>
      <c r="DXX291" s="1069"/>
      <c r="DXY291" s="1069"/>
      <c r="DXZ291" s="1069"/>
      <c r="DYA291" s="1069"/>
      <c r="DYB291" s="1069"/>
      <c r="DYC291" s="1069"/>
      <c r="DYD291" s="1069"/>
      <c r="DYE291" s="1069"/>
      <c r="DYF291" s="1069"/>
      <c r="DYG291" s="1069"/>
      <c r="DYH291" s="1069"/>
      <c r="DYI291" s="1069"/>
      <c r="DYJ291" s="1069"/>
      <c r="DYK291" s="1069"/>
      <c r="DYL291" s="1069"/>
      <c r="DYM291" s="1069"/>
      <c r="DYN291" s="1069"/>
      <c r="DYO291" s="1069"/>
      <c r="DYP291" s="1069"/>
      <c r="DYQ291" s="1069"/>
      <c r="DYR291" s="1069"/>
      <c r="DYS291" s="1069"/>
      <c r="DYT291" s="1069"/>
      <c r="DYU291" s="1069"/>
      <c r="DYV291" s="1069"/>
      <c r="DYW291" s="1069"/>
      <c r="DYX291" s="1069"/>
      <c r="DYY291" s="1069"/>
      <c r="DYZ291" s="1069"/>
      <c r="DZA291" s="1069"/>
      <c r="DZB291" s="1069"/>
      <c r="DZC291" s="1069"/>
      <c r="DZD291" s="1069"/>
      <c r="DZE291" s="1069"/>
      <c r="DZF291" s="1069"/>
      <c r="DZG291" s="1069"/>
      <c r="DZH291" s="1069"/>
      <c r="DZI291" s="1069"/>
      <c r="DZJ291" s="1069"/>
      <c r="DZK291" s="1069"/>
      <c r="DZL291" s="1069"/>
      <c r="DZM291" s="1069"/>
      <c r="DZN291" s="1069"/>
      <c r="DZO291" s="1069"/>
      <c r="DZP291" s="1069"/>
      <c r="DZQ291" s="1069"/>
      <c r="DZR291" s="1069"/>
      <c r="DZS291" s="1069"/>
      <c r="DZT291" s="1069"/>
      <c r="DZU291" s="1069"/>
      <c r="DZV291" s="1069"/>
      <c r="DZW291" s="1069"/>
      <c r="DZX291" s="1069"/>
      <c r="DZY291" s="1069"/>
      <c r="DZZ291" s="1069"/>
      <c r="EAA291" s="1069"/>
      <c r="EAB291" s="1069"/>
      <c r="EAC291" s="1069"/>
      <c r="EAD291" s="1069"/>
      <c r="EAE291" s="1069"/>
      <c r="EAF291" s="1069"/>
      <c r="EAG291" s="1069"/>
      <c r="EAH291" s="1069"/>
      <c r="EAI291" s="1069"/>
      <c r="EAJ291" s="1069"/>
      <c r="EAK291" s="1069"/>
      <c r="EAL291" s="1069"/>
      <c r="EAM291" s="1069"/>
      <c r="EAN291" s="1069"/>
      <c r="EAO291" s="1069"/>
      <c r="EAP291" s="1069"/>
      <c r="EAQ291" s="1069"/>
      <c r="EAR291" s="1069"/>
      <c r="EAS291" s="1069"/>
      <c r="EAT291" s="1069"/>
      <c r="EAU291" s="1069"/>
      <c r="EAV291" s="1069"/>
      <c r="EAW291" s="1069"/>
      <c r="EAX291" s="1069"/>
      <c r="EAY291" s="1069"/>
      <c r="EAZ291" s="1069"/>
      <c r="EBA291" s="1069"/>
      <c r="EBB291" s="1069"/>
      <c r="EBC291" s="1069"/>
      <c r="EBD291" s="1069"/>
      <c r="EBE291" s="1069"/>
      <c r="EBF291" s="1069"/>
      <c r="EBG291" s="1069"/>
      <c r="EBH291" s="1069"/>
      <c r="EBI291" s="1069"/>
      <c r="EBJ291" s="1069"/>
      <c r="EBK291" s="1069"/>
      <c r="EBL291" s="1069"/>
      <c r="EBM291" s="1069"/>
      <c r="EBN291" s="1069"/>
      <c r="EBO291" s="1069"/>
      <c r="EBP291" s="1069"/>
      <c r="EBQ291" s="1069"/>
      <c r="EBR291" s="1069"/>
      <c r="EBS291" s="1069"/>
      <c r="EBT291" s="1069"/>
      <c r="EBU291" s="1069"/>
      <c r="EBV291" s="1069"/>
      <c r="EBW291" s="1069"/>
      <c r="EBX291" s="1069"/>
      <c r="EBY291" s="1069"/>
      <c r="EBZ291" s="1069"/>
      <c r="ECA291" s="1069"/>
      <c r="ECB291" s="1069"/>
      <c r="ECC291" s="1069"/>
      <c r="ECD291" s="1069"/>
      <c r="ECE291" s="1069"/>
      <c r="ECF291" s="1069"/>
      <c r="ECG291" s="1069"/>
      <c r="ECH291" s="1069"/>
      <c r="ECI291" s="1069"/>
      <c r="ECJ291" s="1069"/>
      <c r="ECK291" s="1069"/>
      <c r="ECL291" s="1069"/>
      <c r="ECM291" s="1069"/>
      <c r="ECN291" s="1069"/>
      <c r="ECO291" s="1069"/>
      <c r="ECP291" s="1069"/>
      <c r="ECQ291" s="1069"/>
      <c r="ECR291" s="1069"/>
      <c r="ECS291" s="1069"/>
      <c r="ECT291" s="1069"/>
      <c r="ECU291" s="1069"/>
      <c r="ECV291" s="1069"/>
      <c r="ECW291" s="1069"/>
      <c r="ECX291" s="1069"/>
      <c r="ECY291" s="1069"/>
      <c r="ECZ291" s="1069"/>
      <c r="EDA291" s="1069"/>
      <c r="EDB291" s="1069"/>
      <c r="EDC291" s="1069"/>
      <c r="EDD291" s="1069"/>
      <c r="EDE291" s="1069"/>
      <c r="EDF291" s="1069"/>
      <c r="EDG291" s="1069"/>
      <c r="EDH291" s="1069"/>
      <c r="EDI291" s="1069"/>
      <c r="EDJ291" s="1069"/>
      <c r="EDK291" s="1069"/>
      <c r="EDL291" s="1069"/>
      <c r="EDM291" s="1069"/>
      <c r="EDN291" s="1069"/>
      <c r="EDO291" s="1069"/>
      <c r="EDP291" s="1069"/>
      <c r="EDQ291" s="1069"/>
      <c r="EDR291" s="1069"/>
      <c r="EDS291" s="1069"/>
      <c r="EDT291" s="1069"/>
      <c r="EDU291" s="1069"/>
      <c r="EDV291" s="1069"/>
      <c r="EDW291" s="1069"/>
      <c r="EDX291" s="1069"/>
      <c r="EDY291" s="1069"/>
      <c r="EDZ291" s="1069"/>
      <c r="EEA291" s="1069"/>
      <c r="EEB291" s="1069"/>
      <c r="EEC291" s="1069"/>
      <c r="EED291" s="1069"/>
      <c r="EEE291" s="1069"/>
      <c r="EEF291" s="1069"/>
      <c r="EEG291" s="1069"/>
      <c r="EEH291" s="1069"/>
      <c r="EEI291" s="1069"/>
      <c r="EEJ291" s="1069"/>
      <c r="EEK291" s="1069"/>
      <c r="EEL291" s="1069"/>
      <c r="EEM291" s="1069"/>
      <c r="EEN291" s="1069"/>
      <c r="EEO291" s="1069"/>
      <c r="EEP291" s="1069"/>
      <c r="EEQ291" s="1069"/>
      <c r="EER291" s="1069"/>
      <c r="EES291" s="1069"/>
      <c r="EET291" s="1069"/>
      <c r="EEU291" s="1069"/>
      <c r="EEV291" s="1069"/>
      <c r="EEW291" s="1069"/>
      <c r="EEX291" s="1069"/>
      <c r="EEY291" s="1069"/>
      <c r="EEZ291" s="1069"/>
      <c r="EFA291" s="1069"/>
      <c r="EFB291" s="1069"/>
      <c r="EFC291" s="1069"/>
      <c r="EFD291" s="1069"/>
      <c r="EFE291" s="1069"/>
      <c r="EFF291" s="1069"/>
      <c r="EFG291" s="1069"/>
      <c r="EFH291" s="1069"/>
      <c r="EFI291" s="1069"/>
      <c r="EFJ291" s="1069"/>
      <c r="EFK291" s="1069"/>
      <c r="EFL291" s="1069"/>
      <c r="EFM291" s="1069"/>
      <c r="EFN291" s="1069"/>
      <c r="EFO291" s="1069"/>
      <c r="EFP291" s="1069"/>
      <c r="EFQ291" s="1069"/>
      <c r="EFR291" s="1069"/>
      <c r="EFS291" s="1069"/>
      <c r="EFT291" s="1069"/>
      <c r="EFU291" s="1069"/>
      <c r="EFV291" s="1069"/>
      <c r="EFW291" s="1069"/>
      <c r="EFX291" s="1069"/>
      <c r="EFY291" s="1069"/>
      <c r="EFZ291" s="1069"/>
      <c r="EGA291" s="1069"/>
      <c r="EGB291" s="1069"/>
      <c r="EGC291" s="1069"/>
      <c r="EGD291" s="1069"/>
      <c r="EGE291" s="1069"/>
      <c r="EGF291" s="1069"/>
      <c r="EGG291" s="1069"/>
      <c r="EGH291" s="1069"/>
      <c r="EGI291" s="1069"/>
      <c r="EGJ291" s="1069"/>
      <c r="EGK291" s="1069"/>
      <c r="EGL291" s="1069"/>
      <c r="EGM291" s="1069"/>
      <c r="EGN291" s="1069"/>
      <c r="EGO291" s="1069"/>
      <c r="EGP291" s="1069"/>
      <c r="EGQ291" s="1069"/>
      <c r="EGR291" s="1069"/>
      <c r="EGS291" s="1069"/>
      <c r="EGT291" s="1069"/>
      <c r="EGU291" s="1069"/>
      <c r="EGV291" s="1069"/>
      <c r="EGW291" s="1069"/>
      <c r="EGX291" s="1069"/>
      <c r="EGY291" s="1069"/>
      <c r="EGZ291" s="1069"/>
      <c r="EHA291" s="1069"/>
      <c r="EHB291" s="1069"/>
      <c r="EHC291" s="1069"/>
      <c r="EHD291" s="1069"/>
      <c r="EHE291" s="1069"/>
      <c r="EHF291" s="1069"/>
      <c r="EHG291" s="1069"/>
      <c r="EHH291" s="1069"/>
      <c r="EHI291" s="1069"/>
      <c r="EHJ291" s="1069"/>
      <c r="EHK291" s="1069"/>
      <c r="EHL291" s="1069"/>
      <c r="EHM291" s="1069"/>
      <c r="EHN291" s="1069"/>
      <c r="EHO291" s="1069"/>
      <c r="EHP291" s="1069"/>
      <c r="EHQ291" s="1069"/>
      <c r="EHR291" s="1069"/>
      <c r="EHS291" s="1069"/>
      <c r="EHT291" s="1069"/>
      <c r="EHU291" s="1069"/>
      <c r="EHV291" s="1069"/>
      <c r="EHW291" s="1069"/>
      <c r="EHX291" s="1069"/>
      <c r="EHY291" s="1069"/>
      <c r="EHZ291" s="1069"/>
      <c r="EIA291" s="1069"/>
      <c r="EIB291" s="1069"/>
      <c r="EIC291" s="1069"/>
      <c r="EID291" s="1069"/>
      <c r="EIE291" s="1069"/>
      <c r="EIF291" s="1069"/>
      <c r="EIG291" s="1069"/>
      <c r="EIH291" s="1069"/>
      <c r="EII291" s="1069"/>
      <c r="EIJ291" s="1069"/>
      <c r="EIK291" s="1069"/>
      <c r="EIL291" s="1069"/>
      <c r="EIM291" s="1069"/>
      <c r="EIN291" s="1069"/>
      <c r="EIO291" s="1069"/>
      <c r="EIP291" s="1069"/>
      <c r="EIQ291" s="1069"/>
      <c r="EIR291" s="1069"/>
      <c r="EIS291" s="1069"/>
      <c r="EIT291" s="1069"/>
      <c r="EIU291" s="1069"/>
      <c r="EIV291" s="1069"/>
      <c r="EIW291" s="1069"/>
      <c r="EIX291" s="1069"/>
      <c r="EIY291" s="1069"/>
      <c r="EIZ291" s="1069"/>
      <c r="EJA291" s="1069"/>
      <c r="EJB291" s="1069"/>
      <c r="EJC291" s="1069"/>
      <c r="EJD291" s="1069"/>
      <c r="EJE291" s="1069"/>
      <c r="EJF291" s="1069"/>
      <c r="EJG291" s="1069"/>
      <c r="EJH291" s="1069"/>
      <c r="EJI291" s="1069"/>
      <c r="EJJ291" s="1069"/>
      <c r="EJK291" s="1069"/>
      <c r="EJL291" s="1069"/>
      <c r="EJM291" s="1069"/>
      <c r="EJN291" s="1069"/>
      <c r="EJO291" s="1069"/>
      <c r="EJP291" s="1069"/>
      <c r="EJQ291" s="1069"/>
      <c r="EJR291" s="1069"/>
      <c r="EJS291" s="1069"/>
      <c r="EJT291" s="1069"/>
      <c r="EJU291" s="1069"/>
      <c r="EJV291" s="1069"/>
      <c r="EJW291" s="1069"/>
      <c r="EJX291" s="1069"/>
      <c r="EJY291" s="1069"/>
      <c r="EJZ291" s="1069"/>
      <c r="EKA291" s="1069"/>
      <c r="EKB291" s="1069"/>
      <c r="EKC291" s="1069"/>
      <c r="EKD291" s="1069"/>
      <c r="EKE291" s="1069"/>
      <c r="EKF291" s="1069"/>
      <c r="EKG291" s="1069"/>
      <c r="EKH291" s="1069"/>
      <c r="EKI291" s="1069"/>
      <c r="EKJ291" s="1069"/>
      <c r="EKK291" s="1069"/>
      <c r="EKL291" s="1069"/>
      <c r="EKM291" s="1069"/>
      <c r="EKN291" s="1069"/>
      <c r="EKO291" s="1069"/>
      <c r="EKP291" s="1069"/>
      <c r="EKQ291" s="1069"/>
      <c r="EKR291" s="1069"/>
      <c r="EKS291" s="1069"/>
      <c r="EKT291" s="1069"/>
      <c r="EKU291" s="1069"/>
      <c r="EKV291" s="1069"/>
      <c r="EKW291" s="1069"/>
      <c r="EKX291" s="1069"/>
      <c r="EKY291" s="1069"/>
      <c r="EKZ291" s="1069"/>
      <c r="ELA291" s="1069"/>
      <c r="ELB291" s="1069"/>
      <c r="ELC291" s="1069"/>
      <c r="ELD291" s="1069"/>
      <c r="ELE291" s="1069"/>
      <c r="ELF291" s="1069"/>
      <c r="ELG291" s="1069"/>
      <c r="ELH291" s="1069"/>
      <c r="ELI291" s="1069"/>
      <c r="ELJ291" s="1069"/>
      <c r="ELK291" s="1069"/>
      <c r="ELL291" s="1069"/>
      <c r="ELM291" s="1069"/>
      <c r="ELN291" s="1069"/>
      <c r="ELO291" s="1069"/>
      <c r="ELP291" s="1069"/>
      <c r="ELQ291" s="1069"/>
      <c r="ELR291" s="1069"/>
      <c r="ELS291" s="1069"/>
      <c r="ELT291" s="1069"/>
      <c r="ELU291" s="1069"/>
      <c r="ELV291" s="1069"/>
      <c r="ELW291" s="1069"/>
      <c r="ELX291" s="1069"/>
      <c r="ELY291" s="1069"/>
      <c r="ELZ291" s="1069"/>
      <c r="EMA291" s="1069"/>
      <c r="EMB291" s="1069"/>
      <c r="EMC291" s="1069"/>
      <c r="EMD291" s="1069"/>
      <c r="EME291" s="1069"/>
      <c r="EMF291" s="1069"/>
      <c r="EMG291" s="1069"/>
      <c r="EMH291" s="1069"/>
      <c r="EMI291" s="1069"/>
      <c r="EMJ291" s="1069"/>
      <c r="EMK291" s="1069"/>
      <c r="EML291" s="1069"/>
      <c r="EMM291" s="1069"/>
      <c r="EMN291" s="1069"/>
      <c r="EMO291" s="1069"/>
      <c r="EMP291" s="1069"/>
      <c r="EMQ291" s="1069"/>
      <c r="EMR291" s="1069"/>
      <c r="EMS291" s="1069"/>
      <c r="EMT291" s="1069"/>
      <c r="EMU291" s="1069"/>
      <c r="EMV291" s="1069"/>
      <c r="EMW291" s="1069"/>
      <c r="EMX291" s="1069"/>
      <c r="EMY291" s="1069"/>
      <c r="EMZ291" s="1069"/>
      <c r="ENA291" s="1069"/>
      <c r="ENB291" s="1069"/>
      <c r="ENC291" s="1069"/>
      <c r="END291" s="1069"/>
      <c r="ENE291" s="1069"/>
      <c r="ENF291" s="1069"/>
      <c r="ENG291" s="1069"/>
      <c r="ENH291" s="1069"/>
      <c r="ENI291" s="1069"/>
      <c r="ENJ291" s="1069"/>
      <c r="ENK291" s="1069"/>
      <c r="ENL291" s="1069"/>
      <c r="ENM291" s="1069"/>
      <c r="ENN291" s="1069"/>
      <c r="ENO291" s="1069"/>
      <c r="ENP291" s="1069"/>
      <c r="ENQ291" s="1069"/>
      <c r="ENR291" s="1069"/>
      <c r="ENS291" s="1069"/>
      <c r="ENT291" s="1069"/>
      <c r="ENU291" s="1069"/>
      <c r="ENV291" s="1069"/>
      <c r="ENW291" s="1069"/>
      <c r="ENX291" s="1069"/>
      <c r="ENY291" s="1069"/>
      <c r="ENZ291" s="1069"/>
      <c r="EOA291" s="1069"/>
      <c r="EOB291" s="1069"/>
      <c r="EOC291" s="1069"/>
      <c r="EOD291" s="1069"/>
      <c r="EOE291" s="1069"/>
      <c r="EOF291" s="1069"/>
      <c r="EOG291" s="1069"/>
      <c r="EOH291" s="1069"/>
      <c r="EOI291" s="1069"/>
      <c r="EOJ291" s="1069"/>
      <c r="EOK291" s="1069"/>
      <c r="EOL291" s="1069"/>
      <c r="EOM291" s="1069"/>
      <c r="EON291" s="1069"/>
      <c r="EOO291" s="1069"/>
      <c r="EOP291" s="1069"/>
      <c r="EOQ291" s="1069"/>
      <c r="EOR291" s="1069"/>
      <c r="EOS291" s="1069"/>
      <c r="EOT291" s="1069"/>
      <c r="EOU291" s="1069"/>
      <c r="EOV291" s="1069"/>
      <c r="EOW291" s="1069"/>
      <c r="EOX291" s="1069"/>
      <c r="EOY291" s="1069"/>
      <c r="EOZ291" s="1069"/>
      <c r="EPA291" s="1069"/>
      <c r="EPB291" s="1069"/>
      <c r="EPC291" s="1069"/>
      <c r="EPD291" s="1069"/>
      <c r="EPE291" s="1069"/>
      <c r="EPF291" s="1069"/>
      <c r="EPG291" s="1069"/>
      <c r="EPH291" s="1069"/>
      <c r="EPI291" s="1069"/>
      <c r="EPJ291" s="1069"/>
      <c r="EPK291" s="1069"/>
      <c r="EPL291" s="1069"/>
      <c r="EPM291" s="1069"/>
      <c r="EPN291" s="1069"/>
      <c r="EPO291" s="1069"/>
      <c r="EPP291" s="1069"/>
      <c r="EPQ291" s="1069"/>
      <c r="EPR291" s="1069"/>
      <c r="EPS291" s="1069"/>
      <c r="EPT291" s="1069"/>
      <c r="EPU291" s="1069"/>
      <c r="EPV291" s="1069"/>
      <c r="EPW291" s="1069"/>
      <c r="EPX291" s="1069"/>
      <c r="EPY291" s="1069"/>
      <c r="EPZ291" s="1069"/>
      <c r="EQA291" s="1069"/>
      <c r="EQB291" s="1069"/>
      <c r="EQC291" s="1069"/>
      <c r="EQD291" s="1069"/>
      <c r="EQE291" s="1069"/>
      <c r="EQF291" s="1069"/>
      <c r="EQG291" s="1069"/>
      <c r="EQH291" s="1069"/>
      <c r="EQI291" s="1069"/>
      <c r="EQJ291" s="1069"/>
      <c r="EQK291" s="1069"/>
      <c r="EQL291" s="1069"/>
      <c r="EQM291" s="1069"/>
      <c r="EQN291" s="1069"/>
      <c r="EQO291" s="1069"/>
      <c r="EQP291" s="1069"/>
      <c r="EQQ291" s="1069"/>
      <c r="EQR291" s="1069"/>
      <c r="EQS291" s="1069"/>
      <c r="EQT291" s="1069"/>
      <c r="EQU291" s="1069"/>
      <c r="EQV291" s="1069"/>
      <c r="EQW291" s="1069"/>
      <c r="EQX291" s="1069"/>
      <c r="EQY291" s="1069"/>
      <c r="EQZ291" s="1069"/>
      <c r="ERA291" s="1069"/>
      <c r="ERB291" s="1069"/>
      <c r="ERC291" s="1069"/>
      <c r="ERD291" s="1069"/>
      <c r="ERE291" s="1069"/>
      <c r="ERF291" s="1069"/>
      <c r="ERG291" s="1069"/>
      <c r="ERH291" s="1069"/>
      <c r="ERI291" s="1069"/>
      <c r="ERJ291" s="1069"/>
      <c r="ERK291" s="1069"/>
      <c r="ERL291" s="1069"/>
      <c r="ERM291" s="1069"/>
      <c r="ERN291" s="1069"/>
      <c r="ERO291" s="1069"/>
      <c r="ERP291" s="1069"/>
      <c r="ERQ291" s="1069"/>
      <c r="ERR291" s="1069"/>
      <c r="ERS291" s="1069"/>
      <c r="ERT291" s="1069"/>
      <c r="ERU291" s="1069"/>
      <c r="ERV291" s="1069"/>
      <c r="ERW291" s="1069"/>
      <c r="ERX291" s="1069"/>
      <c r="ERY291" s="1069"/>
      <c r="ERZ291" s="1069"/>
      <c r="ESA291" s="1069"/>
      <c r="ESB291" s="1069"/>
      <c r="ESC291" s="1069"/>
      <c r="ESD291" s="1069"/>
      <c r="ESE291" s="1069"/>
      <c r="ESF291" s="1069"/>
      <c r="ESG291" s="1069"/>
      <c r="ESH291" s="1069"/>
      <c r="ESI291" s="1069"/>
      <c r="ESJ291" s="1069"/>
      <c r="ESK291" s="1069"/>
      <c r="ESL291" s="1069"/>
      <c r="ESM291" s="1069"/>
      <c r="ESN291" s="1069"/>
      <c r="ESO291" s="1069"/>
      <c r="ESP291" s="1069"/>
      <c r="ESQ291" s="1069"/>
      <c r="ESR291" s="1069"/>
      <c r="ESS291" s="1069"/>
      <c r="EST291" s="1069"/>
      <c r="ESU291" s="1069"/>
      <c r="ESV291" s="1069"/>
      <c r="ESW291" s="1069"/>
      <c r="ESX291" s="1069"/>
      <c r="ESY291" s="1069"/>
      <c r="ESZ291" s="1069"/>
      <c r="ETA291" s="1069"/>
      <c r="ETB291" s="1069"/>
      <c r="ETC291" s="1069"/>
      <c r="ETD291" s="1069"/>
      <c r="ETE291" s="1069"/>
      <c r="ETF291" s="1069"/>
      <c r="ETG291" s="1069"/>
      <c r="ETH291" s="1069"/>
      <c r="ETI291" s="1069"/>
      <c r="ETJ291" s="1069"/>
      <c r="ETK291" s="1069"/>
      <c r="ETL291" s="1069"/>
      <c r="ETM291" s="1069"/>
      <c r="ETN291" s="1069"/>
      <c r="ETO291" s="1069"/>
      <c r="ETP291" s="1069"/>
      <c r="ETQ291" s="1069"/>
      <c r="ETR291" s="1069"/>
      <c r="ETS291" s="1069"/>
      <c r="ETT291" s="1069"/>
      <c r="ETU291" s="1069"/>
      <c r="ETV291" s="1069"/>
      <c r="ETW291" s="1069"/>
      <c r="ETX291" s="1069"/>
      <c r="ETY291" s="1069"/>
      <c r="ETZ291" s="1069"/>
      <c r="EUA291" s="1069"/>
      <c r="EUB291" s="1069"/>
      <c r="EUC291" s="1069"/>
      <c r="EUD291" s="1069"/>
      <c r="EUE291" s="1069"/>
      <c r="EUF291" s="1069"/>
      <c r="EUG291" s="1069"/>
      <c r="EUH291" s="1069"/>
      <c r="EUI291" s="1069"/>
      <c r="EUJ291" s="1069"/>
      <c r="EUK291" s="1069"/>
      <c r="EUL291" s="1069"/>
      <c r="EUM291" s="1069"/>
      <c r="EUN291" s="1069"/>
      <c r="EUO291" s="1069"/>
      <c r="EUP291" s="1069"/>
      <c r="EUQ291" s="1069"/>
      <c r="EUR291" s="1069"/>
      <c r="EUS291" s="1069"/>
      <c r="EUT291" s="1069"/>
      <c r="EUU291" s="1069"/>
      <c r="EUV291" s="1069"/>
      <c r="EUW291" s="1069"/>
      <c r="EUX291" s="1069"/>
      <c r="EUY291" s="1069"/>
      <c r="EUZ291" s="1069"/>
      <c r="EVA291" s="1069"/>
      <c r="EVB291" s="1069"/>
      <c r="EVC291" s="1069"/>
      <c r="EVD291" s="1069"/>
      <c r="EVE291" s="1069"/>
      <c r="EVF291" s="1069"/>
      <c r="EVG291" s="1069"/>
      <c r="EVH291" s="1069"/>
      <c r="EVI291" s="1069"/>
      <c r="EVJ291" s="1069"/>
      <c r="EVK291" s="1069"/>
      <c r="EVL291" s="1069"/>
      <c r="EVM291" s="1069"/>
      <c r="EVN291" s="1069"/>
      <c r="EVO291" s="1069"/>
      <c r="EVP291" s="1069"/>
      <c r="EVQ291" s="1069"/>
      <c r="EVR291" s="1069"/>
      <c r="EVS291" s="1069"/>
      <c r="EVT291" s="1069"/>
      <c r="EVU291" s="1069"/>
      <c r="EVV291" s="1069"/>
      <c r="EVW291" s="1069"/>
      <c r="EVX291" s="1069"/>
      <c r="EVY291" s="1069"/>
      <c r="EVZ291" s="1069"/>
      <c r="EWA291" s="1069"/>
      <c r="EWB291" s="1069"/>
      <c r="EWC291" s="1069"/>
      <c r="EWD291" s="1069"/>
      <c r="EWE291" s="1069"/>
      <c r="EWF291" s="1069"/>
      <c r="EWG291" s="1069"/>
      <c r="EWH291" s="1069"/>
      <c r="EWI291" s="1069"/>
      <c r="EWJ291" s="1069"/>
      <c r="EWK291" s="1069"/>
      <c r="EWL291" s="1069"/>
      <c r="EWM291" s="1069"/>
      <c r="EWN291" s="1069"/>
      <c r="EWO291" s="1069"/>
      <c r="EWP291" s="1069"/>
      <c r="EWQ291" s="1069"/>
      <c r="EWR291" s="1069"/>
      <c r="EWS291" s="1069"/>
      <c r="EWT291" s="1069"/>
      <c r="EWU291" s="1069"/>
      <c r="EWV291" s="1069"/>
      <c r="EWW291" s="1069"/>
      <c r="EWX291" s="1069"/>
      <c r="EWY291" s="1069"/>
      <c r="EWZ291" s="1069"/>
      <c r="EXA291" s="1069"/>
      <c r="EXB291" s="1069"/>
      <c r="EXC291" s="1069"/>
      <c r="EXD291" s="1069"/>
      <c r="EXE291" s="1069"/>
      <c r="EXF291" s="1069"/>
      <c r="EXG291" s="1069"/>
      <c r="EXH291" s="1069"/>
      <c r="EXI291" s="1069"/>
      <c r="EXJ291" s="1069"/>
      <c r="EXK291" s="1069"/>
      <c r="EXL291" s="1069"/>
      <c r="EXM291" s="1069"/>
      <c r="EXN291" s="1069"/>
      <c r="EXO291" s="1069"/>
      <c r="EXP291" s="1069"/>
      <c r="EXQ291" s="1069"/>
      <c r="EXR291" s="1069"/>
      <c r="EXS291" s="1069"/>
      <c r="EXT291" s="1069"/>
      <c r="EXU291" s="1069"/>
      <c r="EXV291" s="1069"/>
      <c r="EXW291" s="1069"/>
      <c r="EXX291" s="1069"/>
      <c r="EXY291" s="1069"/>
      <c r="EXZ291" s="1069"/>
      <c r="EYA291" s="1069"/>
      <c r="EYB291" s="1069"/>
      <c r="EYC291" s="1069"/>
      <c r="EYD291" s="1069"/>
      <c r="EYE291" s="1069"/>
      <c r="EYF291" s="1069"/>
      <c r="EYG291" s="1069"/>
      <c r="EYH291" s="1069"/>
      <c r="EYI291" s="1069"/>
      <c r="EYJ291" s="1069"/>
      <c r="EYK291" s="1069"/>
      <c r="EYL291" s="1069"/>
      <c r="EYM291" s="1069"/>
      <c r="EYN291" s="1069"/>
      <c r="EYO291" s="1069"/>
      <c r="EYP291" s="1069"/>
      <c r="EYQ291" s="1069"/>
      <c r="EYR291" s="1069"/>
      <c r="EYS291" s="1069"/>
      <c r="EYT291" s="1069"/>
      <c r="EYU291" s="1069"/>
      <c r="EYV291" s="1069"/>
      <c r="EYW291" s="1069"/>
      <c r="EYX291" s="1069"/>
      <c r="EYY291" s="1069"/>
      <c r="EYZ291" s="1069"/>
      <c r="EZA291" s="1069"/>
      <c r="EZB291" s="1069"/>
      <c r="EZC291" s="1069"/>
      <c r="EZD291" s="1069"/>
      <c r="EZE291" s="1069"/>
      <c r="EZF291" s="1069"/>
      <c r="EZG291" s="1069"/>
      <c r="EZH291" s="1069"/>
      <c r="EZI291" s="1069"/>
      <c r="EZJ291" s="1069"/>
      <c r="EZK291" s="1069"/>
      <c r="EZL291" s="1069"/>
      <c r="EZM291" s="1069"/>
      <c r="EZN291" s="1069"/>
      <c r="EZO291" s="1069"/>
      <c r="EZP291" s="1069"/>
      <c r="EZQ291" s="1069"/>
      <c r="EZR291" s="1069"/>
      <c r="EZS291" s="1069"/>
      <c r="EZT291" s="1069"/>
      <c r="EZU291" s="1069"/>
      <c r="EZV291" s="1069"/>
      <c r="EZW291" s="1069"/>
      <c r="EZX291" s="1069"/>
      <c r="EZY291" s="1069"/>
      <c r="EZZ291" s="1069"/>
      <c r="FAA291" s="1069"/>
      <c r="FAB291" s="1069"/>
      <c r="FAC291" s="1069"/>
      <c r="FAD291" s="1069"/>
      <c r="FAE291" s="1069"/>
      <c r="FAF291" s="1069"/>
      <c r="FAG291" s="1069"/>
      <c r="FAH291" s="1069"/>
      <c r="FAI291" s="1069"/>
      <c r="FAJ291" s="1069"/>
      <c r="FAK291" s="1069"/>
      <c r="FAL291" s="1069"/>
      <c r="FAM291" s="1069"/>
      <c r="FAN291" s="1069"/>
      <c r="FAO291" s="1069"/>
      <c r="FAP291" s="1069"/>
      <c r="FAQ291" s="1069"/>
      <c r="FAR291" s="1069"/>
      <c r="FAS291" s="1069"/>
      <c r="FAT291" s="1069"/>
      <c r="FAU291" s="1069"/>
      <c r="FAV291" s="1069"/>
      <c r="FAW291" s="1069"/>
      <c r="FAX291" s="1069"/>
      <c r="FAY291" s="1069"/>
      <c r="FAZ291" s="1069"/>
      <c r="FBA291" s="1069"/>
      <c r="FBB291" s="1069"/>
      <c r="FBC291" s="1069"/>
      <c r="FBD291" s="1069"/>
      <c r="FBE291" s="1069"/>
      <c r="FBF291" s="1069"/>
      <c r="FBG291" s="1069"/>
      <c r="FBH291" s="1069"/>
      <c r="FBI291" s="1069"/>
      <c r="FBJ291" s="1069"/>
      <c r="FBK291" s="1069"/>
      <c r="FBL291" s="1069"/>
      <c r="FBM291" s="1069"/>
      <c r="FBN291" s="1069"/>
      <c r="FBO291" s="1069"/>
      <c r="FBP291" s="1069"/>
      <c r="FBQ291" s="1069"/>
      <c r="FBR291" s="1069"/>
      <c r="FBS291" s="1069"/>
      <c r="FBT291" s="1069"/>
      <c r="FBU291" s="1069"/>
      <c r="FBV291" s="1069"/>
      <c r="FBW291" s="1069"/>
      <c r="FBX291" s="1069"/>
      <c r="FBY291" s="1069"/>
      <c r="FBZ291" s="1069"/>
      <c r="FCA291" s="1069"/>
      <c r="FCB291" s="1069"/>
      <c r="FCC291" s="1069"/>
      <c r="FCD291" s="1069"/>
      <c r="FCE291" s="1069"/>
      <c r="FCF291" s="1069"/>
      <c r="FCG291" s="1069"/>
      <c r="FCH291" s="1069"/>
      <c r="FCI291" s="1069"/>
      <c r="FCJ291" s="1069"/>
      <c r="FCK291" s="1069"/>
      <c r="FCL291" s="1069"/>
      <c r="FCM291" s="1069"/>
      <c r="FCN291" s="1069"/>
      <c r="FCO291" s="1069"/>
      <c r="FCP291" s="1069"/>
      <c r="FCQ291" s="1069"/>
      <c r="FCR291" s="1069"/>
      <c r="FCS291" s="1069"/>
      <c r="FCT291" s="1069"/>
      <c r="FCU291" s="1069"/>
      <c r="FCV291" s="1069"/>
      <c r="FCW291" s="1069"/>
      <c r="FCX291" s="1069"/>
      <c r="FCY291" s="1069"/>
      <c r="FCZ291" s="1069"/>
      <c r="FDA291" s="1069"/>
      <c r="FDB291" s="1069"/>
      <c r="FDC291" s="1069"/>
      <c r="FDD291" s="1069"/>
      <c r="FDE291" s="1069"/>
      <c r="FDF291" s="1069"/>
      <c r="FDG291" s="1069"/>
      <c r="FDH291" s="1069"/>
      <c r="FDI291" s="1069"/>
      <c r="FDJ291" s="1069"/>
      <c r="FDK291" s="1069"/>
      <c r="FDL291" s="1069"/>
      <c r="FDM291" s="1069"/>
      <c r="FDN291" s="1069"/>
      <c r="FDO291" s="1069"/>
      <c r="FDP291" s="1069"/>
      <c r="FDQ291" s="1069"/>
      <c r="FDR291" s="1069"/>
      <c r="FDS291" s="1069"/>
      <c r="FDT291" s="1069"/>
      <c r="FDU291" s="1069"/>
      <c r="FDV291" s="1069"/>
      <c r="FDW291" s="1069"/>
      <c r="FDX291" s="1069"/>
      <c r="FDY291" s="1069"/>
      <c r="FDZ291" s="1069"/>
      <c r="FEA291" s="1069"/>
      <c r="FEB291" s="1069"/>
      <c r="FEC291" s="1069"/>
      <c r="FED291" s="1069"/>
      <c r="FEE291" s="1069"/>
      <c r="FEF291" s="1069"/>
      <c r="FEG291" s="1069"/>
      <c r="FEH291" s="1069"/>
      <c r="FEI291" s="1069"/>
      <c r="FEJ291" s="1069"/>
      <c r="FEK291" s="1069"/>
      <c r="FEL291" s="1069"/>
      <c r="FEM291" s="1069"/>
      <c r="FEN291" s="1069"/>
      <c r="FEO291" s="1069"/>
      <c r="FEP291" s="1069"/>
      <c r="FEQ291" s="1069"/>
      <c r="FER291" s="1069"/>
      <c r="FES291" s="1069"/>
      <c r="FET291" s="1069"/>
      <c r="FEU291" s="1069"/>
      <c r="FEV291" s="1069"/>
      <c r="FEW291" s="1069"/>
      <c r="FEX291" s="1069"/>
      <c r="FEY291" s="1069"/>
      <c r="FEZ291" s="1069"/>
      <c r="FFA291" s="1069"/>
      <c r="FFB291" s="1069"/>
      <c r="FFC291" s="1069"/>
      <c r="FFD291" s="1069"/>
      <c r="FFE291" s="1069"/>
      <c r="FFF291" s="1069"/>
      <c r="FFG291" s="1069"/>
      <c r="FFH291" s="1069"/>
      <c r="FFI291" s="1069"/>
      <c r="FFJ291" s="1069"/>
      <c r="FFK291" s="1069"/>
      <c r="FFL291" s="1069"/>
      <c r="FFM291" s="1069"/>
      <c r="FFN291" s="1069"/>
      <c r="FFO291" s="1069"/>
      <c r="FFP291" s="1069"/>
      <c r="FFQ291" s="1069"/>
      <c r="FFR291" s="1069"/>
      <c r="FFS291" s="1069"/>
      <c r="FFT291" s="1069"/>
      <c r="FFU291" s="1069"/>
      <c r="FFV291" s="1069"/>
      <c r="FFW291" s="1069"/>
      <c r="FFX291" s="1069"/>
      <c r="FFY291" s="1069"/>
      <c r="FFZ291" s="1069"/>
      <c r="FGA291" s="1069"/>
      <c r="FGB291" s="1069"/>
      <c r="FGC291" s="1069"/>
      <c r="FGD291" s="1069"/>
      <c r="FGE291" s="1069"/>
      <c r="FGF291" s="1069"/>
      <c r="FGG291" s="1069"/>
      <c r="FGH291" s="1069"/>
      <c r="FGI291" s="1069"/>
      <c r="FGJ291" s="1069"/>
      <c r="FGK291" s="1069"/>
      <c r="FGL291" s="1069"/>
      <c r="FGM291" s="1069"/>
      <c r="FGN291" s="1069"/>
      <c r="FGO291" s="1069"/>
      <c r="FGP291" s="1069"/>
      <c r="FGQ291" s="1069"/>
      <c r="FGR291" s="1069"/>
      <c r="FGS291" s="1069"/>
      <c r="FGT291" s="1069"/>
      <c r="FGU291" s="1069"/>
      <c r="FGV291" s="1069"/>
      <c r="FGW291" s="1069"/>
      <c r="FGX291" s="1069"/>
      <c r="FGY291" s="1069"/>
      <c r="FGZ291" s="1069"/>
      <c r="FHA291" s="1069"/>
      <c r="FHB291" s="1069"/>
      <c r="FHC291" s="1069"/>
      <c r="FHD291" s="1069"/>
      <c r="FHE291" s="1069"/>
      <c r="FHF291" s="1069"/>
      <c r="FHG291" s="1069"/>
      <c r="FHH291" s="1069"/>
      <c r="FHI291" s="1069"/>
      <c r="FHJ291" s="1069"/>
      <c r="FHK291" s="1069"/>
      <c r="FHL291" s="1069"/>
      <c r="FHM291" s="1069"/>
      <c r="FHN291" s="1069"/>
      <c r="FHO291" s="1069"/>
      <c r="FHP291" s="1069"/>
      <c r="FHQ291" s="1069"/>
      <c r="FHR291" s="1069"/>
      <c r="FHS291" s="1069"/>
      <c r="FHT291" s="1069"/>
      <c r="FHU291" s="1069"/>
      <c r="FHV291" s="1069"/>
      <c r="FHW291" s="1069"/>
      <c r="FHX291" s="1069"/>
      <c r="FHY291" s="1069"/>
      <c r="FHZ291" s="1069"/>
      <c r="FIA291" s="1069"/>
      <c r="FIB291" s="1069"/>
      <c r="FIC291" s="1069"/>
      <c r="FID291" s="1069"/>
      <c r="FIE291" s="1069"/>
      <c r="FIF291" s="1069"/>
      <c r="FIG291" s="1069"/>
      <c r="FIH291" s="1069"/>
      <c r="FII291" s="1069"/>
      <c r="FIJ291" s="1069"/>
      <c r="FIK291" s="1069"/>
      <c r="FIL291" s="1069"/>
      <c r="FIM291" s="1069"/>
      <c r="FIN291" s="1069"/>
      <c r="FIO291" s="1069"/>
      <c r="FIP291" s="1069"/>
      <c r="FIQ291" s="1069"/>
      <c r="FIR291" s="1069"/>
      <c r="FIS291" s="1069"/>
      <c r="FIT291" s="1069"/>
      <c r="FIU291" s="1069"/>
      <c r="FIV291" s="1069"/>
      <c r="FIW291" s="1069"/>
      <c r="FIX291" s="1069"/>
      <c r="FIY291" s="1069"/>
      <c r="FIZ291" s="1069"/>
      <c r="FJA291" s="1069"/>
      <c r="FJB291" s="1069"/>
      <c r="FJC291" s="1069"/>
      <c r="FJD291" s="1069"/>
      <c r="FJE291" s="1069"/>
      <c r="FJF291" s="1069"/>
      <c r="FJG291" s="1069"/>
      <c r="FJH291" s="1069"/>
      <c r="FJI291" s="1069"/>
      <c r="FJJ291" s="1069"/>
      <c r="FJK291" s="1069"/>
      <c r="FJL291" s="1069"/>
      <c r="FJM291" s="1069"/>
      <c r="FJN291" s="1069"/>
      <c r="FJO291" s="1069"/>
      <c r="FJP291" s="1069"/>
      <c r="FJQ291" s="1069"/>
      <c r="FJR291" s="1069"/>
      <c r="FJS291" s="1069"/>
      <c r="FJT291" s="1069"/>
      <c r="FJU291" s="1069"/>
      <c r="FJV291" s="1069"/>
      <c r="FJW291" s="1069"/>
      <c r="FJX291" s="1069"/>
      <c r="FJY291" s="1069"/>
      <c r="FJZ291" s="1069"/>
      <c r="FKA291" s="1069"/>
      <c r="FKB291" s="1069"/>
      <c r="FKC291" s="1069"/>
      <c r="FKD291" s="1069"/>
      <c r="FKE291" s="1069"/>
      <c r="FKF291" s="1069"/>
      <c r="FKG291" s="1069"/>
      <c r="FKH291" s="1069"/>
      <c r="FKI291" s="1069"/>
      <c r="FKJ291" s="1069"/>
      <c r="FKK291" s="1069"/>
      <c r="FKL291" s="1069"/>
      <c r="FKM291" s="1069"/>
      <c r="FKN291" s="1069"/>
      <c r="FKO291" s="1069"/>
      <c r="FKP291" s="1069"/>
      <c r="FKQ291" s="1069"/>
      <c r="FKR291" s="1069"/>
      <c r="FKS291" s="1069"/>
      <c r="FKT291" s="1069"/>
      <c r="FKU291" s="1069"/>
      <c r="FKV291" s="1069"/>
      <c r="FKW291" s="1069"/>
      <c r="FKX291" s="1069"/>
      <c r="FKY291" s="1069"/>
      <c r="FKZ291" s="1069"/>
      <c r="FLA291" s="1069"/>
      <c r="FLB291" s="1069"/>
      <c r="FLC291" s="1069"/>
      <c r="FLD291" s="1069"/>
      <c r="FLE291" s="1069"/>
      <c r="FLF291" s="1069"/>
      <c r="FLG291" s="1069"/>
      <c r="FLH291" s="1069"/>
      <c r="FLI291" s="1069"/>
      <c r="FLJ291" s="1069"/>
      <c r="FLK291" s="1069"/>
      <c r="FLL291" s="1069"/>
      <c r="FLM291" s="1069"/>
      <c r="FLN291" s="1069"/>
      <c r="FLO291" s="1069"/>
      <c r="FLP291" s="1069"/>
      <c r="FLQ291" s="1069"/>
      <c r="FLR291" s="1069"/>
      <c r="FLS291" s="1069"/>
      <c r="FLT291" s="1069"/>
      <c r="FLU291" s="1069"/>
      <c r="FLV291" s="1069"/>
      <c r="FLW291" s="1069"/>
      <c r="FLX291" s="1069"/>
      <c r="FLY291" s="1069"/>
      <c r="FLZ291" s="1069"/>
      <c r="FMA291" s="1069"/>
      <c r="FMB291" s="1069"/>
      <c r="FMC291" s="1069"/>
      <c r="FMD291" s="1069"/>
      <c r="FME291" s="1069"/>
      <c r="FMF291" s="1069"/>
      <c r="FMG291" s="1069"/>
      <c r="FMH291" s="1069"/>
      <c r="FMI291" s="1069"/>
      <c r="FMJ291" s="1069"/>
      <c r="FMK291" s="1069"/>
      <c r="FML291" s="1069"/>
      <c r="FMM291" s="1069"/>
      <c r="FMN291" s="1069"/>
      <c r="FMO291" s="1069"/>
      <c r="FMP291" s="1069"/>
      <c r="FMQ291" s="1069"/>
      <c r="FMR291" s="1069"/>
      <c r="FMS291" s="1069"/>
      <c r="FMT291" s="1069"/>
      <c r="FMU291" s="1069"/>
      <c r="FMV291" s="1069"/>
      <c r="FMW291" s="1069"/>
      <c r="FMX291" s="1069"/>
      <c r="FMY291" s="1069"/>
      <c r="FMZ291" s="1069"/>
      <c r="FNA291" s="1069"/>
      <c r="FNB291" s="1069"/>
      <c r="FNC291" s="1069"/>
      <c r="FND291" s="1069"/>
      <c r="FNE291" s="1069"/>
      <c r="FNF291" s="1069"/>
      <c r="FNG291" s="1069"/>
      <c r="FNH291" s="1069"/>
      <c r="FNI291" s="1069"/>
      <c r="FNJ291" s="1069"/>
      <c r="FNK291" s="1069"/>
      <c r="FNL291" s="1069"/>
      <c r="FNM291" s="1069"/>
      <c r="FNN291" s="1069"/>
      <c r="FNO291" s="1069"/>
      <c r="FNP291" s="1069"/>
      <c r="FNQ291" s="1069"/>
      <c r="FNR291" s="1069"/>
      <c r="FNS291" s="1069"/>
      <c r="FNT291" s="1069"/>
      <c r="FNU291" s="1069"/>
      <c r="FNV291" s="1069"/>
      <c r="FNW291" s="1069"/>
      <c r="FNX291" s="1069"/>
      <c r="FNY291" s="1069"/>
      <c r="FNZ291" s="1069"/>
      <c r="FOA291" s="1069"/>
      <c r="FOB291" s="1069"/>
      <c r="FOC291" s="1069"/>
      <c r="FOD291" s="1069"/>
      <c r="FOE291" s="1069"/>
      <c r="FOF291" s="1069"/>
      <c r="FOG291" s="1069"/>
      <c r="FOH291" s="1069"/>
      <c r="FOI291" s="1069"/>
      <c r="FOJ291" s="1069"/>
      <c r="FOK291" s="1069"/>
      <c r="FOL291" s="1069"/>
      <c r="FOM291" s="1069"/>
      <c r="FON291" s="1069"/>
      <c r="FOO291" s="1069"/>
      <c r="FOP291" s="1069"/>
      <c r="FOQ291" s="1069"/>
      <c r="FOR291" s="1069"/>
      <c r="FOS291" s="1069"/>
      <c r="FOT291" s="1069"/>
      <c r="FOU291" s="1069"/>
      <c r="FOV291" s="1069"/>
      <c r="FOW291" s="1069"/>
      <c r="FOX291" s="1069"/>
      <c r="FOY291" s="1069"/>
      <c r="FOZ291" s="1069"/>
      <c r="FPA291" s="1069"/>
      <c r="FPB291" s="1069"/>
      <c r="FPC291" s="1069"/>
      <c r="FPD291" s="1069"/>
      <c r="FPE291" s="1069"/>
      <c r="FPF291" s="1069"/>
      <c r="FPG291" s="1069"/>
      <c r="FPH291" s="1069"/>
      <c r="FPI291" s="1069"/>
      <c r="FPJ291" s="1069"/>
      <c r="FPK291" s="1069"/>
      <c r="FPL291" s="1069"/>
      <c r="FPM291" s="1069"/>
      <c r="FPN291" s="1069"/>
      <c r="FPO291" s="1069"/>
      <c r="FPP291" s="1069"/>
      <c r="FPQ291" s="1069"/>
      <c r="FPR291" s="1069"/>
      <c r="FPS291" s="1069"/>
      <c r="FPT291" s="1069"/>
      <c r="FPU291" s="1069"/>
      <c r="FPV291" s="1069"/>
      <c r="FPW291" s="1069"/>
      <c r="FPX291" s="1069"/>
      <c r="FPY291" s="1069"/>
      <c r="FPZ291" s="1069"/>
      <c r="FQA291" s="1069"/>
      <c r="FQB291" s="1069"/>
      <c r="FQC291" s="1069"/>
      <c r="FQD291" s="1069"/>
      <c r="FQE291" s="1069"/>
      <c r="FQF291" s="1069"/>
      <c r="FQG291" s="1069"/>
      <c r="FQH291" s="1069"/>
      <c r="FQI291" s="1069"/>
      <c r="FQJ291" s="1069"/>
      <c r="FQK291" s="1069"/>
      <c r="FQL291" s="1069"/>
      <c r="FQM291" s="1069"/>
      <c r="FQN291" s="1069"/>
      <c r="FQO291" s="1069"/>
      <c r="FQP291" s="1069"/>
      <c r="FQQ291" s="1069"/>
      <c r="FQR291" s="1069"/>
      <c r="FQS291" s="1069"/>
      <c r="FQT291" s="1069"/>
      <c r="FQU291" s="1069"/>
      <c r="FQV291" s="1069"/>
      <c r="FQW291" s="1069"/>
      <c r="FQX291" s="1069"/>
      <c r="FQY291" s="1069"/>
      <c r="FQZ291" s="1069"/>
      <c r="FRA291" s="1069"/>
      <c r="FRB291" s="1069"/>
      <c r="FRC291" s="1069"/>
      <c r="FRD291" s="1069"/>
      <c r="FRE291" s="1069"/>
      <c r="FRF291" s="1069"/>
      <c r="FRG291" s="1069"/>
      <c r="FRH291" s="1069"/>
      <c r="FRI291" s="1069"/>
      <c r="FRJ291" s="1069"/>
      <c r="FRK291" s="1069"/>
      <c r="FRL291" s="1069"/>
      <c r="FRM291" s="1069"/>
      <c r="FRN291" s="1069"/>
      <c r="FRO291" s="1069"/>
      <c r="FRP291" s="1069"/>
      <c r="FRQ291" s="1069"/>
      <c r="FRR291" s="1069"/>
      <c r="FRS291" s="1069"/>
      <c r="FRT291" s="1069"/>
      <c r="FRU291" s="1069"/>
      <c r="FRV291" s="1069"/>
      <c r="FRW291" s="1069"/>
      <c r="FRX291" s="1069"/>
      <c r="FRY291" s="1069"/>
      <c r="FRZ291" s="1069"/>
      <c r="FSA291" s="1069"/>
      <c r="FSB291" s="1069"/>
      <c r="FSC291" s="1069"/>
      <c r="FSD291" s="1069"/>
      <c r="FSE291" s="1069"/>
      <c r="FSF291" s="1069"/>
      <c r="FSG291" s="1069"/>
      <c r="FSH291" s="1069"/>
      <c r="FSI291" s="1069"/>
      <c r="FSJ291" s="1069"/>
      <c r="FSK291" s="1069"/>
      <c r="FSL291" s="1069"/>
      <c r="FSM291" s="1069"/>
      <c r="FSN291" s="1069"/>
      <c r="FSO291" s="1069"/>
      <c r="FSP291" s="1069"/>
      <c r="FSQ291" s="1069"/>
      <c r="FSR291" s="1069"/>
      <c r="FSS291" s="1069"/>
      <c r="FST291" s="1069"/>
      <c r="FSU291" s="1069"/>
      <c r="FSV291" s="1069"/>
      <c r="FSW291" s="1069"/>
      <c r="FSX291" s="1069"/>
      <c r="FSY291" s="1069"/>
      <c r="FSZ291" s="1069"/>
      <c r="FTA291" s="1069"/>
      <c r="FTB291" s="1069"/>
      <c r="FTC291" s="1069"/>
      <c r="FTD291" s="1069"/>
      <c r="FTE291" s="1069"/>
      <c r="FTF291" s="1069"/>
      <c r="FTG291" s="1069"/>
      <c r="FTH291" s="1069"/>
      <c r="FTI291" s="1069"/>
      <c r="FTJ291" s="1069"/>
      <c r="FTK291" s="1069"/>
      <c r="FTL291" s="1069"/>
      <c r="FTM291" s="1069"/>
      <c r="FTN291" s="1069"/>
      <c r="FTO291" s="1069"/>
      <c r="FTP291" s="1069"/>
      <c r="FTQ291" s="1069"/>
      <c r="FTR291" s="1069"/>
      <c r="FTS291" s="1069"/>
      <c r="FTT291" s="1069"/>
      <c r="FTU291" s="1069"/>
      <c r="FTV291" s="1069"/>
      <c r="FTW291" s="1069"/>
      <c r="FTX291" s="1069"/>
      <c r="FTY291" s="1069"/>
      <c r="FTZ291" s="1069"/>
      <c r="FUA291" s="1069"/>
      <c r="FUB291" s="1069"/>
      <c r="FUC291" s="1069"/>
      <c r="FUD291" s="1069"/>
      <c r="FUE291" s="1069"/>
      <c r="FUF291" s="1069"/>
      <c r="FUG291" s="1069"/>
      <c r="FUH291" s="1069"/>
      <c r="FUI291" s="1069"/>
      <c r="FUJ291" s="1069"/>
      <c r="FUK291" s="1069"/>
      <c r="FUL291" s="1069"/>
      <c r="FUM291" s="1069"/>
      <c r="FUN291" s="1069"/>
      <c r="FUO291" s="1069"/>
      <c r="FUP291" s="1069"/>
      <c r="FUQ291" s="1069"/>
      <c r="FUR291" s="1069"/>
      <c r="FUS291" s="1069"/>
      <c r="FUT291" s="1069"/>
      <c r="FUU291" s="1069"/>
      <c r="FUV291" s="1069"/>
      <c r="FUW291" s="1069"/>
      <c r="FUX291" s="1069"/>
      <c r="FUY291" s="1069"/>
      <c r="FUZ291" s="1069"/>
      <c r="FVA291" s="1069"/>
      <c r="FVB291" s="1069"/>
      <c r="FVC291" s="1069"/>
      <c r="FVD291" s="1069"/>
      <c r="FVE291" s="1069"/>
      <c r="FVF291" s="1069"/>
      <c r="FVG291" s="1069"/>
      <c r="FVH291" s="1069"/>
      <c r="FVI291" s="1069"/>
      <c r="FVJ291" s="1069"/>
      <c r="FVK291" s="1069"/>
      <c r="FVL291" s="1069"/>
      <c r="FVM291" s="1069"/>
      <c r="FVN291" s="1069"/>
      <c r="FVO291" s="1069"/>
      <c r="FVP291" s="1069"/>
      <c r="FVQ291" s="1069"/>
      <c r="FVR291" s="1069"/>
      <c r="FVS291" s="1069"/>
      <c r="FVT291" s="1069"/>
      <c r="FVU291" s="1069"/>
      <c r="FVV291" s="1069"/>
      <c r="FVW291" s="1069"/>
      <c r="FVX291" s="1069"/>
      <c r="FVY291" s="1069"/>
      <c r="FVZ291" s="1069"/>
      <c r="FWA291" s="1069"/>
      <c r="FWB291" s="1069"/>
      <c r="FWC291" s="1069"/>
      <c r="FWD291" s="1069"/>
      <c r="FWE291" s="1069"/>
      <c r="FWF291" s="1069"/>
      <c r="FWG291" s="1069"/>
      <c r="FWH291" s="1069"/>
      <c r="FWI291" s="1069"/>
      <c r="FWJ291" s="1069"/>
      <c r="FWK291" s="1069"/>
      <c r="FWL291" s="1069"/>
      <c r="FWM291" s="1069"/>
      <c r="FWN291" s="1069"/>
      <c r="FWO291" s="1069"/>
      <c r="FWP291" s="1069"/>
      <c r="FWQ291" s="1069"/>
      <c r="FWR291" s="1069"/>
      <c r="FWS291" s="1069"/>
      <c r="FWT291" s="1069"/>
      <c r="FWU291" s="1069"/>
      <c r="FWV291" s="1069"/>
      <c r="FWW291" s="1069"/>
      <c r="FWX291" s="1069"/>
      <c r="FWY291" s="1069"/>
      <c r="FWZ291" s="1069"/>
      <c r="FXA291" s="1069"/>
      <c r="FXB291" s="1069"/>
      <c r="FXC291" s="1069"/>
      <c r="FXD291" s="1069"/>
      <c r="FXE291" s="1069"/>
      <c r="FXF291" s="1069"/>
      <c r="FXG291" s="1069"/>
      <c r="FXH291" s="1069"/>
      <c r="FXI291" s="1069"/>
      <c r="FXJ291" s="1069"/>
      <c r="FXK291" s="1069"/>
      <c r="FXL291" s="1069"/>
      <c r="FXM291" s="1069"/>
      <c r="FXN291" s="1069"/>
      <c r="FXO291" s="1069"/>
      <c r="FXP291" s="1069"/>
      <c r="FXQ291" s="1069"/>
      <c r="FXR291" s="1069"/>
      <c r="FXS291" s="1069"/>
      <c r="FXT291" s="1069"/>
      <c r="FXU291" s="1069"/>
      <c r="FXV291" s="1069"/>
      <c r="FXW291" s="1069"/>
      <c r="FXX291" s="1069"/>
      <c r="FXY291" s="1069"/>
      <c r="FXZ291" s="1069"/>
      <c r="FYA291" s="1069"/>
      <c r="FYB291" s="1069"/>
      <c r="FYC291" s="1069"/>
      <c r="FYD291" s="1069"/>
      <c r="FYE291" s="1069"/>
      <c r="FYF291" s="1069"/>
      <c r="FYG291" s="1069"/>
      <c r="FYH291" s="1069"/>
      <c r="FYI291" s="1069"/>
      <c r="FYJ291" s="1069"/>
      <c r="FYK291" s="1069"/>
      <c r="FYL291" s="1069"/>
      <c r="FYM291" s="1069"/>
      <c r="FYN291" s="1069"/>
      <c r="FYO291" s="1069"/>
      <c r="FYP291" s="1069"/>
      <c r="FYQ291" s="1069"/>
      <c r="FYR291" s="1069"/>
      <c r="FYS291" s="1069"/>
      <c r="FYT291" s="1069"/>
      <c r="FYU291" s="1069"/>
      <c r="FYV291" s="1069"/>
      <c r="FYW291" s="1069"/>
      <c r="FYX291" s="1069"/>
      <c r="FYY291" s="1069"/>
      <c r="FYZ291" s="1069"/>
      <c r="FZA291" s="1069"/>
      <c r="FZB291" s="1069"/>
      <c r="FZC291" s="1069"/>
      <c r="FZD291" s="1069"/>
      <c r="FZE291" s="1069"/>
      <c r="FZF291" s="1069"/>
      <c r="FZG291" s="1069"/>
      <c r="FZH291" s="1069"/>
      <c r="FZI291" s="1069"/>
      <c r="FZJ291" s="1069"/>
      <c r="FZK291" s="1069"/>
      <c r="FZL291" s="1069"/>
      <c r="FZM291" s="1069"/>
      <c r="FZN291" s="1069"/>
      <c r="FZO291" s="1069"/>
      <c r="FZP291" s="1069"/>
      <c r="FZQ291" s="1069"/>
      <c r="FZR291" s="1069"/>
      <c r="FZS291" s="1069"/>
      <c r="FZT291" s="1069"/>
      <c r="FZU291" s="1069"/>
      <c r="FZV291" s="1069"/>
      <c r="FZW291" s="1069"/>
      <c r="FZX291" s="1069"/>
      <c r="FZY291" s="1069"/>
      <c r="FZZ291" s="1069"/>
      <c r="GAA291" s="1069"/>
      <c r="GAB291" s="1069"/>
      <c r="GAC291" s="1069"/>
      <c r="GAD291" s="1069"/>
      <c r="GAE291" s="1069"/>
      <c r="GAF291" s="1069"/>
      <c r="GAG291" s="1069"/>
      <c r="GAH291" s="1069"/>
      <c r="GAI291" s="1069"/>
      <c r="GAJ291" s="1069"/>
      <c r="GAK291" s="1069"/>
      <c r="GAL291" s="1069"/>
      <c r="GAM291" s="1069"/>
      <c r="GAN291" s="1069"/>
      <c r="GAO291" s="1069"/>
      <c r="GAP291" s="1069"/>
      <c r="GAQ291" s="1069"/>
      <c r="GAR291" s="1069"/>
      <c r="GAS291" s="1069"/>
      <c r="GAT291" s="1069"/>
      <c r="GAU291" s="1069"/>
      <c r="GAV291" s="1069"/>
      <c r="GAW291" s="1069"/>
      <c r="GAX291" s="1069"/>
      <c r="GAY291" s="1069"/>
      <c r="GAZ291" s="1069"/>
      <c r="GBA291" s="1069"/>
      <c r="GBB291" s="1069"/>
      <c r="GBC291" s="1069"/>
      <c r="GBD291" s="1069"/>
      <c r="GBE291" s="1069"/>
      <c r="GBF291" s="1069"/>
      <c r="GBG291" s="1069"/>
      <c r="GBH291" s="1069"/>
      <c r="GBI291" s="1069"/>
      <c r="GBJ291" s="1069"/>
      <c r="GBK291" s="1069"/>
      <c r="GBL291" s="1069"/>
      <c r="GBM291" s="1069"/>
      <c r="GBN291" s="1069"/>
      <c r="GBO291" s="1069"/>
      <c r="GBP291" s="1069"/>
      <c r="GBQ291" s="1069"/>
      <c r="GBR291" s="1069"/>
      <c r="GBS291" s="1069"/>
      <c r="GBT291" s="1069"/>
      <c r="GBU291" s="1069"/>
      <c r="GBV291" s="1069"/>
      <c r="GBW291" s="1069"/>
      <c r="GBX291" s="1069"/>
      <c r="GBY291" s="1069"/>
      <c r="GBZ291" s="1069"/>
      <c r="GCA291" s="1069"/>
      <c r="GCB291" s="1069"/>
      <c r="GCC291" s="1069"/>
      <c r="GCD291" s="1069"/>
      <c r="GCE291" s="1069"/>
      <c r="GCF291" s="1069"/>
      <c r="GCG291" s="1069"/>
      <c r="GCH291" s="1069"/>
      <c r="GCI291" s="1069"/>
      <c r="GCJ291" s="1069"/>
      <c r="GCK291" s="1069"/>
      <c r="GCL291" s="1069"/>
      <c r="GCM291" s="1069"/>
      <c r="GCN291" s="1069"/>
      <c r="GCO291" s="1069"/>
      <c r="GCP291" s="1069"/>
      <c r="GCQ291" s="1069"/>
      <c r="GCR291" s="1069"/>
      <c r="GCS291" s="1069"/>
      <c r="GCT291" s="1069"/>
      <c r="GCU291" s="1069"/>
      <c r="GCV291" s="1069"/>
      <c r="GCW291" s="1069"/>
      <c r="GCX291" s="1069"/>
      <c r="GCY291" s="1069"/>
      <c r="GCZ291" s="1069"/>
      <c r="GDA291" s="1069"/>
      <c r="GDB291" s="1069"/>
      <c r="GDC291" s="1069"/>
      <c r="GDD291" s="1069"/>
      <c r="GDE291" s="1069"/>
      <c r="GDF291" s="1069"/>
      <c r="GDG291" s="1069"/>
      <c r="GDH291" s="1069"/>
      <c r="GDI291" s="1069"/>
      <c r="GDJ291" s="1069"/>
      <c r="GDK291" s="1069"/>
      <c r="GDL291" s="1069"/>
      <c r="GDM291" s="1069"/>
      <c r="GDN291" s="1069"/>
      <c r="GDO291" s="1069"/>
      <c r="GDP291" s="1069"/>
      <c r="GDQ291" s="1069"/>
      <c r="GDR291" s="1069"/>
      <c r="GDS291" s="1069"/>
      <c r="GDT291" s="1069"/>
      <c r="GDU291" s="1069"/>
      <c r="GDV291" s="1069"/>
      <c r="GDW291" s="1069"/>
      <c r="GDX291" s="1069"/>
      <c r="GDY291" s="1069"/>
      <c r="GDZ291" s="1069"/>
      <c r="GEA291" s="1069"/>
      <c r="GEB291" s="1069"/>
      <c r="GEC291" s="1069"/>
      <c r="GED291" s="1069"/>
      <c r="GEE291" s="1069"/>
      <c r="GEF291" s="1069"/>
      <c r="GEG291" s="1069"/>
      <c r="GEH291" s="1069"/>
      <c r="GEI291" s="1069"/>
      <c r="GEJ291" s="1069"/>
      <c r="GEK291" s="1069"/>
      <c r="GEL291" s="1069"/>
      <c r="GEM291" s="1069"/>
      <c r="GEN291" s="1069"/>
      <c r="GEO291" s="1069"/>
      <c r="GEP291" s="1069"/>
      <c r="GEQ291" s="1069"/>
      <c r="GER291" s="1069"/>
      <c r="GES291" s="1069"/>
      <c r="GET291" s="1069"/>
      <c r="GEU291" s="1069"/>
      <c r="GEV291" s="1069"/>
      <c r="GEW291" s="1069"/>
      <c r="GEX291" s="1069"/>
      <c r="GEY291" s="1069"/>
      <c r="GEZ291" s="1069"/>
      <c r="GFA291" s="1069"/>
      <c r="GFB291" s="1069"/>
      <c r="GFC291" s="1069"/>
      <c r="GFD291" s="1069"/>
      <c r="GFE291" s="1069"/>
      <c r="GFF291" s="1069"/>
      <c r="GFG291" s="1069"/>
      <c r="GFH291" s="1069"/>
      <c r="GFI291" s="1069"/>
      <c r="GFJ291" s="1069"/>
      <c r="GFK291" s="1069"/>
      <c r="GFL291" s="1069"/>
      <c r="GFM291" s="1069"/>
      <c r="GFN291" s="1069"/>
      <c r="GFO291" s="1069"/>
      <c r="GFP291" s="1069"/>
      <c r="GFQ291" s="1069"/>
      <c r="GFR291" s="1069"/>
      <c r="GFS291" s="1069"/>
      <c r="GFT291" s="1069"/>
      <c r="GFU291" s="1069"/>
      <c r="GFV291" s="1069"/>
      <c r="GFW291" s="1069"/>
      <c r="GFX291" s="1069"/>
      <c r="GFY291" s="1069"/>
      <c r="GFZ291" s="1069"/>
      <c r="GGA291" s="1069"/>
      <c r="GGB291" s="1069"/>
      <c r="GGC291" s="1069"/>
      <c r="GGD291" s="1069"/>
      <c r="GGE291" s="1069"/>
      <c r="GGF291" s="1069"/>
      <c r="GGG291" s="1069"/>
      <c r="GGH291" s="1069"/>
      <c r="GGI291" s="1069"/>
      <c r="GGJ291" s="1069"/>
      <c r="GGK291" s="1069"/>
      <c r="GGL291" s="1069"/>
      <c r="GGM291" s="1069"/>
      <c r="GGN291" s="1069"/>
      <c r="GGO291" s="1069"/>
      <c r="GGP291" s="1069"/>
      <c r="GGQ291" s="1069"/>
      <c r="GGR291" s="1069"/>
      <c r="GGS291" s="1069"/>
      <c r="GGT291" s="1069"/>
      <c r="GGU291" s="1069"/>
      <c r="GGV291" s="1069"/>
      <c r="GGW291" s="1069"/>
      <c r="GGX291" s="1069"/>
      <c r="GGY291" s="1069"/>
      <c r="GGZ291" s="1069"/>
      <c r="GHA291" s="1069"/>
      <c r="GHB291" s="1069"/>
      <c r="GHC291" s="1069"/>
      <c r="GHD291" s="1069"/>
      <c r="GHE291" s="1069"/>
      <c r="GHF291" s="1069"/>
      <c r="GHG291" s="1069"/>
      <c r="GHH291" s="1069"/>
      <c r="GHI291" s="1069"/>
      <c r="GHJ291" s="1069"/>
      <c r="GHK291" s="1069"/>
      <c r="GHL291" s="1069"/>
      <c r="GHM291" s="1069"/>
      <c r="GHN291" s="1069"/>
      <c r="GHO291" s="1069"/>
      <c r="GHP291" s="1069"/>
      <c r="GHQ291" s="1069"/>
      <c r="GHR291" s="1069"/>
      <c r="GHS291" s="1069"/>
      <c r="GHT291" s="1069"/>
      <c r="GHU291" s="1069"/>
      <c r="GHV291" s="1069"/>
      <c r="GHW291" s="1069"/>
      <c r="GHX291" s="1069"/>
      <c r="GHY291" s="1069"/>
      <c r="GHZ291" s="1069"/>
      <c r="GIA291" s="1069"/>
      <c r="GIB291" s="1069"/>
      <c r="GIC291" s="1069"/>
      <c r="GID291" s="1069"/>
      <c r="GIE291" s="1069"/>
      <c r="GIF291" s="1069"/>
      <c r="GIG291" s="1069"/>
      <c r="GIH291" s="1069"/>
      <c r="GII291" s="1069"/>
      <c r="GIJ291" s="1069"/>
      <c r="GIK291" s="1069"/>
      <c r="GIL291" s="1069"/>
      <c r="GIM291" s="1069"/>
      <c r="GIN291" s="1069"/>
      <c r="GIO291" s="1069"/>
      <c r="GIP291" s="1069"/>
      <c r="GIQ291" s="1069"/>
      <c r="GIR291" s="1069"/>
      <c r="GIS291" s="1069"/>
      <c r="GIT291" s="1069"/>
      <c r="GIU291" s="1069"/>
      <c r="GIV291" s="1069"/>
      <c r="GIW291" s="1069"/>
      <c r="GIX291" s="1069"/>
      <c r="GIY291" s="1069"/>
      <c r="GIZ291" s="1069"/>
      <c r="GJA291" s="1069"/>
      <c r="GJB291" s="1069"/>
      <c r="GJC291" s="1069"/>
      <c r="GJD291" s="1069"/>
      <c r="GJE291" s="1069"/>
      <c r="GJF291" s="1069"/>
      <c r="GJG291" s="1069"/>
      <c r="GJH291" s="1069"/>
      <c r="GJI291" s="1069"/>
      <c r="GJJ291" s="1069"/>
      <c r="GJK291" s="1069"/>
      <c r="GJL291" s="1069"/>
      <c r="GJM291" s="1069"/>
      <c r="GJN291" s="1069"/>
      <c r="GJO291" s="1069"/>
      <c r="GJP291" s="1069"/>
      <c r="GJQ291" s="1069"/>
      <c r="GJR291" s="1069"/>
      <c r="GJS291" s="1069"/>
      <c r="GJT291" s="1069"/>
      <c r="GJU291" s="1069"/>
      <c r="GJV291" s="1069"/>
      <c r="GJW291" s="1069"/>
      <c r="GJX291" s="1069"/>
      <c r="GJY291" s="1069"/>
      <c r="GJZ291" s="1069"/>
      <c r="GKA291" s="1069"/>
      <c r="GKB291" s="1069"/>
      <c r="GKC291" s="1069"/>
      <c r="GKD291" s="1069"/>
      <c r="GKE291" s="1069"/>
      <c r="GKF291" s="1069"/>
      <c r="GKG291" s="1069"/>
      <c r="GKH291" s="1069"/>
      <c r="GKI291" s="1069"/>
      <c r="GKJ291" s="1069"/>
      <c r="GKK291" s="1069"/>
      <c r="GKL291" s="1069"/>
      <c r="GKM291" s="1069"/>
      <c r="GKN291" s="1069"/>
      <c r="GKO291" s="1069"/>
      <c r="GKP291" s="1069"/>
      <c r="GKQ291" s="1069"/>
      <c r="GKR291" s="1069"/>
      <c r="GKS291" s="1069"/>
      <c r="GKT291" s="1069"/>
      <c r="GKU291" s="1069"/>
      <c r="GKV291" s="1069"/>
      <c r="GKW291" s="1069"/>
      <c r="GKX291" s="1069"/>
      <c r="GKY291" s="1069"/>
      <c r="GKZ291" s="1069"/>
      <c r="GLA291" s="1069"/>
      <c r="GLB291" s="1069"/>
      <c r="GLC291" s="1069"/>
      <c r="GLD291" s="1069"/>
      <c r="GLE291" s="1069"/>
      <c r="GLF291" s="1069"/>
      <c r="GLG291" s="1069"/>
      <c r="GLH291" s="1069"/>
      <c r="GLI291" s="1069"/>
      <c r="GLJ291" s="1069"/>
      <c r="GLK291" s="1069"/>
      <c r="GLL291" s="1069"/>
      <c r="GLM291" s="1069"/>
      <c r="GLN291" s="1069"/>
      <c r="GLO291" s="1069"/>
      <c r="GLP291" s="1069"/>
      <c r="GLQ291" s="1069"/>
      <c r="GLR291" s="1069"/>
      <c r="GLS291" s="1069"/>
      <c r="GLT291" s="1069"/>
      <c r="GLU291" s="1069"/>
      <c r="GLV291" s="1069"/>
      <c r="GLW291" s="1069"/>
      <c r="GLX291" s="1069"/>
      <c r="GLY291" s="1069"/>
      <c r="GLZ291" s="1069"/>
      <c r="GMA291" s="1069"/>
      <c r="GMB291" s="1069"/>
      <c r="GMC291" s="1069"/>
      <c r="GMD291" s="1069"/>
      <c r="GME291" s="1069"/>
      <c r="GMF291" s="1069"/>
      <c r="GMG291" s="1069"/>
      <c r="GMH291" s="1069"/>
      <c r="GMI291" s="1069"/>
      <c r="GMJ291" s="1069"/>
      <c r="GMK291" s="1069"/>
      <c r="GML291" s="1069"/>
      <c r="GMM291" s="1069"/>
      <c r="GMN291" s="1069"/>
      <c r="GMO291" s="1069"/>
      <c r="GMP291" s="1069"/>
      <c r="GMQ291" s="1069"/>
      <c r="GMR291" s="1069"/>
      <c r="GMS291" s="1069"/>
      <c r="GMT291" s="1069"/>
      <c r="GMU291" s="1069"/>
      <c r="GMV291" s="1069"/>
      <c r="GMW291" s="1069"/>
      <c r="GMX291" s="1069"/>
      <c r="GMY291" s="1069"/>
      <c r="GMZ291" s="1069"/>
      <c r="GNA291" s="1069"/>
      <c r="GNB291" s="1069"/>
      <c r="GNC291" s="1069"/>
      <c r="GND291" s="1069"/>
      <c r="GNE291" s="1069"/>
      <c r="GNF291" s="1069"/>
      <c r="GNG291" s="1069"/>
      <c r="GNH291" s="1069"/>
      <c r="GNI291" s="1069"/>
      <c r="GNJ291" s="1069"/>
      <c r="GNK291" s="1069"/>
      <c r="GNL291" s="1069"/>
      <c r="GNM291" s="1069"/>
      <c r="GNN291" s="1069"/>
      <c r="GNO291" s="1069"/>
      <c r="GNP291" s="1069"/>
      <c r="GNQ291" s="1069"/>
      <c r="GNR291" s="1069"/>
      <c r="GNS291" s="1069"/>
      <c r="GNT291" s="1069"/>
      <c r="GNU291" s="1069"/>
      <c r="GNV291" s="1069"/>
      <c r="GNW291" s="1069"/>
      <c r="GNX291" s="1069"/>
      <c r="GNY291" s="1069"/>
      <c r="GNZ291" s="1069"/>
      <c r="GOA291" s="1069"/>
      <c r="GOB291" s="1069"/>
      <c r="GOC291" s="1069"/>
      <c r="GOD291" s="1069"/>
      <c r="GOE291" s="1069"/>
      <c r="GOF291" s="1069"/>
      <c r="GOG291" s="1069"/>
      <c r="GOH291" s="1069"/>
      <c r="GOI291" s="1069"/>
      <c r="GOJ291" s="1069"/>
      <c r="GOK291" s="1069"/>
      <c r="GOL291" s="1069"/>
      <c r="GOM291" s="1069"/>
      <c r="GON291" s="1069"/>
      <c r="GOO291" s="1069"/>
      <c r="GOP291" s="1069"/>
      <c r="GOQ291" s="1069"/>
      <c r="GOR291" s="1069"/>
      <c r="GOS291" s="1069"/>
      <c r="GOT291" s="1069"/>
      <c r="GOU291" s="1069"/>
      <c r="GOV291" s="1069"/>
      <c r="GOW291" s="1069"/>
      <c r="GOX291" s="1069"/>
      <c r="GOY291" s="1069"/>
      <c r="GOZ291" s="1069"/>
      <c r="GPA291" s="1069"/>
      <c r="GPB291" s="1069"/>
      <c r="GPC291" s="1069"/>
      <c r="GPD291" s="1069"/>
      <c r="GPE291" s="1069"/>
      <c r="GPF291" s="1069"/>
      <c r="GPG291" s="1069"/>
      <c r="GPH291" s="1069"/>
      <c r="GPI291" s="1069"/>
      <c r="GPJ291" s="1069"/>
      <c r="GPK291" s="1069"/>
      <c r="GPL291" s="1069"/>
      <c r="GPM291" s="1069"/>
      <c r="GPN291" s="1069"/>
      <c r="GPO291" s="1069"/>
      <c r="GPP291" s="1069"/>
      <c r="GPQ291" s="1069"/>
      <c r="GPR291" s="1069"/>
      <c r="GPS291" s="1069"/>
      <c r="GPT291" s="1069"/>
      <c r="GPU291" s="1069"/>
      <c r="GPV291" s="1069"/>
      <c r="GPW291" s="1069"/>
      <c r="GPX291" s="1069"/>
      <c r="GPY291" s="1069"/>
      <c r="GPZ291" s="1069"/>
      <c r="GQA291" s="1069"/>
      <c r="GQB291" s="1069"/>
      <c r="GQC291" s="1069"/>
      <c r="GQD291" s="1069"/>
      <c r="GQE291" s="1069"/>
      <c r="GQF291" s="1069"/>
      <c r="GQG291" s="1069"/>
      <c r="GQH291" s="1069"/>
      <c r="GQI291" s="1069"/>
      <c r="GQJ291" s="1069"/>
      <c r="GQK291" s="1069"/>
      <c r="GQL291" s="1069"/>
      <c r="GQM291" s="1069"/>
      <c r="GQN291" s="1069"/>
      <c r="GQO291" s="1069"/>
      <c r="GQP291" s="1069"/>
      <c r="GQQ291" s="1069"/>
      <c r="GQR291" s="1069"/>
      <c r="GQS291" s="1069"/>
      <c r="GQT291" s="1069"/>
      <c r="GQU291" s="1069"/>
      <c r="GQV291" s="1069"/>
      <c r="GQW291" s="1069"/>
      <c r="GQX291" s="1069"/>
      <c r="GQY291" s="1069"/>
      <c r="GQZ291" s="1069"/>
      <c r="GRA291" s="1069"/>
      <c r="GRB291" s="1069"/>
      <c r="GRC291" s="1069"/>
      <c r="GRD291" s="1069"/>
      <c r="GRE291" s="1069"/>
      <c r="GRF291" s="1069"/>
      <c r="GRG291" s="1069"/>
      <c r="GRH291" s="1069"/>
      <c r="GRI291" s="1069"/>
      <c r="GRJ291" s="1069"/>
      <c r="GRK291" s="1069"/>
      <c r="GRL291" s="1069"/>
      <c r="GRM291" s="1069"/>
      <c r="GRN291" s="1069"/>
      <c r="GRO291" s="1069"/>
      <c r="GRP291" s="1069"/>
      <c r="GRQ291" s="1069"/>
      <c r="GRR291" s="1069"/>
      <c r="GRS291" s="1069"/>
      <c r="GRT291" s="1069"/>
      <c r="GRU291" s="1069"/>
      <c r="GRV291" s="1069"/>
      <c r="GRW291" s="1069"/>
      <c r="GRX291" s="1069"/>
      <c r="GRY291" s="1069"/>
      <c r="GRZ291" s="1069"/>
      <c r="GSA291" s="1069"/>
      <c r="GSB291" s="1069"/>
      <c r="GSC291" s="1069"/>
      <c r="GSD291" s="1069"/>
      <c r="GSE291" s="1069"/>
      <c r="GSF291" s="1069"/>
      <c r="GSG291" s="1069"/>
      <c r="GSH291" s="1069"/>
      <c r="GSI291" s="1069"/>
      <c r="GSJ291" s="1069"/>
      <c r="GSK291" s="1069"/>
      <c r="GSL291" s="1069"/>
      <c r="GSM291" s="1069"/>
      <c r="GSN291" s="1069"/>
      <c r="GSO291" s="1069"/>
      <c r="GSP291" s="1069"/>
      <c r="GSQ291" s="1069"/>
      <c r="GSR291" s="1069"/>
      <c r="GSS291" s="1069"/>
      <c r="GST291" s="1069"/>
      <c r="GSU291" s="1069"/>
      <c r="GSV291" s="1069"/>
      <c r="GSW291" s="1069"/>
      <c r="GSX291" s="1069"/>
      <c r="GSY291" s="1069"/>
      <c r="GSZ291" s="1069"/>
      <c r="GTA291" s="1069"/>
      <c r="GTB291" s="1069"/>
      <c r="GTC291" s="1069"/>
      <c r="GTD291" s="1069"/>
      <c r="GTE291" s="1069"/>
      <c r="GTF291" s="1069"/>
      <c r="GTG291" s="1069"/>
      <c r="GTH291" s="1069"/>
      <c r="GTI291" s="1069"/>
      <c r="GTJ291" s="1069"/>
      <c r="GTK291" s="1069"/>
      <c r="GTL291" s="1069"/>
      <c r="GTM291" s="1069"/>
      <c r="GTN291" s="1069"/>
      <c r="GTO291" s="1069"/>
      <c r="GTP291" s="1069"/>
      <c r="GTQ291" s="1069"/>
      <c r="GTR291" s="1069"/>
      <c r="GTS291" s="1069"/>
      <c r="GTT291" s="1069"/>
      <c r="GTU291" s="1069"/>
      <c r="GTV291" s="1069"/>
      <c r="GTW291" s="1069"/>
      <c r="GTX291" s="1069"/>
      <c r="GTY291" s="1069"/>
      <c r="GTZ291" s="1069"/>
      <c r="GUA291" s="1069"/>
      <c r="GUB291" s="1069"/>
      <c r="GUC291" s="1069"/>
      <c r="GUD291" s="1069"/>
      <c r="GUE291" s="1069"/>
      <c r="GUF291" s="1069"/>
      <c r="GUG291" s="1069"/>
      <c r="GUH291" s="1069"/>
      <c r="GUI291" s="1069"/>
      <c r="GUJ291" s="1069"/>
      <c r="GUK291" s="1069"/>
      <c r="GUL291" s="1069"/>
      <c r="GUM291" s="1069"/>
      <c r="GUN291" s="1069"/>
      <c r="GUO291" s="1069"/>
      <c r="GUP291" s="1069"/>
      <c r="GUQ291" s="1069"/>
      <c r="GUR291" s="1069"/>
      <c r="GUS291" s="1069"/>
      <c r="GUT291" s="1069"/>
      <c r="GUU291" s="1069"/>
      <c r="GUV291" s="1069"/>
      <c r="GUW291" s="1069"/>
      <c r="GUX291" s="1069"/>
      <c r="GUY291" s="1069"/>
      <c r="GUZ291" s="1069"/>
      <c r="GVA291" s="1069"/>
      <c r="GVB291" s="1069"/>
      <c r="GVC291" s="1069"/>
      <c r="GVD291" s="1069"/>
      <c r="GVE291" s="1069"/>
      <c r="GVF291" s="1069"/>
      <c r="GVG291" s="1069"/>
      <c r="GVH291" s="1069"/>
      <c r="GVI291" s="1069"/>
      <c r="GVJ291" s="1069"/>
      <c r="GVK291" s="1069"/>
      <c r="GVL291" s="1069"/>
      <c r="GVM291" s="1069"/>
      <c r="GVN291" s="1069"/>
      <c r="GVO291" s="1069"/>
      <c r="GVP291" s="1069"/>
      <c r="GVQ291" s="1069"/>
      <c r="GVR291" s="1069"/>
      <c r="GVS291" s="1069"/>
      <c r="GVT291" s="1069"/>
      <c r="GVU291" s="1069"/>
      <c r="GVV291" s="1069"/>
      <c r="GVW291" s="1069"/>
      <c r="GVX291" s="1069"/>
      <c r="GVY291" s="1069"/>
      <c r="GVZ291" s="1069"/>
      <c r="GWA291" s="1069"/>
      <c r="GWB291" s="1069"/>
      <c r="GWC291" s="1069"/>
      <c r="GWD291" s="1069"/>
      <c r="GWE291" s="1069"/>
      <c r="GWF291" s="1069"/>
      <c r="GWG291" s="1069"/>
      <c r="GWH291" s="1069"/>
      <c r="GWI291" s="1069"/>
      <c r="GWJ291" s="1069"/>
      <c r="GWK291" s="1069"/>
      <c r="GWL291" s="1069"/>
      <c r="GWM291" s="1069"/>
      <c r="GWN291" s="1069"/>
      <c r="GWO291" s="1069"/>
      <c r="GWP291" s="1069"/>
      <c r="GWQ291" s="1069"/>
      <c r="GWR291" s="1069"/>
      <c r="GWS291" s="1069"/>
      <c r="GWT291" s="1069"/>
      <c r="GWU291" s="1069"/>
      <c r="GWV291" s="1069"/>
      <c r="GWW291" s="1069"/>
      <c r="GWX291" s="1069"/>
      <c r="GWY291" s="1069"/>
      <c r="GWZ291" s="1069"/>
      <c r="GXA291" s="1069"/>
      <c r="GXB291" s="1069"/>
      <c r="GXC291" s="1069"/>
      <c r="GXD291" s="1069"/>
      <c r="GXE291" s="1069"/>
      <c r="GXF291" s="1069"/>
      <c r="GXG291" s="1069"/>
      <c r="GXH291" s="1069"/>
      <c r="GXI291" s="1069"/>
      <c r="GXJ291" s="1069"/>
      <c r="GXK291" s="1069"/>
      <c r="GXL291" s="1069"/>
      <c r="GXM291" s="1069"/>
      <c r="GXN291" s="1069"/>
      <c r="GXO291" s="1069"/>
      <c r="GXP291" s="1069"/>
      <c r="GXQ291" s="1069"/>
      <c r="GXR291" s="1069"/>
      <c r="GXS291" s="1069"/>
      <c r="GXT291" s="1069"/>
      <c r="GXU291" s="1069"/>
      <c r="GXV291" s="1069"/>
      <c r="GXW291" s="1069"/>
      <c r="GXX291" s="1069"/>
      <c r="GXY291" s="1069"/>
      <c r="GXZ291" s="1069"/>
      <c r="GYA291" s="1069"/>
      <c r="GYB291" s="1069"/>
      <c r="GYC291" s="1069"/>
      <c r="GYD291" s="1069"/>
      <c r="GYE291" s="1069"/>
      <c r="GYF291" s="1069"/>
      <c r="GYG291" s="1069"/>
      <c r="GYH291" s="1069"/>
      <c r="GYI291" s="1069"/>
      <c r="GYJ291" s="1069"/>
      <c r="GYK291" s="1069"/>
      <c r="GYL291" s="1069"/>
      <c r="GYM291" s="1069"/>
      <c r="GYN291" s="1069"/>
      <c r="GYO291" s="1069"/>
      <c r="GYP291" s="1069"/>
      <c r="GYQ291" s="1069"/>
      <c r="GYR291" s="1069"/>
      <c r="GYS291" s="1069"/>
      <c r="GYT291" s="1069"/>
      <c r="GYU291" s="1069"/>
      <c r="GYV291" s="1069"/>
      <c r="GYW291" s="1069"/>
      <c r="GYX291" s="1069"/>
      <c r="GYY291" s="1069"/>
      <c r="GYZ291" s="1069"/>
      <c r="GZA291" s="1069"/>
      <c r="GZB291" s="1069"/>
      <c r="GZC291" s="1069"/>
      <c r="GZD291" s="1069"/>
      <c r="GZE291" s="1069"/>
      <c r="GZF291" s="1069"/>
      <c r="GZG291" s="1069"/>
      <c r="GZH291" s="1069"/>
      <c r="GZI291" s="1069"/>
      <c r="GZJ291" s="1069"/>
      <c r="GZK291" s="1069"/>
      <c r="GZL291" s="1069"/>
      <c r="GZM291" s="1069"/>
      <c r="GZN291" s="1069"/>
      <c r="GZO291" s="1069"/>
      <c r="GZP291" s="1069"/>
      <c r="GZQ291" s="1069"/>
      <c r="GZR291" s="1069"/>
      <c r="GZS291" s="1069"/>
      <c r="GZT291" s="1069"/>
      <c r="GZU291" s="1069"/>
      <c r="GZV291" s="1069"/>
      <c r="GZW291" s="1069"/>
      <c r="GZX291" s="1069"/>
      <c r="GZY291" s="1069"/>
      <c r="GZZ291" s="1069"/>
      <c r="HAA291" s="1069"/>
      <c r="HAB291" s="1069"/>
      <c r="HAC291" s="1069"/>
      <c r="HAD291" s="1069"/>
      <c r="HAE291" s="1069"/>
      <c r="HAF291" s="1069"/>
      <c r="HAG291" s="1069"/>
      <c r="HAH291" s="1069"/>
      <c r="HAI291" s="1069"/>
      <c r="HAJ291" s="1069"/>
      <c r="HAK291" s="1069"/>
      <c r="HAL291" s="1069"/>
      <c r="HAM291" s="1069"/>
      <c r="HAN291" s="1069"/>
      <c r="HAO291" s="1069"/>
      <c r="HAP291" s="1069"/>
      <c r="HAQ291" s="1069"/>
      <c r="HAR291" s="1069"/>
      <c r="HAS291" s="1069"/>
      <c r="HAT291" s="1069"/>
      <c r="HAU291" s="1069"/>
      <c r="HAV291" s="1069"/>
      <c r="HAW291" s="1069"/>
      <c r="HAX291" s="1069"/>
      <c r="HAY291" s="1069"/>
      <c r="HAZ291" s="1069"/>
      <c r="HBA291" s="1069"/>
      <c r="HBB291" s="1069"/>
      <c r="HBC291" s="1069"/>
      <c r="HBD291" s="1069"/>
      <c r="HBE291" s="1069"/>
      <c r="HBF291" s="1069"/>
      <c r="HBG291" s="1069"/>
      <c r="HBH291" s="1069"/>
      <c r="HBI291" s="1069"/>
      <c r="HBJ291" s="1069"/>
      <c r="HBK291" s="1069"/>
      <c r="HBL291" s="1069"/>
      <c r="HBM291" s="1069"/>
      <c r="HBN291" s="1069"/>
      <c r="HBO291" s="1069"/>
      <c r="HBP291" s="1069"/>
      <c r="HBQ291" s="1069"/>
      <c r="HBR291" s="1069"/>
      <c r="HBS291" s="1069"/>
      <c r="HBT291" s="1069"/>
      <c r="HBU291" s="1069"/>
      <c r="HBV291" s="1069"/>
      <c r="HBW291" s="1069"/>
      <c r="HBX291" s="1069"/>
      <c r="HBY291" s="1069"/>
      <c r="HBZ291" s="1069"/>
      <c r="HCA291" s="1069"/>
      <c r="HCB291" s="1069"/>
      <c r="HCC291" s="1069"/>
      <c r="HCD291" s="1069"/>
      <c r="HCE291" s="1069"/>
      <c r="HCF291" s="1069"/>
      <c r="HCG291" s="1069"/>
      <c r="HCH291" s="1069"/>
      <c r="HCI291" s="1069"/>
      <c r="HCJ291" s="1069"/>
      <c r="HCK291" s="1069"/>
      <c r="HCL291" s="1069"/>
      <c r="HCM291" s="1069"/>
      <c r="HCN291" s="1069"/>
      <c r="HCO291" s="1069"/>
      <c r="HCP291" s="1069"/>
      <c r="HCQ291" s="1069"/>
      <c r="HCR291" s="1069"/>
      <c r="HCS291" s="1069"/>
      <c r="HCT291" s="1069"/>
      <c r="HCU291" s="1069"/>
      <c r="HCV291" s="1069"/>
      <c r="HCW291" s="1069"/>
      <c r="HCX291" s="1069"/>
      <c r="HCY291" s="1069"/>
      <c r="HCZ291" s="1069"/>
      <c r="HDA291" s="1069"/>
      <c r="HDB291" s="1069"/>
      <c r="HDC291" s="1069"/>
      <c r="HDD291" s="1069"/>
      <c r="HDE291" s="1069"/>
      <c r="HDF291" s="1069"/>
      <c r="HDG291" s="1069"/>
      <c r="HDH291" s="1069"/>
      <c r="HDI291" s="1069"/>
      <c r="HDJ291" s="1069"/>
      <c r="HDK291" s="1069"/>
      <c r="HDL291" s="1069"/>
      <c r="HDM291" s="1069"/>
      <c r="HDN291" s="1069"/>
      <c r="HDO291" s="1069"/>
      <c r="HDP291" s="1069"/>
      <c r="HDQ291" s="1069"/>
      <c r="HDR291" s="1069"/>
      <c r="HDS291" s="1069"/>
      <c r="HDT291" s="1069"/>
      <c r="HDU291" s="1069"/>
      <c r="HDV291" s="1069"/>
      <c r="HDW291" s="1069"/>
      <c r="HDX291" s="1069"/>
      <c r="HDY291" s="1069"/>
      <c r="HDZ291" s="1069"/>
      <c r="HEA291" s="1069"/>
      <c r="HEB291" s="1069"/>
      <c r="HEC291" s="1069"/>
      <c r="HED291" s="1069"/>
      <c r="HEE291" s="1069"/>
      <c r="HEF291" s="1069"/>
      <c r="HEG291" s="1069"/>
      <c r="HEH291" s="1069"/>
      <c r="HEI291" s="1069"/>
      <c r="HEJ291" s="1069"/>
      <c r="HEK291" s="1069"/>
      <c r="HEL291" s="1069"/>
      <c r="HEM291" s="1069"/>
      <c r="HEN291" s="1069"/>
      <c r="HEO291" s="1069"/>
      <c r="HEP291" s="1069"/>
      <c r="HEQ291" s="1069"/>
      <c r="HER291" s="1069"/>
      <c r="HES291" s="1069"/>
      <c r="HET291" s="1069"/>
      <c r="HEU291" s="1069"/>
      <c r="HEV291" s="1069"/>
      <c r="HEW291" s="1069"/>
      <c r="HEX291" s="1069"/>
      <c r="HEY291" s="1069"/>
      <c r="HEZ291" s="1069"/>
      <c r="HFA291" s="1069"/>
      <c r="HFB291" s="1069"/>
      <c r="HFC291" s="1069"/>
      <c r="HFD291" s="1069"/>
      <c r="HFE291" s="1069"/>
      <c r="HFF291" s="1069"/>
      <c r="HFG291" s="1069"/>
      <c r="HFH291" s="1069"/>
      <c r="HFI291" s="1069"/>
      <c r="HFJ291" s="1069"/>
      <c r="HFK291" s="1069"/>
      <c r="HFL291" s="1069"/>
      <c r="HFM291" s="1069"/>
      <c r="HFN291" s="1069"/>
      <c r="HFO291" s="1069"/>
      <c r="HFP291" s="1069"/>
      <c r="HFQ291" s="1069"/>
      <c r="HFR291" s="1069"/>
      <c r="HFS291" s="1069"/>
      <c r="HFT291" s="1069"/>
      <c r="HFU291" s="1069"/>
      <c r="HFV291" s="1069"/>
      <c r="HFW291" s="1069"/>
      <c r="HFX291" s="1069"/>
      <c r="HFY291" s="1069"/>
      <c r="HFZ291" s="1069"/>
      <c r="HGA291" s="1069"/>
      <c r="HGB291" s="1069"/>
      <c r="HGC291" s="1069"/>
      <c r="HGD291" s="1069"/>
      <c r="HGE291" s="1069"/>
      <c r="HGF291" s="1069"/>
      <c r="HGG291" s="1069"/>
      <c r="HGH291" s="1069"/>
      <c r="HGI291" s="1069"/>
      <c r="HGJ291" s="1069"/>
      <c r="HGK291" s="1069"/>
      <c r="HGL291" s="1069"/>
      <c r="HGM291" s="1069"/>
      <c r="HGN291" s="1069"/>
      <c r="HGO291" s="1069"/>
      <c r="HGP291" s="1069"/>
      <c r="HGQ291" s="1069"/>
      <c r="HGR291" s="1069"/>
      <c r="HGS291" s="1069"/>
      <c r="HGT291" s="1069"/>
      <c r="HGU291" s="1069"/>
      <c r="HGV291" s="1069"/>
      <c r="HGW291" s="1069"/>
      <c r="HGX291" s="1069"/>
      <c r="HGY291" s="1069"/>
      <c r="HGZ291" s="1069"/>
      <c r="HHA291" s="1069"/>
      <c r="HHB291" s="1069"/>
      <c r="HHC291" s="1069"/>
      <c r="HHD291" s="1069"/>
      <c r="HHE291" s="1069"/>
      <c r="HHF291" s="1069"/>
      <c r="HHG291" s="1069"/>
      <c r="HHH291" s="1069"/>
      <c r="HHI291" s="1069"/>
      <c r="HHJ291" s="1069"/>
      <c r="HHK291" s="1069"/>
      <c r="HHL291" s="1069"/>
      <c r="HHM291" s="1069"/>
      <c r="HHN291" s="1069"/>
      <c r="HHO291" s="1069"/>
      <c r="HHP291" s="1069"/>
      <c r="HHQ291" s="1069"/>
      <c r="HHR291" s="1069"/>
      <c r="HHS291" s="1069"/>
      <c r="HHT291" s="1069"/>
      <c r="HHU291" s="1069"/>
      <c r="HHV291" s="1069"/>
      <c r="HHW291" s="1069"/>
      <c r="HHX291" s="1069"/>
      <c r="HHY291" s="1069"/>
      <c r="HHZ291" s="1069"/>
      <c r="HIA291" s="1069"/>
      <c r="HIB291" s="1069"/>
      <c r="HIC291" s="1069"/>
      <c r="HID291" s="1069"/>
      <c r="HIE291" s="1069"/>
      <c r="HIF291" s="1069"/>
      <c r="HIG291" s="1069"/>
      <c r="HIH291" s="1069"/>
      <c r="HII291" s="1069"/>
      <c r="HIJ291" s="1069"/>
      <c r="HIK291" s="1069"/>
      <c r="HIL291" s="1069"/>
      <c r="HIM291" s="1069"/>
      <c r="HIN291" s="1069"/>
      <c r="HIO291" s="1069"/>
      <c r="HIP291" s="1069"/>
      <c r="HIQ291" s="1069"/>
      <c r="HIR291" s="1069"/>
      <c r="HIS291" s="1069"/>
      <c r="HIT291" s="1069"/>
      <c r="HIU291" s="1069"/>
      <c r="HIV291" s="1069"/>
      <c r="HIW291" s="1069"/>
      <c r="HIX291" s="1069"/>
      <c r="HIY291" s="1069"/>
      <c r="HIZ291" s="1069"/>
      <c r="HJA291" s="1069"/>
      <c r="HJB291" s="1069"/>
      <c r="HJC291" s="1069"/>
      <c r="HJD291" s="1069"/>
      <c r="HJE291" s="1069"/>
      <c r="HJF291" s="1069"/>
      <c r="HJG291" s="1069"/>
      <c r="HJH291" s="1069"/>
      <c r="HJI291" s="1069"/>
      <c r="HJJ291" s="1069"/>
      <c r="HJK291" s="1069"/>
      <c r="HJL291" s="1069"/>
      <c r="HJM291" s="1069"/>
      <c r="HJN291" s="1069"/>
      <c r="HJO291" s="1069"/>
      <c r="HJP291" s="1069"/>
      <c r="HJQ291" s="1069"/>
      <c r="HJR291" s="1069"/>
      <c r="HJS291" s="1069"/>
      <c r="HJT291" s="1069"/>
      <c r="HJU291" s="1069"/>
      <c r="HJV291" s="1069"/>
      <c r="HJW291" s="1069"/>
      <c r="HJX291" s="1069"/>
      <c r="HJY291" s="1069"/>
      <c r="HJZ291" s="1069"/>
      <c r="HKA291" s="1069"/>
      <c r="HKB291" s="1069"/>
      <c r="HKC291" s="1069"/>
      <c r="HKD291" s="1069"/>
      <c r="HKE291" s="1069"/>
      <c r="HKF291" s="1069"/>
      <c r="HKG291" s="1069"/>
      <c r="HKH291" s="1069"/>
      <c r="HKI291" s="1069"/>
      <c r="HKJ291" s="1069"/>
      <c r="HKK291" s="1069"/>
      <c r="HKL291" s="1069"/>
      <c r="HKM291" s="1069"/>
      <c r="HKN291" s="1069"/>
      <c r="HKO291" s="1069"/>
      <c r="HKP291" s="1069"/>
      <c r="HKQ291" s="1069"/>
      <c r="HKR291" s="1069"/>
      <c r="HKS291" s="1069"/>
      <c r="HKT291" s="1069"/>
      <c r="HKU291" s="1069"/>
      <c r="HKV291" s="1069"/>
      <c r="HKW291" s="1069"/>
      <c r="HKX291" s="1069"/>
      <c r="HKY291" s="1069"/>
      <c r="HKZ291" s="1069"/>
      <c r="HLA291" s="1069"/>
      <c r="HLB291" s="1069"/>
      <c r="HLC291" s="1069"/>
      <c r="HLD291" s="1069"/>
      <c r="HLE291" s="1069"/>
      <c r="HLF291" s="1069"/>
      <c r="HLG291" s="1069"/>
      <c r="HLH291" s="1069"/>
      <c r="HLI291" s="1069"/>
      <c r="HLJ291" s="1069"/>
      <c r="HLK291" s="1069"/>
      <c r="HLL291" s="1069"/>
      <c r="HLM291" s="1069"/>
      <c r="HLN291" s="1069"/>
      <c r="HLO291" s="1069"/>
      <c r="HLP291" s="1069"/>
      <c r="HLQ291" s="1069"/>
      <c r="HLR291" s="1069"/>
      <c r="HLS291" s="1069"/>
      <c r="HLT291" s="1069"/>
      <c r="HLU291" s="1069"/>
      <c r="HLV291" s="1069"/>
      <c r="HLW291" s="1069"/>
      <c r="HLX291" s="1069"/>
      <c r="HLY291" s="1069"/>
      <c r="HLZ291" s="1069"/>
      <c r="HMA291" s="1069"/>
      <c r="HMB291" s="1069"/>
      <c r="HMC291" s="1069"/>
      <c r="HMD291" s="1069"/>
      <c r="HME291" s="1069"/>
      <c r="HMF291" s="1069"/>
      <c r="HMG291" s="1069"/>
      <c r="HMH291" s="1069"/>
      <c r="HMI291" s="1069"/>
      <c r="HMJ291" s="1069"/>
      <c r="HMK291" s="1069"/>
      <c r="HML291" s="1069"/>
      <c r="HMM291" s="1069"/>
      <c r="HMN291" s="1069"/>
      <c r="HMO291" s="1069"/>
      <c r="HMP291" s="1069"/>
      <c r="HMQ291" s="1069"/>
      <c r="HMR291" s="1069"/>
      <c r="HMS291" s="1069"/>
      <c r="HMT291" s="1069"/>
      <c r="HMU291" s="1069"/>
      <c r="HMV291" s="1069"/>
      <c r="HMW291" s="1069"/>
      <c r="HMX291" s="1069"/>
      <c r="HMY291" s="1069"/>
      <c r="HMZ291" s="1069"/>
      <c r="HNA291" s="1069"/>
      <c r="HNB291" s="1069"/>
      <c r="HNC291" s="1069"/>
      <c r="HND291" s="1069"/>
      <c r="HNE291" s="1069"/>
      <c r="HNF291" s="1069"/>
      <c r="HNG291" s="1069"/>
      <c r="HNH291" s="1069"/>
      <c r="HNI291" s="1069"/>
      <c r="HNJ291" s="1069"/>
      <c r="HNK291" s="1069"/>
      <c r="HNL291" s="1069"/>
      <c r="HNM291" s="1069"/>
      <c r="HNN291" s="1069"/>
      <c r="HNO291" s="1069"/>
      <c r="HNP291" s="1069"/>
      <c r="HNQ291" s="1069"/>
      <c r="HNR291" s="1069"/>
      <c r="HNS291" s="1069"/>
      <c r="HNT291" s="1069"/>
      <c r="HNU291" s="1069"/>
      <c r="HNV291" s="1069"/>
      <c r="HNW291" s="1069"/>
      <c r="HNX291" s="1069"/>
      <c r="HNY291" s="1069"/>
      <c r="HNZ291" s="1069"/>
      <c r="HOA291" s="1069"/>
      <c r="HOB291" s="1069"/>
      <c r="HOC291" s="1069"/>
      <c r="HOD291" s="1069"/>
      <c r="HOE291" s="1069"/>
      <c r="HOF291" s="1069"/>
      <c r="HOG291" s="1069"/>
      <c r="HOH291" s="1069"/>
      <c r="HOI291" s="1069"/>
      <c r="HOJ291" s="1069"/>
      <c r="HOK291" s="1069"/>
      <c r="HOL291" s="1069"/>
      <c r="HOM291" s="1069"/>
      <c r="HON291" s="1069"/>
      <c r="HOO291" s="1069"/>
      <c r="HOP291" s="1069"/>
      <c r="HOQ291" s="1069"/>
      <c r="HOR291" s="1069"/>
      <c r="HOS291" s="1069"/>
      <c r="HOT291" s="1069"/>
      <c r="HOU291" s="1069"/>
      <c r="HOV291" s="1069"/>
      <c r="HOW291" s="1069"/>
      <c r="HOX291" s="1069"/>
      <c r="HOY291" s="1069"/>
      <c r="HOZ291" s="1069"/>
      <c r="HPA291" s="1069"/>
      <c r="HPB291" s="1069"/>
      <c r="HPC291" s="1069"/>
      <c r="HPD291" s="1069"/>
      <c r="HPE291" s="1069"/>
      <c r="HPF291" s="1069"/>
      <c r="HPG291" s="1069"/>
      <c r="HPH291" s="1069"/>
      <c r="HPI291" s="1069"/>
      <c r="HPJ291" s="1069"/>
      <c r="HPK291" s="1069"/>
      <c r="HPL291" s="1069"/>
      <c r="HPM291" s="1069"/>
      <c r="HPN291" s="1069"/>
      <c r="HPO291" s="1069"/>
      <c r="HPP291" s="1069"/>
      <c r="HPQ291" s="1069"/>
      <c r="HPR291" s="1069"/>
      <c r="HPS291" s="1069"/>
      <c r="HPT291" s="1069"/>
      <c r="HPU291" s="1069"/>
      <c r="HPV291" s="1069"/>
      <c r="HPW291" s="1069"/>
      <c r="HPX291" s="1069"/>
      <c r="HPY291" s="1069"/>
      <c r="HPZ291" s="1069"/>
      <c r="HQA291" s="1069"/>
      <c r="HQB291" s="1069"/>
      <c r="HQC291" s="1069"/>
      <c r="HQD291" s="1069"/>
      <c r="HQE291" s="1069"/>
      <c r="HQF291" s="1069"/>
      <c r="HQG291" s="1069"/>
      <c r="HQH291" s="1069"/>
      <c r="HQI291" s="1069"/>
      <c r="HQJ291" s="1069"/>
      <c r="HQK291" s="1069"/>
      <c r="HQL291" s="1069"/>
      <c r="HQM291" s="1069"/>
      <c r="HQN291" s="1069"/>
      <c r="HQO291" s="1069"/>
      <c r="HQP291" s="1069"/>
      <c r="HQQ291" s="1069"/>
      <c r="HQR291" s="1069"/>
      <c r="HQS291" s="1069"/>
      <c r="HQT291" s="1069"/>
      <c r="HQU291" s="1069"/>
      <c r="HQV291" s="1069"/>
      <c r="HQW291" s="1069"/>
      <c r="HQX291" s="1069"/>
      <c r="HQY291" s="1069"/>
      <c r="HQZ291" s="1069"/>
      <c r="HRA291" s="1069"/>
      <c r="HRB291" s="1069"/>
      <c r="HRC291" s="1069"/>
      <c r="HRD291" s="1069"/>
      <c r="HRE291" s="1069"/>
      <c r="HRF291" s="1069"/>
      <c r="HRG291" s="1069"/>
      <c r="HRH291" s="1069"/>
      <c r="HRI291" s="1069"/>
      <c r="HRJ291" s="1069"/>
      <c r="HRK291" s="1069"/>
      <c r="HRL291" s="1069"/>
      <c r="HRM291" s="1069"/>
      <c r="HRN291" s="1069"/>
      <c r="HRO291" s="1069"/>
      <c r="HRP291" s="1069"/>
      <c r="HRQ291" s="1069"/>
      <c r="HRR291" s="1069"/>
      <c r="HRS291" s="1069"/>
      <c r="HRT291" s="1069"/>
      <c r="HRU291" s="1069"/>
      <c r="HRV291" s="1069"/>
      <c r="HRW291" s="1069"/>
      <c r="HRX291" s="1069"/>
      <c r="HRY291" s="1069"/>
      <c r="HRZ291" s="1069"/>
      <c r="HSA291" s="1069"/>
      <c r="HSB291" s="1069"/>
      <c r="HSC291" s="1069"/>
      <c r="HSD291" s="1069"/>
      <c r="HSE291" s="1069"/>
      <c r="HSF291" s="1069"/>
      <c r="HSG291" s="1069"/>
      <c r="HSH291" s="1069"/>
      <c r="HSI291" s="1069"/>
      <c r="HSJ291" s="1069"/>
      <c r="HSK291" s="1069"/>
      <c r="HSL291" s="1069"/>
      <c r="HSM291" s="1069"/>
      <c r="HSN291" s="1069"/>
      <c r="HSO291" s="1069"/>
      <c r="HSP291" s="1069"/>
      <c r="HSQ291" s="1069"/>
      <c r="HSR291" s="1069"/>
      <c r="HSS291" s="1069"/>
      <c r="HST291" s="1069"/>
      <c r="HSU291" s="1069"/>
      <c r="HSV291" s="1069"/>
      <c r="HSW291" s="1069"/>
      <c r="HSX291" s="1069"/>
      <c r="HSY291" s="1069"/>
      <c r="HSZ291" s="1069"/>
      <c r="HTA291" s="1069"/>
      <c r="HTB291" s="1069"/>
      <c r="HTC291" s="1069"/>
      <c r="HTD291" s="1069"/>
      <c r="HTE291" s="1069"/>
      <c r="HTF291" s="1069"/>
      <c r="HTG291" s="1069"/>
      <c r="HTH291" s="1069"/>
      <c r="HTI291" s="1069"/>
      <c r="HTJ291" s="1069"/>
      <c r="HTK291" s="1069"/>
      <c r="HTL291" s="1069"/>
      <c r="HTM291" s="1069"/>
      <c r="HTN291" s="1069"/>
      <c r="HTO291" s="1069"/>
      <c r="HTP291" s="1069"/>
      <c r="HTQ291" s="1069"/>
      <c r="HTR291" s="1069"/>
      <c r="HTS291" s="1069"/>
      <c r="HTT291" s="1069"/>
      <c r="HTU291" s="1069"/>
      <c r="HTV291" s="1069"/>
      <c r="HTW291" s="1069"/>
      <c r="HTX291" s="1069"/>
      <c r="HTY291" s="1069"/>
      <c r="HTZ291" s="1069"/>
      <c r="HUA291" s="1069"/>
      <c r="HUB291" s="1069"/>
      <c r="HUC291" s="1069"/>
      <c r="HUD291" s="1069"/>
      <c r="HUE291" s="1069"/>
      <c r="HUF291" s="1069"/>
      <c r="HUG291" s="1069"/>
      <c r="HUH291" s="1069"/>
      <c r="HUI291" s="1069"/>
      <c r="HUJ291" s="1069"/>
      <c r="HUK291" s="1069"/>
      <c r="HUL291" s="1069"/>
      <c r="HUM291" s="1069"/>
      <c r="HUN291" s="1069"/>
      <c r="HUO291" s="1069"/>
      <c r="HUP291" s="1069"/>
      <c r="HUQ291" s="1069"/>
      <c r="HUR291" s="1069"/>
      <c r="HUS291" s="1069"/>
      <c r="HUT291" s="1069"/>
      <c r="HUU291" s="1069"/>
      <c r="HUV291" s="1069"/>
      <c r="HUW291" s="1069"/>
      <c r="HUX291" s="1069"/>
      <c r="HUY291" s="1069"/>
      <c r="HUZ291" s="1069"/>
      <c r="HVA291" s="1069"/>
      <c r="HVB291" s="1069"/>
      <c r="HVC291" s="1069"/>
      <c r="HVD291" s="1069"/>
      <c r="HVE291" s="1069"/>
      <c r="HVF291" s="1069"/>
      <c r="HVG291" s="1069"/>
      <c r="HVH291" s="1069"/>
      <c r="HVI291" s="1069"/>
      <c r="HVJ291" s="1069"/>
      <c r="HVK291" s="1069"/>
      <c r="HVL291" s="1069"/>
      <c r="HVM291" s="1069"/>
      <c r="HVN291" s="1069"/>
      <c r="HVO291" s="1069"/>
      <c r="HVP291" s="1069"/>
      <c r="HVQ291" s="1069"/>
      <c r="HVR291" s="1069"/>
      <c r="HVS291" s="1069"/>
      <c r="HVT291" s="1069"/>
      <c r="HVU291" s="1069"/>
      <c r="HVV291" s="1069"/>
      <c r="HVW291" s="1069"/>
      <c r="HVX291" s="1069"/>
      <c r="HVY291" s="1069"/>
      <c r="HVZ291" s="1069"/>
      <c r="HWA291" s="1069"/>
      <c r="HWB291" s="1069"/>
      <c r="HWC291" s="1069"/>
      <c r="HWD291" s="1069"/>
      <c r="HWE291" s="1069"/>
      <c r="HWF291" s="1069"/>
      <c r="HWG291" s="1069"/>
      <c r="HWH291" s="1069"/>
      <c r="HWI291" s="1069"/>
      <c r="HWJ291" s="1069"/>
      <c r="HWK291" s="1069"/>
      <c r="HWL291" s="1069"/>
      <c r="HWM291" s="1069"/>
      <c r="HWN291" s="1069"/>
      <c r="HWO291" s="1069"/>
      <c r="HWP291" s="1069"/>
      <c r="HWQ291" s="1069"/>
      <c r="HWR291" s="1069"/>
      <c r="HWS291" s="1069"/>
      <c r="HWT291" s="1069"/>
      <c r="HWU291" s="1069"/>
      <c r="HWV291" s="1069"/>
      <c r="HWW291" s="1069"/>
      <c r="HWX291" s="1069"/>
      <c r="HWY291" s="1069"/>
      <c r="HWZ291" s="1069"/>
      <c r="HXA291" s="1069"/>
      <c r="HXB291" s="1069"/>
      <c r="HXC291" s="1069"/>
      <c r="HXD291" s="1069"/>
      <c r="HXE291" s="1069"/>
      <c r="HXF291" s="1069"/>
      <c r="HXG291" s="1069"/>
      <c r="HXH291" s="1069"/>
      <c r="HXI291" s="1069"/>
      <c r="HXJ291" s="1069"/>
      <c r="HXK291" s="1069"/>
      <c r="HXL291" s="1069"/>
      <c r="HXM291" s="1069"/>
      <c r="HXN291" s="1069"/>
      <c r="HXO291" s="1069"/>
      <c r="HXP291" s="1069"/>
      <c r="HXQ291" s="1069"/>
      <c r="HXR291" s="1069"/>
      <c r="HXS291" s="1069"/>
      <c r="HXT291" s="1069"/>
      <c r="HXU291" s="1069"/>
      <c r="HXV291" s="1069"/>
      <c r="HXW291" s="1069"/>
      <c r="HXX291" s="1069"/>
      <c r="HXY291" s="1069"/>
      <c r="HXZ291" s="1069"/>
      <c r="HYA291" s="1069"/>
      <c r="HYB291" s="1069"/>
      <c r="HYC291" s="1069"/>
      <c r="HYD291" s="1069"/>
      <c r="HYE291" s="1069"/>
      <c r="HYF291" s="1069"/>
      <c r="HYG291" s="1069"/>
      <c r="HYH291" s="1069"/>
      <c r="HYI291" s="1069"/>
      <c r="HYJ291" s="1069"/>
      <c r="HYK291" s="1069"/>
      <c r="HYL291" s="1069"/>
      <c r="HYM291" s="1069"/>
      <c r="HYN291" s="1069"/>
      <c r="HYO291" s="1069"/>
      <c r="HYP291" s="1069"/>
      <c r="HYQ291" s="1069"/>
      <c r="HYR291" s="1069"/>
      <c r="HYS291" s="1069"/>
      <c r="HYT291" s="1069"/>
      <c r="HYU291" s="1069"/>
      <c r="HYV291" s="1069"/>
      <c r="HYW291" s="1069"/>
      <c r="HYX291" s="1069"/>
      <c r="HYY291" s="1069"/>
      <c r="HYZ291" s="1069"/>
      <c r="HZA291" s="1069"/>
      <c r="HZB291" s="1069"/>
      <c r="HZC291" s="1069"/>
      <c r="HZD291" s="1069"/>
      <c r="HZE291" s="1069"/>
      <c r="HZF291" s="1069"/>
      <c r="HZG291" s="1069"/>
      <c r="HZH291" s="1069"/>
      <c r="HZI291" s="1069"/>
      <c r="HZJ291" s="1069"/>
      <c r="HZK291" s="1069"/>
      <c r="HZL291" s="1069"/>
      <c r="HZM291" s="1069"/>
      <c r="HZN291" s="1069"/>
      <c r="HZO291" s="1069"/>
      <c r="HZP291" s="1069"/>
      <c r="HZQ291" s="1069"/>
      <c r="HZR291" s="1069"/>
      <c r="HZS291" s="1069"/>
      <c r="HZT291" s="1069"/>
      <c r="HZU291" s="1069"/>
      <c r="HZV291" s="1069"/>
      <c r="HZW291" s="1069"/>
      <c r="HZX291" s="1069"/>
      <c r="HZY291" s="1069"/>
      <c r="HZZ291" s="1069"/>
      <c r="IAA291" s="1069"/>
      <c r="IAB291" s="1069"/>
      <c r="IAC291" s="1069"/>
      <c r="IAD291" s="1069"/>
      <c r="IAE291" s="1069"/>
      <c r="IAF291" s="1069"/>
      <c r="IAG291" s="1069"/>
      <c r="IAH291" s="1069"/>
      <c r="IAI291" s="1069"/>
      <c r="IAJ291" s="1069"/>
      <c r="IAK291" s="1069"/>
      <c r="IAL291" s="1069"/>
      <c r="IAM291" s="1069"/>
      <c r="IAN291" s="1069"/>
      <c r="IAO291" s="1069"/>
      <c r="IAP291" s="1069"/>
      <c r="IAQ291" s="1069"/>
      <c r="IAR291" s="1069"/>
      <c r="IAS291" s="1069"/>
      <c r="IAT291" s="1069"/>
      <c r="IAU291" s="1069"/>
      <c r="IAV291" s="1069"/>
      <c r="IAW291" s="1069"/>
      <c r="IAX291" s="1069"/>
      <c r="IAY291" s="1069"/>
      <c r="IAZ291" s="1069"/>
      <c r="IBA291" s="1069"/>
      <c r="IBB291" s="1069"/>
      <c r="IBC291" s="1069"/>
      <c r="IBD291" s="1069"/>
      <c r="IBE291" s="1069"/>
      <c r="IBF291" s="1069"/>
      <c r="IBG291" s="1069"/>
      <c r="IBH291" s="1069"/>
      <c r="IBI291" s="1069"/>
      <c r="IBJ291" s="1069"/>
      <c r="IBK291" s="1069"/>
      <c r="IBL291" s="1069"/>
      <c r="IBM291" s="1069"/>
      <c r="IBN291" s="1069"/>
      <c r="IBO291" s="1069"/>
      <c r="IBP291" s="1069"/>
      <c r="IBQ291" s="1069"/>
      <c r="IBR291" s="1069"/>
      <c r="IBS291" s="1069"/>
      <c r="IBT291" s="1069"/>
      <c r="IBU291" s="1069"/>
      <c r="IBV291" s="1069"/>
      <c r="IBW291" s="1069"/>
      <c r="IBX291" s="1069"/>
      <c r="IBY291" s="1069"/>
      <c r="IBZ291" s="1069"/>
      <c r="ICA291" s="1069"/>
      <c r="ICB291" s="1069"/>
      <c r="ICC291" s="1069"/>
      <c r="ICD291" s="1069"/>
      <c r="ICE291" s="1069"/>
      <c r="ICF291" s="1069"/>
      <c r="ICG291" s="1069"/>
      <c r="ICH291" s="1069"/>
      <c r="ICI291" s="1069"/>
      <c r="ICJ291" s="1069"/>
      <c r="ICK291" s="1069"/>
      <c r="ICL291" s="1069"/>
      <c r="ICM291" s="1069"/>
      <c r="ICN291" s="1069"/>
      <c r="ICO291" s="1069"/>
      <c r="ICP291" s="1069"/>
      <c r="ICQ291" s="1069"/>
      <c r="ICR291" s="1069"/>
      <c r="ICS291" s="1069"/>
      <c r="ICT291" s="1069"/>
      <c r="ICU291" s="1069"/>
      <c r="ICV291" s="1069"/>
      <c r="ICW291" s="1069"/>
      <c r="ICX291" s="1069"/>
      <c r="ICY291" s="1069"/>
      <c r="ICZ291" s="1069"/>
      <c r="IDA291" s="1069"/>
      <c r="IDB291" s="1069"/>
      <c r="IDC291" s="1069"/>
      <c r="IDD291" s="1069"/>
      <c r="IDE291" s="1069"/>
      <c r="IDF291" s="1069"/>
      <c r="IDG291" s="1069"/>
      <c r="IDH291" s="1069"/>
      <c r="IDI291" s="1069"/>
      <c r="IDJ291" s="1069"/>
      <c r="IDK291" s="1069"/>
      <c r="IDL291" s="1069"/>
      <c r="IDM291" s="1069"/>
      <c r="IDN291" s="1069"/>
      <c r="IDO291" s="1069"/>
      <c r="IDP291" s="1069"/>
      <c r="IDQ291" s="1069"/>
      <c r="IDR291" s="1069"/>
      <c r="IDS291" s="1069"/>
      <c r="IDT291" s="1069"/>
      <c r="IDU291" s="1069"/>
      <c r="IDV291" s="1069"/>
      <c r="IDW291" s="1069"/>
      <c r="IDX291" s="1069"/>
      <c r="IDY291" s="1069"/>
      <c r="IDZ291" s="1069"/>
      <c r="IEA291" s="1069"/>
      <c r="IEB291" s="1069"/>
      <c r="IEC291" s="1069"/>
      <c r="IED291" s="1069"/>
      <c r="IEE291" s="1069"/>
      <c r="IEF291" s="1069"/>
      <c r="IEG291" s="1069"/>
      <c r="IEH291" s="1069"/>
      <c r="IEI291" s="1069"/>
      <c r="IEJ291" s="1069"/>
      <c r="IEK291" s="1069"/>
      <c r="IEL291" s="1069"/>
      <c r="IEM291" s="1069"/>
      <c r="IEN291" s="1069"/>
      <c r="IEO291" s="1069"/>
      <c r="IEP291" s="1069"/>
      <c r="IEQ291" s="1069"/>
      <c r="IER291" s="1069"/>
      <c r="IES291" s="1069"/>
      <c r="IET291" s="1069"/>
      <c r="IEU291" s="1069"/>
      <c r="IEV291" s="1069"/>
      <c r="IEW291" s="1069"/>
      <c r="IEX291" s="1069"/>
      <c r="IEY291" s="1069"/>
      <c r="IEZ291" s="1069"/>
      <c r="IFA291" s="1069"/>
      <c r="IFB291" s="1069"/>
      <c r="IFC291" s="1069"/>
      <c r="IFD291" s="1069"/>
      <c r="IFE291" s="1069"/>
      <c r="IFF291" s="1069"/>
      <c r="IFG291" s="1069"/>
      <c r="IFH291" s="1069"/>
      <c r="IFI291" s="1069"/>
      <c r="IFJ291" s="1069"/>
      <c r="IFK291" s="1069"/>
      <c r="IFL291" s="1069"/>
      <c r="IFM291" s="1069"/>
      <c r="IFN291" s="1069"/>
      <c r="IFO291" s="1069"/>
      <c r="IFP291" s="1069"/>
      <c r="IFQ291" s="1069"/>
      <c r="IFR291" s="1069"/>
      <c r="IFS291" s="1069"/>
      <c r="IFT291" s="1069"/>
      <c r="IFU291" s="1069"/>
      <c r="IFV291" s="1069"/>
      <c r="IFW291" s="1069"/>
      <c r="IFX291" s="1069"/>
      <c r="IFY291" s="1069"/>
      <c r="IFZ291" s="1069"/>
      <c r="IGA291" s="1069"/>
      <c r="IGB291" s="1069"/>
      <c r="IGC291" s="1069"/>
      <c r="IGD291" s="1069"/>
      <c r="IGE291" s="1069"/>
      <c r="IGF291" s="1069"/>
      <c r="IGG291" s="1069"/>
      <c r="IGH291" s="1069"/>
      <c r="IGI291" s="1069"/>
      <c r="IGJ291" s="1069"/>
      <c r="IGK291" s="1069"/>
      <c r="IGL291" s="1069"/>
      <c r="IGM291" s="1069"/>
      <c r="IGN291" s="1069"/>
      <c r="IGO291" s="1069"/>
      <c r="IGP291" s="1069"/>
      <c r="IGQ291" s="1069"/>
      <c r="IGR291" s="1069"/>
      <c r="IGS291" s="1069"/>
      <c r="IGT291" s="1069"/>
      <c r="IGU291" s="1069"/>
      <c r="IGV291" s="1069"/>
      <c r="IGW291" s="1069"/>
      <c r="IGX291" s="1069"/>
      <c r="IGY291" s="1069"/>
      <c r="IGZ291" s="1069"/>
      <c r="IHA291" s="1069"/>
      <c r="IHB291" s="1069"/>
      <c r="IHC291" s="1069"/>
      <c r="IHD291" s="1069"/>
      <c r="IHE291" s="1069"/>
      <c r="IHF291" s="1069"/>
      <c r="IHG291" s="1069"/>
      <c r="IHH291" s="1069"/>
      <c r="IHI291" s="1069"/>
      <c r="IHJ291" s="1069"/>
      <c r="IHK291" s="1069"/>
      <c r="IHL291" s="1069"/>
      <c r="IHM291" s="1069"/>
      <c r="IHN291" s="1069"/>
      <c r="IHO291" s="1069"/>
      <c r="IHP291" s="1069"/>
      <c r="IHQ291" s="1069"/>
      <c r="IHR291" s="1069"/>
      <c r="IHS291" s="1069"/>
      <c r="IHT291" s="1069"/>
      <c r="IHU291" s="1069"/>
      <c r="IHV291" s="1069"/>
      <c r="IHW291" s="1069"/>
      <c r="IHX291" s="1069"/>
      <c r="IHY291" s="1069"/>
      <c r="IHZ291" s="1069"/>
      <c r="IIA291" s="1069"/>
      <c r="IIB291" s="1069"/>
      <c r="IIC291" s="1069"/>
      <c r="IID291" s="1069"/>
      <c r="IIE291" s="1069"/>
      <c r="IIF291" s="1069"/>
      <c r="IIG291" s="1069"/>
      <c r="IIH291" s="1069"/>
      <c r="III291" s="1069"/>
      <c r="IIJ291" s="1069"/>
      <c r="IIK291" s="1069"/>
      <c r="IIL291" s="1069"/>
      <c r="IIM291" s="1069"/>
      <c r="IIN291" s="1069"/>
      <c r="IIO291" s="1069"/>
      <c r="IIP291" s="1069"/>
      <c r="IIQ291" s="1069"/>
      <c r="IIR291" s="1069"/>
      <c r="IIS291" s="1069"/>
      <c r="IIT291" s="1069"/>
      <c r="IIU291" s="1069"/>
      <c r="IIV291" s="1069"/>
      <c r="IIW291" s="1069"/>
      <c r="IIX291" s="1069"/>
      <c r="IIY291" s="1069"/>
      <c r="IIZ291" s="1069"/>
      <c r="IJA291" s="1069"/>
      <c r="IJB291" s="1069"/>
      <c r="IJC291" s="1069"/>
      <c r="IJD291" s="1069"/>
      <c r="IJE291" s="1069"/>
      <c r="IJF291" s="1069"/>
      <c r="IJG291" s="1069"/>
      <c r="IJH291" s="1069"/>
      <c r="IJI291" s="1069"/>
      <c r="IJJ291" s="1069"/>
      <c r="IJK291" s="1069"/>
      <c r="IJL291" s="1069"/>
      <c r="IJM291" s="1069"/>
      <c r="IJN291" s="1069"/>
      <c r="IJO291" s="1069"/>
      <c r="IJP291" s="1069"/>
      <c r="IJQ291" s="1069"/>
      <c r="IJR291" s="1069"/>
      <c r="IJS291" s="1069"/>
      <c r="IJT291" s="1069"/>
      <c r="IJU291" s="1069"/>
      <c r="IJV291" s="1069"/>
      <c r="IJW291" s="1069"/>
      <c r="IJX291" s="1069"/>
      <c r="IJY291" s="1069"/>
      <c r="IJZ291" s="1069"/>
      <c r="IKA291" s="1069"/>
      <c r="IKB291" s="1069"/>
      <c r="IKC291" s="1069"/>
      <c r="IKD291" s="1069"/>
      <c r="IKE291" s="1069"/>
      <c r="IKF291" s="1069"/>
      <c r="IKG291" s="1069"/>
      <c r="IKH291" s="1069"/>
      <c r="IKI291" s="1069"/>
      <c r="IKJ291" s="1069"/>
      <c r="IKK291" s="1069"/>
      <c r="IKL291" s="1069"/>
      <c r="IKM291" s="1069"/>
      <c r="IKN291" s="1069"/>
      <c r="IKO291" s="1069"/>
      <c r="IKP291" s="1069"/>
      <c r="IKQ291" s="1069"/>
      <c r="IKR291" s="1069"/>
      <c r="IKS291" s="1069"/>
      <c r="IKT291" s="1069"/>
      <c r="IKU291" s="1069"/>
      <c r="IKV291" s="1069"/>
      <c r="IKW291" s="1069"/>
      <c r="IKX291" s="1069"/>
      <c r="IKY291" s="1069"/>
      <c r="IKZ291" s="1069"/>
      <c r="ILA291" s="1069"/>
      <c r="ILB291" s="1069"/>
      <c r="ILC291" s="1069"/>
      <c r="ILD291" s="1069"/>
      <c r="ILE291" s="1069"/>
      <c r="ILF291" s="1069"/>
      <c r="ILG291" s="1069"/>
      <c r="ILH291" s="1069"/>
      <c r="ILI291" s="1069"/>
      <c r="ILJ291" s="1069"/>
      <c r="ILK291" s="1069"/>
      <c r="ILL291" s="1069"/>
      <c r="ILM291" s="1069"/>
      <c r="ILN291" s="1069"/>
      <c r="ILO291" s="1069"/>
      <c r="ILP291" s="1069"/>
      <c r="ILQ291" s="1069"/>
      <c r="ILR291" s="1069"/>
      <c r="ILS291" s="1069"/>
      <c r="ILT291" s="1069"/>
      <c r="ILU291" s="1069"/>
      <c r="ILV291" s="1069"/>
      <c r="ILW291" s="1069"/>
      <c r="ILX291" s="1069"/>
      <c r="ILY291" s="1069"/>
      <c r="ILZ291" s="1069"/>
      <c r="IMA291" s="1069"/>
      <c r="IMB291" s="1069"/>
      <c r="IMC291" s="1069"/>
      <c r="IMD291" s="1069"/>
      <c r="IME291" s="1069"/>
      <c r="IMF291" s="1069"/>
      <c r="IMG291" s="1069"/>
      <c r="IMH291" s="1069"/>
      <c r="IMI291" s="1069"/>
      <c r="IMJ291" s="1069"/>
      <c r="IMK291" s="1069"/>
      <c r="IML291" s="1069"/>
      <c r="IMM291" s="1069"/>
      <c r="IMN291" s="1069"/>
      <c r="IMO291" s="1069"/>
      <c r="IMP291" s="1069"/>
      <c r="IMQ291" s="1069"/>
      <c r="IMR291" s="1069"/>
      <c r="IMS291" s="1069"/>
      <c r="IMT291" s="1069"/>
      <c r="IMU291" s="1069"/>
      <c r="IMV291" s="1069"/>
      <c r="IMW291" s="1069"/>
      <c r="IMX291" s="1069"/>
      <c r="IMY291" s="1069"/>
      <c r="IMZ291" s="1069"/>
      <c r="INA291" s="1069"/>
      <c r="INB291" s="1069"/>
      <c r="INC291" s="1069"/>
      <c r="IND291" s="1069"/>
      <c r="INE291" s="1069"/>
      <c r="INF291" s="1069"/>
      <c r="ING291" s="1069"/>
      <c r="INH291" s="1069"/>
      <c r="INI291" s="1069"/>
      <c r="INJ291" s="1069"/>
      <c r="INK291" s="1069"/>
      <c r="INL291" s="1069"/>
      <c r="INM291" s="1069"/>
      <c r="INN291" s="1069"/>
      <c r="INO291" s="1069"/>
      <c r="INP291" s="1069"/>
      <c r="INQ291" s="1069"/>
      <c r="INR291" s="1069"/>
      <c r="INS291" s="1069"/>
      <c r="INT291" s="1069"/>
      <c r="INU291" s="1069"/>
      <c r="INV291" s="1069"/>
      <c r="INW291" s="1069"/>
      <c r="INX291" s="1069"/>
      <c r="INY291" s="1069"/>
      <c r="INZ291" s="1069"/>
      <c r="IOA291" s="1069"/>
      <c r="IOB291" s="1069"/>
      <c r="IOC291" s="1069"/>
      <c r="IOD291" s="1069"/>
      <c r="IOE291" s="1069"/>
      <c r="IOF291" s="1069"/>
      <c r="IOG291" s="1069"/>
      <c r="IOH291" s="1069"/>
      <c r="IOI291" s="1069"/>
      <c r="IOJ291" s="1069"/>
      <c r="IOK291" s="1069"/>
      <c r="IOL291" s="1069"/>
      <c r="IOM291" s="1069"/>
      <c r="ION291" s="1069"/>
      <c r="IOO291" s="1069"/>
      <c r="IOP291" s="1069"/>
      <c r="IOQ291" s="1069"/>
      <c r="IOR291" s="1069"/>
      <c r="IOS291" s="1069"/>
      <c r="IOT291" s="1069"/>
      <c r="IOU291" s="1069"/>
      <c r="IOV291" s="1069"/>
      <c r="IOW291" s="1069"/>
      <c r="IOX291" s="1069"/>
      <c r="IOY291" s="1069"/>
      <c r="IOZ291" s="1069"/>
      <c r="IPA291" s="1069"/>
      <c r="IPB291" s="1069"/>
      <c r="IPC291" s="1069"/>
      <c r="IPD291" s="1069"/>
      <c r="IPE291" s="1069"/>
      <c r="IPF291" s="1069"/>
      <c r="IPG291" s="1069"/>
      <c r="IPH291" s="1069"/>
      <c r="IPI291" s="1069"/>
      <c r="IPJ291" s="1069"/>
      <c r="IPK291" s="1069"/>
      <c r="IPL291" s="1069"/>
      <c r="IPM291" s="1069"/>
      <c r="IPN291" s="1069"/>
      <c r="IPO291" s="1069"/>
      <c r="IPP291" s="1069"/>
      <c r="IPQ291" s="1069"/>
      <c r="IPR291" s="1069"/>
      <c r="IPS291" s="1069"/>
      <c r="IPT291" s="1069"/>
      <c r="IPU291" s="1069"/>
      <c r="IPV291" s="1069"/>
      <c r="IPW291" s="1069"/>
      <c r="IPX291" s="1069"/>
      <c r="IPY291" s="1069"/>
      <c r="IPZ291" s="1069"/>
      <c r="IQA291" s="1069"/>
      <c r="IQB291" s="1069"/>
      <c r="IQC291" s="1069"/>
      <c r="IQD291" s="1069"/>
      <c r="IQE291" s="1069"/>
      <c r="IQF291" s="1069"/>
      <c r="IQG291" s="1069"/>
      <c r="IQH291" s="1069"/>
      <c r="IQI291" s="1069"/>
      <c r="IQJ291" s="1069"/>
      <c r="IQK291" s="1069"/>
      <c r="IQL291" s="1069"/>
      <c r="IQM291" s="1069"/>
      <c r="IQN291" s="1069"/>
      <c r="IQO291" s="1069"/>
      <c r="IQP291" s="1069"/>
      <c r="IQQ291" s="1069"/>
      <c r="IQR291" s="1069"/>
      <c r="IQS291" s="1069"/>
      <c r="IQT291" s="1069"/>
      <c r="IQU291" s="1069"/>
      <c r="IQV291" s="1069"/>
      <c r="IQW291" s="1069"/>
      <c r="IQX291" s="1069"/>
      <c r="IQY291" s="1069"/>
      <c r="IQZ291" s="1069"/>
      <c r="IRA291" s="1069"/>
      <c r="IRB291" s="1069"/>
      <c r="IRC291" s="1069"/>
      <c r="IRD291" s="1069"/>
      <c r="IRE291" s="1069"/>
      <c r="IRF291" s="1069"/>
      <c r="IRG291" s="1069"/>
      <c r="IRH291" s="1069"/>
      <c r="IRI291" s="1069"/>
      <c r="IRJ291" s="1069"/>
      <c r="IRK291" s="1069"/>
      <c r="IRL291" s="1069"/>
      <c r="IRM291" s="1069"/>
      <c r="IRN291" s="1069"/>
      <c r="IRO291" s="1069"/>
      <c r="IRP291" s="1069"/>
      <c r="IRQ291" s="1069"/>
      <c r="IRR291" s="1069"/>
      <c r="IRS291" s="1069"/>
      <c r="IRT291" s="1069"/>
      <c r="IRU291" s="1069"/>
      <c r="IRV291" s="1069"/>
      <c r="IRW291" s="1069"/>
      <c r="IRX291" s="1069"/>
      <c r="IRY291" s="1069"/>
      <c r="IRZ291" s="1069"/>
      <c r="ISA291" s="1069"/>
      <c r="ISB291" s="1069"/>
      <c r="ISC291" s="1069"/>
      <c r="ISD291" s="1069"/>
      <c r="ISE291" s="1069"/>
      <c r="ISF291" s="1069"/>
      <c r="ISG291" s="1069"/>
      <c r="ISH291" s="1069"/>
      <c r="ISI291" s="1069"/>
      <c r="ISJ291" s="1069"/>
      <c r="ISK291" s="1069"/>
      <c r="ISL291" s="1069"/>
      <c r="ISM291" s="1069"/>
      <c r="ISN291" s="1069"/>
      <c r="ISO291" s="1069"/>
      <c r="ISP291" s="1069"/>
      <c r="ISQ291" s="1069"/>
      <c r="ISR291" s="1069"/>
      <c r="ISS291" s="1069"/>
      <c r="IST291" s="1069"/>
      <c r="ISU291" s="1069"/>
      <c r="ISV291" s="1069"/>
      <c r="ISW291" s="1069"/>
      <c r="ISX291" s="1069"/>
      <c r="ISY291" s="1069"/>
      <c r="ISZ291" s="1069"/>
      <c r="ITA291" s="1069"/>
      <c r="ITB291" s="1069"/>
      <c r="ITC291" s="1069"/>
      <c r="ITD291" s="1069"/>
      <c r="ITE291" s="1069"/>
      <c r="ITF291" s="1069"/>
      <c r="ITG291" s="1069"/>
      <c r="ITH291" s="1069"/>
      <c r="ITI291" s="1069"/>
      <c r="ITJ291" s="1069"/>
      <c r="ITK291" s="1069"/>
      <c r="ITL291" s="1069"/>
      <c r="ITM291" s="1069"/>
      <c r="ITN291" s="1069"/>
      <c r="ITO291" s="1069"/>
      <c r="ITP291" s="1069"/>
      <c r="ITQ291" s="1069"/>
      <c r="ITR291" s="1069"/>
      <c r="ITS291" s="1069"/>
      <c r="ITT291" s="1069"/>
      <c r="ITU291" s="1069"/>
      <c r="ITV291" s="1069"/>
      <c r="ITW291" s="1069"/>
      <c r="ITX291" s="1069"/>
      <c r="ITY291" s="1069"/>
      <c r="ITZ291" s="1069"/>
      <c r="IUA291" s="1069"/>
      <c r="IUB291" s="1069"/>
      <c r="IUC291" s="1069"/>
      <c r="IUD291" s="1069"/>
      <c r="IUE291" s="1069"/>
      <c r="IUF291" s="1069"/>
      <c r="IUG291" s="1069"/>
      <c r="IUH291" s="1069"/>
      <c r="IUI291" s="1069"/>
      <c r="IUJ291" s="1069"/>
      <c r="IUK291" s="1069"/>
      <c r="IUL291" s="1069"/>
      <c r="IUM291" s="1069"/>
      <c r="IUN291" s="1069"/>
      <c r="IUO291" s="1069"/>
      <c r="IUP291" s="1069"/>
      <c r="IUQ291" s="1069"/>
      <c r="IUR291" s="1069"/>
      <c r="IUS291" s="1069"/>
      <c r="IUT291" s="1069"/>
      <c r="IUU291" s="1069"/>
      <c r="IUV291" s="1069"/>
      <c r="IUW291" s="1069"/>
      <c r="IUX291" s="1069"/>
      <c r="IUY291" s="1069"/>
      <c r="IUZ291" s="1069"/>
      <c r="IVA291" s="1069"/>
      <c r="IVB291" s="1069"/>
      <c r="IVC291" s="1069"/>
      <c r="IVD291" s="1069"/>
      <c r="IVE291" s="1069"/>
      <c r="IVF291" s="1069"/>
      <c r="IVG291" s="1069"/>
      <c r="IVH291" s="1069"/>
      <c r="IVI291" s="1069"/>
      <c r="IVJ291" s="1069"/>
      <c r="IVK291" s="1069"/>
      <c r="IVL291" s="1069"/>
      <c r="IVM291" s="1069"/>
      <c r="IVN291" s="1069"/>
      <c r="IVO291" s="1069"/>
      <c r="IVP291" s="1069"/>
      <c r="IVQ291" s="1069"/>
      <c r="IVR291" s="1069"/>
      <c r="IVS291" s="1069"/>
      <c r="IVT291" s="1069"/>
      <c r="IVU291" s="1069"/>
      <c r="IVV291" s="1069"/>
      <c r="IVW291" s="1069"/>
      <c r="IVX291" s="1069"/>
      <c r="IVY291" s="1069"/>
      <c r="IVZ291" s="1069"/>
      <c r="IWA291" s="1069"/>
      <c r="IWB291" s="1069"/>
      <c r="IWC291" s="1069"/>
      <c r="IWD291" s="1069"/>
      <c r="IWE291" s="1069"/>
      <c r="IWF291" s="1069"/>
      <c r="IWG291" s="1069"/>
      <c r="IWH291" s="1069"/>
      <c r="IWI291" s="1069"/>
      <c r="IWJ291" s="1069"/>
      <c r="IWK291" s="1069"/>
      <c r="IWL291" s="1069"/>
      <c r="IWM291" s="1069"/>
      <c r="IWN291" s="1069"/>
      <c r="IWO291" s="1069"/>
      <c r="IWP291" s="1069"/>
      <c r="IWQ291" s="1069"/>
      <c r="IWR291" s="1069"/>
      <c r="IWS291" s="1069"/>
      <c r="IWT291" s="1069"/>
      <c r="IWU291" s="1069"/>
      <c r="IWV291" s="1069"/>
      <c r="IWW291" s="1069"/>
      <c r="IWX291" s="1069"/>
      <c r="IWY291" s="1069"/>
      <c r="IWZ291" s="1069"/>
      <c r="IXA291" s="1069"/>
      <c r="IXB291" s="1069"/>
      <c r="IXC291" s="1069"/>
      <c r="IXD291" s="1069"/>
      <c r="IXE291" s="1069"/>
      <c r="IXF291" s="1069"/>
      <c r="IXG291" s="1069"/>
      <c r="IXH291" s="1069"/>
      <c r="IXI291" s="1069"/>
      <c r="IXJ291" s="1069"/>
      <c r="IXK291" s="1069"/>
      <c r="IXL291" s="1069"/>
      <c r="IXM291" s="1069"/>
      <c r="IXN291" s="1069"/>
      <c r="IXO291" s="1069"/>
      <c r="IXP291" s="1069"/>
      <c r="IXQ291" s="1069"/>
      <c r="IXR291" s="1069"/>
      <c r="IXS291" s="1069"/>
      <c r="IXT291" s="1069"/>
      <c r="IXU291" s="1069"/>
      <c r="IXV291" s="1069"/>
      <c r="IXW291" s="1069"/>
      <c r="IXX291" s="1069"/>
      <c r="IXY291" s="1069"/>
      <c r="IXZ291" s="1069"/>
      <c r="IYA291" s="1069"/>
      <c r="IYB291" s="1069"/>
      <c r="IYC291" s="1069"/>
      <c r="IYD291" s="1069"/>
      <c r="IYE291" s="1069"/>
      <c r="IYF291" s="1069"/>
      <c r="IYG291" s="1069"/>
      <c r="IYH291" s="1069"/>
      <c r="IYI291" s="1069"/>
      <c r="IYJ291" s="1069"/>
      <c r="IYK291" s="1069"/>
      <c r="IYL291" s="1069"/>
      <c r="IYM291" s="1069"/>
      <c r="IYN291" s="1069"/>
      <c r="IYO291" s="1069"/>
      <c r="IYP291" s="1069"/>
      <c r="IYQ291" s="1069"/>
      <c r="IYR291" s="1069"/>
      <c r="IYS291" s="1069"/>
      <c r="IYT291" s="1069"/>
      <c r="IYU291" s="1069"/>
      <c r="IYV291" s="1069"/>
      <c r="IYW291" s="1069"/>
      <c r="IYX291" s="1069"/>
      <c r="IYY291" s="1069"/>
      <c r="IYZ291" s="1069"/>
      <c r="IZA291" s="1069"/>
      <c r="IZB291" s="1069"/>
      <c r="IZC291" s="1069"/>
      <c r="IZD291" s="1069"/>
      <c r="IZE291" s="1069"/>
      <c r="IZF291" s="1069"/>
      <c r="IZG291" s="1069"/>
      <c r="IZH291" s="1069"/>
      <c r="IZI291" s="1069"/>
      <c r="IZJ291" s="1069"/>
      <c r="IZK291" s="1069"/>
      <c r="IZL291" s="1069"/>
      <c r="IZM291" s="1069"/>
      <c r="IZN291" s="1069"/>
      <c r="IZO291" s="1069"/>
      <c r="IZP291" s="1069"/>
      <c r="IZQ291" s="1069"/>
      <c r="IZR291" s="1069"/>
      <c r="IZS291" s="1069"/>
      <c r="IZT291" s="1069"/>
      <c r="IZU291" s="1069"/>
      <c r="IZV291" s="1069"/>
      <c r="IZW291" s="1069"/>
      <c r="IZX291" s="1069"/>
      <c r="IZY291" s="1069"/>
      <c r="IZZ291" s="1069"/>
      <c r="JAA291" s="1069"/>
      <c r="JAB291" s="1069"/>
      <c r="JAC291" s="1069"/>
      <c r="JAD291" s="1069"/>
      <c r="JAE291" s="1069"/>
      <c r="JAF291" s="1069"/>
      <c r="JAG291" s="1069"/>
      <c r="JAH291" s="1069"/>
      <c r="JAI291" s="1069"/>
      <c r="JAJ291" s="1069"/>
      <c r="JAK291" s="1069"/>
      <c r="JAL291" s="1069"/>
      <c r="JAM291" s="1069"/>
      <c r="JAN291" s="1069"/>
      <c r="JAO291" s="1069"/>
      <c r="JAP291" s="1069"/>
      <c r="JAQ291" s="1069"/>
      <c r="JAR291" s="1069"/>
      <c r="JAS291" s="1069"/>
      <c r="JAT291" s="1069"/>
      <c r="JAU291" s="1069"/>
      <c r="JAV291" s="1069"/>
      <c r="JAW291" s="1069"/>
      <c r="JAX291" s="1069"/>
      <c r="JAY291" s="1069"/>
      <c r="JAZ291" s="1069"/>
      <c r="JBA291" s="1069"/>
      <c r="JBB291" s="1069"/>
      <c r="JBC291" s="1069"/>
      <c r="JBD291" s="1069"/>
      <c r="JBE291" s="1069"/>
      <c r="JBF291" s="1069"/>
      <c r="JBG291" s="1069"/>
      <c r="JBH291" s="1069"/>
      <c r="JBI291" s="1069"/>
      <c r="JBJ291" s="1069"/>
      <c r="JBK291" s="1069"/>
      <c r="JBL291" s="1069"/>
      <c r="JBM291" s="1069"/>
      <c r="JBN291" s="1069"/>
      <c r="JBO291" s="1069"/>
      <c r="JBP291" s="1069"/>
      <c r="JBQ291" s="1069"/>
      <c r="JBR291" s="1069"/>
      <c r="JBS291" s="1069"/>
      <c r="JBT291" s="1069"/>
      <c r="JBU291" s="1069"/>
      <c r="JBV291" s="1069"/>
      <c r="JBW291" s="1069"/>
      <c r="JBX291" s="1069"/>
      <c r="JBY291" s="1069"/>
      <c r="JBZ291" s="1069"/>
      <c r="JCA291" s="1069"/>
      <c r="JCB291" s="1069"/>
      <c r="JCC291" s="1069"/>
      <c r="JCD291" s="1069"/>
      <c r="JCE291" s="1069"/>
      <c r="JCF291" s="1069"/>
      <c r="JCG291" s="1069"/>
      <c r="JCH291" s="1069"/>
      <c r="JCI291" s="1069"/>
      <c r="JCJ291" s="1069"/>
      <c r="JCK291" s="1069"/>
      <c r="JCL291" s="1069"/>
      <c r="JCM291" s="1069"/>
      <c r="JCN291" s="1069"/>
      <c r="JCO291" s="1069"/>
      <c r="JCP291" s="1069"/>
      <c r="JCQ291" s="1069"/>
      <c r="JCR291" s="1069"/>
      <c r="JCS291" s="1069"/>
      <c r="JCT291" s="1069"/>
      <c r="JCU291" s="1069"/>
      <c r="JCV291" s="1069"/>
      <c r="JCW291" s="1069"/>
      <c r="JCX291" s="1069"/>
      <c r="JCY291" s="1069"/>
      <c r="JCZ291" s="1069"/>
      <c r="JDA291" s="1069"/>
      <c r="JDB291" s="1069"/>
      <c r="JDC291" s="1069"/>
      <c r="JDD291" s="1069"/>
      <c r="JDE291" s="1069"/>
      <c r="JDF291" s="1069"/>
      <c r="JDG291" s="1069"/>
      <c r="JDH291" s="1069"/>
      <c r="JDI291" s="1069"/>
      <c r="JDJ291" s="1069"/>
      <c r="JDK291" s="1069"/>
      <c r="JDL291" s="1069"/>
      <c r="JDM291" s="1069"/>
      <c r="JDN291" s="1069"/>
      <c r="JDO291" s="1069"/>
      <c r="JDP291" s="1069"/>
      <c r="JDQ291" s="1069"/>
      <c r="JDR291" s="1069"/>
      <c r="JDS291" s="1069"/>
      <c r="JDT291" s="1069"/>
      <c r="JDU291" s="1069"/>
      <c r="JDV291" s="1069"/>
      <c r="JDW291" s="1069"/>
      <c r="JDX291" s="1069"/>
      <c r="JDY291" s="1069"/>
      <c r="JDZ291" s="1069"/>
      <c r="JEA291" s="1069"/>
      <c r="JEB291" s="1069"/>
      <c r="JEC291" s="1069"/>
      <c r="JED291" s="1069"/>
      <c r="JEE291" s="1069"/>
      <c r="JEF291" s="1069"/>
      <c r="JEG291" s="1069"/>
      <c r="JEH291" s="1069"/>
      <c r="JEI291" s="1069"/>
      <c r="JEJ291" s="1069"/>
      <c r="JEK291" s="1069"/>
      <c r="JEL291" s="1069"/>
      <c r="JEM291" s="1069"/>
      <c r="JEN291" s="1069"/>
      <c r="JEO291" s="1069"/>
      <c r="JEP291" s="1069"/>
      <c r="JEQ291" s="1069"/>
      <c r="JER291" s="1069"/>
      <c r="JES291" s="1069"/>
      <c r="JET291" s="1069"/>
      <c r="JEU291" s="1069"/>
      <c r="JEV291" s="1069"/>
      <c r="JEW291" s="1069"/>
      <c r="JEX291" s="1069"/>
      <c r="JEY291" s="1069"/>
      <c r="JEZ291" s="1069"/>
      <c r="JFA291" s="1069"/>
      <c r="JFB291" s="1069"/>
      <c r="JFC291" s="1069"/>
      <c r="JFD291" s="1069"/>
      <c r="JFE291" s="1069"/>
      <c r="JFF291" s="1069"/>
      <c r="JFG291" s="1069"/>
      <c r="JFH291" s="1069"/>
      <c r="JFI291" s="1069"/>
      <c r="JFJ291" s="1069"/>
      <c r="JFK291" s="1069"/>
      <c r="JFL291" s="1069"/>
      <c r="JFM291" s="1069"/>
      <c r="JFN291" s="1069"/>
      <c r="JFO291" s="1069"/>
      <c r="JFP291" s="1069"/>
      <c r="JFQ291" s="1069"/>
      <c r="JFR291" s="1069"/>
      <c r="JFS291" s="1069"/>
      <c r="JFT291" s="1069"/>
      <c r="JFU291" s="1069"/>
      <c r="JFV291" s="1069"/>
      <c r="JFW291" s="1069"/>
      <c r="JFX291" s="1069"/>
      <c r="JFY291" s="1069"/>
      <c r="JFZ291" s="1069"/>
      <c r="JGA291" s="1069"/>
      <c r="JGB291" s="1069"/>
      <c r="JGC291" s="1069"/>
      <c r="JGD291" s="1069"/>
      <c r="JGE291" s="1069"/>
      <c r="JGF291" s="1069"/>
      <c r="JGG291" s="1069"/>
      <c r="JGH291" s="1069"/>
      <c r="JGI291" s="1069"/>
      <c r="JGJ291" s="1069"/>
      <c r="JGK291" s="1069"/>
      <c r="JGL291" s="1069"/>
      <c r="JGM291" s="1069"/>
      <c r="JGN291" s="1069"/>
      <c r="JGO291" s="1069"/>
      <c r="JGP291" s="1069"/>
      <c r="JGQ291" s="1069"/>
      <c r="JGR291" s="1069"/>
      <c r="JGS291" s="1069"/>
      <c r="JGT291" s="1069"/>
      <c r="JGU291" s="1069"/>
      <c r="JGV291" s="1069"/>
      <c r="JGW291" s="1069"/>
      <c r="JGX291" s="1069"/>
      <c r="JGY291" s="1069"/>
      <c r="JGZ291" s="1069"/>
      <c r="JHA291" s="1069"/>
      <c r="JHB291" s="1069"/>
      <c r="JHC291" s="1069"/>
      <c r="JHD291" s="1069"/>
      <c r="JHE291" s="1069"/>
      <c r="JHF291" s="1069"/>
      <c r="JHG291" s="1069"/>
      <c r="JHH291" s="1069"/>
      <c r="JHI291" s="1069"/>
      <c r="JHJ291" s="1069"/>
      <c r="JHK291" s="1069"/>
      <c r="JHL291" s="1069"/>
      <c r="JHM291" s="1069"/>
      <c r="JHN291" s="1069"/>
      <c r="JHO291" s="1069"/>
      <c r="JHP291" s="1069"/>
      <c r="JHQ291" s="1069"/>
      <c r="JHR291" s="1069"/>
      <c r="JHS291" s="1069"/>
      <c r="JHT291" s="1069"/>
      <c r="JHU291" s="1069"/>
      <c r="JHV291" s="1069"/>
      <c r="JHW291" s="1069"/>
      <c r="JHX291" s="1069"/>
      <c r="JHY291" s="1069"/>
      <c r="JHZ291" s="1069"/>
      <c r="JIA291" s="1069"/>
      <c r="JIB291" s="1069"/>
      <c r="JIC291" s="1069"/>
      <c r="JID291" s="1069"/>
      <c r="JIE291" s="1069"/>
      <c r="JIF291" s="1069"/>
      <c r="JIG291" s="1069"/>
      <c r="JIH291" s="1069"/>
      <c r="JII291" s="1069"/>
      <c r="JIJ291" s="1069"/>
      <c r="JIK291" s="1069"/>
      <c r="JIL291" s="1069"/>
      <c r="JIM291" s="1069"/>
      <c r="JIN291" s="1069"/>
      <c r="JIO291" s="1069"/>
      <c r="JIP291" s="1069"/>
      <c r="JIQ291" s="1069"/>
      <c r="JIR291" s="1069"/>
      <c r="JIS291" s="1069"/>
      <c r="JIT291" s="1069"/>
      <c r="JIU291" s="1069"/>
      <c r="JIV291" s="1069"/>
      <c r="JIW291" s="1069"/>
      <c r="JIX291" s="1069"/>
      <c r="JIY291" s="1069"/>
      <c r="JIZ291" s="1069"/>
      <c r="JJA291" s="1069"/>
      <c r="JJB291" s="1069"/>
      <c r="JJC291" s="1069"/>
      <c r="JJD291" s="1069"/>
      <c r="JJE291" s="1069"/>
      <c r="JJF291" s="1069"/>
      <c r="JJG291" s="1069"/>
      <c r="JJH291" s="1069"/>
      <c r="JJI291" s="1069"/>
      <c r="JJJ291" s="1069"/>
      <c r="JJK291" s="1069"/>
      <c r="JJL291" s="1069"/>
      <c r="JJM291" s="1069"/>
      <c r="JJN291" s="1069"/>
      <c r="JJO291" s="1069"/>
      <c r="JJP291" s="1069"/>
      <c r="JJQ291" s="1069"/>
      <c r="JJR291" s="1069"/>
      <c r="JJS291" s="1069"/>
      <c r="JJT291" s="1069"/>
      <c r="JJU291" s="1069"/>
      <c r="JJV291" s="1069"/>
      <c r="JJW291" s="1069"/>
      <c r="JJX291" s="1069"/>
      <c r="JJY291" s="1069"/>
      <c r="JJZ291" s="1069"/>
      <c r="JKA291" s="1069"/>
      <c r="JKB291" s="1069"/>
      <c r="JKC291" s="1069"/>
      <c r="JKD291" s="1069"/>
      <c r="JKE291" s="1069"/>
      <c r="JKF291" s="1069"/>
      <c r="JKG291" s="1069"/>
      <c r="JKH291" s="1069"/>
      <c r="JKI291" s="1069"/>
      <c r="JKJ291" s="1069"/>
      <c r="JKK291" s="1069"/>
      <c r="JKL291" s="1069"/>
      <c r="JKM291" s="1069"/>
      <c r="JKN291" s="1069"/>
      <c r="JKO291" s="1069"/>
      <c r="JKP291" s="1069"/>
      <c r="JKQ291" s="1069"/>
      <c r="JKR291" s="1069"/>
      <c r="JKS291" s="1069"/>
      <c r="JKT291" s="1069"/>
      <c r="JKU291" s="1069"/>
      <c r="JKV291" s="1069"/>
      <c r="JKW291" s="1069"/>
      <c r="JKX291" s="1069"/>
      <c r="JKY291" s="1069"/>
      <c r="JKZ291" s="1069"/>
      <c r="JLA291" s="1069"/>
      <c r="JLB291" s="1069"/>
      <c r="JLC291" s="1069"/>
      <c r="JLD291" s="1069"/>
      <c r="JLE291" s="1069"/>
      <c r="JLF291" s="1069"/>
      <c r="JLG291" s="1069"/>
      <c r="JLH291" s="1069"/>
      <c r="JLI291" s="1069"/>
      <c r="JLJ291" s="1069"/>
      <c r="JLK291" s="1069"/>
      <c r="JLL291" s="1069"/>
      <c r="JLM291" s="1069"/>
      <c r="JLN291" s="1069"/>
      <c r="JLO291" s="1069"/>
      <c r="JLP291" s="1069"/>
      <c r="JLQ291" s="1069"/>
      <c r="JLR291" s="1069"/>
      <c r="JLS291" s="1069"/>
      <c r="JLT291" s="1069"/>
      <c r="JLU291" s="1069"/>
      <c r="JLV291" s="1069"/>
      <c r="JLW291" s="1069"/>
      <c r="JLX291" s="1069"/>
      <c r="JLY291" s="1069"/>
      <c r="JLZ291" s="1069"/>
      <c r="JMA291" s="1069"/>
      <c r="JMB291" s="1069"/>
      <c r="JMC291" s="1069"/>
      <c r="JMD291" s="1069"/>
      <c r="JME291" s="1069"/>
      <c r="JMF291" s="1069"/>
      <c r="JMG291" s="1069"/>
      <c r="JMH291" s="1069"/>
      <c r="JMI291" s="1069"/>
      <c r="JMJ291" s="1069"/>
      <c r="JMK291" s="1069"/>
      <c r="JML291" s="1069"/>
      <c r="JMM291" s="1069"/>
      <c r="JMN291" s="1069"/>
      <c r="JMO291" s="1069"/>
      <c r="JMP291" s="1069"/>
      <c r="JMQ291" s="1069"/>
      <c r="JMR291" s="1069"/>
      <c r="JMS291" s="1069"/>
      <c r="JMT291" s="1069"/>
      <c r="JMU291" s="1069"/>
      <c r="JMV291" s="1069"/>
      <c r="JMW291" s="1069"/>
      <c r="JMX291" s="1069"/>
      <c r="JMY291" s="1069"/>
      <c r="JMZ291" s="1069"/>
      <c r="JNA291" s="1069"/>
      <c r="JNB291" s="1069"/>
      <c r="JNC291" s="1069"/>
      <c r="JND291" s="1069"/>
      <c r="JNE291" s="1069"/>
      <c r="JNF291" s="1069"/>
      <c r="JNG291" s="1069"/>
      <c r="JNH291" s="1069"/>
      <c r="JNI291" s="1069"/>
      <c r="JNJ291" s="1069"/>
      <c r="JNK291" s="1069"/>
      <c r="JNL291" s="1069"/>
      <c r="JNM291" s="1069"/>
      <c r="JNN291" s="1069"/>
      <c r="JNO291" s="1069"/>
      <c r="JNP291" s="1069"/>
      <c r="JNQ291" s="1069"/>
      <c r="JNR291" s="1069"/>
      <c r="JNS291" s="1069"/>
      <c r="JNT291" s="1069"/>
      <c r="JNU291" s="1069"/>
      <c r="JNV291" s="1069"/>
      <c r="JNW291" s="1069"/>
      <c r="JNX291" s="1069"/>
      <c r="JNY291" s="1069"/>
      <c r="JNZ291" s="1069"/>
      <c r="JOA291" s="1069"/>
      <c r="JOB291" s="1069"/>
      <c r="JOC291" s="1069"/>
      <c r="JOD291" s="1069"/>
      <c r="JOE291" s="1069"/>
      <c r="JOF291" s="1069"/>
      <c r="JOG291" s="1069"/>
      <c r="JOH291" s="1069"/>
      <c r="JOI291" s="1069"/>
      <c r="JOJ291" s="1069"/>
      <c r="JOK291" s="1069"/>
      <c r="JOL291" s="1069"/>
      <c r="JOM291" s="1069"/>
      <c r="JON291" s="1069"/>
      <c r="JOO291" s="1069"/>
      <c r="JOP291" s="1069"/>
      <c r="JOQ291" s="1069"/>
      <c r="JOR291" s="1069"/>
      <c r="JOS291" s="1069"/>
      <c r="JOT291" s="1069"/>
      <c r="JOU291" s="1069"/>
      <c r="JOV291" s="1069"/>
      <c r="JOW291" s="1069"/>
      <c r="JOX291" s="1069"/>
      <c r="JOY291" s="1069"/>
      <c r="JOZ291" s="1069"/>
      <c r="JPA291" s="1069"/>
      <c r="JPB291" s="1069"/>
      <c r="JPC291" s="1069"/>
      <c r="JPD291" s="1069"/>
      <c r="JPE291" s="1069"/>
      <c r="JPF291" s="1069"/>
      <c r="JPG291" s="1069"/>
      <c r="JPH291" s="1069"/>
      <c r="JPI291" s="1069"/>
      <c r="JPJ291" s="1069"/>
      <c r="JPK291" s="1069"/>
      <c r="JPL291" s="1069"/>
      <c r="JPM291" s="1069"/>
      <c r="JPN291" s="1069"/>
      <c r="JPO291" s="1069"/>
      <c r="JPP291" s="1069"/>
      <c r="JPQ291" s="1069"/>
      <c r="JPR291" s="1069"/>
      <c r="JPS291" s="1069"/>
      <c r="JPT291" s="1069"/>
      <c r="JPU291" s="1069"/>
      <c r="JPV291" s="1069"/>
      <c r="JPW291" s="1069"/>
      <c r="JPX291" s="1069"/>
      <c r="JPY291" s="1069"/>
      <c r="JPZ291" s="1069"/>
      <c r="JQA291" s="1069"/>
      <c r="JQB291" s="1069"/>
      <c r="JQC291" s="1069"/>
      <c r="JQD291" s="1069"/>
      <c r="JQE291" s="1069"/>
      <c r="JQF291" s="1069"/>
      <c r="JQG291" s="1069"/>
      <c r="JQH291" s="1069"/>
      <c r="JQI291" s="1069"/>
      <c r="JQJ291" s="1069"/>
      <c r="JQK291" s="1069"/>
      <c r="JQL291" s="1069"/>
      <c r="JQM291" s="1069"/>
      <c r="JQN291" s="1069"/>
      <c r="JQO291" s="1069"/>
      <c r="JQP291" s="1069"/>
      <c r="JQQ291" s="1069"/>
      <c r="JQR291" s="1069"/>
      <c r="JQS291" s="1069"/>
      <c r="JQT291" s="1069"/>
      <c r="JQU291" s="1069"/>
      <c r="JQV291" s="1069"/>
      <c r="JQW291" s="1069"/>
      <c r="JQX291" s="1069"/>
      <c r="JQY291" s="1069"/>
      <c r="JQZ291" s="1069"/>
      <c r="JRA291" s="1069"/>
      <c r="JRB291" s="1069"/>
      <c r="JRC291" s="1069"/>
      <c r="JRD291" s="1069"/>
      <c r="JRE291" s="1069"/>
      <c r="JRF291" s="1069"/>
      <c r="JRG291" s="1069"/>
      <c r="JRH291" s="1069"/>
      <c r="JRI291" s="1069"/>
      <c r="JRJ291" s="1069"/>
      <c r="JRK291" s="1069"/>
      <c r="JRL291" s="1069"/>
      <c r="JRM291" s="1069"/>
      <c r="JRN291" s="1069"/>
      <c r="JRO291" s="1069"/>
      <c r="JRP291" s="1069"/>
      <c r="JRQ291" s="1069"/>
      <c r="JRR291" s="1069"/>
      <c r="JRS291" s="1069"/>
      <c r="JRT291" s="1069"/>
      <c r="JRU291" s="1069"/>
      <c r="JRV291" s="1069"/>
      <c r="JRW291" s="1069"/>
      <c r="JRX291" s="1069"/>
      <c r="JRY291" s="1069"/>
      <c r="JRZ291" s="1069"/>
      <c r="JSA291" s="1069"/>
      <c r="JSB291" s="1069"/>
      <c r="JSC291" s="1069"/>
      <c r="JSD291" s="1069"/>
      <c r="JSE291" s="1069"/>
      <c r="JSF291" s="1069"/>
      <c r="JSG291" s="1069"/>
      <c r="JSH291" s="1069"/>
      <c r="JSI291" s="1069"/>
      <c r="JSJ291" s="1069"/>
      <c r="JSK291" s="1069"/>
      <c r="JSL291" s="1069"/>
      <c r="JSM291" s="1069"/>
      <c r="JSN291" s="1069"/>
      <c r="JSO291" s="1069"/>
      <c r="JSP291" s="1069"/>
      <c r="JSQ291" s="1069"/>
      <c r="JSR291" s="1069"/>
      <c r="JSS291" s="1069"/>
      <c r="JST291" s="1069"/>
      <c r="JSU291" s="1069"/>
      <c r="JSV291" s="1069"/>
      <c r="JSW291" s="1069"/>
      <c r="JSX291" s="1069"/>
      <c r="JSY291" s="1069"/>
      <c r="JSZ291" s="1069"/>
      <c r="JTA291" s="1069"/>
      <c r="JTB291" s="1069"/>
      <c r="JTC291" s="1069"/>
      <c r="JTD291" s="1069"/>
      <c r="JTE291" s="1069"/>
      <c r="JTF291" s="1069"/>
      <c r="JTG291" s="1069"/>
      <c r="JTH291" s="1069"/>
      <c r="JTI291" s="1069"/>
      <c r="JTJ291" s="1069"/>
      <c r="JTK291" s="1069"/>
      <c r="JTL291" s="1069"/>
      <c r="JTM291" s="1069"/>
      <c r="JTN291" s="1069"/>
      <c r="JTO291" s="1069"/>
      <c r="JTP291" s="1069"/>
      <c r="JTQ291" s="1069"/>
      <c r="JTR291" s="1069"/>
      <c r="JTS291" s="1069"/>
      <c r="JTT291" s="1069"/>
      <c r="JTU291" s="1069"/>
      <c r="JTV291" s="1069"/>
      <c r="JTW291" s="1069"/>
      <c r="JTX291" s="1069"/>
      <c r="JTY291" s="1069"/>
      <c r="JTZ291" s="1069"/>
      <c r="JUA291" s="1069"/>
      <c r="JUB291" s="1069"/>
      <c r="JUC291" s="1069"/>
      <c r="JUD291" s="1069"/>
      <c r="JUE291" s="1069"/>
      <c r="JUF291" s="1069"/>
      <c r="JUG291" s="1069"/>
      <c r="JUH291" s="1069"/>
      <c r="JUI291" s="1069"/>
      <c r="JUJ291" s="1069"/>
      <c r="JUK291" s="1069"/>
      <c r="JUL291" s="1069"/>
      <c r="JUM291" s="1069"/>
      <c r="JUN291" s="1069"/>
      <c r="JUO291" s="1069"/>
      <c r="JUP291" s="1069"/>
      <c r="JUQ291" s="1069"/>
      <c r="JUR291" s="1069"/>
      <c r="JUS291" s="1069"/>
      <c r="JUT291" s="1069"/>
      <c r="JUU291" s="1069"/>
      <c r="JUV291" s="1069"/>
      <c r="JUW291" s="1069"/>
      <c r="JUX291" s="1069"/>
      <c r="JUY291" s="1069"/>
      <c r="JUZ291" s="1069"/>
      <c r="JVA291" s="1069"/>
      <c r="JVB291" s="1069"/>
      <c r="JVC291" s="1069"/>
      <c r="JVD291" s="1069"/>
      <c r="JVE291" s="1069"/>
      <c r="JVF291" s="1069"/>
      <c r="JVG291" s="1069"/>
      <c r="JVH291" s="1069"/>
      <c r="JVI291" s="1069"/>
      <c r="JVJ291" s="1069"/>
      <c r="JVK291" s="1069"/>
      <c r="JVL291" s="1069"/>
      <c r="JVM291" s="1069"/>
      <c r="JVN291" s="1069"/>
      <c r="JVO291" s="1069"/>
      <c r="JVP291" s="1069"/>
      <c r="JVQ291" s="1069"/>
      <c r="JVR291" s="1069"/>
      <c r="JVS291" s="1069"/>
      <c r="JVT291" s="1069"/>
      <c r="JVU291" s="1069"/>
      <c r="JVV291" s="1069"/>
      <c r="JVW291" s="1069"/>
      <c r="JVX291" s="1069"/>
      <c r="JVY291" s="1069"/>
      <c r="JVZ291" s="1069"/>
      <c r="JWA291" s="1069"/>
      <c r="JWB291" s="1069"/>
      <c r="JWC291" s="1069"/>
      <c r="JWD291" s="1069"/>
      <c r="JWE291" s="1069"/>
      <c r="JWF291" s="1069"/>
      <c r="JWG291" s="1069"/>
      <c r="JWH291" s="1069"/>
      <c r="JWI291" s="1069"/>
      <c r="JWJ291" s="1069"/>
      <c r="JWK291" s="1069"/>
      <c r="JWL291" s="1069"/>
      <c r="JWM291" s="1069"/>
      <c r="JWN291" s="1069"/>
      <c r="JWO291" s="1069"/>
      <c r="JWP291" s="1069"/>
      <c r="JWQ291" s="1069"/>
      <c r="JWR291" s="1069"/>
      <c r="JWS291" s="1069"/>
      <c r="JWT291" s="1069"/>
      <c r="JWU291" s="1069"/>
      <c r="JWV291" s="1069"/>
      <c r="JWW291" s="1069"/>
      <c r="JWX291" s="1069"/>
      <c r="JWY291" s="1069"/>
      <c r="JWZ291" s="1069"/>
      <c r="JXA291" s="1069"/>
      <c r="JXB291" s="1069"/>
      <c r="JXC291" s="1069"/>
      <c r="JXD291" s="1069"/>
      <c r="JXE291" s="1069"/>
      <c r="JXF291" s="1069"/>
      <c r="JXG291" s="1069"/>
      <c r="JXH291" s="1069"/>
      <c r="JXI291" s="1069"/>
      <c r="JXJ291" s="1069"/>
      <c r="JXK291" s="1069"/>
      <c r="JXL291" s="1069"/>
      <c r="JXM291" s="1069"/>
      <c r="JXN291" s="1069"/>
      <c r="JXO291" s="1069"/>
      <c r="JXP291" s="1069"/>
      <c r="JXQ291" s="1069"/>
      <c r="JXR291" s="1069"/>
      <c r="JXS291" s="1069"/>
      <c r="JXT291" s="1069"/>
      <c r="JXU291" s="1069"/>
      <c r="JXV291" s="1069"/>
      <c r="JXW291" s="1069"/>
      <c r="JXX291" s="1069"/>
      <c r="JXY291" s="1069"/>
      <c r="JXZ291" s="1069"/>
      <c r="JYA291" s="1069"/>
      <c r="JYB291" s="1069"/>
      <c r="JYC291" s="1069"/>
      <c r="JYD291" s="1069"/>
      <c r="JYE291" s="1069"/>
      <c r="JYF291" s="1069"/>
      <c r="JYG291" s="1069"/>
      <c r="JYH291" s="1069"/>
      <c r="JYI291" s="1069"/>
      <c r="JYJ291" s="1069"/>
      <c r="JYK291" s="1069"/>
      <c r="JYL291" s="1069"/>
      <c r="JYM291" s="1069"/>
      <c r="JYN291" s="1069"/>
      <c r="JYO291" s="1069"/>
      <c r="JYP291" s="1069"/>
      <c r="JYQ291" s="1069"/>
      <c r="JYR291" s="1069"/>
      <c r="JYS291" s="1069"/>
      <c r="JYT291" s="1069"/>
      <c r="JYU291" s="1069"/>
      <c r="JYV291" s="1069"/>
      <c r="JYW291" s="1069"/>
      <c r="JYX291" s="1069"/>
      <c r="JYY291" s="1069"/>
      <c r="JYZ291" s="1069"/>
      <c r="JZA291" s="1069"/>
      <c r="JZB291" s="1069"/>
      <c r="JZC291" s="1069"/>
      <c r="JZD291" s="1069"/>
      <c r="JZE291" s="1069"/>
      <c r="JZF291" s="1069"/>
      <c r="JZG291" s="1069"/>
      <c r="JZH291" s="1069"/>
      <c r="JZI291" s="1069"/>
      <c r="JZJ291" s="1069"/>
      <c r="JZK291" s="1069"/>
      <c r="JZL291" s="1069"/>
      <c r="JZM291" s="1069"/>
      <c r="JZN291" s="1069"/>
      <c r="JZO291" s="1069"/>
      <c r="JZP291" s="1069"/>
      <c r="JZQ291" s="1069"/>
      <c r="JZR291" s="1069"/>
      <c r="JZS291" s="1069"/>
      <c r="JZT291" s="1069"/>
      <c r="JZU291" s="1069"/>
      <c r="JZV291" s="1069"/>
      <c r="JZW291" s="1069"/>
      <c r="JZX291" s="1069"/>
      <c r="JZY291" s="1069"/>
      <c r="JZZ291" s="1069"/>
      <c r="KAA291" s="1069"/>
      <c r="KAB291" s="1069"/>
      <c r="KAC291" s="1069"/>
      <c r="KAD291" s="1069"/>
      <c r="KAE291" s="1069"/>
      <c r="KAF291" s="1069"/>
      <c r="KAG291" s="1069"/>
      <c r="KAH291" s="1069"/>
      <c r="KAI291" s="1069"/>
      <c r="KAJ291" s="1069"/>
      <c r="KAK291" s="1069"/>
      <c r="KAL291" s="1069"/>
      <c r="KAM291" s="1069"/>
      <c r="KAN291" s="1069"/>
      <c r="KAO291" s="1069"/>
      <c r="KAP291" s="1069"/>
      <c r="KAQ291" s="1069"/>
      <c r="KAR291" s="1069"/>
      <c r="KAS291" s="1069"/>
      <c r="KAT291" s="1069"/>
      <c r="KAU291" s="1069"/>
      <c r="KAV291" s="1069"/>
      <c r="KAW291" s="1069"/>
      <c r="KAX291" s="1069"/>
      <c r="KAY291" s="1069"/>
      <c r="KAZ291" s="1069"/>
      <c r="KBA291" s="1069"/>
      <c r="KBB291" s="1069"/>
      <c r="KBC291" s="1069"/>
      <c r="KBD291" s="1069"/>
      <c r="KBE291" s="1069"/>
      <c r="KBF291" s="1069"/>
      <c r="KBG291" s="1069"/>
      <c r="KBH291" s="1069"/>
      <c r="KBI291" s="1069"/>
      <c r="KBJ291" s="1069"/>
      <c r="KBK291" s="1069"/>
      <c r="KBL291" s="1069"/>
      <c r="KBM291" s="1069"/>
      <c r="KBN291" s="1069"/>
      <c r="KBO291" s="1069"/>
      <c r="KBP291" s="1069"/>
      <c r="KBQ291" s="1069"/>
      <c r="KBR291" s="1069"/>
      <c r="KBS291" s="1069"/>
      <c r="KBT291" s="1069"/>
      <c r="KBU291" s="1069"/>
      <c r="KBV291" s="1069"/>
      <c r="KBW291" s="1069"/>
      <c r="KBX291" s="1069"/>
      <c r="KBY291" s="1069"/>
      <c r="KBZ291" s="1069"/>
      <c r="KCA291" s="1069"/>
      <c r="KCB291" s="1069"/>
      <c r="KCC291" s="1069"/>
      <c r="KCD291" s="1069"/>
      <c r="KCE291" s="1069"/>
      <c r="KCF291" s="1069"/>
      <c r="KCG291" s="1069"/>
      <c r="KCH291" s="1069"/>
      <c r="KCI291" s="1069"/>
      <c r="KCJ291" s="1069"/>
      <c r="KCK291" s="1069"/>
      <c r="KCL291" s="1069"/>
      <c r="KCM291" s="1069"/>
      <c r="KCN291" s="1069"/>
      <c r="KCO291" s="1069"/>
      <c r="KCP291" s="1069"/>
      <c r="KCQ291" s="1069"/>
      <c r="KCR291" s="1069"/>
      <c r="KCS291" s="1069"/>
      <c r="KCT291" s="1069"/>
      <c r="KCU291" s="1069"/>
      <c r="KCV291" s="1069"/>
      <c r="KCW291" s="1069"/>
      <c r="KCX291" s="1069"/>
      <c r="KCY291" s="1069"/>
      <c r="KCZ291" s="1069"/>
      <c r="KDA291" s="1069"/>
      <c r="KDB291" s="1069"/>
      <c r="KDC291" s="1069"/>
      <c r="KDD291" s="1069"/>
      <c r="KDE291" s="1069"/>
      <c r="KDF291" s="1069"/>
      <c r="KDG291" s="1069"/>
      <c r="KDH291" s="1069"/>
      <c r="KDI291" s="1069"/>
      <c r="KDJ291" s="1069"/>
      <c r="KDK291" s="1069"/>
      <c r="KDL291" s="1069"/>
      <c r="KDM291" s="1069"/>
      <c r="KDN291" s="1069"/>
      <c r="KDO291" s="1069"/>
      <c r="KDP291" s="1069"/>
      <c r="KDQ291" s="1069"/>
      <c r="KDR291" s="1069"/>
      <c r="KDS291" s="1069"/>
      <c r="KDT291" s="1069"/>
      <c r="KDU291" s="1069"/>
      <c r="KDV291" s="1069"/>
      <c r="KDW291" s="1069"/>
      <c r="KDX291" s="1069"/>
      <c r="KDY291" s="1069"/>
      <c r="KDZ291" s="1069"/>
      <c r="KEA291" s="1069"/>
      <c r="KEB291" s="1069"/>
      <c r="KEC291" s="1069"/>
      <c r="KED291" s="1069"/>
      <c r="KEE291" s="1069"/>
      <c r="KEF291" s="1069"/>
      <c r="KEG291" s="1069"/>
      <c r="KEH291" s="1069"/>
      <c r="KEI291" s="1069"/>
      <c r="KEJ291" s="1069"/>
      <c r="KEK291" s="1069"/>
      <c r="KEL291" s="1069"/>
      <c r="KEM291" s="1069"/>
      <c r="KEN291" s="1069"/>
      <c r="KEO291" s="1069"/>
      <c r="KEP291" s="1069"/>
      <c r="KEQ291" s="1069"/>
      <c r="KER291" s="1069"/>
      <c r="KES291" s="1069"/>
      <c r="KET291" s="1069"/>
      <c r="KEU291" s="1069"/>
      <c r="KEV291" s="1069"/>
      <c r="KEW291" s="1069"/>
      <c r="KEX291" s="1069"/>
      <c r="KEY291" s="1069"/>
      <c r="KEZ291" s="1069"/>
      <c r="KFA291" s="1069"/>
      <c r="KFB291" s="1069"/>
      <c r="KFC291" s="1069"/>
      <c r="KFD291" s="1069"/>
      <c r="KFE291" s="1069"/>
      <c r="KFF291" s="1069"/>
      <c r="KFG291" s="1069"/>
      <c r="KFH291" s="1069"/>
      <c r="KFI291" s="1069"/>
      <c r="KFJ291" s="1069"/>
      <c r="KFK291" s="1069"/>
      <c r="KFL291" s="1069"/>
      <c r="KFM291" s="1069"/>
      <c r="KFN291" s="1069"/>
      <c r="KFO291" s="1069"/>
      <c r="KFP291" s="1069"/>
      <c r="KFQ291" s="1069"/>
      <c r="KFR291" s="1069"/>
      <c r="KFS291" s="1069"/>
      <c r="KFT291" s="1069"/>
      <c r="KFU291" s="1069"/>
      <c r="KFV291" s="1069"/>
      <c r="KFW291" s="1069"/>
      <c r="KFX291" s="1069"/>
      <c r="KFY291" s="1069"/>
      <c r="KFZ291" s="1069"/>
      <c r="KGA291" s="1069"/>
      <c r="KGB291" s="1069"/>
      <c r="KGC291" s="1069"/>
      <c r="KGD291" s="1069"/>
      <c r="KGE291" s="1069"/>
      <c r="KGF291" s="1069"/>
      <c r="KGG291" s="1069"/>
      <c r="KGH291" s="1069"/>
      <c r="KGI291" s="1069"/>
      <c r="KGJ291" s="1069"/>
      <c r="KGK291" s="1069"/>
      <c r="KGL291" s="1069"/>
      <c r="KGM291" s="1069"/>
      <c r="KGN291" s="1069"/>
      <c r="KGO291" s="1069"/>
      <c r="KGP291" s="1069"/>
      <c r="KGQ291" s="1069"/>
      <c r="KGR291" s="1069"/>
      <c r="KGS291" s="1069"/>
      <c r="KGT291" s="1069"/>
      <c r="KGU291" s="1069"/>
      <c r="KGV291" s="1069"/>
      <c r="KGW291" s="1069"/>
      <c r="KGX291" s="1069"/>
      <c r="KGY291" s="1069"/>
      <c r="KGZ291" s="1069"/>
      <c r="KHA291" s="1069"/>
      <c r="KHB291" s="1069"/>
      <c r="KHC291" s="1069"/>
      <c r="KHD291" s="1069"/>
      <c r="KHE291" s="1069"/>
      <c r="KHF291" s="1069"/>
      <c r="KHG291" s="1069"/>
      <c r="KHH291" s="1069"/>
      <c r="KHI291" s="1069"/>
      <c r="KHJ291" s="1069"/>
      <c r="KHK291" s="1069"/>
      <c r="KHL291" s="1069"/>
      <c r="KHM291" s="1069"/>
      <c r="KHN291" s="1069"/>
      <c r="KHO291" s="1069"/>
      <c r="KHP291" s="1069"/>
      <c r="KHQ291" s="1069"/>
      <c r="KHR291" s="1069"/>
      <c r="KHS291" s="1069"/>
      <c r="KHT291" s="1069"/>
      <c r="KHU291" s="1069"/>
      <c r="KHV291" s="1069"/>
      <c r="KHW291" s="1069"/>
      <c r="KHX291" s="1069"/>
      <c r="KHY291" s="1069"/>
      <c r="KHZ291" s="1069"/>
      <c r="KIA291" s="1069"/>
      <c r="KIB291" s="1069"/>
      <c r="KIC291" s="1069"/>
      <c r="KID291" s="1069"/>
      <c r="KIE291" s="1069"/>
      <c r="KIF291" s="1069"/>
      <c r="KIG291" s="1069"/>
      <c r="KIH291" s="1069"/>
      <c r="KII291" s="1069"/>
      <c r="KIJ291" s="1069"/>
      <c r="KIK291" s="1069"/>
      <c r="KIL291" s="1069"/>
      <c r="KIM291" s="1069"/>
      <c r="KIN291" s="1069"/>
      <c r="KIO291" s="1069"/>
      <c r="KIP291" s="1069"/>
      <c r="KIQ291" s="1069"/>
      <c r="KIR291" s="1069"/>
      <c r="KIS291" s="1069"/>
      <c r="KIT291" s="1069"/>
      <c r="KIU291" s="1069"/>
      <c r="KIV291" s="1069"/>
      <c r="KIW291" s="1069"/>
      <c r="KIX291" s="1069"/>
      <c r="KIY291" s="1069"/>
      <c r="KIZ291" s="1069"/>
      <c r="KJA291" s="1069"/>
      <c r="KJB291" s="1069"/>
      <c r="KJC291" s="1069"/>
      <c r="KJD291" s="1069"/>
      <c r="KJE291" s="1069"/>
      <c r="KJF291" s="1069"/>
      <c r="KJG291" s="1069"/>
      <c r="KJH291" s="1069"/>
      <c r="KJI291" s="1069"/>
      <c r="KJJ291" s="1069"/>
      <c r="KJK291" s="1069"/>
      <c r="KJL291" s="1069"/>
      <c r="KJM291" s="1069"/>
      <c r="KJN291" s="1069"/>
      <c r="KJO291" s="1069"/>
      <c r="KJP291" s="1069"/>
      <c r="KJQ291" s="1069"/>
      <c r="KJR291" s="1069"/>
      <c r="KJS291" s="1069"/>
      <c r="KJT291" s="1069"/>
      <c r="KJU291" s="1069"/>
      <c r="KJV291" s="1069"/>
      <c r="KJW291" s="1069"/>
      <c r="KJX291" s="1069"/>
      <c r="KJY291" s="1069"/>
      <c r="KJZ291" s="1069"/>
      <c r="KKA291" s="1069"/>
      <c r="KKB291" s="1069"/>
      <c r="KKC291" s="1069"/>
      <c r="KKD291" s="1069"/>
      <c r="KKE291" s="1069"/>
      <c r="KKF291" s="1069"/>
      <c r="KKG291" s="1069"/>
      <c r="KKH291" s="1069"/>
      <c r="KKI291" s="1069"/>
      <c r="KKJ291" s="1069"/>
      <c r="KKK291" s="1069"/>
      <c r="KKL291" s="1069"/>
      <c r="KKM291" s="1069"/>
      <c r="KKN291" s="1069"/>
      <c r="KKO291" s="1069"/>
      <c r="KKP291" s="1069"/>
      <c r="KKQ291" s="1069"/>
      <c r="KKR291" s="1069"/>
      <c r="KKS291" s="1069"/>
      <c r="KKT291" s="1069"/>
      <c r="KKU291" s="1069"/>
      <c r="KKV291" s="1069"/>
      <c r="KKW291" s="1069"/>
      <c r="KKX291" s="1069"/>
      <c r="KKY291" s="1069"/>
      <c r="KKZ291" s="1069"/>
      <c r="KLA291" s="1069"/>
      <c r="KLB291" s="1069"/>
      <c r="KLC291" s="1069"/>
      <c r="KLD291" s="1069"/>
      <c r="KLE291" s="1069"/>
      <c r="KLF291" s="1069"/>
      <c r="KLG291" s="1069"/>
      <c r="KLH291" s="1069"/>
      <c r="KLI291" s="1069"/>
      <c r="KLJ291" s="1069"/>
      <c r="KLK291" s="1069"/>
      <c r="KLL291" s="1069"/>
      <c r="KLM291" s="1069"/>
      <c r="KLN291" s="1069"/>
      <c r="KLO291" s="1069"/>
      <c r="KLP291" s="1069"/>
      <c r="KLQ291" s="1069"/>
      <c r="KLR291" s="1069"/>
      <c r="KLS291" s="1069"/>
      <c r="KLT291" s="1069"/>
      <c r="KLU291" s="1069"/>
      <c r="KLV291" s="1069"/>
      <c r="KLW291" s="1069"/>
      <c r="KLX291" s="1069"/>
      <c r="KLY291" s="1069"/>
      <c r="KLZ291" s="1069"/>
      <c r="KMA291" s="1069"/>
      <c r="KMB291" s="1069"/>
      <c r="KMC291" s="1069"/>
      <c r="KMD291" s="1069"/>
      <c r="KME291" s="1069"/>
      <c r="KMF291" s="1069"/>
      <c r="KMG291" s="1069"/>
      <c r="KMH291" s="1069"/>
      <c r="KMI291" s="1069"/>
      <c r="KMJ291" s="1069"/>
      <c r="KMK291" s="1069"/>
      <c r="KML291" s="1069"/>
      <c r="KMM291" s="1069"/>
      <c r="KMN291" s="1069"/>
      <c r="KMO291" s="1069"/>
      <c r="KMP291" s="1069"/>
      <c r="KMQ291" s="1069"/>
      <c r="KMR291" s="1069"/>
      <c r="KMS291" s="1069"/>
      <c r="KMT291" s="1069"/>
      <c r="KMU291" s="1069"/>
      <c r="KMV291" s="1069"/>
      <c r="KMW291" s="1069"/>
      <c r="KMX291" s="1069"/>
      <c r="KMY291" s="1069"/>
      <c r="KMZ291" s="1069"/>
      <c r="KNA291" s="1069"/>
      <c r="KNB291" s="1069"/>
      <c r="KNC291" s="1069"/>
      <c r="KND291" s="1069"/>
      <c r="KNE291" s="1069"/>
      <c r="KNF291" s="1069"/>
      <c r="KNG291" s="1069"/>
      <c r="KNH291" s="1069"/>
      <c r="KNI291" s="1069"/>
      <c r="KNJ291" s="1069"/>
      <c r="KNK291" s="1069"/>
      <c r="KNL291" s="1069"/>
      <c r="KNM291" s="1069"/>
      <c r="KNN291" s="1069"/>
      <c r="KNO291" s="1069"/>
      <c r="KNP291" s="1069"/>
      <c r="KNQ291" s="1069"/>
      <c r="KNR291" s="1069"/>
      <c r="KNS291" s="1069"/>
      <c r="KNT291" s="1069"/>
      <c r="KNU291" s="1069"/>
      <c r="KNV291" s="1069"/>
      <c r="KNW291" s="1069"/>
      <c r="KNX291" s="1069"/>
      <c r="KNY291" s="1069"/>
      <c r="KNZ291" s="1069"/>
      <c r="KOA291" s="1069"/>
      <c r="KOB291" s="1069"/>
      <c r="KOC291" s="1069"/>
      <c r="KOD291" s="1069"/>
      <c r="KOE291" s="1069"/>
      <c r="KOF291" s="1069"/>
      <c r="KOG291" s="1069"/>
      <c r="KOH291" s="1069"/>
      <c r="KOI291" s="1069"/>
      <c r="KOJ291" s="1069"/>
      <c r="KOK291" s="1069"/>
      <c r="KOL291" s="1069"/>
      <c r="KOM291" s="1069"/>
      <c r="KON291" s="1069"/>
      <c r="KOO291" s="1069"/>
      <c r="KOP291" s="1069"/>
      <c r="KOQ291" s="1069"/>
      <c r="KOR291" s="1069"/>
      <c r="KOS291" s="1069"/>
      <c r="KOT291" s="1069"/>
      <c r="KOU291" s="1069"/>
      <c r="KOV291" s="1069"/>
      <c r="KOW291" s="1069"/>
      <c r="KOX291" s="1069"/>
      <c r="KOY291" s="1069"/>
      <c r="KOZ291" s="1069"/>
      <c r="KPA291" s="1069"/>
      <c r="KPB291" s="1069"/>
      <c r="KPC291" s="1069"/>
      <c r="KPD291" s="1069"/>
      <c r="KPE291" s="1069"/>
      <c r="KPF291" s="1069"/>
      <c r="KPG291" s="1069"/>
      <c r="KPH291" s="1069"/>
      <c r="KPI291" s="1069"/>
      <c r="KPJ291" s="1069"/>
      <c r="KPK291" s="1069"/>
      <c r="KPL291" s="1069"/>
      <c r="KPM291" s="1069"/>
      <c r="KPN291" s="1069"/>
      <c r="KPO291" s="1069"/>
      <c r="KPP291" s="1069"/>
      <c r="KPQ291" s="1069"/>
      <c r="KPR291" s="1069"/>
      <c r="KPS291" s="1069"/>
      <c r="KPT291" s="1069"/>
      <c r="KPU291" s="1069"/>
      <c r="KPV291" s="1069"/>
      <c r="KPW291" s="1069"/>
      <c r="KPX291" s="1069"/>
      <c r="KPY291" s="1069"/>
      <c r="KPZ291" s="1069"/>
      <c r="KQA291" s="1069"/>
      <c r="KQB291" s="1069"/>
      <c r="KQC291" s="1069"/>
      <c r="KQD291" s="1069"/>
      <c r="KQE291" s="1069"/>
      <c r="KQF291" s="1069"/>
      <c r="KQG291" s="1069"/>
      <c r="KQH291" s="1069"/>
      <c r="KQI291" s="1069"/>
      <c r="KQJ291" s="1069"/>
      <c r="KQK291" s="1069"/>
      <c r="KQL291" s="1069"/>
      <c r="KQM291" s="1069"/>
      <c r="KQN291" s="1069"/>
      <c r="KQO291" s="1069"/>
      <c r="KQP291" s="1069"/>
      <c r="KQQ291" s="1069"/>
      <c r="KQR291" s="1069"/>
      <c r="KQS291" s="1069"/>
      <c r="KQT291" s="1069"/>
      <c r="KQU291" s="1069"/>
      <c r="KQV291" s="1069"/>
      <c r="KQW291" s="1069"/>
      <c r="KQX291" s="1069"/>
      <c r="KQY291" s="1069"/>
      <c r="KQZ291" s="1069"/>
      <c r="KRA291" s="1069"/>
      <c r="KRB291" s="1069"/>
      <c r="KRC291" s="1069"/>
      <c r="KRD291" s="1069"/>
      <c r="KRE291" s="1069"/>
      <c r="KRF291" s="1069"/>
      <c r="KRG291" s="1069"/>
      <c r="KRH291" s="1069"/>
      <c r="KRI291" s="1069"/>
      <c r="KRJ291" s="1069"/>
      <c r="KRK291" s="1069"/>
      <c r="KRL291" s="1069"/>
      <c r="KRM291" s="1069"/>
      <c r="KRN291" s="1069"/>
      <c r="KRO291" s="1069"/>
      <c r="KRP291" s="1069"/>
      <c r="KRQ291" s="1069"/>
      <c r="KRR291" s="1069"/>
      <c r="KRS291" s="1069"/>
      <c r="KRT291" s="1069"/>
      <c r="KRU291" s="1069"/>
      <c r="KRV291" s="1069"/>
      <c r="KRW291" s="1069"/>
      <c r="KRX291" s="1069"/>
      <c r="KRY291" s="1069"/>
      <c r="KRZ291" s="1069"/>
      <c r="KSA291" s="1069"/>
      <c r="KSB291" s="1069"/>
      <c r="KSC291" s="1069"/>
      <c r="KSD291" s="1069"/>
      <c r="KSE291" s="1069"/>
      <c r="KSF291" s="1069"/>
      <c r="KSG291" s="1069"/>
      <c r="KSH291" s="1069"/>
      <c r="KSI291" s="1069"/>
      <c r="KSJ291" s="1069"/>
      <c r="KSK291" s="1069"/>
      <c r="KSL291" s="1069"/>
      <c r="KSM291" s="1069"/>
      <c r="KSN291" s="1069"/>
      <c r="KSO291" s="1069"/>
      <c r="KSP291" s="1069"/>
      <c r="KSQ291" s="1069"/>
      <c r="KSR291" s="1069"/>
      <c r="KSS291" s="1069"/>
      <c r="KST291" s="1069"/>
      <c r="KSU291" s="1069"/>
      <c r="KSV291" s="1069"/>
      <c r="KSW291" s="1069"/>
      <c r="KSX291" s="1069"/>
      <c r="KSY291" s="1069"/>
      <c r="KSZ291" s="1069"/>
      <c r="KTA291" s="1069"/>
      <c r="KTB291" s="1069"/>
      <c r="KTC291" s="1069"/>
      <c r="KTD291" s="1069"/>
      <c r="KTE291" s="1069"/>
      <c r="KTF291" s="1069"/>
      <c r="KTG291" s="1069"/>
      <c r="KTH291" s="1069"/>
      <c r="KTI291" s="1069"/>
      <c r="KTJ291" s="1069"/>
      <c r="KTK291" s="1069"/>
      <c r="KTL291" s="1069"/>
      <c r="KTM291" s="1069"/>
      <c r="KTN291" s="1069"/>
      <c r="KTO291" s="1069"/>
      <c r="KTP291" s="1069"/>
      <c r="KTQ291" s="1069"/>
      <c r="KTR291" s="1069"/>
      <c r="KTS291" s="1069"/>
      <c r="KTT291" s="1069"/>
      <c r="KTU291" s="1069"/>
      <c r="KTV291" s="1069"/>
      <c r="KTW291" s="1069"/>
      <c r="KTX291" s="1069"/>
      <c r="KTY291" s="1069"/>
      <c r="KTZ291" s="1069"/>
      <c r="KUA291" s="1069"/>
      <c r="KUB291" s="1069"/>
      <c r="KUC291" s="1069"/>
      <c r="KUD291" s="1069"/>
      <c r="KUE291" s="1069"/>
      <c r="KUF291" s="1069"/>
      <c r="KUG291" s="1069"/>
      <c r="KUH291" s="1069"/>
      <c r="KUI291" s="1069"/>
      <c r="KUJ291" s="1069"/>
      <c r="KUK291" s="1069"/>
      <c r="KUL291" s="1069"/>
      <c r="KUM291" s="1069"/>
      <c r="KUN291" s="1069"/>
      <c r="KUO291" s="1069"/>
      <c r="KUP291" s="1069"/>
      <c r="KUQ291" s="1069"/>
      <c r="KUR291" s="1069"/>
      <c r="KUS291" s="1069"/>
      <c r="KUT291" s="1069"/>
      <c r="KUU291" s="1069"/>
      <c r="KUV291" s="1069"/>
      <c r="KUW291" s="1069"/>
      <c r="KUX291" s="1069"/>
      <c r="KUY291" s="1069"/>
      <c r="KUZ291" s="1069"/>
      <c r="KVA291" s="1069"/>
      <c r="KVB291" s="1069"/>
      <c r="KVC291" s="1069"/>
      <c r="KVD291" s="1069"/>
      <c r="KVE291" s="1069"/>
      <c r="KVF291" s="1069"/>
      <c r="KVG291" s="1069"/>
      <c r="KVH291" s="1069"/>
      <c r="KVI291" s="1069"/>
      <c r="KVJ291" s="1069"/>
      <c r="KVK291" s="1069"/>
      <c r="KVL291" s="1069"/>
      <c r="KVM291" s="1069"/>
      <c r="KVN291" s="1069"/>
      <c r="KVO291" s="1069"/>
      <c r="KVP291" s="1069"/>
      <c r="KVQ291" s="1069"/>
      <c r="KVR291" s="1069"/>
      <c r="KVS291" s="1069"/>
      <c r="KVT291" s="1069"/>
      <c r="KVU291" s="1069"/>
      <c r="KVV291" s="1069"/>
      <c r="KVW291" s="1069"/>
      <c r="KVX291" s="1069"/>
      <c r="KVY291" s="1069"/>
      <c r="KVZ291" s="1069"/>
      <c r="KWA291" s="1069"/>
      <c r="KWB291" s="1069"/>
      <c r="KWC291" s="1069"/>
      <c r="KWD291" s="1069"/>
      <c r="KWE291" s="1069"/>
      <c r="KWF291" s="1069"/>
      <c r="KWG291" s="1069"/>
      <c r="KWH291" s="1069"/>
      <c r="KWI291" s="1069"/>
      <c r="KWJ291" s="1069"/>
      <c r="KWK291" s="1069"/>
      <c r="KWL291" s="1069"/>
      <c r="KWM291" s="1069"/>
      <c r="KWN291" s="1069"/>
      <c r="KWO291" s="1069"/>
      <c r="KWP291" s="1069"/>
      <c r="KWQ291" s="1069"/>
      <c r="KWR291" s="1069"/>
      <c r="KWS291" s="1069"/>
      <c r="KWT291" s="1069"/>
      <c r="KWU291" s="1069"/>
      <c r="KWV291" s="1069"/>
      <c r="KWW291" s="1069"/>
      <c r="KWX291" s="1069"/>
      <c r="KWY291" s="1069"/>
      <c r="KWZ291" s="1069"/>
      <c r="KXA291" s="1069"/>
      <c r="KXB291" s="1069"/>
      <c r="KXC291" s="1069"/>
      <c r="KXD291" s="1069"/>
      <c r="KXE291" s="1069"/>
      <c r="KXF291" s="1069"/>
      <c r="KXG291" s="1069"/>
      <c r="KXH291" s="1069"/>
      <c r="KXI291" s="1069"/>
      <c r="KXJ291" s="1069"/>
      <c r="KXK291" s="1069"/>
      <c r="KXL291" s="1069"/>
      <c r="KXM291" s="1069"/>
      <c r="KXN291" s="1069"/>
      <c r="KXO291" s="1069"/>
      <c r="KXP291" s="1069"/>
      <c r="KXQ291" s="1069"/>
      <c r="KXR291" s="1069"/>
      <c r="KXS291" s="1069"/>
      <c r="KXT291" s="1069"/>
      <c r="KXU291" s="1069"/>
      <c r="KXV291" s="1069"/>
      <c r="KXW291" s="1069"/>
      <c r="KXX291" s="1069"/>
      <c r="KXY291" s="1069"/>
      <c r="KXZ291" s="1069"/>
      <c r="KYA291" s="1069"/>
      <c r="KYB291" s="1069"/>
      <c r="KYC291" s="1069"/>
      <c r="KYD291" s="1069"/>
      <c r="KYE291" s="1069"/>
      <c r="KYF291" s="1069"/>
      <c r="KYG291" s="1069"/>
      <c r="KYH291" s="1069"/>
      <c r="KYI291" s="1069"/>
      <c r="KYJ291" s="1069"/>
      <c r="KYK291" s="1069"/>
      <c r="KYL291" s="1069"/>
      <c r="KYM291" s="1069"/>
      <c r="KYN291" s="1069"/>
      <c r="KYO291" s="1069"/>
      <c r="KYP291" s="1069"/>
      <c r="KYQ291" s="1069"/>
      <c r="KYR291" s="1069"/>
      <c r="KYS291" s="1069"/>
      <c r="KYT291" s="1069"/>
      <c r="KYU291" s="1069"/>
      <c r="KYV291" s="1069"/>
      <c r="KYW291" s="1069"/>
      <c r="KYX291" s="1069"/>
      <c r="KYY291" s="1069"/>
      <c r="KYZ291" s="1069"/>
      <c r="KZA291" s="1069"/>
      <c r="KZB291" s="1069"/>
      <c r="KZC291" s="1069"/>
      <c r="KZD291" s="1069"/>
      <c r="KZE291" s="1069"/>
      <c r="KZF291" s="1069"/>
      <c r="KZG291" s="1069"/>
      <c r="KZH291" s="1069"/>
      <c r="KZI291" s="1069"/>
      <c r="KZJ291" s="1069"/>
      <c r="KZK291" s="1069"/>
      <c r="KZL291" s="1069"/>
      <c r="KZM291" s="1069"/>
      <c r="KZN291" s="1069"/>
      <c r="KZO291" s="1069"/>
      <c r="KZP291" s="1069"/>
      <c r="KZQ291" s="1069"/>
      <c r="KZR291" s="1069"/>
      <c r="KZS291" s="1069"/>
      <c r="KZT291" s="1069"/>
      <c r="KZU291" s="1069"/>
      <c r="KZV291" s="1069"/>
      <c r="KZW291" s="1069"/>
      <c r="KZX291" s="1069"/>
      <c r="KZY291" s="1069"/>
      <c r="KZZ291" s="1069"/>
      <c r="LAA291" s="1069"/>
      <c r="LAB291" s="1069"/>
      <c r="LAC291" s="1069"/>
      <c r="LAD291" s="1069"/>
      <c r="LAE291" s="1069"/>
      <c r="LAF291" s="1069"/>
      <c r="LAG291" s="1069"/>
      <c r="LAH291" s="1069"/>
      <c r="LAI291" s="1069"/>
      <c r="LAJ291" s="1069"/>
      <c r="LAK291" s="1069"/>
      <c r="LAL291" s="1069"/>
      <c r="LAM291" s="1069"/>
      <c r="LAN291" s="1069"/>
      <c r="LAO291" s="1069"/>
      <c r="LAP291" s="1069"/>
      <c r="LAQ291" s="1069"/>
      <c r="LAR291" s="1069"/>
      <c r="LAS291" s="1069"/>
      <c r="LAT291" s="1069"/>
      <c r="LAU291" s="1069"/>
      <c r="LAV291" s="1069"/>
      <c r="LAW291" s="1069"/>
      <c r="LAX291" s="1069"/>
      <c r="LAY291" s="1069"/>
      <c r="LAZ291" s="1069"/>
      <c r="LBA291" s="1069"/>
      <c r="LBB291" s="1069"/>
      <c r="LBC291" s="1069"/>
      <c r="LBD291" s="1069"/>
      <c r="LBE291" s="1069"/>
      <c r="LBF291" s="1069"/>
      <c r="LBG291" s="1069"/>
      <c r="LBH291" s="1069"/>
      <c r="LBI291" s="1069"/>
      <c r="LBJ291" s="1069"/>
      <c r="LBK291" s="1069"/>
      <c r="LBL291" s="1069"/>
      <c r="LBM291" s="1069"/>
      <c r="LBN291" s="1069"/>
      <c r="LBO291" s="1069"/>
      <c r="LBP291" s="1069"/>
      <c r="LBQ291" s="1069"/>
      <c r="LBR291" s="1069"/>
      <c r="LBS291" s="1069"/>
      <c r="LBT291" s="1069"/>
      <c r="LBU291" s="1069"/>
      <c r="LBV291" s="1069"/>
      <c r="LBW291" s="1069"/>
      <c r="LBX291" s="1069"/>
      <c r="LBY291" s="1069"/>
      <c r="LBZ291" s="1069"/>
      <c r="LCA291" s="1069"/>
      <c r="LCB291" s="1069"/>
      <c r="LCC291" s="1069"/>
      <c r="LCD291" s="1069"/>
      <c r="LCE291" s="1069"/>
      <c r="LCF291" s="1069"/>
      <c r="LCG291" s="1069"/>
      <c r="LCH291" s="1069"/>
      <c r="LCI291" s="1069"/>
      <c r="LCJ291" s="1069"/>
      <c r="LCK291" s="1069"/>
      <c r="LCL291" s="1069"/>
      <c r="LCM291" s="1069"/>
      <c r="LCN291" s="1069"/>
      <c r="LCO291" s="1069"/>
      <c r="LCP291" s="1069"/>
      <c r="LCQ291" s="1069"/>
      <c r="LCR291" s="1069"/>
      <c r="LCS291" s="1069"/>
      <c r="LCT291" s="1069"/>
      <c r="LCU291" s="1069"/>
      <c r="LCV291" s="1069"/>
      <c r="LCW291" s="1069"/>
      <c r="LCX291" s="1069"/>
      <c r="LCY291" s="1069"/>
      <c r="LCZ291" s="1069"/>
      <c r="LDA291" s="1069"/>
      <c r="LDB291" s="1069"/>
      <c r="LDC291" s="1069"/>
      <c r="LDD291" s="1069"/>
      <c r="LDE291" s="1069"/>
      <c r="LDF291" s="1069"/>
      <c r="LDG291" s="1069"/>
      <c r="LDH291" s="1069"/>
      <c r="LDI291" s="1069"/>
      <c r="LDJ291" s="1069"/>
      <c r="LDK291" s="1069"/>
      <c r="LDL291" s="1069"/>
      <c r="LDM291" s="1069"/>
      <c r="LDN291" s="1069"/>
      <c r="LDO291" s="1069"/>
      <c r="LDP291" s="1069"/>
      <c r="LDQ291" s="1069"/>
      <c r="LDR291" s="1069"/>
      <c r="LDS291" s="1069"/>
      <c r="LDT291" s="1069"/>
      <c r="LDU291" s="1069"/>
      <c r="LDV291" s="1069"/>
      <c r="LDW291" s="1069"/>
      <c r="LDX291" s="1069"/>
      <c r="LDY291" s="1069"/>
      <c r="LDZ291" s="1069"/>
      <c r="LEA291" s="1069"/>
      <c r="LEB291" s="1069"/>
      <c r="LEC291" s="1069"/>
      <c r="LED291" s="1069"/>
      <c r="LEE291" s="1069"/>
      <c r="LEF291" s="1069"/>
      <c r="LEG291" s="1069"/>
      <c r="LEH291" s="1069"/>
      <c r="LEI291" s="1069"/>
      <c r="LEJ291" s="1069"/>
      <c r="LEK291" s="1069"/>
      <c r="LEL291" s="1069"/>
      <c r="LEM291" s="1069"/>
      <c r="LEN291" s="1069"/>
      <c r="LEO291" s="1069"/>
      <c r="LEP291" s="1069"/>
      <c r="LEQ291" s="1069"/>
      <c r="LER291" s="1069"/>
      <c r="LES291" s="1069"/>
      <c r="LET291" s="1069"/>
      <c r="LEU291" s="1069"/>
      <c r="LEV291" s="1069"/>
      <c r="LEW291" s="1069"/>
      <c r="LEX291" s="1069"/>
      <c r="LEY291" s="1069"/>
      <c r="LEZ291" s="1069"/>
      <c r="LFA291" s="1069"/>
      <c r="LFB291" s="1069"/>
      <c r="LFC291" s="1069"/>
      <c r="LFD291" s="1069"/>
      <c r="LFE291" s="1069"/>
      <c r="LFF291" s="1069"/>
      <c r="LFG291" s="1069"/>
      <c r="LFH291" s="1069"/>
      <c r="LFI291" s="1069"/>
      <c r="LFJ291" s="1069"/>
      <c r="LFK291" s="1069"/>
      <c r="LFL291" s="1069"/>
      <c r="LFM291" s="1069"/>
      <c r="LFN291" s="1069"/>
      <c r="LFO291" s="1069"/>
      <c r="LFP291" s="1069"/>
      <c r="LFQ291" s="1069"/>
      <c r="LFR291" s="1069"/>
      <c r="LFS291" s="1069"/>
      <c r="LFT291" s="1069"/>
      <c r="LFU291" s="1069"/>
      <c r="LFV291" s="1069"/>
      <c r="LFW291" s="1069"/>
      <c r="LFX291" s="1069"/>
      <c r="LFY291" s="1069"/>
      <c r="LFZ291" s="1069"/>
      <c r="LGA291" s="1069"/>
      <c r="LGB291" s="1069"/>
      <c r="LGC291" s="1069"/>
      <c r="LGD291" s="1069"/>
      <c r="LGE291" s="1069"/>
      <c r="LGF291" s="1069"/>
      <c r="LGG291" s="1069"/>
      <c r="LGH291" s="1069"/>
      <c r="LGI291" s="1069"/>
      <c r="LGJ291" s="1069"/>
      <c r="LGK291" s="1069"/>
      <c r="LGL291" s="1069"/>
      <c r="LGM291" s="1069"/>
      <c r="LGN291" s="1069"/>
      <c r="LGO291" s="1069"/>
      <c r="LGP291" s="1069"/>
      <c r="LGQ291" s="1069"/>
      <c r="LGR291" s="1069"/>
      <c r="LGS291" s="1069"/>
      <c r="LGT291" s="1069"/>
      <c r="LGU291" s="1069"/>
      <c r="LGV291" s="1069"/>
      <c r="LGW291" s="1069"/>
      <c r="LGX291" s="1069"/>
      <c r="LGY291" s="1069"/>
      <c r="LGZ291" s="1069"/>
      <c r="LHA291" s="1069"/>
      <c r="LHB291" s="1069"/>
      <c r="LHC291" s="1069"/>
      <c r="LHD291" s="1069"/>
      <c r="LHE291" s="1069"/>
      <c r="LHF291" s="1069"/>
      <c r="LHG291" s="1069"/>
      <c r="LHH291" s="1069"/>
      <c r="LHI291" s="1069"/>
      <c r="LHJ291" s="1069"/>
      <c r="LHK291" s="1069"/>
      <c r="LHL291" s="1069"/>
      <c r="LHM291" s="1069"/>
      <c r="LHN291" s="1069"/>
      <c r="LHO291" s="1069"/>
      <c r="LHP291" s="1069"/>
      <c r="LHQ291" s="1069"/>
      <c r="LHR291" s="1069"/>
      <c r="LHS291" s="1069"/>
      <c r="LHT291" s="1069"/>
      <c r="LHU291" s="1069"/>
      <c r="LHV291" s="1069"/>
      <c r="LHW291" s="1069"/>
      <c r="LHX291" s="1069"/>
      <c r="LHY291" s="1069"/>
      <c r="LHZ291" s="1069"/>
      <c r="LIA291" s="1069"/>
      <c r="LIB291" s="1069"/>
      <c r="LIC291" s="1069"/>
      <c r="LID291" s="1069"/>
      <c r="LIE291" s="1069"/>
      <c r="LIF291" s="1069"/>
      <c r="LIG291" s="1069"/>
      <c r="LIH291" s="1069"/>
      <c r="LII291" s="1069"/>
      <c r="LIJ291" s="1069"/>
      <c r="LIK291" s="1069"/>
      <c r="LIL291" s="1069"/>
      <c r="LIM291" s="1069"/>
      <c r="LIN291" s="1069"/>
      <c r="LIO291" s="1069"/>
      <c r="LIP291" s="1069"/>
      <c r="LIQ291" s="1069"/>
      <c r="LIR291" s="1069"/>
      <c r="LIS291" s="1069"/>
      <c r="LIT291" s="1069"/>
      <c r="LIU291" s="1069"/>
      <c r="LIV291" s="1069"/>
      <c r="LIW291" s="1069"/>
      <c r="LIX291" s="1069"/>
      <c r="LIY291" s="1069"/>
      <c r="LIZ291" s="1069"/>
      <c r="LJA291" s="1069"/>
      <c r="LJB291" s="1069"/>
      <c r="LJC291" s="1069"/>
      <c r="LJD291" s="1069"/>
      <c r="LJE291" s="1069"/>
      <c r="LJF291" s="1069"/>
      <c r="LJG291" s="1069"/>
      <c r="LJH291" s="1069"/>
      <c r="LJI291" s="1069"/>
      <c r="LJJ291" s="1069"/>
      <c r="LJK291" s="1069"/>
      <c r="LJL291" s="1069"/>
      <c r="LJM291" s="1069"/>
      <c r="LJN291" s="1069"/>
      <c r="LJO291" s="1069"/>
      <c r="LJP291" s="1069"/>
      <c r="LJQ291" s="1069"/>
      <c r="LJR291" s="1069"/>
      <c r="LJS291" s="1069"/>
      <c r="LJT291" s="1069"/>
      <c r="LJU291" s="1069"/>
      <c r="LJV291" s="1069"/>
      <c r="LJW291" s="1069"/>
      <c r="LJX291" s="1069"/>
      <c r="LJY291" s="1069"/>
      <c r="LJZ291" s="1069"/>
      <c r="LKA291" s="1069"/>
      <c r="LKB291" s="1069"/>
      <c r="LKC291" s="1069"/>
      <c r="LKD291" s="1069"/>
      <c r="LKE291" s="1069"/>
      <c r="LKF291" s="1069"/>
      <c r="LKG291" s="1069"/>
      <c r="LKH291" s="1069"/>
      <c r="LKI291" s="1069"/>
      <c r="LKJ291" s="1069"/>
      <c r="LKK291" s="1069"/>
      <c r="LKL291" s="1069"/>
      <c r="LKM291" s="1069"/>
      <c r="LKN291" s="1069"/>
      <c r="LKO291" s="1069"/>
      <c r="LKP291" s="1069"/>
      <c r="LKQ291" s="1069"/>
      <c r="LKR291" s="1069"/>
      <c r="LKS291" s="1069"/>
      <c r="LKT291" s="1069"/>
      <c r="LKU291" s="1069"/>
      <c r="LKV291" s="1069"/>
      <c r="LKW291" s="1069"/>
      <c r="LKX291" s="1069"/>
      <c r="LKY291" s="1069"/>
      <c r="LKZ291" s="1069"/>
      <c r="LLA291" s="1069"/>
      <c r="LLB291" s="1069"/>
      <c r="LLC291" s="1069"/>
      <c r="LLD291" s="1069"/>
      <c r="LLE291" s="1069"/>
      <c r="LLF291" s="1069"/>
      <c r="LLG291" s="1069"/>
      <c r="LLH291" s="1069"/>
      <c r="LLI291" s="1069"/>
      <c r="LLJ291" s="1069"/>
      <c r="LLK291" s="1069"/>
      <c r="LLL291" s="1069"/>
      <c r="LLM291" s="1069"/>
      <c r="LLN291" s="1069"/>
      <c r="LLO291" s="1069"/>
      <c r="LLP291" s="1069"/>
      <c r="LLQ291" s="1069"/>
      <c r="LLR291" s="1069"/>
      <c r="LLS291" s="1069"/>
      <c r="LLT291" s="1069"/>
      <c r="LLU291" s="1069"/>
      <c r="LLV291" s="1069"/>
      <c r="LLW291" s="1069"/>
      <c r="LLX291" s="1069"/>
      <c r="LLY291" s="1069"/>
      <c r="LLZ291" s="1069"/>
      <c r="LMA291" s="1069"/>
      <c r="LMB291" s="1069"/>
      <c r="LMC291" s="1069"/>
      <c r="LMD291" s="1069"/>
      <c r="LME291" s="1069"/>
      <c r="LMF291" s="1069"/>
      <c r="LMG291" s="1069"/>
      <c r="LMH291" s="1069"/>
      <c r="LMI291" s="1069"/>
      <c r="LMJ291" s="1069"/>
      <c r="LMK291" s="1069"/>
      <c r="LML291" s="1069"/>
      <c r="LMM291" s="1069"/>
      <c r="LMN291" s="1069"/>
      <c r="LMO291" s="1069"/>
      <c r="LMP291" s="1069"/>
      <c r="LMQ291" s="1069"/>
      <c r="LMR291" s="1069"/>
      <c r="LMS291" s="1069"/>
      <c r="LMT291" s="1069"/>
      <c r="LMU291" s="1069"/>
      <c r="LMV291" s="1069"/>
      <c r="LMW291" s="1069"/>
      <c r="LMX291" s="1069"/>
      <c r="LMY291" s="1069"/>
      <c r="LMZ291" s="1069"/>
      <c r="LNA291" s="1069"/>
      <c r="LNB291" s="1069"/>
      <c r="LNC291" s="1069"/>
      <c r="LND291" s="1069"/>
      <c r="LNE291" s="1069"/>
      <c r="LNF291" s="1069"/>
      <c r="LNG291" s="1069"/>
      <c r="LNH291" s="1069"/>
      <c r="LNI291" s="1069"/>
      <c r="LNJ291" s="1069"/>
      <c r="LNK291" s="1069"/>
      <c r="LNL291" s="1069"/>
      <c r="LNM291" s="1069"/>
      <c r="LNN291" s="1069"/>
      <c r="LNO291" s="1069"/>
      <c r="LNP291" s="1069"/>
      <c r="LNQ291" s="1069"/>
      <c r="LNR291" s="1069"/>
      <c r="LNS291" s="1069"/>
      <c r="LNT291" s="1069"/>
      <c r="LNU291" s="1069"/>
      <c r="LNV291" s="1069"/>
      <c r="LNW291" s="1069"/>
      <c r="LNX291" s="1069"/>
      <c r="LNY291" s="1069"/>
      <c r="LNZ291" s="1069"/>
      <c r="LOA291" s="1069"/>
      <c r="LOB291" s="1069"/>
      <c r="LOC291" s="1069"/>
      <c r="LOD291" s="1069"/>
      <c r="LOE291" s="1069"/>
      <c r="LOF291" s="1069"/>
      <c r="LOG291" s="1069"/>
      <c r="LOH291" s="1069"/>
      <c r="LOI291" s="1069"/>
      <c r="LOJ291" s="1069"/>
      <c r="LOK291" s="1069"/>
      <c r="LOL291" s="1069"/>
      <c r="LOM291" s="1069"/>
      <c r="LON291" s="1069"/>
      <c r="LOO291" s="1069"/>
      <c r="LOP291" s="1069"/>
      <c r="LOQ291" s="1069"/>
      <c r="LOR291" s="1069"/>
      <c r="LOS291" s="1069"/>
      <c r="LOT291" s="1069"/>
      <c r="LOU291" s="1069"/>
      <c r="LOV291" s="1069"/>
      <c r="LOW291" s="1069"/>
      <c r="LOX291" s="1069"/>
      <c r="LOY291" s="1069"/>
      <c r="LOZ291" s="1069"/>
      <c r="LPA291" s="1069"/>
      <c r="LPB291" s="1069"/>
      <c r="LPC291" s="1069"/>
      <c r="LPD291" s="1069"/>
      <c r="LPE291" s="1069"/>
      <c r="LPF291" s="1069"/>
      <c r="LPG291" s="1069"/>
      <c r="LPH291" s="1069"/>
      <c r="LPI291" s="1069"/>
      <c r="LPJ291" s="1069"/>
      <c r="LPK291" s="1069"/>
      <c r="LPL291" s="1069"/>
      <c r="LPM291" s="1069"/>
      <c r="LPN291" s="1069"/>
      <c r="LPO291" s="1069"/>
      <c r="LPP291" s="1069"/>
      <c r="LPQ291" s="1069"/>
      <c r="LPR291" s="1069"/>
      <c r="LPS291" s="1069"/>
      <c r="LPT291" s="1069"/>
      <c r="LPU291" s="1069"/>
      <c r="LPV291" s="1069"/>
      <c r="LPW291" s="1069"/>
      <c r="LPX291" s="1069"/>
      <c r="LPY291" s="1069"/>
      <c r="LPZ291" s="1069"/>
      <c r="LQA291" s="1069"/>
      <c r="LQB291" s="1069"/>
      <c r="LQC291" s="1069"/>
      <c r="LQD291" s="1069"/>
      <c r="LQE291" s="1069"/>
      <c r="LQF291" s="1069"/>
      <c r="LQG291" s="1069"/>
      <c r="LQH291" s="1069"/>
      <c r="LQI291" s="1069"/>
      <c r="LQJ291" s="1069"/>
      <c r="LQK291" s="1069"/>
      <c r="LQL291" s="1069"/>
      <c r="LQM291" s="1069"/>
      <c r="LQN291" s="1069"/>
      <c r="LQO291" s="1069"/>
      <c r="LQP291" s="1069"/>
      <c r="LQQ291" s="1069"/>
      <c r="LQR291" s="1069"/>
      <c r="LQS291" s="1069"/>
      <c r="LQT291" s="1069"/>
      <c r="LQU291" s="1069"/>
      <c r="LQV291" s="1069"/>
      <c r="LQW291" s="1069"/>
      <c r="LQX291" s="1069"/>
      <c r="LQY291" s="1069"/>
      <c r="LQZ291" s="1069"/>
      <c r="LRA291" s="1069"/>
      <c r="LRB291" s="1069"/>
      <c r="LRC291" s="1069"/>
      <c r="LRD291" s="1069"/>
      <c r="LRE291" s="1069"/>
      <c r="LRF291" s="1069"/>
      <c r="LRG291" s="1069"/>
      <c r="LRH291" s="1069"/>
      <c r="LRI291" s="1069"/>
      <c r="LRJ291" s="1069"/>
      <c r="LRK291" s="1069"/>
      <c r="LRL291" s="1069"/>
      <c r="LRM291" s="1069"/>
      <c r="LRN291" s="1069"/>
      <c r="LRO291" s="1069"/>
      <c r="LRP291" s="1069"/>
      <c r="LRQ291" s="1069"/>
      <c r="LRR291" s="1069"/>
      <c r="LRS291" s="1069"/>
      <c r="LRT291" s="1069"/>
      <c r="LRU291" s="1069"/>
      <c r="LRV291" s="1069"/>
      <c r="LRW291" s="1069"/>
      <c r="LRX291" s="1069"/>
      <c r="LRY291" s="1069"/>
      <c r="LRZ291" s="1069"/>
      <c r="LSA291" s="1069"/>
      <c r="LSB291" s="1069"/>
      <c r="LSC291" s="1069"/>
      <c r="LSD291" s="1069"/>
      <c r="LSE291" s="1069"/>
      <c r="LSF291" s="1069"/>
      <c r="LSG291" s="1069"/>
      <c r="LSH291" s="1069"/>
      <c r="LSI291" s="1069"/>
      <c r="LSJ291" s="1069"/>
      <c r="LSK291" s="1069"/>
      <c r="LSL291" s="1069"/>
      <c r="LSM291" s="1069"/>
      <c r="LSN291" s="1069"/>
      <c r="LSO291" s="1069"/>
      <c r="LSP291" s="1069"/>
      <c r="LSQ291" s="1069"/>
      <c r="LSR291" s="1069"/>
      <c r="LSS291" s="1069"/>
      <c r="LST291" s="1069"/>
      <c r="LSU291" s="1069"/>
      <c r="LSV291" s="1069"/>
      <c r="LSW291" s="1069"/>
      <c r="LSX291" s="1069"/>
      <c r="LSY291" s="1069"/>
      <c r="LSZ291" s="1069"/>
      <c r="LTA291" s="1069"/>
      <c r="LTB291" s="1069"/>
      <c r="LTC291" s="1069"/>
      <c r="LTD291" s="1069"/>
      <c r="LTE291" s="1069"/>
      <c r="LTF291" s="1069"/>
      <c r="LTG291" s="1069"/>
      <c r="LTH291" s="1069"/>
      <c r="LTI291" s="1069"/>
      <c r="LTJ291" s="1069"/>
      <c r="LTK291" s="1069"/>
      <c r="LTL291" s="1069"/>
      <c r="LTM291" s="1069"/>
      <c r="LTN291" s="1069"/>
      <c r="LTO291" s="1069"/>
      <c r="LTP291" s="1069"/>
      <c r="LTQ291" s="1069"/>
      <c r="LTR291" s="1069"/>
      <c r="LTS291" s="1069"/>
      <c r="LTT291" s="1069"/>
      <c r="LTU291" s="1069"/>
      <c r="LTV291" s="1069"/>
      <c r="LTW291" s="1069"/>
      <c r="LTX291" s="1069"/>
      <c r="LTY291" s="1069"/>
      <c r="LTZ291" s="1069"/>
      <c r="LUA291" s="1069"/>
      <c r="LUB291" s="1069"/>
      <c r="LUC291" s="1069"/>
      <c r="LUD291" s="1069"/>
      <c r="LUE291" s="1069"/>
      <c r="LUF291" s="1069"/>
      <c r="LUG291" s="1069"/>
      <c r="LUH291" s="1069"/>
      <c r="LUI291" s="1069"/>
      <c r="LUJ291" s="1069"/>
      <c r="LUK291" s="1069"/>
      <c r="LUL291" s="1069"/>
      <c r="LUM291" s="1069"/>
      <c r="LUN291" s="1069"/>
      <c r="LUO291" s="1069"/>
      <c r="LUP291" s="1069"/>
      <c r="LUQ291" s="1069"/>
      <c r="LUR291" s="1069"/>
      <c r="LUS291" s="1069"/>
      <c r="LUT291" s="1069"/>
      <c r="LUU291" s="1069"/>
      <c r="LUV291" s="1069"/>
      <c r="LUW291" s="1069"/>
      <c r="LUX291" s="1069"/>
      <c r="LUY291" s="1069"/>
      <c r="LUZ291" s="1069"/>
      <c r="LVA291" s="1069"/>
      <c r="LVB291" s="1069"/>
      <c r="LVC291" s="1069"/>
      <c r="LVD291" s="1069"/>
      <c r="LVE291" s="1069"/>
      <c r="LVF291" s="1069"/>
      <c r="LVG291" s="1069"/>
      <c r="LVH291" s="1069"/>
      <c r="LVI291" s="1069"/>
      <c r="LVJ291" s="1069"/>
      <c r="LVK291" s="1069"/>
      <c r="LVL291" s="1069"/>
      <c r="LVM291" s="1069"/>
      <c r="LVN291" s="1069"/>
      <c r="LVO291" s="1069"/>
      <c r="LVP291" s="1069"/>
      <c r="LVQ291" s="1069"/>
      <c r="LVR291" s="1069"/>
      <c r="LVS291" s="1069"/>
      <c r="LVT291" s="1069"/>
      <c r="LVU291" s="1069"/>
      <c r="LVV291" s="1069"/>
      <c r="LVW291" s="1069"/>
      <c r="LVX291" s="1069"/>
      <c r="LVY291" s="1069"/>
      <c r="LVZ291" s="1069"/>
      <c r="LWA291" s="1069"/>
      <c r="LWB291" s="1069"/>
      <c r="LWC291" s="1069"/>
      <c r="LWD291" s="1069"/>
      <c r="LWE291" s="1069"/>
      <c r="LWF291" s="1069"/>
      <c r="LWG291" s="1069"/>
      <c r="LWH291" s="1069"/>
      <c r="LWI291" s="1069"/>
      <c r="LWJ291" s="1069"/>
      <c r="LWK291" s="1069"/>
      <c r="LWL291" s="1069"/>
      <c r="LWM291" s="1069"/>
      <c r="LWN291" s="1069"/>
      <c r="LWO291" s="1069"/>
      <c r="LWP291" s="1069"/>
      <c r="LWQ291" s="1069"/>
      <c r="LWR291" s="1069"/>
      <c r="LWS291" s="1069"/>
      <c r="LWT291" s="1069"/>
      <c r="LWU291" s="1069"/>
      <c r="LWV291" s="1069"/>
      <c r="LWW291" s="1069"/>
      <c r="LWX291" s="1069"/>
      <c r="LWY291" s="1069"/>
      <c r="LWZ291" s="1069"/>
      <c r="LXA291" s="1069"/>
      <c r="LXB291" s="1069"/>
      <c r="LXC291" s="1069"/>
      <c r="LXD291" s="1069"/>
      <c r="LXE291" s="1069"/>
      <c r="LXF291" s="1069"/>
      <c r="LXG291" s="1069"/>
      <c r="LXH291" s="1069"/>
      <c r="LXI291" s="1069"/>
      <c r="LXJ291" s="1069"/>
      <c r="LXK291" s="1069"/>
      <c r="LXL291" s="1069"/>
      <c r="LXM291" s="1069"/>
      <c r="LXN291" s="1069"/>
      <c r="LXO291" s="1069"/>
      <c r="LXP291" s="1069"/>
      <c r="LXQ291" s="1069"/>
      <c r="LXR291" s="1069"/>
      <c r="LXS291" s="1069"/>
      <c r="LXT291" s="1069"/>
      <c r="LXU291" s="1069"/>
      <c r="LXV291" s="1069"/>
      <c r="LXW291" s="1069"/>
      <c r="LXX291" s="1069"/>
      <c r="LXY291" s="1069"/>
      <c r="LXZ291" s="1069"/>
      <c r="LYA291" s="1069"/>
      <c r="LYB291" s="1069"/>
      <c r="LYC291" s="1069"/>
      <c r="LYD291" s="1069"/>
      <c r="LYE291" s="1069"/>
      <c r="LYF291" s="1069"/>
      <c r="LYG291" s="1069"/>
      <c r="LYH291" s="1069"/>
      <c r="LYI291" s="1069"/>
      <c r="LYJ291" s="1069"/>
      <c r="LYK291" s="1069"/>
      <c r="LYL291" s="1069"/>
      <c r="LYM291" s="1069"/>
      <c r="LYN291" s="1069"/>
      <c r="LYO291" s="1069"/>
      <c r="LYP291" s="1069"/>
      <c r="LYQ291" s="1069"/>
      <c r="LYR291" s="1069"/>
      <c r="LYS291" s="1069"/>
      <c r="LYT291" s="1069"/>
      <c r="LYU291" s="1069"/>
      <c r="LYV291" s="1069"/>
      <c r="LYW291" s="1069"/>
      <c r="LYX291" s="1069"/>
      <c r="LYY291" s="1069"/>
      <c r="LYZ291" s="1069"/>
      <c r="LZA291" s="1069"/>
      <c r="LZB291" s="1069"/>
      <c r="LZC291" s="1069"/>
      <c r="LZD291" s="1069"/>
      <c r="LZE291" s="1069"/>
      <c r="LZF291" s="1069"/>
      <c r="LZG291" s="1069"/>
      <c r="LZH291" s="1069"/>
      <c r="LZI291" s="1069"/>
      <c r="LZJ291" s="1069"/>
      <c r="LZK291" s="1069"/>
      <c r="LZL291" s="1069"/>
      <c r="LZM291" s="1069"/>
      <c r="LZN291" s="1069"/>
      <c r="LZO291" s="1069"/>
      <c r="LZP291" s="1069"/>
      <c r="LZQ291" s="1069"/>
      <c r="LZR291" s="1069"/>
      <c r="LZS291" s="1069"/>
      <c r="LZT291" s="1069"/>
      <c r="LZU291" s="1069"/>
      <c r="LZV291" s="1069"/>
      <c r="LZW291" s="1069"/>
      <c r="LZX291" s="1069"/>
      <c r="LZY291" s="1069"/>
      <c r="LZZ291" s="1069"/>
      <c r="MAA291" s="1069"/>
      <c r="MAB291" s="1069"/>
      <c r="MAC291" s="1069"/>
      <c r="MAD291" s="1069"/>
      <c r="MAE291" s="1069"/>
      <c r="MAF291" s="1069"/>
      <c r="MAG291" s="1069"/>
      <c r="MAH291" s="1069"/>
      <c r="MAI291" s="1069"/>
      <c r="MAJ291" s="1069"/>
      <c r="MAK291" s="1069"/>
      <c r="MAL291" s="1069"/>
      <c r="MAM291" s="1069"/>
      <c r="MAN291" s="1069"/>
      <c r="MAO291" s="1069"/>
      <c r="MAP291" s="1069"/>
      <c r="MAQ291" s="1069"/>
      <c r="MAR291" s="1069"/>
      <c r="MAS291" s="1069"/>
      <c r="MAT291" s="1069"/>
      <c r="MAU291" s="1069"/>
      <c r="MAV291" s="1069"/>
      <c r="MAW291" s="1069"/>
      <c r="MAX291" s="1069"/>
      <c r="MAY291" s="1069"/>
      <c r="MAZ291" s="1069"/>
      <c r="MBA291" s="1069"/>
      <c r="MBB291" s="1069"/>
      <c r="MBC291" s="1069"/>
      <c r="MBD291" s="1069"/>
      <c r="MBE291" s="1069"/>
      <c r="MBF291" s="1069"/>
      <c r="MBG291" s="1069"/>
      <c r="MBH291" s="1069"/>
      <c r="MBI291" s="1069"/>
      <c r="MBJ291" s="1069"/>
      <c r="MBK291" s="1069"/>
      <c r="MBL291" s="1069"/>
      <c r="MBM291" s="1069"/>
      <c r="MBN291" s="1069"/>
      <c r="MBO291" s="1069"/>
      <c r="MBP291" s="1069"/>
      <c r="MBQ291" s="1069"/>
      <c r="MBR291" s="1069"/>
      <c r="MBS291" s="1069"/>
      <c r="MBT291" s="1069"/>
      <c r="MBU291" s="1069"/>
      <c r="MBV291" s="1069"/>
      <c r="MBW291" s="1069"/>
      <c r="MBX291" s="1069"/>
      <c r="MBY291" s="1069"/>
      <c r="MBZ291" s="1069"/>
      <c r="MCA291" s="1069"/>
      <c r="MCB291" s="1069"/>
      <c r="MCC291" s="1069"/>
      <c r="MCD291" s="1069"/>
      <c r="MCE291" s="1069"/>
      <c r="MCF291" s="1069"/>
      <c r="MCG291" s="1069"/>
      <c r="MCH291" s="1069"/>
      <c r="MCI291" s="1069"/>
      <c r="MCJ291" s="1069"/>
      <c r="MCK291" s="1069"/>
      <c r="MCL291" s="1069"/>
      <c r="MCM291" s="1069"/>
      <c r="MCN291" s="1069"/>
      <c r="MCO291" s="1069"/>
      <c r="MCP291" s="1069"/>
      <c r="MCQ291" s="1069"/>
      <c r="MCR291" s="1069"/>
      <c r="MCS291" s="1069"/>
      <c r="MCT291" s="1069"/>
      <c r="MCU291" s="1069"/>
      <c r="MCV291" s="1069"/>
      <c r="MCW291" s="1069"/>
      <c r="MCX291" s="1069"/>
      <c r="MCY291" s="1069"/>
      <c r="MCZ291" s="1069"/>
      <c r="MDA291" s="1069"/>
      <c r="MDB291" s="1069"/>
      <c r="MDC291" s="1069"/>
      <c r="MDD291" s="1069"/>
      <c r="MDE291" s="1069"/>
      <c r="MDF291" s="1069"/>
      <c r="MDG291" s="1069"/>
      <c r="MDH291" s="1069"/>
      <c r="MDI291" s="1069"/>
      <c r="MDJ291" s="1069"/>
      <c r="MDK291" s="1069"/>
      <c r="MDL291" s="1069"/>
      <c r="MDM291" s="1069"/>
      <c r="MDN291" s="1069"/>
      <c r="MDO291" s="1069"/>
      <c r="MDP291" s="1069"/>
      <c r="MDQ291" s="1069"/>
      <c r="MDR291" s="1069"/>
      <c r="MDS291" s="1069"/>
      <c r="MDT291" s="1069"/>
      <c r="MDU291" s="1069"/>
      <c r="MDV291" s="1069"/>
      <c r="MDW291" s="1069"/>
      <c r="MDX291" s="1069"/>
      <c r="MDY291" s="1069"/>
      <c r="MDZ291" s="1069"/>
      <c r="MEA291" s="1069"/>
      <c r="MEB291" s="1069"/>
      <c r="MEC291" s="1069"/>
      <c r="MED291" s="1069"/>
      <c r="MEE291" s="1069"/>
      <c r="MEF291" s="1069"/>
      <c r="MEG291" s="1069"/>
      <c r="MEH291" s="1069"/>
      <c r="MEI291" s="1069"/>
      <c r="MEJ291" s="1069"/>
      <c r="MEK291" s="1069"/>
      <c r="MEL291" s="1069"/>
      <c r="MEM291" s="1069"/>
      <c r="MEN291" s="1069"/>
      <c r="MEO291" s="1069"/>
      <c r="MEP291" s="1069"/>
      <c r="MEQ291" s="1069"/>
      <c r="MER291" s="1069"/>
      <c r="MES291" s="1069"/>
      <c r="MET291" s="1069"/>
      <c r="MEU291" s="1069"/>
      <c r="MEV291" s="1069"/>
      <c r="MEW291" s="1069"/>
      <c r="MEX291" s="1069"/>
      <c r="MEY291" s="1069"/>
      <c r="MEZ291" s="1069"/>
      <c r="MFA291" s="1069"/>
      <c r="MFB291" s="1069"/>
      <c r="MFC291" s="1069"/>
      <c r="MFD291" s="1069"/>
      <c r="MFE291" s="1069"/>
      <c r="MFF291" s="1069"/>
      <c r="MFG291" s="1069"/>
      <c r="MFH291" s="1069"/>
      <c r="MFI291" s="1069"/>
      <c r="MFJ291" s="1069"/>
      <c r="MFK291" s="1069"/>
      <c r="MFL291" s="1069"/>
      <c r="MFM291" s="1069"/>
      <c r="MFN291" s="1069"/>
      <c r="MFO291" s="1069"/>
      <c r="MFP291" s="1069"/>
      <c r="MFQ291" s="1069"/>
      <c r="MFR291" s="1069"/>
      <c r="MFS291" s="1069"/>
      <c r="MFT291" s="1069"/>
      <c r="MFU291" s="1069"/>
      <c r="MFV291" s="1069"/>
      <c r="MFW291" s="1069"/>
      <c r="MFX291" s="1069"/>
      <c r="MFY291" s="1069"/>
      <c r="MFZ291" s="1069"/>
      <c r="MGA291" s="1069"/>
      <c r="MGB291" s="1069"/>
      <c r="MGC291" s="1069"/>
      <c r="MGD291" s="1069"/>
      <c r="MGE291" s="1069"/>
      <c r="MGF291" s="1069"/>
      <c r="MGG291" s="1069"/>
      <c r="MGH291" s="1069"/>
      <c r="MGI291" s="1069"/>
      <c r="MGJ291" s="1069"/>
      <c r="MGK291" s="1069"/>
      <c r="MGL291" s="1069"/>
      <c r="MGM291" s="1069"/>
      <c r="MGN291" s="1069"/>
      <c r="MGO291" s="1069"/>
      <c r="MGP291" s="1069"/>
      <c r="MGQ291" s="1069"/>
      <c r="MGR291" s="1069"/>
      <c r="MGS291" s="1069"/>
      <c r="MGT291" s="1069"/>
      <c r="MGU291" s="1069"/>
      <c r="MGV291" s="1069"/>
      <c r="MGW291" s="1069"/>
      <c r="MGX291" s="1069"/>
      <c r="MGY291" s="1069"/>
      <c r="MGZ291" s="1069"/>
      <c r="MHA291" s="1069"/>
      <c r="MHB291" s="1069"/>
      <c r="MHC291" s="1069"/>
      <c r="MHD291" s="1069"/>
      <c r="MHE291" s="1069"/>
      <c r="MHF291" s="1069"/>
      <c r="MHG291" s="1069"/>
      <c r="MHH291" s="1069"/>
      <c r="MHI291" s="1069"/>
      <c r="MHJ291" s="1069"/>
      <c r="MHK291" s="1069"/>
      <c r="MHL291" s="1069"/>
      <c r="MHM291" s="1069"/>
      <c r="MHN291" s="1069"/>
      <c r="MHO291" s="1069"/>
      <c r="MHP291" s="1069"/>
      <c r="MHQ291" s="1069"/>
      <c r="MHR291" s="1069"/>
      <c r="MHS291" s="1069"/>
      <c r="MHT291" s="1069"/>
      <c r="MHU291" s="1069"/>
      <c r="MHV291" s="1069"/>
      <c r="MHW291" s="1069"/>
      <c r="MHX291" s="1069"/>
      <c r="MHY291" s="1069"/>
      <c r="MHZ291" s="1069"/>
      <c r="MIA291" s="1069"/>
      <c r="MIB291" s="1069"/>
      <c r="MIC291" s="1069"/>
      <c r="MID291" s="1069"/>
      <c r="MIE291" s="1069"/>
      <c r="MIF291" s="1069"/>
      <c r="MIG291" s="1069"/>
      <c r="MIH291" s="1069"/>
      <c r="MII291" s="1069"/>
      <c r="MIJ291" s="1069"/>
      <c r="MIK291" s="1069"/>
      <c r="MIL291" s="1069"/>
      <c r="MIM291" s="1069"/>
      <c r="MIN291" s="1069"/>
      <c r="MIO291" s="1069"/>
      <c r="MIP291" s="1069"/>
      <c r="MIQ291" s="1069"/>
      <c r="MIR291" s="1069"/>
      <c r="MIS291" s="1069"/>
      <c r="MIT291" s="1069"/>
      <c r="MIU291" s="1069"/>
      <c r="MIV291" s="1069"/>
      <c r="MIW291" s="1069"/>
      <c r="MIX291" s="1069"/>
      <c r="MIY291" s="1069"/>
      <c r="MIZ291" s="1069"/>
      <c r="MJA291" s="1069"/>
      <c r="MJB291" s="1069"/>
      <c r="MJC291" s="1069"/>
      <c r="MJD291" s="1069"/>
      <c r="MJE291" s="1069"/>
      <c r="MJF291" s="1069"/>
      <c r="MJG291" s="1069"/>
      <c r="MJH291" s="1069"/>
      <c r="MJI291" s="1069"/>
      <c r="MJJ291" s="1069"/>
      <c r="MJK291" s="1069"/>
      <c r="MJL291" s="1069"/>
      <c r="MJM291" s="1069"/>
      <c r="MJN291" s="1069"/>
      <c r="MJO291" s="1069"/>
      <c r="MJP291" s="1069"/>
      <c r="MJQ291" s="1069"/>
      <c r="MJR291" s="1069"/>
      <c r="MJS291" s="1069"/>
      <c r="MJT291" s="1069"/>
      <c r="MJU291" s="1069"/>
      <c r="MJV291" s="1069"/>
      <c r="MJW291" s="1069"/>
      <c r="MJX291" s="1069"/>
      <c r="MJY291" s="1069"/>
      <c r="MJZ291" s="1069"/>
      <c r="MKA291" s="1069"/>
      <c r="MKB291" s="1069"/>
      <c r="MKC291" s="1069"/>
      <c r="MKD291" s="1069"/>
      <c r="MKE291" s="1069"/>
      <c r="MKF291" s="1069"/>
      <c r="MKG291" s="1069"/>
      <c r="MKH291" s="1069"/>
      <c r="MKI291" s="1069"/>
      <c r="MKJ291" s="1069"/>
      <c r="MKK291" s="1069"/>
      <c r="MKL291" s="1069"/>
      <c r="MKM291" s="1069"/>
      <c r="MKN291" s="1069"/>
      <c r="MKO291" s="1069"/>
      <c r="MKP291" s="1069"/>
      <c r="MKQ291" s="1069"/>
      <c r="MKR291" s="1069"/>
      <c r="MKS291" s="1069"/>
      <c r="MKT291" s="1069"/>
      <c r="MKU291" s="1069"/>
      <c r="MKV291" s="1069"/>
      <c r="MKW291" s="1069"/>
      <c r="MKX291" s="1069"/>
      <c r="MKY291" s="1069"/>
      <c r="MKZ291" s="1069"/>
      <c r="MLA291" s="1069"/>
      <c r="MLB291" s="1069"/>
      <c r="MLC291" s="1069"/>
      <c r="MLD291" s="1069"/>
      <c r="MLE291" s="1069"/>
      <c r="MLF291" s="1069"/>
      <c r="MLG291" s="1069"/>
      <c r="MLH291" s="1069"/>
      <c r="MLI291" s="1069"/>
      <c r="MLJ291" s="1069"/>
      <c r="MLK291" s="1069"/>
      <c r="MLL291" s="1069"/>
      <c r="MLM291" s="1069"/>
      <c r="MLN291" s="1069"/>
      <c r="MLO291" s="1069"/>
      <c r="MLP291" s="1069"/>
      <c r="MLQ291" s="1069"/>
      <c r="MLR291" s="1069"/>
      <c r="MLS291" s="1069"/>
      <c r="MLT291" s="1069"/>
      <c r="MLU291" s="1069"/>
      <c r="MLV291" s="1069"/>
      <c r="MLW291" s="1069"/>
      <c r="MLX291" s="1069"/>
      <c r="MLY291" s="1069"/>
      <c r="MLZ291" s="1069"/>
      <c r="MMA291" s="1069"/>
      <c r="MMB291" s="1069"/>
      <c r="MMC291" s="1069"/>
      <c r="MMD291" s="1069"/>
      <c r="MME291" s="1069"/>
      <c r="MMF291" s="1069"/>
      <c r="MMG291" s="1069"/>
      <c r="MMH291" s="1069"/>
      <c r="MMI291" s="1069"/>
      <c r="MMJ291" s="1069"/>
      <c r="MMK291" s="1069"/>
      <c r="MML291" s="1069"/>
      <c r="MMM291" s="1069"/>
      <c r="MMN291" s="1069"/>
      <c r="MMO291" s="1069"/>
      <c r="MMP291" s="1069"/>
      <c r="MMQ291" s="1069"/>
      <c r="MMR291" s="1069"/>
      <c r="MMS291" s="1069"/>
      <c r="MMT291" s="1069"/>
      <c r="MMU291" s="1069"/>
      <c r="MMV291" s="1069"/>
      <c r="MMW291" s="1069"/>
      <c r="MMX291" s="1069"/>
      <c r="MMY291" s="1069"/>
      <c r="MMZ291" s="1069"/>
      <c r="MNA291" s="1069"/>
      <c r="MNB291" s="1069"/>
      <c r="MNC291" s="1069"/>
      <c r="MND291" s="1069"/>
      <c r="MNE291" s="1069"/>
      <c r="MNF291" s="1069"/>
      <c r="MNG291" s="1069"/>
      <c r="MNH291" s="1069"/>
      <c r="MNI291" s="1069"/>
      <c r="MNJ291" s="1069"/>
      <c r="MNK291" s="1069"/>
      <c r="MNL291" s="1069"/>
      <c r="MNM291" s="1069"/>
      <c r="MNN291" s="1069"/>
      <c r="MNO291" s="1069"/>
      <c r="MNP291" s="1069"/>
      <c r="MNQ291" s="1069"/>
      <c r="MNR291" s="1069"/>
      <c r="MNS291" s="1069"/>
      <c r="MNT291" s="1069"/>
      <c r="MNU291" s="1069"/>
      <c r="MNV291" s="1069"/>
      <c r="MNW291" s="1069"/>
      <c r="MNX291" s="1069"/>
      <c r="MNY291" s="1069"/>
      <c r="MNZ291" s="1069"/>
      <c r="MOA291" s="1069"/>
      <c r="MOB291" s="1069"/>
      <c r="MOC291" s="1069"/>
      <c r="MOD291" s="1069"/>
      <c r="MOE291" s="1069"/>
      <c r="MOF291" s="1069"/>
      <c r="MOG291" s="1069"/>
      <c r="MOH291" s="1069"/>
      <c r="MOI291" s="1069"/>
      <c r="MOJ291" s="1069"/>
      <c r="MOK291" s="1069"/>
      <c r="MOL291" s="1069"/>
      <c r="MOM291" s="1069"/>
      <c r="MON291" s="1069"/>
      <c r="MOO291" s="1069"/>
      <c r="MOP291" s="1069"/>
      <c r="MOQ291" s="1069"/>
      <c r="MOR291" s="1069"/>
      <c r="MOS291" s="1069"/>
      <c r="MOT291" s="1069"/>
      <c r="MOU291" s="1069"/>
      <c r="MOV291" s="1069"/>
      <c r="MOW291" s="1069"/>
      <c r="MOX291" s="1069"/>
      <c r="MOY291" s="1069"/>
      <c r="MOZ291" s="1069"/>
      <c r="MPA291" s="1069"/>
      <c r="MPB291" s="1069"/>
      <c r="MPC291" s="1069"/>
      <c r="MPD291" s="1069"/>
      <c r="MPE291" s="1069"/>
      <c r="MPF291" s="1069"/>
      <c r="MPG291" s="1069"/>
      <c r="MPH291" s="1069"/>
      <c r="MPI291" s="1069"/>
      <c r="MPJ291" s="1069"/>
      <c r="MPK291" s="1069"/>
      <c r="MPL291" s="1069"/>
      <c r="MPM291" s="1069"/>
      <c r="MPN291" s="1069"/>
      <c r="MPO291" s="1069"/>
      <c r="MPP291" s="1069"/>
      <c r="MPQ291" s="1069"/>
      <c r="MPR291" s="1069"/>
      <c r="MPS291" s="1069"/>
      <c r="MPT291" s="1069"/>
      <c r="MPU291" s="1069"/>
      <c r="MPV291" s="1069"/>
      <c r="MPW291" s="1069"/>
      <c r="MPX291" s="1069"/>
      <c r="MPY291" s="1069"/>
      <c r="MPZ291" s="1069"/>
      <c r="MQA291" s="1069"/>
      <c r="MQB291" s="1069"/>
      <c r="MQC291" s="1069"/>
      <c r="MQD291" s="1069"/>
      <c r="MQE291" s="1069"/>
      <c r="MQF291" s="1069"/>
      <c r="MQG291" s="1069"/>
      <c r="MQH291" s="1069"/>
      <c r="MQI291" s="1069"/>
      <c r="MQJ291" s="1069"/>
      <c r="MQK291" s="1069"/>
      <c r="MQL291" s="1069"/>
      <c r="MQM291" s="1069"/>
      <c r="MQN291" s="1069"/>
      <c r="MQO291" s="1069"/>
      <c r="MQP291" s="1069"/>
      <c r="MQQ291" s="1069"/>
      <c r="MQR291" s="1069"/>
      <c r="MQS291" s="1069"/>
      <c r="MQT291" s="1069"/>
      <c r="MQU291" s="1069"/>
      <c r="MQV291" s="1069"/>
      <c r="MQW291" s="1069"/>
      <c r="MQX291" s="1069"/>
      <c r="MQY291" s="1069"/>
      <c r="MQZ291" s="1069"/>
      <c r="MRA291" s="1069"/>
      <c r="MRB291" s="1069"/>
      <c r="MRC291" s="1069"/>
      <c r="MRD291" s="1069"/>
      <c r="MRE291" s="1069"/>
      <c r="MRF291" s="1069"/>
      <c r="MRG291" s="1069"/>
      <c r="MRH291" s="1069"/>
      <c r="MRI291" s="1069"/>
      <c r="MRJ291" s="1069"/>
      <c r="MRK291" s="1069"/>
      <c r="MRL291" s="1069"/>
      <c r="MRM291" s="1069"/>
      <c r="MRN291" s="1069"/>
      <c r="MRO291" s="1069"/>
      <c r="MRP291" s="1069"/>
      <c r="MRQ291" s="1069"/>
      <c r="MRR291" s="1069"/>
      <c r="MRS291" s="1069"/>
      <c r="MRT291" s="1069"/>
      <c r="MRU291" s="1069"/>
      <c r="MRV291" s="1069"/>
      <c r="MRW291" s="1069"/>
      <c r="MRX291" s="1069"/>
      <c r="MRY291" s="1069"/>
      <c r="MRZ291" s="1069"/>
      <c r="MSA291" s="1069"/>
      <c r="MSB291" s="1069"/>
      <c r="MSC291" s="1069"/>
      <c r="MSD291" s="1069"/>
      <c r="MSE291" s="1069"/>
      <c r="MSF291" s="1069"/>
      <c r="MSG291" s="1069"/>
      <c r="MSH291" s="1069"/>
      <c r="MSI291" s="1069"/>
      <c r="MSJ291" s="1069"/>
      <c r="MSK291" s="1069"/>
      <c r="MSL291" s="1069"/>
      <c r="MSM291" s="1069"/>
      <c r="MSN291" s="1069"/>
      <c r="MSO291" s="1069"/>
      <c r="MSP291" s="1069"/>
      <c r="MSQ291" s="1069"/>
      <c r="MSR291" s="1069"/>
      <c r="MSS291" s="1069"/>
      <c r="MST291" s="1069"/>
      <c r="MSU291" s="1069"/>
      <c r="MSV291" s="1069"/>
      <c r="MSW291" s="1069"/>
      <c r="MSX291" s="1069"/>
      <c r="MSY291" s="1069"/>
      <c r="MSZ291" s="1069"/>
      <c r="MTA291" s="1069"/>
      <c r="MTB291" s="1069"/>
      <c r="MTC291" s="1069"/>
      <c r="MTD291" s="1069"/>
      <c r="MTE291" s="1069"/>
      <c r="MTF291" s="1069"/>
      <c r="MTG291" s="1069"/>
      <c r="MTH291" s="1069"/>
      <c r="MTI291" s="1069"/>
      <c r="MTJ291" s="1069"/>
      <c r="MTK291" s="1069"/>
      <c r="MTL291" s="1069"/>
      <c r="MTM291" s="1069"/>
      <c r="MTN291" s="1069"/>
      <c r="MTO291" s="1069"/>
      <c r="MTP291" s="1069"/>
      <c r="MTQ291" s="1069"/>
      <c r="MTR291" s="1069"/>
      <c r="MTS291" s="1069"/>
      <c r="MTT291" s="1069"/>
      <c r="MTU291" s="1069"/>
      <c r="MTV291" s="1069"/>
      <c r="MTW291" s="1069"/>
      <c r="MTX291" s="1069"/>
      <c r="MTY291" s="1069"/>
      <c r="MTZ291" s="1069"/>
      <c r="MUA291" s="1069"/>
      <c r="MUB291" s="1069"/>
      <c r="MUC291" s="1069"/>
      <c r="MUD291" s="1069"/>
      <c r="MUE291" s="1069"/>
      <c r="MUF291" s="1069"/>
      <c r="MUG291" s="1069"/>
      <c r="MUH291" s="1069"/>
      <c r="MUI291" s="1069"/>
      <c r="MUJ291" s="1069"/>
      <c r="MUK291" s="1069"/>
      <c r="MUL291" s="1069"/>
      <c r="MUM291" s="1069"/>
      <c r="MUN291" s="1069"/>
      <c r="MUO291" s="1069"/>
      <c r="MUP291" s="1069"/>
      <c r="MUQ291" s="1069"/>
      <c r="MUR291" s="1069"/>
      <c r="MUS291" s="1069"/>
      <c r="MUT291" s="1069"/>
      <c r="MUU291" s="1069"/>
      <c r="MUV291" s="1069"/>
      <c r="MUW291" s="1069"/>
      <c r="MUX291" s="1069"/>
      <c r="MUY291" s="1069"/>
      <c r="MUZ291" s="1069"/>
      <c r="MVA291" s="1069"/>
      <c r="MVB291" s="1069"/>
      <c r="MVC291" s="1069"/>
      <c r="MVD291" s="1069"/>
      <c r="MVE291" s="1069"/>
      <c r="MVF291" s="1069"/>
      <c r="MVG291" s="1069"/>
      <c r="MVH291" s="1069"/>
      <c r="MVI291" s="1069"/>
      <c r="MVJ291" s="1069"/>
      <c r="MVK291" s="1069"/>
      <c r="MVL291" s="1069"/>
      <c r="MVM291" s="1069"/>
      <c r="MVN291" s="1069"/>
      <c r="MVO291" s="1069"/>
      <c r="MVP291" s="1069"/>
      <c r="MVQ291" s="1069"/>
      <c r="MVR291" s="1069"/>
      <c r="MVS291" s="1069"/>
      <c r="MVT291" s="1069"/>
      <c r="MVU291" s="1069"/>
      <c r="MVV291" s="1069"/>
      <c r="MVW291" s="1069"/>
      <c r="MVX291" s="1069"/>
      <c r="MVY291" s="1069"/>
      <c r="MVZ291" s="1069"/>
      <c r="MWA291" s="1069"/>
      <c r="MWB291" s="1069"/>
      <c r="MWC291" s="1069"/>
      <c r="MWD291" s="1069"/>
      <c r="MWE291" s="1069"/>
      <c r="MWF291" s="1069"/>
      <c r="MWG291" s="1069"/>
      <c r="MWH291" s="1069"/>
      <c r="MWI291" s="1069"/>
      <c r="MWJ291" s="1069"/>
      <c r="MWK291" s="1069"/>
      <c r="MWL291" s="1069"/>
      <c r="MWM291" s="1069"/>
      <c r="MWN291" s="1069"/>
      <c r="MWO291" s="1069"/>
      <c r="MWP291" s="1069"/>
      <c r="MWQ291" s="1069"/>
      <c r="MWR291" s="1069"/>
      <c r="MWS291" s="1069"/>
      <c r="MWT291" s="1069"/>
      <c r="MWU291" s="1069"/>
      <c r="MWV291" s="1069"/>
      <c r="MWW291" s="1069"/>
      <c r="MWX291" s="1069"/>
      <c r="MWY291" s="1069"/>
      <c r="MWZ291" s="1069"/>
      <c r="MXA291" s="1069"/>
      <c r="MXB291" s="1069"/>
      <c r="MXC291" s="1069"/>
      <c r="MXD291" s="1069"/>
      <c r="MXE291" s="1069"/>
      <c r="MXF291" s="1069"/>
      <c r="MXG291" s="1069"/>
      <c r="MXH291" s="1069"/>
      <c r="MXI291" s="1069"/>
      <c r="MXJ291" s="1069"/>
      <c r="MXK291" s="1069"/>
      <c r="MXL291" s="1069"/>
      <c r="MXM291" s="1069"/>
      <c r="MXN291" s="1069"/>
      <c r="MXO291" s="1069"/>
      <c r="MXP291" s="1069"/>
      <c r="MXQ291" s="1069"/>
      <c r="MXR291" s="1069"/>
      <c r="MXS291" s="1069"/>
      <c r="MXT291" s="1069"/>
      <c r="MXU291" s="1069"/>
      <c r="MXV291" s="1069"/>
      <c r="MXW291" s="1069"/>
      <c r="MXX291" s="1069"/>
      <c r="MXY291" s="1069"/>
      <c r="MXZ291" s="1069"/>
      <c r="MYA291" s="1069"/>
      <c r="MYB291" s="1069"/>
      <c r="MYC291" s="1069"/>
      <c r="MYD291" s="1069"/>
      <c r="MYE291" s="1069"/>
      <c r="MYF291" s="1069"/>
      <c r="MYG291" s="1069"/>
      <c r="MYH291" s="1069"/>
      <c r="MYI291" s="1069"/>
      <c r="MYJ291" s="1069"/>
      <c r="MYK291" s="1069"/>
      <c r="MYL291" s="1069"/>
      <c r="MYM291" s="1069"/>
      <c r="MYN291" s="1069"/>
      <c r="MYO291" s="1069"/>
      <c r="MYP291" s="1069"/>
      <c r="MYQ291" s="1069"/>
      <c r="MYR291" s="1069"/>
      <c r="MYS291" s="1069"/>
      <c r="MYT291" s="1069"/>
      <c r="MYU291" s="1069"/>
      <c r="MYV291" s="1069"/>
      <c r="MYW291" s="1069"/>
      <c r="MYX291" s="1069"/>
      <c r="MYY291" s="1069"/>
      <c r="MYZ291" s="1069"/>
      <c r="MZA291" s="1069"/>
      <c r="MZB291" s="1069"/>
      <c r="MZC291" s="1069"/>
      <c r="MZD291" s="1069"/>
      <c r="MZE291" s="1069"/>
      <c r="MZF291" s="1069"/>
      <c r="MZG291" s="1069"/>
      <c r="MZH291" s="1069"/>
      <c r="MZI291" s="1069"/>
      <c r="MZJ291" s="1069"/>
      <c r="MZK291" s="1069"/>
      <c r="MZL291" s="1069"/>
      <c r="MZM291" s="1069"/>
      <c r="MZN291" s="1069"/>
      <c r="MZO291" s="1069"/>
      <c r="MZP291" s="1069"/>
      <c r="MZQ291" s="1069"/>
      <c r="MZR291" s="1069"/>
      <c r="MZS291" s="1069"/>
      <c r="MZT291" s="1069"/>
      <c r="MZU291" s="1069"/>
      <c r="MZV291" s="1069"/>
      <c r="MZW291" s="1069"/>
      <c r="MZX291" s="1069"/>
      <c r="MZY291" s="1069"/>
      <c r="MZZ291" s="1069"/>
      <c r="NAA291" s="1069"/>
      <c r="NAB291" s="1069"/>
      <c r="NAC291" s="1069"/>
      <c r="NAD291" s="1069"/>
      <c r="NAE291" s="1069"/>
      <c r="NAF291" s="1069"/>
      <c r="NAG291" s="1069"/>
      <c r="NAH291" s="1069"/>
      <c r="NAI291" s="1069"/>
      <c r="NAJ291" s="1069"/>
      <c r="NAK291" s="1069"/>
      <c r="NAL291" s="1069"/>
      <c r="NAM291" s="1069"/>
      <c r="NAN291" s="1069"/>
      <c r="NAO291" s="1069"/>
      <c r="NAP291" s="1069"/>
      <c r="NAQ291" s="1069"/>
      <c r="NAR291" s="1069"/>
      <c r="NAS291" s="1069"/>
      <c r="NAT291" s="1069"/>
      <c r="NAU291" s="1069"/>
      <c r="NAV291" s="1069"/>
      <c r="NAW291" s="1069"/>
      <c r="NAX291" s="1069"/>
      <c r="NAY291" s="1069"/>
      <c r="NAZ291" s="1069"/>
      <c r="NBA291" s="1069"/>
      <c r="NBB291" s="1069"/>
      <c r="NBC291" s="1069"/>
      <c r="NBD291" s="1069"/>
      <c r="NBE291" s="1069"/>
      <c r="NBF291" s="1069"/>
      <c r="NBG291" s="1069"/>
      <c r="NBH291" s="1069"/>
      <c r="NBI291" s="1069"/>
      <c r="NBJ291" s="1069"/>
      <c r="NBK291" s="1069"/>
      <c r="NBL291" s="1069"/>
      <c r="NBM291" s="1069"/>
      <c r="NBN291" s="1069"/>
      <c r="NBO291" s="1069"/>
      <c r="NBP291" s="1069"/>
      <c r="NBQ291" s="1069"/>
      <c r="NBR291" s="1069"/>
      <c r="NBS291" s="1069"/>
      <c r="NBT291" s="1069"/>
      <c r="NBU291" s="1069"/>
      <c r="NBV291" s="1069"/>
      <c r="NBW291" s="1069"/>
      <c r="NBX291" s="1069"/>
      <c r="NBY291" s="1069"/>
      <c r="NBZ291" s="1069"/>
      <c r="NCA291" s="1069"/>
      <c r="NCB291" s="1069"/>
      <c r="NCC291" s="1069"/>
      <c r="NCD291" s="1069"/>
      <c r="NCE291" s="1069"/>
      <c r="NCF291" s="1069"/>
      <c r="NCG291" s="1069"/>
      <c r="NCH291" s="1069"/>
      <c r="NCI291" s="1069"/>
      <c r="NCJ291" s="1069"/>
      <c r="NCK291" s="1069"/>
      <c r="NCL291" s="1069"/>
      <c r="NCM291" s="1069"/>
      <c r="NCN291" s="1069"/>
      <c r="NCO291" s="1069"/>
      <c r="NCP291" s="1069"/>
      <c r="NCQ291" s="1069"/>
      <c r="NCR291" s="1069"/>
      <c r="NCS291" s="1069"/>
      <c r="NCT291" s="1069"/>
      <c r="NCU291" s="1069"/>
      <c r="NCV291" s="1069"/>
      <c r="NCW291" s="1069"/>
      <c r="NCX291" s="1069"/>
      <c r="NCY291" s="1069"/>
      <c r="NCZ291" s="1069"/>
      <c r="NDA291" s="1069"/>
      <c r="NDB291" s="1069"/>
      <c r="NDC291" s="1069"/>
      <c r="NDD291" s="1069"/>
      <c r="NDE291" s="1069"/>
      <c r="NDF291" s="1069"/>
      <c r="NDG291" s="1069"/>
      <c r="NDH291" s="1069"/>
      <c r="NDI291" s="1069"/>
      <c r="NDJ291" s="1069"/>
      <c r="NDK291" s="1069"/>
      <c r="NDL291" s="1069"/>
      <c r="NDM291" s="1069"/>
      <c r="NDN291" s="1069"/>
      <c r="NDO291" s="1069"/>
      <c r="NDP291" s="1069"/>
      <c r="NDQ291" s="1069"/>
      <c r="NDR291" s="1069"/>
      <c r="NDS291" s="1069"/>
      <c r="NDT291" s="1069"/>
      <c r="NDU291" s="1069"/>
      <c r="NDV291" s="1069"/>
      <c r="NDW291" s="1069"/>
      <c r="NDX291" s="1069"/>
      <c r="NDY291" s="1069"/>
      <c r="NDZ291" s="1069"/>
      <c r="NEA291" s="1069"/>
      <c r="NEB291" s="1069"/>
      <c r="NEC291" s="1069"/>
      <c r="NED291" s="1069"/>
      <c r="NEE291" s="1069"/>
      <c r="NEF291" s="1069"/>
      <c r="NEG291" s="1069"/>
      <c r="NEH291" s="1069"/>
      <c r="NEI291" s="1069"/>
      <c r="NEJ291" s="1069"/>
      <c r="NEK291" s="1069"/>
      <c r="NEL291" s="1069"/>
      <c r="NEM291" s="1069"/>
      <c r="NEN291" s="1069"/>
      <c r="NEO291" s="1069"/>
      <c r="NEP291" s="1069"/>
      <c r="NEQ291" s="1069"/>
      <c r="NER291" s="1069"/>
      <c r="NES291" s="1069"/>
      <c r="NET291" s="1069"/>
      <c r="NEU291" s="1069"/>
      <c r="NEV291" s="1069"/>
      <c r="NEW291" s="1069"/>
      <c r="NEX291" s="1069"/>
      <c r="NEY291" s="1069"/>
      <c r="NEZ291" s="1069"/>
      <c r="NFA291" s="1069"/>
      <c r="NFB291" s="1069"/>
      <c r="NFC291" s="1069"/>
      <c r="NFD291" s="1069"/>
      <c r="NFE291" s="1069"/>
      <c r="NFF291" s="1069"/>
      <c r="NFG291" s="1069"/>
      <c r="NFH291" s="1069"/>
      <c r="NFI291" s="1069"/>
      <c r="NFJ291" s="1069"/>
      <c r="NFK291" s="1069"/>
      <c r="NFL291" s="1069"/>
      <c r="NFM291" s="1069"/>
      <c r="NFN291" s="1069"/>
      <c r="NFO291" s="1069"/>
      <c r="NFP291" s="1069"/>
      <c r="NFQ291" s="1069"/>
      <c r="NFR291" s="1069"/>
      <c r="NFS291" s="1069"/>
      <c r="NFT291" s="1069"/>
      <c r="NFU291" s="1069"/>
      <c r="NFV291" s="1069"/>
      <c r="NFW291" s="1069"/>
      <c r="NFX291" s="1069"/>
      <c r="NFY291" s="1069"/>
      <c r="NFZ291" s="1069"/>
      <c r="NGA291" s="1069"/>
      <c r="NGB291" s="1069"/>
      <c r="NGC291" s="1069"/>
      <c r="NGD291" s="1069"/>
      <c r="NGE291" s="1069"/>
      <c r="NGF291" s="1069"/>
      <c r="NGG291" s="1069"/>
      <c r="NGH291" s="1069"/>
      <c r="NGI291" s="1069"/>
      <c r="NGJ291" s="1069"/>
      <c r="NGK291" s="1069"/>
      <c r="NGL291" s="1069"/>
      <c r="NGM291" s="1069"/>
      <c r="NGN291" s="1069"/>
      <c r="NGO291" s="1069"/>
      <c r="NGP291" s="1069"/>
      <c r="NGQ291" s="1069"/>
      <c r="NGR291" s="1069"/>
      <c r="NGS291" s="1069"/>
      <c r="NGT291" s="1069"/>
      <c r="NGU291" s="1069"/>
      <c r="NGV291" s="1069"/>
      <c r="NGW291" s="1069"/>
      <c r="NGX291" s="1069"/>
      <c r="NGY291" s="1069"/>
      <c r="NGZ291" s="1069"/>
      <c r="NHA291" s="1069"/>
      <c r="NHB291" s="1069"/>
      <c r="NHC291" s="1069"/>
      <c r="NHD291" s="1069"/>
      <c r="NHE291" s="1069"/>
      <c r="NHF291" s="1069"/>
      <c r="NHG291" s="1069"/>
      <c r="NHH291" s="1069"/>
      <c r="NHI291" s="1069"/>
      <c r="NHJ291" s="1069"/>
      <c r="NHK291" s="1069"/>
      <c r="NHL291" s="1069"/>
      <c r="NHM291" s="1069"/>
      <c r="NHN291" s="1069"/>
      <c r="NHO291" s="1069"/>
      <c r="NHP291" s="1069"/>
      <c r="NHQ291" s="1069"/>
      <c r="NHR291" s="1069"/>
      <c r="NHS291" s="1069"/>
      <c r="NHT291" s="1069"/>
      <c r="NHU291" s="1069"/>
      <c r="NHV291" s="1069"/>
      <c r="NHW291" s="1069"/>
      <c r="NHX291" s="1069"/>
      <c r="NHY291" s="1069"/>
      <c r="NHZ291" s="1069"/>
      <c r="NIA291" s="1069"/>
      <c r="NIB291" s="1069"/>
      <c r="NIC291" s="1069"/>
      <c r="NID291" s="1069"/>
      <c r="NIE291" s="1069"/>
      <c r="NIF291" s="1069"/>
      <c r="NIG291" s="1069"/>
      <c r="NIH291" s="1069"/>
      <c r="NII291" s="1069"/>
      <c r="NIJ291" s="1069"/>
      <c r="NIK291" s="1069"/>
      <c r="NIL291" s="1069"/>
      <c r="NIM291" s="1069"/>
      <c r="NIN291" s="1069"/>
      <c r="NIO291" s="1069"/>
      <c r="NIP291" s="1069"/>
      <c r="NIQ291" s="1069"/>
      <c r="NIR291" s="1069"/>
      <c r="NIS291" s="1069"/>
      <c r="NIT291" s="1069"/>
      <c r="NIU291" s="1069"/>
      <c r="NIV291" s="1069"/>
      <c r="NIW291" s="1069"/>
      <c r="NIX291" s="1069"/>
      <c r="NIY291" s="1069"/>
      <c r="NIZ291" s="1069"/>
      <c r="NJA291" s="1069"/>
      <c r="NJB291" s="1069"/>
      <c r="NJC291" s="1069"/>
      <c r="NJD291" s="1069"/>
      <c r="NJE291" s="1069"/>
      <c r="NJF291" s="1069"/>
      <c r="NJG291" s="1069"/>
      <c r="NJH291" s="1069"/>
      <c r="NJI291" s="1069"/>
      <c r="NJJ291" s="1069"/>
      <c r="NJK291" s="1069"/>
      <c r="NJL291" s="1069"/>
      <c r="NJM291" s="1069"/>
      <c r="NJN291" s="1069"/>
      <c r="NJO291" s="1069"/>
      <c r="NJP291" s="1069"/>
      <c r="NJQ291" s="1069"/>
      <c r="NJR291" s="1069"/>
      <c r="NJS291" s="1069"/>
      <c r="NJT291" s="1069"/>
      <c r="NJU291" s="1069"/>
      <c r="NJV291" s="1069"/>
      <c r="NJW291" s="1069"/>
      <c r="NJX291" s="1069"/>
      <c r="NJY291" s="1069"/>
      <c r="NJZ291" s="1069"/>
      <c r="NKA291" s="1069"/>
      <c r="NKB291" s="1069"/>
      <c r="NKC291" s="1069"/>
      <c r="NKD291" s="1069"/>
      <c r="NKE291" s="1069"/>
      <c r="NKF291" s="1069"/>
      <c r="NKG291" s="1069"/>
      <c r="NKH291" s="1069"/>
      <c r="NKI291" s="1069"/>
      <c r="NKJ291" s="1069"/>
      <c r="NKK291" s="1069"/>
      <c r="NKL291" s="1069"/>
      <c r="NKM291" s="1069"/>
      <c r="NKN291" s="1069"/>
      <c r="NKO291" s="1069"/>
      <c r="NKP291" s="1069"/>
      <c r="NKQ291" s="1069"/>
      <c r="NKR291" s="1069"/>
      <c r="NKS291" s="1069"/>
      <c r="NKT291" s="1069"/>
      <c r="NKU291" s="1069"/>
      <c r="NKV291" s="1069"/>
      <c r="NKW291" s="1069"/>
      <c r="NKX291" s="1069"/>
      <c r="NKY291" s="1069"/>
      <c r="NKZ291" s="1069"/>
      <c r="NLA291" s="1069"/>
      <c r="NLB291" s="1069"/>
      <c r="NLC291" s="1069"/>
      <c r="NLD291" s="1069"/>
      <c r="NLE291" s="1069"/>
      <c r="NLF291" s="1069"/>
      <c r="NLG291" s="1069"/>
      <c r="NLH291" s="1069"/>
      <c r="NLI291" s="1069"/>
      <c r="NLJ291" s="1069"/>
      <c r="NLK291" s="1069"/>
      <c r="NLL291" s="1069"/>
      <c r="NLM291" s="1069"/>
      <c r="NLN291" s="1069"/>
      <c r="NLO291" s="1069"/>
      <c r="NLP291" s="1069"/>
      <c r="NLQ291" s="1069"/>
      <c r="NLR291" s="1069"/>
      <c r="NLS291" s="1069"/>
      <c r="NLT291" s="1069"/>
      <c r="NLU291" s="1069"/>
      <c r="NLV291" s="1069"/>
      <c r="NLW291" s="1069"/>
      <c r="NLX291" s="1069"/>
      <c r="NLY291" s="1069"/>
      <c r="NLZ291" s="1069"/>
      <c r="NMA291" s="1069"/>
      <c r="NMB291" s="1069"/>
      <c r="NMC291" s="1069"/>
      <c r="NMD291" s="1069"/>
      <c r="NME291" s="1069"/>
      <c r="NMF291" s="1069"/>
      <c r="NMG291" s="1069"/>
      <c r="NMH291" s="1069"/>
      <c r="NMI291" s="1069"/>
      <c r="NMJ291" s="1069"/>
      <c r="NMK291" s="1069"/>
      <c r="NML291" s="1069"/>
      <c r="NMM291" s="1069"/>
      <c r="NMN291" s="1069"/>
      <c r="NMO291" s="1069"/>
      <c r="NMP291" s="1069"/>
      <c r="NMQ291" s="1069"/>
      <c r="NMR291" s="1069"/>
      <c r="NMS291" s="1069"/>
      <c r="NMT291" s="1069"/>
      <c r="NMU291" s="1069"/>
      <c r="NMV291" s="1069"/>
      <c r="NMW291" s="1069"/>
      <c r="NMX291" s="1069"/>
      <c r="NMY291" s="1069"/>
      <c r="NMZ291" s="1069"/>
      <c r="NNA291" s="1069"/>
      <c r="NNB291" s="1069"/>
      <c r="NNC291" s="1069"/>
      <c r="NND291" s="1069"/>
      <c r="NNE291" s="1069"/>
      <c r="NNF291" s="1069"/>
      <c r="NNG291" s="1069"/>
      <c r="NNH291" s="1069"/>
      <c r="NNI291" s="1069"/>
      <c r="NNJ291" s="1069"/>
      <c r="NNK291" s="1069"/>
      <c r="NNL291" s="1069"/>
      <c r="NNM291" s="1069"/>
      <c r="NNN291" s="1069"/>
      <c r="NNO291" s="1069"/>
      <c r="NNP291" s="1069"/>
      <c r="NNQ291" s="1069"/>
      <c r="NNR291" s="1069"/>
      <c r="NNS291" s="1069"/>
      <c r="NNT291" s="1069"/>
      <c r="NNU291" s="1069"/>
      <c r="NNV291" s="1069"/>
      <c r="NNW291" s="1069"/>
      <c r="NNX291" s="1069"/>
      <c r="NNY291" s="1069"/>
      <c r="NNZ291" s="1069"/>
      <c r="NOA291" s="1069"/>
      <c r="NOB291" s="1069"/>
      <c r="NOC291" s="1069"/>
      <c r="NOD291" s="1069"/>
      <c r="NOE291" s="1069"/>
      <c r="NOF291" s="1069"/>
      <c r="NOG291" s="1069"/>
      <c r="NOH291" s="1069"/>
      <c r="NOI291" s="1069"/>
      <c r="NOJ291" s="1069"/>
      <c r="NOK291" s="1069"/>
      <c r="NOL291" s="1069"/>
      <c r="NOM291" s="1069"/>
      <c r="NON291" s="1069"/>
      <c r="NOO291" s="1069"/>
      <c r="NOP291" s="1069"/>
      <c r="NOQ291" s="1069"/>
      <c r="NOR291" s="1069"/>
      <c r="NOS291" s="1069"/>
      <c r="NOT291" s="1069"/>
      <c r="NOU291" s="1069"/>
      <c r="NOV291" s="1069"/>
      <c r="NOW291" s="1069"/>
      <c r="NOX291" s="1069"/>
      <c r="NOY291" s="1069"/>
      <c r="NOZ291" s="1069"/>
      <c r="NPA291" s="1069"/>
      <c r="NPB291" s="1069"/>
      <c r="NPC291" s="1069"/>
      <c r="NPD291" s="1069"/>
      <c r="NPE291" s="1069"/>
      <c r="NPF291" s="1069"/>
      <c r="NPG291" s="1069"/>
      <c r="NPH291" s="1069"/>
      <c r="NPI291" s="1069"/>
      <c r="NPJ291" s="1069"/>
      <c r="NPK291" s="1069"/>
      <c r="NPL291" s="1069"/>
      <c r="NPM291" s="1069"/>
      <c r="NPN291" s="1069"/>
      <c r="NPO291" s="1069"/>
      <c r="NPP291" s="1069"/>
      <c r="NPQ291" s="1069"/>
      <c r="NPR291" s="1069"/>
      <c r="NPS291" s="1069"/>
      <c r="NPT291" s="1069"/>
      <c r="NPU291" s="1069"/>
      <c r="NPV291" s="1069"/>
      <c r="NPW291" s="1069"/>
      <c r="NPX291" s="1069"/>
      <c r="NPY291" s="1069"/>
      <c r="NPZ291" s="1069"/>
      <c r="NQA291" s="1069"/>
      <c r="NQB291" s="1069"/>
      <c r="NQC291" s="1069"/>
      <c r="NQD291" s="1069"/>
      <c r="NQE291" s="1069"/>
      <c r="NQF291" s="1069"/>
      <c r="NQG291" s="1069"/>
      <c r="NQH291" s="1069"/>
      <c r="NQI291" s="1069"/>
      <c r="NQJ291" s="1069"/>
      <c r="NQK291" s="1069"/>
      <c r="NQL291" s="1069"/>
      <c r="NQM291" s="1069"/>
      <c r="NQN291" s="1069"/>
      <c r="NQO291" s="1069"/>
      <c r="NQP291" s="1069"/>
      <c r="NQQ291" s="1069"/>
      <c r="NQR291" s="1069"/>
      <c r="NQS291" s="1069"/>
      <c r="NQT291" s="1069"/>
      <c r="NQU291" s="1069"/>
      <c r="NQV291" s="1069"/>
      <c r="NQW291" s="1069"/>
      <c r="NQX291" s="1069"/>
      <c r="NQY291" s="1069"/>
      <c r="NQZ291" s="1069"/>
      <c r="NRA291" s="1069"/>
      <c r="NRB291" s="1069"/>
      <c r="NRC291" s="1069"/>
      <c r="NRD291" s="1069"/>
      <c r="NRE291" s="1069"/>
      <c r="NRF291" s="1069"/>
      <c r="NRG291" s="1069"/>
      <c r="NRH291" s="1069"/>
      <c r="NRI291" s="1069"/>
      <c r="NRJ291" s="1069"/>
      <c r="NRK291" s="1069"/>
      <c r="NRL291" s="1069"/>
      <c r="NRM291" s="1069"/>
      <c r="NRN291" s="1069"/>
      <c r="NRO291" s="1069"/>
      <c r="NRP291" s="1069"/>
      <c r="NRQ291" s="1069"/>
      <c r="NRR291" s="1069"/>
      <c r="NRS291" s="1069"/>
      <c r="NRT291" s="1069"/>
      <c r="NRU291" s="1069"/>
      <c r="NRV291" s="1069"/>
      <c r="NRW291" s="1069"/>
      <c r="NRX291" s="1069"/>
      <c r="NRY291" s="1069"/>
      <c r="NRZ291" s="1069"/>
      <c r="NSA291" s="1069"/>
      <c r="NSB291" s="1069"/>
      <c r="NSC291" s="1069"/>
      <c r="NSD291" s="1069"/>
      <c r="NSE291" s="1069"/>
      <c r="NSF291" s="1069"/>
      <c r="NSG291" s="1069"/>
      <c r="NSH291" s="1069"/>
      <c r="NSI291" s="1069"/>
      <c r="NSJ291" s="1069"/>
      <c r="NSK291" s="1069"/>
      <c r="NSL291" s="1069"/>
      <c r="NSM291" s="1069"/>
      <c r="NSN291" s="1069"/>
      <c r="NSO291" s="1069"/>
      <c r="NSP291" s="1069"/>
      <c r="NSQ291" s="1069"/>
      <c r="NSR291" s="1069"/>
      <c r="NSS291" s="1069"/>
      <c r="NST291" s="1069"/>
      <c r="NSU291" s="1069"/>
      <c r="NSV291" s="1069"/>
      <c r="NSW291" s="1069"/>
      <c r="NSX291" s="1069"/>
      <c r="NSY291" s="1069"/>
      <c r="NSZ291" s="1069"/>
      <c r="NTA291" s="1069"/>
      <c r="NTB291" s="1069"/>
      <c r="NTC291" s="1069"/>
      <c r="NTD291" s="1069"/>
      <c r="NTE291" s="1069"/>
      <c r="NTF291" s="1069"/>
      <c r="NTG291" s="1069"/>
      <c r="NTH291" s="1069"/>
      <c r="NTI291" s="1069"/>
      <c r="NTJ291" s="1069"/>
      <c r="NTK291" s="1069"/>
      <c r="NTL291" s="1069"/>
      <c r="NTM291" s="1069"/>
      <c r="NTN291" s="1069"/>
      <c r="NTO291" s="1069"/>
      <c r="NTP291" s="1069"/>
      <c r="NTQ291" s="1069"/>
      <c r="NTR291" s="1069"/>
      <c r="NTS291" s="1069"/>
      <c r="NTT291" s="1069"/>
      <c r="NTU291" s="1069"/>
      <c r="NTV291" s="1069"/>
      <c r="NTW291" s="1069"/>
      <c r="NTX291" s="1069"/>
      <c r="NTY291" s="1069"/>
      <c r="NTZ291" s="1069"/>
      <c r="NUA291" s="1069"/>
      <c r="NUB291" s="1069"/>
      <c r="NUC291" s="1069"/>
      <c r="NUD291" s="1069"/>
      <c r="NUE291" s="1069"/>
      <c r="NUF291" s="1069"/>
      <c r="NUG291" s="1069"/>
      <c r="NUH291" s="1069"/>
      <c r="NUI291" s="1069"/>
      <c r="NUJ291" s="1069"/>
      <c r="NUK291" s="1069"/>
      <c r="NUL291" s="1069"/>
      <c r="NUM291" s="1069"/>
      <c r="NUN291" s="1069"/>
      <c r="NUO291" s="1069"/>
      <c r="NUP291" s="1069"/>
      <c r="NUQ291" s="1069"/>
      <c r="NUR291" s="1069"/>
      <c r="NUS291" s="1069"/>
      <c r="NUT291" s="1069"/>
      <c r="NUU291" s="1069"/>
      <c r="NUV291" s="1069"/>
      <c r="NUW291" s="1069"/>
      <c r="NUX291" s="1069"/>
      <c r="NUY291" s="1069"/>
      <c r="NUZ291" s="1069"/>
      <c r="NVA291" s="1069"/>
      <c r="NVB291" s="1069"/>
      <c r="NVC291" s="1069"/>
      <c r="NVD291" s="1069"/>
      <c r="NVE291" s="1069"/>
      <c r="NVF291" s="1069"/>
      <c r="NVG291" s="1069"/>
      <c r="NVH291" s="1069"/>
      <c r="NVI291" s="1069"/>
      <c r="NVJ291" s="1069"/>
      <c r="NVK291" s="1069"/>
      <c r="NVL291" s="1069"/>
      <c r="NVM291" s="1069"/>
      <c r="NVN291" s="1069"/>
      <c r="NVO291" s="1069"/>
      <c r="NVP291" s="1069"/>
      <c r="NVQ291" s="1069"/>
      <c r="NVR291" s="1069"/>
      <c r="NVS291" s="1069"/>
      <c r="NVT291" s="1069"/>
      <c r="NVU291" s="1069"/>
      <c r="NVV291" s="1069"/>
      <c r="NVW291" s="1069"/>
      <c r="NVX291" s="1069"/>
      <c r="NVY291" s="1069"/>
      <c r="NVZ291" s="1069"/>
      <c r="NWA291" s="1069"/>
      <c r="NWB291" s="1069"/>
      <c r="NWC291" s="1069"/>
      <c r="NWD291" s="1069"/>
      <c r="NWE291" s="1069"/>
      <c r="NWF291" s="1069"/>
      <c r="NWG291" s="1069"/>
      <c r="NWH291" s="1069"/>
      <c r="NWI291" s="1069"/>
      <c r="NWJ291" s="1069"/>
      <c r="NWK291" s="1069"/>
      <c r="NWL291" s="1069"/>
      <c r="NWM291" s="1069"/>
      <c r="NWN291" s="1069"/>
      <c r="NWO291" s="1069"/>
      <c r="NWP291" s="1069"/>
      <c r="NWQ291" s="1069"/>
      <c r="NWR291" s="1069"/>
      <c r="NWS291" s="1069"/>
      <c r="NWT291" s="1069"/>
      <c r="NWU291" s="1069"/>
      <c r="NWV291" s="1069"/>
      <c r="NWW291" s="1069"/>
      <c r="NWX291" s="1069"/>
      <c r="NWY291" s="1069"/>
      <c r="NWZ291" s="1069"/>
      <c r="NXA291" s="1069"/>
      <c r="NXB291" s="1069"/>
      <c r="NXC291" s="1069"/>
      <c r="NXD291" s="1069"/>
      <c r="NXE291" s="1069"/>
      <c r="NXF291" s="1069"/>
      <c r="NXG291" s="1069"/>
      <c r="NXH291" s="1069"/>
      <c r="NXI291" s="1069"/>
      <c r="NXJ291" s="1069"/>
      <c r="NXK291" s="1069"/>
      <c r="NXL291" s="1069"/>
      <c r="NXM291" s="1069"/>
      <c r="NXN291" s="1069"/>
      <c r="NXO291" s="1069"/>
      <c r="NXP291" s="1069"/>
      <c r="NXQ291" s="1069"/>
      <c r="NXR291" s="1069"/>
      <c r="NXS291" s="1069"/>
      <c r="NXT291" s="1069"/>
      <c r="NXU291" s="1069"/>
      <c r="NXV291" s="1069"/>
      <c r="NXW291" s="1069"/>
      <c r="NXX291" s="1069"/>
      <c r="NXY291" s="1069"/>
      <c r="NXZ291" s="1069"/>
      <c r="NYA291" s="1069"/>
      <c r="NYB291" s="1069"/>
      <c r="NYC291" s="1069"/>
      <c r="NYD291" s="1069"/>
      <c r="NYE291" s="1069"/>
      <c r="NYF291" s="1069"/>
      <c r="NYG291" s="1069"/>
      <c r="NYH291" s="1069"/>
      <c r="NYI291" s="1069"/>
      <c r="NYJ291" s="1069"/>
      <c r="NYK291" s="1069"/>
      <c r="NYL291" s="1069"/>
      <c r="NYM291" s="1069"/>
      <c r="NYN291" s="1069"/>
      <c r="NYO291" s="1069"/>
      <c r="NYP291" s="1069"/>
      <c r="NYQ291" s="1069"/>
      <c r="NYR291" s="1069"/>
      <c r="NYS291" s="1069"/>
      <c r="NYT291" s="1069"/>
      <c r="NYU291" s="1069"/>
      <c r="NYV291" s="1069"/>
      <c r="NYW291" s="1069"/>
      <c r="NYX291" s="1069"/>
      <c r="NYY291" s="1069"/>
      <c r="NYZ291" s="1069"/>
      <c r="NZA291" s="1069"/>
      <c r="NZB291" s="1069"/>
      <c r="NZC291" s="1069"/>
      <c r="NZD291" s="1069"/>
      <c r="NZE291" s="1069"/>
      <c r="NZF291" s="1069"/>
      <c r="NZG291" s="1069"/>
      <c r="NZH291" s="1069"/>
      <c r="NZI291" s="1069"/>
      <c r="NZJ291" s="1069"/>
      <c r="NZK291" s="1069"/>
      <c r="NZL291" s="1069"/>
      <c r="NZM291" s="1069"/>
      <c r="NZN291" s="1069"/>
      <c r="NZO291" s="1069"/>
      <c r="NZP291" s="1069"/>
      <c r="NZQ291" s="1069"/>
      <c r="NZR291" s="1069"/>
      <c r="NZS291" s="1069"/>
      <c r="NZT291" s="1069"/>
      <c r="NZU291" s="1069"/>
      <c r="NZV291" s="1069"/>
      <c r="NZW291" s="1069"/>
      <c r="NZX291" s="1069"/>
      <c r="NZY291" s="1069"/>
      <c r="NZZ291" s="1069"/>
      <c r="OAA291" s="1069"/>
      <c r="OAB291" s="1069"/>
      <c r="OAC291" s="1069"/>
      <c r="OAD291" s="1069"/>
      <c r="OAE291" s="1069"/>
      <c r="OAF291" s="1069"/>
      <c r="OAG291" s="1069"/>
      <c r="OAH291" s="1069"/>
      <c r="OAI291" s="1069"/>
      <c r="OAJ291" s="1069"/>
      <c r="OAK291" s="1069"/>
      <c r="OAL291" s="1069"/>
      <c r="OAM291" s="1069"/>
      <c r="OAN291" s="1069"/>
      <c r="OAO291" s="1069"/>
      <c r="OAP291" s="1069"/>
      <c r="OAQ291" s="1069"/>
      <c r="OAR291" s="1069"/>
      <c r="OAS291" s="1069"/>
      <c r="OAT291" s="1069"/>
      <c r="OAU291" s="1069"/>
      <c r="OAV291" s="1069"/>
      <c r="OAW291" s="1069"/>
      <c r="OAX291" s="1069"/>
      <c r="OAY291" s="1069"/>
      <c r="OAZ291" s="1069"/>
      <c r="OBA291" s="1069"/>
      <c r="OBB291" s="1069"/>
      <c r="OBC291" s="1069"/>
      <c r="OBD291" s="1069"/>
      <c r="OBE291" s="1069"/>
      <c r="OBF291" s="1069"/>
      <c r="OBG291" s="1069"/>
      <c r="OBH291" s="1069"/>
      <c r="OBI291" s="1069"/>
      <c r="OBJ291" s="1069"/>
      <c r="OBK291" s="1069"/>
      <c r="OBL291" s="1069"/>
      <c r="OBM291" s="1069"/>
      <c r="OBN291" s="1069"/>
      <c r="OBO291" s="1069"/>
      <c r="OBP291" s="1069"/>
      <c r="OBQ291" s="1069"/>
      <c r="OBR291" s="1069"/>
      <c r="OBS291" s="1069"/>
      <c r="OBT291" s="1069"/>
      <c r="OBU291" s="1069"/>
      <c r="OBV291" s="1069"/>
      <c r="OBW291" s="1069"/>
      <c r="OBX291" s="1069"/>
      <c r="OBY291" s="1069"/>
      <c r="OBZ291" s="1069"/>
      <c r="OCA291" s="1069"/>
      <c r="OCB291" s="1069"/>
      <c r="OCC291" s="1069"/>
      <c r="OCD291" s="1069"/>
      <c r="OCE291" s="1069"/>
      <c r="OCF291" s="1069"/>
      <c r="OCG291" s="1069"/>
      <c r="OCH291" s="1069"/>
      <c r="OCI291" s="1069"/>
      <c r="OCJ291" s="1069"/>
      <c r="OCK291" s="1069"/>
      <c r="OCL291" s="1069"/>
      <c r="OCM291" s="1069"/>
      <c r="OCN291" s="1069"/>
      <c r="OCO291" s="1069"/>
      <c r="OCP291" s="1069"/>
      <c r="OCQ291" s="1069"/>
      <c r="OCR291" s="1069"/>
      <c r="OCS291" s="1069"/>
      <c r="OCT291" s="1069"/>
      <c r="OCU291" s="1069"/>
      <c r="OCV291" s="1069"/>
      <c r="OCW291" s="1069"/>
      <c r="OCX291" s="1069"/>
      <c r="OCY291" s="1069"/>
      <c r="OCZ291" s="1069"/>
      <c r="ODA291" s="1069"/>
      <c r="ODB291" s="1069"/>
      <c r="ODC291" s="1069"/>
      <c r="ODD291" s="1069"/>
      <c r="ODE291" s="1069"/>
      <c r="ODF291" s="1069"/>
      <c r="ODG291" s="1069"/>
      <c r="ODH291" s="1069"/>
      <c r="ODI291" s="1069"/>
      <c r="ODJ291" s="1069"/>
      <c r="ODK291" s="1069"/>
      <c r="ODL291" s="1069"/>
      <c r="ODM291" s="1069"/>
      <c r="ODN291" s="1069"/>
      <c r="ODO291" s="1069"/>
      <c r="ODP291" s="1069"/>
      <c r="ODQ291" s="1069"/>
      <c r="ODR291" s="1069"/>
      <c r="ODS291" s="1069"/>
      <c r="ODT291" s="1069"/>
      <c r="ODU291" s="1069"/>
      <c r="ODV291" s="1069"/>
      <c r="ODW291" s="1069"/>
      <c r="ODX291" s="1069"/>
      <c r="ODY291" s="1069"/>
      <c r="ODZ291" s="1069"/>
      <c r="OEA291" s="1069"/>
      <c r="OEB291" s="1069"/>
      <c r="OEC291" s="1069"/>
      <c r="OED291" s="1069"/>
      <c r="OEE291" s="1069"/>
      <c r="OEF291" s="1069"/>
      <c r="OEG291" s="1069"/>
      <c r="OEH291" s="1069"/>
      <c r="OEI291" s="1069"/>
      <c r="OEJ291" s="1069"/>
      <c r="OEK291" s="1069"/>
      <c r="OEL291" s="1069"/>
      <c r="OEM291" s="1069"/>
      <c r="OEN291" s="1069"/>
      <c r="OEO291" s="1069"/>
      <c r="OEP291" s="1069"/>
      <c r="OEQ291" s="1069"/>
      <c r="OER291" s="1069"/>
      <c r="OES291" s="1069"/>
      <c r="OET291" s="1069"/>
      <c r="OEU291" s="1069"/>
      <c r="OEV291" s="1069"/>
      <c r="OEW291" s="1069"/>
      <c r="OEX291" s="1069"/>
      <c r="OEY291" s="1069"/>
      <c r="OEZ291" s="1069"/>
      <c r="OFA291" s="1069"/>
      <c r="OFB291" s="1069"/>
      <c r="OFC291" s="1069"/>
      <c r="OFD291" s="1069"/>
      <c r="OFE291" s="1069"/>
      <c r="OFF291" s="1069"/>
      <c r="OFG291" s="1069"/>
      <c r="OFH291" s="1069"/>
      <c r="OFI291" s="1069"/>
      <c r="OFJ291" s="1069"/>
      <c r="OFK291" s="1069"/>
      <c r="OFL291" s="1069"/>
      <c r="OFM291" s="1069"/>
      <c r="OFN291" s="1069"/>
      <c r="OFO291" s="1069"/>
      <c r="OFP291" s="1069"/>
      <c r="OFQ291" s="1069"/>
      <c r="OFR291" s="1069"/>
      <c r="OFS291" s="1069"/>
      <c r="OFT291" s="1069"/>
      <c r="OFU291" s="1069"/>
      <c r="OFV291" s="1069"/>
      <c r="OFW291" s="1069"/>
      <c r="OFX291" s="1069"/>
      <c r="OFY291" s="1069"/>
      <c r="OFZ291" s="1069"/>
      <c r="OGA291" s="1069"/>
      <c r="OGB291" s="1069"/>
      <c r="OGC291" s="1069"/>
      <c r="OGD291" s="1069"/>
      <c r="OGE291" s="1069"/>
      <c r="OGF291" s="1069"/>
      <c r="OGG291" s="1069"/>
      <c r="OGH291" s="1069"/>
      <c r="OGI291" s="1069"/>
      <c r="OGJ291" s="1069"/>
      <c r="OGK291" s="1069"/>
      <c r="OGL291" s="1069"/>
      <c r="OGM291" s="1069"/>
      <c r="OGN291" s="1069"/>
      <c r="OGO291" s="1069"/>
      <c r="OGP291" s="1069"/>
      <c r="OGQ291" s="1069"/>
      <c r="OGR291" s="1069"/>
      <c r="OGS291" s="1069"/>
      <c r="OGT291" s="1069"/>
      <c r="OGU291" s="1069"/>
      <c r="OGV291" s="1069"/>
      <c r="OGW291" s="1069"/>
      <c r="OGX291" s="1069"/>
      <c r="OGY291" s="1069"/>
      <c r="OGZ291" s="1069"/>
      <c r="OHA291" s="1069"/>
      <c r="OHB291" s="1069"/>
      <c r="OHC291" s="1069"/>
      <c r="OHD291" s="1069"/>
      <c r="OHE291" s="1069"/>
      <c r="OHF291" s="1069"/>
      <c r="OHG291" s="1069"/>
      <c r="OHH291" s="1069"/>
      <c r="OHI291" s="1069"/>
      <c r="OHJ291" s="1069"/>
      <c r="OHK291" s="1069"/>
      <c r="OHL291" s="1069"/>
      <c r="OHM291" s="1069"/>
      <c r="OHN291" s="1069"/>
      <c r="OHO291" s="1069"/>
      <c r="OHP291" s="1069"/>
      <c r="OHQ291" s="1069"/>
      <c r="OHR291" s="1069"/>
      <c r="OHS291" s="1069"/>
      <c r="OHT291" s="1069"/>
      <c r="OHU291" s="1069"/>
      <c r="OHV291" s="1069"/>
      <c r="OHW291" s="1069"/>
      <c r="OHX291" s="1069"/>
      <c r="OHY291" s="1069"/>
      <c r="OHZ291" s="1069"/>
      <c r="OIA291" s="1069"/>
      <c r="OIB291" s="1069"/>
      <c r="OIC291" s="1069"/>
      <c r="OID291" s="1069"/>
      <c r="OIE291" s="1069"/>
      <c r="OIF291" s="1069"/>
      <c r="OIG291" s="1069"/>
      <c r="OIH291" s="1069"/>
      <c r="OII291" s="1069"/>
      <c r="OIJ291" s="1069"/>
      <c r="OIK291" s="1069"/>
      <c r="OIL291" s="1069"/>
      <c r="OIM291" s="1069"/>
      <c r="OIN291" s="1069"/>
      <c r="OIO291" s="1069"/>
      <c r="OIP291" s="1069"/>
      <c r="OIQ291" s="1069"/>
      <c r="OIR291" s="1069"/>
      <c r="OIS291" s="1069"/>
      <c r="OIT291" s="1069"/>
      <c r="OIU291" s="1069"/>
      <c r="OIV291" s="1069"/>
      <c r="OIW291" s="1069"/>
      <c r="OIX291" s="1069"/>
      <c r="OIY291" s="1069"/>
      <c r="OIZ291" s="1069"/>
      <c r="OJA291" s="1069"/>
      <c r="OJB291" s="1069"/>
      <c r="OJC291" s="1069"/>
      <c r="OJD291" s="1069"/>
      <c r="OJE291" s="1069"/>
      <c r="OJF291" s="1069"/>
      <c r="OJG291" s="1069"/>
      <c r="OJH291" s="1069"/>
      <c r="OJI291" s="1069"/>
      <c r="OJJ291" s="1069"/>
      <c r="OJK291" s="1069"/>
      <c r="OJL291" s="1069"/>
      <c r="OJM291" s="1069"/>
      <c r="OJN291" s="1069"/>
      <c r="OJO291" s="1069"/>
      <c r="OJP291" s="1069"/>
      <c r="OJQ291" s="1069"/>
      <c r="OJR291" s="1069"/>
      <c r="OJS291" s="1069"/>
      <c r="OJT291" s="1069"/>
      <c r="OJU291" s="1069"/>
      <c r="OJV291" s="1069"/>
      <c r="OJW291" s="1069"/>
      <c r="OJX291" s="1069"/>
      <c r="OJY291" s="1069"/>
      <c r="OJZ291" s="1069"/>
      <c r="OKA291" s="1069"/>
      <c r="OKB291" s="1069"/>
      <c r="OKC291" s="1069"/>
      <c r="OKD291" s="1069"/>
      <c r="OKE291" s="1069"/>
      <c r="OKF291" s="1069"/>
      <c r="OKG291" s="1069"/>
      <c r="OKH291" s="1069"/>
      <c r="OKI291" s="1069"/>
      <c r="OKJ291" s="1069"/>
      <c r="OKK291" s="1069"/>
      <c r="OKL291" s="1069"/>
      <c r="OKM291" s="1069"/>
      <c r="OKN291" s="1069"/>
      <c r="OKO291" s="1069"/>
      <c r="OKP291" s="1069"/>
      <c r="OKQ291" s="1069"/>
      <c r="OKR291" s="1069"/>
      <c r="OKS291" s="1069"/>
      <c r="OKT291" s="1069"/>
      <c r="OKU291" s="1069"/>
      <c r="OKV291" s="1069"/>
      <c r="OKW291" s="1069"/>
      <c r="OKX291" s="1069"/>
      <c r="OKY291" s="1069"/>
      <c r="OKZ291" s="1069"/>
      <c r="OLA291" s="1069"/>
      <c r="OLB291" s="1069"/>
      <c r="OLC291" s="1069"/>
      <c r="OLD291" s="1069"/>
      <c r="OLE291" s="1069"/>
      <c r="OLF291" s="1069"/>
      <c r="OLG291" s="1069"/>
      <c r="OLH291" s="1069"/>
      <c r="OLI291" s="1069"/>
      <c r="OLJ291" s="1069"/>
      <c r="OLK291" s="1069"/>
      <c r="OLL291" s="1069"/>
      <c r="OLM291" s="1069"/>
      <c r="OLN291" s="1069"/>
      <c r="OLO291" s="1069"/>
      <c r="OLP291" s="1069"/>
      <c r="OLQ291" s="1069"/>
      <c r="OLR291" s="1069"/>
      <c r="OLS291" s="1069"/>
      <c r="OLT291" s="1069"/>
      <c r="OLU291" s="1069"/>
      <c r="OLV291" s="1069"/>
      <c r="OLW291" s="1069"/>
      <c r="OLX291" s="1069"/>
      <c r="OLY291" s="1069"/>
      <c r="OLZ291" s="1069"/>
      <c r="OMA291" s="1069"/>
      <c r="OMB291" s="1069"/>
      <c r="OMC291" s="1069"/>
      <c r="OMD291" s="1069"/>
      <c r="OME291" s="1069"/>
      <c r="OMF291" s="1069"/>
      <c r="OMG291" s="1069"/>
      <c r="OMH291" s="1069"/>
      <c r="OMI291" s="1069"/>
      <c r="OMJ291" s="1069"/>
      <c r="OMK291" s="1069"/>
      <c r="OML291" s="1069"/>
      <c r="OMM291" s="1069"/>
      <c r="OMN291" s="1069"/>
      <c r="OMO291" s="1069"/>
      <c r="OMP291" s="1069"/>
      <c r="OMQ291" s="1069"/>
      <c r="OMR291" s="1069"/>
      <c r="OMS291" s="1069"/>
      <c r="OMT291" s="1069"/>
      <c r="OMU291" s="1069"/>
      <c r="OMV291" s="1069"/>
      <c r="OMW291" s="1069"/>
      <c r="OMX291" s="1069"/>
      <c r="OMY291" s="1069"/>
      <c r="OMZ291" s="1069"/>
      <c r="ONA291" s="1069"/>
      <c r="ONB291" s="1069"/>
      <c r="ONC291" s="1069"/>
      <c r="OND291" s="1069"/>
      <c r="ONE291" s="1069"/>
      <c r="ONF291" s="1069"/>
      <c r="ONG291" s="1069"/>
      <c r="ONH291" s="1069"/>
      <c r="ONI291" s="1069"/>
      <c r="ONJ291" s="1069"/>
      <c r="ONK291" s="1069"/>
      <c r="ONL291" s="1069"/>
      <c r="ONM291" s="1069"/>
      <c r="ONN291" s="1069"/>
      <c r="ONO291" s="1069"/>
      <c r="ONP291" s="1069"/>
      <c r="ONQ291" s="1069"/>
      <c r="ONR291" s="1069"/>
      <c r="ONS291" s="1069"/>
      <c r="ONT291" s="1069"/>
      <c r="ONU291" s="1069"/>
      <c r="ONV291" s="1069"/>
      <c r="ONW291" s="1069"/>
      <c r="ONX291" s="1069"/>
      <c r="ONY291" s="1069"/>
      <c r="ONZ291" s="1069"/>
      <c r="OOA291" s="1069"/>
      <c r="OOB291" s="1069"/>
      <c r="OOC291" s="1069"/>
      <c r="OOD291" s="1069"/>
      <c r="OOE291" s="1069"/>
      <c r="OOF291" s="1069"/>
      <c r="OOG291" s="1069"/>
      <c r="OOH291" s="1069"/>
      <c r="OOI291" s="1069"/>
      <c r="OOJ291" s="1069"/>
      <c r="OOK291" s="1069"/>
      <c r="OOL291" s="1069"/>
      <c r="OOM291" s="1069"/>
      <c r="OON291" s="1069"/>
      <c r="OOO291" s="1069"/>
      <c r="OOP291" s="1069"/>
      <c r="OOQ291" s="1069"/>
      <c r="OOR291" s="1069"/>
      <c r="OOS291" s="1069"/>
      <c r="OOT291" s="1069"/>
      <c r="OOU291" s="1069"/>
      <c r="OOV291" s="1069"/>
      <c r="OOW291" s="1069"/>
      <c r="OOX291" s="1069"/>
      <c r="OOY291" s="1069"/>
      <c r="OOZ291" s="1069"/>
      <c r="OPA291" s="1069"/>
      <c r="OPB291" s="1069"/>
      <c r="OPC291" s="1069"/>
      <c r="OPD291" s="1069"/>
      <c r="OPE291" s="1069"/>
      <c r="OPF291" s="1069"/>
      <c r="OPG291" s="1069"/>
      <c r="OPH291" s="1069"/>
      <c r="OPI291" s="1069"/>
      <c r="OPJ291" s="1069"/>
      <c r="OPK291" s="1069"/>
      <c r="OPL291" s="1069"/>
      <c r="OPM291" s="1069"/>
      <c r="OPN291" s="1069"/>
      <c r="OPO291" s="1069"/>
      <c r="OPP291" s="1069"/>
      <c r="OPQ291" s="1069"/>
      <c r="OPR291" s="1069"/>
      <c r="OPS291" s="1069"/>
      <c r="OPT291" s="1069"/>
      <c r="OPU291" s="1069"/>
      <c r="OPV291" s="1069"/>
      <c r="OPW291" s="1069"/>
      <c r="OPX291" s="1069"/>
      <c r="OPY291" s="1069"/>
      <c r="OPZ291" s="1069"/>
      <c r="OQA291" s="1069"/>
      <c r="OQB291" s="1069"/>
      <c r="OQC291" s="1069"/>
      <c r="OQD291" s="1069"/>
      <c r="OQE291" s="1069"/>
      <c r="OQF291" s="1069"/>
      <c r="OQG291" s="1069"/>
      <c r="OQH291" s="1069"/>
      <c r="OQI291" s="1069"/>
      <c r="OQJ291" s="1069"/>
      <c r="OQK291" s="1069"/>
      <c r="OQL291" s="1069"/>
      <c r="OQM291" s="1069"/>
      <c r="OQN291" s="1069"/>
      <c r="OQO291" s="1069"/>
      <c r="OQP291" s="1069"/>
      <c r="OQQ291" s="1069"/>
      <c r="OQR291" s="1069"/>
      <c r="OQS291" s="1069"/>
      <c r="OQT291" s="1069"/>
      <c r="OQU291" s="1069"/>
      <c r="OQV291" s="1069"/>
      <c r="OQW291" s="1069"/>
      <c r="OQX291" s="1069"/>
      <c r="OQY291" s="1069"/>
      <c r="OQZ291" s="1069"/>
      <c r="ORA291" s="1069"/>
      <c r="ORB291" s="1069"/>
      <c r="ORC291" s="1069"/>
      <c r="ORD291" s="1069"/>
      <c r="ORE291" s="1069"/>
      <c r="ORF291" s="1069"/>
      <c r="ORG291" s="1069"/>
      <c r="ORH291" s="1069"/>
      <c r="ORI291" s="1069"/>
      <c r="ORJ291" s="1069"/>
      <c r="ORK291" s="1069"/>
      <c r="ORL291" s="1069"/>
      <c r="ORM291" s="1069"/>
      <c r="ORN291" s="1069"/>
      <c r="ORO291" s="1069"/>
      <c r="ORP291" s="1069"/>
      <c r="ORQ291" s="1069"/>
      <c r="ORR291" s="1069"/>
      <c r="ORS291" s="1069"/>
      <c r="ORT291" s="1069"/>
      <c r="ORU291" s="1069"/>
      <c r="ORV291" s="1069"/>
      <c r="ORW291" s="1069"/>
      <c r="ORX291" s="1069"/>
      <c r="ORY291" s="1069"/>
      <c r="ORZ291" s="1069"/>
      <c r="OSA291" s="1069"/>
      <c r="OSB291" s="1069"/>
      <c r="OSC291" s="1069"/>
      <c r="OSD291" s="1069"/>
      <c r="OSE291" s="1069"/>
      <c r="OSF291" s="1069"/>
      <c r="OSG291" s="1069"/>
      <c r="OSH291" s="1069"/>
      <c r="OSI291" s="1069"/>
      <c r="OSJ291" s="1069"/>
      <c r="OSK291" s="1069"/>
      <c r="OSL291" s="1069"/>
      <c r="OSM291" s="1069"/>
      <c r="OSN291" s="1069"/>
      <c r="OSO291" s="1069"/>
      <c r="OSP291" s="1069"/>
      <c r="OSQ291" s="1069"/>
      <c r="OSR291" s="1069"/>
      <c r="OSS291" s="1069"/>
      <c r="OST291" s="1069"/>
      <c r="OSU291" s="1069"/>
      <c r="OSV291" s="1069"/>
      <c r="OSW291" s="1069"/>
      <c r="OSX291" s="1069"/>
      <c r="OSY291" s="1069"/>
      <c r="OSZ291" s="1069"/>
      <c r="OTA291" s="1069"/>
      <c r="OTB291" s="1069"/>
      <c r="OTC291" s="1069"/>
      <c r="OTD291" s="1069"/>
      <c r="OTE291" s="1069"/>
      <c r="OTF291" s="1069"/>
      <c r="OTG291" s="1069"/>
      <c r="OTH291" s="1069"/>
      <c r="OTI291" s="1069"/>
      <c r="OTJ291" s="1069"/>
      <c r="OTK291" s="1069"/>
      <c r="OTL291" s="1069"/>
      <c r="OTM291" s="1069"/>
      <c r="OTN291" s="1069"/>
      <c r="OTO291" s="1069"/>
      <c r="OTP291" s="1069"/>
      <c r="OTQ291" s="1069"/>
      <c r="OTR291" s="1069"/>
      <c r="OTS291" s="1069"/>
      <c r="OTT291" s="1069"/>
      <c r="OTU291" s="1069"/>
      <c r="OTV291" s="1069"/>
      <c r="OTW291" s="1069"/>
      <c r="OTX291" s="1069"/>
      <c r="OTY291" s="1069"/>
      <c r="OTZ291" s="1069"/>
      <c r="OUA291" s="1069"/>
      <c r="OUB291" s="1069"/>
      <c r="OUC291" s="1069"/>
      <c r="OUD291" s="1069"/>
      <c r="OUE291" s="1069"/>
      <c r="OUF291" s="1069"/>
      <c r="OUG291" s="1069"/>
      <c r="OUH291" s="1069"/>
      <c r="OUI291" s="1069"/>
      <c r="OUJ291" s="1069"/>
      <c r="OUK291" s="1069"/>
      <c r="OUL291" s="1069"/>
      <c r="OUM291" s="1069"/>
      <c r="OUN291" s="1069"/>
      <c r="OUO291" s="1069"/>
      <c r="OUP291" s="1069"/>
      <c r="OUQ291" s="1069"/>
      <c r="OUR291" s="1069"/>
      <c r="OUS291" s="1069"/>
      <c r="OUT291" s="1069"/>
      <c r="OUU291" s="1069"/>
      <c r="OUV291" s="1069"/>
      <c r="OUW291" s="1069"/>
      <c r="OUX291" s="1069"/>
      <c r="OUY291" s="1069"/>
      <c r="OUZ291" s="1069"/>
      <c r="OVA291" s="1069"/>
      <c r="OVB291" s="1069"/>
      <c r="OVC291" s="1069"/>
      <c r="OVD291" s="1069"/>
      <c r="OVE291" s="1069"/>
      <c r="OVF291" s="1069"/>
      <c r="OVG291" s="1069"/>
      <c r="OVH291" s="1069"/>
      <c r="OVI291" s="1069"/>
      <c r="OVJ291" s="1069"/>
      <c r="OVK291" s="1069"/>
      <c r="OVL291" s="1069"/>
      <c r="OVM291" s="1069"/>
      <c r="OVN291" s="1069"/>
      <c r="OVO291" s="1069"/>
      <c r="OVP291" s="1069"/>
      <c r="OVQ291" s="1069"/>
      <c r="OVR291" s="1069"/>
      <c r="OVS291" s="1069"/>
      <c r="OVT291" s="1069"/>
      <c r="OVU291" s="1069"/>
      <c r="OVV291" s="1069"/>
      <c r="OVW291" s="1069"/>
      <c r="OVX291" s="1069"/>
      <c r="OVY291" s="1069"/>
      <c r="OVZ291" s="1069"/>
      <c r="OWA291" s="1069"/>
      <c r="OWB291" s="1069"/>
      <c r="OWC291" s="1069"/>
      <c r="OWD291" s="1069"/>
      <c r="OWE291" s="1069"/>
      <c r="OWF291" s="1069"/>
      <c r="OWG291" s="1069"/>
      <c r="OWH291" s="1069"/>
      <c r="OWI291" s="1069"/>
      <c r="OWJ291" s="1069"/>
      <c r="OWK291" s="1069"/>
      <c r="OWL291" s="1069"/>
      <c r="OWM291" s="1069"/>
      <c r="OWN291" s="1069"/>
      <c r="OWO291" s="1069"/>
      <c r="OWP291" s="1069"/>
      <c r="OWQ291" s="1069"/>
      <c r="OWR291" s="1069"/>
      <c r="OWS291" s="1069"/>
      <c r="OWT291" s="1069"/>
      <c r="OWU291" s="1069"/>
      <c r="OWV291" s="1069"/>
      <c r="OWW291" s="1069"/>
      <c r="OWX291" s="1069"/>
      <c r="OWY291" s="1069"/>
      <c r="OWZ291" s="1069"/>
      <c r="OXA291" s="1069"/>
      <c r="OXB291" s="1069"/>
      <c r="OXC291" s="1069"/>
      <c r="OXD291" s="1069"/>
      <c r="OXE291" s="1069"/>
      <c r="OXF291" s="1069"/>
      <c r="OXG291" s="1069"/>
      <c r="OXH291" s="1069"/>
      <c r="OXI291" s="1069"/>
      <c r="OXJ291" s="1069"/>
      <c r="OXK291" s="1069"/>
      <c r="OXL291" s="1069"/>
      <c r="OXM291" s="1069"/>
      <c r="OXN291" s="1069"/>
      <c r="OXO291" s="1069"/>
      <c r="OXP291" s="1069"/>
      <c r="OXQ291" s="1069"/>
      <c r="OXR291" s="1069"/>
      <c r="OXS291" s="1069"/>
      <c r="OXT291" s="1069"/>
      <c r="OXU291" s="1069"/>
      <c r="OXV291" s="1069"/>
      <c r="OXW291" s="1069"/>
      <c r="OXX291" s="1069"/>
      <c r="OXY291" s="1069"/>
      <c r="OXZ291" s="1069"/>
      <c r="OYA291" s="1069"/>
      <c r="OYB291" s="1069"/>
      <c r="OYC291" s="1069"/>
      <c r="OYD291" s="1069"/>
      <c r="OYE291" s="1069"/>
      <c r="OYF291" s="1069"/>
      <c r="OYG291" s="1069"/>
      <c r="OYH291" s="1069"/>
      <c r="OYI291" s="1069"/>
      <c r="OYJ291" s="1069"/>
      <c r="OYK291" s="1069"/>
      <c r="OYL291" s="1069"/>
      <c r="OYM291" s="1069"/>
      <c r="OYN291" s="1069"/>
      <c r="OYO291" s="1069"/>
      <c r="OYP291" s="1069"/>
      <c r="OYQ291" s="1069"/>
      <c r="OYR291" s="1069"/>
      <c r="OYS291" s="1069"/>
      <c r="OYT291" s="1069"/>
      <c r="OYU291" s="1069"/>
      <c r="OYV291" s="1069"/>
      <c r="OYW291" s="1069"/>
      <c r="OYX291" s="1069"/>
      <c r="OYY291" s="1069"/>
      <c r="OYZ291" s="1069"/>
      <c r="OZA291" s="1069"/>
      <c r="OZB291" s="1069"/>
      <c r="OZC291" s="1069"/>
      <c r="OZD291" s="1069"/>
      <c r="OZE291" s="1069"/>
      <c r="OZF291" s="1069"/>
      <c r="OZG291" s="1069"/>
      <c r="OZH291" s="1069"/>
      <c r="OZI291" s="1069"/>
      <c r="OZJ291" s="1069"/>
      <c r="OZK291" s="1069"/>
      <c r="OZL291" s="1069"/>
      <c r="OZM291" s="1069"/>
      <c r="OZN291" s="1069"/>
      <c r="OZO291" s="1069"/>
      <c r="OZP291" s="1069"/>
      <c r="OZQ291" s="1069"/>
      <c r="OZR291" s="1069"/>
      <c r="OZS291" s="1069"/>
      <c r="OZT291" s="1069"/>
      <c r="OZU291" s="1069"/>
      <c r="OZV291" s="1069"/>
      <c r="OZW291" s="1069"/>
      <c r="OZX291" s="1069"/>
      <c r="OZY291" s="1069"/>
      <c r="OZZ291" s="1069"/>
      <c r="PAA291" s="1069"/>
      <c r="PAB291" s="1069"/>
      <c r="PAC291" s="1069"/>
      <c r="PAD291" s="1069"/>
      <c r="PAE291" s="1069"/>
      <c r="PAF291" s="1069"/>
      <c r="PAG291" s="1069"/>
      <c r="PAH291" s="1069"/>
      <c r="PAI291" s="1069"/>
      <c r="PAJ291" s="1069"/>
      <c r="PAK291" s="1069"/>
      <c r="PAL291" s="1069"/>
      <c r="PAM291" s="1069"/>
      <c r="PAN291" s="1069"/>
      <c r="PAO291" s="1069"/>
      <c r="PAP291" s="1069"/>
      <c r="PAQ291" s="1069"/>
      <c r="PAR291" s="1069"/>
      <c r="PAS291" s="1069"/>
      <c r="PAT291" s="1069"/>
      <c r="PAU291" s="1069"/>
      <c r="PAV291" s="1069"/>
      <c r="PAW291" s="1069"/>
      <c r="PAX291" s="1069"/>
      <c r="PAY291" s="1069"/>
      <c r="PAZ291" s="1069"/>
      <c r="PBA291" s="1069"/>
      <c r="PBB291" s="1069"/>
      <c r="PBC291" s="1069"/>
      <c r="PBD291" s="1069"/>
      <c r="PBE291" s="1069"/>
      <c r="PBF291" s="1069"/>
      <c r="PBG291" s="1069"/>
      <c r="PBH291" s="1069"/>
      <c r="PBI291" s="1069"/>
      <c r="PBJ291" s="1069"/>
      <c r="PBK291" s="1069"/>
      <c r="PBL291" s="1069"/>
      <c r="PBM291" s="1069"/>
      <c r="PBN291" s="1069"/>
      <c r="PBO291" s="1069"/>
      <c r="PBP291" s="1069"/>
      <c r="PBQ291" s="1069"/>
      <c r="PBR291" s="1069"/>
      <c r="PBS291" s="1069"/>
      <c r="PBT291" s="1069"/>
      <c r="PBU291" s="1069"/>
      <c r="PBV291" s="1069"/>
      <c r="PBW291" s="1069"/>
      <c r="PBX291" s="1069"/>
      <c r="PBY291" s="1069"/>
      <c r="PBZ291" s="1069"/>
      <c r="PCA291" s="1069"/>
      <c r="PCB291" s="1069"/>
      <c r="PCC291" s="1069"/>
      <c r="PCD291" s="1069"/>
      <c r="PCE291" s="1069"/>
      <c r="PCF291" s="1069"/>
      <c r="PCG291" s="1069"/>
      <c r="PCH291" s="1069"/>
      <c r="PCI291" s="1069"/>
      <c r="PCJ291" s="1069"/>
      <c r="PCK291" s="1069"/>
      <c r="PCL291" s="1069"/>
      <c r="PCM291" s="1069"/>
      <c r="PCN291" s="1069"/>
      <c r="PCO291" s="1069"/>
      <c r="PCP291" s="1069"/>
      <c r="PCQ291" s="1069"/>
      <c r="PCR291" s="1069"/>
      <c r="PCS291" s="1069"/>
      <c r="PCT291" s="1069"/>
      <c r="PCU291" s="1069"/>
      <c r="PCV291" s="1069"/>
      <c r="PCW291" s="1069"/>
      <c r="PCX291" s="1069"/>
      <c r="PCY291" s="1069"/>
      <c r="PCZ291" s="1069"/>
      <c r="PDA291" s="1069"/>
      <c r="PDB291" s="1069"/>
      <c r="PDC291" s="1069"/>
      <c r="PDD291" s="1069"/>
      <c r="PDE291" s="1069"/>
      <c r="PDF291" s="1069"/>
      <c r="PDG291" s="1069"/>
      <c r="PDH291" s="1069"/>
      <c r="PDI291" s="1069"/>
      <c r="PDJ291" s="1069"/>
      <c r="PDK291" s="1069"/>
      <c r="PDL291" s="1069"/>
      <c r="PDM291" s="1069"/>
      <c r="PDN291" s="1069"/>
      <c r="PDO291" s="1069"/>
      <c r="PDP291" s="1069"/>
      <c r="PDQ291" s="1069"/>
      <c r="PDR291" s="1069"/>
      <c r="PDS291" s="1069"/>
      <c r="PDT291" s="1069"/>
      <c r="PDU291" s="1069"/>
      <c r="PDV291" s="1069"/>
      <c r="PDW291" s="1069"/>
      <c r="PDX291" s="1069"/>
      <c r="PDY291" s="1069"/>
      <c r="PDZ291" s="1069"/>
      <c r="PEA291" s="1069"/>
      <c r="PEB291" s="1069"/>
      <c r="PEC291" s="1069"/>
      <c r="PED291" s="1069"/>
      <c r="PEE291" s="1069"/>
      <c r="PEF291" s="1069"/>
      <c r="PEG291" s="1069"/>
      <c r="PEH291" s="1069"/>
      <c r="PEI291" s="1069"/>
      <c r="PEJ291" s="1069"/>
      <c r="PEK291" s="1069"/>
      <c r="PEL291" s="1069"/>
      <c r="PEM291" s="1069"/>
      <c r="PEN291" s="1069"/>
      <c r="PEO291" s="1069"/>
      <c r="PEP291" s="1069"/>
      <c r="PEQ291" s="1069"/>
      <c r="PER291" s="1069"/>
      <c r="PES291" s="1069"/>
      <c r="PET291" s="1069"/>
      <c r="PEU291" s="1069"/>
      <c r="PEV291" s="1069"/>
      <c r="PEW291" s="1069"/>
      <c r="PEX291" s="1069"/>
      <c r="PEY291" s="1069"/>
      <c r="PEZ291" s="1069"/>
      <c r="PFA291" s="1069"/>
      <c r="PFB291" s="1069"/>
      <c r="PFC291" s="1069"/>
      <c r="PFD291" s="1069"/>
      <c r="PFE291" s="1069"/>
      <c r="PFF291" s="1069"/>
      <c r="PFG291" s="1069"/>
      <c r="PFH291" s="1069"/>
      <c r="PFI291" s="1069"/>
      <c r="PFJ291" s="1069"/>
      <c r="PFK291" s="1069"/>
      <c r="PFL291" s="1069"/>
      <c r="PFM291" s="1069"/>
      <c r="PFN291" s="1069"/>
      <c r="PFO291" s="1069"/>
      <c r="PFP291" s="1069"/>
      <c r="PFQ291" s="1069"/>
      <c r="PFR291" s="1069"/>
      <c r="PFS291" s="1069"/>
      <c r="PFT291" s="1069"/>
      <c r="PFU291" s="1069"/>
      <c r="PFV291" s="1069"/>
      <c r="PFW291" s="1069"/>
      <c r="PFX291" s="1069"/>
      <c r="PFY291" s="1069"/>
      <c r="PFZ291" s="1069"/>
      <c r="PGA291" s="1069"/>
      <c r="PGB291" s="1069"/>
      <c r="PGC291" s="1069"/>
      <c r="PGD291" s="1069"/>
      <c r="PGE291" s="1069"/>
      <c r="PGF291" s="1069"/>
      <c r="PGG291" s="1069"/>
      <c r="PGH291" s="1069"/>
      <c r="PGI291" s="1069"/>
      <c r="PGJ291" s="1069"/>
      <c r="PGK291" s="1069"/>
      <c r="PGL291" s="1069"/>
      <c r="PGM291" s="1069"/>
      <c r="PGN291" s="1069"/>
      <c r="PGO291" s="1069"/>
      <c r="PGP291" s="1069"/>
      <c r="PGQ291" s="1069"/>
      <c r="PGR291" s="1069"/>
      <c r="PGS291" s="1069"/>
      <c r="PGT291" s="1069"/>
      <c r="PGU291" s="1069"/>
      <c r="PGV291" s="1069"/>
      <c r="PGW291" s="1069"/>
      <c r="PGX291" s="1069"/>
      <c r="PGY291" s="1069"/>
      <c r="PGZ291" s="1069"/>
      <c r="PHA291" s="1069"/>
      <c r="PHB291" s="1069"/>
      <c r="PHC291" s="1069"/>
      <c r="PHD291" s="1069"/>
      <c r="PHE291" s="1069"/>
      <c r="PHF291" s="1069"/>
      <c r="PHG291" s="1069"/>
      <c r="PHH291" s="1069"/>
      <c r="PHI291" s="1069"/>
      <c r="PHJ291" s="1069"/>
      <c r="PHK291" s="1069"/>
      <c r="PHL291" s="1069"/>
      <c r="PHM291" s="1069"/>
      <c r="PHN291" s="1069"/>
      <c r="PHO291" s="1069"/>
      <c r="PHP291" s="1069"/>
      <c r="PHQ291" s="1069"/>
      <c r="PHR291" s="1069"/>
      <c r="PHS291" s="1069"/>
      <c r="PHT291" s="1069"/>
      <c r="PHU291" s="1069"/>
      <c r="PHV291" s="1069"/>
      <c r="PHW291" s="1069"/>
      <c r="PHX291" s="1069"/>
      <c r="PHY291" s="1069"/>
      <c r="PHZ291" s="1069"/>
      <c r="PIA291" s="1069"/>
      <c r="PIB291" s="1069"/>
      <c r="PIC291" s="1069"/>
      <c r="PID291" s="1069"/>
      <c r="PIE291" s="1069"/>
      <c r="PIF291" s="1069"/>
      <c r="PIG291" s="1069"/>
      <c r="PIH291" s="1069"/>
      <c r="PII291" s="1069"/>
      <c r="PIJ291" s="1069"/>
      <c r="PIK291" s="1069"/>
      <c r="PIL291" s="1069"/>
      <c r="PIM291" s="1069"/>
      <c r="PIN291" s="1069"/>
      <c r="PIO291" s="1069"/>
      <c r="PIP291" s="1069"/>
      <c r="PIQ291" s="1069"/>
      <c r="PIR291" s="1069"/>
      <c r="PIS291" s="1069"/>
      <c r="PIT291" s="1069"/>
      <c r="PIU291" s="1069"/>
      <c r="PIV291" s="1069"/>
      <c r="PIW291" s="1069"/>
      <c r="PIX291" s="1069"/>
      <c r="PIY291" s="1069"/>
      <c r="PIZ291" s="1069"/>
      <c r="PJA291" s="1069"/>
      <c r="PJB291" s="1069"/>
      <c r="PJC291" s="1069"/>
      <c r="PJD291" s="1069"/>
      <c r="PJE291" s="1069"/>
      <c r="PJF291" s="1069"/>
      <c r="PJG291" s="1069"/>
      <c r="PJH291" s="1069"/>
      <c r="PJI291" s="1069"/>
      <c r="PJJ291" s="1069"/>
      <c r="PJK291" s="1069"/>
      <c r="PJL291" s="1069"/>
      <c r="PJM291" s="1069"/>
      <c r="PJN291" s="1069"/>
      <c r="PJO291" s="1069"/>
      <c r="PJP291" s="1069"/>
      <c r="PJQ291" s="1069"/>
      <c r="PJR291" s="1069"/>
      <c r="PJS291" s="1069"/>
      <c r="PJT291" s="1069"/>
      <c r="PJU291" s="1069"/>
      <c r="PJV291" s="1069"/>
      <c r="PJW291" s="1069"/>
      <c r="PJX291" s="1069"/>
      <c r="PJY291" s="1069"/>
      <c r="PJZ291" s="1069"/>
      <c r="PKA291" s="1069"/>
      <c r="PKB291" s="1069"/>
      <c r="PKC291" s="1069"/>
      <c r="PKD291" s="1069"/>
      <c r="PKE291" s="1069"/>
      <c r="PKF291" s="1069"/>
      <c r="PKG291" s="1069"/>
      <c r="PKH291" s="1069"/>
      <c r="PKI291" s="1069"/>
      <c r="PKJ291" s="1069"/>
      <c r="PKK291" s="1069"/>
      <c r="PKL291" s="1069"/>
      <c r="PKM291" s="1069"/>
      <c r="PKN291" s="1069"/>
      <c r="PKO291" s="1069"/>
      <c r="PKP291" s="1069"/>
      <c r="PKQ291" s="1069"/>
      <c r="PKR291" s="1069"/>
      <c r="PKS291" s="1069"/>
      <c r="PKT291" s="1069"/>
      <c r="PKU291" s="1069"/>
      <c r="PKV291" s="1069"/>
      <c r="PKW291" s="1069"/>
      <c r="PKX291" s="1069"/>
      <c r="PKY291" s="1069"/>
      <c r="PKZ291" s="1069"/>
      <c r="PLA291" s="1069"/>
      <c r="PLB291" s="1069"/>
      <c r="PLC291" s="1069"/>
      <c r="PLD291" s="1069"/>
      <c r="PLE291" s="1069"/>
      <c r="PLF291" s="1069"/>
      <c r="PLG291" s="1069"/>
      <c r="PLH291" s="1069"/>
      <c r="PLI291" s="1069"/>
      <c r="PLJ291" s="1069"/>
      <c r="PLK291" s="1069"/>
      <c r="PLL291" s="1069"/>
      <c r="PLM291" s="1069"/>
      <c r="PLN291" s="1069"/>
      <c r="PLO291" s="1069"/>
      <c r="PLP291" s="1069"/>
      <c r="PLQ291" s="1069"/>
      <c r="PLR291" s="1069"/>
      <c r="PLS291" s="1069"/>
      <c r="PLT291" s="1069"/>
      <c r="PLU291" s="1069"/>
      <c r="PLV291" s="1069"/>
      <c r="PLW291" s="1069"/>
      <c r="PLX291" s="1069"/>
      <c r="PLY291" s="1069"/>
      <c r="PLZ291" s="1069"/>
      <c r="PMA291" s="1069"/>
      <c r="PMB291" s="1069"/>
      <c r="PMC291" s="1069"/>
      <c r="PMD291" s="1069"/>
      <c r="PME291" s="1069"/>
      <c r="PMF291" s="1069"/>
      <c r="PMG291" s="1069"/>
      <c r="PMH291" s="1069"/>
      <c r="PMI291" s="1069"/>
      <c r="PMJ291" s="1069"/>
      <c r="PMK291" s="1069"/>
      <c r="PML291" s="1069"/>
      <c r="PMM291" s="1069"/>
      <c r="PMN291" s="1069"/>
      <c r="PMO291" s="1069"/>
      <c r="PMP291" s="1069"/>
      <c r="PMQ291" s="1069"/>
      <c r="PMR291" s="1069"/>
      <c r="PMS291" s="1069"/>
      <c r="PMT291" s="1069"/>
      <c r="PMU291" s="1069"/>
      <c r="PMV291" s="1069"/>
      <c r="PMW291" s="1069"/>
      <c r="PMX291" s="1069"/>
      <c r="PMY291" s="1069"/>
      <c r="PMZ291" s="1069"/>
      <c r="PNA291" s="1069"/>
      <c r="PNB291" s="1069"/>
      <c r="PNC291" s="1069"/>
      <c r="PND291" s="1069"/>
      <c r="PNE291" s="1069"/>
      <c r="PNF291" s="1069"/>
      <c r="PNG291" s="1069"/>
      <c r="PNH291" s="1069"/>
      <c r="PNI291" s="1069"/>
      <c r="PNJ291" s="1069"/>
      <c r="PNK291" s="1069"/>
      <c r="PNL291" s="1069"/>
      <c r="PNM291" s="1069"/>
      <c r="PNN291" s="1069"/>
      <c r="PNO291" s="1069"/>
      <c r="PNP291" s="1069"/>
      <c r="PNQ291" s="1069"/>
      <c r="PNR291" s="1069"/>
      <c r="PNS291" s="1069"/>
      <c r="PNT291" s="1069"/>
      <c r="PNU291" s="1069"/>
      <c r="PNV291" s="1069"/>
      <c r="PNW291" s="1069"/>
      <c r="PNX291" s="1069"/>
      <c r="PNY291" s="1069"/>
      <c r="PNZ291" s="1069"/>
      <c r="POA291" s="1069"/>
      <c r="POB291" s="1069"/>
      <c r="POC291" s="1069"/>
      <c r="POD291" s="1069"/>
      <c r="POE291" s="1069"/>
      <c r="POF291" s="1069"/>
      <c r="POG291" s="1069"/>
      <c r="POH291" s="1069"/>
      <c r="POI291" s="1069"/>
      <c r="POJ291" s="1069"/>
      <c r="POK291" s="1069"/>
      <c r="POL291" s="1069"/>
      <c r="POM291" s="1069"/>
      <c r="PON291" s="1069"/>
      <c r="POO291" s="1069"/>
      <c r="POP291" s="1069"/>
      <c r="POQ291" s="1069"/>
      <c r="POR291" s="1069"/>
      <c r="POS291" s="1069"/>
      <c r="POT291" s="1069"/>
      <c r="POU291" s="1069"/>
      <c r="POV291" s="1069"/>
      <c r="POW291" s="1069"/>
      <c r="POX291" s="1069"/>
      <c r="POY291" s="1069"/>
      <c r="POZ291" s="1069"/>
      <c r="PPA291" s="1069"/>
      <c r="PPB291" s="1069"/>
      <c r="PPC291" s="1069"/>
      <c r="PPD291" s="1069"/>
      <c r="PPE291" s="1069"/>
      <c r="PPF291" s="1069"/>
      <c r="PPG291" s="1069"/>
      <c r="PPH291" s="1069"/>
      <c r="PPI291" s="1069"/>
      <c r="PPJ291" s="1069"/>
      <c r="PPK291" s="1069"/>
      <c r="PPL291" s="1069"/>
      <c r="PPM291" s="1069"/>
      <c r="PPN291" s="1069"/>
      <c r="PPO291" s="1069"/>
      <c r="PPP291" s="1069"/>
      <c r="PPQ291" s="1069"/>
      <c r="PPR291" s="1069"/>
      <c r="PPS291" s="1069"/>
      <c r="PPT291" s="1069"/>
      <c r="PPU291" s="1069"/>
      <c r="PPV291" s="1069"/>
      <c r="PPW291" s="1069"/>
      <c r="PPX291" s="1069"/>
      <c r="PPY291" s="1069"/>
      <c r="PPZ291" s="1069"/>
      <c r="PQA291" s="1069"/>
      <c r="PQB291" s="1069"/>
      <c r="PQC291" s="1069"/>
      <c r="PQD291" s="1069"/>
      <c r="PQE291" s="1069"/>
      <c r="PQF291" s="1069"/>
      <c r="PQG291" s="1069"/>
      <c r="PQH291" s="1069"/>
      <c r="PQI291" s="1069"/>
      <c r="PQJ291" s="1069"/>
      <c r="PQK291" s="1069"/>
      <c r="PQL291" s="1069"/>
      <c r="PQM291" s="1069"/>
      <c r="PQN291" s="1069"/>
      <c r="PQO291" s="1069"/>
      <c r="PQP291" s="1069"/>
      <c r="PQQ291" s="1069"/>
      <c r="PQR291" s="1069"/>
      <c r="PQS291" s="1069"/>
      <c r="PQT291" s="1069"/>
      <c r="PQU291" s="1069"/>
      <c r="PQV291" s="1069"/>
      <c r="PQW291" s="1069"/>
      <c r="PQX291" s="1069"/>
      <c r="PQY291" s="1069"/>
      <c r="PQZ291" s="1069"/>
      <c r="PRA291" s="1069"/>
      <c r="PRB291" s="1069"/>
      <c r="PRC291" s="1069"/>
      <c r="PRD291" s="1069"/>
      <c r="PRE291" s="1069"/>
      <c r="PRF291" s="1069"/>
      <c r="PRG291" s="1069"/>
      <c r="PRH291" s="1069"/>
      <c r="PRI291" s="1069"/>
      <c r="PRJ291" s="1069"/>
      <c r="PRK291" s="1069"/>
      <c r="PRL291" s="1069"/>
      <c r="PRM291" s="1069"/>
      <c r="PRN291" s="1069"/>
      <c r="PRO291" s="1069"/>
      <c r="PRP291" s="1069"/>
      <c r="PRQ291" s="1069"/>
      <c r="PRR291" s="1069"/>
      <c r="PRS291" s="1069"/>
      <c r="PRT291" s="1069"/>
      <c r="PRU291" s="1069"/>
      <c r="PRV291" s="1069"/>
      <c r="PRW291" s="1069"/>
      <c r="PRX291" s="1069"/>
      <c r="PRY291" s="1069"/>
      <c r="PRZ291" s="1069"/>
      <c r="PSA291" s="1069"/>
      <c r="PSB291" s="1069"/>
      <c r="PSC291" s="1069"/>
      <c r="PSD291" s="1069"/>
      <c r="PSE291" s="1069"/>
      <c r="PSF291" s="1069"/>
      <c r="PSG291" s="1069"/>
      <c r="PSH291" s="1069"/>
      <c r="PSI291" s="1069"/>
      <c r="PSJ291" s="1069"/>
      <c r="PSK291" s="1069"/>
      <c r="PSL291" s="1069"/>
      <c r="PSM291" s="1069"/>
      <c r="PSN291" s="1069"/>
      <c r="PSO291" s="1069"/>
      <c r="PSP291" s="1069"/>
      <c r="PSQ291" s="1069"/>
      <c r="PSR291" s="1069"/>
      <c r="PSS291" s="1069"/>
      <c r="PST291" s="1069"/>
      <c r="PSU291" s="1069"/>
      <c r="PSV291" s="1069"/>
      <c r="PSW291" s="1069"/>
      <c r="PSX291" s="1069"/>
      <c r="PSY291" s="1069"/>
      <c r="PSZ291" s="1069"/>
      <c r="PTA291" s="1069"/>
      <c r="PTB291" s="1069"/>
      <c r="PTC291" s="1069"/>
      <c r="PTD291" s="1069"/>
      <c r="PTE291" s="1069"/>
      <c r="PTF291" s="1069"/>
      <c r="PTG291" s="1069"/>
      <c r="PTH291" s="1069"/>
      <c r="PTI291" s="1069"/>
      <c r="PTJ291" s="1069"/>
      <c r="PTK291" s="1069"/>
      <c r="PTL291" s="1069"/>
      <c r="PTM291" s="1069"/>
      <c r="PTN291" s="1069"/>
      <c r="PTO291" s="1069"/>
      <c r="PTP291" s="1069"/>
      <c r="PTQ291" s="1069"/>
      <c r="PTR291" s="1069"/>
      <c r="PTS291" s="1069"/>
      <c r="PTT291" s="1069"/>
      <c r="PTU291" s="1069"/>
      <c r="PTV291" s="1069"/>
      <c r="PTW291" s="1069"/>
      <c r="PTX291" s="1069"/>
      <c r="PTY291" s="1069"/>
      <c r="PTZ291" s="1069"/>
      <c r="PUA291" s="1069"/>
      <c r="PUB291" s="1069"/>
      <c r="PUC291" s="1069"/>
      <c r="PUD291" s="1069"/>
      <c r="PUE291" s="1069"/>
      <c r="PUF291" s="1069"/>
      <c r="PUG291" s="1069"/>
      <c r="PUH291" s="1069"/>
      <c r="PUI291" s="1069"/>
      <c r="PUJ291" s="1069"/>
      <c r="PUK291" s="1069"/>
      <c r="PUL291" s="1069"/>
      <c r="PUM291" s="1069"/>
      <c r="PUN291" s="1069"/>
      <c r="PUO291" s="1069"/>
      <c r="PUP291" s="1069"/>
      <c r="PUQ291" s="1069"/>
      <c r="PUR291" s="1069"/>
      <c r="PUS291" s="1069"/>
      <c r="PUT291" s="1069"/>
      <c r="PUU291" s="1069"/>
      <c r="PUV291" s="1069"/>
      <c r="PUW291" s="1069"/>
      <c r="PUX291" s="1069"/>
      <c r="PUY291" s="1069"/>
      <c r="PUZ291" s="1069"/>
      <c r="PVA291" s="1069"/>
      <c r="PVB291" s="1069"/>
      <c r="PVC291" s="1069"/>
      <c r="PVD291" s="1069"/>
      <c r="PVE291" s="1069"/>
      <c r="PVF291" s="1069"/>
      <c r="PVG291" s="1069"/>
      <c r="PVH291" s="1069"/>
      <c r="PVI291" s="1069"/>
      <c r="PVJ291" s="1069"/>
      <c r="PVK291" s="1069"/>
      <c r="PVL291" s="1069"/>
      <c r="PVM291" s="1069"/>
      <c r="PVN291" s="1069"/>
      <c r="PVO291" s="1069"/>
      <c r="PVP291" s="1069"/>
      <c r="PVQ291" s="1069"/>
      <c r="PVR291" s="1069"/>
      <c r="PVS291" s="1069"/>
      <c r="PVT291" s="1069"/>
      <c r="PVU291" s="1069"/>
      <c r="PVV291" s="1069"/>
      <c r="PVW291" s="1069"/>
      <c r="PVX291" s="1069"/>
      <c r="PVY291" s="1069"/>
      <c r="PVZ291" s="1069"/>
      <c r="PWA291" s="1069"/>
      <c r="PWB291" s="1069"/>
      <c r="PWC291" s="1069"/>
      <c r="PWD291" s="1069"/>
      <c r="PWE291" s="1069"/>
      <c r="PWF291" s="1069"/>
      <c r="PWG291" s="1069"/>
      <c r="PWH291" s="1069"/>
      <c r="PWI291" s="1069"/>
      <c r="PWJ291" s="1069"/>
      <c r="PWK291" s="1069"/>
      <c r="PWL291" s="1069"/>
      <c r="PWM291" s="1069"/>
      <c r="PWN291" s="1069"/>
      <c r="PWO291" s="1069"/>
      <c r="PWP291" s="1069"/>
      <c r="PWQ291" s="1069"/>
      <c r="PWR291" s="1069"/>
      <c r="PWS291" s="1069"/>
      <c r="PWT291" s="1069"/>
      <c r="PWU291" s="1069"/>
      <c r="PWV291" s="1069"/>
      <c r="PWW291" s="1069"/>
      <c r="PWX291" s="1069"/>
      <c r="PWY291" s="1069"/>
      <c r="PWZ291" s="1069"/>
      <c r="PXA291" s="1069"/>
      <c r="PXB291" s="1069"/>
      <c r="PXC291" s="1069"/>
      <c r="PXD291" s="1069"/>
      <c r="PXE291" s="1069"/>
      <c r="PXF291" s="1069"/>
      <c r="PXG291" s="1069"/>
      <c r="PXH291" s="1069"/>
      <c r="PXI291" s="1069"/>
      <c r="PXJ291" s="1069"/>
      <c r="PXK291" s="1069"/>
      <c r="PXL291" s="1069"/>
      <c r="PXM291" s="1069"/>
      <c r="PXN291" s="1069"/>
      <c r="PXO291" s="1069"/>
      <c r="PXP291" s="1069"/>
      <c r="PXQ291" s="1069"/>
      <c r="PXR291" s="1069"/>
      <c r="PXS291" s="1069"/>
      <c r="PXT291" s="1069"/>
      <c r="PXU291" s="1069"/>
      <c r="PXV291" s="1069"/>
      <c r="PXW291" s="1069"/>
      <c r="PXX291" s="1069"/>
      <c r="PXY291" s="1069"/>
      <c r="PXZ291" s="1069"/>
      <c r="PYA291" s="1069"/>
      <c r="PYB291" s="1069"/>
      <c r="PYC291" s="1069"/>
      <c r="PYD291" s="1069"/>
      <c r="PYE291" s="1069"/>
      <c r="PYF291" s="1069"/>
      <c r="PYG291" s="1069"/>
      <c r="PYH291" s="1069"/>
      <c r="PYI291" s="1069"/>
      <c r="PYJ291" s="1069"/>
      <c r="PYK291" s="1069"/>
      <c r="PYL291" s="1069"/>
      <c r="PYM291" s="1069"/>
      <c r="PYN291" s="1069"/>
      <c r="PYO291" s="1069"/>
      <c r="PYP291" s="1069"/>
      <c r="PYQ291" s="1069"/>
      <c r="PYR291" s="1069"/>
      <c r="PYS291" s="1069"/>
      <c r="PYT291" s="1069"/>
      <c r="PYU291" s="1069"/>
      <c r="PYV291" s="1069"/>
      <c r="PYW291" s="1069"/>
      <c r="PYX291" s="1069"/>
      <c r="PYY291" s="1069"/>
      <c r="PYZ291" s="1069"/>
      <c r="PZA291" s="1069"/>
      <c r="PZB291" s="1069"/>
      <c r="PZC291" s="1069"/>
      <c r="PZD291" s="1069"/>
      <c r="PZE291" s="1069"/>
      <c r="PZF291" s="1069"/>
      <c r="PZG291" s="1069"/>
      <c r="PZH291" s="1069"/>
      <c r="PZI291" s="1069"/>
      <c r="PZJ291" s="1069"/>
      <c r="PZK291" s="1069"/>
      <c r="PZL291" s="1069"/>
      <c r="PZM291" s="1069"/>
      <c r="PZN291" s="1069"/>
      <c r="PZO291" s="1069"/>
      <c r="PZP291" s="1069"/>
      <c r="PZQ291" s="1069"/>
      <c r="PZR291" s="1069"/>
      <c r="PZS291" s="1069"/>
      <c r="PZT291" s="1069"/>
      <c r="PZU291" s="1069"/>
      <c r="PZV291" s="1069"/>
      <c r="PZW291" s="1069"/>
      <c r="PZX291" s="1069"/>
      <c r="PZY291" s="1069"/>
      <c r="PZZ291" s="1069"/>
      <c r="QAA291" s="1069"/>
      <c r="QAB291" s="1069"/>
      <c r="QAC291" s="1069"/>
      <c r="QAD291" s="1069"/>
      <c r="QAE291" s="1069"/>
      <c r="QAF291" s="1069"/>
      <c r="QAG291" s="1069"/>
      <c r="QAH291" s="1069"/>
      <c r="QAI291" s="1069"/>
      <c r="QAJ291" s="1069"/>
      <c r="QAK291" s="1069"/>
      <c r="QAL291" s="1069"/>
      <c r="QAM291" s="1069"/>
      <c r="QAN291" s="1069"/>
      <c r="QAO291" s="1069"/>
      <c r="QAP291" s="1069"/>
      <c r="QAQ291" s="1069"/>
      <c r="QAR291" s="1069"/>
      <c r="QAS291" s="1069"/>
      <c r="QAT291" s="1069"/>
      <c r="QAU291" s="1069"/>
      <c r="QAV291" s="1069"/>
      <c r="QAW291" s="1069"/>
      <c r="QAX291" s="1069"/>
      <c r="QAY291" s="1069"/>
      <c r="QAZ291" s="1069"/>
      <c r="QBA291" s="1069"/>
      <c r="QBB291" s="1069"/>
      <c r="QBC291" s="1069"/>
      <c r="QBD291" s="1069"/>
      <c r="QBE291" s="1069"/>
      <c r="QBF291" s="1069"/>
      <c r="QBG291" s="1069"/>
      <c r="QBH291" s="1069"/>
      <c r="QBI291" s="1069"/>
      <c r="QBJ291" s="1069"/>
      <c r="QBK291" s="1069"/>
      <c r="QBL291" s="1069"/>
      <c r="QBM291" s="1069"/>
      <c r="QBN291" s="1069"/>
      <c r="QBO291" s="1069"/>
      <c r="QBP291" s="1069"/>
      <c r="QBQ291" s="1069"/>
      <c r="QBR291" s="1069"/>
      <c r="QBS291" s="1069"/>
      <c r="QBT291" s="1069"/>
      <c r="QBU291" s="1069"/>
      <c r="QBV291" s="1069"/>
      <c r="QBW291" s="1069"/>
      <c r="QBX291" s="1069"/>
      <c r="QBY291" s="1069"/>
      <c r="QBZ291" s="1069"/>
      <c r="QCA291" s="1069"/>
      <c r="QCB291" s="1069"/>
      <c r="QCC291" s="1069"/>
      <c r="QCD291" s="1069"/>
      <c r="QCE291" s="1069"/>
      <c r="QCF291" s="1069"/>
      <c r="QCG291" s="1069"/>
      <c r="QCH291" s="1069"/>
      <c r="QCI291" s="1069"/>
      <c r="QCJ291" s="1069"/>
      <c r="QCK291" s="1069"/>
      <c r="QCL291" s="1069"/>
      <c r="QCM291" s="1069"/>
      <c r="QCN291" s="1069"/>
      <c r="QCO291" s="1069"/>
      <c r="QCP291" s="1069"/>
      <c r="QCQ291" s="1069"/>
      <c r="QCR291" s="1069"/>
      <c r="QCS291" s="1069"/>
      <c r="QCT291" s="1069"/>
      <c r="QCU291" s="1069"/>
      <c r="QCV291" s="1069"/>
      <c r="QCW291" s="1069"/>
      <c r="QCX291" s="1069"/>
      <c r="QCY291" s="1069"/>
      <c r="QCZ291" s="1069"/>
      <c r="QDA291" s="1069"/>
      <c r="QDB291" s="1069"/>
      <c r="QDC291" s="1069"/>
      <c r="QDD291" s="1069"/>
      <c r="QDE291" s="1069"/>
      <c r="QDF291" s="1069"/>
      <c r="QDG291" s="1069"/>
      <c r="QDH291" s="1069"/>
      <c r="QDI291" s="1069"/>
      <c r="QDJ291" s="1069"/>
      <c r="QDK291" s="1069"/>
      <c r="QDL291" s="1069"/>
      <c r="QDM291" s="1069"/>
      <c r="QDN291" s="1069"/>
      <c r="QDO291" s="1069"/>
      <c r="QDP291" s="1069"/>
      <c r="QDQ291" s="1069"/>
      <c r="QDR291" s="1069"/>
      <c r="QDS291" s="1069"/>
      <c r="QDT291" s="1069"/>
      <c r="QDU291" s="1069"/>
      <c r="QDV291" s="1069"/>
      <c r="QDW291" s="1069"/>
      <c r="QDX291" s="1069"/>
      <c r="QDY291" s="1069"/>
      <c r="QDZ291" s="1069"/>
      <c r="QEA291" s="1069"/>
      <c r="QEB291" s="1069"/>
      <c r="QEC291" s="1069"/>
      <c r="QED291" s="1069"/>
      <c r="QEE291" s="1069"/>
      <c r="QEF291" s="1069"/>
      <c r="QEG291" s="1069"/>
      <c r="QEH291" s="1069"/>
      <c r="QEI291" s="1069"/>
      <c r="QEJ291" s="1069"/>
      <c r="QEK291" s="1069"/>
      <c r="QEL291" s="1069"/>
      <c r="QEM291" s="1069"/>
      <c r="QEN291" s="1069"/>
      <c r="QEO291" s="1069"/>
      <c r="QEP291" s="1069"/>
      <c r="QEQ291" s="1069"/>
      <c r="QER291" s="1069"/>
      <c r="QES291" s="1069"/>
      <c r="QET291" s="1069"/>
      <c r="QEU291" s="1069"/>
      <c r="QEV291" s="1069"/>
      <c r="QEW291" s="1069"/>
      <c r="QEX291" s="1069"/>
      <c r="QEY291" s="1069"/>
      <c r="QEZ291" s="1069"/>
      <c r="QFA291" s="1069"/>
      <c r="QFB291" s="1069"/>
      <c r="QFC291" s="1069"/>
      <c r="QFD291" s="1069"/>
      <c r="QFE291" s="1069"/>
      <c r="QFF291" s="1069"/>
      <c r="QFG291" s="1069"/>
      <c r="QFH291" s="1069"/>
      <c r="QFI291" s="1069"/>
      <c r="QFJ291" s="1069"/>
      <c r="QFK291" s="1069"/>
      <c r="QFL291" s="1069"/>
      <c r="QFM291" s="1069"/>
      <c r="QFN291" s="1069"/>
      <c r="QFO291" s="1069"/>
      <c r="QFP291" s="1069"/>
      <c r="QFQ291" s="1069"/>
      <c r="QFR291" s="1069"/>
      <c r="QFS291" s="1069"/>
      <c r="QFT291" s="1069"/>
      <c r="QFU291" s="1069"/>
      <c r="QFV291" s="1069"/>
      <c r="QFW291" s="1069"/>
      <c r="QFX291" s="1069"/>
      <c r="QFY291" s="1069"/>
      <c r="QFZ291" s="1069"/>
      <c r="QGA291" s="1069"/>
      <c r="QGB291" s="1069"/>
      <c r="QGC291" s="1069"/>
      <c r="QGD291" s="1069"/>
      <c r="QGE291" s="1069"/>
      <c r="QGF291" s="1069"/>
      <c r="QGG291" s="1069"/>
      <c r="QGH291" s="1069"/>
      <c r="QGI291" s="1069"/>
      <c r="QGJ291" s="1069"/>
      <c r="QGK291" s="1069"/>
      <c r="QGL291" s="1069"/>
      <c r="QGM291" s="1069"/>
      <c r="QGN291" s="1069"/>
      <c r="QGO291" s="1069"/>
      <c r="QGP291" s="1069"/>
      <c r="QGQ291" s="1069"/>
      <c r="QGR291" s="1069"/>
      <c r="QGS291" s="1069"/>
      <c r="QGT291" s="1069"/>
      <c r="QGU291" s="1069"/>
      <c r="QGV291" s="1069"/>
      <c r="QGW291" s="1069"/>
      <c r="QGX291" s="1069"/>
      <c r="QGY291" s="1069"/>
      <c r="QGZ291" s="1069"/>
      <c r="QHA291" s="1069"/>
      <c r="QHB291" s="1069"/>
      <c r="QHC291" s="1069"/>
      <c r="QHD291" s="1069"/>
      <c r="QHE291" s="1069"/>
      <c r="QHF291" s="1069"/>
      <c r="QHG291" s="1069"/>
      <c r="QHH291" s="1069"/>
      <c r="QHI291" s="1069"/>
      <c r="QHJ291" s="1069"/>
      <c r="QHK291" s="1069"/>
      <c r="QHL291" s="1069"/>
      <c r="QHM291" s="1069"/>
      <c r="QHN291" s="1069"/>
      <c r="QHO291" s="1069"/>
      <c r="QHP291" s="1069"/>
      <c r="QHQ291" s="1069"/>
      <c r="QHR291" s="1069"/>
      <c r="QHS291" s="1069"/>
      <c r="QHT291" s="1069"/>
      <c r="QHU291" s="1069"/>
      <c r="QHV291" s="1069"/>
      <c r="QHW291" s="1069"/>
      <c r="QHX291" s="1069"/>
      <c r="QHY291" s="1069"/>
      <c r="QHZ291" s="1069"/>
      <c r="QIA291" s="1069"/>
      <c r="QIB291" s="1069"/>
      <c r="QIC291" s="1069"/>
      <c r="QID291" s="1069"/>
      <c r="QIE291" s="1069"/>
      <c r="QIF291" s="1069"/>
      <c r="QIG291" s="1069"/>
      <c r="QIH291" s="1069"/>
      <c r="QII291" s="1069"/>
      <c r="QIJ291" s="1069"/>
      <c r="QIK291" s="1069"/>
      <c r="QIL291" s="1069"/>
      <c r="QIM291" s="1069"/>
      <c r="QIN291" s="1069"/>
      <c r="QIO291" s="1069"/>
      <c r="QIP291" s="1069"/>
      <c r="QIQ291" s="1069"/>
      <c r="QIR291" s="1069"/>
      <c r="QIS291" s="1069"/>
      <c r="QIT291" s="1069"/>
      <c r="QIU291" s="1069"/>
      <c r="QIV291" s="1069"/>
      <c r="QIW291" s="1069"/>
      <c r="QIX291" s="1069"/>
      <c r="QIY291" s="1069"/>
      <c r="QIZ291" s="1069"/>
      <c r="QJA291" s="1069"/>
      <c r="QJB291" s="1069"/>
      <c r="QJC291" s="1069"/>
      <c r="QJD291" s="1069"/>
      <c r="QJE291" s="1069"/>
      <c r="QJF291" s="1069"/>
      <c r="QJG291" s="1069"/>
      <c r="QJH291" s="1069"/>
      <c r="QJI291" s="1069"/>
      <c r="QJJ291" s="1069"/>
      <c r="QJK291" s="1069"/>
      <c r="QJL291" s="1069"/>
      <c r="QJM291" s="1069"/>
      <c r="QJN291" s="1069"/>
      <c r="QJO291" s="1069"/>
      <c r="QJP291" s="1069"/>
      <c r="QJQ291" s="1069"/>
      <c r="QJR291" s="1069"/>
      <c r="QJS291" s="1069"/>
      <c r="QJT291" s="1069"/>
      <c r="QJU291" s="1069"/>
      <c r="QJV291" s="1069"/>
      <c r="QJW291" s="1069"/>
      <c r="QJX291" s="1069"/>
      <c r="QJY291" s="1069"/>
      <c r="QJZ291" s="1069"/>
      <c r="QKA291" s="1069"/>
      <c r="QKB291" s="1069"/>
      <c r="QKC291" s="1069"/>
      <c r="QKD291" s="1069"/>
      <c r="QKE291" s="1069"/>
      <c r="QKF291" s="1069"/>
      <c r="QKG291" s="1069"/>
      <c r="QKH291" s="1069"/>
      <c r="QKI291" s="1069"/>
      <c r="QKJ291" s="1069"/>
      <c r="QKK291" s="1069"/>
      <c r="QKL291" s="1069"/>
      <c r="QKM291" s="1069"/>
      <c r="QKN291" s="1069"/>
      <c r="QKO291" s="1069"/>
      <c r="QKP291" s="1069"/>
      <c r="QKQ291" s="1069"/>
      <c r="QKR291" s="1069"/>
      <c r="QKS291" s="1069"/>
      <c r="QKT291" s="1069"/>
      <c r="QKU291" s="1069"/>
      <c r="QKV291" s="1069"/>
      <c r="QKW291" s="1069"/>
      <c r="QKX291" s="1069"/>
      <c r="QKY291" s="1069"/>
      <c r="QKZ291" s="1069"/>
      <c r="QLA291" s="1069"/>
      <c r="QLB291" s="1069"/>
      <c r="QLC291" s="1069"/>
      <c r="QLD291" s="1069"/>
      <c r="QLE291" s="1069"/>
      <c r="QLF291" s="1069"/>
      <c r="QLG291" s="1069"/>
      <c r="QLH291" s="1069"/>
      <c r="QLI291" s="1069"/>
      <c r="QLJ291" s="1069"/>
      <c r="QLK291" s="1069"/>
      <c r="QLL291" s="1069"/>
      <c r="QLM291" s="1069"/>
      <c r="QLN291" s="1069"/>
      <c r="QLO291" s="1069"/>
      <c r="QLP291" s="1069"/>
      <c r="QLQ291" s="1069"/>
      <c r="QLR291" s="1069"/>
      <c r="QLS291" s="1069"/>
      <c r="QLT291" s="1069"/>
      <c r="QLU291" s="1069"/>
      <c r="QLV291" s="1069"/>
      <c r="QLW291" s="1069"/>
      <c r="QLX291" s="1069"/>
      <c r="QLY291" s="1069"/>
      <c r="QLZ291" s="1069"/>
      <c r="QMA291" s="1069"/>
      <c r="QMB291" s="1069"/>
      <c r="QMC291" s="1069"/>
      <c r="QMD291" s="1069"/>
      <c r="QME291" s="1069"/>
      <c r="QMF291" s="1069"/>
      <c r="QMG291" s="1069"/>
      <c r="QMH291" s="1069"/>
      <c r="QMI291" s="1069"/>
      <c r="QMJ291" s="1069"/>
      <c r="QMK291" s="1069"/>
      <c r="QML291" s="1069"/>
      <c r="QMM291" s="1069"/>
      <c r="QMN291" s="1069"/>
      <c r="QMO291" s="1069"/>
      <c r="QMP291" s="1069"/>
      <c r="QMQ291" s="1069"/>
      <c r="QMR291" s="1069"/>
      <c r="QMS291" s="1069"/>
      <c r="QMT291" s="1069"/>
      <c r="QMU291" s="1069"/>
      <c r="QMV291" s="1069"/>
      <c r="QMW291" s="1069"/>
      <c r="QMX291" s="1069"/>
      <c r="QMY291" s="1069"/>
      <c r="QMZ291" s="1069"/>
      <c r="QNA291" s="1069"/>
      <c r="QNB291" s="1069"/>
      <c r="QNC291" s="1069"/>
      <c r="QND291" s="1069"/>
      <c r="QNE291" s="1069"/>
      <c r="QNF291" s="1069"/>
      <c r="QNG291" s="1069"/>
      <c r="QNH291" s="1069"/>
      <c r="QNI291" s="1069"/>
      <c r="QNJ291" s="1069"/>
      <c r="QNK291" s="1069"/>
      <c r="QNL291" s="1069"/>
      <c r="QNM291" s="1069"/>
      <c r="QNN291" s="1069"/>
      <c r="QNO291" s="1069"/>
      <c r="QNP291" s="1069"/>
      <c r="QNQ291" s="1069"/>
      <c r="QNR291" s="1069"/>
      <c r="QNS291" s="1069"/>
      <c r="QNT291" s="1069"/>
      <c r="QNU291" s="1069"/>
      <c r="QNV291" s="1069"/>
      <c r="QNW291" s="1069"/>
      <c r="QNX291" s="1069"/>
      <c r="QNY291" s="1069"/>
      <c r="QNZ291" s="1069"/>
      <c r="QOA291" s="1069"/>
      <c r="QOB291" s="1069"/>
      <c r="QOC291" s="1069"/>
      <c r="QOD291" s="1069"/>
      <c r="QOE291" s="1069"/>
      <c r="QOF291" s="1069"/>
      <c r="QOG291" s="1069"/>
      <c r="QOH291" s="1069"/>
      <c r="QOI291" s="1069"/>
      <c r="QOJ291" s="1069"/>
      <c r="QOK291" s="1069"/>
      <c r="QOL291" s="1069"/>
      <c r="QOM291" s="1069"/>
      <c r="QON291" s="1069"/>
      <c r="QOO291" s="1069"/>
      <c r="QOP291" s="1069"/>
      <c r="QOQ291" s="1069"/>
      <c r="QOR291" s="1069"/>
      <c r="QOS291" s="1069"/>
      <c r="QOT291" s="1069"/>
      <c r="QOU291" s="1069"/>
      <c r="QOV291" s="1069"/>
      <c r="QOW291" s="1069"/>
      <c r="QOX291" s="1069"/>
      <c r="QOY291" s="1069"/>
      <c r="QOZ291" s="1069"/>
      <c r="QPA291" s="1069"/>
      <c r="QPB291" s="1069"/>
      <c r="QPC291" s="1069"/>
      <c r="QPD291" s="1069"/>
      <c r="QPE291" s="1069"/>
      <c r="QPF291" s="1069"/>
      <c r="QPG291" s="1069"/>
      <c r="QPH291" s="1069"/>
      <c r="QPI291" s="1069"/>
      <c r="QPJ291" s="1069"/>
      <c r="QPK291" s="1069"/>
      <c r="QPL291" s="1069"/>
      <c r="QPM291" s="1069"/>
      <c r="QPN291" s="1069"/>
      <c r="QPO291" s="1069"/>
      <c r="QPP291" s="1069"/>
      <c r="QPQ291" s="1069"/>
      <c r="QPR291" s="1069"/>
      <c r="QPS291" s="1069"/>
      <c r="QPT291" s="1069"/>
      <c r="QPU291" s="1069"/>
      <c r="QPV291" s="1069"/>
      <c r="QPW291" s="1069"/>
      <c r="QPX291" s="1069"/>
      <c r="QPY291" s="1069"/>
      <c r="QPZ291" s="1069"/>
      <c r="QQA291" s="1069"/>
      <c r="QQB291" s="1069"/>
      <c r="QQC291" s="1069"/>
      <c r="QQD291" s="1069"/>
      <c r="QQE291" s="1069"/>
      <c r="QQF291" s="1069"/>
      <c r="QQG291" s="1069"/>
      <c r="QQH291" s="1069"/>
      <c r="QQI291" s="1069"/>
      <c r="QQJ291" s="1069"/>
      <c r="QQK291" s="1069"/>
      <c r="QQL291" s="1069"/>
      <c r="QQM291" s="1069"/>
      <c r="QQN291" s="1069"/>
      <c r="QQO291" s="1069"/>
      <c r="QQP291" s="1069"/>
      <c r="QQQ291" s="1069"/>
      <c r="QQR291" s="1069"/>
      <c r="QQS291" s="1069"/>
      <c r="QQT291" s="1069"/>
      <c r="QQU291" s="1069"/>
      <c r="QQV291" s="1069"/>
      <c r="QQW291" s="1069"/>
      <c r="QQX291" s="1069"/>
      <c r="QQY291" s="1069"/>
      <c r="QQZ291" s="1069"/>
      <c r="QRA291" s="1069"/>
      <c r="QRB291" s="1069"/>
      <c r="QRC291" s="1069"/>
      <c r="QRD291" s="1069"/>
      <c r="QRE291" s="1069"/>
      <c r="QRF291" s="1069"/>
      <c r="QRG291" s="1069"/>
      <c r="QRH291" s="1069"/>
      <c r="QRI291" s="1069"/>
      <c r="QRJ291" s="1069"/>
      <c r="QRK291" s="1069"/>
      <c r="QRL291" s="1069"/>
      <c r="QRM291" s="1069"/>
      <c r="QRN291" s="1069"/>
      <c r="QRO291" s="1069"/>
      <c r="QRP291" s="1069"/>
      <c r="QRQ291" s="1069"/>
      <c r="QRR291" s="1069"/>
      <c r="QRS291" s="1069"/>
      <c r="QRT291" s="1069"/>
      <c r="QRU291" s="1069"/>
      <c r="QRV291" s="1069"/>
      <c r="QRW291" s="1069"/>
      <c r="QRX291" s="1069"/>
      <c r="QRY291" s="1069"/>
      <c r="QRZ291" s="1069"/>
      <c r="QSA291" s="1069"/>
      <c r="QSB291" s="1069"/>
      <c r="QSC291" s="1069"/>
      <c r="QSD291" s="1069"/>
      <c r="QSE291" s="1069"/>
      <c r="QSF291" s="1069"/>
      <c r="QSG291" s="1069"/>
      <c r="QSH291" s="1069"/>
      <c r="QSI291" s="1069"/>
      <c r="QSJ291" s="1069"/>
      <c r="QSK291" s="1069"/>
      <c r="QSL291" s="1069"/>
      <c r="QSM291" s="1069"/>
      <c r="QSN291" s="1069"/>
      <c r="QSO291" s="1069"/>
      <c r="QSP291" s="1069"/>
      <c r="QSQ291" s="1069"/>
      <c r="QSR291" s="1069"/>
      <c r="QSS291" s="1069"/>
      <c r="QST291" s="1069"/>
      <c r="QSU291" s="1069"/>
      <c r="QSV291" s="1069"/>
      <c r="QSW291" s="1069"/>
      <c r="QSX291" s="1069"/>
      <c r="QSY291" s="1069"/>
      <c r="QSZ291" s="1069"/>
      <c r="QTA291" s="1069"/>
      <c r="QTB291" s="1069"/>
      <c r="QTC291" s="1069"/>
      <c r="QTD291" s="1069"/>
      <c r="QTE291" s="1069"/>
      <c r="QTF291" s="1069"/>
      <c r="QTG291" s="1069"/>
      <c r="QTH291" s="1069"/>
      <c r="QTI291" s="1069"/>
      <c r="QTJ291" s="1069"/>
      <c r="QTK291" s="1069"/>
      <c r="QTL291" s="1069"/>
      <c r="QTM291" s="1069"/>
      <c r="QTN291" s="1069"/>
      <c r="QTO291" s="1069"/>
      <c r="QTP291" s="1069"/>
      <c r="QTQ291" s="1069"/>
      <c r="QTR291" s="1069"/>
      <c r="QTS291" s="1069"/>
      <c r="QTT291" s="1069"/>
      <c r="QTU291" s="1069"/>
      <c r="QTV291" s="1069"/>
      <c r="QTW291" s="1069"/>
      <c r="QTX291" s="1069"/>
      <c r="QTY291" s="1069"/>
      <c r="QTZ291" s="1069"/>
      <c r="QUA291" s="1069"/>
      <c r="QUB291" s="1069"/>
      <c r="QUC291" s="1069"/>
      <c r="QUD291" s="1069"/>
      <c r="QUE291" s="1069"/>
      <c r="QUF291" s="1069"/>
      <c r="QUG291" s="1069"/>
      <c r="QUH291" s="1069"/>
      <c r="QUI291" s="1069"/>
      <c r="QUJ291" s="1069"/>
      <c r="QUK291" s="1069"/>
      <c r="QUL291" s="1069"/>
      <c r="QUM291" s="1069"/>
      <c r="QUN291" s="1069"/>
      <c r="QUO291" s="1069"/>
      <c r="QUP291" s="1069"/>
      <c r="QUQ291" s="1069"/>
      <c r="QUR291" s="1069"/>
      <c r="QUS291" s="1069"/>
      <c r="QUT291" s="1069"/>
      <c r="QUU291" s="1069"/>
      <c r="QUV291" s="1069"/>
      <c r="QUW291" s="1069"/>
      <c r="QUX291" s="1069"/>
      <c r="QUY291" s="1069"/>
      <c r="QUZ291" s="1069"/>
      <c r="QVA291" s="1069"/>
      <c r="QVB291" s="1069"/>
      <c r="QVC291" s="1069"/>
      <c r="QVD291" s="1069"/>
      <c r="QVE291" s="1069"/>
      <c r="QVF291" s="1069"/>
      <c r="QVG291" s="1069"/>
      <c r="QVH291" s="1069"/>
      <c r="QVI291" s="1069"/>
      <c r="QVJ291" s="1069"/>
      <c r="QVK291" s="1069"/>
      <c r="QVL291" s="1069"/>
      <c r="QVM291" s="1069"/>
      <c r="QVN291" s="1069"/>
      <c r="QVO291" s="1069"/>
      <c r="QVP291" s="1069"/>
      <c r="QVQ291" s="1069"/>
      <c r="QVR291" s="1069"/>
      <c r="QVS291" s="1069"/>
      <c r="QVT291" s="1069"/>
      <c r="QVU291" s="1069"/>
      <c r="QVV291" s="1069"/>
      <c r="QVW291" s="1069"/>
      <c r="QVX291" s="1069"/>
      <c r="QVY291" s="1069"/>
      <c r="QVZ291" s="1069"/>
      <c r="QWA291" s="1069"/>
      <c r="QWB291" s="1069"/>
      <c r="QWC291" s="1069"/>
      <c r="QWD291" s="1069"/>
      <c r="QWE291" s="1069"/>
      <c r="QWF291" s="1069"/>
      <c r="QWG291" s="1069"/>
      <c r="QWH291" s="1069"/>
      <c r="QWI291" s="1069"/>
      <c r="QWJ291" s="1069"/>
      <c r="QWK291" s="1069"/>
      <c r="QWL291" s="1069"/>
      <c r="QWM291" s="1069"/>
      <c r="QWN291" s="1069"/>
      <c r="QWO291" s="1069"/>
      <c r="QWP291" s="1069"/>
      <c r="QWQ291" s="1069"/>
      <c r="QWR291" s="1069"/>
      <c r="QWS291" s="1069"/>
      <c r="QWT291" s="1069"/>
      <c r="QWU291" s="1069"/>
      <c r="QWV291" s="1069"/>
      <c r="QWW291" s="1069"/>
      <c r="QWX291" s="1069"/>
      <c r="QWY291" s="1069"/>
      <c r="QWZ291" s="1069"/>
      <c r="QXA291" s="1069"/>
      <c r="QXB291" s="1069"/>
      <c r="QXC291" s="1069"/>
      <c r="QXD291" s="1069"/>
      <c r="QXE291" s="1069"/>
      <c r="QXF291" s="1069"/>
      <c r="QXG291" s="1069"/>
      <c r="QXH291" s="1069"/>
      <c r="QXI291" s="1069"/>
      <c r="QXJ291" s="1069"/>
      <c r="QXK291" s="1069"/>
      <c r="QXL291" s="1069"/>
      <c r="QXM291" s="1069"/>
      <c r="QXN291" s="1069"/>
      <c r="QXO291" s="1069"/>
      <c r="QXP291" s="1069"/>
      <c r="QXQ291" s="1069"/>
      <c r="QXR291" s="1069"/>
      <c r="QXS291" s="1069"/>
      <c r="QXT291" s="1069"/>
      <c r="QXU291" s="1069"/>
      <c r="QXV291" s="1069"/>
      <c r="QXW291" s="1069"/>
      <c r="QXX291" s="1069"/>
      <c r="QXY291" s="1069"/>
      <c r="QXZ291" s="1069"/>
      <c r="QYA291" s="1069"/>
      <c r="QYB291" s="1069"/>
      <c r="QYC291" s="1069"/>
      <c r="QYD291" s="1069"/>
      <c r="QYE291" s="1069"/>
      <c r="QYF291" s="1069"/>
      <c r="QYG291" s="1069"/>
      <c r="QYH291" s="1069"/>
      <c r="QYI291" s="1069"/>
      <c r="QYJ291" s="1069"/>
      <c r="QYK291" s="1069"/>
      <c r="QYL291" s="1069"/>
      <c r="QYM291" s="1069"/>
      <c r="QYN291" s="1069"/>
      <c r="QYO291" s="1069"/>
      <c r="QYP291" s="1069"/>
      <c r="QYQ291" s="1069"/>
      <c r="QYR291" s="1069"/>
      <c r="QYS291" s="1069"/>
      <c r="QYT291" s="1069"/>
      <c r="QYU291" s="1069"/>
      <c r="QYV291" s="1069"/>
      <c r="QYW291" s="1069"/>
      <c r="QYX291" s="1069"/>
      <c r="QYY291" s="1069"/>
      <c r="QYZ291" s="1069"/>
      <c r="QZA291" s="1069"/>
      <c r="QZB291" s="1069"/>
      <c r="QZC291" s="1069"/>
      <c r="QZD291" s="1069"/>
      <c r="QZE291" s="1069"/>
      <c r="QZF291" s="1069"/>
      <c r="QZG291" s="1069"/>
      <c r="QZH291" s="1069"/>
      <c r="QZI291" s="1069"/>
      <c r="QZJ291" s="1069"/>
      <c r="QZK291" s="1069"/>
      <c r="QZL291" s="1069"/>
      <c r="QZM291" s="1069"/>
      <c r="QZN291" s="1069"/>
      <c r="QZO291" s="1069"/>
      <c r="QZP291" s="1069"/>
      <c r="QZQ291" s="1069"/>
      <c r="QZR291" s="1069"/>
      <c r="QZS291" s="1069"/>
      <c r="QZT291" s="1069"/>
      <c r="QZU291" s="1069"/>
      <c r="QZV291" s="1069"/>
      <c r="QZW291" s="1069"/>
      <c r="QZX291" s="1069"/>
      <c r="QZY291" s="1069"/>
      <c r="QZZ291" s="1069"/>
      <c r="RAA291" s="1069"/>
      <c r="RAB291" s="1069"/>
      <c r="RAC291" s="1069"/>
      <c r="RAD291" s="1069"/>
      <c r="RAE291" s="1069"/>
      <c r="RAF291" s="1069"/>
      <c r="RAG291" s="1069"/>
      <c r="RAH291" s="1069"/>
      <c r="RAI291" s="1069"/>
      <c r="RAJ291" s="1069"/>
      <c r="RAK291" s="1069"/>
      <c r="RAL291" s="1069"/>
      <c r="RAM291" s="1069"/>
      <c r="RAN291" s="1069"/>
      <c r="RAO291" s="1069"/>
      <c r="RAP291" s="1069"/>
      <c r="RAQ291" s="1069"/>
      <c r="RAR291" s="1069"/>
      <c r="RAS291" s="1069"/>
      <c r="RAT291" s="1069"/>
      <c r="RAU291" s="1069"/>
      <c r="RAV291" s="1069"/>
      <c r="RAW291" s="1069"/>
      <c r="RAX291" s="1069"/>
      <c r="RAY291" s="1069"/>
      <c r="RAZ291" s="1069"/>
      <c r="RBA291" s="1069"/>
      <c r="RBB291" s="1069"/>
      <c r="RBC291" s="1069"/>
      <c r="RBD291" s="1069"/>
      <c r="RBE291" s="1069"/>
      <c r="RBF291" s="1069"/>
      <c r="RBG291" s="1069"/>
      <c r="RBH291" s="1069"/>
      <c r="RBI291" s="1069"/>
      <c r="RBJ291" s="1069"/>
      <c r="RBK291" s="1069"/>
      <c r="RBL291" s="1069"/>
      <c r="RBM291" s="1069"/>
      <c r="RBN291" s="1069"/>
      <c r="RBO291" s="1069"/>
      <c r="RBP291" s="1069"/>
      <c r="RBQ291" s="1069"/>
      <c r="RBR291" s="1069"/>
      <c r="RBS291" s="1069"/>
      <c r="RBT291" s="1069"/>
      <c r="RBU291" s="1069"/>
      <c r="RBV291" s="1069"/>
      <c r="RBW291" s="1069"/>
      <c r="RBX291" s="1069"/>
      <c r="RBY291" s="1069"/>
      <c r="RBZ291" s="1069"/>
      <c r="RCA291" s="1069"/>
      <c r="RCB291" s="1069"/>
      <c r="RCC291" s="1069"/>
      <c r="RCD291" s="1069"/>
      <c r="RCE291" s="1069"/>
      <c r="RCF291" s="1069"/>
      <c r="RCG291" s="1069"/>
      <c r="RCH291" s="1069"/>
      <c r="RCI291" s="1069"/>
      <c r="RCJ291" s="1069"/>
      <c r="RCK291" s="1069"/>
      <c r="RCL291" s="1069"/>
      <c r="RCM291" s="1069"/>
      <c r="RCN291" s="1069"/>
      <c r="RCO291" s="1069"/>
      <c r="RCP291" s="1069"/>
      <c r="RCQ291" s="1069"/>
      <c r="RCR291" s="1069"/>
      <c r="RCS291" s="1069"/>
      <c r="RCT291" s="1069"/>
      <c r="RCU291" s="1069"/>
      <c r="RCV291" s="1069"/>
      <c r="RCW291" s="1069"/>
      <c r="RCX291" s="1069"/>
      <c r="RCY291" s="1069"/>
      <c r="RCZ291" s="1069"/>
      <c r="RDA291" s="1069"/>
      <c r="RDB291" s="1069"/>
      <c r="RDC291" s="1069"/>
      <c r="RDD291" s="1069"/>
      <c r="RDE291" s="1069"/>
      <c r="RDF291" s="1069"/>
      <c r="RDG291" s="1069"/>
      <c r="RDH291" s="1069"/>
      <c r="RDI291" s="1069"/>
      <c r="RDJ291" s="1069"/>
      <c r="RDK291" s="1069"/>
      <c r="RDL291" s="1069"/>
      <c r="RDM291" s="1069"/>
      <c r="RDN291" s="1069"/>
      <c r="RDO291" s="1069"/>
      <c r="RDP291" s="1069"/>
      <c r="RDQ291" s="1069"/>
      <c r="RDR291" s="1069"/>
      <c r="RDS291" s="1069"/>
      <c r="RDT291" s="1069"/>
      <c r="RDU291" s="1069"/>
      <c r="RDV291" s="1069"/>
      <c r="RDW291" s="1069"/>
      <c r="RDX291" s="1069"/>
      <c r="RDY291" s="1069"/>
      <c r="RDZ291" s="1069"/>
      <c r="REA291" s="1069"/>
      <c r="REB291" s="1069"/>
      <c r="REC291" s="1069"/>
      <c r="RED291" s="1069"/>
      <c r="REE291" s="1069"/>
      <c r="REF291" s="1069"/>
      <c r="REG291" s="1069"/>
      <c r="REH291" s="1069"/>
      <c r="REI291" s="1069"/>
      <c r="REJ291" s="1069"/>
      <c r="REK291" s="1069"/>
      <c r="REL291" s="1069"/>
      <c r="REM291" s="1069"/>
      <c r="REN291" s="1069"/>
      <c r="REO291" s="1069"/>
      <c r="REP291" s="1069"/>
      <c r="REQ291" s="1069"/>
      <c r="RER291" s="1069"/>
      <c r="RES291" s="1069"/>
      <c r="RET291" s="1069"/>
      <c r="REU291" s="1069"/>
      <c r="REV291" s="1069"/>
      <c r="REW291" s="1069"/>
      <c r="REX291" s="1069"/>
      <c r="REY291" s="1069"/>
      <c r="REZ291" s="1069"/>
      <c r="RFA291" s="1069"/>
      <c r="RFB291" s="1069"/>
      <c r="RFC291" s="1069"/>
      <c r="RFD291" s="1069"/>
      <c r="RFE291" s="1069"/>
      <c r="RFF291" s="1069"/>
      <c r="RFG291" s="1069"/>
      <c r="RFH291" s="1069"/>
      <c r="RFI291" s="1069"/>
      <c r="RFJ291" s="1069"/>
      <c r="RFK291" s="1069"/>
      <c r="RFL291" s="1069"/>
      <c r="RFM291" s="1069"/>
      <c r="RFN291" s="1069"/>
      <c r="RFO291" s="1069"/>
      <c r="RFP291" s="1069"/>
      <c r="RFQ291" s="1069"/>
      <c r="RFR291" s="1069"/>
      <c r="RFS291" s="1069"/>
      <c r="RFT291" s="1069"/>
      <c r="RFU291" s="1069"/>
      <c r="RFV291" s="1069"/>
      <c r="RFW291" s="1069"/>
      <c r="RFX291" s="1069"/>
      <c r="RFY291" s="1069"/>
      <c r="RFZ291" s="1069"/>
      <c r="RGA291" s="1069"/>
      <c r="RGB291" s="1069"/>
      <c r="RGC291" s="1069"/>
      <c r="RGD291" s="1069"/>
      <c r="RGE291" s="1069"/>
      <c r="RGF291" s="1069"/>
      <c r="RGG291" s="1069"/>
      <c r="RGH291" s="1069"/>
      <c r="RGI291" s="1069"/>
      <c r="RGJ291" s="1069"/>
      <c r="RGK291" s="1069"/>
      <c r="RGL291" s="1069"/>
      <c r="RGM291" s="1069"/>
      <c r="RGN291" s="1069"/>
      <c r="RGO291" s="1069"/>
      <c r="RGP291" s="1069"/>
      <c r="RGQ291" s="1069"/>
      <c r="RGR291" s="1069"/>
      <c r="RGS291" s="1069"/>
      <c r="RGT291" s="1069"/>
      <c r="RGU291" s="1069"/>
      <c r="RGV291" s="1069"/>
      <c r="RGW291" s="1069"/>
      <c r="RGX291" s="1069"/>
      <c r="RGY291" s="1069"/>
      <c r="RGZ291" s="1069"/>
      <c r="RHA291" s="1069"/>
      <c r="RHB291" s="1069"/>
      <c r="RHC291" s="1069"/>
      <c r="RHD291" s="1069"/>
      <c r="RHE291" s="1069"/>
      <c r="RHF291" s="1069"/>
      <c r="RHG291" s="1069"/>
      <c r="RHH291" s="1069"/>
      <c r="RHI291" s="1069"/>
      <c r="RHJ291" s="1069"/>
      <c r="RHK291" s="1069"/>
      <c r="RHL291" s="1069"/>
      <c r="RHM291" s="1069"/>
      <c r="RHN291" s="1069"/>
      <c r="RHO291" s="1069"/>
      <c r="RHP291" s="1069"/>
      <c r="RHQ291" s="1069"/>
      <c r="RHR291" s="1069"/>
      <c r="RHS291" s="1069"/>
      <c r="RHT291" s="1069"/>
      <c r="RHU291" s="1069"/>
      <c r="RHV291" s="1069"/>
      <c r="RHW291" s="1069"/>
      <c r="RHX291" s="1069"/>
      <c r="RHY291" s="1069"/>
      <c r="RHZ291" s="1069"/>
      <c r="RIA291" s="1069"/>
      <c r="RIB291" s="1069"/>
      <c r="RIC291" s="1069"/>
      <c r="RID291" s="1069"/>
      <c r="RIE291" s="1069"/>
      <c r="RIF291" s="1069"/>
      <c r="RIG291" s="1069"/>
      <c r="RIH291" s="1069"/>
      <c r="RII291" s="1069"/>
      <c r="RIJ291" s="1069"/>
      <c r="RIK291" s="1069"/>
      <c r="RIL291" s="1069"/>
      <c r="RIM291" s="1069"/>
      <c r="RIN291" s="1069"/>
      <c r="RIO291" s="1069"/>
      <c r="RIP291" s="1069"/>
      <c r="RIQ291" s="1069"/>
      <c r="RIR291" s="1069"/>
      <c r="RIS291" s="1069"/>
      <c r="RIT291" s="1069"/>
      <c r="RIU291" s="1069"/>
      <c r="RIV291" s="1069"/>
      <c r="RIW291" s="1069"/>
      <c r="RIX291" s="1069"/>
      <c r="RIY291" s="1069"/>
      <c r="RIZ291" s="1069"/>
      <c r="RJA291" s="1069"/>
      <c r="RJB291" s="1069"/>
      <c r="RJC291" s="1069"/>
      <c r="RJD291" s="1069"/>
      <c r="RJE291" s="1069"/>
      <c r="RJF291" s="1069"/>
      <c r="RJG291" s="1069"/>
      <c r="RJH291" s="1069"/>
      <c r="RJI291" s="1069"/>
      <c r="RJJ291" s="1069"/>
      <c r="RJK291" s="1069"/>
      <c r="RJL291" s="1069"/>
      <c r="RJM291" s="1069"/>
      <c r="RJN291" s="1069"/>
      <c r="RJO291" s="1069"/>
      <c r="RJP291" s="1069"/>
      <c r="RJQ291" s="1069"/>
      <c r="RJR291" s="1069"/>
      <c r="RJS291" s="1069"/>
      <c r="RJT291" s="1069"/>
      <c r="RJU291" s="1069"/>
      <c r="RJV291" s="1069"/>
      <c r="RJW291" s="1069"/>
      <c r="RJX291" s="1069"/>
      <c r="RJY291" s="1069"/>
      <c r="RJZ291" s="1069"/>
      <c r="RKA291" s="1069"/>
      <c r="RKB291" s="1069"/>
      <c r="RKC291" s="1069"/>
      <c r="RKD291" s="1069"/>
      <c r="RKE291" s="1069"/>
      <c r="RKF291" s="1069"/>
      <c r="RKG291" s="1069"/>
      <c r="RKH291" s="1069"/>
      <c r="RKI291" s="1069"/>
      <c r="RKJ291" s="1069"/>
      <c r="RKK291" s="1069"/>
      <c r="RKL291" s="1069"/>
      <c r="RKM291" s="1069"/>
      <c r="RKN291" s="1069"/>
      <c r="RKO291" s="1069"/>
      <c r="RKP291" s="1069"/>
      <c r="RKQ291" s="1069"/>
      <c r="RKR291" s="1069"/>
      <c r="RKS291" s="1069"/>
      <c r="RKT291" s="1069"/>
      <c r="RKU291" s="1069"/>
      <c r="RKV291" s="1069"/>
      <c r="RKW291" s="1069"/>
      <c r="RKX291" s="1069"/>
      <c r="RKY291" s="1069"/>
      <c r="RKZ291" s="1069"/>
      <c r="RLA291" s="1069"/>
      <c r="RLB291" s="1069"/>
      <c r="RLC291" s="1069"/>
      <c r="RLD291" s="1069"/>
      <c r="RLE291" s="1069"/>
      <c r="RLF291" s="1069"/>
      <c r="RLG291" s="1069"/>
      <c r="RLH291" s="1069"/>
      <c r="RLI291" s="1069"/>
      <c r="RLJ291" s="1069"/>
      <c r="RLK291" s="1069"/>
      <c r="RLL291" s="1069"/>
      <c r="RLM291" s="1069"/>
      <c r="RLN291" s="1069"/>
      <c r="RLO291" s="1069"/>
      <c r="RLP291" s="1069"/>
      <c r="RLQ291" s="1069"/>
      <c r="RLR291" s="1069"/>
      <c r="RLS291" s="1069"/>
      <c r="RLT291" s="1069"/>
      <c r="RLU291" s="1069"/>
      <c r="RLV291" s="1069"/>
      <c r="RLW291" s="1069"/>
      <c r="RLX291" s="1069"/>
      <c r="RLY291" s="1069"/>
      <c r="RLZ291" s="1069"/>
      <c r="RMA291" s="1069"/>
      <c r="RMB291" s="1069"/>
      <c r="RMC291" s="1069"/>
      <c r="RMD291" s="1069"/>
      <c r="RME291" s="1069"/>
      <c r="RMF291" s="1069"/>
      <c r="RMG291" s="1069"/>
      <c r="RMH291" s="1069"/>
      <c r="RMI291" s="1069"/>
      <c r="RMJ291" s="1069"/>
      <c r="RMK291" s="1069"/>
      <c r="RML291" s="1069"/>
      <c r="RMM291" s="1069"/>
      <c r="RMN291" s="1069"/>
      <c r="RMO291" s="1069"/>
      <c r="RMP291" s="1069"/>
      <c r="RMQ291" s="1069"/>
      <c r="RMR291" s="1069"/>
      <c r="RMS291" s="1069"/>
      <c r="RMT291" s="1069"/>
      <c r="RMU291" s="1069"/>
      <c r="RMV291" s="1069"/>
      <c r="RMW291" s="1069"/>
      <c r="RMX291" s="1069"/>
      <c r="RMY291" s="1069"/>
      <c r="RMZ291" s="1069"/>
      <c r="RNA291" s="1069"/>
      <c r="RNB291" s="1069"/>
      <c r="RNC291" s="1069"/>
      <c r="RND291" s="1069"/>
      <c r="RNE291" s="1069"/>
      <c r="RNF291" s="1069"/>
      <c r="RNG291" s="1069"/>
      <c r="RNH291" s="1069"/>
      <c r="RNI291" s="1069"/>
      <c r="RNJ291" s="1069"/>
      <c r="RNK291" s="1069"/>
      <c r="RNL291" s="1069"/>
      <c r="RNM291" s="1069"/>
      <c r="RNN291" s="1069"/>
      <c r="RNO291" s="1069"/>
      <c r="RNP291" s="1069"/>
      <c r="RNQ291" s="1069"/>
      <c r="RNR291" s="1069"/>
      <c r="RNS291" s="1069"/>
      <c r="RNT291" s="1069"/>
      <c r="RNU291" s="1069"/>
      <c r="RNV291" s="1069"/>
      <c r="RNW291" s="1069"/>
      <c r="RNX291" s="1069"/>
      <c r="RNY291" s="1069"/>
      <c r="RNZ291" s="1069"/>
      <c r="ROA291" s="1069"/>
      <c r="ROB291" s="1069"/>
      <c r="ROC291" s="1069"/>
      <c r="ROD291" s="1069"/>
      <c r="ROE291" s="1069"/>
      <c r="ROF291" s="1069"/>
      <c r="ROG291" s="1069"/>
      <c r="ROH291" s="1069"/>
      <c r="ROI291" s="1069"/>
      <c r="ROJ291" s="1069"/>
      <c r="ROK291" s="1069"/>
      <c r="ROL291" s="1069"/>
      <c r="ROM291" s="1069"/>
      <c r="RON291" s="1069"/>
      <c r="ROO291" s="1069"/>
      <c r="ROP291" s="1069"/>
      <c r="ROQ291" s="1069"/>
      <c r="ROR291" s="1069"/>
      <c r="ROS291" s="1069"/>
      <c r="ROT291" s="1069"/>
      <c r="ROU291" s="1069"/>
      <c r="ROV291" s="1069"/>
      <c r="ROW291" s="1069"/>
      <c r="ROX291" s="1069"/>
      <c r="ROY291" s="1069"/>
      <c r="ROZ291" s="1069"/>
      <c r="RPA291" s="1069"/>
      <c r="RPB291" s="1069"/>
      <c r="RPC291" s="1069"/>
      <c r="RPD291" s="1069"/>
      <c r="RPE291" s="1069"/>
      <c r="RPF291" s="1069"/>
      <c r="RPG291" s="1069"/>
      <c r="RPH291" s="1069"/>
      <c r="RPI291" s="1069"/>
      <c r="RPJ291" s="1069"/>
      <c r="RPK291" s="1069"/>
      <c r="RPL291" s="1069"/>
      <c r="RPM291" s="1069"/>
      <c r="RPN291" s="1069"/>
      <c r="RPO291" s="1069"/>
      <c r="RPP291" s="1069"/>
      <c r="RPQ291" s="1069"/>
      <c r="RPR291" s="1069"/>
      <c r="RPS291" s="1069"/>
      <c r="RPT291" s="1069"/>
      <c r="RPU291" s="1069"/>
      <c r="RPV291" s="1069"/>
      <c r="RPW291" s="1069"/>
      <c r="RPX291" s="1069"/>
      <c r="RPY291" s="1069"/>
      <c r="RPZ291" s="1069"/>
      <c r="RQA291" s="1069"/>
      <c r="RQB291" s="1069"/>
      <c r="RQC291" s="1069"/>
      <c r="RQD291" s="1069"/>
      <c r="RQE291" s="1069"/>
      <c r="RQF291" s="1069"/>
      <c r="RQG291" s="1069"/>
      <c r="RQH291" s="1069"/>
      <c r="RQI291" s="1069"/>
      <c r="RQJ291" s="1069"/>
      <c r="RQK291" s="1069"/>
      <c r="RQL291" s="1069"/>
      <c r="RQM291" s="1069"/>
      <c r="RQN291" s="1069"/>
      <c r="RQO291" s="1069"/>
      <c r="RQP291" s="1069"/>
      <c r="RQQ291" s="1069"/>
      <c r="RQR291" s="1069"/>
      <c r="RQS291" s="1069"/>
      <c r="RQT291" s="1069"/>
      <c r="RQU291" s="1069"/>
      <c r="RQV291" s="1069"/>
      <c r="RQW291" s="1069"/>
      <c r="RQX291" s="1069"/>
      <c r="RQY291" s="1069"/>
      <c r="RQZ291" s="1069"/>
      <c r="RRA291" s="1069"/>
      <c r="RRB291" s="1069"/>
      <c r="RRC291" s="1069"/>
      <c r="RRD291" s="1069"/>
      <c r="RRE291" s="1069"/>
      <c r="RRF291" s="1069"/>
      <c r="RRG291" s="1069"/>
      <c r="RRH291" s="1069"/>
      <c r="RRI291" s="1069"/>
      <c r="RRJ291" s="1069"/>
      <c r="RRK291" s="1069"/>
      <c r="RRL291" s="1069"/>
      <c r="RRM291" s="1069"/>
      <c r="RRN291" s="1069"/>
      <c r="RRO291" s="1069"/>
      <c r="RRP291" s="1069"/>
      <c r="RRQ291" s="1069"/>
      <c r="RRR291" s="1069"/>
      <c r="RRS291" s="1069"/>
      <c r="RRT291" s="1069"/>
      <c r="RRU291" s="1069"/>
      <c r="RRV291" s="1069"/>
      <c r="RRW291" s="1069"/>
      <c r="RRX291" s="1069"/>
      <c r="RRY291" s="1069"/>
      <c r="RRZ291" s="1069"/>
      <c r="RSA291" s="1069"/>
      <c r="RSB291" s="1069"/>
      <c r="RSC291" s="1069"/>
      <c r="RSD291" s="1069"/>
      <c r="RSE291" s="1069"/>
      <c r="RSF291" s="1069"/>
      <c r="RSG291" s="1069"/>
      <c r="RSH291" s="1069"/>
      <c r="RSI291" s="1069"/>
      <c r="RSJ291" s="1069"/>
      <c r="RSK291" s="1069"/>
      <c r="RSL291" s="1069"/>
      <c r="RSM291" s="1069"/>
      <c r="RSN291" s="1069"/>
      <c r="RSO291" s="1069"/>
      <c r="RSP291" s="1069"/>
      <c r="RSQ291" s="1069"/>
      <c r="RSR291" s="1069"/>
      <c r="RSS291" s="1069"/>
      <c r="RST291" s="1069"/>
      <c r="RSU291" s="1069"/>
      <c r="RSV291" s="1069"/>
      <c r="RSW291" s="1069"/>
      <c r="RSX291" s="1069"/>
      <c r="RSY291" s="1069"/>
      <c r="RSZ291" s="1069"/>
      <c r="RTA291" s="1069"/>
      <c r="RTB291" s="1069"/>
      <c r="RTC291" s="1069"/>
      <c r="RTD291" s="1069"/>
      <c r="RTE291" s="1069"/>
      <c r="RTF291" s="1069"/>
      <c r="RTG291" s="1069"/>
      <c r="RTH291" s="1069"/>
      <c r="RTI291" s="1069"/>
      <c r="RTJ291" s="1069"/>
      <c r="RTK291" s="1069"/>
      <c r="RTL291" s="1069"/>
      <c r="RTM291" s="1069"/>
      <c r="RTN291" s="1069"/>
      <c r="RTO291" s="1069"/>
      <c r="RTP291" s="1069"/>
      <c r="RTQ291" s="1069"/>
      <c r="RTR291" s="1069"/>
      <c r="RTS291" s="1069"/>
      <c r="RTT291" s="1069"/>
      <c r="RTU291" s="1069"/>
      <c r="RTV291" s="1069"/>
      <c r="RTW291" s="1069"/>
      <c r="RTX291" s="1069"/>
      <c r="RTY291" s="1069"/>
      <c r="RTZ291" s="1069"/>
      <c r="RUA291" s="1069"/>
      <c r="RUB291" s="1069"/>
      <c r="RUC291" s="1069"/>
      <c r="RUD291" s="1069"/>
      <c r="RUE291" s="1069"/>
      <c r="RUF291" s="1069"/>
      <c r="RUG291" s="1069"/>
      <c r="RUH291" s="1069"/>
      <c r="RUI291" s="1069"/>
      <c r="RUJ291" s="1069"/>
      <c r="RUK291" s="1069"/>
      <c r="RUL291" s="1069"/>
      <c r="RUM291" s="1069"/>
      <c r="RUN291" s="1069"/>
      <c r="RUO291" s="1069"/>
      <c r="RUP291" s="1069"/>
      <c r="RUQ291" s="1069"/>
      <c r="RUR291" s="1069"/>
      <c r="RUS291" s="1069"/>
      <c r="RUT291" s="1069"/>
      <c r="RUU291" s="1069"/>
      <c r="RUV291" s="1069"/>
      <c r="RUW291" s="1069"/>
      <c r="RUX291" s="1069"/>
      <c r="RUY291" s="1069"/>
      <c r="RUZ291" s="1069"/>
      <c r="RVA291" s="1069"/>
      <c r="RVB291" s="1069"/>
      <c r="RVC291" s="1069"/>
      <c r="RVD291" s="1069"/>
      <c r="RVE291" s="1069"/>
      <c r="RVF291" s="1069"/>
      <c r="RVG291" s="1069"/>
      <c r="RVH291" s="1069"/>
      <c r="RVI291" s="1069"/>
      <c r="RVJ291" s="1069"/>
      <c r="RVK291" s="1069"/>
      <c r="RVL291" s="1069"/>
      <c r="RVM291" s="1069"/>
      <c r="RVN291" s="1069"/>
      <c r="RVO291" s="1069"/>
      <c r="RVP291" s="1069"/>
      <c r="RVQ291" s="1069"/>
      <c r="RVR291" s="1069"/>
      <c r="RVS291" s="1069"/>
      <c r="RVT291" s="1069"/>
      <c r="RVU291" s="1069"/>
      <c r="RVV291" s="1069"/>
      <c r="RVW291" s="1069"/>
      <c r="RVX291" s="1069"/>
      <c r="RVY291" s="1069"/>
      <c r="RVZ291" s="1069"/>
      <c r="RWA291" s="1069"/>
      <c r="RWB291" s="1069"/>
      <c r="RWC291" s="1069"/>
      <c r="RWD291" s="1069"/>
      <c r="RWE291" s="1069"/>
      <c r="RWF291" s="1069"/>
      <c r="RWG291" s="1069"/>
      <c r="RWH291" s="1069"/>
      <c r="RWI291" s="1069"/>
      <c r="RWJ291" s="1069"/>
      <c r="RWK291" s="1069"/>
      <c r="RWL291" s="1069"/>
      <c r="RWM291" s="1069"/>
      <c r="RWN291" s="1069"/>
      <c r="RWO291" s="1069"/>
      <c r="RWP291" s="1069"/>
      <c r="RWQ291" s="1069"/>
      <c r="RWR291" s="1069"/>
      <c r="RWS291" s="1069"/>
      <c r="RWT291" s="1069"/>
      <c r="RWU291" s="1069"/>
      <c r="RWV291" s="1069"/>
      <c r="RWW291" s="1069"/>
      <c r="RWX291" s="1069"/>
      <c r="RWY291" s="1069"/>
      <c r="RWZ291" s="1069"/>
      <c r="RXA291" s="1069"/>
      <c r="RXB291" s="1069"/>
      <c r="RXC291" s="1069"/>
      <c r="RXD291" s="1069"/>
      <c r="RXE291" s="1069"/>
      <c r="RXF291" s="1069"/>
      <c r="RXG291" s="1069"/>
      <c r="RXH291" s="1069"/>
      <c r="RXI291" s="1069"/>
      <c r="RXJ291" s="1069"/>
      <c r="RXK291" s="1069"/>
      <c r="RXL291" s="1069"/>
      <c r="RXM291" s="1069"/>
      <c r="RXN291" s="1069"/>
      <c r="RXO291" s="1069"/>
      <c r="RXP291" s="1069"/>
      <c r="RXQ291" s="1069"/>
      <c r="RXR291" s="1069"/>
      <c r="RXS291" s="1069"/>
      <c r="RXT291" s="1069"/>
      <c r="RXU291" s="1069"/>
      <c r="RXV291" s="1069"/>
      <c r="RXW291" s="1069"/>
      <c r="RXX291" s="1069"/>
      <c r="RXY291" s="1069"/>
      <c r="RXZ291" s="1069"/>
      <c r="RYA291" s="1069"/>
      <c r="RYB291" s="1069"/>
      <c r="RYC291" s="1069"/>
      <c r="RYD291" s="1069"/>
      <c r="RYE291" s="1069"/>
      <c r="RYF291" s="1069"/>
      <c r="RYG291" s="1069"/>
      <c r="RYH291" s="1069"/>
      <c r="RYI291" s="1069"/>
      <c r="RYJ291" s="1069"/>
      <c r="RYK291" s="1069"/>
      <c r="RYL291" s="1069"/>
      <c r="RYM291" s="1069"/>
      <c r="RYN291" s="1069"/>
      <c r="RYO291" s="1069"/>
      <c r="RYP291" s="1069"/>
      <c r="RYQ291" s="1069"/>
      <c r="RYR291" s="1069"/>
      <c r="RYS291" s="1069"/>
      <c r="RYT291" s="1069"/>
      <c r="RYU291" s="1069"/>
      <c r="RYV291" s="1069"/>
      <c r="RYW291" s="1069"/>
      <c r="RYX291" s="1069"/>
      <c r="RYY291" s="1069"/>
      <c r="RYZ291" s="1069"/>
      <c r="RZA291" s="1069"/>
      <c r="RZB291" s="1069"/>
      <c r="RZC291" s="1069"/>
      <c r="RZD291" s="1069"/>
      <c r="RZE291" s="1069"/>
      <c r="RZF291" s="1069"/>
      <c r="RZG291" s="1069"/>
      <c r="RZH291" s="1069"/>
      <c r="RZI291" s="1069"/>
      <c r="RZJ291" s="1069"/>
      <c r="RZK291" s="1069"/>
      <c r="RZL291" s="1069"/>
      <c r="RZM291" s="1069"/>
      <c r="RZN291" s="1069"/>
      <c r="RZO291" s="1069"/>
      <c r="RZP291" s="1069"/>
      <c r="RZQ291" s="1069"/>
      <c r="RZR291" s="1069"/>
      <c r="RZS291" s="1069"/>
      <c r="RZT291" s="1069"/>
      <c r="RZU291" s="1069"/>
      <c r="RZV291" s="1069"/>
      <c r="RZW291" s="1069"/>
      <c r="RZX291" s="1069"/>
      <c r="RZY291" s="1069"/>
      <c r="RZZ291" s="1069"/>
      <c r="SAA291" s="1069"/>
      <c r="SAB291" s="1069"/>
      <c r="SAC291" s="1069"/>
      <c r="SAD291" s="1069"/>
      <c r="SAE291" s="1069"/>
      <c r="SAF291" s="1069"/>
      <c r="SAG291" s="1069"/>
      <c r="SAH291" s="1069"/>
      <c r="SAI291" s="1069"/>
      <c r="SAJ291" s="1069"/>
      <c r="SAK291" s="1069"/>
      <c r="SAL291" s="1069"/>
      <c r="SAM291" s="1069"/>
      <c r="SAN291" s="1069"/>
      <c r="SAO291" s="1069"/>
      <c r="SAP291" s="1069"/>
      <c r="SAQ291" s="1069"/>
      <c r="SAR291" s="1069"/>
      <c r="SAS291" s="1069"/>
      <c r="SAT291" s="1069"/>
      <c r="SAU291" s="1069"/>
      <c r="SAV291" s="1069"/>
      <c r="SAW291" s="1069"/>
      <c r="SAX291" s="1069"/>
      <c r="SAY291" s="1069"/>
      <c r="SAZ291" s="1069"/>
      <c r="SBA291" s="1069"/>
      <c r="SBB291" s="1069"/>
      <c r="SBC291" s="1069"/>
      <c r="SBD291" s="1069"/>
      <c r="SBE291" s="1069"/>
      <c r="SBF291" s="1069"/>
      <c r="SBG291" s="1069"/>
      <c r="SBH291" s="1069"/>
      <c r="SBI291" s="1069"/>
      <c r="SBJ291" s="1069"/>
      <c r="SBK291" s="1069"/>
      <c r="SBL291" s="1069"/>
      <c r="SBM291" s="1069"/>
      <c r="SBN291" s="1069"/>
      <c r="SBO291" s="1069"/>
      <c r="SBP291" s="1069"/>
      <c r="SBQ291" s="1069"/>
      <c r="SBR291" s="1069"/>
      <c r="SBS291" s="1069"/>
      <c r="SBT291" s="1069"/>
      <c r="SBU291" s="1069"/>
      <c r="SBV291" s="1069"/>
      <c r="SBW291" s="1069"/>
      <c r="SBX291" s="1069"/>
      <c r="SBY291" s="1069"/>
      <c r="SBZ291" s="1069"/>
      <c r="SCA291" s="1069"/>
      <c r="SCB291" s="1069"/>
      <c r="SCC291" s="1069"/>
      <c r="SCD291" s="1069"/>
      <c r="SCE291" s="1069"/>
      <c r="SCF291" s="1069"/>
      <c r="SCG291" s="1069"/>
      <c r="SCH291" s="1069"/>
      <c r="SCI291" s="1069"/>
      <c r="SCJ291" s="1069"/>
      <c r="SCK291" s="1069"/>
      <c r="SCL291" s="1069"/>
      <c r="SCM291" s="1069"/>
      <c r="SCN291" s="1069"/>
      <c r="SCO291" s="1069"/>
      <c r="SCP291" s="1069"/>
      <c r="SCQ291" s="1069"/>
      <c r="SCR291" s="1069"/>
      <c r="SCS291" s="1069"/>
      <c r="SCT291" s="1069"/>
      <c r="SCU291" s="1069"/>
      <c r="SCV291" s="1069"/>
      <c r="SCW291" s="1069"/>
      <c r="SCX291" s="1069"/>
      <c r="SCY291" s="1069"/>
      <c r="SCZ291" s="1069"/>
      <c r="SDA291" s="1069"/>
      <c r="SDB291" s="1069"/>
      <c r="SDC291" s="1069"/>
      <c r="SDD291" s="1069"/>
      <c r="SDE291" s="1069"/>
      <c r="SDF291" s="1069"/>
      <c r="SDG291" s="1069"/>
      <c r="SDH291" s="1069"/>
      <c r="SDI291" s="1069"/>
      <c r="SDJ291" s="1069"/>
      <c r="SDK291" s="1069"/>
      <c r="SDL291" s="1069"/>
      <c r="SDM291" s="1069"/>
      <c r="SDN291" s="1069"/>
      <c r="SDO291" s="1069"/>
      <c r="SDP291" s="1069"/>
      <c r="SDQ291" s="1069"/>
      <c r="SDR291" s="1069"/>
      <c r="SDS291" s="1069"/>
      <c r="SDT291" s="1069"/>
      <c r="SDU291" s="1069"/>
      <c r="SDV291" s="1069"/>
      <c r="SDW291" s="1069"/>
      <c r="SDX291" s="1069"/>
      <c r="SDY291" s="1069"/>
      <c r="SDZ291" s="1069"/>
      <c r="SEA291" s="1069"/>
      <c r="SEB291" s="1069"/>
      <c r="SEC291" s="1069"/>
      <c r="SED291" s="1069"/>
      <c r="SEE291" s="1069"/>
      <c r="SEF291" s="1069"/>
      <c r="SEG291" s="1069"/>
      <c r="SEH291" s="1069"/>
      <c r="SEI291" s="1069"/>
      <c r="SEJ291" s="1069"/>
      <c r="SEK291" s="1069"/>
      <c r="SEL291" s="1069"/>
      <c r="SEM291" s="1069"/>
      <c r="SEN291" s="1069"/>
      <c r="SEO291" s="1069"/>
      <c r="SEP291" s="1069"/>
      <c r="SEQ291" s="1069"/>
      <c r="SER291" s="1069"/>
      <c r="SES291" s="1069"/>
      <c r="SET291" s="1069"/>
      <c r="SEU291" s="1069"/>
      <c r="SEV291" s="1069"/>
      <c r="SEW291" s="1069"/>
      <c r="SEX291" s="1069"/>
      <c r="SEY291" s="1069"/>
      <c r="SEZ291" s="1069"/>
      <c r="SFA291" s="1069"/>
      <c r="SFB291" s="1069"/>
      <c r="SFC291" s="1069"/>
      <c r="SFD291" s="1069"/>
      <c r="SFE291" s="1069"/>
      <c r="SFF291" s="1069"/>
      <c r="SFG291" s="1069"/>
      <c r="SFH291" s="1069"/>
      <c r="SFI291" s="1069"/>
      <c r="SFJ291" s="1069"/>
      <c r="SFK291" s="1069"/>
      <c r="SFL291" s="1069"/>
      <c r="SFM291" s="1069"/>
      <c r="SFN291" s="1069"/>
      <c r="SFO291" s="1069"/>
      <c r="SFP291" s="1069"/>
      <c r="SFQ291" s="1069"/>
      <c r="SFR291" s="1069"/>
      <c r="SFS291" s="1069"/>
      <c r="SFT291" s="1069"/>
      <c r="SFU291" s="1069"/>
      <c r="SFV291" s="1069"/>
      <c r="SFW291" s="1069"/>
      <c r="SFX291" s="1069"/>
      <c r="SFY291" s="1069"/>
      <c r="SFZ291" s="1069"/>
      <c r="SGA291" s="1069"/>
      <c r="SGB291" s="1069"/>
      <c r="SGC291" s="1069"/>
      <c r="SGD291" s="1069"/>
      <c r="SGE291" s="1069"/>
      <c r="SGF291" s="1069"/>
      <c r="SGG291" s="1069"/>
      <c r="SGH291" s="1069"/>
      <c r="SGI291" s="1069"/>
      <c r="SGJ291" s="1069"/>
      <c r="SGK291" s="1069"/>
      <c r="SGL291" s="1069"/>
      <c r="SGM291" s="1069"/>
      <c r="SGN291" s="1069"/>
      <c r="SGO291" s="1069"/>
      <c r="SGP291" s="1069"/>
      <c r="SGQ291" s="1069"/>
      <c r="SGR291" s="1069"/>
      <c r="SGS291" s="1069"/>
      <c r="SGT291" s="1069"/>
      <c r="SGU291" s="1069"/>
      <c r="SGV291" s="1069"/>
      <c r="SGW291" s="1069"/>
      <c r="SGX291" s="1069"/>
      <c r="SGY291" s="1069"/>
      <c r="SGZ291" s="1069"/>
      <c r="SHA291" s="1069"/>
      <c r="SHB291" s="1069"/>
      <c r="SHC291" s="1069"/>
      <c r="SHD291" s="1069"/>
      <c r="SHE291" s="1069"/>
      <c r="SHF291" s="1069"/>
      <c r="SHG291" s="1069"/>
      <c r="SHH291" s="1069"/>
      <c r="SHI291" s="1069"/>
      <c r="SHJ291" s="1069"/>
      <c r="SHK291" s="1069"/>
      <c r="SHL291" s="1069"/>
      <c r="SHM291" s="1069"/>
      <c r="SHN291" s="1069"/>
      <c r="SHO291" s="1069"/>
      <c r="SHP291" s="1069"/>
      <c r="SHQ291" s="1069"/>
      <c r="SHR291" s="1069"/>
      <c r="SHS291" s="1069"/>
      <c r="SHT291" s="1069"/>
      <c r="SHU291" s="1069"/>
      <c r="SHV291" s="1069"/>
      <c r="SHW291" s="1069"/>
      <c r="SHX291" s="1069"/>
      <c r="SHY291" s="1069"/>
      <c r="SHZ291" s="1069"/>
      <c r="SIA291" s="1069"/>
      <c r="SIB291" s="1069"/>
      <c r="SIC291" s="1069"/>
      <c r="SID291" s="1069"/>
      <c r="SIE291" s="1069"/>
      <c r="SIF291" s="1069"/>
      <c r="SIG291" s="1069"/>
      <c r="SIH291" s="1069"/>
      <c r="SII291" s="1069"/>
      <c r="SIJ291" s="1069"/>
      <c r="SIK291" s="1069"/>
      <c r="SIL291" s="1069"/>
      <c r="SIM291" s="1069"/>
      <c r="SIN291" s="1069"/>
      <c r="SIO291" s="1069"/>
      <c r="SIP291" s="1069"/>
      <c r="SIQ291" s="1069"/>
      <c r="SIR291" s="1069"/>
      <c r="SIS291" s="1069"/>
      <c r="SIT291" s="1069"/>
      <c r="SIU291" s="1069"/>
      <c r="SIV291" s="1069"/>
      <c r="SIW291" s="1069"/>
      <c r="SIX291" s="1069"/>
      <c r="SIY291" s="1069"/>
      <c r="SIZ291" s="1069"/>
      <c r="SJA291" s="1069"/>
      <c r="SJB291" s="1069"/>
      <c r="SJC291" s="1069"/>
      <c r="SJD291" s="1069"/>
      <c r="SJE291" s="1069"/>
      <c r="SJF291" s="1069"/>
      <c r="SJG291" s="1069"/>
      <c r="SJH291" s="1069"/>
      <c r="SJI291" s="1069"/>
      <c r="SJJ291" s="1069"/>
      <c r="SJK291" s="1069"/>
      <c r="SJL291" s="1069"/>
      <c r="SJM291" s="1069"/>
      <c r="SJN291" s="1069"/>
      <c r="SJO291" s="1069"/>
      <c r="SJP291" s="1069"/>
      <c r="SJQ291" s="1069"/>
      <c r="SJR291" s="1069"/>
      <c r="SJS291" s="1069"/>
      <c r="SJT291" s="1069"/>
      <c r="SJU291" s="1069"/>
      <c r="SJV291" s="1069"/>
      <c r="SJW291" s="1069"/>
      <c r="SJX291" s="1069"/>
      <c r="SJY291" s="1069"/>
      <c r="SJZ291" s="1069"/>
      <c r="SKA291" s="1069"/>
      <c r="SKB291" s="1069"/>
      <c r="SKC291" s="1069"/>
      <c r="SKD291" s="1069"/>
      <c r="SKE291" s="1069"/>
      <c r="SKF291" s="1069"/>
      <c r="SKG291" s="1069"/>
      <c r="SKH291" s="1069"/>
      <c r="SKI291" s="1069"/>
      <c r="SKJ291" s="1069"/>
      <c r="SKK291" s="1069"/>
      <c r="SKL291" s="1069"/>
      <c r="SKM291" s="1069"/>
      <c r="SKN291" s="1069"/>
      <c r="SKO291" s="1069"/>
      <c r="SKP291" s="1069"/>
      <c r="SKQ291" s="1069"/>
      <c r="SKR291" s="1069"/>
      <c r="SKS291" s="1069"/>
      <c r="SKT291" s="1069"/>
      <c r="SKU291" s="1069"/>
      <c r="SKV291" s="1069"/>
      <c r="SKW291" s="1069"/>
      <c r="SKX291" s="1069"/>
      <c r="SKY291" s="1069"/>
      <c r="SKZ291" s="1069"/>
      <c r="SLA291" s="1069"/>
      <c r="SLB291" s="1069"/>
      <c r="SLC291" s="1069"/>
      <c r="SLD291" s="1069"/>
      <c r="SLE291" s="1069"/>
      <c r="SLF291" s="1069"/>
      <c r="SLG291" s="1069"/>
      <c r="SLH291" s="1069"/>
      <c r="SLI291" s="1069"/>
      <c r="SLJ291" s="1069"/>
      <c r="SLK291" s="1069"/>
      <c r="SLL291" s="1069"/>
      <c r="SLM291" s="1069"/>
      <c r="SLN291" s="1069"/>
      <c r="SLO291" s="1069"/>
      <c r="SLP291" s="1069"/>
      <c r="SLQ291" s="1069"/>
      <c r="SLR291" s="1069"/>
      <c r="SLS291" s="1069"/>
      <c r="SLT291" s="1069"/>
      <c r="SLU291" s="1069"/>
      <c r="SLV291" s="1069"/>
      <c r="SLW291" s="1069"/>
      <c r="SLX291" s="1069"/>
      <c r="SLY291" s="1069"/>
      <c r="SLZ291" s="1069"/>
      <c r="SMA291" s="1069"/>
      <c r="SMB291" s="1069"/>
      <c r="SMC291" s="1069"/>
      <c r="SMD291" s="1069"/>
      <c r="SME291" s="1069"/>
      <c r="SMF291" s="1069"/>
      <c r="SMG291" s="1069"/>
      <c r="SMH291" s="1069"/>
      <c r="SMI291" s="1069"/>
      <c r="SMJ291" s="1069"/>
      <c r="SMK291" s="1069"/>
      <c r="SML291" s="1069"/>
      <c r="SMM291" s="1069"/>
      <c r="SMN291" s="1069"/>
      <c r="SMO291" s="1069"/>
      <c r="SMP291" s="1069"/>
      <c r="SMQ291" s="1069"/>
      <c r="SMR291" s="1069"/>
      <c r="SMS291" s="1069"/>
      <c r="SMT291" s="1069"/>
      <c r="SMU291" s="1069"/>
      <c r="SMV291" s="1069"/>
      <c r="SMW291" s="1069"/>
      <c r="SMX291" s="1069"/>
      <c r="SMY291" s="1069"/>
      <c r="SMZ291" s="1069"/>
      <c r="SNA291" s="1069"/>
      <c r="SNB291" s="1069"/>
      <c r="SNC291" s="1069"/>
      <c r="SND291" s="1069"/>
      <c r="SNE291" s="1069"/>
      <c r="SNF291" s="1069"/>
      <c r="SNG291" s="1069"/>
      <c r="SNH291" s="1069"/>
      <c r="SNI291" s="1069"/>
      <c r="SNJ291" s="1069"/>
      <c r="SNK291" s="1069"/>
      <c r="SNL291" s="1069"/>
      <c r="SNM291" s="1069"/>
      <c r="SNN291" s="1069"/>
      <c r="SNO291" s="1069"/>
      <c r="SNP291" s="1069"/>
      <c r="SNQ291" s="1069"/>
      <c r="SNR291" s="1069"/>
      <c r="SNS291" s="1069"/>
      <c r="SNT291" s="1069"/>
      <c r="SNU291" s="1069"/>
      <c r="SNV291" s="1069"/>
      <c r="SNW291" s="1069"/>
      <c r="SNX291" s="1069"/>
      <c r="SNY291" s="1069"/>
      <c r="SNZ291" s="1069"/>
      <c r="SOA291" s="1069"/>
      <c r="SOB291" s="1069"/>
      <c r="SOC291" s="1069"/>
      <c r="SOD291" s="1069"/>
      <c r="SOE291" s="1069"/>
      <c r="SOF291" s="1069"/>
      <c r="SOG291" s="1069"/>
      <c r="SOH291" s="1069"/>
      <c r="SOI291" s="1069"/>
      <c r="SOJ291" s="1069"/>
      <c r="SOK291" s="1069"/>
      <c r="SOL291" s="1069"/>
      <c r="SOM291" s="1069"/>
      <c r="SON291" s="1069"/>
      <c r="SOO291" s="1069"/>
      <c r="SOP291" s="1069"/>
      <c r="SOQ291" s="1069"/>
      <c r="SOR291" s="1069"/>
      <c r="SOS291" s="1069"/>
      <c r="SOT291" s="1069"/>
      <c r="SOU291" s="1069"/>
      <c r="SOV291" s="1069"/>
      <c r="SOW291" s="1069"/>
      <c r="SOX291" s="1069"/>
      <c r="SOY291" s="1069"/>
      <c r="SOZ291" s="1069"/>
      <c r="SPA291" s="1069"/>
      <c r="SPB291" s="1069"/>
      <c r="SPC291" s="1069"/>
      <c r="SPD291" s="1069"/>
      <c r="SPE291" s="1069"/>
      <c r="SPF291" s="1069"/>
      <c r="SPG291" s="1069"/>
      <c r="SPH291" s="1069"/>
      <c r="SPI291" s="1069"/>
      <c r="SPJ291" s="1069"/>
      <c r="SPK291" s="1069"/>
      <c r="SPL291" s="1069"/>
      <c r="SPM291" s="1069"/>
      <c r="SPN291" s="1069"/>
      <c r="SPO291" s="1069"/>
      <c r="SPP291" s="1069"/>
      <c r="SPQ291" s="1069"/>
      <c r="SPR291" s="1069"/>
      <c r="SPS291" s="1069"/>
      <c r="SPT291" s="1069"/>
      <c r="SPU291" s="1069"/>
      <c r="SPV291" s="1069"/>
      <c r="SPW291" s="1069"/>
      <c r="SPX291" s="1069"/>
      <c r="SPY291" s="1069"/>
      <c r="SPZ291" s="1069"/>
      <c r="SQA291" s="1069"/>
      <c r="SQB291" s="1069"/>
      <c r="SQC291" s="1069"/>
      <c r="SQD291" s="1069"/>
      <c r="SQE291" s="1069"/>
      <c r="SQF291" s="1069"/>
      <c r="SQG291" s="1069"/>
      <c r="SQH291" s="1069"/>
      <c r="SQI291" s="1069"/>
      <c r="SQJ291" s="1069"/>
      <c r="SQK291" s="1069"/>
      <c r="SQL291" s="1069"/>
      <c r="SQM291" s="1069"/>
      <c r="SQN291" s="1069"/>
      <c r="SQO291" s="1069"/>
      <c r="SQP291" s="1069"/>
      <c r="SQQ291" s="1069"/>
      <c r="SQR291" s="1069"/>
      <c r="SQS291" s="1069"/>
      <c r="SQT291" s="1069"/>
      <c r="SQU291" s="1069"/>
      <c r="SQV291" s="1069"/>
      <c r="SQW291" s="1069"/>
      <c r="SQX291" s="1069"/>
      <c r="SQY291" s="1069"/>
      <c r="SQZ291" s="1069"/>
      <c r="SRA291" s="1069"/>
      <c r="SRB291" s="1069"/>
      <c r="SRC291" s="1069"/>
      <c r="SRD291" s="1069"/>
      <c r="SRE291" s="1069"/>
      <c r="SRF291" s="1069"/>
      <c r="SRG291" s="1069"/>
      <c r="SRH291" s="1069"/>
      <c r="SRI291" s="1069"/>
      <c r="SRJ291" s="1069"/>
      <c r="SRK291" s="1069"/>
      <c r="SRL291" s="1069"/>
      <c r="SRM291" s="1069"/>
      <c r="SRN291" s="1069"/>
      <c r="SRO291" s="1069"/>
      <c r="SRP291" s="1069"/>
      <c r="SRQ291" s="1069"/>
      <c r="SRR291" s="1069"/>
      <c r="SRS291" s="1069"/>
      <c r="SRT291" s="1069"/>
      <c r="SRU291" s="1069"/>
      <c r="SRV291" s="1069"/>
      <c r="SRW291" s="1069"/>
      <c r="SRX291" s="1069"/>
      <c r="SRY291" s="1069"/>
      <c r="SRZ291" s="1069"/>
      <c r="SSA291" s="1069"/>
      <c r="SSB291" s="1069"/>
      <c r="SSC291" s="1069"/>
      <c r="SSD291" s="1069"/>
      <c r="SSE291" s="1069"/>
      <c r="SSF291" s="1069"/>
      <c r="SSG291" s="1069"/>
      <c r="SSH291" s="1069"/>
      <c r="SSI291" s="1069"/>
      <c r="SSJ291" s="1069"/>
      <c r="SSK291" s="1069"/>
      <c r="SSL291" s="1069"/>
      <c r="SSM291" s="1069"/>
      <c r="SSN291" s="1069"/>
      <c r="SSO291" s="1069"/>
      <c r="SSP291" s="1069"/>
      <c r="SSQ291" s="1069"/>
      <c r="SSR291" s="1069"/>
      <c r="SSS291" s="1069"/>
      <c r="SST291" s="1069"/>
      <c r="SSU291" s="1069"/>
      <c r="SSV291" s="1069"/>
      <c r="SSW291" s="1069"/>
      <c r="SSX291" s="1069"/>
      <c r="SSY291" s="1069"/>
      <c r="SSZ291" s="1069"/>
      <c r="STA291" s="1069"/>
      <c r="STB291" s="1069"/>
      <c r="STC291" s="1069"/>
      <c r="STD291" s="1069"/>
      <c r="STE291" s="1069"/>
      <c r="STF291" s="1069"/>
      <c r="STG291" s="1069"/>
      <c r="STH291" s="1069"/>
      <c r="STI291" s="1069"/>
      <c r="STJ291" s="1069"/>
      <c r="STK291" s="1069"/>
      <c r="STL291" s="1069"/>
      <c r="STM291" s="1069"/>
      <c r="STN291" s="1069"/>
      <c r="STO291" s="1069"/>
      <c r="STP291" s="1069"/>
      <c r="STQ291" s="1069"/>
      <c r="STR291" s="1069"/>
      <c r="STS291" s="1069"/>
      <c r="STT291" s="1069"/>
      <c r="STU291" s="1069"/>
      <c r="STV291" s="1069"/>
      <c r="STW291" s="1069"/>
      <c r="STX291" s="1069"/>
      <c r="STY291" s="1069"/>
      <c r="STZ291" s="1069"/>
      <c r="SUA291" s="1069"/>
      <c r="SUB291" s="1069"/>
      <c r="SUC291" s="1069"/>
      <c r="SUD291" s="1069"/>
      <c r="SUE291" s="1069"/>
      <c r="SUF291" s="1069"/>
      <c r="SUG291" s="1069"/>
      <c r="SUH291" s="1069"/>
      <c r="SUI291" s="1069"/>
      <c r="SUJ291" s="1069"/>
      <c r="SUK291" s="1069"/>
      <c r="SUL291" s="1069"/>
      <c r="SUM291" s="1069"/>
      <c r="SUN291" s="1069"/>
      <c r="SUO291" s="1069"/>
      <c r="SUP291" s="1069"/>
      <c r="SUQ291" s="1069"/>
      <c r="SUR291" s="1069"/>
      <c r="SUS291" s="1069"/>
      <c r="SUT291" s="1069"/>
      <c r="SUU291" s="1069"/>
      <c r="SUV291" s="1069"/>
      <c r="SUW291" s="1069"/>
      <c r="SUX291" s="1069"/>
      <c r="SUY291" s="1069"/>
      <c r="SUZ291" s="1069"/>
      <c r="SVA291" s="1069"/>
      <c r="SVB291" s="1069"/>
      <c r="SVC291" s="1069"/>
      <c r="SVD291" s="1069"/>
      <c r="SVE291" s="1069"/>
      <c r="SVF291" s="1069"/>
      <c r="SVG291" s="1069"/>
      <c r="SVH291" s="1069"/>
      <c r="SVI291" s="1069"/>
      <c r="SVJ291" s="1069"/>
      <c r="SVK291" s="1069"/>
      <c r="SVL291" s="1069"/>
      <c r="SVM291" s="1069"/>
      <c r="SVN291" s="1069"/>
      <c r="SVO291" s="1069"/>
      <c r="SVP291" s="1069"/>
      <c r="SVQ291" s="1069"/>
      <c r="SVR291" s="1069"/>
      <c r="SVS291" s="1069"/>
      <c r="SVT291" s="1069"/>
      <c r="SVU291" s="1069"/>
      <c r="SVV291" s="1069"/>
      <c r="SVW291" s="1069"/>
      <c r="SVX291" s="1069"/>
      <c r="SVY291" s="1069"/>
      <c r="SVZ291" s="1069"/>
      <c r="SWA291" s="1069"/>
      <c r="SWB291" s="1069"/>
      <c r="SWC291" s="1069"/>
      <c r="SWD291" s="1069"/>
      <c r="SWE291" s="1069"/>
      <c r="SWF291" s="1069"/>
      <c r="SWG291" s="1069"/>
      <c r="SWH291" s="1069"/>
      <c r="SWI291" s="1069"/>
      <c r="SWJ291" s="1069"/>
      <c r="SWK291" s="1069"/>
      <c r="SWL291" s="1069"/>
      <c r="SWM291" s="1069"/>
      <c r="SWN291" s="1069"/>
      <c r="SWO291" s="1069"/>
      <c r="SWP291" s="1069"/>
      <c r="SWQ291" s="1069"/>
      <c r="SWR291" s="1069"/>
      <c r="SWS291" s="1069"/>
      <c r="SWT291" s="1069"/>
      <c r="SWU291" s="1069"/>
      <c r="SWV291" s="1069"/>
      <c r="SWW291" s="1069"/>
      <c r="SWX291" s="1069"/>
      <c r="SWY291" s="1069"/>
      <c r="SWZ291" s="1069"/>
      <c r="SXA291" s="1069"/>
      <c r="SXB291" s="1069"/>
      <c r="SXC291" s="1069"/>
      <c r="SXD291" s="1069"/>
      <c r="SXE291" s="1069"/>
      <c r="SXF291" s="1069"/>
      <c r="SXG291" s="1069"/>
      <c r="SXH291" s="1069"/>
      <c r="SXI291" s="1069"/>
      <c r="SXJ291" s="1069"/>
      <c r="SXK291" s="1069"/>
      <c r="SXL291" s="1069"/>
      <c r="SXM291" s="1069"/>
      <c r="SXN291" s="1069"/>
      <c r="SXO291" s="1069"/>
      <c r="SXP291" s="1069"/>
      <c r="SXQ291" s="1069"/>
      <c r="SXR291" s="1069"/>
      <c r="SXS291" s="1069"/>
      <c r="SXT291" s="1069"/>
      <c r="SXU291" s="1069"/>
      <c r="SXV291" s="1069"/>
      <c r="SXW291" s="1069"/>
      <c r="SXX291" s="1069"/>
      <c r="SXY291" s="1069"/>
      <c r="SXZ291" s="1069"/>
      <c r="SYA291" s="1069"/>
      <c r="SYB291" s="1069"/>
      <c r="SYC291" s="1069"/>
      <c r="SYD291" s="1069"/>
      <c r="SYE291" s="1069"/>
      <c r="SYF291" s="1069"/>
      <c r="SYG291" s="1069"/>
      <c r="SYH291" s="1069"/>
      <c r="SYI291" s="1069"/>
      <c r="SYJ291" s="1069"/>
      <c r="SYK291" s="1069"/>
      <c r="SYL291" s="1069"/>
      <c r="SYM291" s="1069"/>
      <c r="SYN291" s="1069"/>
      <c r="SYO291" s="1069"/>
      <c r="SYP291" s="1069"/>
      <c r="SYQ291" s="1069"/>
      <c r="SYR291" s="1069"/>
      <c r="SYS291" s="1069"/>
      <c r="SYT291" s="1069"/>
      <c r="SYU291" s="1069"/>
      <c r="SYV291" s="1069"/>
      <c r="SYW291" s="1069"/>
      <c r="SYX291" s="1069"/>
      <c r="SYY291" s="1069"/>
      <c r="SYZ291" s="1069"/>
      <c r="SZA291" s="1069"/>
      <c r="SZB291" s="1069"/>
      <c r="SZC291" s="1069"/>
      <c r="SZD291" s="1069"/>
      <c r="SZE291" s="1069"/>
      <c r="SZF291" s="1069"/>
      <c r="SZG291" s="1069"/>
      <c r="SZH291" s="1069"/>
      <c r="SZI291" s="1069"/>
      <c r="SZJ291" s="1069"/>
      <c r="SZK291" s="1069"/>
      <c r="SZL291" s="1069"/>
      <c r="SZM291" s="1069"/>
      <c r="SZN291" s="1069"/>
      <c r="SZO291" s="1069"/>
      <c r="SZP291" s="1069"/>
      <c r="SZQ291" s="1069"/>
      <c r="SZR291" s="1069"/>
      <c r="SZS291" s="1069"/>
      <c r="SZT291" s="1069"/>
      <c r="SZU291" s="1069"/>
      <c r="SZV291" s="1069"/>
      <c r="SZW291" s="1069"/>
      <c r="SZX291" s="1069"/>
      <c r="SZY291" s="1069"/>
      <c r="SZZ291" s="1069"/>
      <c r="TAA291" s="1069"/>
      <c r="TAB291" s="1069"/>
      <c r="TAC291" s="1069"/>
      <c r="TAD291" s="1069"/>
      <c r="TAE291" s="1069"/>
      <c r="TAF291" s="1069"/>
      <c r="TAG291" s="1069"/>
      <c r="TAH291" s="1069"/>
      <c r="TAI291" s="1069"/>
      <c r="TAJ291" s="1069"/>
      <c r="TAK291" s="1069"/>
      <c r="TAL291" s="1069"/>
      <c r="TAM291" s="1069"/>
      <c r="TAN291" s="1069"/>
      <c r="TAO291" s="1069"/>
      <c r="TAP291" s="1069"/>
      <c r="TAQ291" s="1069"/>
      <c r="TAR291" s="1069"/>
      <c r="TAS291" s="1069"/>
      <c r="TAT291" s="1069"/>
      <c r="TAU291" s="1069"/>
      <c r="TAV291" s="1069"/>
      <c r="TAW291" s="1069"/>
      <c r="TAX291" s="1069"/>
      <c r="TAY291" s="1069"/>
      <c r="TAZ291" s="1069"/>
      <c r="TBA291" s="1069"/>
      <c r="TBB291" s="1069"/>
      <c r="TBC291" s="1069"/>
      <c r="TBD291" s="1069"/>
      <c r="TBE291" s="1069"/>
      <c r="TBF291" s="1069"/>
      <c r="TBG291" s="1069"/>
      <c r="TBH291" s="1069"/>
      <c r="TBI291" s="1069"/>
      <c r="TBJ291" s="1069"/>
      <c r="TBK291" s="1069"/>
      <c r="TBL291" s="1069"/>
      <c r="TBM291" s="1069"/>
      <c r="TBN291" s="1069"/>
      <c r="TBO291" s="1069"/>
      <c r="TBP291" s="1069"/>
      <c r="TBQ291" s="1069"/>
      <c r="TBR291" s="1069"/>
      <c r="TBS291" s="1069"/>
      <c r="TBT291" s="1069"/>
      <c r="TBU291" s="1069"/>
      <c r="TBV291" s="1069"/>
      <c r="TBW291" s="1069"/>
      <c r="TBX291" s="1069"/>
      <c r="TBY291" s="1069"/>
      <c r="TBZ291" s="1069"/>
      <c r="TCA291" s="1069"/>
      <c r="TCB291" s="1069"/>
      <c r="TCC291" s="1069"/>
      <c r="TCD291" s="1069"/>
      <c r="TCE291" s="1069"/>
      <c r="TCF291" s="1069"/>
      <c r="TCG291" s="1069"/>
      <c r="TCH291" s="1069"/>
      <c r="TCI291" s="1069"/>
      <c r="TCJ291" s="1069"/>
      <c r="TCK291" s="1069"/>
      <c r="TCL291" s="1069"/>
      <c r="TCM291" s="1069"/>
      <c r="TCN291" s="1069"/>
      <c r="TCO291" s="1069"/>
      <c r="TCP291" s="1069"/>
      <c r="TCQ291" s="1069"/>
      <c r="TCR291" s="1069"/>
      <c r="TCS291" s="1069"/>
      <c r="TCT291" s="1069"/>
      <c r="TCU291" s="1069"/>
      <c r="TCV291" s="1069"/>
      <c r="TCW291" s="1069"/>
      <c r="TCX291" s="1069"/>
      <c r="TCY291" s="1069"/>
      <c r="TCZ291" s="1069"/>
      <c r="TDA291" s="1069"/>
      <c r="TDB291" s="1069"/>
      <c r="TDC291" s="1069"/>
      <c r="TDD291" s="1069"/>
      <c r="TDE291" s="1069"/>
      <c r="TDF291" s="1069"/>
      <c r="TDG291" s="1069"/>
      <c r="TDH291" s="1069"/>
      <c r="TDI291" s="1069"/>
      <c r="TDJ291" s="1069"/>
      <c r="TDK291" s="1069"/>
      <c r="TDL291" s="1069"/>
      <c r="TDM291" s="1069"/>
      <c r="TDN291" s="1069"/>
      <c r="TDO291" s="1069"/>
      <c r="TDP291" s="1069"/>
      <c r="TDQ291" s="1069"/>
      <c r="TDR291" s="1069"/>
      <c r="TDS291" s="1069"/>
      <c r="TDT291" s="1069"/>
      <c r="TDU291" s="1069"/>
      <c r="TDV291" s="1069"/>
      <c r="TDW291" s="1069"/>
      <c r="TDX291" s="1069"/>
      <c r="TDY291" s="1069"/>
      <c r="TDZ291" s="1069"/>
      <c r="TEA291" s="1069"/>
      <c r="TEB291" s="1069"/>
      <c r="TEC291" s="1069"/>
      <c r="TED291" s="1069"/>
      <c r="TEE291" s="1069"/>
      <c r="TEF291" s="1069"/>
      <c r="TEG291" s="1069"/>
      <c r="TEH291" s="1069"/>
      <c r="TEI291" s="1069"/>
      <c r="TEJ291" s="1069"/>
      <c r="TEK291" s="1069"/>
      <c r="TEL291" s="1069"/>
      <c r="TEM291" s="1069"/>
      <c r="TEN291" s="1069"/>
      <c r="TEO291" s="1069"/>
      <c r="TEP291" s="1069"/>
      <c r="TEQ291" s="1069"/>
      <c r="TER291" s="1069"/>
      <c r="TES291" s="1069"/>
      <c r="TET291" s="1069"/>
      <c r="TEU291" s="1069"/>
      <c r="TEV291" s="1069"/>
      <c r="TEW291" s="1069"/>
      <c r="TEX291" s="1069"/>
      <c r="TEY291" s="1069"/>
      <c r="TEZ291" s="1069"/>
      <c r="TFA291" s="1069"/>
      <c r="TFB291" s="1069"/>
      <c r="TFC291" s="1069"/>
      <c r="TFD291" s="1069"/>
      <c r="TFE291" s="1069"/>
      <c r="TFF291" s="1069"/>
      <c r="TFG291" s="1069"/>
      <c r="TFH291" s="1069"/>
      <c r="TFI291" s="1069"/>
      <c r="TFJ291" s="1069"/>
      <c r="TFK291" s="1069"/>
      <c r="TFL291" s="1069"/>
      <c r="TFM291" s="1069"/>
      <c r="TFN291" s="1069"/>
      <c r="TFO291" s="1069"/>
      <c r="TFP291" s="1069"/>
      <c r="TFQ291" s="1069"/>
      <c r="TFR291" s="1069"/>
      <c r="TFS291" s="1069"/>
      <c r="TFT291" s="1069"/>
      <c r="TFU291" s="1069"/>
      <c r="TFV291" s="1069"/>
      <c r="TFW291" s="1069"/>
      <c r="TFX291" s="1069"/>
      <c r="TFY291" s="1069"/>
      <c r="TFZ291" s="1069"/>
      <c r="TGA291" s="1069"/>
      <c r="TGB291" s="1069"/>
      <c r="TGC291" s="1069"/>
      <c r="TGD291" s="1069"/>
      <c r="TGE291" s="1069"/>
      <c r="TGF291" s="1069"/>
      <c r="TGG291" s="1069"/>
      <c r="TGH291" s="1069"/>
      <c r="TGI291" s="1069"/>
      <c r="TGJ291" s="1069"/>
      <c r="TGK291" s="1069"/>
      <c r="TGL291" s="1069"/>
      <c r="TGM291" s="1069"/>
      <c r="TGN291" s="1069"/>
      <c r="TGO291" s="1069"/>
      <c r="TGP291" s="1069"/>
      <c r="TGQ291" s="1069"/>
      <c r="TGR291" s="1069"/>
      <c r="TGS291" s="1069"/>
      <c r="TGT291" s="1069"/>
      <c r="TGU291" s="1069"/>
      <c r="TGV291" s="1069"/>
      <c r="TGW291" s="1069"/>
      <c r="TGX291" s="1069"/>
      <c r="TGY291" s="1069"/>
      <c r="TGZ291" s="1069"/>
      <c r="THA291" s="1069"/>
      <c r="THB291" s="1069"/>
      <c r="THC291" s="1069"/>
      <c r="THD291" s="1069"/>
      <c r="THE291" s="1069"/>
      <c r="THF291" s="1069"/>
      <c r="THG291" s="1069"/>
      <c r="THH291" s="1069"/>
      <c r="THI291" s="1069"/>
      <c r="THJ291" s="1069"/>
      <c r="THK291" s="1069"/>
      <c r="THL291" s="1069"/>
      <c r="THM291" s="1069"/>
      <c r="THN291" s="1069"/>
      <c r="THO291" s="1069"/>
      <c r="THP291" s="1069"/>
      <c r="THQ291" s="1069"/>
      <c r="THR291" s="1069"/>
      <c r="THS291" s="1069"/>
      <c r="THT291" s="1069"/>
      <c r="THU291" s="1069"/>
      <c r="THV291" s="1069"/>
      <c r="THW291" s="1069"/>
      <c r="THX291" s="1069"/>
      <c r="THY291" s="1069"/>
      <c r="THZ291" s="1069"/>
      <c r="TIA291" s="1069"/>
      <c r="TIB291" s="1069"/>
      <c r="TIC291" s="1069"/>
      <c r="TID291" s="1069"/>
      <c r="TIE291" s="1069"/>
      <c r="TIF291" s="1069"/>
      <c r="TIG291" s="1069"/>
      <c r="TIH291" s="1069"/>
      <c r="TII291" s="1069"/>
      <c r="TIJ291" s="1069"/>
      <c r="TIK291" s="1069"/>
      <c r="TIL291" s="1069"/>
      <c r="TIM291" s="1069"/>
      <c r="TIN291" s="1069"/>
      <c r="TIO291" s="1069"/>
      <c r="TIP291" s="1069"/>
      <c r="TIQ291" s="1069"/>
      <c r="TIR291" s="1069"/>
      <c r="TIS291" s="1069"/>
      <c r="TIT291" s="1069"/>
      <c r="TIU291" s="1069"/>
      <c r="TIV291" s="1069"/>
      <c r="TIW291" s="1069"/>
      <c r="TIX291" s="1069"/>
      <c r="TIY291" s="1069"/>
      <c r="TIZ291" s="1069"/>
      <c r="TJA291" s="1069"/>
      <c r="TJB291" s="1069"/>
      <c r="TJC291" s="1069"/>
      <c r="TJD291" s="1069"/>
      <c r="TJE291" s="1069"/>
      <c r="TJF291" s="1069"/>
      <c r="TJG291" s="1069"/>
      <c r="TJH291" s="1069"/>
      <c r="TJI291" s="1069"/>
      <c r="TJJ291" s="1069"/>
      <c r="TJK291" s="1069"/>
      <c r="TJL291" s="1069"/>
      <c r="TJM291" s="1069"/>
      <c r="TJN291" s="1069"/>
      <c r="TJO291" s="1069"/>
      <c r="TJP291" s="1069"/>
      <c r="TJQ291" s="1069"/>
      <c r="TJR291" s="1069"/>
      <c r="TJS291" s="1069"/>
      <c r="TJT291" s="1069"/>
      <c r="TJU291" s="1069"/>
      <c r="TJV291" s="1069"/>
      <c r="TJW291" s="1069"/>
      <c r="TJX291" s="1069"/>
      <c r="TJY291" s="1069"/>
      <c r="TJZ291" s="1069"/>
      <c r="TKA291" s="1069"/>
      <c r="TKB291" s="1069"/>
      <c r="TKC291" s="1069"/>
      <c r="TKD291" s="1069"/>
      <c r="TKE291" s="1069"/>
      <c r="TKF291" s="1069"/>
      <c r="TKG291" s="1069"/>
      <c r="TKH291" s="1069"/>
      <c r="TKI291" s="1069"/>
      <c r="TKJ291" s="1069"/>
      <c r="TKK291" s="1069"/>
      <c r="TKL291" s="1069"/>
      <c r="TKM291" s="1069"/>
      <c r="TKN291" s="1069"/>
      <c r="TKO291" s="1069"/>
      <c r="TKP291" s="1069"/>
      <c r="TKQ291" s="1069"/>
      <c r="TKR291" s="1069"/>
      <c r="TKS291" s="1069"/>
      <c r="TKT291" s="1069"/>
      <c r="TKU291" s="1069"/>
      <c r="TKV291" s="1069"/>
      <c r="TKW291" s="1069"/>
      <c r="TKX291" s="1069"/>
      <c r="TKY291" s="1069"/>
      <c r="TKZ291" s="1069"/>
      <c r="TLA291" s="1069"/>
      <c r="TLB291" s="1069"/>
      <c r="TLC291" s="1069"/>
      <c r="TLD291" s="1069"/>
      <c r="TLE291" s="1069"/>
      <c r="TLF291" s="1069"/>
      <c r="TLG291" s="1069"/>
      <c r="TLH291" s="1069"/>
      <c r="TLI291" s="1069"/>
      <c r="TLJ291" s="1069"/>
      <c r="TLK291" s="1069"/>
      <c r="TLL291" s="1069"/>
      <c r="TLM291" s="1069"/>
      <c r="TLN291" s="1069"/>
      <c r="TLO291" s="1069"/>
      <c r="TLP291" s="1069"/>
      <c r="TLQ291" s="1069"/>
      <c r="TLR291" s="1069"/>
      <c r="TLS291" s="1069"/>
      <c r="TLT291" s="1069"/>
      <c r="TLU291" s="1069"/>
      <c r="TLV291" s="1069"/>
      <c r="TLW291" s="1069"/>
      <c r="TLX291" s="1069"/>
      <c r="TLY291" s="1069"/>
      <c r="TLZ291" s="1069"/>
      <c r="TMA291" s="1069"/>
      <c r="TMB291" s="1069"/>
      <c r="TMC291" s="1069"/>
      <c r="TMD291" s="1069"/>
      <c r="TME291" s="1069"/>
      <c r="TMF291" s="1069"/>
      <c r="TMG291" s="1069"/>
      <c r="TMH291" s="1069"/>
      <c r="TMI291" s="1069"/>
      <c r="TMJ291" s="1069"/>
      <c r="TMK291" s="1069"/>
      <c r="TML291" s="1069"/>
      <c r="TMM291" s="1069"/>
      <c r="TMN291" s="1069"/>
      <c r="TMO291" s="1069"/>
      <c r="TMP291" s="1069"/>
      <c r="TMQ291" s="1069"/>
      <c r="TMR291" s="1069"/>
      <c r="TMS291" s="1069"/>
      <c r="TMT291" s="1069"/>
      <c r="TMU291" s="1069"/>
      <c r="TMV291" s="1069"/>
      <c r="TMW291" s="1069"/>
      <c r="TMX291" s="1069"/>
      <c r="TMY291" s="1069"/>
      <c r="TMZ291" s="1069"/>
      <c r="TNA291" s="1069"/>
      <c r="TNB291" s="1069"/>
      <c r="TNC291" s="1069"/>
      <c r="TND291" s="1069"/>
      <c r="TNE291" s="1069"/>
      <c r="TNF291" s="1069"/>
      <c r="TNG291" s="1069"/>
      <c r="TNH291" s="1069"/>
      <c r="TNI291" s="1069"/>
      <c r="TNJ291" s="1069"/>
      <c r="TNK291" s="1069"/>
      <c r="TNL291" s="1069"/>
      <c r="TNM291" s="1069"/>
      <c r="TNN291" s="1069"/>
      <c r="TNO291" s="1069"/>
      <c r="TNP291" s="1069"/>
      <c r="TNQ291" s="1069"/>
      <c r="TNR291" s="1069"/>
      <c r="TNS291" s="1069"/>
      <c r="TNT291" s="1069"/>
      <c r="TNU291" s="1069"/>
      <c r="TNV291" s="1069"/>
      <c r="TNW291" s="1069"/>
      <c r="TNX291" s="1069"/>
      <c r="TNY291" s="1069"/>
      <c r="TNZ291" s="1069"/>
      <c r="TOA291" s="1069"/>
      <c r="TOB291" s="1069"/>
      <c r="TOC291" s="1069"/>
      <c r="TOD291" s="1069"/>
      <c r="TOE291" s="1069"/>
      <c r="TOF291" s="1069"/>
      <c r="TOG291" s="1069"/>
      <c r="TOH291" s="1069"/>
      <c r="TOI291" s="1069"/>
      <c r="TOJ291" s="1069"/>
      <c r="TOK291" s="1069"/>
      <c r="TOL291" s="1069"/>
      <c r="TOM291" s="1069"/>
      <c r="TON291" s="1069"/>
      <c r="TOO291" s="1069"/>
      <c r="TOP291" s="1069"/>
      <c r="TOQ291" s="1069"/>
      <c r="TOR291" s="1069"/>
      <c r="TOS291" s="1069"/>
      <c r="TOT291" s="1069"/>
      <c r="TOU291" s="1069"/>
      <c r="TOV291" s="1069"/>
      <c r="TOW291" s="1069"/>
      <c r="TOX291" s="1069"/>
      <c r="TOY291" s="1069"/>
      <c r="TOZ291" s="1069"/>
      <c r="TPA291" s="1069"/>
      <c r="TPB291" s="1069"/>
      <c r="TPC291" s="1069"/>
      <c r="TPD291" s="1069"/>
      <c r="TPE291" s="1069"/>
      <c r="TPF291" s="1069"/>
      <c r="TPG291" s="1069"/>
      <c r="TPH291" s="1069"/>
      <c r="TPI291" s="1069"/>
      <c r="TPJ291" s="1069"/>
      <c r="TPK291" s="1069"/>
      <c r="TPL291" s="1069"/>
      <c r="TPM291" s="1069"/>
      <c r="TPN291" s="1069"/>
      <c r="TPO291" s="1069"/>
      <c r="TPP291" s="1069"/>
      <c r="TPQ291" s="1069"/>
      <c r="TPR291" s="1069"/>
      <c r="TPS291" s="1069"/>
      <c r="TPT291" s="1069"/>
      <c r="TPU291" s="1069"/>
      <c r="TPV291" s="1069"/>
      <c r="TPW291" s="1069"/>
      <c r="TPX291" s="1069"/>
      <c r="TPY291" s="1069"/>
      <c r="TPZ291" s="1069"/>
      <c r="TQA291" s="1069"/>
      <c r="TQB291" s="1069"/>
      <c r="TQC291" s="1069"/>
      <c r="TQD291" s="1069"/>
      <c r="TQE291" s="1069"/>
      <c r="TQF291" s="1069"/>
      <c r="TQG291" s="1069"/>
      <c r="TQH291" s="1069"/>
      <c r="TQI291" s="1069"/>
      <c r="TQJ291" s="1069"/>
      <c r="TQK291" s="1069"/>
      <c r="TQL291" s="1069"/>
      <c r="TQM291" s="1069"/>
      <c r="TQN291" s="1069"/>
      <c r="TQO291" s="1069"/>
      <c r="TQP291" s="1069"/>
      <c r="TQQ291" s="1069"/>
      <c r="TQR291" s="1069"/>
      <c r="TQS291" s="1069"/>
      <c r="TQT291" s="1069"/>
      <c r="TQU291" s="1069"/>
      <c r="TQV291" s="1069"/>
      <c r="TQW291" s="1069"/>
      <c r="TQX291" s="1069"/>
      <c r="TQY291" s="1069"/>
      <c r="TQZ291" s="1069"/>
      <c r="TRA291" s="1069"/>
      <c r="TRB291" s="1069"/>
      <c r="TRC291" s="1069"/>
      <c r="TRD291" s="1069"/>
      <c r="TRE291" s="1069"/>
      <c r="TRF291" s="1069"/>
      <c r="TRG291" s="1069"/>
      <c r="TRH291" s="1069"/>
      <c r="TRI291" s="1069"/>
      <c r="TRJ291" s="1069"/>
      <c r="TRK291" s="1069"/>
      <c r="TRL291" s="1069"/>
      <c r="TRM291" s="1069"/>
      <c r="TRN291" s="1069"/>
      <c r="TRO291" s="1069"/>
      <c r="TRP291" s="1069"/>
      <c r="TRQ291" s="1069"/>
      <c r="TRR291" s="1069"/>
      <c r="TRS291" s="1069"/>
      <c r="TRT291" s="1069"/>
      <c r="TRU291" s="1069"/>
      <c r="TRV291" s="1069"/>
      <c r="TRW291" s="1069"/>
      <c r="TRX291" s="1069"/>
      <c r="TRY291" s="1069"/>
      <c r="TRZ291" s="1069"/>
      <c r="TSA291" s="1069"/>
      <c r="TSB291" s="1069"/>
      <c r="TSC291" s="1069"/>
      <c r="TSD291" s="1069"/>
      <c r="TSE291" s="1069"/>
      <c r="TSF291" s="1069"/>
      <c r="TSG291" s="1069"/>
      <c r="TSH291" s="1069"/>
      <c r="TSI291" s="1069"/>
      <c r="TSJ291" s="1069"/>
      <c r="TSK291" s="1069"/>
      <c r="TSL291" s="1069"/>
      <c r="TSM291" s="1069"/>
      <c r="TSN291" s="1069"/>
      <c r="TSO291" s="1069"/>
      <c r="TSP291" s="1069"/>
      <c r="TSQ291" s="1069"/>
      <c r="TSR291" s="1069"/>
      <c r="TSS291" s="1069"/>
      <c r="TST291" s="1069"/>
      <c r="TSU291" s="1069"/>
      <c r="TSV291" s="1069"/>
      <c r="TSW291" s="1069"/>
      <c r="TSX291" s="1069"/>
      <c r="TSY291" s="1069"/>
      <c r="TSZ291" s="1069"/>
      <c r="TTA291" s="1069"/>
      <c r="TTB291" s="1069"/>
      <c r="TTC291" s="1069"/>
      <c r="TTD291" s="1069"/>
      <c r="TTE291" s="1069"/>
      <c r="TTF291" s="1069"/>
      <c r="TTG291" s="1069"/>
      <c r="TTH291" s="1069"/>
      <c r="TTI291" s="1069"/>
      <c r="TTJ291" s="1069"/>
      <c r="TTK291" s="1069"/>
      <c r="TTL291" s="1069"/>
      <c r="TTM291" s="1069"/>
      <c r="TTN291" s="1069"/>
      <c r="TTO291" s="1069"/>
      <c r="TTP291" s="1069"/>
      <c r="TTQ291" s="1069"/>
      <c r="TTR291" s="1069"/>
      <c r="TTS291" s="1069"/>
      <c r="TTT291" s="1069"/>
      <c r="TTU291" s="1069"/>
      <c r="TTV291" s="1069"/>
      <c r="TTW291" s="1069"/>
      <c r="TTX291" s="1069"/>
      <c r="TTY291" s="1069"/>
      <c r="TTZ291" s="1069"/>
      <c r="TUA291" s="1069"/>
      <c r="TUB291" s="1069"/>
      <c r="TUC291" s="1069"/>
      <c r="TUD291" s="1069"/>
      <c r="TUE291" s="1069"/>
      <c r="TUF291" s="1069"/>
      <c r="TUG291" s="1069"/>
      <c r="TUH291" s="1069"/>
      <c r="TUI291" s="1069"/>
      <c r="TUJ291" s="1069"/>
      <c r="TUK291" s="1069"/>
      <c r="TUL291" s="1069"/>
      <c r="TUM291" s="1069"/>
      <c r="TUN291" s="1069"/>
      <c r="TUO291" s="1069"/>
      <c r="TUP291" s="1069"/>
      <c r="TUQ291" s="1069"/>
      <c r="TUR291" s="1069"/>
      <c r="TUS291" s="1069"/>
      <c r="TUT291" s="1069"/>
      <c r="TUU291" s="1069"/>
      <c r="TUV291" s="1069"/>
      <c r="TUW291" s="1069"/>
      <c r="TUX291" s="1069"/>
      <c r="TUY291" s="1069"/>
      <c r="TUZ291" s="1069"/>
      <c r="TVA291" s="1069"/>
      <c r="TVB291" s="1069"/>
      <c r="TVC291" s="1069"/>
      <c r="TVD291" s="1069"/>
      <c r="TVE291" s="1069"/>
      <c r="TVF291" s="1069"/>
      <c r="TVG291" s="1069"/>
      <c r="TVH291" s="1069"/>
      <c r="TVI291" s="1069"/>
      <c r="TVJ291" s="1069"/>
      <c r="TVK291" s="1069"/>
      <c r="TVL291" s="1069"/>
      <c r="TVM291" s="1069"/>
      <c r="TVN291" s="1069"/>
      <c r="TVO291" s="1069"/>
      <c r="TVP291" s="1069"/>
      <c r="TVQ291" s="1069"/>
      <c r="TVR291" s="1069"/>
      <c r="TVS291" s="1069"/>
      <c r="TVT291" s="1069"/>
      <c r="TVU291" s="1069"/>
      <c r="TVV291" s="1069"/>
      <c r="TVW291" s="1069"/>
      <c r="TVX291" s="1069"/>
      <c r="TVY291" s="1069"/>
      <c r="TVZ291" s="1069"/>
      <c r="TWA291" s="1069"/>
      <c r="TWB291" s="1069"/>
      <c r="TWC291" s="1069"/>
      <c r="TWD291" s="1069"/>
      <c r="TWE291" s="1069"/>
      <c r="TWF291" s="1069"/>
      <c r="TWG291" s="1069"/>
      <c r="TWH291" s="1069"/>
      <c r="TWI291" s="1069"/>
      <c r="TWJ291" s="1069"/>
      <c r="TWK291" s="1069"/>
      <c r="TWL291" s="1069"/>
      <c r="TWM291" s="1069"/>
      <c r="TWN291" s="1069"/>
      <c r="TWO291" s="1069"/>
      <c r="TWP291" s="1069"/>
      <c r="TWQ291" s="1069"/>
      <c r="TWR291" s="1069"/>
      <c r="TWS291" s="1069"/>
      <c r="TWT291" s="1069"/>
      <c r="TWU291" s="1069"/>
      <c r="TWV291" s="1069"/>
      <c r="TWW291" s="1069"/>
      <c r="TWX291" s="1069"/>
      <c r="TWY291" s="1069"/>
      <c r="TWZ291" s="1069"/>
      <c r="TXA291" s="1069"/>
      <c r="TXB291" s="1069"/>
      <c r="TXC291" s="1069"/>
      <c r="TXD291" s="1069"/>
      <c r="TXE291" s="1069"/>
      <c r="TXF291" s="1069"/>
      <c r="TXG291" s="1069"/>
      <c r="TXH291" s="1069"/>
      <c r="TXI291" s="1069"/>
      <c r="TXJ291" s="1069"/>
      <c r="TXK291" s="1069"/>
      <c r="TXL291" s="1069"/>
      <c r="TXM291" s="1069"/>
      <c r="TXN291" s="1069"/>
      <c r="TXO291" s="1069"/>
      <c r="TXP291" s="1069"/>
      <c r="TXQ291" s="1069"/>
      <c r="TXR291" s="1069"/>
      <c r="TXS291" s="1069"/>
      <c r="TXT291" s="1069"/>
      <c r="TXU291" s="1069"/>
      <c r="TXV291" s="1069"/>
      <c r="TXW291" s="1069"/>
      <c r="TXX291" s="1069"/>
      <c r="TXY291" s="1069"/>
      <c r="TXZ291" s="1069"/>
      <c r="TYA291" s="1069"/>
      <c r="TYB291" s="1069"/>
      <c r="TYC291" s="1069"/>
      <c r="TYD291" s="1069"/>
      <c r="TYE291" s="1069"/>
      <c r="TYF291" s="1069"/>
      <c r="TYG291" s="1069"/>
      <c r="TYH291" s="1069"/>
      <c r="TYI291" s="1069"/>
      <c r="TYJ291" s="1069"/>
      <c r="TYK291" s="1069"/>
      <c r="TYL291" s="1069"/>
      <c r="TYM291" s="1069"/>
      <c r="TYN291" s="1069"/>
      <c r="TYO291" s="1069"/>
      <c r="TYP291" s="1069"/>
      <c r="TYQ291" s="1069"/>
      <c r="TYR291" s="1069"/>
      <c r="TYS291" s="1069"/>
      <c r="TYT291" s="1069"/>
      <c r="TYU291" s="1069"/>
      <c r="TYV291" s="1069"/>
      <c r="TYW291" s="1069"/>
      <c r="TYX291" s="1069"/>
      <c r="TYY291" s="1069"/>
      <c r="TYZ291" s="1069"/>
      <c r="TZA291" s="1069"/>
      <c r="TZB291" s="1069"/>
      <c r="TZC291" s="1069"/>
      <c r="TZD291" s="1069"/>
      <c r="TZE291" s="1069"/>
      <c r="TZF291" s="1069"/>
      <c r="TZG291" s="1069"/>
      <c r="TZH291" s="1069"/>
      <c r="TZI291" s="1069"/>
      <c r="TZJ291" s="1069"/>
      <c r="TZK291" s="1069"/>
      <c r="TZL291" s="1069"/>
      <c r="TZM291" s="1069"/>
      <c r="TZN291" s="1069"/>
      <c r="TZO291" s="1069"/>
      <c r="TZP291" s="1069"/>
      <c r="TZQ291" s="1069"/>
      <c r="TZR291" s="1069"/>
      <c r="TZS291" s="1069"/>
      <c r="TZT291" s="1069"/>
      <c r="TZU291" s="1069"/>
      <c r="TZV291" s="1069"/>
      <c r="TZW291" s="1069"/>
      <c r="TZX291" s="1069"/>
      <c r="TZY291" s="1069"/>
      <c r="TZZ291" s="1069"/>
      <c r="UAA291" s="1069"/>
      <c r="UAB291" s="1069"/>
      <c r="UAC291" s="1069"/>
      <c r="UAD291" s="1069"/>
      <c r="UAE291" s="1069"/>
      <c r="UAF291" s="1069"/>
      <c r="UAG291" s="1069"/>
      <c r="UAH291" s="1069"/>
      <c r="UAI291" s="1069"/>
      <c r="UAJ291" s="1069"/>
      <c r="UAK291" s="1069"/>
      <c r="UAL291" s="1069"/>
      <c r="UAM291" s="1069"/>
      <c r="UAN291" s="1069"/>
      <c r="UAO291" s="1069"/>
      <c r="UAP291" s="1069"/>
      <c r="UAQ291" s="1069"/>
      <c r="UAR291" s="1069"/>
      <c r="UAS291" s="1069"/>
      <c r="UAT291" s="1069"/>
      <c r="UAU291" s="1069"/>
      <c r="UAV291" s="1069"/>
      <c r="UAW291" s="1069"/>
      <c r="UAX291" s="1069"/>
      <c r="UAY291" s="1069"/>
      <c r="UAZ291" s="1069"/>
      <c r="UBA291" s="1069"/>
      <c r="UBB291" s="1069"/>
      <c r="UBC291" s="1069"/>
      <c r="UBD291" s="1069"/>
      <c r="UBE291" s="1069"/>
      <c r="UBF291" s="1069"/>
      <c r="UBG291" s="1069"/>
      <c r="UBH291" s="1069"/>
      <c r="UBI291" s="1069"/>
      <c r="UBJ291" s="1069"/>
      <c r="UBK291" s="1069"/>
      <c r="UBL291" s="1069"/>
      <c r="UBM291" s="1069"/>
      <c r="UBN291" s="1069"/>
      <c r="UBO291" s="1069"/>
      <c r="UBP291" s="1069"/>
      <c r="UBQ291" s="1069"/>
      <c r="UBR291" s="1069"/>
      <c r="UBS291" s="1069"/>
      <c r="UBT291" s="1069"/>
      <c r="UBU291" s="1069"/>
      <c r="UBV291" s="1069"/>
      <c r="UBW291" s="1069"/>
      <c r="UBX291" s="1069"/>
      <c r="UBY291" s="1069"/>
      <c r="UBZ291" s="1069"/>
      <c r="UCA291" s="1069"/>
      <c r="UCB291" s="1069"/>
      <c r="UCC291" s="1069"/>
      <c r="UCD291" s="1069"/>
      <c r="UCE291" s="1069"/>
      <c r="UCF291" s="1069"/>
      <c r="UCG291" s="1069"/>
      <c r="UCH291" s="1069"/>
      <c r="UCI291" s="1069"/>
      <c r="UCJ291" s="1069"/>
      <c r="UCK291" s="1069"/>
      <c r="UCL291" s="1069"/>
      <c r="UCM291" s="1069"/>
      <c r="UCN291" s="1069"/>
      <c r="UCO291" s="1069"/>
      <c r="UCP291" s="1069"/>
      <c r="UCQ291" s="1069"/>
      <c r="UCR291" s="1069"/>
      <c r="UCS291" s="1069"/>
      <c r="UCT291" s="1069"/>
      <c r="UCU291" s="1069"/>
      <c r="UCV291" s="1069"/>
      <c r="UCW291" s="1069"/>
      <c r="UCX291" s="1069"/>
      <c r="UCY291" s="1069"/>
      <c r="UCZ291" s="1069"/>
      <c r="UDA291" s="1069"/>
      <c r="UDB291" s="1069"/>
      <c r="UDC291" s="1069"/>
      <c r="UDD291" s="1069"/>
      <c r="UDE291" s="1069"/>
      <c r="UDF291" s="1069"/>
      <c r="UDG291" s="1069"/>
      <c r="UDH291" s="1069"/>
      <c r="UDI291" s="1069"/>
      <c r="UDJ291" s="1069"/>
      <c r="UDK291" s="1069"/>
      <c r="UDL291" s="1069"/>
      <c r="UDM291" s="1069"/>
      <c r="UDN291" s="1069"/>
      <c r="UDO291" s="1069"/>
      <c r="UDP291" s="1069"/>
      <c r="UDQ291" s="1069"/>
      <c r="UDR291" s="1069"/>
      <c r="UDS291" s="1069"/>
      <c r="UDT291" s="1069"/>
      <c r="UDU291" s="1069"/>
      <c r="UDV291" s="1069"/>
      <c r="UDW291" s="1069"/>
      <c r="UDX291" s="1069"/>
      <c r="UDY291" s="1069"/>
      <c r="UDZ291" s="1069"/>
      <c r="UEA291" s="1069"/>
      <c r="UEB291" s="1069"/>
      <c r="UEC291" s="1069"/>
      <c r="UED291" s="1069"/>
      <c r="UEE291" s="1069"/>
      <c r="UEF291" s="1069"/>
      <c r="UEG291" s="1069"/>
      <c r="UEH291" s="1069"/>
      <c r="UEI291" s="1069"/>
      <c r="UEJ291" s="1069"/>
      <c r="UEK291" s="1069"/>
      <c r="UEL291" s="1069"/>
      <c r="UEM291" s="1069"/>
      <c r="UEN291" s="1069"/>
      <c r="UEO291" s="1069"/>
      <c r="UEP291" s="1069"/>
      <c r="UEQ291" s="1069"/>
      <c r="UER291" s="1069"/>
      <c r="UES291" s="1069"/>
      <c r="UET291" s="1069"/>
      <c r="UEU291" s="1069"/>
      <c r="UEV291" s="1069"/>
      <c r="UEW291" s="1069"/>
      <c r="UEX291" s="1069"/>
      <c r="UEY291" s="1069"/>
      <c r="UEZ291" s="1069"/>
      <c r="UFA291" s="1069"/>
      <c r="UFB291" s="1069"/>
      <c r="UFC291" s="1069"/>
      <c r="UFD291" s="1069"/>
      <c r="UFE291" s="1069"/>
      <c r="UFF291" s="1069"/>
      <c r="UFG291" s="1069"/>
      <c r="UFH291" s="1069"/>
      <c r="UFI291" s="1069"/>
      <c r="UFJ291" s="1069"/>
      <c r="UFK291" s="1069"/>
      <c r="UFL291" s="1069"/>
      <c r="UFM291" s="1069"/>
      <c r="UFN291" s="1069"/>
      <c r="UFO291" s="1069"/>
      <c r="UFP291" s="1069"/>
      <c r="UFQ291" s="1069"/>
      <c r="UFR291" s="1069"/>
      <c r="UFS291" s="1069"/>
      <c r="UFT291" s="1069"/>
      <c r="UFU291" s="1069"/>
      <c r="UFV291" s="1069"/>
      <c r="UFW291" s="1069"/>
      <c r="UFX291" s="1069"/>
      <c r="UFY291" s="1069"/>
      <c r="UFZ291" s="1069"/>
      <c r="UGA291" s="1069"/>
      <c r="UGB291" s="1069"/>
      <c r="UGC291" s="1069"/>
      <c r="UGD291" s="1069"/>
      <c r="UGE291" s="1069"/>
      <c r="UGF291" s="1069"/>
      <c r="UGG291" s="1069"/>
      <c r="UGH291" s="1069"/>
      <c r="UGI291" s="1069"/>
      <c r="UGJ291" s="1069"/>
      <c r="UGK291" s="1069"/>
      <c r="UGL291" s="1069"/>
      <c r="UGM291" s="1069"/>
      <c r="UGN291" s="1069"/>
      <c r="UGO291" s="1069"/>
      <c r="UGP291" s="1069"/>
      <c r="UGQ291" s="1069"/>
      <c r="UGR291" s="1069"/>
      <c r="UGS291" s="1069"/>
      <c r="UGT291" s="1069"/>
      <c r="UGU291" s="1069"/>
      <c r="UGV291" s="1069"/>
      <c r="UGW291" s="1069"/>
      <c r="UGX291" s="1069"/>
      <c r="UGY291" s="1069"/>
      <c r="UGZ291" s="1069"/>
      <c r="UHA291" s="1069"/>
      <c r="UHB291" s="1069"/>
      <c r="UHC291" s="1069"/>
      <c r="UHD291" s="1069"/>
      <c r="UHE291" s="1069"/>
      <c r="UHF291" s="1069"/>
      <c r="UHG291" s="1069"/>
      <c r="UHH291" s="1069"/>
      <c r="UHI291" s="1069"/>
      <c r="UHJ291" s="1069"/>
      <c r="UHK291" s="1069"/>
      <c r="UHL291" s="1069"/>
      <c r="UHM291" s="1069"/>
      <c r="UHN291" s="1069"/>
      <c r="UHO291" s="1069"/>
      <c r="UHP291" s="1069"/>
      <c r="UHQ291" s="1069"/>
      <c r="UHR291" s="1069"/>
      <c r="UHS291" s="1069"/>
      <c r="UHT291" s="1069"/>
      <c r="UHU291" s="1069"/>
      <c r="UHV291" s="1069"/>
      <c r="UHW291" s="1069"/>
      <c r="UHX291" s="1069"/>
      <c r="UHY291" s="1069"/>
      <c r="UHZ291" s="1069"/>
      <c r="UIA291" s="1069"/>
      <c r="UIB291" s="1069"/>
      <c r="UIC291" s="1069"/>
      <c r="UID291" s="1069"/>
      <c r="UIE291" s="1069"/>
      <c r="UIF291" s="1069"/>
      <c r="UIG291" s="1069"/>
      <c r="UIH291" s="1069"/>
      <c r="UII291" s="1069"/>
      <c r="UIJ291" s="1069"/>
      <c r="UIK291" s="1069"/>
      <c r="UIL291" s="1069"/>
      <c r="UIM291" s="1069"/>
      <c r="UIN291" s="1069"/>
      <c r="UIO291" s="1069"/>
      <c r="UIP291" s="1069"/>
      <c r="UIQ291" s="1069"/>
      <c r="UIR291" s="1069"/>
      <c r="UIS291" s="1069"/>
      <c r="UIT291" s="1069"/>
      <c r="UIU291" s="1069"/>
      <c r="UIV291" s="1069"/>
      <c r="UIW291" s="1069"/>
      <c r="UIX291" s="1069"/>
      <c r="UIY291" s="1069"/>
      <c r="UIZ291" s="1069"/>
      <c r="UJA291" s="1069"/>
      <c r="UJB291" s="1069"/>
      <c r="UJC291" s="1069"/>
      <c r="UJD291" s="1069"/>
      <c r="UJE291" s="1069"/>
      <c r="UJF291" s="1069"/>
      <c r="UJG291" s="1069"/>
      <c r="UJH291" s="1069"/>
      <c r="UJI291" s="1069"/>
      <c r="UJJ291" s="1069"/>
      <c r="UJK291" s="1069"/>
      <c r="UJL291" s="1069"/>
      <c r="UJM291" s="1069"/>
      <c r="UJN291" s="1069"/>
      <c r="UJO291" s="1069"/>
      <c r="UJP291" s="1069"/>
      <c r="UJQ291" s="1069"/>
      <c r="UJR291" s="1069"/>
      <c r="UJS291" s="1069"/>
      <c r="UJT291" s="1069"/>
      <c r="UJU291" s="1069"/>
      <c r="UJV291" s="1069"/>
      <c r="UJW291" s="1069"/>
      <c r="UJX291" s="1069"/>
      <c r="UJY291" s="1069"/>
      <c r="UJZ291" s="1069"/>
      <c r="UKA291" s="1069"/>
      <c r="UKB291" s="1069"/>
      <c r="UKC291" s="1069"/>
      <c r="UKD291" s="1069"/>
      <c r="UKE291" s="1069"/>
      <c r="UKF291" s="1069"/>
      <c r="UKG291" s="1069"/>
      <c r="UKH291" s="1069"/>
      <c r="UKI291" s="1069"/>
      <c r="UKJ291" s="1069"/>
      <c r="UKK291" s="1069"/>
      <c r="UKL291" s="1069"/>
      <c r="UKM291" s="1069"/>
      <c r="UKN291" s="1069"/>
      <c r="UKO291" s="1069"/>
      <c r="UKP291" s="1069"/>
      <c r="UKQ291" s="1069"/>
      <c r="UKR291" s="1069"/>
      <c r="UKS291" s="1069"/>
      <c r="UKT291" s="1069"/>
      <c r="UKU291" s="1069"/>
      <c r="UKV291" s="1069"/>
      <c r="UKW291" s="1069"/>
      <c r="UKX291" s="1069"/>
      <c r="UKY291" s="1069"/>
      <c r="UKZ291" s="1069"/>
      <c r="ULA291" s="1069"/>
      <c r="ULB291" s="1069"/>
      <c r="ULC291" s="1069"/>
      <c r="ULD291" s="1069"/>
      <c r="ULE291" s="1069"/>
      <c r="ULF291" s="1069"/>
      <c r="ULG291" s="1069"/>
      <c r="ULH291" s="1069"/>
      <c r="ULI291" s="1069"/>
      <c r="ULJ291" s="1069"/>
      <c r="ULK291" s="1069"/>
      <c r="ULL291" s="1069"/>
      <c r="ULM291" s="1069"/>
      <c r="ULN291" s="1069"/>
      <c r="ULO291" s="1069"/>
      <c r="ULP291" s="1069"/>
      <c r="ULQ291" s="1069"/>
      <c r="ULR291" s="1069"/>
      <c r="ULS291" s="1069"/>
      <c r="ULT291" s="1069"/>
      <c r="ULU291" s="1069"/>
      <c r="ULV291" s="1069"/>
      <c r="ULW291" s="1069"/>
      <c r="ULX291" s="1069"/>
      <c r="ULY291" s="1069"/>
      <c r="ULZ291" s="1069"/>
      <c r="UMA291" s="1069"/>
      <c r="UMB291" s="1069"/>
      <c r="UMC291" s="1069"/>
      <c r="UMD291" s="1069"/>
      <c r="UME291" s="1069"/>
      <c r="UMF291" s="1069"/>
      <c r="UMG291" s="1069"/>
      <c r="UMH291" s="1069"/>
      <c r="UMI291" s="1069"/>
      <c r="UMJ291" s="1069"/>
      <c r="UMK291" s="1069"/>
      <c r="UML291" s="1069"/>
      <c r="UMM291" s="1069"/>
      <c r="UMN291" s="1069"/>
      <c r="UMO291" s="1069"/>
      <c r="UMP291" s="1069"/>
      <c r="UMQ291" s="1069"/>
      <c r="UMR291" s="1069"/>
      <c r="UMS291" s="1069"/>
      <c r="UMT291" s="1069"/>
      <c r="UMU291" s="1069"/>
      <c r="UMV291" s="1069"/>
      <c r="UMW291" s="1069"/>
      <c r="UMX291" s="1069"/>
      <c r="UMY291" s="1069"/>
      <c r="UMZ291" s="1069"/>
      <c r="UNA291" s="1069"/>
      <c r="UNB291" s="1069"/>
      <c r="UNC291" s="1069"/>
      <c r="UND291" s="1069"/>
      <c r="UNE291" s="1069"/>
      <c r="UNF291" s="1069"/>
      <c r="UNG291" s="1069"/>
      <c r="UNH291" s="1069"/>
      <c r="UNI291" s="1069"/>
      <c r="UNJ291" s="1069"/>
      <c r="UNK291" s="1069"/>
      <c r="UNL291" s="1069"/>
      <c r="UNM291" s="1069"/>
      <c r="UNN291" s="1069"/>
      <c r="UNO291" s="1069"/>
      <c r="UNP291" s="1069"/>
      <c r="UNQ291" s="1069"/>
      <c r="UNR291" s="1069"/>
      <c r="UNS291" s="1069"/>
      <c r="UNT291" s="1069"/>
      <c r="UNU291" s="1069"/>
      <c r="UNV291" s="1069"/>
      <c r="UNW291" s="1069"/>
      <c r="UNX291" s="1069"/>
      <c r="UNY291" s="1069"/>
      <c r="UNZ291" s="1069"/>
      <c r="UOA291" s="1069"/>
      <c r="UOB291" s="1069"/>
      <c r="UOC291" s="1069"/>
      <c r="UOD291" s="1069"/>
      <c r="UOE291" s="1069"/>
      <c r="UOF291" s="1069"/>
      <c r="UOG291" s="1069"/>
      <c r="UOH291" s="1069"/>
      <c r="UOI291" s="1069"/>
      <c r="UOJ291" s="1069"/>
      <c r="UOK291" s="1069"/>
      <c r="UOL291" s="1069"/>
      <c r="UOM291" s="1069"/>
      <c r="UON291" s="1069"/>
      <c r="UOO291" s="1069"/>
      <c r="UOP291" s="1069"/>
      <c r="UOQ291" s="1069"/>
      <c r="UOR291" s="1069"/>
      <c r="UOS291" s="1069"/>
      <c r="UOT291" s="1069"/>
      <c r="UOU291" s="1069"/>
      <c r="UOV291" s="1069"/>
      <c r="UOW291" s="1069"/>
      <c r="UOX291" s="1069"/>
      <c r="UOY291" s="1069"/>
      <c r="UOZ291" s="1069"/>
      <c r="UPA291" s="1069"/>
      <c r="UPB291" s="1069"/>
      <c r="UPC291" s="1069"/>
      <c r="UPD291" s="1069"/>
      <c r="UPE291" s="1069"/>
      <c r="UPF291" s="1069"/>
      <c r="UPG291" s="1069"/>
      <c r="UPH291" s="1069"/>
      <c r="UPI291" s="1069"/>
      <c r="UPJ291" s="1069"/>
      <c r="UPK291" s="1069"/>
      <c r="UPL291" s="1069"/>
      <c r="UPM291" s="1069"/>
      <c r="UPN291" s="1069"/>
      <c r="UPO291" s="1069"/>
      <c r="UPP291" s="1069"/>
      <c r="UPQ291" s="1069"/>
      <c r="UPR291" s="1069"/>
      <c r="UPS291" s="1069"/>
      <c r="UPT291" s="1069"/>
      <c r="UPU291" s="1069"/>
      <c r="UPV291" s="1069"/>
      <c r="UPW291" s="1069"/>
      <c r="UPX291" s="1069"/>
      <c r="UPY291" s="1069"/>
      <c r="UPZ291" s="1069"/>
      <c r="UQA291" s="1069"/>
      <c r="UQB291" s="1069"/>
      <c r="UQC291" s="1069"/>
      <c r="UQD291" s="1069"/>
      <c r="UQE291" s="1069"/>
      <c r="UQF291" s="1069"/>
      <c r="UQG291" s="1069"/>
      <c r="UQH291" s="1069"/>
      <c r="UQI291" s="1069"/>
      <c r="UQJ291" s="1069"/>
      <c r="UQK291" s="1069"/>
      <c r="UQL291" s="1069"/>
      <c r="UQM291" s="1069"/>
      <c r="UQN291" s="1069"/>
      <c r="UQO291" s="1069"/>
      <c r="UQP291" s="1069"/>
      <c r="UQQ291" s="1069"/>
      <c r="UQR291" s="1069"/>
      <c r="UQS291" s="1069"/>
      <c r="UQT291" s="1069"/>
      <c r="UQU291" s="1069"/>
      <c r="UQV291" s="1069"/>
      <c r="UQW291" s="1069"/>
      <c r="UQX291" s="1069"/>
      <c r="UQY291" s="1069"/>
      <c r="UQZ291" s="1069"/>
      <c r="URA291" s="1069"/>
      <c r="URB291" s="1069"/>
      <c r="URC291" s="1069"/>
      <c r="URD291" s="1069"/>
      <c r="URE291" s="1069"/>
      <c r="URF291" s="1069"/>
      <c r="URG291" s="1069"/>
      <c r="URH291" s="1069"/>
      <c r="URI291" s="1069"/>
      <c r="URJ291" s="1069"/>
      <c r="URK291" s="1069"/>
      <c r="URL291" s="1069"/>
      <c r="URM291" s="1069"/>
      <c r="URN291" s="1069"/>
      <c r="URO291" s="1069"/>
      <c r="URP291" s="1069"/>
      <c r="URQ291" s="1069"/>
      <c r="URR291" s="1069"/>
      <c r="URS291" s="1069"/>
      <c r="URT291" s="1069"/>
      <c r="URU291" s="1069"/>
      <c r="URV291" s="1069"/>
      <c r="URW291" s="1069"/>
      <c r="URX291" s="1069"/>
      <c r="URY291" s="1069"/>
      <c r="URZ291" s="1069"/>
      <c r="USA291" s="1069"/>
      <c r="USB291" s="1069"/>
      <c r="USC291" s="1069"/>
      <c r="USD291" s="1069"/>
      <c r="USE291" s="1069"/>
      <c r="USF291" s="1069"/>
      <c r="USG291" s="1069"/>
      <c r="USH291" s="1069"/>
      <c r="USI291" s="1069"/>
      <c r="USJ291" s="1069"/>
      <c r="USK291" s="1069"/>
      <c r="USL291" s="1069"/>
      <c r="USM291" s="1069"/>
      <c r="USN291" s="1069"/>
      <c r="USO291" s="1069"/>
      <c r="USP291" s="1069"/>
      <c r="USQ291" s="1069"/>
      <c r="USR291" s="1069"/>
      <c r="USS291" s="1069"/>
      <c r="UST291" s="1069"/>
      <c r="USU291" s="1069"/>
      <c r="USV291" s="1069"/>
      <c r="USW291" s="1069"/>
      <c r="USX291" s="1069"/>
      <c r="USY291" s="1069"/>
      <c r="USZ291" s="1069"/>
      <c r="UTA291" s="1069"/>
      <c r="UTB291" s="1069"/>
      <c r="UTC291" s="1069"/>
      <c r="UTD291" s="1069"/>
      <c r="UTE291" s="1069"/>
      <c r="UTF291" s="1069"/>
      <c r="UTG291" s="1069"/>
      <c r="UTH291" s="1069"/>
      <c r="UTI291" s="1069"/>
      <c r="UTJ291" s="1069"/>
      <c r="UTK291" s="1069"/>
      <c r="UTL291" s="1069"/>
      <c r="UTM291" s="1069"/>
      <c r="UTN291" s="1069"/>
      <c r="UTO291" s="1069"/>
      <c r="UTP291" s="1069"/>
      <c r="UTQ291" s="1069"/>
      <c r="UTR291" s="1069"/>
      <c r="UTS291" s="1069"/>
      <c r="UTT291" s="1069"/>
      <c r="UTU291" s="1069"/>
      <c r="UTV291" s="1069"/>
      <c r="UTW291" s="1069"/>
      <c r="UTX291" s="1069"/>
      <c r="UTY291" s="1069"/>
      <c r="UTZ291" s="1069"/>
      <c r="UUA291" s="1069"/>
      <c r="UUB291" s="1069"/>
      <c r="UUC291" s="1069"/>
      <c r="UUD291" s="1069"/>
      <c r="UUE291" s="1069"/>
      <c r="UUF291" s="1069"/>
      <c r="UUG291" s="1069"/>
      <c r="UUH291" s="1069"/>
      <c r="UUI291" s="1069"/>
      <c r="UUJ291" s="1069"/>
      <c r="UUK291" s="1069"/>
      <c r="UUL291" s="1069"/>
      <c r="UUM291" s="1069"/>
      <c r="UUN291" s="1069"/>
      <c r="UUO291" s="1069"/>
      <c r="UUP291" s="1069"/>
      <c r="UUQ291" s="1069"/>
      <c r="UUR291" s="1069"/>
      <c r="UUS291" s="1069"/>
      <c r="UUT291" s="1069"/>
      <c r="UUU291" s="1069"/>
      <c r="UUV291" s="1069"/>
      <c r="UUW291" s="1069"/>
      <c r="UUX291" s="1069"/>
      <c r="UUY291" s="1069"/>
      <c r="UUZ291" s="1069"/>
      <c r="UVA291" s="1069"/>
      <c r="UVB291" s="1069"/>
      <c r="UVC291" s="1069"/>
      <c r="UVD291" s="1069"/>
      <c r="UVE291" s="1069"/>
      <c r="UVF291" s="1069"/>
      <c r="UVG291" s="1069"/>
      <c r="UVH291" s="1069"/>
      <c r="UVI291" s="1069"/>
      <c r="UVJ291" s="1069"/>
      <c r="UVK291" s="1069"/>
      <c r="UVL291" s="1069"/>
      <c r="UVM291" s="1069"/>
      <c r="UVN291" s="1069"/>
      <c r="UVO291" s="1069"/>
      <c r="UVP291" s="1069"/>
      <c r="UVQ291" s="1069"/>
      <c r="UVR291" s="1069"/>
      <c r="UVS291" s="1069"/>
      <c r="UVT291" s="1069"/>
      <c r="UVU291" s="1069"/>
      <c r="UVV291" s="1069"/>
      <c r="UVW291" s="1069"/>
      <c r="UVX291" s="1069"/>
      <c r="UVY291" s="1069"/>
      <c r="UVZ291" s="1069"/>
      <c r="UWA291" s="1069"/>
      <c r="UWB291" s="1069"/>
      <c r="UWC291" s="1069"/>
      <c r="UWD291" s="1069"/>
      <c r="UWE291" s="1069"/>
      <c r="UWF291" s="1069"/>
      <c r="UWG291" s="1069"/>
      <c r="UWH291" s="1069"/>
      <c r="UWI291" s="1069"/>
      <c r="UWJ291" s="1069"/>
      <c r="UWK291" s="1069"/>
      <c r="UWL291" s="1069"/>
      <c r="UWM291" s="1069"/>
      <c r="UWN291" s="1069"/>
      <c r="UWO291" s="1069"/>
      <c r="UWP291" s="1069"/>
      <c r="UWQ291" s="1069"/>
      <c r="UWR291" s="1069"/>
      <c r="UWS291" s="1069"/>
      <c r="UWT291" s="1069"/>
      <c r="UWU291" s="1069"/>
      <c r="UWV291" s="1069"/>
      <c r="UWW291" s="1069"/>
      <c r="UWX291" s="1069"/>
      <c r="UWY291" s="1069"/>
      <c r="UWZ291" s="1069"/>
      <c r="UXA291" s="1069"/>
      <c r="UXB291" s="1069"/>
      <c r="UXC291" s="1069"/>
      <c r="UXD291" s="1069"/>
      <c r="UXE291" s="1069"/>
      <c r="UXF291" s="1069"/>
      <c r="UXG291" s="1069"/>
      <c r="UXH291" s="1069"/>
      <c r="UXI291" s="1069"/>
      <c r="UXJ291" s="1069"/>
      <c r="UXK291" s="1069"/>
      <c r="UXL291" s="1069"/>
      <c r="UXM291" s="1069"/>
      <c r="UXN291" s="1069"/>
      <c r="UXO291" s="1069"/>
      <c r="UXP291" s="1069"/>
      <c r="UXQ291" s="1069"/>
      <c r="UXR291" s="1069"/>
      <c r="UXS291" s="1069"/>
      <c r="UXT291" s="1069"/>
      <c r="UXU291" s="1069"/>
      <c r="UXV291" s="1069"/>
      <c r="UXW291" s="1069"/>
      <c r="UXX291" s="1069"/>
      <c r="UXY291" s="1069"/>
      <c r="UXZ291" s="1069"/>
      <c r="UYA291" s="1069"/>
      <c r="UYB291" s="1069"/>
      <c r="UYC291" s="1069"/>
      <c r="UYD291" s="1069"/>
      <c r="UYE291" s="1069"/>
      <c r="UYF291" s="1069"/>
      <c r="UYG291" s="1069"/>
      <c r="UYH291" s="1069"/>
      <c r="UYI291" s="1069"/>
      <c r="UYJ291" s="1069"/>
      <c r="UYK291" s="1069"/>
      <c r="UYL291" s="1069"/>
      <c r="UYM291" s="1069"/>
      <c r="UYN291" s="1069"/>
      <c r="UYO291" s="1069"/>
      <c r="UYP291" s="1069"/>
      <c r="UYQ291" s="1069"/>
      <c r="UYR291" s="1069"/>
      <c r="UYS291" s="1069"/>
      <c r="UYT291" s="1069"/>
      <c r="UYU291" s="1069"/>
      <c r="UYV291" s="1069"/>
      <c r="UYW291" s="1069"/>
      <c r="UYX291" s="1069"/>
      <c r="UYY291" s="1069"/>
      <c r="UYZ291" s="1069"/>
      <c r="UZA291" s="1069"/>
      <c r="UZB291" s="1069"/>
      <c r="UZC291" s="1069"/>
      <c r="UZD291" s="1069"/>
      <c r="UZE291" s="1069"/>
      <c r="UZF291" s="1069"/>
      <c r="UZG291" s="1069"/>
      <c r="UZH291" s="1069"/>
      <c r="UZI291" s="1069"/>
      <c r="UZJ291" s="1069"/>
      <c r="UZK291" s="1069"/>
      <c r="UZL291" s="1069"/>
      <c r="UZM291" s="1069"/>
      <c r="UZN291" s="1069"/>
      <c r="UZO291" s="1069"/>
      <c r="UZP291" s="1069"/>
      <c r="UZQ291" s="1069"/>
      <c r="UZR291" s="1069"/>
      <c r="UZS291" s="1069"/>
      <c r="UZT291" s="1069"/>
      <c r="UZU291" s="1069"/>
      <c r="UZV291" s="1069"/>
      <c r="UZW291" s="1069"/>
      <c r="UZX291" s="1069"/>
      <c r="UZY291" s="1069"/>
      <c r="UZZ291" s="1069"/>
      <c r="VAA291" s="1069"/>
      <c r="VAB291" s="1069"/>
      <c r="VAC291" s="1069"/>
      <c r="VAD291" s="1069"/>
      <c r="VAE291" s="1069"/>
      <c r="VAF291" s="1069"/>
      <c r="VAG291" s="1069"/>
      <c r="VAH291" s="1069"/>
      <c r="VAI291" s="1069"/>
      <c r="VAJ291" s="1069"/>
      <c r="VAK291" s="1069"/>
      <c r="VAL291" s="1069"/>
      <c r="VAM291" s="1069"/>
      <c r="VAN291" s="1069"/>
      <c r="VAO291" s="1069"/>
      <c r="VAP291" s="1069"/>
      <c r="VAQ291" s="1069"/>
      <c r="VAR291" s="1069"/>
      <c r="VAS291" s="1069"/>
      <c r="VAT291" s="1069"/>
      <c r="VAU291" s="1069"/>
      <c r="VAV291" s="1069"/>
      <c r="VAW291" s="1069"/>
      <c r="VAX291" s="1069"/>
      <c r="VAY291" s="1069"/>
      <c r="VAZ291" s="1069"/>
      <c r="VBA291" s="1069"/>
      <c r="VBB291" s="1069"/>
      <c r="VBC291" s="1069"/>
      <c r="VBD291" s="1069"/>
      <c r="VBE291" s="1069"/>
      <c r="VBF291" s="1069"/>
      <c r="VBG291" s="1069"/>
      <c r="VBH291" s="1069"/>
      <c r="VBI291" s="1069"/>
      <c r="VBJ291" s="1069"/>
      <c r="VBK291" s="1069"/>
      <c r="VBL291" s="1069"/>
      <c r="VBM291" s="1069"/>
      <c r="VBN291" s="1069"/>
      <c r="VBO291" s="1069"/>
      <c r="VBP291" s="1069"/>
      <c r="VBQ291" s="1069"/>
      <c r="VBR291" s="1069"/>
      <c r="VBS291" s="1069"/>
      <c r="VBT291" s="1069"/>
      <c r="VBU291" s="1069"/>
      <c r="VBV291" s="1069"/>
      <c r="VBW291" s="1069"/>
      <c r="VBX291" s="1069"/>
      <c r="VBY291" s="1069"/>
      <c r="VBZ291" s="1069"/>
      <c r="VCA291" s="1069"/>
      <c r="VCB291" s="1069"/>
      <c r="VCC291" s="1069"/>
      <c r="VCD291" s="1069"/>
      <c r="VCE291" s="1069"/>
      <c r="VCF291" s="1069"/>
      <c r="VCG291" s="1069"/>
      <c r="VCH291" s="1069"/>
      <c r="VCI291" s="1069"/>
      <c r="VCJ291" s="1069"/>
      <c r="VCK291" s="1069"/>
      <c r="VCL291" s="1069"/>
      <c r="VCM291" s="1069"/>
      <c r="VCN291" s="1069"/>
      <c r="VCO291" s="1069"/>
      <c r="VCP291" s="1069"/>
      <c r="VCQ291" s="1069"/>
      <c r="VCR291" s="1069"/>
      <c r="VCS291" s="1069"/>
      <c r="VCT291" s="1069"/>
      <c r="VCU291" s="1069"/>
      <c r="VCV291" s="1069"/>
      <c r="VCW291" s="1069"/>
      <c r="VCX291" s="1069"/>
      <c r="VCY291" s="1069"/>
      <c r="VCZ291" s="1069"/>
      <c r="VDA291" s="1069"/>
      <c r="VDB291" s="1069"/>
      <c r="VDC291" s="1069"/>
      <c r="VDD291" s="1069"/>
      <c r="VDE291" s="1069"/>
      <c r="VDF291" s="1069"/>
      <c r="VDG291" s="1069"/>
      <c r="VDH291" s="1069"/>
      <c r="VDI291" s="1069"/>
      <c r="VDJ291" s="1069"/>
      <c r="VDK291" s="1069"/>
      <c r="VDL291" s="1069"/>
      <c r="VDM291" s="1069"/>
      <c r="VDN291" s="1069"/>
      <c r="VDO291" s="1069"/>
      <c r="VDP291" s="1069"/>
      <c r="VDQ291" s="1069"/>
      <c r="VDR291" s="1069"/>
      <c r="VDS291" s="1069"/>
      <c r="VDT291" s="1069"/>
      <c r="VDU291" s="1069"/>
      <c r="VDV291" s="1069"/>
      <c r="VDW291" s="1069"/>
      <c r="VDX291" s="1069"/>
      <c r="VDY291" s="1069"/>
      <c r="VDZ291" s="1069"/>
      <c r="VEA291" s="1069"/>
      <c r="VEB291" s="1069"/>
      <c r="VEC291" s="1069"/>
      <c r="VED291" s="1069"/>
      <c r="VEE291" s="1069"/>
      <c r="VEF291" s="1069"/>
      <c r="VEG291" s="1069"/>
      <c r="VEH291" s="1069"/>
      <c r="VEI291" s="1069"/>
      <c r="VEJ291" s="1069"/>
      <c r="VEK291" s="1069"/>
      <c r="VEL291" s="1069"/>
      <c r="VEM291" s="1069"/>
      <c r="VEN291" s="1069"/>
      <c r="VEO291" s="1069"/>
      <c r="VEP291" s="1069"/>
      <c r="VEQ291" s="1069"/>
      <c r="VER291" s="1069"/>
      <c r="VES291" s="1069"/>
      <c r="VET291" s="1069"/>
      <c r="VEU291" s="1069"/>
      <c r="VEV291" s="1069"/>
      <c r="VEW291" s="1069"/>
      <c r="VEX291" s="1069"/>
      <c r="VEY291" s="1069"/>
      <c r="VEZ291" s="1069"/>
      <c r="VFA291" s="1069"/>
      <c r="VFB291" s="1069"/>
      <c r="VFC291" s="1069"/>
      <c r="VFD291" s="1069"/>
      <c r="VFE291" s="1069"/>
      <c r="VFF291" s="1069"/>
      <c r="VFG291" s="1069"/>
      <c r="VFH291" s="1069"/>
      <c r="VFI291" s="1069"/>
      <c r="VFJ291" s="1069"/>
      <c r="VFK291" s="1069"/>
      <c r="VFL291" s="1069"/>
      <c r="VFM291" s="1069"/>
      <c r="VFN291" s="1069"/>
      <c r="VFO291" s="1069"/>
      <c r="VFP291" s="1069"/>
      <c r="VFQ291" s="1069"/>
      <c r="VFR291" s="1069"/>
      <c r="VFS291" s="1069"/>
      <c r="VFT291" s="1069"/>
      <c r="VFU291" s="1069"/>
      <c r="VFV291" s="1069"/>
      <c r="VFW291" s="1069"/>
      <c r="VFX291" s="1069"/>
      <c r="VFY291" s="1069"/>
      <c r="VFZ291" s="1069"/>
      <c r="VGA291" s="1069"/>
      <c r="VGB291" s="1069"/>
      <c r="VGC291" s="1069"/>
      <c r="VGD291" s="1069"/>
      <c r="VGE291" s="1069"/>
      <c r="VGF291" s="1069"/>
      <c r="VGG291" s="1069"/>
      <c r="VGH291" s="1069"/>
      <c r="VGI291" s="1069"/>
      <c r="VGJ291" s="1069"/>
      <c r="VGK291" s="1069"/>
      <c r="VGL291" s="1069"/>
      <c r="VGM291" s="1069"/>
      <c r="VGN291" s="1069"/>
      <c r="VGO291" s="1069"/>
      <c r="VGP291" s="1069"/>
      <c r="VGQ291" s="1069"/>
      <c r="VGR291" s="1069"/>
      <c r="VGS291" s="1069"/>
      <c r="VGT291" s="1069"/>
      <c r="VGU291" s="1069"/>
      <c r="VGV291" s="1069"/>
      <c r="VGW291" s="1069"/>
      <c r="VGX291" s="1069"/>
      <c r="VGY291" s="1069"/>
      <c r="VGZ291" s="1069"/>
      <c r="VHA291" s="1069"/>
      <c r="VHB291" s="1069"/>
      <c r="VHC291" s="1069"/>
      <c r="VHD291" s="1069"/>
      <c r="VHE291" s="1069"/>
      <c r="VHF291" s="1069"/>
      <c r="VHG291" s="1069"/>
      <c r="VHH291" s="1069"/>
      <c r="VHI291" s="1069"/>
      <c r="VHJ291" s="1069"/>
      <c r="VHK291" s="1069"/>
      <c r="VHL291" s="1069"/>
      <c r="VHM291" s="1069"/>
      <c r="VHN291" s="1069"/>
      <c r="VHO291" s="1069"/>
      <c r="VHP291" s="1069"/>
      <c r="VHQ291" s="1069"/>
      <c r="VHR291" s="1069"/>
      <c r="VHS291" s="1069"/>
      <c r="VHT291" s="1069"/>
      <c r="VHU291" s="1069"/>
      <c r="VHV291" s="1069"/>
      <c r="VHW291" s="1069"/>
      <c r="VHX291" s="1069"/>
      <c r="VHY291" s="1069"/>
      <c r="VHZ291" s="1069"/>
      <c r="VIA291" s="1069"/>
      <c r="VIB291" s="1069"/>
      <c r="VIC291" s="1069"/>
      <c r="VID291" s="1069"/>
      <c r="VIE291" s="1069"/>
      <c r="VIF291" s="1069"/>
      <c r="VIG291" s="1069"/>
      <c r="VIH291" s="1069"/>
      <c r="VII291" s="1069"/>
      <c r="VIJ291" s="1069"/>
      <c r="VIK291" s="1069"/>
      <c r="VIL291" s="1069"/>
      <c r="VIM291" s="1069"/>
      <c r="VIN291" s="1069"/>
      <c r="VIO291" s="1069"/>
      <c r="VIP291" s="1069"/>
      <c r="VIQ291" s="1069"/>
      <c r="VIR291" s="1069"/>
      <c r="VIS291" s="1069"/>
      <c r="VIT291" s="1069"/>
      <c r="VIU291" s="1069"/>
      <c r="VIV291" s="1069"/>
      <c r="VIW291" s="1069"/>
      <c r="VIX291" s="1069"/>
      <c r="VIY291" s="1069"/>
      <c r="VIZ291" s="1069"/>
      <c r="VJA291" s="1069"/>
      <c r="VJB291" s="1069"/>
      <c r="VJC291" s="1069"/>
      <c r="VJD291" s="1069"/>
      <c r="VJE291" s="1069"/>
      <c r="VJF291" s="1069"/>
      <c r="VJG291" s="1069"/>
      <c r="VJH291" s="1069"/>
      <c r="VJI291" s="1069"/>
      <c r="VJJ291" s="1069"/>
      <c r="VJK291" s="1069"/>
      <c r="VJL291" s="1069"/>
      <c r="VJM291" s="1069"/>
      <c r="VJN291" s="1069"/>
      <c r="VJO291" s="1069"/>
      <c r="VJP291" s="1069"/>
      <c r="VJQ291" s="1069"/>
      <c r="VJR291" s="1069"/>
      <c r="VJS291" s="1069"/>
      <c r="VJT291" s="1069"/>
      <c r="VJU291" s="1069"/>
      <c r="VJV291" s="1069"/>
      <c r="VJW291" s="1069"/>
      <c r="VJX291" s="1069"/>
      <c r="VJY291" s="1069"/>
      <c r="VJZ291" s="1069"/>
      <c r="VKA291" s="1069"/>
      <c r="VKB291" s="1069"/>
      <c r="VKC291" s="1069"/>
      <c r="VKD291" s="1069"/>
      <c r="VKE291" s="1069"/>
      <c r="VKF291" s="1069"/>
      <c r="VKG291" s="1069"/>
      <c r="VKH291" s="1069"/>
      <c r="VKI291" s="1069"/>
      <c r="VKJ291" s="1069"/>
      <c r="VKK291" s="1069"/>
      <c r="VKL291" s="1069"/>
      <c r="VKM291" s="1069"/>
      <c r="VKN291" s="1069"/>
      <c r="VKO291" s="1069"/>
      <c r="VKP291" s="1069"/>
      <c r="VKQ291" s="1069"/>
      <c r="VKR291" s="1069"/>
      <c r="VKS291" s="1069"/>
      <c r="VKT291" s="1069"/>
      <c r="VKU291" s="1069"/>
      <c r="VKV291" s="1069"/>
      <c r="VKW291" s="1069"/>
      <c r="VKX291" s="1069"/>
      <c r="VKY291" s="1069"/>
      <c r="VKZ291" s="1069"/>
      <c r="VLA291" s="1069"/>
      <c r="VLB291" s="1069"/>
      <c r="VLC291" s="1069"/>
      <c r="VLD291" s="1069"/>
      <c r="VLE291" s="1069"/>
      <c r="VLF291" s="1069"/>
      <c r="VLG291" s="1069"/>
      <c r="VLH291" s="1069"/>
      <c r="VLI291" s="1069"/>
      <c r="VLJ291" s="1069"/>
      <c r="VLK291" s="1069"/>
      <c r="VLL291" s="1069"/>
      <c r="VLM291" s="1069"/>
      <c r="VLN291" s="1069"/>
      <c r="VLO291" s="1069"/>
      <c r="VLP291" s="1069"/>
      <c r="VLQ291" s="1069"/>
      <c r="VLR291" s="1069"/>
      <c r="VLS291" s="1069"/>
      <c r="VLT291" s="1069"/>
      <c r="VLU291" s="1069"/>
      <c r="VLV291" s="1069"/>
      <c r="VLW291" s="1069"/>
      <c r="VLX291" s="1069"/>
      <c r="VLY291" s="1069"/>
      <c r="VLZ291" s="1069"/>
      <c r="VMA291" s="1069"/>
      <c r="VMB291" s="1069"/>
      <c r="VMC291" s="1069"/>
      <c r="VMD291" s="1069"/>
      <c r="VME291" s="1069"/>
      <c r="VMF291" s="1069"/>
      <c r="VMG291" s="1069"/>
      <c r="VMH291" s="1069"/>
      <c r="VMI291" s="1069"/>
      <c r="VMJ291" s="1069"/>
      <c r="VMK291" s="1069"/>
      <c r="VML291" s="1069"/>
      <c r="VMM291" s="1069"/>
      <c r="VMN291" s="1069"/>
      <c r="VMO291" s="1069"/>
      <c r="VMP291" s="1069"/>
      <c r="VMQ291" s="1069"/>
      <c r="VMR291" s="1069"/>
      <c r="VMS291" s="1069"/>
      <c r="VMT291" s="1069"/>
      <c r="VMU291" s="1069"/>
      <c r="VMV291" s="1069"/>
      <c r="VMW291" s="1069"/>
      <c r="VMX291" s="1069"/>
      <c r="VMY291" s="1069"/>
      <c r="VMZ291" s="1069"/>
      <c r="VNA291" s="1069"/>
      <c r="VNB291" s="1069"/>
      <c r="VNC291" s="1069"/>
      <c r="VND291" s="1069"/>
      <c r="VNE291" s="1069"/>
      <c r="VNF291" s="1069"/>
      <c r="VNG291" s="1069"/>
      <c r="VNH291" s="1069"/>
      <c r="VNI291" s="1069"/>
      <c r="VNJ291" s="1069"/>
      <c r="VNK291" s="1069"/>
      <c r="VNL291" s="1069"/>
      <c r="VNM291" s="1069"/>
      <c r="VNN291" s="1069"/>
      <c r="VNO291" s="1069"/>
      <c r="VNP291" s="1069"/>
      <c r="VNQ291" s="1069"/>
      <c r="VNR291" s="1069"/>
      <c r="VNS291" s="1069"/>
      <c r="VNT291" s="1069"/>
      <c r="VNU291" s="1069"/>
      <c r="VNV291" s="1069"/>
      <c r="VNW291" s="1069"/>
      <c r="VNX291" s="1069"/>
      <c r="VNY291" s="1069"/>
      <c r="VNZ291" s="1069"/>
      <c r="VOA291" s="1069"/>
      <c r="VOB291" s="1069"/>
      <c r="VOC291" s="1069"/>
      <c r="VOD291" s="1069"/>
      <c r="VOE291" s="1069"/>
      <c r="VOF291" s="1069"/>
      <c r="VOG291" s="1069"/>
      <c r="VOH291" s="1069"/>
      <c r="VOI291" s="1069"/>
      <c r="VOJ291" s="1069"/>
      <c r="VOK291" s="1069"/>
      <c r="VOL291" s="1069"/>
      <c r="VOM291" s="1069"/>
      <c r="VON291" s="1069"/>
      <c r="VOO291" s="1069"/>
      <c r="VOP291" s="1069"/>
      <c r="VOQ291" s="1069"/>
      <c r="VOR291" s="1069"/>
      <c r="VOS291" s="1069"/>
      <c r="VOT291" s="1069"/>
      <c r="VOU291" s="1069"/>
      <c r="VOV291" s="1069"/>
      <c r="VOW291" s="1069"/>
      <c r="VOX291" s="1069"/>
      <c r="VOY291" s="1069"/>
      <c r="VOZ291" s="1069"/>
      <c r="VPA291" s="1069"/>
      <c r="VPB291" s="1069"/>
      <c r="VPC291" s="1069"/>
      <c r="VPD291" s="1069"/>
      <c r="VPE291" s="1069"/>
      <c r="VPF291" s="1069"/>
      <c r="VPG291" s="1069"/>
      <c r="VPH291" s="1069"/>
      <c r="VPI291" s="1069"/>
      <c r="VPJ291" s="1069"/>
      <c r="VPK291" s="1069"/>
      <c r="VPL291" s="1069"/>
      <c r="VPM291" s="1069"/>
      <c r="VPN291" s="1069"/>
      <c r="VPO291" s="1069"/>
      <c r="VPP291" s="1069"/>
      <c r="VPQ291" s="1069"/>
      <c r="VPR291" s="1069"/>
      <c r="VPS291" s="1069"/>
      <c r="VPT291" s="1069"/>
      <c r="VPU291" s="1069"/>
      <c r="VPV291" s="1069"/>
      <c r="VPW291" s="1069"/>
      <c r="VPX291" s="1069"/>
      <c r="VPY291" s="1069"/>
      <c r="VPZ291" s="1069"/>
      <c r="VQA291" s="1069"/>
      <c r="VQB291" s="1069"/>
      <c r="VQC291" s="1069"/>
      <c r="VQD291" s="1069"/>
      <c r="VQE291" s="1069"/>
      <c r="VQF291" s="1069"/>
      <c r="VQG291" s="1069"/>
      <c r="VQH291" s="1069"/>
      <c r="VQI291" s="1069"/>
      <c r="VQJ291" s="1069"/>
      <c r="VQK291" s="1069"/>
      <c r="VQL291" s="1069"/>
      <c r="VQM291" s="1069"/>
      <c r="VQN291" s="1069"/>
      <c r="VQO291" s="1069"/>
      <c r="VQP291" s="1069"/>
      <c r="VQQ291" s="1069"/>
      <c r="VQR291" s="1069"/>
      <c r="VQS291" s="1069"/>
      <c r="VQT291" s="1069"/>
      <c r="VQU291" s="1069"/>
      <c r="VQV291" s="1069"/>
      <c r="VQW291" s="1069"/>
      <c r="VQX291" s="1069"/>
      <c r="VQY291" s="1069"/>
      <c r="VQZ291" s="1069"/>
      <c r="VRA291" s="1069"/>
      <c r="VRB291" s="1069"/>
      <c r="VRC291" s="1069"/>
      <c r="VRD291" s="1069"/>
      <c r="VRE291" s="1069"/>
      <c r="VRF291" s="1069"/>
      <c r="VRG291" s="1069"/>
      <c r="VRH291" s="1069"/>
      <c r="VRI291" s="1069"/>
      <c r="VRJ291" s="1069"/>
      <c r="VRK291" s="1069"/>
      <c r="VRL291" s="1069"/>
      <c r="VRM291" s="1069"/>
      <c r="VRN291" s="1069"/>
      <c r="VRO291" s="1069"/>
      <c r="VRP291" s="1069"/>
      <c r="VRQ291" s="1069"/>
      <c r="VRR291" s="1069"/>
      <c r="VRS291" s="1069"/>
      <c r="VRT291" s="1069"/>
      <c r="VRU291" s="1069"/>
      <c r="VRV291" s="1069"/>
      <c r="VRW291" s="1069"/>
      <c r="VRX291" s="1069"/>
      <c r="VRY291" s="1069"/>
      <c r="VRZ291" s="1069"/>
      <c r="VSA291" s="1069"/>
      <c r="VSB291" s="1069"/>
      <c r="VSC291" s="1069"/>
      <c r="VSD291" s="1069"/>
      <c r="VSE291" s="1069"/>
      <c r="VSF291" s="1069"/>
      <c r="VSG291" s="1069"/>
      <c r="VSH291" s="1069"/>
      <c r="VSI291" s="1069"/>
      <c r="VSJ291" s="1069"/>
      <c r="VSK291" s="1069"/>
      <c r="VSL291" s="1069"/>
      <c r="VSM291" s="1069"/>
      <c r="VSN291" s="1069"/>
      <c r="VSO291" s="1069"/>
      <c r="VSP291" s="1069"/>
      <c r="VSQ291" s="1069"/>
      <c r="VSR291" s="1069"/>
      <c r="VSS291" s="1069"/>
      <c r="VST291" s="1069"/>
      <c r="VSU291" s="1069"/>
      <c r="VSV291" s="1069"/>
      <c r="VSW291" s="1069"/>
      <c r="VSX291" s="1069"/>
      <c r="VSY291" s="1069"/>
      <c r="VSZ291" s="1069"/>
      <c r="VTA291" s="1069"/>
      <c r="VTB291" s="1069"/>
      <c r="VTC291" s="1069"/>
      <c r="VTD291" s="1069"/>
      <c r="VTE291" s="1069"/>
      <c r="VTF291" s="1069"/>
      <c r="VTG291" s="1069"/>
      <c r="VTH291" s="1069"/>
      <c r="VTI291" s="1069"/>
      <c r="VTJ291" s="1069"/>
      <c r="VTK291" s="1069"/>
      <c r="VTL291" s="1069"/>
      <c r="VTM291" s="1069"/>
      <c r="VTN291" s="1069"/>
      <c r="VTO291" s="1069"/>
      <c r="VTP291" s="1069"/>
      <c r="VTQ291" s="1069"/>
      <c r="VTR291" s="1069"/>
      <c r="VTS291" s="1069"/>
      <c r="VTT291" s="1069"/>
      <c r="VTU291" s="1069"/>
      <c r="VTV291" s="1069"/>
      <c r="VTW291" s="1069"/>
      <c r="VTX291" s="1069"/>
      <c r="VTY291" s="1069"/>
      <c r="VTZ291" s="1069"/>
      <c r="VUA291" s="1069"/>
      <c r="VUB291" s="1069"/>
      <c r="VUC291" s="1069"/>
      <c r="VUD291" s="1069"/>
      <c r="VUE291" s="1069"/>
      <c r="VUF291" s="1069"/>
      <c r="VUG291" s="1069"/>
      <c r="VUH291" s="1069"/>
      <c r="VUI291" s="1069"/>
      <c r="VUJ291" s="1069"/>
      <c r="VUK291" s="1069"/>
      <c r="VUL291" s="1069"/>
      <c r="VUM291" s="1069"/>
      <c r="VUN291" s="1069"/>
      <c r="VUO291" s="1069"/>
      <c r="VUP291" s="1069"/>
      <c r="VUQ291" s="1069"/>
      <c r="VUR291" s="1069"/>
      <c r="VUS291" s="1069"/>
      <c r="VUT291" s="1069"/>
      <c r="VUU291" s="1069"/>
      <c r="VUV291" s="1069"/>
      <c r="VUW291" s="1069"/>
      <c r="VUX291" s="1069"/>
      <c r="VUY291" s="1069"/>
      <c r="VUZ291" s="1069"/>
      <c r="VVA291" s="1069"/>
      <c r="VVB291" s="1069"/>
      <c r="VVC291" s="1069"/>
      <c r="VVD291" s="1069"/>
      <c r="VVE291" s="1069"/>
      <c r="VVF291" s="1069"/>
      <c r="VVG291" s="1069"/>
      <c r="VVH291" s="1069"/>
      <c r="VVI291" s="1069"/>
      <c r="VVJ291" s="1069"/>
      <c r="VVK291" s="1069"/>
      <c r="VVL291" s="1069"/>
      <c r="VVM291" s="1069"/>
      <c r="VVN291" s="1069"/>
      <c r="VVO291" s="1069"/>
      <c r="VVP291" s="1069"/>
      <c r="VVQ291" s="1069"/>
      <c r="VVR291" s="1069"/>
      <c r="VVS291" s="1069"/>
      <c r="VVT291" s="1069"/>
      <c r="VVU291" s="1069"/>
      <c r="VVV291" s="1069"/>
      <c r="VVW291" s="1069"/>
      <c r="VVX291" s="1069"/>
      <c r="VVY291" s="1069"/>
      <c r="VVZ291" s="1069"/>
      <c r="VWA291" s="1069"/>
      <c r="VWB291" s="1069"/>
      <c r="VWC291" s="1069"/>
      <c r="VWD291" s="1069"/>
      <c r="VWE291" s="1069"/>
      <c r="VWF291" s="1069"/>
      <c r="VWG291" s="1069"/>
      <c r="VWH291" s="1069"/>
      <c r="VWI291" s="1069"/>
      <c r="VWJ291" s="1069"/>
      <c r="VWK291" s="1069"/>
      <c r="VWL291" s="1069"/>
      <c r="VWM291" s="1069"/>
      <c r="VWN291" s="1069"/>
      <c r="VWO291" s="1069"/>
      <c r="VWP291" s="1069"/>
      <c r="VWQ291" s="1069"/>
      <c r="VWR291" s="1069"/>
      <c r="VWS291" s="1069"/>
      <c r="VWT291" s="1069"/>
      <c r="VWU291" s="1069"/>
      <c r="VWV291" s="1069"/>
      <c r="VWW291" s="1069"/>
      <c r="VWX291" s="1069"/>
      <c r="VWY291" s="1069"/>
      <c r="VWZ291" s="1069"/>
      <c r="VXA291" s="1069"/>
      <c r="VXB291" s="1069"/>
      <c r="VXC291" s="1069"/>
      <c r="VXD291" s="1069"/>
      <c r="VXE291" s="1069"/>
      <c r="VXF291" s="1069"/>
      <c r="VXG291" s="1069"/>
      <c r="VXH291" s="1069"/>
      <c r="VXI291" s="1069"/>
      <c r="VXJ291" s="1069"/>
      <c r="VXK291" s="1069"/>
      <c r="VXL291" s="1069"/>
      <c r="VXM291" s="1069"/>
      <c r="VXN291" s="1069"/>
      <c r="VXO291" s="1069"/>
      <c r="VXP291" s="1069"/>
      <c r="VXQ291" s="1069"/>
      <c r="VXR291" s="1069"/>
      <c r="VXS291" s="1069"/>
      <c r="VXT291" s="1069"/>
      <c r="VXU291" s="1069"/>
      <c r="VXV291" s="1069"/>
      <c r="VXW291" s="1069"/>
      <c r="VXX291" s="1069"/>
      <c r="VXY291" s="1069"/>
      <c r="VXZ291" s="1069"/>
      <c r="VYA291" s="1069"/>
      <c r="VYB291" s="1069"/>
      <c r="VYC291" s="1069"/>
      <c r="VYD291" s="1069"/>
      <c r="VYE291" s="1069"/>
      <c r="VYF291" s="1069"/>
      <c r="VYG291" s="1069"/>
      <c r="VYH291" s="1069"/>
      <c r="VYI291" s="1069"/>
      <c r="VYJ291" s="1069"/>
      <c r="VYK291" s="1069"/>
      <c r="VYL291" s="1069"/>
      <c r="VYM291" s="1069"/>
      <c r="VYN291" s="1069"/>
      <c r="VYO291" s="1069"/>
      <c r="VYP291" s="1069"/>
      <c r="VYQ291" s="1069"/>
      <c r="VYR291" s="1069"/>
      <c r="VYS291" s="1069"/>
      <c r="VYT291" s="1069"/>
      <c r="VYU291" s="1069"/>
      <c r="VYV291" s="1069"/>
      <c r="VYW291" s="1069"/>
      <c r="VYX291" s="1069"/>
      <c r="VYY291" s="1069"/>
      <c r="VYZ291" s="1069"/>
      <c r="VZA291" s="1069"/>
      <c r="VZB291" s="1069"/>
      <c r="VZC291" s="1069"/>
      <c r="VZD291" s="1069"/>
      <c r="VZE291" s="1069"/>
      <c r="VZF291" s="1069"/>
      <c r="VZG291" s="1069"/>
      <c r="VZH291" s="1069"/>
      <c r="VZI291" s="1069"/>
      <c r="VZJ291" s="1069"/>
      <c r="VZK291" s="1069"/>
      <c r="VZL291" s="1069"/>
      <c r="VZM291" s="1069"/>
      <c r="VZN291" s="1069"/>
      <c r="VZO291" s="1069"/>
      <c r="VZP291" s="1069"/>
      <c r="VZQ291" s="1069"/>
      <c r="VZR291" s="1069"/>
      <c r="VZS291" s="1069"/>
      <c r="VZT291" s="1069"/>
      <c r="VZU291" s="1069"/>
      <c r="VZV291" s="1069"/>
      <c r="VZW291" s="1069"/>
      <c r="VZX291" s="1069"/>
      <c r="VZY291" s="1069"/>
      <c r="VZZ291" s="1069"/>
      <c r="WAA291" s="1069"/>
      <c r="WAB291" s="1069"/>
      <c r="WAC291" s="1069"/>
      <c r="WAD291" s="1069"/>
      <c r="WAE291" s="1069"/>
      <c r="WAF291" s="1069"/>
      <c r="WAG291" s="1069"/>
      <c r="WAH291" s="1069"/>
      <c r="WAI291" s="1069"/>
      <c r="WAJ291" s="1069"/>
      <c r="WAK291" s="1069"/>
      <c r="WAL291" s="1069"/>
      <c r="WAM291" s="1069"/>
      <c r="WAN291" s="1069"/>
      <c r="WAO291" s="1069"/>
      <c r="WAP291" s="1069"/>
      <c r="WAQ291" s="1069"/>
      <c r="WAR291" s="1069"/>
      <c r="WAS291" s="1069"/>
      <c r="WAT291" s="1069"/>
      <c r="WAU291" s="1069"/>
      <c r="WAV291" s="1069"/>
      <c r="WAW291" s="1069"/>
      <c r="WAX291" s="1069"/>
      <c r="WAY291" s="1069"/>
      <c r="WAZ291" s="1069"/>
      <c r="WBA291" s="1069"/>
      <c r="WBB291" s="1069"/>
      <c r="WBC291" s="1069"/>
      <c r="WBD291" s="1069"/>
      <c r="WBE291" s="1069"/>
      <c r="WBF291" s="1069"/>
      <c r="WBG291" s="1069"/>
      <c r="WBH291" s="1069"/>
      <c r="WBI291" s="1069"/>
      <c r="WBJ291" s="1069"/>
      <c r="WBK291" s="1069"/>
      <c r="WBL291" s="1069"/>
      <c r="WBM291" s="1069"/>
      <c r="WBN291" s="1069"/>
      <c r="WBO291" s="1069"/>
      <c r="WBP291" s="1069"/>
      <c r="WBQ291" s="1069"/>
      <c r="WBR291" s="1069"/>
      <c r="WBS291" s="1069"/>
      <c r="WBT291" s="1069"/>
      <c r="WBU291" s="1069"/>
      <c r="WBV291" s="1069"/>
      <c r="WBW291" s="1069"/>
      <c r="WBX291" s="1069"/>
      <c r="WBY291" s="1069"/>
      <c r="WBZ291" s="1069"/>
      <c r="WCA291" s="1069"/>
      <c r="WCB291" s="1069"/>
      <c r="WCC291" s="1069"/>
      <c r="WCD291" s="1069"/>
      <c r="WCE291" s="1069"/>
      <c r="WCF291" s="1069"/>
      <c r="WCG291" s="1069"/>
      <c r="WCH291" s="1069"/>
      <c r="WCI291" s="1069"/>
      <c r="WCJ291" s="1069"/>
      <c r="WCK291" s="1069"/>
      <c r="WCL291" s="1069"/>
      <c r="WCM291" s="1069"/>
      <c r="WCN291" s="1069"/>
      <c r="WCO291" s="1069"/>
      <c r="WCP291" s="1069"/>
      <c r="WCQ291" s="1069"/>
      <c r="WCR291" s="1069"/>
      <c r="WCS291" s="1069"/>
      <c r="WCT291" s="1069"/>
      <c r="WCU291" s="1069"/>
      <c r="WCV291" s="1069"/>
      <c r="WCW291" s="1069"/>
      <c r="WCX291" s="1069"/>
      <c r="WCY291" s="1069"/>
      <c r="WCZ291" s="1069"/>
      <c r="WDA291" s="1069"/>
      <c r="WDB291" s="1069"/>
      <c r="WDC291" s="1069"/>
      <c r="WDD291" s="1069"/>
      <c r="WDE291" s="1069"/>
      <c r="WDF291" s="1069"/>
      <c r="WDG291" s="1069"/>
      <c r="WDH291" s="1069"/>
      <c r="WDI291" s="1069"/>
      <c r="WDJ291" s="1069"/>
      <c r="WDK291" s="1069"/>
      <c r="WDL291" s="1069"/>
      <c r="WDM291" s="1069"/>
      <c r="WDN291" s="1069"/>
      <c r="WDO291" s="1069"/>
      <c r="WDP291" s="1069"/>
      <c r="WDQ291" s="1069"/>
      <c r="WDR291" s="1069"/>
      <c r="WDS291" s="1069"/>
      <c r="WDT291" s="1069"/>
      <c r="WDU291" s="1069"/>
      <c r="WDV291" s="1069"/>
      <c r="WDW291" s="1069"/>
      <c r="WDX291" s="1069"/>
      <c r="WDY291" s="1069"/>
      <c r="WDZ291" s="1069"/>
      <c r="WEA291" s="1069"/>
      <c r="WEB291" s="1069"/>
      <c r="WEC291" s="1069"/>
      <c r="WED291" s="1069"/>
      <c r="WEE291" s="1069"/>
      <c r="WEF291" s="1069"/>
      <c r="WEG291" s="1069"/>
      <c r="WEH291" s="1069"/>
      <c r="WEI291" s="1069"/>
      <c r="WEJ291" s="1069"/>
      <c r="WEK291" s="1069"/>
      <c r="WEL291" s="1069"/>
      <c r="WEM291" s="1069"/>
      <c r="WEN291" s="1069"/>
      <c r="WEO291" s="1069"/>
      <c r="WEP291" s="1069"/>
      <c r="WEQ291" s="1069"/>
      <c r="WER291" s="1069"/>
      <c r="WES291" s="1069"/>
      <c r="WET291" s="1069"/>
      <c r="WEU291" s="1069"/>
      <c r="WEV291" s="1069"/>
      <c r="WEW291" s="1069"/>
      <c r="WEX291" s="1069"/>
      <c r="WEY291" s="1069"/>
      <c r="WEZ291" s="1069"/>
      <c r="WFA291" s="1069"/>
      <c r="WFB291" s="1069"/>
      <c r="WFC291" s="1069"/>
      <c r="WFD291" s="1069"/>
      <c r="WFE291" s="1069"/>
      <c r="WFF291" s="1069"/>
      <c r="WFG291" s="1069"/>
      <c r="WFH291" s="1069"/>
      <c r="WFI291" s="1069"/>
      <c r="WFJ291" s="1069"/>
      <c r="WFK291" s="1069"/>
      <c r="WFL291" s="1069"/>
      <c r="WFM291" s="1069"/>
      <c r="WFN291" s="1069"/>
      <c r="WFO291" s="1069"/>
      <c r="WFP291" s="1069"/>
      <c r="WFQ291" s="1069"/>
      <c r="WFR291" s="1069"/>
      <c r="WFS291" s="1069"/>
      <c r="WFT291" s="1069"/>
      <c r="WFU291" s="1069"/>
      <c r="WFV291" s="1069"/>
      <c r="WFW291" s="1069"/>
      <c r="WFX291" s="1069"/>
      <c r="WFY291" s="1069"/>
      <c r="WFZ291" s="1069"/>
      <c r="WGA291" s="1069"/>
      <c r="WGB291" s="1069"/>
      <c r="WGC291" s="1069"/>
      <c r="WGD291" s="1069"/>
      <c r="WGE291" s="1069"/>
      <c r="WGF291" s="1069"/>
      <c r="WGG291" s="1069"/>
      <c r="WGH291" s="1069"/>
      <c r="WGI291" s="1069"/>
      <c r="WGJ291" s="1069"/>
      <c r="WGK291" s="1069"/>
      <c r="WGL291" s="1069"/>
      <c r="WGM291" s="1069"/>
      <c r="WGN291" s="1069"/>
      <c r="WGO291" s="1069"/>
      <c r="WGP291" s="1069"/>
      <c r="WGQ291" s="1069"/>
      <c r="WGR291" s="1069"/>
      <c r="WGS291" s="1069"/>
      <c r="WGT291" s="1069"/>
      <c r="WGU291" s="1069"/>
      <c r="WGV291" s="1069"/>
      <c r="WGW291" s="1069"/>
      <c r="WGX291" s="1069"/>
      <c r="WGY291" s="1069"/>
      <c r="WGZ291" s="1069"/>
      <c r="WHA291" s="1069"/>
      <c r="WHB291" s="1069"/>
      <c r="WHC291" s="1069"/>
      <c r="WHD291" s="1069"/>
      <c r="WHE291" s="1069"/>
      <c r="WHF291" s="1069"/>
      <c r="WHG291" s="1069"/>
      <c r="WHH291" s="1069"/>
      <c r="WHI291" s="1069"/>
      <c r="WHJ291" s="1069"/>
      <c r="WHK291" s="1069"/>
      <c r="WHL291" s="1069"/>
      <c r="WHM291" s="1069"/>
      <c r="WHN291" s="1069"/>
      <c r="WHO291" s="1069"/>
      <c r="WHP291" s="1069"/>
      <c r="WHQ291" s="1069"/>
      <c r="WHR291" s="1069"/>
      <c r="WHS291" s="1069"/>
      <c r="WHT291" s="1069"/>
      <c r="WHU291" s="1069"/>
      <c r="WHV291" s="1069"/>
      <c r="WHW291" s="1069"/>
      <c r="WHX291" s="1069"/>
      <c r="WHY291" s="1069"/>
      <c r="WHZ291" s="1069"/>
      <c r="WIA291" s="1069"/>
      <c r="WIB291" s="1069"/>
      <c r="WIC291" s="1069"/>
      <c r="WID291" s="1069"/>
      <c r="WIE291" s="1069"/>
      <c r="WIF291" s="1069"/>
      <c r="WIG291" s="1069"/>
      <c r="WIH291" s="1069"/>
      <c r="WII291" s="1069"/>
      <c r="WIJ291" s="1069"/>
      <c r="WIK291" s="1069"/>
      <c r="WIL291" s="1069"/>
      <c r="WIM291" s="1069"/>
      <c r="WIN291" s="1069"/>
      <c r="WIO291" s="1069"/>
      <c r="WIP291" s="1069"/>
      <c r="WIQ291" s="1069"/>
      <c r="WIR291" s="1069"/>
      <c r="WIS291" s="1069"/>
      <c r="WIT291" s="1069"/>
      <c r="WIU291" s="1069"/>
      <c r="WIV291" s="1069"/>
      <c r="WIW291" s="1069"/>
      <c r="WIX291" s="1069"/>
      <c r="WIY291" s="1069"/>
      <c r="WIZ291" s="1069"/>
      <c r="WJA291" s="1069"/>
      <c r="WJB291" s="1069"/>
      <c r="WJC291" s="1069"/>
      <c r="WJD291" s="1069"/>
      <c r="WJE291" s="1069"/>
      <c r="WJF291" s="1069"/>
      <c r="WJG291" s="1069"/>
      <c r="WJH291" s="1069"/>
      <c r="WJI291" s="1069"/>
      <c r="WJJ291" s="1069"/>
      <c r="WJK291" s="1069"/>
      <c r="WJL291" s="1069"/>
      <c r="WJM291" s="1069"/>
      <c r="WJN291" s="1069"/>
      <c r="WJO291" s="1069"/>
      <c r="WJP291" s="1069"/>
      <c r="WJQ291" s="1069"/>
      <c r="WJR291" s="1069"/>
      <c r="WJS291" s="1069"/>
      <c r="WJT291" s="1069"/>
      <c r="WJU291" s="1069"/>
      <c r="WJV291" s="1069"/>
      <c r="WJW291" s="1069"/>
      <c r="WJX291" s="1069"/>
      <c r="WJY291" s="1069"/>
      <c r="WJZ291" s="1069"/>
      <c r="WKA291" s="1069"/>
      <c r="WKB291" s="1069"/>
      <c r="WKC291" s="1069"/>
      <c r="WKD291" s="1069"/>
      <c r="WKE291" s="1069"/>
      <c r="WKF291" s="1069"/>
      <c r="WKG291" s="1069"/>
      <c r="WKH291" s="1069"/>
      <c r="WKI291" s="1069"/>
      <c r="WKJ291" s="1069"/>
      <c r="WKK291" s="1069"/>
      <c r="WKL291" s="1069"/>
      <c r="WKM291" s="1069"/>
      <c r="WKN291" s="1069"/>
      <c r="WKO291" s="1069"/>
      <c r="WKP291" s="1069"/>
      <c r="WKQ291" s="1069"/>
      <c r="WKR291" s="1069"/>
      <c r="WKS291" s="1069"/>
      <c r="WKT291" s="1069"/>
      <c r="WKU291" s="1069"/>
      <c r="WKV291" s="1069"/>
      <c r="WKW291" s="1069"/>
      <c r="WKX291" s="1069"/>
      <c r="WKY291" s="1069"/>
      <c r="WKZ291" s="1069"/>
      <c r="WLA291" s="1069"/>
      <c r="WLB291" s="1069"/>
      <c r="WLC291" s="1069"/>
      <c r="WLD291" s="1069"/>
      <c r="WLE291" s="1069"/>
      <c r="WLF291" s="1069"/>
      <c r="WLG291" s="1069"/>
      <c r="WLH291" s="1069"/>
      <c r="WLI291" s="1069"/>
      <c r="WLJ291" s="1069"/>
      <c r="WLK291" s="1069"/>
      <c r="WLL291" s="1069"/>
      <c r="WLM291" s="1069"/>
      <c r="WLN291" s="1069"/>
      <c r="WLO291" s="1069"/>
      <c r="WLP291" s="1069"/>
      <c r="WLQ291" s="1069"/>
      <c r="WLR291" s="1069"/>
      <c r="WLS291" s="1069"/>
      <c r="WLT291" s="1069"/>
      <c r="WLU291" s="1069"/>
      <c r="WLV291" s="1069"/>
      <c r="WLW291" s="1069"/>
      <c r="WLX291" s="1069"/>
      <c r="WLY291" s="1069"/>
      <c r="WLZ291" s="1069"/>
      <c r="WMA291" s="1069"/>
      <c r="WMB291" s="1069"/>
      <c r="WMC291" s="1069"/>
      <c r="WMD291" s="1069"/>
      <c r="WME291" s="1069"/>
      <c r="WMF291" s="1069"/>
      <c r="WMG291" s="1069"/>
      <c r="WMH291" s="1069"/>
      <c r="WMI291" s="1069"/>
      <c r="WMJ291" s="1069"/>
      <c r="WMK291" s="1069"/>
      <c r="WML291" s="1069"/>
      <c r="WMM291" s="1069"/>
      <c r="WMN291" s="1069"/>
      <c r="WMO291" s="1069"/>
      <c r="WMP291" s="1069"/>
      <c r="WMQ291" s="1069"/>
      <c r="WMR291" s="1069"/>
      <c r="WMS291" s="1069"/>
      <c r="WMT291" s="1069"/>
      <c r="WMU291" s="1069"/>
      <c r="WMV291" s="1069"/>
      <c r="WMW291" s="1069"/>
      <c r="WMX291" s="1069"/>
      <c r="WMY291" s="1069"/>
      <c r="WMZ291" s="1069"/>
      <c r="WNA291" s="1069"/>
      <c r="WNB291" s="1069"/>
      <c r="WNC291" s="1069"/>
      <c r="WND291" s="1069"/>
      <c r="WNE291" s="1069"/>
      <c r="WNF291" s="1069"/>
      <c r="WNG291" s="1069"/>
      <c r="WNH291" s="1069"/>
      <c r="WNI291" s="1069"/>
      <c r="WNJ291" s="1069"/>
      <c r="WNK291" s="1069"/>
      <c r="WNL291" s="1069"/>
      <c r="WNM291" s="1069"/>
      <c r="WNN291" s="1069"/>
      <c r="WNO291" s="1069"/>
      <c r="WNP291" s="1069"/>
      <c r="WNQ291" s="1069"/>
      <c r="WNR291" s="1069"/>
      <c r="WNS291" s="1069"/>
      <c r="WNT291" s="1069"/>
      <c r="WNU291" s="1069"/>
      <c r="WNV291" s="1069"/>
      <c r="WNW291" s="1069"/>
      <c r="WNX291" s="1069"/>
      <c r="WNY291" s="1069"/>
      <c r="WNZ291" s="1069"/>
      <c r="WOA291" s="1069"/>
      <c r="WOB291" s="1069"/>
      <c r="WOC291" s="1069"/>
      <c r="WOD291" s="1069"/>
      <c r="WOE291" s="1069"/>
      <c r="WOF291" s="1069"/>
      <c r="WOG291" s="1069"/>
      <c r="WOH291" s="1069"/>
      <c r="WOI291" s="1069"/>
      <c r="WOJ291" s="1069"/>
      <c r="WOK291" s="1069"/>
      <c r="WOL291" s="1069"/>
      <c r="WOM291" s="1069"/>
      <c r="WON291" s="1069"/>
      <c r="WOO291" s="1069"/>
      <c r="WOP291" s="1069"/>
      <c r="WOQ291" s="1069"/>
      <c r="WOR291" s="1069"/>
      <c r="WOS291" s="1069"/>
      <c r="WOT291" s="1069"/>
      <c r="WOU291" s="1069"/>
      <c r="WOV291" s="1069"/>
      <c r="WOW291" s="1069"/>
      <c r="WOX291" s="1069"/>
      <c r="WOY291" s="1069"/>
      <c r="WOZ291" s="1069"/>
      <c r="WPA291" s="1069"/>
      <c r="WPB291" s="1069"/>
      <c r="WPC291" s="1069"/>
      <c r="WPD291" s="1069"/>
      <c r="WPE291" s="1069"/>
      <c r="WPF291" s="1069"/>
      <c r="WPG291" s="1069"/>
      <c r="WPH291" s="1069"/>
      <c r="WPI291" s="1069"/>
      <c r="WPJ291" s="1069"/>
      <c r="WPK291" s="1069"/>
      <c r="WPL291" s="1069"/>
      <c r="WPM291" s="1069"/>
      <c r="WPN291" s="1069"/>
      <c r="WPO291" s="1069"/>
      <c r="WPP291" s="1069"/>
      <c r="WPQ291" s="1069"/>
      <c r="WPR291" s="1069"/>
      <c r="WPS291" s="1069"/>
      <c r="WPT291" s="1069"/>
      <c r="WPU291" s="1069"/>
      <c r="WPV291" s="1069"/>
      <c r="WPW291" s="1069"/>
      <c r="WPX291" s="1069"/>
      <c r="WPY291" s="1069"/>
      <c r="WPZ291" s="1069"/>
      <c r="WQA291" s="1069"/>
      <c r="WQB291" s="1069"/>
      <c r="WQC291" s="1069"/>
      <c r="WQD291" s="1069"/>
      <c r="WQE291" s="1069"/>
      <c r="WQF291" s="1069"/>
      <c r="WQG291" s="1069"/>
      <c r="WQH291" s="1069"/>
      <c r="WQI291" s="1069"/>
      <c r="WQJ291" s="1069"/>
      <c r="WQK291" s="1069"/>
      <c r="WQL291" s="1069"/>
      <c r="WQM291" s="1069"/>
      <c r="WQN291" s="1069"/>
      <c r="WQO291" s="1069"/>
      <c r="WQP291" s="1069"/>
      <c r="WQQ291" s="1069"/>
      <c r="WQR291" s="1069"/>
      <c r="WQS291" s="1069"/>
      <c r="WQT291" s="1069"/>
      <c r="WQU291" s="1069"/>
      <c r="WQV291" s="1069"/>
      <c r="WQW291" s="1069"/>
      <c r="WQX291" s="1069"/>
      <c r="WQY291" s="1069"/>
      <c r="WQZ291" s="1069"/>
      <c r="WRA291" s="1069"/>
      <c r="WRB291" s="1069"/>
      <c r="WRC291" s="1069"/>
      <c r="WRD291" s="1069"/>
      <c r="WRE291" s="1069"/>
      <c r="WRF291" s="1069"/>
      <c r="WRG291" s="1069"/>
      <c r="WRH291" s="1069"/>
      <c r="WRI291" s="1069"/>
      <c r="WRJ291" s="1069"/>
      <c r="WRK291" s="1069"/>
      <c r="WRL291" s="1069"/>
      <c r="WRM291" s="1069"/>
      <c r="WRN291" s="1069"/>
      <c r="WRO291" s="1069"/>
      <c r="WRP291" s="1069"/>
      <c r="WRQ291" s="1069"/>
      <c r="WRR291" s="1069"/>
      <c r="WRS291" s="1069"/>
      <c r="WRT291" s="1069"/>
      <c r="WRU291" s="1069"/>
      <c r="WRV291" s="1069"/>
      <c r="WRW291" s="1069"/>
      <c r="WRX291" s="1069"/>
      <c r="WRY291" s="1069"/>
      <c r="WRZ291" s="1069"/>
      <c r="WSA291" s="1069"/>
      <c r="WSB291" s="1069"/>
      <c r="WSC291" s="1069"/>
      <c r="WSD291" s="1069"/>
      <c r="WSE291" s="1069"/>
      <c r="WSF291" s="1069"/>
      <c r="WSG291" s="1069"/>
      <c r="WSH291" s="1069"/>
      <c r="WSI291" s="1069"/>
      <c r="WSJ291" s="1069"/>
      <c r="WSK291" s="1069"/>
      <c r="WSL291" s="1069"/>
      <c r="WSM291" s="1069"/>
      <c r="WSN291" s="1069"/>
      <c r="WSO291" s="1069"/>
      <c r="WSP291" s="1069"/>
      <c r="WSQ291" s="1069"/>
      <c r="WSR291" s="1069"/>
      <c r="WSS291" s="1069"/>
      <c r="WST291" s="1069"/>
      <c r="WSU291" s="1069"/>
      <c r="WSV291" s="1069"/>
      <c r="WSW291" s="1069"/>
      <c r="WSX291" s="1069"/>
      <c r="WSY291" s="1069"/>
      <c r="WSZ291" s="1069"/>
      <c r="WTA291" s="1069"/>
      <c r="WTB291" s="1069"/>
      <c r="WTC291" s="1069"/>
      <c r="WTD291" s="1069"/>
      <c r="WTE291" s="1069"/>
      <c r="WTF291" s="1069"/>
      <c r="WTG291" s="1069"/>
      <c r="WTH291" s="1069"/>
      <c r="WTI291" s="1069"/>
      <c r="WTJ291" s="1069"/>
      <c r="WTK291" s="1069"/>
      <c r="WTL291" s="1069"/>
      <c r="WTM291" s="1069"/>
      <c r="WTN291" s="1069"/>
      <c r="WTO291" s="1069"/>
      <c r="WTP291" s="1069"/>
      <c r="WTQ291" s="1069"/>
      <c r="WTR291" s="1069"/>
      <c r="WTS291" s="1069"/>
      <c r="WTT291" s="1069"/>
      <c r="WTU291" s="1069"/>
      <c r="WTV291" s="1069"/>
      <c r="WTW291" s="1069"/>
      <c r="WTX291" s="1069"/>
      <c r="WTY291" s="1069"/>
      <c r="WTZ291" s="1069"/>
      <c r="WUA291" s="1069"/>
      <c r="WUB291" s="1069"/>
      <c r="WUC291" s="1069"/>
      <c r="WUD291" s="1069"/>
      <c r="WUE291" s="1069"/>
      <c r="WUF291" s="1069"/>
      <c r="WUG291" s="1069"/>
      <c r="WUH291" s="1069"/>
      <c r="WUI291" s="1069"/>
      <c r="WUJ291" s="1069"/>
      <c r="WUK291" s="1069"/>
      <c r="WUL291" s="1069"/>
      <c r="WUM291" s="1069"/>
      <c r="WUN291" s="1069"/>
      <c r="WUO291" s="1069"/>
      <c r="WUP291" s="1069"/>
      <c r="WUQ291" s="1069"/>
      <c r="WUR291" s="1069"/>
      <c r="WUS291" s="1069"/>
      <c r="WUT291" s="1069"/>
      <c r="WUU291" s="1069"/>
      <c r="WUV291" s="1069"/>
      <c r="WUW291" s="1069"/>
      <c r="WUX291" s="1069"/>
      <c r="WUY291" s="1069"/>
      <c r="WUZ291" s="1069"/>
      <c r="WVA291" s="1069"/>
      <c r="WVB291" s="1069"/>
      <c r="WVC291" s="1069"/>
      <c r="WVD291" s="1069"/>
      <c r="WVE291" s="1069"/>
      <c r="WVF291" s="1069"/>
      <c r="WVG291" s="1069"/>
      <c r="WVH291" s="1069"/>
      <c r="WVI291" s="1069"/>
      <c r="WVJ291" s="1069"/>
      <c r="WVK291" s="1069"/>
      <c r="WVL291" s="1069"/>
      <c r="WVM291" s="1069"/>
      <c r="WVN291" s="1069"/>
      <c r="WVO291" s="1069"/>
      <c r="WVP291" s="1069"/>
      <c r="WVQ291" s="1069"/>
      <c r="WVR291" s="1069"/>
      <c r="WVS291" s="1069"/>
      <c r="WVT291" s="1069"/>
      <c r="WVU291" s="1069"/>
      <c r="WVV291" s="1069"/>
      <c r="WVW291" s="1069"/>
      <c r="WVX291" s="1069"/>
      <c r="WVY291" s="1069"/>
      <c r="WVZ291" s="1069"/>
      <c r="WWA291" s="1069"/>
      <c r="WWB291" s="1069"/>
      <c r="WWC291" s="1069"/>
      <c r="WWD291" s="1069"/>
      <c r="WWE291" s="1069"/>
      <c r="WWF291" s="1069"/>
      <c r="WWG291" s="1069"/>
      <c r="WWH291" s="1069"/>
      <c r="WWI291" s="1069"/>
      <c r="WWJ291" s="1069"/>
      <c r="WWK291" s="1069"/>
      <c r="WWL291" s="1069"/>
      <c r="WWM291" s="1069"/>
      <c r="WWN291" s="1069"/>
      <c r="WWO291" s="1069"/>
      <c r="WWP291" s="1069"/>
      <c r="WWQ291" s="1069"/>
      <c r="WWR291" s="1069"/>
      <c r="WWS291" s="1069"/>
      <c r="WWT291" s="1069"/>
      <c r="WWU291" s="1069"/>
      <c r="WWV291" s="1069"/>
      <c r="WWW291" s="1069"/>
      <c r="WWX291" s="1069"/>
      <c r="WWY291" s="1069"/>
      <c r="WWZ291" s="1069"/>
      <c r="WXA291" s="1069"/>
      <c r="WXB291" s="1069"/>
      <c r="WXC291" s="1069"/>
      <c r="WXD291" s="1069"/>
      <c r="WXE291" s="1069"/>
      <c r="WXF291" s="1069"/>
      <c r="WXG291" s="1069"/>
      <c r="WXH291" s="1069"/>
      <c r="WXI291" s="1069"/>
      <c r="WXJ291" s="1069"/>
      <c r="WXK291" s="1069"/>
      <c r="WXL291" s="1069"/>
      <c r="WXM291" s="1069"/>
      <c r="WXN291" s="1069"/>
      <c r="WXO291" s="1069"/>
      <c r="WXP291" s="1069"/>
      <c r="WXQ291" s="1069"/>
      <c r="WXR291" s="1069"/>
      <c r="WXS291" s="1069"/>
      <c r="WXT291" s="1069"/>
      <c r="WXU291" s="1069"/>
      <c r="WXV291" s="1069"/>
      <c r="WXW291" s="1069"/>
      <c r="WXX291" s="1069"/>
      <c r="WXY291" s="1069"/>
      <c r="WXZ291" s="1069"/>
      <c r="WYA291" s="1069"/>
      <c r="WYB291" s="1069"/>
      <c r="WYC291" s="1069"/>
      <c r="WYD291" s="1069"/>
      <c r="WYE291" s="1069"/>
      <c r="WYF291" s="1069"/>
      <c r="WYG291" s="1069"/>
      <c r="WYH291" s="1069"/>
      <c r="WYI291" s="1069"/>
      <c r="WYJ291" s="1069"/>
      <c r="WYK291" s="1069"/>
      <c r="WYL291" s="1069"/>
      <c r="WYM291" s="1069"/>
      <c r="WYN291" s="1069"/>
      <c r="WYO291" s="1069"/>
      <c r="WYP291" s="1069"/>
      <c r="WYQ291" s="1069"/>
      <c r="WYR291" s="1069"/>
      <c r="WYS291" s="1069"/>
      <c r="WYT291" s="1069"/>
      <c r="WYU291" s="1069"/>
      <c r="WYV291" s="1069"/>
      <c r="WYW291" s="1069"/>
      <c r="WYX291" s="1069"/>
      <c r="WYY291" s="1069"/>
      <c r="WYZ291" s="1069"/>
      <c r="WZA291" s="1069"/>
      <c r="WZB291" s="1069"/>
      <c r="WZC291" s="1069"/>
      <c r="WZD291" s="1069"/>
      <c r="WZE291" s="1069"/>
      <c r="WZF291" s="1069"/>
      <c r="WZG291" s="1069"/>
      <c r="WZH291" s="1069"/>
      <c r="WZI291" s="1069"/>
      <c r="WZJ291" s="1069"/>
      <c r="WZK291" s="1069"/>
      <c r="WZL291" s="1069"/>
      <c r="WZM291" s="1069"/>
      <c r="WZN291" s="1069"/>
      <c r="WZO291" s="1069"/>
      <c r="WZP291" s="1069"/>
      <c r="WZQ291" s="1069"/>
      <c r="WZR291" s="1069"/>
      <c r="WZS291" s="1069"/>
      <c r="WZT291" s="1069"/>
      <c r="WZU291" s="1069"/>
      <c r="WZV291" s="1069"/>
      <c r="WZW291" s="1069"/>
      <c r="WZX291" s="1069"/>
      <c r="WZY291" s="1069"/>
      <c r="WZZ291" s="1069"/>
      <c r="XAA291" s="1069"/>
      <c r="XAB291" s="1069"/>
      <c r="XAC291" s="1069"/>
      <c r="XAD291" s="1069"/>
      <c r="XAE291" s="1069"/>
      <c r="XAF291" s="1069"/>
      <c r="XAG291" s="1069"/>
      <c r="XAH291" s="1069"/>
      <c r="XAI291" s="1069"/>
      <c r="XAJ291" s="1069"/>
      <c r="XAK291" s="1069"/>
      <c r="XAL291" s="1069"/>
      <c r="XAM291" s="1069"/>
      <c r="XAN291" s="1069"/>
      <c r="XAO291" s="1069"/>
      <c r="XAP291" s="1069"/>
      <c r="XAQ291" s="1069"/>
      <c r="XAR291" s="1069"/>
      <c r="XAS291" s="1069"/>
      <c r="XAT291" s="1069"/>
      <c r="XAU291" s="1069"/>
      <c r="XAV291" s="1069"/>
      <c r="XAW291" s="1069"/>
      <c r="XAX291" s="1069"/>
      <c r="XAY291" s="1069"/>
      <c r="XAZ291" s="1069"/>
      <c r="XBA291" s="1069"/>
      <c r="XBB291" s="1069"/>
      <c r="XBC291" s="1069"/>
      <c r="XBD291" s="1069"/>
      <c r="XBE291" s="1069"/>
      <c r="XBF291" s="1069"/>
      <c r="XBG291" s="1069"/>
      <c r="XBH291" s="1069"/>
      <c r="XBI291" s="1069"/>
      <c r="XBJ291" s="1069"/>
      <c r="XBK291" s="1069"/>
      <c r="XBL291" s="1069"/>
      <c r="XBM291" s="1069"/>
      <c r="XBN291" s="1069"/>
      <c r="XBO291" s="1069"/>
      <c r="XBP291" s="1069"/>
      <c r="XBQ291" s="1069"/>
      <c r="XBR291" s="1069"/>
      <c r="XBS291" s="1069"/>
      <c r="XBT291" s="1069"/>
      <c r="XBU291" s="1069"/>
      <c r="XBV291" s="1069"/>
      <c r="XBW291" s="1069"/>
      <c r="XBX291" s="1069"/>
      <c r="XBY291" s="1069"/>
      <c r="XBZ291" s="1069"/>
      <c r="XCA291" s="1069"/>
      <c r="XCB291" s="1069"/>
      <c r="XCC291" s="1069"/>
      <c r="XCD291" s="1069"/>
      <c r="XCE291" s="1069"/>
      <c r="XCF291" s="1069"/>
      <c r="XCG291" s="1069"/>
      <c r="XCH291" s="1069"/>
      <c r="XCI291" s="1069"/>
      <c r="XCJ291" s="1069"/>
      <c r="XCK291" s="1069"/>
      <c r="XCL291" s="1069"/>
      <c r="XCM291" s="1069"/>
      <c r="XCN291" s="1069"/>
      <c r="XCO291" s="1069"/>
      <c r="XCP291" s="1069"/>
      <c r="XCQ291" s="1069"/>
      <c r="XCR291" s="1069"/>
      <c r="XCS291" s="1069"/>
      <c r="XCT291" s="1069"/>
      <c r="XCU291" s="1069"/>
      <c r="XCV291" s="1069"/>
      <c r="XCW291" s="1069"/>
      <c r="XCX291" s="1069"/>
      <c r="XCY291" s="1069"/>
      <c r="XCZ291" s="1069"/>
      <c r="XDA291" s="1069"/>
      <c r="XDB291" s="1069"/>
      <c r="XDC291" s="1069"/>
      <c r="XDD291" s="1069"/>
      <c r="XDE291" s="1069"/>
      <c r="XDF291" s="1069"/>
      <c r="XDG291" s="1069"/>
      <c r="XDH291" s="1069"/>
      <c r="XDI291" s="1069"/>
      <c r="XDJ291" s="1069"/>
      <c r="XDK291" s="1069"/>
      <c r="XDL291" s="1069"/>
      <c r="XDM291" s="1069"/>
      <c r="XDN291" s="1069"/>
      <c r="XDO291" s="1069"/>
      <c r="XDP291" s="1069"/>
      <c r="XDQ291" s="1069"/>
      <c r="XDR291" s="1069"/>
      <c r="XDS291" s="1069"/>
      <c r="XDT291" s="1069"/>
      <c r="XDU291" s="1069"/>
      <c r="XDV291" s="1069"/>
      <c r="XDW291" s="1069"/>
      <c r="XDX291" s="1069"/>
      <c r="XDY291" s="1069"/>
      <c r="XDZ291" s="1069"/>
      <c r="XEA291" s="1069"/>
      <c r="XEB291" s="1069"/>
      <c r="XEC291" s="1069"/>
    </row>
    <row r="292" spans="1:16357" ht="12.75" hidden="1" customHeight="1" outlineLevel="1" x14ac:dyDescent="0.35">
      <c r="A292" s="17" t="s">
        <v>707</v>
      </c>
      <c r="B292" s="85"/>
      <c r="C292" s="89"/>
      <c r="D292" s="90"/>
      <c r="E292" s="90"/>
      <c r="F292" s="92"/>
      <c r="G292" s="85"/>
      <c r="H292" s="89"/>
      <c r="I292" s="90"/>
      <c r="J292" s="90"/>
      <c r="K292" s="90"/>
      <c r="L292" s="85"/>
      <c r="M292" s="90"/>
      <c r="N292" s="90"/>
      <c r="O292" s="90"/>
      <c r="P292" s="90"/>
      <c r="Q292" s="85"/>
      <c r="R292" s="38"/>
      <c r="S292" s="38"/>
      <c r="T292" s="38"/>
      <c r="U292" s="39"/>
      <c r="V292" s="85"/>
      <c r="W292" s="38"/>
      <c r="X292" s="38"/>
      <c r="Y292" s="38"/>
      <c r="Z292" s="39"/>
      <c r="AA292" s="54"/>
      <c r="AB292" s="87"/>
      <c r="AC292" s="38"/>
      <c r="AD292" s="38"/>
      <c r="AE292" s="38"/>
      <c r="AF292" s="85"/>
      <c r="AG292" s="38"/>
      <c r="AH292" s="38"/>
      <c r="AI292" s="38"/>
      <c r="AJ292" s="38"/>
      <c r="AK292" s="85"/>
      <c r="AL292" s="38"/>
      <c r="AM292" s="38"/>
      <c r="AN292" s="38"/>
      <c r="AO292" s="38"/>
      <c r="AP292" s="85"/>
      <c r="AQ292" s="38"/>
      <c r="AR292" s="38"/>
      <c r="AS292" s="38"/>
      <c r="AT292" s="38"/>
      <c r="AU292" s="86"/>
      <c r="AV292" s="45"/>
      <c r="AW292" s="38"/>
      <c r="AX292" s="38"/>
      <c r="AY292" s="38"/>
      <c r="AZ292" s="38"/>
      <c r="BA292" s="85"/>
      <c r="BB292" s="38"/>
      <c r="BC292" s="38"/>
      <c r="BD292" s="38"/>
      <c r="BE292" s="38"/>
      <c r="BF292" s="85"/>
      <c r="BG292" s="38"/>
      <c r="BH292" s="38"/>
      <c r="BI292" s="38"/>
      <c r="BJ292" s="38"/>
      <c r="BK292" s="85"/>
      <c r="BL292" s="1062">
        <f>(BL287-BL282)*10000</f>
        <v>5.5511151231257827E-13</v>
      </c>
      <c r="BM292" s="1062">
        <f t="shared" ref="BM292:BP292" si="1600">(BM287-BM282)*10000</f>
        <v>0</v>
      </c>
      <c r="BN292" s="1062">
        <f t="shared" si="1600"/>
        <v>-2.7755575615628914E-13</v>
      </c>
      <c r="BO292" s="1062">
        <f t="shared" si="1600"/>
        <v>2.7755575615628914E-13</v>
      </c>
      <c r="BP292" s="1061">
        <f t="shared" si="1600"/>
        <v>-5.5511151231257827E-13</v>
      </c>
      <c r="BQ292" s="1062">
        <f>(BQ287-BQ282)*10000</f>
        <v>-5.5511151231257827E-13</v>
      </c>
      <c r="BR292" s="1062">
        <f t="shared" ref="BR292:BU292" si="1601">(BR287-BR282)*10000</f>
        <v>5.5511151231257827E-13</v>
      </c>
      <c r="BS292" s="1062">
        <f t="shared" si="1601"/>
        <v>2.7755575615628914E-13</v>
      </c>
      <c r="BT292" s="1062">
        <f t="shared" si="1601"/>
        <v>-50.000000000000043</v>
      </c>
      <c r="BU292" s="1061">
        <f t="shared" si="1601"/>
        <v>-13.004065274747623</v>
      </c>
      <c r="BV292" s="1063">
        <f>(BV287-BV282)*10000</f>
        <v>8700</v>
      </c>
      <c r="BW292" s="1063">
        <f t="shared" ref="BW292:BZ292" si="1602">(BW287-BW282)*10000</f>
        <v>8570</v>
      </c>
      <c r="BX292" s="1063">
        <f t="shared" si="1602"/>
        <v>8650</v>
      </c>
      <c r="BY292" s="1063">
        <f t="shared" si="1602"/>
        <v>8650</v>
      </c>
      <c r="BZ292" s="1061">
        <f t="shared" si="1602"/>
        <v>8641.2285323194992</v>
      </c>
      <c r="CA292" s="1062">
        <f>(CA287-CA282)*10000</f>
        <v>8700</v>
      </c>
      <c r="CB292" s="1062">
        <f t="shared" ref="CB292:CE292" si="1603">(CB287-CB282)*10000</f>
        <v>8570</v>
      </c>
      <c r="CC292" s="1062">
        <f t="shared" si="1603"/>
        <v>8650</v>
      </c>
      <c r="CD292" s="1062">
        <f t="shared" si="1603"/>
        <v>8650</v>
      </c>
      <c r="CE292" s="1061">
        <f t="shared" si="1603"/>
        <v>8641.2285323194992</v>
      </c>
      <c r="CF292" s="1062">
        <f>(CF287-CF282)*10000</f>
        <v>8690</v>
      </c>
      <c r="CG292" s="1062">
        <f t="shared" ref="CG292:CJ292" si="1604">(CG287-CG282)*10000</f>
        <v>8560</v>
      </c>
      <c r="CH292" s="1062">
        <f t="shared" si="1604"/>
        <v>8640</v>
      </c>
      <c r="CI292" s="1062">
        <f t="shared" si="1604"/>
        <v>8640</v>
      </c>
      <c r="CJ292" s="1061">
        <f t="shared" si="1604"/>
        <v>8631.053527104561</v>
      </c>
      <c r="CK292" s="1062">
        <f>(CK287-CK282)*10000</f>
        <v>8680</v>
      </c>
      <c r="CL292" s="1062">
        <f t="shared" ref="CL292:CO292" si="1605">(CL287-CL282)*10000</f>
        <v>8550</v>
      </c>
      <c r="CM292" s="1062">
        <f t="shared" si="1605"/>
        <v>8630</v>
      </c>
      <c r="CN292" s="1062">
        <f t="shared" si="1605"/>
        <v>8630</v>
      </c>
      <c r="CO292" s="1061">
        <f t="shared" si="1605"/>
        <v>8621.6140320982813</v>
      </c>
      <c r="CP292" s="1062">
        <f>(CP287-CP282)*10000</f>
        <v>8670</v>
      </c>
      <c r="CQ292" s="1062">
        <f t="shared" ref="CQ292:CT292" si="1606">(CQ287-CQ282)*10000</f>
        <v>8540</v>
      </c>
      <c r="CR292" s="1062">
        <f t="shared" si="1606"/>
        <v>8620</v>
      </c>
      <c r="CS292" s="1062">
        <f t="shared" si="1606"/>
        <v>8620</v>
      </c>
      <c r="CT292" s="1061">
        <f t="shared" si="1606"/>
        <v>8611.6244595478438</v>
      </c>
      <c r="CU292" s="1062">
        <f>(CU287-CU282)*10000</f>
        <v>8660</v>
      </c>
      <c r="CV292" s="1062">
        <f t="shared" ref="CV292:CY292" si="1607">(CV287-CV282)*10000</f>
        <v>8530</v>
      </c>
      <c r="CW292" s="1062">
        <f t="shared" si="1607"/>
        <v>8610</v>
      </c>
      <c r="CX292" s="1062">
        <f t="shared" si="1607"/>
        <v>8610</v>
      </c>
      <c r="CY292" s="1061">
        <f t="shared" si="1607"/>
        <v>8601.6227530022479</v>
      </c>
      <c r="CZ292" s="1062">
        <f>(CZ287-CZ282)*10000</f>
        <v>8650</v>
      </c>
      <c r="DA292" s="1062">
        <f t="shared" ref="DA292:DD292" si="1608">(DA287-DA282)*10000</f>
        <v>8520</v>
      </c>
      <c r="DB292" s="1062">
        <f t="shared" si="1608"/>
        <v>8600</v>
      </c>
      <c r="DC292" s="1062">
        <f t="shared" si="1608"/>
        <v>8600</v>
      </c>
      <c r="DD292" s="1061">
        <f t="shared" si="1608"/>
        <v>8591.6252502624175</v>
      </c>
      <c r="DE292" s="1062">
        <f>(DE287-DE282)*10000</f>
        <v>8640</v>
      </c>
      <c r="DF292" s="1062">
        <f t="shared" ref="DF292:DI292" si="1609">(DF287-DF282)*10000</f>
        <v>8510</v>
      </c>
      <c r="DG292" s="1062">
        <f t="shared" si="1609"/>
        <v>8590</v>
      </c>
      <c r="DH292" s="1062">
        <f t="shared" si="1609"/>
        <v>8590</v>
      </c>
      <c r="DI292" s="1061">
        <f t="shared" si="1609"/>
        <v>8581.625321342899</v>
      </c>
      <c r="DJ292" s="1062">
        <f>(DJ287-DJ282)*10000</f>
        <v>8630</v>
      </c>
      <c r="DK292" s="1062">
        <f t="shared" ref="DK292:DN292" si="1610">(DK287-DK282)*10000</f>
        <v>8500</v>
      </c>
      <c r="DL292" s="1062">
        <f t="shared" si="1610"/>
        <v>8580</v>
      </c>
      <c r="DM292" s="1062">
        <f t="shared" si="1610"/>
        <v>8580</v>
      </c>
      <c r="DN292" s="1061">
        <f t="shared" si="1610"/>
        <v>8571.6275428037879</v>
      </c>
      <c r="DO292" s="1062"/>
      <c r="DP292" s="1062"/>
      <c r="DQ292" s="1062"/>
      <c r="DR292" s="1062"/>
      <c r="DS292" s="1061"/>
      <c r="DT292" s="38"/>
      <c r="DU292" s="38"/>
      <c r="DV292" s="38"/>
      <c r="DW292" s="38"/>
      <c r="DX292" s="85"/>
      <c r="DY292" s="38"/>
      <c r="DZ292" s="38"/>
      <c r="EA292" s="38"/>
      <c r="EB292" s="38"/>
      <c r="EC292" s="85"/>
      <c r="ED292" s="46"/>
      <c r="EE292" s="37"/>
      <c r="EF292" s="286"/>
      <c r="EG292" s="25"/>
      <c r="EH292" s="25"/>
      <c r="EI292" s="25"/>
      <c r="EJ292" s="25"/>
      <c r="EK292" s="25"/>
      <c r="EL292" s="25"/>
      <c r="EM292" s="25"/>
      <c r="EN292" s="25"/>
      <c r="EO292" s="25"/>
      <c r="EP292" s="25"/>
      <c r="EQ292" s="25"/>
      <c r="ER292" s="25"/>
      <c r="ES292" s="25"/>
      <c r="ET292" s="25"/>
      <c r="EU292" s="25"/>
      <c r="EX292" s="25"/>
      <c r="EY292" s="294"/>
      <c r="EZ292" s="985"/>
      <c r="FA292" s="985"/>
      <c r="FB292" s="294"/>
      <c r="FC292" s="985"/>
      <c r="FD292" s="25"/>
      <c r="FK292" s="1069"/>
      <c r="FL292" s="1069"/>
      <c r="FM292" s="1069"/>
      <c r="FN292" s="1069"/>
      <c r="FO292" s="1069"/>
      <c r="FP292" s="1069"/>
      <c r="FQ292" s="1069"/>
      <c r="FR292" s="1069"/>
      <c r="FS292" s="1069"/>
      <c r="FT292" s="1069"/>
      <c r="FU292" s="1069"/>
      <c r="FV292" s="1069"/>
      <c r="FW292" s="1069"/>
      <c r="FX292" s="1069"/>
      <c r="FY292" s="1069"/>
      <c r="FZ292" s="1069"/>
      <c r="GA292" s="1069"/>
      <c r="GB292" s="1069"/>
      <c r="GC292" s="1069"/>
      <c r="GD292" s="1069"/>
      <c r="GE292" s="1069"/>
      <c r="GF292" s="1069"/>
      <c r="GG292" s="1069"/>
      <c r="GH292" s="1069"/>
      <c r="GI292" s="1069"/>
      <c r="GJ292" s="1069"/>
      <c r="GK292" s="1069"/>
      <c r="GL292" s="1069"/>
      <c r="GM292" s="1069"/>
      <c r="GN292" s="1069"/>
      <c r="GO292" s="1069"/>
      <c r="GP292" s="1069"/>
      <c r="GQ292" s="1069"/>
      <c r="GR292" s="1069"/>
      <c r="GS292" s="1069"/>
      <c r="GT292" s="1069"/>
      <c r="GU292" s="1069"/>
      <c r="GV292" s="1069"/>
      <c r="GW292" s="1069"/>
      <c r="GX292" s="1069"/>
      <c r="GY292" s="1069"/>
      <c r="GZ292" s="1069"/>
      <c r="HA292" s="1069"/>
      <c r="HB292" s="1069"/>
      <c r="HC292" s="1069"/>
      <c r="HD292" s="1069"/>
      <c r="HE292" s="1069"/>
      <c r="HF292" s="1069"/>
      <c r="HG292" s="1069"/>
      <c r="HH292" s="1069"/>
      <c r="HI292" s="1069"/>
      <c r="HJ292" s="1069"/>
      <c r="HK292" s="1069"/>
      <c r="HL292" s="1069"/>
      <c r="HM292" s="1069"/>
      <c r="HN292" s="1069"/>
      <c r="HO292" s="1069"/>
      <c r="HP292" s="1069"/>
      <c r="HQ292" s="1069"/>
      <c r="HR292" s="1069"/>
      <c r="HS292" s="1069"/>
      <c r="HT292" s="1069"/>
      <c r="HU292" s="1069"/>
      <c r="HV292" s="1069"/>
      <c r="HW292" s="1069"/>
      <c r="HX292" s="1069"/>
      <c r="HY292" s="1069"/>
      <c r="HZ292" s="1069"/>
      <c r="IA292" s="1069"/>
      <c r="IB292" s="1069"/>
      <c r="IC292" s="1069"/>
      <c r="ID292" s="1069"/>
      <c r="IE292" s="1069"/>
      <c r="IF292" s="1069"/>
      <c r="IG292" s="1069"/>
      <c r="IH292" s="1069"/>
      <c r="II292" s="1069"/>
      <c r="IJ292" s="1069"/>
      <c r="IK292" s="1069"/>
      <c r="IL292" s="1069"/>
      <c r="IM292" s="1069"/>
      <c r="IN292" s="1069"/>
      <c r="IO292" s="1069"/>
      <c r="IP292" s="1069"/>
      <c r="IQ292" s="1069"/>
      <c r="IR292" s="1069"/>
      <c r="IS292" s="1069"/>
      <c r="IT292" s="1069"/>
      <c r="IU292" s="1069"/>
      <c r="IV292" s="1069"/>
      <c r="IW292" s="1069"/>
      <c r="IX292" s="1069"/>
      <c r="IY292" s="1069"/>
      <c r="IZ292" s="1069"/>
      <c r="JA292" s="1069"/>
      <c r="JB292" s="1069"/>
      <c r="JC292" s="1069"/>
      <c r="JD292" s="1069"/>
      <c r="JE292" s="1069"/>
      <c r="JF292" s="1069"/>
      <c r="JG292" s="1069"/>
      <c r="JH292" s="1069"/>
      <c r="JI292" s="1069"/>
      <c r="JJ292" s="1069"/>
      <c r="JK292" s="1069"/>
      <c r="JL292" s="1069"/>
      <c r="JM292" s="1069"/>
      <c r="JN292" s="1069"/>
      <c r="JO292" s="1069"/>
      <c r="JP292" s="1069"/>
      <c r="JQ292" s="1069"/>
      <c r="JR292" s="1069"/>
      <c r="JS292" s="1069"/>
      <c r="JT292" s="1069"/>
      <c r="JU292" s="1069"/>
      <c r="JV292" s="1069"/>
      <c r="JW292" s="1069"/>
      <c r="JX292" s="1069"/>
      <c r="JY292" s="1069"/>
      <c r="JZ292" s="1069"/>
      <c r="KA292" s="1069"/>
      <c r="KB292" s="1069"/>
      <c r="KC292" s="1069"/>
      <c r="KD292" s="1069"/>
      <c r="KE292" s="1069"/>
      <c r="KF292" s="1069"/>
      <c r="KG292" s="1069"/>
      <c r="KH292" s="1069"/>
      <c r="KI292" s="1069"/>
      <c r="KJ292" s="1069"/>
      <c r="KK292" s="1069"/>
      <c r="KL292" s="1069"/>
      <c r="KM292" s="1069"/>
      <c r="KN292" s="1069"/>
      <c r="KO292" s="1069"/>
      <c r="KP292" s="1069"/>
      <c r="KQ292" s="1069"/>
      <c r="KR292" s="1069"/>
      <c r="KS292" s="1069"/>
      <c r="KT292" s="1069"/>
      <c r="KU292" s="1069"/>
      <c r="KV292" s="1069"/>
      <c r="KW292" s="1069"/>
      <c r="KX292" s="1069"/>
      <c r="KY292" s="1069"/>
      <c r="KZ292" s="1069"/>
      <c r="LA292" s="1069"/>
      <c r="LB292" s="1069"/>
      <c r="LC292" s="1069"/>
      <c r="LD292" s="1069"/>
      <c r="LE292" s="1069"/>
      <c r="LF292" s="1069"/>
      <c r="LG292" s="1069"/>
      <c r="LH292" s="1069"/>
      <c r="LI292" s="1069"/>
      <c r="LJ292" s="1069"/>
      <c r="LK292" s="1069"/>
      <c r="LL292" s="1069"/>
      <c r="LM292" s="1069"/>
      <c r="LN292" s="1069"/>
      <c r="LO292" s="1069"/>
      <c r="LP292" s="1069"/>
      <c r="LQ292" s="1069"/>
      <c r="LR292" s="1069"/>
      <c r="LS292" s="1069"/>
      <c r="LT292" s="1069"/>
      <c r="LU292" s="1069"/>
      <c r="LV292" s="1069"/>
      <c r="LW292" s="1069"/>
      <c r="LX292" s="1069"/>
      <c r="LY292" s="1069"/>
      <c r="LZ292" s="1069"/>
      <c r="MA292" s="1069"/>
      <c r="MB292" s="1069"/>
      <c r="MC292" s="1069"/>
      <c r="MD292" s="1069"/>
      <c r="ME292" s="1069"/>
      <c r="MF292" s="1069"/>
      <c r="MG292" s="1069"/>
      <c r="MH292" s="1069"/>
      <c r="MI292" s="1069"/>
      <c r="MJ292" s="1069"/>
      <c r="MK292" s="1069"/>
      <c r="ML292" s="1069"/>
      <c r="MM292" s="1069"/>
      <c r="MN292" s="1069"/>
      <c r="MO292" s="1069"/>
      <c r="MP292" s="1069"/>
      <c r="MQ292" s="1069"/>
      <c r="MR292" s="1069"/>
      <c r="MS292" s="1069"/>
      <c r="MT292" s="1069"/>
      <c r="MU292" s="1069"/>
      <c r="MV292" s="1069"/>
      <c r="MW292" s="1069"/>
      <c r="MX292" s="1069"/>
      <c r="MY292" s="1069"/>
      <c r="MZ292" s="1069"/>
      <c r="NA292" s="1069"/>
      <c r="NB292" s="1069"/>
      <c r="NC292" s="1069"/>
      <c r="ND292" s="1069"/>
      <c r="NE292" s="1069"/>
      <c r="NF292" s="1069"/>
      <c r="NG292" s="1069"/>
      <c r="NH292" s="1069"/>
      <c r="NI292" s="1069"/>
      <c r="NJ292" s="1069"/>
      <c r="NK292" s="1069"/>
      <c r="NL292" s="1069"/>
      <c r="NM292" s="1069"/>
      <c r="NN292" s="1069"/>
      <c r="NO292" s="1069"/>
      <c r="NP292" s="1069"/>
      <c r="NQ292" s="1069"/>
      <c r="NR292" s="1069"/>
      <c r="NS292" s="1069"/>
      <c r="NT292" s="1069"/>
      <c r="NU292" s="1069"/>
      <c r="NV292" s="1069"/>
      <c r="NW292" s="1069"/>
      <c r="NX292" s="1069"/>
      <c r="NY292" s="1069"/>
      <c r="NZ292" s="1069"/>
      <c r="OA292" s="1069"/>
      <c r="OB292" s="1069"/>
      <c r="OC292" s="1069"/>
      <c r="OD292" s="1069"/>
      <c r="OE292" s="1069"/>
      <c r="OF292" s="1069"/>
      <c r="OG292" s="1069"/>
      <c r="OH292" s="1069"/>
      <c r="OI292" s="1069"/>
      <c r="OJ292" s="1069"/>
      <c r="OK292" s="1069"/>
      <c r="OL292" s="1069"/>
      <c r="OM292" s="1069"/>
      <c r="ON292" s="1069"/>
      <c r="OO292" s="1069"/>
      <c r="OP292" s="1069"/>
      <c r="OQ292" s="1069"/>
      <c r="OR292" s="1069"/>
      <c r="OS292" s="1069"/>
      <c r="OT292" s="1069"/>
      <c r="OU292" s="1069"/>
      <c r="OV292" s="1069"/>
      <c r="OW292" s="1069"/>
      <c r="OX292" s="1069"/>
      <c r="OY292" s="1069"/>
      <c r="OZ292" s="1069"/>
      <c r="PA292" s="1069"/>
      <c r="PB292" s="1069"/>
      <c r="PC292" s="1069"/>
      <c r="PD292" s="1069"/>
      <c r="PE292" s="1069"/>
      <c r="PF292" s="1069"/>
      <c r="PG292" s="1069"/>
      <c r="PH292" s="1069"/>
      <c r="PI292" s="1069"/>
      <c r="PJ292" s="1069"/>
      <c r="PK292" s="1069"/>
      <c r="PL292" s="1069"/>
      <c r="PM292" s="1069"/>
      <c r="PN292" s="1069"/>
      <c r="PO292" s="1069"/>
      <c r="PP292" s="1069"/>
      <c r="PQ292" s="1069"/>
      <c r="PR292" s="1069"/>
      <c r="PS292" s="1069"/>
      <c r="PT292" s="1069"/>
      <c r="PU292" s="1069"/>
      <c r="PV292" s="1069"/>
      <c r="PW292" s="1069"/>
      <c r="PX292" s="1069"/>
      <c r="PY292" s="1069"/>
      <c r="PZ292" s="1069"/>
      <c r="QA292" s="1069"/>
      <c r="QB292" s="1069"/>
      <c r="QC292" s="1069"/>
      <c r="QD292" s="1069"/>
      <c r="QE292" s="1069"/>
      <c r="QF292" s="1069"/>
      <c r="QG292" s="1069"/>
      <c r="QH292" s="1069"/>
      <c r="QI292" s="1069"/>
      <c r="QJ292" s="1069"/>
      <c r="QK292" s="1069"/>
      <c r="QL292" s="1069"/>
      <c r="QM292" s="1069"/>
      <c r="QN292" s="1069"/>
      <c r="QO292" s="1069"/>
      <c r="QP292" s="1069"/>
      <c r="QQ292" s="1069"/>
      <c r="QR292" s="1069"/>
      <c r="QS292" s="1069"/>
      <c r="QT292" s="1069"/>
      <c r="QU292" s="1069"/>
      <c r="QV292" s="1069"/>
      <c r="QW292" s="1069"/>
      <c r="QX292" s="1069"/>
      <c r="QY292" s="1069"/>
      <c r="QZ292" s="1069"/>
      <c r="RA292" s="1069"/>
      <c r="RB292" s="1069"/>
      <c r="RC292" s="1069"/>
      <c r="RD292" s="1069"/>
      <c r="RE292" s="1069"/>
      <c r="RF292" s="1069"/>
      <c r="RG292" s="1069"/>
      <c r="RH292" s="1069"/>
      <c r="RI292" s="1069"/>
      <c r="RJ292" s="1069"/>
      <c r="RK292" s="1069"/>
      <c r="RL292" s="1069"/>
      <c r="RM292" s="1069"/>
      <c r="RN292" s="1069"/>
      <c r="RO292" s="1069"/>
      <c r="RP292" s="1069"/>
      <c r="RQ292" s="1069"/>
      <c r="RR292" s="1069"/>
      <c r="RS292" s="1069"/>
      <c r="RT292" s="1069"/>
      <c r="RU292" s="1069"/>
      <c r="RV292" s="1069"/>
      <c r="RW292" s="1069"/>
      <c r="RX292" s="1069"/>
      <c r="RY292" s="1069"/>
      <c r="RZ292" s="1069"/>
      <c r="SA292" s="1069"/>
      <c r="SB292" s="1069"/>
      <c r="SC292" s="1069"/>
      <c r="SD292" s="1069"/>
      <c r="SE292" s="1069"/>
      <c r="SF292" s="1069"/>
      <c r="SG292" s="1069"/>
      <c r="SH292" s="1069"/>
      <c r="SI292" s="1069"/>
      <c r="SJ292" s="1069"/>
      <c r="SK292" s="1069"/>
      <c r="SL292" s="1069"/>
      <c r="SM292" s="1069"/>
      <c r="SN292" s="1069"/>
      <c r="SO292" s="1069"/>
      <c r="SP292" s="1069"/>
      <c r="SQ292" s="1069"/>
      <c r="SR292" s="1069"/>
      <c r="SS292" s="1069"/>
      <c r="ST292" s="1069"/>
      <c r="SU292" s="1069"/>
      <c r="SV292" s="1069"/>
      <c r="SW292" s="1069"/>
      <c r="SX292" s="1069"/>
      <c r="SY292" s="1069"/>
      <c r="SZ292" s="1069"/>
      <c r="TA292" s="1069"/>
      <c r="TB292" s="1069"/>
      <c r="TC292" s="1069"/>
      <c r="TD292" s="1069"/>
      <c r="TE292" s="1069"/>
      <c r="TF292" s="1069"/>
      <c r="TG292" s="1069"/>
      <c r="TH292" s="1069"/>
      <c r="TI292" s="1069"/>
      <c r="TJ292" s="1069"/>
      <c r="TK292" s="1069"/>
      <c r="TL292" s="1069"/>
      <c r="TM292" s="1069"/>
      <c r="TN292" s="1069"/>
      <c r="TO292" s="1069"/>
      <c r="TP292" s="1069"/>
      <c r="TQ292" s="1069"/>
      <c r="TR292" s="1069"/>
      <c r="TS292" s="1069"/>
      <c r="TT292" s="1069"/>
      <c r="TU292" s="1069"/>
      <c r="TV292" s="1069"/>
      <c r="TW292" s="1069"/>
      <c r="TX292" s="1069"/>
      <c r="TY292" s="1069"/>
      <c r="TZ292" s="1069"/>
      <c r="UA292" s="1069"/>
      <c r="UB292" s="1069"/>
      <c r="UC292" s="1069"/>
      <c r="UD292" s="1069"/>
      <c r="UE292" s="1069"/>
      <c r="UF292" s="1069"/>
      <c r="UG292" s="1069"/>
      <c r="UH292" s="1069"/>
      <c r="UI292" s="1069"/>
      <c r="UJ292" s="1069"/>
      <c r="UK292" s="1069"/>
      <c r="UL292" s="1069"/>
      <c r="UM292" s="1069"/>
      <c r="UN292" s="1069"/>
      <c r="UO292" s="1069"/>
      <c r="UP292" s="1069"/>
      <c r="UQ292" s="1069"/>
      <c r="UR292" s="1069"/>
      <c r="US292" s="1069"/>
      <c r="UT292" s="1069"/>
      <c r="UU292" s="1069"/>
      <c r="UV292" s="1069"/>
      <c r="UW292" s="1069"/>
      <c r="UX292" s="1069"/>
      <c r="UY292" s="1069"/>
      <c r="UZ292" s="1069"/>
      <c r="VA292" s="1069"/>
      <c r="VB292" s="1069"/>
      <c r="VC292" s="1069"/>
      <c r="VD292" s="1069"/>
      <c r="VE292" s="1069"/>
      <c r="VF292" s="1069"/>
      <c r="VG292" s="1069"/>
      <c r="VH292" s="1069"/>
      <c r="VI292" s="1069"/>
      <c r="VJ292" s="1069"/>
      <c r="VK292" s="1069"/>
      <c r="VL292" s="1069"/>
      <c r="VM292" s="1069"/>
      <c r="VN292" s="1069"/>
      <c r="VO292" s="1069"/>
      <c r="VP292" s="1069"/>
      <c r="VQ292" s="1069"/>
      <c r="VR292" s="1069"/>
      <c r="VS292" s="1069"/>
      <c r="VT292" s="1069"/>
      <c r="VU292" s="1069"/>
      <c r="VV292" s="1069"/>
      <c r="VW292" s="1069"/>
      <c r="VX292" s="1069"/>
      <c r="VY292" s="1069"/>
      <c r="VZ292" s="1069"/>
      <c r="WA292" s="1069"/>
      <c r="WB292" s="1069"/>
      <c r="WC292" s="1069"/>
      <c r="WD292" s="1069"/>
      <c r="WE292" s="1069"/>
      <c r="WF292" s="1069"/>
      <c r="WG292" s="1069"/>
      <c r="WH292" s="1069"/>
      <c r="WI292" s="1069"/>
      <c r="WJ292" s="1069"/>
      <c r="WK292" s="1069"/>
      <c r="WL292" s="1069"/>
      <c r="WM292" s="1069"/>
      <c r="WN292" s="1069"/>
      <c r="WO292" s="1069"/>
      <c r="WP292" s="1069"/>
      <c r="WQ292" s="1069"/>
      <c r="WR292" s="1069"/>
      <c r="WS292" s="1069"/>
      <c r="WT292" s="1069"/>
      <c r="WU292" s="1069"/>
      <c r="WV292" s="1069"/>
      <c r="WW292" s="1069"/>
      <c r="WX292" s="1069"/>
      <c r="WY292" s="1069"/>
      <c r="WZ292" s="1069"/>
      <c r="XA292" s="1069"/>
      <c r="XB292" s="1069"/>
      <c r="XC292" s="1069"/>
      <c r="XD292" s="1069"/>
      <c r="XE292" s="1069"/>
      <c r="XF292" s="1069"/>
      <c r="XG292" s="1069"/>
      <c r="XH292" s="1069"/>
      <c r="XI292" s="1069"/>
      <c r="XJ292" s="1069"/>
      <c r="XK292" s="1069"/>
      <c r="XL292" s="1069"/>
      <c r="XM292" s="1069"/>
      <c r="XN292" s="1069"/>
      <c r="XO292" s="1069"/>
      <c r="XP292" s="1069"/>
      <c r="XQ292" s="1069"/>
      <c r="XR292" s="1069"/>
      <c r="XS292" s="1069"/>
      <c r="XT292" s="1069"/>
      <c r="XU292" s="1069"/>
      <c r="XV292" s="1069"/>
      <c r="XW292" s="1069"/>
      <c r="XX292" s="1069"/>
      <c r="XY292" s="1069"/>
      <c r="XZ292" s="1069"/>
      <c r="YA292" s="1069"/>
      <c r="YB292" s="1069"/>
      <c r="YC292" s="1069"/>
      <c r="YD292" s="1069"/>
      <c r="YE292" s="1069"/>
      <c r="YF292" s="1069"/>
      <c r="YG292" s="1069"/>
      <c r="YH292" s="1069"/>
      <c r="YI292" s="1069"/>
      <c r="YJ292" s="1069"/>
      <c r="YK292" s="1069"/>
      <c r="YL292" s="1069"/>
      <c r="YM292" s="1069"/>
      <c r="YN292" s="1069"/>
      <c r="YO292" s="1069"/>
      <c r="YP292" s="1069"/>
      <c r="YQ292" s="1069"/>
      <c r="YR292" s="1069"/>
      <c r="YS292" s="1069"/>
      <c r="YT292" s="1069"/>
      <c r="YU292" s="1069"/>
      <c r="YV292" s="1069"/>
      <c r="YW292" s="1069"/>
      <c r="YX292" s="1069"/>
      <c r="YY292" s="1069"/>
      <c r="YZ292" s="1069"/>
      <c r="ZA292" s="1069"/>
      <c r="ZB292" s="1069"/>
      <c r="ZC292" s="1069"/>
      <c r="ZD292" s="1069"/>
      <c r="ZE292" s="1069"/>
      <c r="ZF292" s="1069"/>
      <c r="ZG292" s="1069"/>
      <c r="ZH292" s="1069"/>
      <c r="ZI292" s="1069"/>
      <c r="ZJ292" s="1069"/>
      <c r="ZK292" s="1069"/>
      <c r="ZL292" s="1069"/>
      <c r="ZM292" s="1069"/>
      <c r="ZN292" s="1069"/>
      <c r="ZO292" s="1069"/>
      <c r="ZP292" s="1069"/>
      <c r="ZQ292" s="1069"/>
      <c r="ZR292" s="1069"/>
      <c r="ZS292" s="1069"/>
      <c r="ZT292" s="1069"/>
      <c r="ZU292" s="1069"/>
      <c r="ZV292" s="1069"/>
      <c r="ZW292" s="1069"/>
      <c r="ZX292" s="1069"/>
      <c r="ZY292" s="1069"/>
      <c r="ZZ292" s="1069"/>
      <c r="AAA292" s="1069"/>
      <c r="AAB292" s="1069"/>
      <c r="AAC292" s="1069"/>
      <c r="AAD292" s="1069"/>
      <c r="AAE292" s="1069"/>
      <c r="AAF292" s="1069"/>
      <c r="AAG292" s="1069"/>
      <c r="AAH292" s="1069"/>
      <c r="AAI292" s="1069"/>
      <c r="AAJ292" s="1069"/>
      <c r="AAK292" s="1069"/>
      <c r="AAL292" s="1069"/>
      <c r="AAM292" s="1069"/>
      <c r="AAN292" s="1069"/>
      <c r="AAO292" s="1069"/>
      <c r="AAP292" s="1069"/>
      <c r="AAQ292" s="1069"/>
      <c r="AAR292" s="1069"/>
      <c r="AAS292" s="1069"/>
      <c r="AAT292" s="1069"/>
      <c r="AAU292" s="1069"/>
      <c r="AAV292" s="1069"/>
      <c r="AAW292" s="1069"/>
      <c r="AAX292" s="1069"/>
      <c r="AAY292" s="1069"/>
      <c r="AAZ292" s="1069"/>
      <c r="ABA292" s="1069"/>
      <c r="ABB292" s="1069"/>
      <c r="ABC292" s="1069"/>
      <c r="ABD292" s="1069"/>
      <c r="ABE292" s="1069"/>
      <c r="ABF292" s="1069"/>
      <c r="ABG292" s="1069"/>
      <c r="ABH292" s="1069"/>
      <c r="ABI292" s="1069"/>
      <c r="ABJ292" s="1069"/>
      <c r="ABK292" s="1069"/>
      <c r="ABL292" s="1069"/>
      <c r="ABM292" s="1069"/>
      <c r="ABN292" s="1069"/>
      <c r="ABO292" s="1069"/>
      <c r="ABP292" s="1069"/>
      <c r="ABQ292" s="1069"/>
      <c r="ABR292" s="1069"/>
      <c r="ABS292" s="1069"/>
      <c r="ABT292" s="1069"/>
      <c r="ABU292" s="1069"/>
      <c r="ABV292" s="1069"/>
      <c r="ABW292" s="1069"/>
      <c r="ABX292" s="1069"/>
      <c r="ABY292" s="1069"/>
      <c r="ABZ292" s="1069"/>
      <c r="ACA292" s="1069"/>
      <c r="ACB292" s="1069"/>
      <c r="ACC292" s="1069"/>
      <c r="ACD292" s="1069"/>
      <c r="ACE292" s="1069"/>
      <c r="ACF292" s="1069"/>
      <c r="ACG292" s="1069"/>
      <c r="ACH292" s="1069"/>
      <c r="ACI292" s="1069"/>
      <c r="ACJ292" s="1069"/>
      <c r="ACK292" s="1069"/>
      <c r="ACL292" s="1069"/>
      <c r="ACM292" s="1069"/>
      <c r="ACN292" s="1069"/>
      <c r="ACO292" s="1069"/>
      <c r="ACP292" s="1069"/>
      <c r="ACQ292" s="1069"/>
      <c r="ACR292" s="1069"/>
      <c r="ACS292" s="1069"/>
      <c r="ACT292" s="1069"/>
      <c r="ACU292" s="1069"/>
      <c r="ACV292" s="1069"/>
      <c r="ACW292" s="1069"/>
      <c r="ACX292" s="1069"/>
      <c r="ACY292" s="1069"/>
      <c r="ACZ292" s="1069"/>
      <c r="ADA292" s="1069"/>
      <c r="ADB292" s="1069"/>
      <c r="ADC292" s="1069"/>
      <c r="ADD292" s="1069"/>
      <c r="ADE292" s="1069"/>
      <c r="ADF292" s="1069"/>
      <c r="ADG292" s="1069"/>
      <c r="ADH292" s="1069"/>
      <c r="ADI292" s="1069"/>
      <c r="ADJ292" s="1069"/>
      <c r="ADK292" s="1069"/>
      <c r="ADL292" s="1069"/>
      <c r="ADM292" s="1069"/>
      <c r="ADN292" s="1069"/>
      <c r="ADO292" s="1069"/>
      <c r="ADP292" s="1069"/>
      <c r="ADQ292" s="1069"/>
      <c r="ADR292" s="1069"/>
      <c r="ADS292" s="1069"/>
      <c r="ADT292" s="1069"/>
      <c r="ADU292" s="1069"/>
      <c r="ADV292" s="1069"/>
      <c r="ADW292" s="1069"/>
      <c r="ADX292" s="1069"/>
      <c r="ADY292" s="1069"/>
      <c r="ADZ292" s="1069"/>
      <c r="AEA292" s="1069"/>
      <c r="AEB292" s="1069"/>
      <c r="AEC292" s="1069"/>
      <c r="AED292" s="1069"/>
      <c r="AEE292" s="1069"/>
      <c r="AEF292" s="1069"/>
      <c r="AEG292" s="1069"/>
      <c r="AEH292" s="1069"/>
      <c r="AEI292" s="1069"/>
      <c r="AEJ292" s="1069"/>
      <c r="AEK292" s="1069"/>
      <c r="AEL292" s="1069"/>
      <c r="AEM292" s="1069"/>
      <c r="AEN292" s="1069"/>
      <c r="AEO292" s="1069"/>
      <c r="AEP292" s="1069"/>
      <c r="AEQ292" s="1069"/>
      <c r="AER292" s="1069"/>
      <c r="AES292" s="1069"/>
      <c r="AET292" s="1069"/>
      <c r="AEU292" s="1069"/>
      <c r="AEV292" s="1069"/>
      <c r="AEW292" s="1069"/>
      <c r="AEX292" s="1069"/>
      <c r="AEY292" s="1069"/>
      <c r="AEZ292" s="1069"/>
      <c r="AFA292" s="1069"/>
      <c r="AFB292" s="1069"/>
      <c r="AFC292" s="1069"/>
      <c r="AFD292" s="1069"/>
      <c r="AFE292" s="1069"/>
      <c r="AFF292" s="1069"/>
      <c r="AFG292" s="1069"/>
      <c r="AFH292" s="1069"/>
      <c r="AFI292" s="1069"/>
      <c r="AFJ292" s="1069"/>
      <c r="AFK292" s="1069"/>
      <c r="AFL292" s="1069"/>
      <c r="AFM292" s="1069"/>
      <c r="AFN292" s="1069"/>
      <c r="AFO292" s="1069"/>
      <c r="AFP292" s="1069"/>
      <c r="AFQ292" s="1069"/>
      <c r="AFR292" s="1069"/>
      <c r="AFS292" s="1069"/>
      <c r="AFT292" s="1069"/>
      <c r="AFU292" s="1069"/>
      <c r="AFV292" s="1069"/>
      <c r="AFW292" s="1069"/>
      <c r="AFX292" s="1069"/>
      <c r="AFY292" s="1069"/>
      <c r="AFZ292" s="1069"/>
      <c r="AGA292" s="1069"/>
      <c r="AGB292" s="1069"/>
      <c r="AGC292" s="1069"/>
      <c r="AGD292" s="1069"/>
      <c r="AGE292" s="1069"/>
      <c r="AGF292" s="1069"/>
      <c r="AGG292" s="1069"/>
      <c r="AGH292" s="1069"/>
      <c r="AGI292" s="1069"/>
      <c r="AGJ292" s="1069"/>
      <c r="AGK292" s="1069"/>
      <c r="AGL292" s="1069"/>
      <c r="AGM292" s="1069"/>
      <c r="AGN292" s="1069"/>
      <c r="AGO292" s="1069"/>
      <c r="AGP292" s="1069"/>
      <c r="AGQ292" s="1069"/>
      <c r="AGR292" s="1069"/>
      <c r="AGS292" s="1069"/>
      <c r="AGT292" s="1069"/>
      <c r="AGU292" s="1069"/>
      <c r="AGV292" s="1069"/>
      <c r="AGW292" s="1069"/>
      <c r="AGX292" s="1069"/>
      <c r="AGY292" s="1069"/>
      <c r="AGZ292" s="1069"/>
      <c r="AHA292" s="1069"/>
      <c r="AHB292" s="1069"/>
      <c r="AHC292" s="1069"/>
      <c r="AHD292" s="1069"/>
      <c r="AHE292" s="1069"/>
      <c r="AHF292" s="1069"/>
      <c r="AHG292" s="1069"/>
      <c r="AHH292" s="1069"/>
      <c r="AHI292" s="1069"/>
      <c r="AHJ292" s="1069"/>
      <c r="AHK292" s="1069"/>
      <c r="AHL292" s="1069"/>
      <c r="AHM292" s="1069"/>
      <c r="AHN292" s="1069"/>
      <c r="AHO292" s="1069"/>
      <c r="AHP292" s="1069"/>
      <c r="AHQ292" s="1069"/>
      <c r="AHR292" s="1069"/>
      <c r="AHS292" s="1069"/>
      <c r="AHT292" s="1069"/>
      <c r="AHU292" s="1069"/>
      <c r="AHV292" s="1069"/>
      <c r="AHW292" s="1069"/>
      <c r="AHX292" s="1069"/>
      <c r="AHY292" s="1069"/>
      <c r="AHZ292" s="1069"/>
      <c r="AIA292" s="1069"/>
      <c r="AIB292" s="1069"/>
      <c r="AIC292" s="1069"/>
      <c r="AID292" s="1069"/>
      <c r="AIE292" s="1069"/>
      <c r="AIF292" s="1069"/>
      <c r="AIG292" s="1069"/>
      <c r="AIH292" s="1069"/>
      <c r="AII292" s="1069"/>
      <c r="AIJ292" s="1069"/>
      <c r="AIK292" s="1069"/>
      <c r="AIL292" s="1069"/>
      <c r="AIM292" s="1069"/>
      <c r="AIN292" s="1069"/>
      <c r="AIO292" s="1069"/>
      <c r="AIP292" s="1069"/>
      <c r="AIQ292" s="1069"/>
      <c r="AIR292" s="1069"/>
      <c r="AIS292" s="1069"/>
      <c r="AIT292" s="1069"/>
      <c r="AIU292" s="1069"/>
      <c r="AIV292" s="1069"/>
      <c r="AIW292" s="1069"/>
      <c r="AIX292" s="1069"/>
      <c r="AIY292" s="1069"/>
      <c r="AIZ292" s="1069"/>
      <c r="AJA292" s="1069"/>
      <c r="AJB292" s="1069"/>
      <c r="AJC292" s="1069"/>
      <c r="AJD292" s="1069"/>
      <c r="AJE292" s="1069"/>
      <c r="AJF292" s="1069"/>
      <c r="AJG292" s="1069"/>
      <c r="AJH292" s="1069"/>
      <c r="AJI292" s="1069"/>
      <c r="AJJ292" s="1069"/>
      <c r="AJK292" s="1069"/>
      <c r="AJL292" s="1069"/>
      <c r="AJM292" s="1069"/>
      <c r="AJN292" s="1069"/>
      <c r="AJO292" s="1069"/>
      <c r="AJP292" s="1069"/>
      <c r="AJQ292" s="1069"/>
      <c r="AJR292" s="1069"/>
      <c r="AJS292" s="1069"/>
      <c r="AJT292" s="1069"/>
      <c r="AJU292" s="1069"/>
      <c r="AJV292" s="1069"/>
      <c r="AJW292" s="1069"/>
      <c r="AJX292" s="1069"/>
      <c r="AJY292" s="1069"/>
      <c r="AJZ292" s="1069"/>
      <c r="AKA292" s="1069"/>
      <c r="AKB292" s="1069"/>
      <c r="AKC292" s="1069"/>
      <c r="AKD292" s="1069"/>
      <c r="AKE292" s="1069"/>
      <c r="AKF292" s="1069"/>
      <c r="AKG292" s="1069"/>
      <c r="AKH292" s="1069"/>
      <c r="AKI292" s="1069"/>
      <c r="AKJ292" s="1069"/>
      <c r="AKK292" s="1069"/>
      <c r="AKL292" s="1069"/>
      <c r="AKM292" s="1069"/>
      <c r="AKN292" s="1069"/>
      <c r="AKO292" s="1069"/>
      <c r="AKP292" s="1069"/>
      <c r="AKQ292" s="1069"/>
      <c r="AKR292" s="1069"/>
      <c r="AKS292" s="1069"/>
      <c r="AKT292" s="1069"/>
      <c r="AKU292" s="1069"/>
      <c r="AKV292" s="1069"/>
      <c r="AKW292" s="1069"/>
      <c r="AKX292" s="1069"/>
      <c r="AKY292" s="1069"/>
      <c r="AKZ292" s="1069"/>
      <c r="ALA292" s="1069"/>
      <c r="ALB292" s="1069"/>
      <c r="ALC292" s="1069"/>
      <c r="ALD292" s="1069"/>
      <c r="ALE292" s="1069"/>
      <c r="ALF292" s="1069"/>
      <c r="ALG292" s="1069"/>
      <c r="ALH292" s="1069"/>
      <c r="ALI292" s="1069"/>
      <c r="ALJ292" s="1069"/>
      <c r="ALK292" s="1069"/>
      <c r="ALL292" s="1069"/>
      <c r="ALM292" s="1069"/>
      <c r="ALN292" s="1069"/>
      <c r="ALO292" s="1069"/>
      <c r="ALP292" s="1069"/>
      <c r="ALQ292" s="1069"/>
      <c r="ALR292" s="1069"/>
      <c r="ALS292" s="1069"/>
      <c r="ALT292" s="1069"/>
      <c r="ALU292" s="1069"/>
      <c r="ALV292" s="1069"/>
      <c r="ALW292" s="1069"/>
      <c r="ALX292" s="1069"/>
      <c r="ALY292" s="1069"/>
      <c r="ALZ292" s="1069"/>
      <c r="AMA292" s="1069"/>
      <c r="AMB292" s="1069"/>
      <c r="AMC292" s="1069"/>
      <c r="AMD292" s="1069"/>
      <c r="AME292" s="1069"/>
      <c r="AMF292" s="1069"/>
      <c r="AMG292" s="1069"/>
      <c r="AMH292" s="1069"/>
      <c r="AMI292" s="1069"/>
      <c r="AMJ292" s="1069"/>
      <c r="AMK292" s="1069"/>
      <c r="AML292" s="1069"/>
      <c r="AMM292" s="1069"/>
      <c r="AMN292" s="1069"/>
      <c r="AMO292" s="1069"/>
      <c r="AMP292" s="1069"/>
      <c r="AMQ292" s="1069"/>
      <c r="AMR292" s="1069"/>
      <c r="AMS292" s="1069"/>
      <c r="AMT292" s="1069"/>
      <c r="AMU292" s="1069"/>
      <c r="AMV292" s="1069"/>
      <c r="AMW292" s="1069"/>
      <c r="AMX292" s="1069"/>
      <c r="AMY292" s="1069"/>
      <c r="AMZ292" s="1069"/>
      <c r="ANA292" s="1069"/>
      <c r="ANB292" s="1069"/>
      <c r="ANC292" s="1069"/>
      <c r="AND292" s="1069"/>
      <c r="ANE292" s="1069"/>
      <c r="ANF292" s="1069"/>
      <c r="ANG292" s="1069"/>
      <c r="ANH292" s="1069"/>
      <c r="ANI292" s="1069"/>
      <c r="ANJ292" s="1069"/>
      <c r="ANK292" s="1069"/>
      <c r="ANL292" s="1069"/>
      <c r="ANM292" s="1069"/>
      <c r="ANN292" s="1069"/>
      <c r="ANO292" s="1069"/>
      <c r="ANP292" s="1069"/>
      <c r="ANQ292" s="1069"/>
      <c r="ANR292" s="1069"/>
      <c r="ANS292" s="1069"/>
      <c r="ANT292" s="1069"/>
      <c r="ANU292" s="1069"/>
      <c r="ANV292" s="1069"/>
      <c r="ANW292" s="1069"/>
      <c r="ANX292" s="1069"/>
      <c r="ANY292" s="1069"/>
      <c r="ANZ292" s="1069"/>
      <c r="AOA292" s="1069"/>
      <c r="AOB292" s="1069"/>
      <c r="AOC292" s="1069"/>
      <c r="AOD292" s="1069"/>
      <c r="AOE292" s="1069"/>
      <c r="AOF292" s="1069"/>
      <c r="AOG292" s="1069"/>
      <c r="AOH292" s="1069"/>
      <c r="AOI292" s="1069"/>
      <c r="AOJ292" s="1069"/>
      <c r="AOK292" s="1069"/>
      <c r="AOL292" s="1069"/>
      <c r="AOM292" s="1069"/>
      <c r="AON292" s="1069"/>
      <c r="AOO292" s="1069"/>
      <c r="AOP292" s="1069"/>
      <c r="AOQ292" s="1069"/>
      <c r="AOR292" s="1069"/>
      <c r="AOS292" s="1069"/>
      <c r="AOT292" s="1069"/>
      <c r="AOU292" s="1069"/>
      <c r="AOV292" s="1069"/>
      <c r="AOW292" s="1069"/>
      <c r="AOX292" s="1069"/>
      <c r="AOY292" s="1069"/>
      <c r="AOZ292" s="1069"/>
      <c r="APA292" s="1069"/>
      <c r="APB292" s="1069"/>
      <c r="APC292" s="1069"/>
      <c r="APD292" s="1069"/>
      <c r="APE292" s="1069"/>
      <c r="APF292" s="1069"/>
      <c r="APG292" s="1069"/>
      <c r="APH292" s="1069"/>
      <c r="API292" s="1069"/>
      <c r="APJ292" s="1069"/>
      <c r="APK292" s="1069"/>
      <c r="APL292" s="1069"/>
      <c r="APM292" s="1069"/>
      <c r="APN292" s="1069"/>
      <c r="APO292" s="1069"/>
      <c r="APP292" s="1069"/>
      <c r="APQ292" s="1069"/>
      <c r="APR292" s="1069"/>
      <c r="APS292" s="1069"/>
      <c r="APT292" s="1069"/>
      <c r="APU292" s="1069"/>
      <c r="APV292" s="1069"/>
      <c r="APW292" s="1069"/>
      <c r="APX292" s="1069"/>
      <c r="APY292" s="1069"/>
      <c r="APZ292" s="1069"/>
      <c r="AQA292" s="1069"/>
      <c r="AQB292" s="1069"/>
      <c r="AQC292" s="1069"/>
      <c r="AQD292" s="1069"/>
      <c r="AQE292" s="1069"/>
      <c r="AQF292" s="1069"/>
      <c r="AQG292" s="1069"/>
      <c r="AQH292" s="1069"/>
      <c r="AQI292" s="1069"/>
      <c r="AQJ292" s="1069"/>
      <c r="AQK292" s="1069"/>
      <c r="AQL292" s="1069"/>
      <c r="AQM292" s="1069"/>
      <c r="AQN292" s="1069"/>
      <c r="AQO292" s="1069"/>
      <c r="AQP292" s="1069"/>
      <c r="AQQ292" s="1069"/>
      <c r="AQR292" s="1069"/>
      <c r="AQS292" s="1069"/>
      <c r="AQT292" s="1069"/>
      <c r="AQU292" s="1069"/>
      <c r="AQV292" s="1069"/>
      <c r="AQW292" s="1069"/>
      <c r="AQX292" s="1069"/>
      <c r="AQY292" s="1069"/>
      <c r="AQZ292" s="1069"/>
      <c r="ARA292" s="1069"/>
      <c r="ARB292" s="1069"/>
      <c r="ARC292" s="1069"/>
      <c r="ARD292" s="1069"/>
      <c r="ARE292" s="1069"/>
      <c r="ARF292" s="1069"/>
      <c r="ARG292" s="1069"/>
      <c r="ARH292" s="1069"/>
      <c r="ARI292" s="1069"/>
      <c r="ARJ292" s="1069"/>
      <c r="ARK292" s="1069"/>
      <c r="ARL292" s="1069"/>
      <c r="ARM292" s="1069"/>
      <c r="ARN292" s="1069"/>
      <c r="ARO292" s="1069"/>
      <c r="ARP292" s="1069"/>
      <c r="ARQ292" s="1069"/>
      <c r="ARR292" s="1069"/>
      <c r="ARS292" s="1069"/>
      <c r="ART292" s="1069"/>
      <c r="ARU292" s="1069"/>
      <c r="ARV292" s="1069"/>
      <c r="ARW292" s="1069"/>
      <c r="ARX292" s="1069"/>
      <c r="ARY292" s="1069"/>
      <c r="ARZ292" s="1069"/>
      <c r="ASA292" s="1069"/>
      <c r="ASB292" s="1069"/>
      <c r="ASC292" s="1069"/>
      <c r="ASD292" s="1069"/>
      <c r="ASE292" s="1069"/>
      <c r="ASF292" s="1069"/>
      <c r="ASG292" s="1069"/>
      <c r="ASH292" s="1069"/>
      <c r="ASI292" s="1069"/>
      <c r="ASJ292" s="1069"/>
      <c r="ASK292" s="1069"/>
      <c r="ASL292" s="1069"/>
      <c r="ASM292" s="1069"/>
      <c r="ASN292" s="1069"/>
      <c r="ASO292" s="1069"/>
      <c r="ASP292" s="1069"/>
      <c r="ASQ292" s="1069"/>
      <c r="ASR292" s="1069"/>
      <c r="ASS292" s="1069"/>
      <c r="AST292" s="1069"/>
      <c r="ASU292" s="1069"/>
      <c r="ASV292" s="1069"/>
      <c r="ASW292" s="1069"/>
      <c r="ASX292" s="1069"/>
      <c r="ASY292" s="1069"/>
      <c r="ASZ292" s="1069"/>
      <c r="ATA292" s="1069"/>
      <c r="ATB292" s="1069"/>
      <c r="ATC292" s="1069"/>
      <c r="ATD292" s="1069"/>
      <c r="ATE292" s="1069"/>
      <c r="ATF292" s="1069"/>
      <c r="ATG292" s="1069"/>
      <c r="ATH292" s="1069"/>
      <c r="ATI292" s="1069"/>
      <c r="ATJ292" s="1069"/>
      <c r="ATK292" s="1069"/>
      <c r="ATL292" s="1069"/>
      <c r="ATM292" s="1069"/>
      <c r="ATN292" s="1069"/>
      <c r="ATO292" s="1069"/>
      <c r="ATP292" s="1069"/>
      <c r="ATQ292" s="1069"/>
      <c r="ATR292" s="1069"/>
      <c r="ATS292" s="1069"/>
      <c r="ATT292" s="1069"/>
      <c r="ATU292" s="1069"/>
      <c r="ATV292" s="1069"/>
      <c r="ATW292" s="1069"/>
      <c r="ATX292" s="1069"/>
      <c r="ATY292" s="1069"/>
      <c r="ATZ292" s="1069"/>
      <c r="AUA292" s="1069"/>
      <c r="AUB292" s="1069"/>
      <c r="AUC292" s="1069"/>
      <c r="AUD292" s="1069"/>
      <c r="AUE292" s="1069"/>
      <c r="AUF292" s="1069"/>
      <c r="AUG292" s="1069"/>
      <c r="AUH292" s="1069"/>
      <c r="AUI292" s="1069"/>
      <c r="AUJ292" s="1069"/>
      <c r="AUK292" s="1069"/>
      <c r="AUL292" s="1069"/>
      <c r="AUM292" s="1069"/>
      <c r="AUN292" s="1069"/>
      <c r="AUO292" s="1069"/>
      <c r="AUP292" s="1069"/>
      <c r="AUQ292" s="1069"/>
      <c r="AUR292" s="1069"/>
      <c r="AUS292" s="1069"/>
      <c r="AUT292" s="1069"/>
      <c r="AUU292" s="1069"/>
      <c r="AUV292" s="1069"/>
      <c r="AUW292" s="1069"/>
      <c r="AUX292" s="1069"/>
      <c r="AUY292" s="1069"/>
      <c r="AUZ292" s="1069"/>
      <c r="AVA292" s="1069"/>
      <c r="AVB292" s="1069"/>
      <c r="AVC292" s="1069"/>
      <c r="AVD292" s="1069"/>
      <c r="AVE292" s="1069"/>
      <c r="AVF292" s="1069"/>
      <c r="AVG292" s="1069"/>
      <c r="AVH292" s="1069"/>
      <c r="AVI292" s="1069"/>
      <c r="AVJ292" s="1069"/>
      <c r="AVK292" s="1069"/>
      <c r="AVL292" s="1069"/>
      <c r="AVM292" s="1069"/>
      <c r="AVN292" s="1069"/>
      <c r="AVO292" s="1069"/>
      <c r="AVP292" s="1069"/>
      <c r="AVQ292" s="1069"/>
      <c r="AVR292" s="1069"/>
      <c r="AVS292" s="1069"/>
      <c r="AVT292" s="1069"/>
      <c r="AVU292" s="1069"/>
      <c r="AVV292" s="1069"/>
      <c r="AVW292" s="1069"/>
      <c r="AVX292" s="1069"/>
      <c r="AVY292" s="1069"/>
      <c r="AVZ292" s="1069"/>
      <c r="AWA292" s="1069"/>
      <c r="AWB292" s="1069"/>
      <c r="AWC292" s="1069"/>
      <c r="AWD292" s="1069"/>
      <c r="AWE292" s="1069"/>
      <c r="AWF292" s="1069"/>
      <c r="AWG292" s="1069"/>
      <c r="AWH292" s="1069"/>
      <c r="AWI292" s="1069"/>
      <c r="AWJ292" s="1069"/>
      <c r="AWK292" s="1069"/>
      <c r="AWL292" s="1069"/>
      <c r="AWM292" s="1069"/>
      <c r="AWN292" s="1069"/>
      <c r="AWO292" s="1069"/>
      <c r="AWP292" s="1069"/>
      <c r="AWQ292" s="1069"/>
      <c r="AWR292" s="1069"/>
      <c r="AWS292" s="1069"/>
      <c r="AWT292" s="1069"/>
      <c r="AWU292" s="1069"/>
      <c r="AWV292" s="1069"/>
      <c r="AWW292" s="1069"/>
      <c r="AWX292" s="1069"/>
      <c r="AWY292" s="1069"/>
      <c r="AWZ292" s="1069"/>
      <c r="AXA292" s="1069"/>
      <c r="AXB292" s="1069"/>
      <c r="AXC292" s="1069"/>
      <c r="AXD292" s="1069"/>
      <c r="AXE292" s="1069"/>
      <c r="AXF292" s="1069"/>
      <c r="AXG292" s="1069"/>
      <c r="AXH292" s="1069"/>
      <c r="AXI292" s="1069"/>
      <c r="AXJ292" s="1069"/>
      <c r="AXK292" s="1069"/>
      <c r="AXL292" s="1069"/>
      <c r="AXM292" s="1069"/>
      <c r="AXN292" s="1069"/>
      <c r="AXO292" s="1069"/>
      <c r="AXP292" s="1069"/>
      <c r="AXQ292" s="1069"/>
      <c r="AXR292" s="1069"/>
      <c r="AXS292" s="1069"/>
      <c r="AXT292" s="1069"/>
      <c r="AXU292" s="1069"/>
      <c r="AXV292" s="1069"/>
      <c r="AXW292" s="1069"/>
      <c r="AXX292" s="1069"/>
      <c r="AXY292" s="1069"/>
      <c r="AXZ292" s="1069"/>
      <c r="AYA292" s="1069"/>
      <c r="AYB292" s="1069"/>
      <c r="AYC292" s="1069"/>
      <c r="AYD292" s="1069"/>
      <c r="AYE292" s="1069"/>
      <c r="AYF292" s="1069"/>
      <c r="AYG292" s="1069"/>
      <c r="AYH292" s="1069"/>
      <c r="AYI292" s="1069"/>
      <c r="AYJ292" s="1069"/>
      <c r="AYK292" s="1069"/>
      <c r="AYL292" s="1069"/>
      <c r="AYM292" s="1069"/>
      <c r="AYN292" s="1069"/>
      <c r="AYO292" s="1069"/>
      <c r="AYP292" s="1069"/>
      <c r="AYQ292" s="1069"/>
      <c r="AYR292" s="1069"/>
      <c r="AYS292" s="1069"/>
      <c r="AYT292" s="1069"/>
      <c r="AYU292" s="1069"/>
      <c r="AYV292" s="1069"/>
      <c r="AYW292" s="1069"/>
      <c r="AYX292" s="1069"/>
      <c r="AYY292" s="1069"/>
      <c r="AYZ292" s="1069"/>
      <c r="AZA292" s="1069"/>
      <c r="AZB292" s="1069"/>
      <c r="AZC292" s="1069"/>
      <c r="AZD292" s="1069"/>
      <c r="AZE292" s="1069"/>
      <c r="AZF292" s="1069"/>
      <c r="AZG292" s="1069"/>
      <c r="AZH292" s="1069"/>
      <c r="AZI292" s="1069"/>
      <c r="AZJ292" s="1069"/>
      <c r="AZK292" s="1069"/>
      <c r="AZL292" s="1069"/>
      <c r="AZM292" s="1069"/>
      <c r="AZN292" s="1069"/>
      <c r="AZO292" s="1069"/>
      <c r="AZP292" s="1069"/>
      <c r="AZQ292" s="1069"/>
      <c r="AZR292" s="1069"/>
      <c r="AZS292" s="1069"/>
      <c r="AZT292" s="1069"/>
      <c r="AZU292" s="1069"/>
      <c r="AZV292" s="1069"/>
      <c r="AZW292" s="1069"/>
      <c r="AZX292" s="1069"/>
      <c r="AZY292" s="1069"/>
      <c r="AZZ292" s="1069"/>
      <c r="BAA292" s="1069"/>
      <c r="BAB292" s="1069"/>
      <c r="BAC292" s="1069"/>
      <c r="BAD292" s="1069"/>
      <c r="BAE292" s="1069"/>
      <c r="BAF292" s="1069"/>
      <c r="BAG292" s="1069"/>
      <c r="BAH292" s="1069"/>
      <c r="BAI292" s="1069"/>
      <c r="BAJ292" s="1069"/>
      <c r="BAK292" s="1069"/>
      <c r="BAL292" s="1069"/>
      <c r="BAM292" s="1069"/>
      <c r="BAN292" s="1069"/>
      <c r="BAO292" s="1069"/>
      <c r="BAP292" s="1069"/>
      <c r="BAQ292" s="1069"/>
      <c r="BAR292" s="1069"/>
      <c r="BAS292" s="1069"/>
      <c r="BAT292" s="1069"/>
      <c r="BAU292" s="1069"/>
      <c r="BAV292" s="1069"/>
      <c r="BAW292" s="1069"/>
      <c r="BAX292" s="1069"/>
      <c r="BAY292" s="1069"/>
      <c r="BAZ292" s="1069"/>
      <c r="BBA292" s="1069"/>
      <c r="BBB292" s="1069"/>
      <c r="BBC292" s="1069"/>
      <c r="BBD292" s="1069"/>
      <c r="BBE292" s="1069"/>
      <c r="BBF292" s="1069"/>
      <c r="BBG292" s="1069"/>
      <c r="BBH292" s="1069"/>
      <c r="BBI292" s="1069"/>
      <c r="BBJ292" s="1069"/>
      <c r="BBK292" s="1069"/>
      <c r="BBL292" s="1069"/>
      <c r="BBM292" s="1069"/>
      <c r="BBN292" s="1069"/>
      <c r="BBO292" s="1069"/>
      <c r="BBP292" s="1069"/>
      <c r="BBQ292" s="1069"/>
      <c r="BBR292" s="1069"/>
      <c r="BBS292" s="1069"/>
      <c r="BBT292" s="1069"/>
      <c r="BBU292" s="1069"/>
      <c r="BBV292" s="1069"/>
      <c r="BBW292" s="1069"/>
      <c r="BBX292" s="1069"/>
      <c r="BBY292" s="1069"/>
      <c r="BBZ292" s="1069"/>
      <c r="BCA292" s="1069"/>
      <c r="BCB292" s="1069"/>
      <c r="BCC292" s="1069"/>
      <c r="BCD292" s="1069"/>
      <c r="BCE292" s="1069"/>
      <c r="BCF292" s="1069"/>
      <c r="BCG292" s="1069"/>
      <c r="BCH292" s="1069"/>
      <c r="BCI292" s="1069"/>
      <c r="BCJ292" s="1069"/>
      <c r="BCK292" s="1069"/>
      <c r="BCL292" s="1069"/>
      <c r="BCM292" s="1069"/>
      <c r="BCN292" s="1069"/>
      <c r="BCO292" s="1069"/>
      <c r="BCP292" s="1069"/>
      <c r="BCQ292" s="1069"/>
      <c r="BCR292" s="1069"/>
      <c r="BCS292" s="1069"/>
      <c r="BCT292" s="1069"/>
      <c r="BCU292" s="1069"/>
      <c r="BCV292" s="1069"/>
      <c r="BCW292" s="1069"/>
      <c r="BCX292" s="1069"/>
      <c r="BCY292" s="1069"/>
      <c r="BCZ292" s="1069"/>
      <c r="BDA292" s="1069"/>
      <c r="BDB292" s="1069"/>
      <c r="BDC292" s="1069"/>
      <c r="BDD292" s="1069"/>
      <c r="BDE292" s="1069"/>
      <c r="BDF292" s="1069"/>
      <c r="BDG292" s="1069"/>
      <c r="BDH292" s="1069"/>
      <c r="BDI292" s="1069"/>
      <c r="BDJ292" s="1069"/>
      <c r="BDK292" s="1069"/>
      <c r="BDL292" s="1069"/>
      <c r="BDM292" s="1069"/>
      <c r="BDN292" s="1069"/>
      <c r="BDO292" s="1069"/>
      <c r="BDP292" s="1069"/>
      <c r="BDQ292" s="1069"/>
      <c r="BDR292" s="1069"/>
      <c r="BDS292" s="1069"/>
      <c r="BDT292" s="1069"/>
      <c r="BDU292" s="1069"/>
      <c r="BDV292" s="1069"/>
      <c r="BDW292" s="1069"/>
      <c r="BDX292" s="1069"/>
      <c r="BDY292" s="1069"/>
      <c r="BDZ292" s="1069"/>
      <c r="BEA292" s="1069"/>
      <c r="BEB292" s="1069"/>
      <c r="BEC292" s="1069"/>
      <c r="BED292" s="1069"/>
      <c r="BEE292" s="1069"/>
      <c r="BEF292" s="1069"/>
      <c r="BEG292" s="1069"/>
      <c r="BEH292" s="1069"/>
      <c r="BEI292" s="1069"/>
      <c r="BEJ292" s="1069"/>
      <c r="BEK292" s="1069"/>
      <c r="BEL292" s="1069"/>
      <c r="BEM292" s="1069"/>
      <c r="BEN292" s="1069"/>
      <c r="BEO292" s="1069"/>
      <c r="BEP292" s="1069"/>
      <c r="BEQ292" s="1069"/>
      <c r="BER292" s="1069"/>
      <c r="BES292" s="1069"/>
      <c r="BET292" s="1069"/>
      <c r="BEU292" s="1069"/>
      <c r="BEV292" s="1069"/>
      <c r="BEW292" s="1069"/>
      <c r="BEX292" s="1069"/>
      <c r="BEY292" s="1069"/>
      <c r="BEZ292" s="1069"/>
      <c r="BFA292" s="1069"/>
      <c r="BFB292" s="1069"/>
      <c r="BFC292" s="1069"/>
      <c r="BFD292" s="1069"/>
      <c r="BFE292" s="1069"/>
      <c r="BFF292" s="1069"/>
      <c r="BFG292" s="1069"/>
      <c r="BFH292" s="1069"/>
      <c r="BFI292" s="1069"/>
      <c r="BFJ292" s="1069"/>
      <c r="BFK292" s="1069"/>
      <c r="BFL292" s="1069"/>
      <c r="BFM292" s="1069"/>
      <c r="BFN292" s="1069"/>
      <c r="BFO292" s="1069"/>
      <c r="BFP292" s="1069"/>
      <c r="BFQ292" s="1069"/>
      <c r="BFR292" s="1069"/>
      <c r="BFS292" s="1069"/>
      <c r="BFT292" s="1069"/>
      <c r="BFU292" s="1069"/>
      <c r="BFV292" s="1069"/>
      <c r="BFW292" s="1069"/>
      <c r="BFX292" s="1069"/>
      <c r="BFY292" s="1069"/>
      <c r="BFZ292" s="1069"/>
      <c r="BGA292" s="1069"/>
      <c r="BGB292" s="1069"/>
      <c r="BGC292" s="1069"/>
      <c r="BGD292" s="1069"/>
      <c r="BGE292" s="1069"/>
      <c r="BGF292" s="1069"/>
      <c r="BGG292" s="1069"/>
      <c r="BGH292" s="1069"/>
      <c r="BGI292" s="1069"/>
      <c r="BGJ292" s="1069"/>
      <c r="BGK292" s="1069"/>
      <c r="BGL292" s="1069"/>
      <c r="BGM292" s="1069"/>
      <c r="BGN292" s="1069"/>
      <c r="BGO292" s="1069"/>
      <c r="BGP292" s="1069"/>
      <c r="BGQ292" s="1069"/>
      <c r="BGR292" s="1069"/>
      <c r="BGS292" s="1069"/>
      <c r="BGT292" s="1069"/>
      <c r="BGU292" s="1069"/>
      <c r="BGV292" s="1069"/>
      <c r="BGW292" s="1069"/>
      <c r="BGX292" s="1069"/>
      <c r="BGY292" s="1069"/>
      <c r="BGZ292" s="1069"/>
      <c r="BHA292" s="1069"/>
      <c r="BHB292" s="1069"/>
      <c r="BHC292" s="1069"/>
      <c r="BHD292" s="1069"/>
      <c r="BHE292" s="1069"/>
      <c r="BHF292" s="1069"/>
      <c r="BHG292" s="1069"/>
      <c r="BHH292" s="1069"/>
      <c r="BHI292" s="1069"/>
      <c r="BHJ292" s="1069"/>
      <c r="BHK292" s="1069"/>
      <c r="BHL292" s="1069"/>
      <c r="BHM292" s="1069"/>
      <c r="BHN292" s="1069"/>
      <c r="BHO292" s="1069"/>
      <c r="BHP292" s="1069"/>
      <c r="BHQ292" s="1069"/>
      <c r="BHR292" s="1069"/>
      <c r="BHS292" s="1069"/>
      <c r="BHT292" s="1069"/>
      <c r="BHU292" s="1069"/>
      <c r="BHV292" s="1069"/>
      <c r="BHW292" s="1069"/>
      <c r="BHX292" s="1069"/>
      <c r="BHY292" s="1069"/>
      <c r="BHZ292" s="1069"/>
      <c r="BIA292" s="1069"/>
      <c r="BIB292" s="1069"/>
      <c r="BIC292" s="1069"/>
      <c r="BID292" s="1069"/>
      <c r="BIE292" s="1069"/>
      <c r="BIF292" s="1069"/>
      <c r="BIG292" s="1069"/>
      <c r="BIH292" s="1069"/>
      <c r="BII292" s="1069"/>
      <c r="BIJ292" s="1069"/>
      <c r="BIK292" s="1069"/>
      <c r="BIL292" s="1069"/>
      <c r="BIM292" s="1069"/>
      <c r="BIN292" s="1069"/>
      <c r="BIO292" s="1069"/>
      <c r="BIP292" s="1069"/>
      <c r="BIQ292" s="1069"/>
      <c r="BIR292" s="1069"/>
      <c r="BIS292" s="1069"/>
      <c r="BIT292" s="1069"/>
      <c r="BIU292" s="1069"/>
      <c r="BIV292" s="1069"/>
      <c r="BIW292" s="1069"/>
      <c r="BIX292" s="1069"/>
      <c r="BIY292" s="1069"/>
      <c r="BIZ292" s="1069"/>
      <c r="BJA292" s="1069"/>
      <c r="BJB292" s="1069"/>
      <c r="BJC292" s="1069"/>
      <c r="BJD292" s="1069"/>
      <c r="BJE292" s="1069"/>
      <c r="BJF292" s="1069"/>
      <c r="BJG292" s="1069"/>
      <c r="BJH292" s="1069"/>
      <c r="BJI292" s="1069"/>
      <c r="BJJ292" s="1069"/>
      <c r="BJK292" s="1069"/>
      <c r="BJL292" s="1069"/>
      <c r="BJM292" s="1069"/>
      <c r="BJN292" s="1069"/>
      <c r="BJO292" s="1069"/>
      <c r="BJP292" s="1069"/>
      <c r="BJQ292" s="1069"/>
      <c r="BJR292" s="1069"/>
      <c r="BJS292" s="1069"/>
      <c r="BJT292" s="1069"/>
      <c r="BJU292" s="1069"/>
      <c r="BJV292" s="1069"/>
      <c r="BJW292" s="1069"/>
      <c r="BJX292" s="1069"/>
      <c r="BJY292" s="1069"/>
      <c r="BJZ292" s="1069"/>
      <c r="BKA292" s="1069"/>
      <c r="BKB292" s="1069"/>
      <c r="BKC292" s="1069"/>
      <c r="BKD292" s="1069"/>
      <c r="BKE292" s="1069"/>
      <c r="BKF292" s="1069"/>
      <c r="BKG292" s="1069"/>
      <c r="BKH292" s="1069"/>
      <c r="BKI292" s="1069"/>
      <c r="BKJ292" s="1069"/>
      <c r="BKK292" s="1069"/>
      <c r="BKL292" s="1069"/>
      <c r="BKM292" s="1069"/>
      <c r="BKN292" s="1069"/>
      <c r="BKO292" s="1069"/>
      <c r="BKP292" s="1069"/>
      <c r="BKQ292" s="1069"/>
      <c r="BKR292" s="1069"/>
      <c r="BKS292" s="1069"/>
      <c r="BKT292" s="1069"/>
      <c r="BKU292" s="1069"/>
      <c r="BKV292" s="1069"/>
      <c r="BKW292" s="1069"/>
      <c r="BKX292" s="1069"/>
      <c r="BKY292" s="1069"/>
      <c r="BKZ292" s="1069"/>
      <c r="BLA292" s="1069"/>
      <c r="BLB292" s="1069"/>
      <c r="BLC292" s="1069"/>
      <c r="BLD292" s="1069"/>
      <c r="BLE292" s="1069"/>
      <c r="BLF292" s="1069"/>
      <c r="BLG292" s="1069"/>
      <c r="BLH292" s="1069"/>
      <c r="BLI292" s="1069"/>
      <c r="BLJ292" s="1069"/>
      <c r="BLK292" s="1069"/>
      <c r="BLL292" s="1069"/>
      <c r="BLM292" s="1069"/>
      <c r="BLN292" s="1069"/>
      <c r="BLO292" s="1069"/>
      <c r="BLP292" s="1069"/>
      <c r="BLQ292" s="1069"/>
      <c r="BLR292" s="1069"/>
      <c r="BLS292" s="1069"/>
      <c r="BLT292" s="1069"/>
      <c r="BLU292" s="1069"/>
      <c r="BLV292" s="1069"/>
      <c r="BLW292" s="1069"/>
      <c r="BLX292" s="1069"/>
      <c r="BLY292" s="1069"/>
      <c r="BLZ292" s="1069"/>
      <c r="BMA292" s="1069"/>
      <c r="BMB292" s="1069"/>
      <c r="BMC292" s="1069"/>
      <c r="BMD292" s="1069"/>
      <c r="BME292" s="1069"/>
      <c r="BMF292" s="1069"/>
      <c r="BMG292" s="1069"/>
      <c r="BMH292" s="1069"/>
      <c r="BMI292" s="1069"/>
      <c r="BMJ292" s="1069"/>
      <c r="BMK292" s="1069"/>
      <c r="BML292" s="1069"/>
      <c r="BMM292" s="1069"/>
      <c r="BMN292" s="1069"/>
      <c r="BMO292" s="1069"/>
      <c r="BMP292" s="1069"/>
      <c r="BMQ292" s="1069"/>
      <c r="BMR292" s="1069"/>
      <c r="BMS292" s="1069"/>
      <c r="BMT292" s="1069"/>
      <c r="BMU292" s="1069"/>
      <c r="BMV292" s="1069"/>
      <c r="BMW292" s="1069"/>
      <c r="BMX292" s="1069"/>
      <c r="BMY292" s="1069"/>
      <c r="BMZ292" s="1069"/>
      <c r="BNA292" s="1069"/>
      <c r="BNB292" s="1069"/>
      <c r="BNC292" s="1069"/>
      <c r="BND292" s="1069"/>
      <c r="BNE292" s="1069"/>
      <c r="BNF292" s="1069"/>
      <c r="BNG292" s="1069"/>
      <c r="BNH292" s="1069"/>
      <c r="BNI292" s="1069"/>
      <c r="BNJ292" s="1069"/>
      <c r="BNK292" s="1069"/>
      <c r="BNL292" s="1069"/>
      <c r="BNM292" s="1069"/>
      <c r="BNN292" s="1069"/>
      <c r="BNO292" s="1069"/>
      <c r="BNP292" s="1069"/>
      <c r="BNQ292" s="1069"/>
      <c r="BNR292" s="1069"/>
      <c r="BNS292" s="1069"/>
      <c r="BNT292" s="1069"/>
      <c r="BNU292" s="1069"/>
      <c r="BNV292" s="1069"/>
      <c r="BNW292" s="1069"/>
      <c r="BNX292" s="1069"/>
      <c r="BNY292" s="1069"/>
      <c r="BNZ292" s="1069"/>
      <c r="BOA292" s="1069"/>
      <c r="BOB292" s="1069"/>
      <c r="BOC292" s="1069"/>
      <c r="BOD292" s="1069"/>
      <c r="BOE292" s="1069"/>
      <c r="BOF292" s="1069"/>
      <c r="BOG292" s="1069"/>
      <c r="BOH292" s="1069"/>
      <c r="BOI292" s="1069"/>
      <c r="BOJ292" s="1069"/>
      <c r="BOK292" s="1069"/>
      <c r="BOL292" s="1069"/>
      <c r="BOM292" s="1069"/>
      <c r="BON292" s="1069"/>
      <c r="BOO292" s="1069"/>
      <c r="BOP292" s="1069"/>
      <c r="BOQ292" s="1069"/>
      <c r="BOR292" s="1069"/>
      <c r="BOS292" s="1069"/>
      <c r="BOT292" s="1069"/>
      <c r="BOU292" s="1069"/>
      <c r="BOV292" s="1069"/>
      <c r="BOW292" s="1069"/>
      <c r="BOX292" s="1069"/>
      <c r="BOY292" s="1069"/>
      <c r="BOZ292" s="1069"/>
      <c r="BPA292" s="1069"/>
      <c r="BPB292" s="1069"/>
      <c r="BPC292" s="1069"/>
      <c r="BPD292" s="1069"/>
      <c r="BPE292" s="1069"/>
      <c r="BPF292" s="1069"/>
      <c r="BPG292" s="1069"/>
      <c r="BPH292" s="1069"/>
      <c r="BPI292" s="1069"/>
      <c r="BPJ292" s="1069"/>
      <c r="BPK292" s="1069"/>
      <c r="BPL292" s="1069"/>
      <c r="BPM292" s="1069"/>
      <c r="BPN292" s="1069"/>
      <c r="BPO292" s="1069"/>
      <c r="BPP292" s="1069"/>
      <c r="BPQ292" s="1069"/>
      <c r="BPR292" s="1069"/>
      <c r="BPS292" s="1069"/>
      <c r="BPT292" s="1069"/>
      <c r="BPU292" s="1069"/>
      <c r="BPV292" s="1069"/>
      <c r="BPW292" s="1069"/>
      <c r="BPX292" s="1069"/>
      <c r="BPY292" s="1069"/>
      <c r="BPZ292" s="1069"/>
      <c r="BQA292" s="1069"/>
      <c r="BQB292" s="1069"/>
      <c r="BQC292" s="1069"/>
      <c r="BQD292" s="1069"/>
      <c r="BQE292" s="1069"/>
      <c r="BQF292" s="1069"/>
      <c r="BQG292" s="1069"/>
      <c r="BQH292" s="1069"/>
      <c r="BQI292" s="1069"/>
      <c r="BQJ292" s="1069"/>
      <c r="BQK292" s="1069"/>
      <c r="BQL292" s="1069"/>
      <c r="BQM292" s="1069"/>
      <c r="BQN292" s="1069"/>
      <c r="BQO292" s="1069"/>
      <c r="BQP292" s="1069"/>
      <c r="BQQ292" s="1069"/>
      <c r="BQR292" s="1069"/>
      <c r="BQS292" s="1069"/>
      <c r="BQT292" s="1069"/>
      <c r="BQU292" s="1069"/>
      <c r="BQV292" s="1069"/>
      <c r="BQW292" s="1069"/>
      <c r="BQX292" s="1069"/>
      <c r="BQY292" s="1069"/>
      <c r="BQZ292" s="1069"/>
      <c r="BRA292" s="1069"/>
      <c r="BRB292" s="1069"/>
      <c r="BRC292" s="1069"/>
      <c r="BRD292" s="1069"/>
      <c r="BRE292" s="1069"/>
      <c r="BRF292" s="1069"/>
      <c r="BRG292" s="1069"/>
      <c r="BRH292" s="1069"/>
      <c r="BRI292" s="1069"/>
      <c r="BRJ292" s="1069"/>
      <c r="BRK292" s="1069"/>
      <c r="BRL292" s="1069"/>
      <c r="BRM292" s="1069"/>
      <c r="BRN292" s="1069"/>
      <c r="BRO292" s="1069"/>
      <c r="BRP292" s="1069"/>
      <c r="BRQ292" s="1069"/>
      <c r="BRR292" s="1069"/>
      <c r="BRS292" s="1069"/>
      <c r="BRT292" s="1069"/>
      <c r="BRU292" s="1069"/>
      <c r="BRV292" s="1069"/>
      <c r="BRW292" s="1069"/>
      <c r="BRX292" s="1069"/>
      <c r="BRY292" s="1069"/>
      <c r="BRZ292" s="1069"/>
      <c r="BSA292" s="1069"/>
      <c r="BSB292" s="1069"/>
      <c r="BSC292" s="1069"/>
      <c r="BSD292" s="1069"/>
      <c r="BSE292" s="1069"/>
      <c r="BSF292" s="1069"/>
      <c r="BSG292" s="1069"/>
      <c r="BSH292" s="1069"/>
      <c r="BSI292" s="1069"/>
      <c r="BSJ292" s="1069"/>
      <c r="BSK292" s="1069"/>
      <c r="BSL292" s="1069"/>
      <c r="BSM292" s="1069"/>
      <c r="BSN292" s="1069"/>
      <c r="BSO292" s="1069"/>
      <c r="BSP292" s="1069"/>
      <c r="BSQ292" s="1069"/>
      <c r="BSR292" s="1069"/>
      <c r="BSS292" s="1069"/>
      <c r="BST292" s="1069"/>
      <c r="BSU292" s="1069"/>
      <c r="BSV292" s="1069"/>
      <c r="BSW292" s="1069"/>
      <c r="BSX292" s="1069"/>
      <c r="BSY292" s="1069"/>
      <c r="BSZ292" s="1069"/>
      <c r="BTA292" s="1069"/>
      <c r="BTB292" s="1069"/>
      <c r="BTC292" s="1069"/>
      <c r="BTD292" s="1069"/>
      <c r="BTE292" s="1069"/>
      <c r="BTF292" s="1069"/>
      <c r="BTG292" s="1069"/>
      <c r="BTH292" s="1069"/>
      <c r="BTI292" s="1069"/>
      <c r="BTJ292" s="1069"/>
      <c r="BTK292" s="1069"/>
      <c r="BTL292" s="1069"/>
      <c r="BTM292" s="1069"/>
      <c r="BTN292" s="1069"/>
      <c r="BTO292" s="1069"/>
      <c r="BTP292" s="1069"/>
      <c r="BTQ292" s="1069"/>
      <c r="BTR292" s="1069"/>
      <c r="BTS292" s="1069"/>
      <c r="BTT292" s="1069"/>
      <c r="BTU292" s="1069"/>
      <c r="BTV292" s="1069"/>
      <c r="BTW292" s="1069"/>
      <c r="BTX292" s="1069"/>
      <c r="BTY292" s="1069"/>
      <c r="BTZ292" s="1069"/>
      <c r="BUA292" s="1069"/>
      <c r="BUB292" s="1069"/>
      <c r="BUC292" s="1069"/>
      <c r="BUD292" s="1069"/>
      <c r="BUE292" s="1069"/>
      <c r="BUF292" s="1069"/>
      <c r="BUG292" s="1069"/>
      <c r="BUH292" s="1069"/>
      <c r="BUI292" s="1069"/>
      <c r="BUJ292" s="1069"/>
      <c r="BUK292" s="1069"/>
      <c r="BUL292" s="1069"/>
      <c r="BUM292" s="1069"/>
      <c r="BUN292" s="1069"/>
      <c r="BUO292" s="1069"/>
      <c r="BUP292" s="1069"/>
      <c r="BUQ292" s="1069"/>
      <c r="BUR292" s="1069"/>
      <c r="BUS292" s="1069"/>
      <c r="BUT292" s="1069"/>
      <c r="BUU292" s="1069"/>
      <c r="BUV292" s="1069"/>
      <c r="BUW292" s="1069"/>
      <c r="BUX292" s="1069"/>
      <c r="BUY292" s="1069"/>
      <c r="BUZ292" s="1069"/>
      <c r="BVA292" s="1069"/>
      <c r="BVB292" s="1069"/>
      <c r="BVC292" s="1069"/>
      <c r="BVD292" s="1069"/>
      <c r="BVE292" s="1069"/>
      <c r="BVF292" s="1069"/>
      <c r="BVG292" s="1069"/>
      <c r="BVH292" s="1069"/>
      <c r="BVI292" s="1069"/>
      <c r="BVJ292" s="1069"/>
      <c r="BVK292" s="1069"/>
      <c r="BVL292" s="1069"/>
      <c r="BVM292" s="1069"/>
      <c r="BVN292" s="1069"/>
      <c r="BVO292" s="1069"/>
      <c r="BVP292" s="1069"/>
      <c r="BVQ292" s="1069"/>
      <c r="BVR292" s="1069"/>
      <c r="BVS292" s="1069"/>
      <c r="BVT292" s="1069"/>
      <c r="BVU292" s="1069"/>
      <c r="BVV292" s="1069"/>
      <c r="BVW292" s="1069"/>
      <c r="BVX292" s="1069"/>
      <c r="BVY292" s="1069"/>
      <c r="BVZ292" s="1069"/>
      <c r="BWA292" s="1069"/>
      <c r="BWB292" s="1069"/>
      <c r="BWC292" s="1069"/>
      <c r="BWD292" s="1069"/>
      <c r="BWE292" s="1069"/>
      <c r="BWF292" s="1069"/>
      <c r="BWG292" s="1069"/>
      <c r="BWH292" s="1069"/>
      <c r="BWI292" s="1069"/>
      <c r="BWJ292" s="1069"/>
      <c r="BWK292" s="1069"/>
      <c r="BWL292" s="1069"/>
      <c r="BWM292" s="1069"/>
      <c r="BWN292" s="1069"/>
      <c r="BWO292" s="1069"/>
      <c r="BWP292" s="1069"/>
      <c r="BWQ292" s="1069"/>
      <c r="BWR292" s="1069"/>
      <c r="BWS292" s="1069"/>
      <c r="BWT292" s="1069"/>
      <c r="BWU292" s="1069"/>
      <c r="BWV292" s="1069"/>
      <c r="BWW292" s="1069"/>
      <c r="BWX292" s="1069"/>
      <c r="BWY292" s="1069"/>
      <c r="BWZ292" s="1069"/>
      <c r="BXA292" s="1069"/>
      <c r="BXB292" s="1069"/>
      <c r="BXC292" s="1069"/>
      <c r="BXD292" s="1069"/>
      <c r="BXE292" s="1069"/>
      <c r="BXF292" s="1069"/>
      <c r="BXG292" s="1069"/>
      <c r="BXH292" s="1069"/>
      <c r="BXI292" s="1069"/>
      <c r="BXJ292" s="1069"/>
      <c r="BXK292" s="1069"/>
      <c r="BXL292" s="1069"/>
      <c r="BXM292" s="1069"/>
      <c r="BXN292" s="1069"/>
      <c r="BXO292" s="1069"/>
      <c r="BXP292" s="1069"/>
      <c r="BXQ292" s="1069"/>
      <c r="BXR292" s="1069"/>
      <c r="BXS292" s="1069"/>
      <c r="BXT292" s="1069"/>
      <c r="BXU292" s="1069"/>
      <c r="BXV292" s="1069"/>
      <c r="BXW292" s="1069"/>
      <c r="BXX292" s="1069"/>
      <c r="BXY292" s="1069"/>
      <c r="BXZ292" s="1069"/>
      <c r="BYA292" s="1069"/>
      <c r="BYB292" s="1069"/>
      <c r="BYC292" s="1069"/>
      <c r="BYD292" s="1069"/>
      <c r="BYE292" s="1069"/>
      <c r="BYF292" s="1069"/>
      <c r="BYG292" s="1069"/>
      <c r="BYH292" s="1069"/>
      <c r="BYI292" s="1069"/>
      <c r="BYJ292" s="1069"/>
      <c r="BYK292" s="1069"/>
      <c r="BYL292" s="1069"/>
      <c r="BYM292" s="1069"/>
      <c r="BYN292" s="1069"/>
      <c r="BYO292" s="1069"/>
      <c r="BYP292" s="1069"/>
      <c r="BYQ292" s="1069"/>
      <c r="BYR292" s="1069"/>
      <c r="BYS292" s="1069"/>
      <c r="BYT292" s="1069"/>
      <c r="BYU292" s="1069"/>
      <c r="BYV292" s="1069"/>
      <c r="BYW292" s="1069"/>
      <c r="BYX292" s="1069"/>
      <c r="BYY292" s="1069"/>
      <c r="BYZ292" s="1069"/>
      <c r="BZA292" s="1069"/>
      <c r="BZB292" s="1069"/>
      <c r="BZC292" s="1069"/>
      <c r="BZD292" s="1069"/>
      <c r="BZE292" s="1069"/>
      <c r="BZF292" s="1069"/>
      <c r="BZG292" s="1069"/>
      <c r="BZH292" s="1069"/>
      <c r="BZI292" s="1069"/>
      <c r="BZJ292" s="1069"/>
      <c r="BZK292" s="1069"/>
      <c r="BZL292" s="1069"/>
      <c r="BZM292" s="1069"/>
      <c r="BZN292" s="1069"/>
      <c r="BZO292" s="1069"/>
      <c r="BZP292" s="1069"/>
      <c r="BZQ292" s="1069"/>
      <c r="BZR292" s="1069"/>
      <c r="BZS292" s="1069"/>
      <c r="BZT292" s="1069"/>
      <c r="BZU292" s="1069"/>
      <c r="BZV292" s="1069"/>
      <c r="BZW292" s="1069"/>
      <c r="BZX292" s="1069"/>
      <c r="BZY292" s="1069"/>
      <c r="BZZ292" s="1069"/>
      <c r="CAA292" s="1069"/>
      <c r="CAB292" s="1069"/>
      <c r="CAC292" s="1069"/>
      <c r="CAD292" s="1069"/>
      <c r="CAE292" s="1069"/>
      <c r="CAF292" s="1069"/>
      <c r="CAG292" s="1069"/>
      <c r="CAH292" s="1069"/>
      <c r="CAI292" s="1069"/>
      <c r="CAJ292" s="1069"/>
      <c r="CAK292" s="1069"/>
      <c r="CAL292" s="1069"/>
      <c r="CAM292" s="1069"/>
      <c r="CAN292" s="1069"/>
      <c r="CAO292" s="1069"/>
      <c r="CAP292" s="1069"/>
      <c r="CAQ292" s="1069"/>
      <c r="CAR292" s="1069"/>
      <c r="CAS292" s="1069"/>
      <c r="CAT292" s="1069"/>
      <c r="CAU292" s="1069"/>
      <c r="CAV292" s="1069"/>
      <c r="CAW292" s="1069"/>
      <c r="CAX292" s="1069"/>
      <c r="CAY292" s="1069"/>
      <c r="CAZ292" s="1069"/>
      <c r="CBA292" s="1069"/>
      <c r="CBB292" s="1069"/>
      <c r="CBC292" s="1069"/>
      <c r="CBD292" s="1069"/>
      <c r="CBE292" s="1069"/>
      <c r="CBF292" s="1069"/>
      <c r="CBG292" s="1069"/>
      <c r="CBH292" s="1069"/>
      <c r="CBI292" s="1069"/>
      <c r="CBJ292" s="1069"/>
      <c r="CBK292" s="1069"/>
      <c r="CBL292" s="1069"/>
      <c r="CBM292" s="1069"/>
      <c r="CBN292" s="1069"/>
      <c r="CBO292" s="1069"/>
      <c r="CBP292" s="1069"/>
      <c r="CBQ292" s="1069"/>
      <c r="CBR292" s="1069"/>
      <c r="CBS292" s="1069"/>
      <c r="CBT292" s="1069"/>
      <c r="CBU292" s="1069"/>
      <c r="CBV292" s="1069"/>
      <c r="CBW292" s="1069"/>
      <c r="CBX292" s="1069"/>
      <c r="CBY292" s="1069"/>
      <c r="CBZ292" s="1069"/>
      <c r="CCA292" s="1069"/>
      <c r="CCB292" s="1069"/>
      <c r="CCC292" s="1069"/>
      <c r="CCD292" s="1069"/>
      <c r="CCE292" s="1069"/>
      <c r="CCF292" s="1069"/>
      <c r="CCG292" s="1069"/>
      <c r="CCH292" s="1069"/>
      <c r="CCI292" s="1069"/>
      <c r="CCJ292" s="1069"/>
      <c r="CCK292" s="1069"/>
      <c r="CCL292" s="1069"/>
      <c r="CCM292" s="1069"/>
      <c r="CCN292" s="1069"/>
      <c r="CCO292" s="1069"/>
      <c r="CCP292" s="1069"/>
      <c r="CCQ292" s="1069"/>
      <c r="CCR292" s="1069"/>
      <c r="CCS292" s="1069"/>
      <c r="CCT292" s="1069"/>
      <c r="CCU292" s="1069"/>
      <c r="CCV292" s="1069"/>
      <c r="CCW292" s="1069"/>
      <c r="CCX292" s="1069"/>
      <c r="CCY292" s="1069"/>
      <c r="CCZ292" s="1069"/>
      <c r="CDA292" s="1069"/>
      <c r="CDB292" s="1069"/>
      <c r="CDC292" s="1069"/>
      <c r="CDD292" s="1069"/>
      <c r="CDE292" s="1069"/>
      <c r="CDF292" s="1069"/>
      <c r="CDG292" s="1069"/>
      <c r="CDH292" s="1069"/>
      <c r="CDI292" s="1069"/>
      <c r="CDJ292" s="1069"/>
      <c r="CDK292" s="1069"/>
      <c r="CDL292" s="1069"/>
      <c r="CDM292" s="1069"/>
      <c r="CDN292" s="1069"/>
      <c r="CDO292" s="1069"/>
      <c r="CDP292" s="1069"/>
      <c r="CDQ292" s="1069"/>
      <c r="CDR292" s="1069"/>
      <c r="CDS292" s="1069"/>
      <c r="CDT292" s="1069"/>
      <c r="CDU292" s="1069"/>
      <c r="CDV292" s="1069"/>
      <c r="CDW292" s="1069"/>
      <c r="CDX292" s="1069"/>
      <c r="CDY292" s="1069"/>
      <c r="CDZ292" s="1069"/>
      <c r="CEA292" s="1069"/>
      <c r="CEB292" s="1069"/>
      <c r="CEC292" s="1069"/>
      <c r="CED292" s="1069"/>
      <c r="CEE292" s="1069"/>
      <c r="CEF292" s="1069"/>
      <c r="CEG292" s="1069"/>
      <c r="CEH292" s="1069"/>
      <c r="CEI292" s="1069"/>
      <c r="CEJ292" s="1069"/>
      <c r="CEK292" s="1069"/>
      <c r="CEL292" s="1069"/>
      <c r="CEM292" s="1069"/>
      <c r="CEN292" s="1069"/>
      <c r="CEO292" s="1069"/>
      <c r="CEP292" s="1069"/>
      <c r="CEQ292" s="1069"/>
      <c r="CER292" s="1069"/>
      <c r="CES292" s="1069"/>
      <c r="CET292" s="1069"/>
      <c r="CEU292" s="1069"/>
      <c r="CEV292" s="1069"/>
      <c r="CEW292" s="1069"/>
      <c r="CEX292" s="1069"/>
      <c r="CEY292" s="1069"/>
      <c r="CEZ292" s="1069"/>
      <c r="CFA292" s="1069"/>
      <c r="CFB292" s="1069"/>
      <c r="CFC292" s="1069"/>
      <c r="CFD292" s="1069"/>
      <c r="CFE292" s="1069"/>
      <c r="CFF292" s="1069"/>
      <c r="CFG292" s="1069"/>
      <c r="CFH292" s="1069"/>
      <c r="CFI292" s="1069"/>
      <c r="CFJ292" s="1069"/>
      <c r="CFK292" s="1069"/>
      <c r="CFL292" s="1069"/>
      <c r="CFM292" s="1069"/>
      <c r="CFN292" s="1069"/>
      <c r="CFO292" s="1069"/>
      <c r="CFP292" s="1069"/>
      <c r="CFQ292" s="1069"/>
      <c r="CFR292" s="1069"/>
      <c r="CFS292" s="1069"/>
      <c r="CFT292" s="1069"/>
      <c r="CFU292" s="1069"/>
      <c r="CFV292" s="1069"/>
      <c r="CFW292" s="1069"/>
      <c r="CFX292" s="1069"/>
      <c r="CFY292" s="1069"/>
      <c r="CFZ292" s="1069"/>
      <c r="CGA292" s="1069"/>
      <c r="CGB292" s="1069"/>
      <c r="CGC292" s="1069"/>
      <c r="CGD292" s="1069"/>
      <c r="CGE292" s="1069"/>
      <c r="CGF292" s="1069"/>
      <c r="CGG292" s="1069"/>
      <c r="CGH292" s="1069"/>
      <c r="CGI292" s="1069"/>
      <c r="CGJ292" s="1069"/>
      <c r="CGK292" s="1069"/>
      <c r="CGL292" s="1069"/>
      <c r="CGM292" s="1069"/>
      <c r="CGN292" s="1069"/>
      <c r="CGO292" s="1069"/>
      <c r="CGP292" s="1069"/>
      <c r="CGQ292" s="1069"/>
      <c r="CGR292" s="1069"/>
      <c r="CGS292" s="1069"/>
      <c r="CGT292" s="1069"/>
      <c r="CGU292" s="1069"/>
      <c r="CGV292" s="1069"/>
      <c r="CGW292" s="1069"/>
      <c r="CGX292" s="1069"/>
      <c r="CGY292" s="1069"/>
      <c r="CGZ292" s="1069"/>
      <c r="CHA292" s="1069"/>
      <c r="CHB292" s="1069"/>
      <c r="CHC292" s="1069"/>
      <c r="CHD292" s="1069"/>
      <c r="CHE292" s="1069"/>
      <c r="CHF292" s="1069"/>
      <c r="CHG292" s="1069"/>
      <c r="CHH292" s="1069"/>
      <c r="CHI292" s="1069"/>
      <c r="CHJ292" s="1069"/>
      <c r="CHK292" s="1069"/>
      <c r="CHL292" s="1069"/>
      <c r="CHM292" s="1069"/>
      <c r="CHN292" s="1069"/>
      <c r="CHO292" s="1069"/>
      <c r="CHP292" s="1069"/>
      <c r="CHQ292" s="1069"/>
      <c r="CHR292" s="1069"/>
      <c r="CHS292" s="1069"/>
      <c r="CHT292" s="1069"/>
      <c r="CHU292" s="1069"/>
      <c r="CHV292" s="1069"/>
      <c r="CHW292" s="1069"/>
      <c r="CHX292" s="1069"/>
      <c r="CHY292" s="1069"/>
      <c r="CHZ292" s="1069"/>
      <c r="CIA292" s="1069"/>
      <c r="CIB292" s="1069"/>
      <c r="CIC292" s="1069"/>
      <c r="CID292" s="1069"/>
      <c r="CIE292" s="1069"/>
      <c r="CIF292" s="1069"/>
      <c r="CIG292" s="1069"/>
      <c r="CIH292" s="1069"/>
      <c r="CII292" s="1069"/>
      <c r="CIJ292" s="1069"/>
      <c r="CIK292" s="1069"/>
      <c r="CIL292" s="1069"/>
      <c r="CIM292" s="1069"/>
      <c r="CIN292" s="1069"/>
      <c r="CIO292" s="1069"/>
      <c r="CIP292" s="1069"/>
      <c r="CIQ292" s="1069"/>
      <c r="CIR292" s="1069"/>
      <c r="CIS292" s="1069"/>
      <c r="CIT292" s="1069"/>
      <c r="CIU292" s="1069"/>
      <c r="CIV292" s="1069"/>
      <c r="CIW292" s="1069"/>
      <c r="CIX292" s="1069"/>
      <c r="CIY292" s="1069"/>
      <c r="CIZ292" s="1069"/>
      <c r="CJA292" s="1069"/>
      <c r="CJB292" s="1069"/>
      <c r="CJC292" s="1069"/>
      <c r="CJD292" s="1069"/>
      <c r="CJE292" s="1069"/>
      <c r="CJF292" s="1069"/>
      <c r="CJG292" s="1069"/>
      <c r="CJH292" s="1069"/>
      <c r="CJI292" s="1069"/>
      <c r="CJJ292" s="1069"/>
      <c r="CJK292" s="1069"/>
      <c r="CJL292" s="1069"/>
      <c r="CJM292" s="1069"/>
      <c r="CJN292" s="1069"/>
      <c r="CJO292" s="1069"/>
      <c r="CJP292" s="1069"/>
      <c r="CJQ292" s="1069"/>
      <c r="CJR292" s="1069"/>
      <c r="CJS292" s="1069"/>
      <c r="CJT292" s="1069"/>
      <c r="CJU292" s="1069"/>
      <c r="CJV292" s="1069"/>
      <c r="CJW292" s="1069"/>
      <c r="CJX292" s="1069"/>
      <c r="CJY292" s="1069"/>
      <c r="CJZ292" s="1069"/>
      <c r="CKA292" s="1069"/>
      <c r="CKB292" s="1069"/>
      <c r="CKC292" s="1069"/>
      <c r="CKD292" s="1069"/>
      <c r="CKE292" s="1069"/>
      <c r="CKF292" s="1069"/>
      <c r="CKG292" s="1069"/>
      <c r="CKH292" s="1069"/>
      <c r="CKI292" s="1069"/>
      <c r="CKJ292" s="1069"/>
      <c r="CKK292" s="1069"/>
      <c r="CKL292" s="1069"/>
      <c r="CKM292" s="1069"/>
      <c r="CKN292" s="1069"/>
      <c r="CKO292" s="1069"/>
      <c r="CKP292" s="1069"/>
      <c r="CKQ292" s="1069"/>
      <c r="CKR292" s="1069"/>
      <c r="CKS292" s="1069"/>
      <c r="CKT292" s="1069"/>
      <c r="CKU292" s="1069"/>
      <c r="CKV292" s="1069"/>
      <c r="CKW292" s="1069"/>
      <c r="CKX292" s="1069"/>
      <c r="CKY292" s="1069"/>
      <c r="CKZ292" s="1069"/>
      <c r="CLA292" s="1069"/>
      <c r="CLB292" s="1069"/>
      <c r="CLC292" s="1069"/>
      <c r="CLD292" s="1069"/>
      <c r="CLE292" s="1069"/>
      <c r="CLF292" s="1069"/>
      <c r="CLG292" s="1069"/>
      <c r="CLH292" s="1069"/>
      <c r="CLI292" s="1069"/>
      <c r="CLJ292" s="1069"/>
      <c r="CLK292" s="1069"/>
      <c r="CLL292" s="1069"/>
      <c r="CLM292" s="1069"/>
      <c r="CLN292" s="1069"/>
      <c r="CLO292" s="1069"/>
      <c r="CLP292" s="1069"/>
      <c r="CLQ292" s="1069"/>
      <c r="CLR292" s="1069"/>
      <c r="CLS292" s="1069"/>
      <c r="CLT292" s="1069"/>
      <c r="CLU292" s="1069"/>
      <c r="CLV292" s="1069"/>
      <c r="CLW292" s="1069"/>
      <c r="CLX292" s="1069"/>
      <c r="CLY292" s="1069"/>
      <c r="CLZ292" s="1069"/>
      <c r="CMA292" s="1069"/>
      <c r="CMB292" s="1069"/>
      <c r="CMC292" s="1069"/>
      <c r="CMD292" s="1069"/>
      <c r="CME292" s="1069"/>
      <c r="CMF292" s="1069"/>
      <c r="CMG292" s="1069"/>
      <c r="CMH292" s="1069"/>
      <c r="CMI292" s="1069"/>
      <c r="CMJ292" s="1069"/>
      <c r="CMK292" s="1069"/>
      <c r="CML292" s="1069"/>
      <c r="CMM292" s="1069"/>
      <c r="CMN292" s="1069"/>
      <c r="CMO292" s="1069"/>
      <c r="CMP292" s="1069"/>
      <c r="CMQ292" s="1069"/>
      <c r="CMR292" s="1069"/>
      <c r="CMS292" s="1069"/>
      <c r="CMT292" s="1069"/>
      <c r="CMU292" s="1069"/>
      <c r="CMV292" s="1069"/>
      <c r="CMW292" s="1069"/>
      <c r="CMX292" s="1069"/>
      <c r="CMY292" s="1069"/>
      <c r="CMZ292" s="1069"/>
      <c r="CNA292" s="1069"/>
      <c r="CNB292" s="1069"/>
      <c r="CNC292" s="1069"/>
      <c r="CND292" s="1069"/>
      <c r="CNE292" s="1069"/>
      <c r="CNF292" s="1069"/>
      <c r="CNG292" s="1069"/>
      <c r="CNH292" s="1069"/>
      <c r="CNI292" s="1069"/>
      <c r="CNJ292" s="1069"/>
      <c r="CNK292" s="1069"/>
      <c r="CNL292" s="1069"/>
      <c r="CNM292" s="1069"/>
      <c r="CNN292" s="1069"/>
      <c r="CNO292" s="1069"/>
      <c r="CNP292" s="1069"/>
      <c r="CNQ292" s="1069"/>
      <c r="CNR292" s="1069"/>
      <c r="CNS292" s="1069"/>
      <c r="CNT292" s="1069"/>
      <c r="CNU292" s="1069"/>
      <c r="CNV292" s="1069"/>
      <c r="CNW292" s="1069"/>
      <c r="CNX292" s="1069"/>
      <c r="CNY292" s="1069"/>
      <c r="CNZ292" s="1069"/>
      <c r="COA292" s="1069"/>
      <c r="COB292" s="1069"/>
      <c r="COC292" s="1069"/>
      <c r="COD292" s="1069"/>
      <c r="COE292" s="1069"/>
      <c r="COF292" s="1069"/>
      <c r="COG292" s="1069"/>
      <c r="COH292" s="1069"/>
      <c r="COI292" s="1069"/>
      <c r="COJ292" s="1069"/>
      <c r="COK292" s="1069"/>
      <c r="COL292" s="1069"/>
      <c r="COM292" s="1069"/>
      <c r="CON292" s="1069"/>
      <c r="COO292" s="1069"/>
      <c r="COP292" s="1069"/>
      <c r="COQ292" s="1069"/>
      <c r="COR292" s="1069"/>
      <c r="COS292" s="1069"/>
      <c r="COT292" s="1069"/>
      <c r="COU292" s="1069"/>
      <c r="COV292" s="1069"/>
      <c r="COW292" s="1069"/>
      <c r="COX292" s="1069"/>
      <c r="COY292" s="1069"/>
      <c r="COZ292" s="1069"/>
      <c r="CPA292" s="1069"/>
      <c r="CPB292" s="1069"/>
      <c r="CPC292" s="1069"/>
      <c r="CPD292" s="1069"/>
      <c r="CPE292" s="1069"/>
      <c r="CPF292" s="1069"/>
      <c r="CPG292" s="1069"/>
      <c r="CPH292" s="1069"/>
      <c r="CPI292" s="1069"/>
      <c r="CPJ292" s="1069"/>
      <c r="CPK292" s="1069"/>
      <c r="CPL292" s="1069"/>
      <c r="CPM292" s="1069"/>
      <c r="CPN292" s="1069"/>
      <c r="CPO292" s="1069"/>
      <c r="CPP292" s="1069"/>
      <c r="CPQ292" s="1069"/>
      <c r="CPR292" s="1069"/>
      <c r="CPS292" s="1069"/>
      <c r="CPT292" s="1069"/>
      <c r="CPU292" s="1069"/>
      <c r="CPV292" s="1069"/>
      <c r="CPW292" s="1069"/>
      <c r="CPX292" s="1069"/>
      <c r="CPY292" s="1069"/>
      <c r="CPZ292" s="1069"/>
      <c r="CQA292" s="1069"/>
      <c r="CQB292" s="1069"/>
      <c r="CQC292" s="1069"/>
      <c r="CQD292" s="1069"/>
      <c r="CQE292" s="1069"/>
      <c r="CQF292" s="1069"/>
      <c r="CQG292" s="1069"/>
      <c r="CQH292" s="1069"/>
      <c r="CQI292" s="1069"/>
      <c r="CQJ292" s="1069"/>
      <c r="CQK292" s="1069"/>
      <c r="CQL292" s="1069"/>
      <c r="CQM292" s="1069"/>
      <c r="CQN292" s="1069"/>
      <c r="CQO292" s="1069"/>
      <c r="CQP292" s="1069"/>
      <c r="CQQ292" s="1069"/>
      <c r="CQR292" s="1069"/>
      <c r="CQS292" s="1069"/>
      <c r="CQT292" s="1069"/>
      <c r="CQU292" s="1069"/>
      <c r="CQV292" s="1069"/>
      <c r="CQW292" s="1069"/>
      <c r="CQX292" s="1069"/>
      <c r="CQY292" s="1069"/>
      <c r="CQZ292" s="1069"/>
      <c r="CRA292" s="1069"/>
      <c r="CRB292" s="1069"/>
      <c r="CRC292" s="1069"/>
      <c r="CRD292" s="1069"/>
      <c r="CRE292" s="1069"/>
      <c r="CRF292" s="1069"/>
      <c r="CRG292" s="1069"/>
      <c r="CRH292" s="1069"/>
      <c r="CRI292" s="1069"/>
      <c r="CRJ292" s="1069"/>
      <c r="CRK292" s="1069"/>
      <c r="CRL292" s="1069"/>
      <c r="CRM292" s="1069"/>
      <c r="CRN292" s="1069"/>
      <c r="CRO292" s="1069"/>
      <c r="CRP292" s="1069"/>
      <c r="CRQ292" s="1069"/>
      <c r="CRR292" s="1069"/>
      <c r="CRS292" s="1069"/>
      <c r="CRT292" s="1069"/>
      <c r="CRU292" s="1069"/>
      <c r="CRV292" s="1069"/>
      <c r="CRW292" s="1069"/>
      <c r="CRX292" s="1069"/>
      <c r="CRY292" s="1069"/>
      <c r="CRZ292" s="1069"/>
      <c r="CSA292" s="1069"/>
      <c r="CSB292" s="1069"/>
      <c r="CSC292" s="1069"/>
      <c r="CSD292" s="1069"/>
      <c r="CSE292" s="1069"/>
      <c r="CSF292" s="1069"/>
      <c r="CSG292" s="1069"/>
      <c r="CSH292" s="1069"/>
      <c r="CSI292" s="1069"/>
      <c r="CSJ292" s="1069"/>
      <c r="CSK292" s="1069"/>
      <c r="CSL292" s="1069"/>
      <c r="CSM292" s="1069"/>
      <c r="CSN292" s="1069"/>
      <c r="CSO292" s="1069"/>
      <c r="CSP292" s="1069"/>
      <c r="CSQ292" s="1069"/>
      <c r="CSR292" s="1069"/>
      <c r="CSS292" s="1069"/>
      <c r="CST292" s="1069"/>
      <c r="CSU292" s="1069"/>
      <c r="CSV292" s="1069"/>
      <c r="CSW292" s="1069"/>
      <c r="CSX292" s="1069"/>
      <c r="CSY292" s="1069"/>
      <c r="CSZ292" s="1069"/>
      <c r="CTA292" s="1069"/>
      <c r="CTB292" s="1069"/>
      <c r="CTC292" s="1069"/>
      <c r="CTD292" s="1069"/>
      <c r="CTE292" s="1069"/>
      <c r="CTF292" s="1069"/>
      <c r="CTG292" s="1069"/>
      <c r="CTH292" s="1069"/>
      <c r="CTI292" s="1069"/>
      <c r="CTJ292" s="1069"/>
      <c r="CTK292" s="1069"/>
      <c r="CTL292" s="1069"/>
      <c r="CTM292" s="1069"/>
      <c r="CTN292" s="1069"/>
      <c r="CTO292" s="1069"/>
      <c r="CTP292" s="1069"/>
      <c r="CTQ292" s="1069"/>
      <c r="CTR292" s="1069"/>
      <c r="CTS292" s="1069"/>
      <c r="CTT292" s="1069"/>
      <c r="CTU292" s="1069"/>
      <c r="CTV292" s="1069"/>
      <c r="CTW292" s="1069"/>
      <c r="CTX292" s="1069"/>
      <c r="CTY292" s="1069"/>
      <c r="CTZ292" s="1069"/>
      <c r="CUA292" s="1069"/>
      <c r="CUB292" s="1069"/>
      <c r="CUC292" s="1069"/>
      <c r="CUD292" s="1069"/>
      <c r="CUE292" s="1069"/>
      <c r="CUF292" s="1069"/>
      <c r="CUG292" s="1069"/>
      <c r="CUH292" s="1069"/>
      <c r="CUI292" s="1069"/>
      <c r="CUJ292" s="1069"/>
      <c r="CUK292" s="1069"/>
      <c r="CUL292" s="1069"/>
      <c r="CUM292" s="1069"/>
      <c r="CUN292" s="1069"/>
      <c r="CUO292" s="1069"/>
      <c r="CUP292" s="1069"/>
      <c r="CUQ292" s="1069"/>
      <c r="CUR292" s="1069"/>
      <c r="CUS292" s="1069"/>
      <c r="CUT292" s="1069"/>
      <c r="CUU292" s="1069"/>
      <c r="CUV292" s="1069"/>
      <c r="CUW292" s="1069"/>
      <c r="CUX292" s="1069"/>
      <c r="CUY292" s="1069"/>
      <c r="CUZ292" s="1069"/>
      <c r="CVA292" s="1069"/>
      <c r="CVB292" s="1069"/>
      <c r="CVC292" s="1069"/>
      <c r="CVD292" s="1069"/>
      <c r="CVE292" s="1069"/>
      <c r="CVF292" s="1069"/>
      <c r="CVG292" s="1069"/>
      <c r="CVH292" s="1069"/>
      <c r="CVI292" s="1069"/>
      <c r="CVJ292" s="1069"/>
      <c r="CVK292" s="1069"/>
      <c r="CVL292" s="1069"/>
      <c r="CVM292" s="1069"/>
      <c r="CVN292" s="1069"/>
      <c r="CVO292" s="1069"/>
      <c r="CVP292" s="1069"/>
      <c r="CVQ292" s="1069"/>
      <c r="CVR292" s="1069"/>
      <c r="CVS292" s="1069"/>
      <c r="CVT292" s="1069"/>
      <c r="CVU292" s="1069"/>
      <c r="CVV292" s="1069"/>
      <c r="CVW292" s="1069"/>
      <c r="CVX292" s="1069"/>
      <c r="CVY292" s="1069"/>
      <c r="CVZ292" s="1069"/>
      <c r="CWA292" s="1069"/>
      <c r="CWB292" s="1069"/>
      <c r="CWC292" s="1069"/>
      <c r="CWD292" s="1069"/>
      <c r="CWE292" s="1069"/>
      <c r="CWF292" s="1069"/>
      <c r="CWG292" s="1069"/>
      <c r="CWH292" s="1069"/>
      <c r="CWI292" s="1069"/>
      <c r="CWJ292" s="1069"/>
      <c r="CWK292" s="1069"/>
      <c r="CWL292" s="1069"/>
      <c r="CWM292" s="1069"/>
      <c r="CWN292" s="1069"/>
      <c r="CWO292" s="1069"/>
      <c r="CWP292" s="1069"/>
      <c r="CWQ292" s="1069"/>
      <c r="CWR292" s="1069"/>
      <c r="CWS292" s="1069"/>
      <c r="CWT292" s="1069"/>
      <c r="CWU292" s="1069"/>
      <c r="CWV292" s="1069"/>
      <c r="CWW292" s="1069"/>
      <c r="CWX292" s="1069"/>
      <c r="CWY292" s="1069"/>
      <c r="CWZ292" s="1069"/>
      <c r="CXA292" s="1069"/>
      <c r="CXB292" s="1069"/>
      <c r="CXC292" s="1069"/>
      <c r="CXD292" s="1069"/>
      <c r="CXE292" s="1069"/>
      <c r="CXF292" s="1069"/>
      <c r="CXG292" s="1069"/>
      <c r="CXH292" s="1069"/>
      <c r="CXI292" s="1069"/>
      <c r="CXJ292" s="1069"/>
      <c r="CXK292" s="1069"/>
      <c r="CXL292" s="1069"/>
      <c r="CXM292" s="1069"/>
      <c r="CXN292" s="1069"/>
      <c r="CXO292" s="1069"/>
      <c r="CXP292" s="1069"/>
      <c r="CXQ292" s="1069"/>
      <c r="CXR292" s="1069"/>
      <c r="CXS292" s="1069"/>
      <c r="CXT292" s="1069"/>
      <c r="CXU292" s="1069"/>
      <c r="CXV292" s="1069"/>
      <c r="CXW292" s="1069"/>
      <c r="CXX292" s="1069"/>
      <c r="CXY292" s="1069"/>
      <c r="CXZ292" s="1069"/>
      <c r="CYA292" s="1069"/>
      <c r="CYB292" s="1069"/>
      <c r="CYC292" s="1069"/>
      <c r="CYD292" s="1069"/>
      <c r="CYE292" s="1069"/>
      <c r="CYF292" s="1069"/>
      <c r="CYG292" s="1069"/>
      <c r="CYH292" s="1069"/>
      <c r="CYI292" s="1069"/>
      <c r="CYJ292" s="1069"/>
      <c r="CYK292" s="1069"/>
      <c r="CYL292" s="1069"/>
      <c r="CYM292" s="1069"/>
      <c r="CYN292" s="1069"/>
      <c r="CYO292" s="1069"/>
      <c r="CYP292" s="1069"/>
      <c r="CYQ292" s="1069"/>
      <c r="CYR292" s="1069"/>
      <c r="CYS292" s="1069"/>
      <c r="CYT292" s="1069"/>
      <c r="CYU292" s="1069"/>
      <c r="CYV292" s="1069"/>
      <c r="CYW292" s="1069"/>
      <c r="CYX292" s="1069"/>
      <c r="CYY292" s="1069"/>
      <c r="CYZ292" s="1069"/>
      <c r="CZA292" s="1069"/>
      <c r="CZB292" s="1069"/>
      <c r="CZC292" s="1069"/>
      <c r="CZD292" s="1069"/>
      <c r="CZE292" s="1069"/>
      <c r="CZF292" s="1069"/>
      <c r="CZG292" s="1069"/>
      <c r="CZH292" s="1069"/>
      <c r="CZI292" s="1069"/>
      <c r="CZJ292" s="1069"/>
      <c r="CZK292" s="1069"/>
      <c r="CZL292" s="1069"/>
      <c r="CZM292" s="1069"/>
      <c r="CZN292" s="1069"/>
      <c r="CZO292" s="1069"/>
      <c r="CZP292" s="1069"/>
      <c r="CZQ292" s="1069"/>
      <c r="CZR292" s="1069"/>
      <c r="CZS292" s="1069"/>
      <c r="CZT292" s="1069"/>
      <c r="CZU292" s="1069"/>
      <c r="CZV292" s="1069"/>
      <c r="CZW292" s="1069"/>
      <c r="CZX292" s="1069"/>
      <c r="CZY292" s="1069"/>
      <c r="CZZ292" s="1069"/>
      <c r="DAA292" s="1069"/>
      <c r="DAB292" s="1069"/>
      <c r="DAC292" s="1069"/>
      <c r="DAD292" s="1069"/>
      <c r="DAE292" s="1069"/>
      <c r="DAF292" s="1069"/>
      <c r="DAG292" s="1069"/>
      <c r="DAH292" s="1069"/>
      <c r="DAI292" s="1069"/>
      <c r="DAJ292" s="1069"/>
      <c r="DAK292" s="1069"/>
      <c r="DAL292" s="1069"/>
      <c r="DAM292" s="1069"/>
      <c r="DAN292" s="1069"/>
      <c r="DAO292" s="1069"/>
      <c r="DAP292" s="1069"/>
      <c r="DAQ292" s="1069"/>
      <c r="DAR292" s="1069"/>
      <c r="DAS292" s="1069"/>
      <c r="DAT292" s="1069"/>
      <c r="DAU292" s="1069"/>
      <c r="DAV292" s="1069"/>
      <c r="DAW292" s="1069"/>
      <c r="DAX292" s="1069"/>
      <c r="DAY292" s="1069"/>
      <c r="DAZ292" s="1069"/>
      <c r="DBA292" s="1069"/>
      <c r="DBB292" s="1069"/>
      <c r="DBC292" s="1069"/>
      <c r="DBD292" s="1069"/>
      <c r="DBE292" s="1069"/>
      <c r="DBF292" s="1069"/>
      <c r="DBG292" s="1069"/>
      <c r="DBH292" s="1069"/>
      <c r="DBI292" s="1069"/>
      <c r="DBJ292" s="1069"/>
      <c r="DBK292" s="1069"/>
      <c r="DBL292" s="1069"/>
      <c r="DBM292" s="1069"/>
      <c r="DBN292" s="1069"/>
      <c r="DBO292" s="1069"/>
      <c r="DBP292" s="1069"/>
      <c r="DBQ292" s="1069"/>
      <c r="DBR292" s="1069"/>
      <c r="DBS292" s="1069"/>
      <c r="DBT292" s="1069"/>
      <c r="DBU292" s="1069"/>
      <c r="DBV292" s="1069"/>
      <c r="DBW292" s="1069"/>
      <c r="DBX292" s="1069"/>
      <c r="DBY292" s="1069"/>
      <c r="DBZ292" s="1069"/>
      <c r="DCA292" s="1069"/>
      <c r="DCB292" s="1069"/>
      <c r="DCC292" s="1069"/>
      <c r="DCD292" s="1069"/>
      <c r="DCE292" s="1069"/>
      <c r="DCF292" s="1069"/>
      <c r="DCG292" s="1069"/>
      <c r="DCH292" s="1069"/>
      <c r="DCI292" s="1069"/>
      <c r="DCJ292" s="1069"/>
      <c r="DCK292" s="1069"/>
      <c r="DCL292" s="1069"/>
      <c r="DCM292" s="1069"/>
      <c r="DCN292" s="1069"/>
      <c r="DCO292" s="1069"/>
      <c r="DCP292" s="1069"/>
      <c r="DCQ292" s="1069"/>
      <c r="DCR292" s="1069"/>
      <c r="DCS292" s="1069"/>
      <c r="DCT292" s="1069"/>
      <c r="DCU292" s="1069"/>
      <c r="DCV292" s="1069"/>
      <c r="DCW292" s="1069"/>
      <c r="DCX292" s="1069"/>
      <c r="DCY292" s="1069"/>
      <c r="DCZ292" s="1069"/>
      <c r="DDA292" s="1069"/>
      <c r="DDB292" s="1069"/>
      <c r="DDC292" s="1069"/>
      <c r="DDD292" s="1069"/>
      <c r="DDE292" s="1069"/>
      <c r="DDF292" s="1069"/>
      <c r="DDG292" s="1069"/>
      <c r="DDH292" s="1069"/>
      <c r="DDI292" s="1069"/>
      <c r="DDJ292" s="1069"/>
      <c r="DDK292" s="1069"/>
      <c r="DDL292" s="1069"/>
      <c r="DDM292" s="1069"/>
      <c r="DDN292" s="1069"/>
      <c r="DDO292" s="1069"/>
      <c r="DDP292" s="1069"/>
      <c r="DDQ292" s="1069"/>
      <c r="DDR292" s="1069"/>
      <c r="DDS292" s="1069"/>
      <c r="DDT292" s="1069"/>
      <c r="DDU292" s="1069"/>
      <c r="DDV292" s="1069"/>
      <c r="DDW292" s="1069"/>
      <c r="DDX292" s="1069"/>
      <c r="DDY292" s="1069"/>
      <c r="DDZ292" s="1069"/>
      <c r="DEA292" s="1069"/>
      <c r="DEB292" s="1069"/>
      <c r="DEC292" s="1069"/>
      <c r="DED292" s="1069"/>
      <c r="DEE292" s="1069"/>
      <c r="DEF292" s="1069"/>
      <c r="DEG292" s="1069"/>
      <c r="DEH292" s="1069"/>
      <c r="DEI292" s="1069"/>
      <c r="DEJ292" s="1069"/>
      <c r="DEK292" s="1069"/>
      <c r="DEL292" s="1069"/>
      <c r="DEM292" s="1069"/>
      <c r="DEN292" s="1069"/>
      <c r="DEO292" s="1069"/>
      <c r="DEP292" s="1069"/>
      <c r="DEQ292" s="1069"/>
      <c r="DER292" s="1069"/>
      <c r="DES292" s="1069"/>
      <c r="DET292" s="1069"/>
      <c r="DEU292" s="1069"/>
      <c r="DEV292" s="1069"/>
      <c r="DEW292" s="1069"/>
      <c r="DEX292" s="1069"/>
      <c r="DEY292" s="1069"/>
      <c r="DEZ292" s="1069"/>
      <c r="DFA292" s="1069"/>
      <c r="DFB292" s="1069"/>
      <c r="DFC292" s="1069"/>
      <c r="DFD292" s="1069"/>
      <c r="DFE292" s="1069"/>
      <c r="DFF292" s="1069"/>
      <c r="DFG292" s="1069"/>
      <c r="DFH292" s="1069"/>
      <c r="DFI292" s="1069"/>
      <c r="DFJ292" s="1069"/>
      <c r="DFK292" s="1069"/>
      <c r="DFL292" s="1069"/>
      <c r="DFM292" s="1069"/>
      <c r="DFN292" s="1069"/>
      <c r="DFO292" s="1069"/>
      <c r="DFP292" s="1069"/>
      <c r="DFQ292" s="1069"/>
      <c r="DFR292" s="1069"/>
      <c r="DFS292" s="1069"/>
      <c r="DFT292" s="1069"/>
      <c r="DFU292" s="1069"/>
      <c r="DFV292" s="1069"/>
      <c r="DFW292" s="1069"/>
      <c r="DFX292" s="1069"/>
      <c r="DFY292" s="1069"/>
      <c r="DFZ292" s="1069"/>
      <c r="DGA292" s="1069"/>
      <c r="DGB292" s="1069"/>
      <c r="DGC292" s="1069"/>
      <c r="DGD292" s="1069"/>
      <c r="DGE292" s="1069"/>
      <c r="DGF292" s="1069"/>
      <c r="DGG292" s="1069"/>
      <c r="DGH292" s="1069"/>
      <c r="DGI292" s="1069"/>
      <c r="DGJ292" s="1069"/>
      <c r="DGK292" s="1069"/>
      <c r="DGL292" s="1069"/>
      <c r="DGM292" s="1069"/>
      <c r="DGN292" s="1069"/>
      <c r="DGO292" s="1069"/>
      <c r="DGP292" s="1069"/>
      <c r="DGQ292" s="1069"/>
      <c r="DGR292" s="1069"/>
      <c r="DGS292" s="1069"/>
      <c r="DGT292" s="1069"/>
      <c r="DGU292" s="1069"/>
      <c r="DGV292" s="1069"/>
      <c r="DGW292" s="1069"/>
      <c r="DGX292" s="1069"/>
      <c r="DGY292" s="1069"/>
      <c r="DGZ292" s="1069"/>
      <c r="DHA292" s="1069"/>
      <c r="DHB292" s="1069"/>
      <c r="DHC292" s="1069"/>
      <c r="DHD292" s="1069"/>
      <c r="DHE292" s="1069"/>
      <c r="DHF292" s="1069"/>
      <c r="DHG292" s="1069"/>
      <c r="DHH292" s="1069"/>
      <c r="DHI292" s="1069"/>
      <c r="DHJ292" s="1069"/>
      <c r="DHK292" s="1069"/>
      <c r="DHL292" s="1069"/>
      <c r="DHM292" s="1069"/>
      <c r="DHN292" s="1069"/>
      <c r="DHO292" s="1069"/>
      <c r="DHP292" s="1069"/>
      <c r="DHQ292" s="1069"/>
      <c r="DHR292" s="1069"/>
      <c r="DHS292" s="1069"/>
      <c r="DHT292" s="1069"/>
      <c r="DHU292" s="1069"/>
      <c r="DHV292" s="1069"/>
      <c r="DHW292" s="1069"/>
      <c r="DHX292" s="1069"/>
      <c r="DHY292" s="1069"/>
      <c r="DHZ292" s="1069"/>
      <c r="DIA292" s="1069"/>
      <c r="DIB292" s="1069"/>
      <c r="DIC292" s="1069"/>
      <c r="DID292" s="1069"/>
      <c r="DIE292" s="1069"/>
      <c r="DIF292" s="1069"/>
      <c r="DIG292" s="1069"/>
      <c r="DIH292" s="1069"/>
      <c r="DII292" s="1069"/>
      <c r="DIJ292" s="1069"/>
      <c r="DIK292" s="1069"/>
      <c r="DIL292" s="1069"/>
      <c r="DIM292" s="1069"/>
      <c r="DIN292" s="1069"/>
      <c r="DIO292" s="1069"/>
      <c r="DIP292" s="1069"/>
      <c r="DIQ292" s="1069"/>
      <c r="DIR292" s="1069"/>
      <c r="DIS292" s="1069"/>
      <c r="DIT292" s="1069"/>
      <c r="DIU292" s="1069"/>
      <c r="DIV292" s="1069"/>
      <c r="DIW292" s="1069"/>
      <c r="DIX292" s="1069"/>
      <c r="DIY292" s="1069"/>
      <c r="DIZ292" s="1069"/>
      <c r="DJA292" s="1069"/>
      <c r="DJB292" s="1069"/>
      <c r="DJC292" s="1069"/>
      <c r="DJD292" s="1069"/>
      <c r="DJE292" s="1069"/>
      <c r="DJF292" s="1069"/>
      <c r="DJG292" s="1069"/>
      <c r="DJH292" s="1069"/>
      <c r="DJI292" s="1069"/>
      <c r="DJJ292" s="1069"/>
      <c r="DJK292" s="1069"/>
      <c r="DJL292" s="1069"/>
      <c r="DJM292" s="1069"/>
      <c r="DJN292" s="1069"/>
      <c r="DJO292" s="1069"/>
      <c r="DJP292" s="1069"/>
      <c r="DJQ292" s="1069"/>
      <c r="DJR292" s="1069"/>
      <c r="DJS292" s="1069"/>
      <c r="DJT292" s="1069"/>
      <c r="DJU292" s="1069"/>
      <c r="DJV292" s="1069"/>
      <c r="DJW292" s="1069"/>
      <c r="DJX292" s="1069"/>
      <c r="DJY292" s="1069"/>
      <c r="DJZ292" s="1069"/>
      <c r="DKA292" s="1069"/>
      <c r="DKB292" s="1069"/>
      <c r="DKC292" s="1069"/>
      <c r="DKD292" s="1069"/>
      <c r="DKE292" s="1069"/>
      <c r="DKF292" s="1069"/>
      <c r="DKG292" s="1069"/>
      <c r="DKH292" s="1069"/>
      <c r="DKI292" s="1069"/>
      <c r="DKJ292" s="1069"/>
      <c r="DKK292" s="1069"/>
      <c r="DKL292" s="1069"/>
      <c r="DKM292" s="1069"/>
      <c r="DKN292" s="1069"/>
      <c r="DKO292" s="1069"/>
      <c r="DKP292" s="1069"/>
      <c r="DKQ292" s="1069"/>
      <c r="DKR292" s="1069"/>
      <c r="DKS292" s="1069"/>
      <c r="DKT292" s="1069"/>
      <c r="DKU292" s="1069"/>
      <c r="DKV292" s="1069"/>
      <c r="DKW292" s="1069"/>
      <c r="DKX292" s="1069"/>
      <c r="DKY292" s="1069"/>
      <c r="DKZ292" s="1069"/>
      <c r="DLA292" s="1069"/>
      <c r="DLB292" s="1069"/>
      <c r="DLC292" s="1069"/>
      <c r="DLD292" s="1069"/>
      <c r="DLE292" s="1069"/>
      <c r="DLF292" s="1069"/>
      <c r="DLG292" s="1069"/>
      <c r="DLH292" s="1069"/>
      <c r="DLI292" s="1069"/>
      <c r="DLJ292" s="1069"/>
      <c r="DLK292" s="1069"/>
      <c r="DLL292" s="1069"/>
      <c r="DLM292" s="1069"/>
      <c r="DLN292" s="1069"/>
      <c r="DLO292" s="1069"/>
      <c r="DLP292" s="1069"/>
      <c r="DLQ292" s="1069"/>
      <c r="DLR292" s="1069"/>
      <c r="DLS292" s="1069"/>
      <c r="DLT292" s="1069"/>
      <c r="DLU292" s="1069"/>
      <c r="DLV292" s="1069"/>
      <c r="DLW292" s="1069"/>
      <c r="DLX292" s="1069"/>
      <c r="DLY292" s="1069"/>
      <c r="DLZ292" s="1069"/>
      <c r="DMA292" s="1069"/>
      <c r="DMB292" s="1069"/>
      <c r="DMC292" s="1069"/>
      <c r="DMD292" s="1069"/>
      <c r="DME292" s="1069"/>
      <c r="DMF292" s="1069"/>
      <c r="DMG292" s="1069"/>
      <c r="DMH292" s="1069"/>
      <c r="DMI292" s="1069"/>
      <c r="DMJ292" s="1069"/>
      <c r="DMK292" s="1069"/>
      <c r="DML292" s="1069"/>
      <c r="DMM292" s="1069"/>
      <c r="DMN292" s="1069"/>
      <c r="DMO292" s="1069"/>
      <c r="DMP292" s="1069"/>
      <c r="DMQ292" s="1069"/>
      <c r="DMR292" s="1069"/>
      <c r="DMS292" s="1069"/>
      <c r="DMT292" s="1069"/>
      <c r="DMU292" s="1069"/>
      <c r="DMV292" s="1069"/>
      <c r="DMW292" s="1069"/>
      <c r="DMX292" s="1069"/>
      <c r="DMY292" s="1069"/>
      <c r="DMZ292" s="1069"/>
      <c r="DNA292" s="1069"/>
      <c r="DNB292" s="1069"/>
      <c r="DNC292" s="1069"/>
      <c r="DND292" s="1069"/>
      <c r="DNE292" s="1069"/>
      <c r="DNF292" s="1069"/>
      <c r="DNG292" s="1069"/>
      <c r="DNH292" s="1069"/>
      <c r="DNI292" s="1069"/>
      <c r="DNJ292" s="1069"/>
      <c r="DNK292" s="1069"/>
      <c r="DNL292" s="1069"/>
      <c r="DNM292" s="1069"/>
      <c r="DNN292" s="1069"/>
      <c r="DNO292" s="1069"/>
      <c r="DNP292" s="1069"/>
      <c r="DNQ292" s="1069"/>
      <c r="DNR292" s="1069"/>
      <c r="DNS292" s="1069"/>
      <c r="DNT292" s="1069"/>
      <c r="DNU292" s="1069"/>
      <c r="DNV292" s="1069"/>
      <c r="DNW292" s="1069"/>
      <c r="DNX292" s="1069"/>
      <c r="DNY292" s="1069"/>
      <c r="DNZ292" s="1069"/>
      <c r="DOA292" s="1069"/>
      <c r="DOB292" s="1069"/>
      <c r="DOC292" s="1069"/>
      <c r="DOD292" s="1069"/>
      <c r="DOE292" s="1069"/>
      <c r="DOF292" s="1069"/>
      <c r="DOG292" s="1069"/>
      <c r="DOH292" s="1069"/>
      <c r="DOI292" s="1069"/>
      <c r="DOJ292" s="1069"/>
      <c r="DOK292" s="1069"/>
      <c r="DOL292" s="1069"/>
      <c r="DOM292" s="1069"/>
      <c r="DON292" s="1069"/>
      <c r="DOO292" s="1069"/>
      <c r="DOP292" s="1069"/>
      <c r="DOQ292" s="1069"/>
      <c r="DOR292" s="1069"/>
      <c r="DOS292" s="1069"/>
      <c r="DOT292" s="1069"/>
      <c r="DOU292" s="1069"/>
      <c r="DOV292" s="1069"/>
      <c r="DOW292" s="1069"/>
      <c r="DOX292" s="1069"/>
      <c r="DOY292" s="1069"/>
      <c r="DOZ292" s="1069"/>
      <c r="DPA292" s="1069"/>
      <c r="DPB292" s="1069"/>
      <c r="DPC292" s="1069"/>
      <c r="DPD292" s="1069"/>
      <c r="DPE292" s="1069"/>
      <c r="DPF292" s="1069"/>
      <c r="DPG292" s="1069"/>
      <c r="DPH292" s="1069"/>
      <c r="DPI292" s="1069"/>
      <c r="DPJ292" s="1069"/>
      <c r="DPK292" s="1069"/>
      <c r="DPL292" s="1069"/>
      <c r="DPM292" s="1069"/>
      <c r="DPN292" s="1069"/>
      <c r="DPO292" s="1069"/>
      <c r="DPP292" s="1069"/>
      <c r="DPQ292" s="1069"/>
      <c r="DPR292" s="1069"/>
      <c r="DPS292" s="1069"/>
      <c r="DPT292" s="1069"/>
      <c r="DPU292" s="1069"/>
      <c r="DPV292" s="1069"/>
      <c r="DPW292" s="1069"/>
      <c r="DPX292" s="1069"/>
      <c r="DPY292" s="1069"/>
      <c r="DPZ292" s="1069"/>
      <c r="DQA292" s="1069"/>
      <c r="DQB292" s="1069"/>
      <c r="DQC292" s="1069"/>
      <c r="DQD292" s="1069"/>
      <c r="DQE292" s="1069"/>
      <c r="DQF292" s="1069"/>
      <c r="DQG292" s="1069"/>
      <c r="DQH292" s="1069"/>
      <c r="DQI292" s="1069"/>
      <c r="DQJ292" s="1069"/>
      <c r="DQK292" s="1069"/>
      <c r="DQL292" s="1069"/>
      <c r="DQM292" s="1069"/>
      <c r="DQN292" s="1069"/>
      <c r="DQO292" s="1069"/>
      <c r="DQP292" s="1069"/>
      <c r="DQQ292" s="1069"/>
      <c r="DQR292" s="1069"/>
      <c r="DQS292" s="1069"/>
      <c r="DQT292" s="1069"/>
      <c r="DQU292" s="1069"/>
      <c r="DQV292" s="1069"/>
      <c r="DQW292" s="1069"/>
      <c r="DQX292" s="1069"/>
      <c r="DQY292" s="1069"/>
      <c r="DQZ292" s="1069"/>
      <c r="DRA292" s="1069"/>
      <c r="DRB292" s="1069"/>
      <c r="DRC292" s="1069"/>
      <c r="DRD292" s="1069"/>
      <c r="DRE292" s="1069"/>
      <c r="DRF292" s="1069"/>
      <c r="DRG292" s="1069"/>
      <c r="DRH292" s="1069"/>
      <c r="DRI292" s="1069"/>
      <c r="DRJ292" s="1069"/>
      <c r="DRK292" s="1069"/>
      <c r="DRL292" s="1069"/>
      <c r="DRM292" s="1069"/>
      <c r="DRN292" s="1069"/>
      <c r="DRO292" s="1069"/>
      <c r="DRP292" s="1069"/>
      <c r="DRQ292" s="1069"/>
      <c r="DRR292" s="1069"/>
      <c r="DRS292" s="1069"/>
      <c r="DRT292" s="1069"/>
      <c r="DRU292" s="1069"/>
      <c r="DRV292" s="1069"/>
      <c r="DRW292" s="1069"/>
      <c r="DRX292" s="1069"/>
      <c r="DRY292" s="1069"/>
      <c r="DRZ292" s="1069"/>
      <c r="DSA292" s="1069"/>
      <c r="DSB292" s="1069"/>
      <c r="DSC292" s="1069"/>
      <c r="DSD292" s="1069"/>
      <c r="DSE292" s="1069"/>
      <c r="DSF292" s="1069"/>
      <c r="DSG292" s="1069"/>
      <c r="DSH292" s="1069"/>
      <c r="DSI292" s="1069"/>
      <c r="DSJ292" s="1069"/>
      <c r="DSK292" s="1069"/>
      <c r="DSL292" s="1069"/>
      <c r="DSM292" s="1069"/>
      <c r="DSN292" s="1069"/>
      <c r="DSO292" s="1069"/>
      <c r="DSP292" s="1069"/>
      <c r="DSQ292" s="1069"/>
      <c r="DSR292" s="1069"/>
      <c r="DSS292" s="1069"/>
      <c r="DST292" s="1069"/>
      <c r="DSU292" s="1069"/>
      <c r="DSV292" s="1069"/>
      <c r="DSW292" s="1069"/>
      <c r="DSX292" s="1069"/>
      <c r="DSY292" s="1069"/>
      <c r="DSZ292" s="1069"/>
      <c r="DTA292" s="1069"/>
      <c r="DTB292" s="1069"/>
      <c r="DTC292" s="1069"/>
      <c r="DTD292" s="1069"/>
      <c r="DTE292" s="1069"/>
      <c r="DTF292" s="1069"/>
      <c r="DTG292" s="1069"/>
      <c r="DTH292" s="1069"/>
      <c r="DTI292" s="1069"/>
      <c r="DTJ292" s="1069"/>
      <c r="DTK292" s="1069"/>
      <c r="DTL292" s="1069"/>
      <c r="DTM292" s="1069"/>
      <c r="DTN292" s="1069"/>
      <c r="DTO292" s="1069"/>
      <c r="DTP292" s="1069"/>
      <c r="DTQ292" s="1069"/>
      <c r="DTR292" s="1069"/>
      <c r="DTS292" s="1069"/>
      <c r="DTT292" s="1069"/>
      <c r="DTU292" s="1069"/>
      <c r="DTV292" s="1069"/>
      <c r="DTW292" s="1069"/>
      <c r="DTX292" s="1069"/>
      <c r="DTY292" s="1069"/>
      <c r="DTZ292" s="1069"/>
      <c r="DUA292" s="1069"/>
      <c r="DUB292" s="1069"/>
      <c r="DUC292" s="1069"/>
      <c r="DUD292" s="1069"/>
      <c r="DUE292" s="1069"/>
      <c r="DUF292" s="1069"/>
      <c r="DUG292" s="1069"/>
      <c r="DUH292" s="1069"/>
      <c r="DUI292" s="1069"/>
      <c r="DUJ292" s="1069"/>
      <c r="DUK292" s="1069"/>
      <c r="DUL292" s="1069"/>
      <c r="DUM292" s="1069"/>
      <c r="DUN292" s="1069"/>
      <c r="DUO292" s="1069"/>
      <c r="DUP292" s="1069"/>
      <c r="DUQ292" s="1069"/>
      <c r="DUR292" s="1069"/>
      <c r="DUS292" s="1069"/>
      <c r="DUT292" s="1069"/>
      <c r="DUU292" s="1069"/>
      <c r="DUV292" s="1069"/>
      <c r="DUW292" s="1069"/>
      <c r="DUX292" s="1069"/>
      <c r="DUY292" s="1069"/>
      <c r="DUZ292" s="1069"/>
      <c r="DVA292" s="1069"/>
      <c r="DVB292" s="1069"/>
      <c r="DVC292" s="1069"/>
      <c r="DVD292" s="1069"/>
      <c r="DVE292" s="1069"/>
      <c r="DVF292" s="1069"/>
      <c r="DVG292" s="1069"/>
      <c r="DVH292" s="1069"/>
      <c r="DVI292" s="1069"/>
      <c r="DVJ292" s="1069"/>
      <c r="DVK292" s="1069"/>
      <c r="DVL292" s="1069"/>
      <c r="DVM292" s="1069"/>
      <c r="DVN292" s="1069"/>
      <c r="DVO292" s="1069"/>
      <c r="DVP292" s="1069"/>
      <c r="DVQ292" s="1069"/>
      <c r="DVR292" s="1069"/>
      <c r="DVS292" s="1069"/>
      <c r="DVT292" s="1069"/>
      <c r="DVU292" s="1069"/>
      <c r="DVV292" s="1069"/>
      <c r="DVW292" s="1069"/>
      <c r="DVX292" s="1069"/>
      <c r="DVY292" s="1069"/>
      <c r="DVZ292" s="1069"/>
      <c r="DWA292" s="1069"/>
      <c r="DWB292" s="1069"/>
      <c r="DWC292" s="1069"/>
      <c r="DWD292" s="1069"/>
      <c r="DWE292" s="1069"/>
      <c r="DWF292" s="1069"/>
      <c r="DWG292" s="1069"/>
      <c r="DWH292" s="1069"/>
      <c r="DWI292" s="1069"/>
      <c r="DWJ292" s="1069"/>
      <c r="DWK292" s="1069"/>
      <c r="DWL292" s="1069"/>
      <c r="DWM292" s="1069"/>
      <c r="DWN292" s="1069"/>
      <c r="DWO292" s="1069"/>
      <c r="DWP292" s="1069"/>
      <c r="DWQ292" s="1069"/>
      <c r="DWR292" s="1069"/>
      <c r="DWS292" s="1069"/>
      <c r="DWT292" s="1069"/>
      <c r="DWU292" s="1069"/>
      <c r="DWV292" s="1069"/>
      <c r="DWW292" s="1069"/>
      <c r="DWX292" s="1069"/>
      <c r="DWY292" s="1069"/>
      <c r="DWZ292" s="1069"/>
      <c r="DXA292" s="1069"/>
      <c r="DXB292" s="1069"/>
      <c r="DXC292" s="1069"/>
      <c r="DXD292" s="1069"/>
      <c r="DXE292" s="1069"/>
      <c r="DXF292" s="1069"/>
      <c r="DXG292" s="1069"/>
      <c r="DXH292" s="1069"/>
      <c r="DXI292" s="1069"/>
      <c r="DXJ292" s="1069"/>
      <c r="DXK292" s="1069"/>
      <c r="DXL292" s="1069"/>
      <c r="DXM292" s="1069"/>
      <c r="DXN292" s="1069"/>
      <c r="DXO292" s="1069"/>
      <c r="DXP292" s="1069"/>
      <c r="DXQ292" s="1069"/>
      <c r="DXR292" s="1069"/>
      <c r="DXS292" s="1069"/>
      <c r="DXT292" s="1069"/>
      <c r="DXU292" s="1069"/>
      <c r="DXV292" s="1069"/>
      <c r="DXW292" s="1069"/>
      <c r="DXX292" s="1069"/>
      <c r="DXY292" s="1069"/>
      <c r="DXZ292" s="1069"/>
      <c r="DYA292" s="1069"/>
      <c r="DYB292" s="1069"/>
      <c r="DYC292" s="1069"/>
      <c r="DYD292" s="1069"/>
      <c r="DYE292" s="1069"/>
      <c r="DYF292" s="1069"/>
      <c r="DYG292" s="1069"/>
      <c r="DYH292" s="1069"/>
      <c r="DYI292" s="1069"/>
      <c r="DYJ292" s="1069"/>
      <c r="DYK292" s="1069"/>
      <c r="DYL292" s="1069"/>
      <c r="DYM292" s="1069"/>
      <c r="DYN292" s="1069"/>
      <c r="DYO292" s="1069"/>
      <c r="DYP292" s="1069"/>
      <c r="DYQ292" s="1069"/>
      <c r="DYR292" s="1069"/>
      <c r="DYS292" s="1069"/>
      <c r="DYT292" s="1069"/>
      <c r="DYU292" s="1069"/>
      <c r="DYV292" s="1069"/>
      <c r="DYW292" s="1069"/>
      <c r="DYX292" s="1069"/>
      <c r="DYY292" s="1069"/>
      <c r="DYZ292" s="1069"/>
      <c r="DZA292" s="1069"/>
      <c r="DZB292" s="1069"/>
      <c r="DZC292" s="1069"/>
      <c r="DZD292" s="1069"/>
      <c r="DZE292" s="1069"/>
      <c r="DZF292" s="1069"/>
      <c r="DZG292" s="1069"/>
      <c r="DZH292" s="1069"/>
      <c r="DZI292" s="1069"/>
      <c r="DZJ292" s="1069"/>
      <c r="DZK292" s="1069"/>
      <c r="DZL292" s="1069"/>
      <c r="DZM292" s="1069"/>
      <c r="DZN292" s="1069"/>
      <c r="DZO292" s="1069"/>
      <c r="DZP292" s="1069"/>
      <c r="DZQ292" s="1069"/>
      <c r="DZR292" s="1069"/>
      <c r="DZS292" s="1069"/>
      <c r="DZT292" s="1069"/>
      <c r="DZU292" s="1069"/>
      <c r="DZV292" s="1069"/>
      <c r="DZW292" s="1069"/>
      <c r="DZX292" s="1069"/>
      <c r="DZY292" s="1069"/>
      <c r="DZZ292" s="1069"/>
      <c r="EAA292" s="1069"/>
      <c r="EAB292" s="1069"/>
      <c r="EAC292" s="1069"/>
      <c r="EAD292" s="1069"/>
      <c r="EAE292" s="1069"/>
      <c r="EAF292" s="1069"/>
      <c r="EAG292" s="1069"/>
      <c r="EAH292" s="1069"/>
      <c r="EAI292" s="1069"/>
      <c r="EAJ292" s="1069"/>
      <c r="EAK292" s="1069"/>
      <c r="EAL292" s="1069"/>
      <c r="EAM292" s="1069"/>
      <c r="EAN292" s="1069"/>
      <c r="EAO292" s="1069"/>
      <c r="EAP292" s="1069"/>
      <c r="EAQ292" s="1069"/>
      <c r="EAR292" s="1069"/>
      <c r="EAS292" s="1069"/>
      <c r="EAT292" s="1069"/>
      <c r="EAU292" s="1069"/>
      <c r="EAV292" s="1069"/>
      <c r="EAW292" s="1069"/>
      <c r="EAX292" s="1069"/>
      <c r="EAY292" s="1069"/>
      <c r="EAZ292" s="1069"/>
      <c r="EBA292" s="1069"/>
      <c r="EBB292" s="1069"/>
      <c r="EBC292" s="1069"/>
      <c r="EBD292" s="1069"/>
      <c r="EBE292" s="1069"/>
      <c r="EBF292" s="1069"/>
      <c r="EBG292" s="1069"/>
      <c r="EBH292" s="1069"/>
      <c r="EBI292" s="1069"/>
      <c r="EBJ292" s="1069"/>
      <c r="EBK292" s="1069"/>
      <c r="EBL292" s="1069"/>
      <c r="EBM292" s="1069"/>
      <c r="EBN292" s="1069"/>
      <c r="EBO292" s="1069"/>
      <c r="EBP292" s="1069"/>
      <c r="EBQ292" s="1069"/>
      <c r="EBR292" s="1069"/>
      <c r="EBS292" s="1069"/>
      <c r="EBT292" s="1069"/>
      <c r="EBU292" s="1069"/>
      <c r="EBV292" s="1069"/>
      <c r="EBW292" s="1069"/>
      <c r="EBX292" s="1069"/>
      <c r="EBY292" s="1069"/>
      <c r="EBZ292" s="1069"/>
      <c r="ECA292" s="1069"/>
      <c r="ECB292" s="1069"/>
      <c r="ECC292" s="1069"/>
      <c r="ECD292" s="1069"/>
      <c r="ECE292" s="1069"/>
      <c r="ECF292" s="1069"/>
      <c r="ECG292" s="1069"/>
      <c r="ECH292" s="1069"/>
      <c r="ECI292" s="1069"/>
      <c r="ECJ292" s="1069"/>
      <c r="ECK292" s="1069"/>
      <c r="ECL292" s="1069"/>
      <c r="ECM292" s="1069"/>
      <c r="ECN292" s="1069"/>
      <c r="ECO292" s="1069"/>
      <c r="ECP292" s="1069"/>
      <c r="ECQ292" s="1069"/>
      <c r="ECR292" s="1069"/>
      <c r="ECS292" s="1069"/>
      <c r="ECT292" s="1069"/>
      <c r="ECU292" s="1069"/>
      <c r="ECV292" s="1069"/>
      <c r="ECW292" s="1069"/>
      <c r="ECX292" s="1069"/>
      <c r="ECY292" s="1069"/>
      <c r="ECZ292" s="1069"/>
      <c r="EDA292" s="1069"/>
      <c r="EDB292" s="1069"/>
      <c r="EDC292" s="1069"/>
      <c r="EDD292" s="1069"/>
      <c r="EDE292" s="1069"/>
      <c r="EDF292" s="1069"/>
      <c r="EDG292" s="1069"/>
      <c r="EDH292" s="1069"/>
      <c r="EDI292" s="1069"/>
      <c r="EDJ292" s="1069"/>
      <c r="EDK292" s="1069"/>
      <c r="EDL292" s="1069"/>
      <c r="EDM292" s="1069"/>
      <c r="EDN292" s="1069"/>
      <c r="EDO292" s="1069"/>
      <c r="EDP292" s="1069"/>
      <c r="EDQ292" s="1069"/>
      <c r="EDR292" s="1069"/>
      <c r="EDS292" s="1069"/>
      <c r="EDT292" s="1069"/>
      <c r="EDU292" s="1069"/>
      <c r="EDV292" s="1069"/>
      <c r="EDW292" s="1069"/>
      <c r="EDX292" s="1069"/>
      <c r="EDY292" s="1069"/>
      <c r="EDZ292" s="1069"/>
      <c r="EEA292" s="1069"/>
      <c r="EEB292" s="1069"/>
      <c r="EEC292" s="1069"/>
      <c r="EED292" s="1069"/>
      <c r="EEE292" s="1069"/>
      <c r="EEF292" s="1069"/>
      <c r="EEG292" s="1069"/>
      <c r="EEH292" s="1069"/>
      <c r="EEI292" s="1069"/>
      <c r="EEJ292" s="1069"/>
      <c r="EEK292" s="1069"/>
      <c r="EEL292" s="1069"/>
      <c r="EEM292" s="1069"/>
      <c r="EEN292" s="1069"/>
      <c r="EEO292" s="1069"/>
      <c r="EEP292" s="1069"/>
      <c r="EEQ292" s="1069"/>
      <c r="EER292" s="1069"/>
      <c r="EES292" s="1069"/>
      <c r="EET292" s="1069"/>
      <c r="EEU292" s="1069"/>
      <c r="EEV292" s="1069"/>
      <c r="EEW292" s="1069"/>
      <c r="EEX292" s="1069"/>
      <c r="EEY292" s="1069"/>
      <c r="EEZ292" s="1069"/>
      <c r="EFA292" s="1069"/>
      <c r="EFB292" s="1069"/>
      <c r="EFC292" s="1069"/>
      <c r="EFD292" s="1069"/>
      <c r="EFE292" s="1069"/>
      <c r="EFF292" s="1069"/>
      <c r="EFG292" s="1069"/>
      <c r="EFH292" s="1069"/>
      <c r="EFI292" s="1069"/>
      <c r="EFJ292" s="1069"/>
      <c r="EFK292" s="1069"/>
      <c r="EFL292" s="1069"/>
      <c r="EFM292" s="1069"/>
      <c r="EFN292" s="1069"/>
      <c r="EFO292" s="1069"/>
      <c r="EFP292" s="1069"/>
      <c r="EFQ292" s="1069"/>
      <c r="EFR292" s="1069"/>
      <c r="EFS292" s="1069"/>
      <c r="EFT292" s="1069"/>
      <c r="EFU292" s="1069"/>
      <c r="EFV292" s="1069"/>
      <c r="EFW292" s="1069"/>
      <c r="EFX292" s="1069"/>
      <c r="EFY292" s="1069"/>
      <c r="EFZ292" s="1069"/>
      <c r="EGA292" s="1069"/>
      <c r="EGB292" s="1069"/>
      <c r="EGC292" s="1069"/>
      <c r="EGD292" s="1069"/>
      <c r="EGE292" s="1069"/>
      <c r="EGF292" s="1069"/>
      <c r="EGG292" s="1069"/>
      <c r="EGH292" s="1069"/>
      <c r="EGI292" s="1069"/>
      <c r="EGJ292" s="1069"/>
      <c r="EGK292" s="1069"/>
      <c r="EGL292" s="1069"/>
      <c r="EGM292" s="1069"/>
      <c r="EGN292" s="1069"/>
      <c r="EGO292" s="1069"/>
      <c r="EGP292" s="1069"/>
      <c r="EGQ292" s="1069"/>
      <c r="EGR292" s="1069"/>
      <c r="EGS292" s="1069"/>
      <c r="EGT292" s="1069"/>
      <c r="EGU292" s="1069"/>
      <c r="EGV292" s="1069"/>
      <c r="EGW292" s="1069"/>
      <c r="EGX292" s="1069"/>
      <c r="EGY292" s="1069"/>
      <c r="EGZ292" s="1069"/>
      <c r="EHA292" s="1069"/>
      <c r="EHB292" s="1069"/>
      <c r="EHC292" s="1069"/>
      <c r="EHD292" s="1069"/>
      <c r="EHE292" s="1069"/>
      <c r="EHF292" s="1069"/>
      <c r="EHG292" s="1069"/>
      <c r="EHH292" s="1069"/>
      <c r="EHI292" s="1069"/>
      <c r="EHJ292" s="1069"/>
      <c r="EHK292" s="1069"/>
      <c r="EHL292" s="1069"/>
      <c r="EHM292" s="1069"/>
      <c r="EHN292" s="1069"/>
      <c r="EHO292" s="1069"/>
      <c r="EHP292" s="1069"/>
      <c r="EHQ292" s="1069"/>
      <c r="EHR292" s="1069"/>
      <c r="EHS292" s="1069"/>
      <c r="EHT292" s="1069"/>
      <c r="EHU292" s="1069"/>
      <c r="EHV292" s="1069"/>
      <c r="EHW292" s="1069"/>
      <c r="EHX292" s="1069"/>
      <c r="EHY292" s="1069"/>
      <c r="EHZ292" s="1069"/>
      <c r="EIA292" s="1069"/>
      <c r="EIB292" s="1069"/>
      <c r="EIC292" s="1069"/>
      <c r="EID292" s="1069"/>
      <c r="EIE292" s="1069"/>
      <c r="EIF292" s="1069"/>
      <c r="EIG292" s="1069"/>
      <c r="EIH292" s="1069"/>
      <c r="EII292" s="1069"/>
      <c r="EIJ292" s="1069"/>
      <c r="EIK292" s="1069"/>
      <c r="EIL292" s="1069"/>
      <c r="EIM292" s="1069"/>
      <c r="EIN292" s="1069"/>
      <c r="EIO292" s="1069"/>
      <c r="EIP292" s="1069"/>
      <c r="EIQ292" s="1069"/>
      <c r="EIR292" s="1069"/>
      <c r="EIS292" s="1069"/>
      <c r="EIT292" s="1069"/>
      <c r="EIU292" s="1069"/>
      <c r="EIV292" s="1069"/>
      <c r="EIW292" s="1069"/>
      <c r="EIX292" s="1069"/>
      <c r="EIY292" s="1069"/>
      <c r="EIZ292" s="1069"/>
      <c r="EJA292" s="1069"/>
      <c r="EJB292" s="1069"/>
      <c r="EJC292" s="1069"/>
      <c r="EJD292" s="1069"/>
      <c r="EJE292" s="1069"/>
      <c r="EJF292" s="1069"/>
      <c r="EJG292" s="1069"/>
      <c r="EJH292" s="1069"/>
      <c r="EJI292" s="1069"/>
      <c r="EJJ292" s="1069"/>
      <c r="EJK292" s="1069"/>
      <c r="EJL292" s="1069"/>
      <c r="EJM292" s="1069"/>
      <c r="EJN292" s="1069"/>
      <c r="EJO292" s="1069"/>
      <c r="EJP292" s="1069"/>
      <c r="EJQ292" s="1069"/>
      <c r="EJR292" s="1069"/>
      <c r="EJS292" s="1069"/>
      <c r="EJT292" s="1069"/>
      <c r="EJU292" s="1069"/>
      <c r="EJV292" s="1069"/>
      <c r="EJW292" s="1069"/>
      <c r="EJX292" s="1069"/>
      <c r="EJY292" s="1069"/>
      <c r="EJZ292" s="1069"/>
      <c r="EKA292" s="1069"/>
      <c r="EKB292" s="1069"/>
      <c r="EKC292" s="1069"/>
      <c r="EKD292" s="1069"/>
      <c r="EKE292" s="1069"/>
      <c r="EKF292" s="1069"/>
      <c r="EKG292" s="1069"/>
      <c r="EKH292" s="1069"/>
      <c r="EKI292" s="1069"/>
      <c r="EKJ292" s="1069"/>
      <c r="EKK292" s="1069"/>
      <c r="EKL292" s="1069"/>
      <c r="EKM292" s="1069"/>
      <c r="EKN292" s="1069"/>
      <c r="EKO292" s="1069"/>
      <c r="EKP292" s="1069"/>
      <c r="EKQ292" s="1069"/>
      <c r="EKR292" s="1069"/>
      <c r="EKS292" s="1069"/>
      <c r="EKT292" s="1069"/>
      <c r="EKU292" s="1069"/>
      <c r="EKV292" s="1069"/>
      <c r="EKW292" s="1069"/>
      <c r="EKX292" s="1069"/>
      <c r="EKY292" s="1069"/>
      <c r="EKZ292" s="1069"/>
      <c r="ELA292" s="1069"/>
      <c r="ELB292" s="1069"/>
      <c r="ELC292" s="1069"/>
      <c r="ELD292" s="1069"/>
      <c r="ELE292" s="1069"/>
      <c r="ELF292" s="1069"/>
      <c r="ELG292" s="1069"/>
      <c r="ELH292" s="1069"/>
      <c r="ELI292" s="1069"/>
      <c r="ELJ292" s="1069"/>
      <c r="ELK292" s="1069"/>
      <c r="ELL292" s="1069"/>
      <c r="ELM292" s="1069"/>
      <c r="ELN292" s="1069"/>
      <c r="ELO292" s="1069"/>
      <c r="ELP292" s="1069"/>
      <c r="ELQ292" s="1069"/>
      <c r="ELR292" s="1069"/>
      <c r="ELS292" s="1069"/>
      <c r="ELT292" s="1069"/>
      <c r="ELU292" s="1069"/>
      <c r="ELV292" s="1069"/>
      <c r="ELW292" s="1069"/>
      <c r="ELX292" s="1069"/>
      <c r="ELY292" s="1069"/>
      <c r="ELZ292" s="1069"/>
      <c r="EMA292" s="1069"/>
      <c r="EMB292" s="1069"/>
      <c r="EMC292" s="1069"/>
      <c r="EMD292" s="1069"/>
      <c r="EME292" s="1069"/>
      <c r="EMF292" s="1069"/>
      <c r="EMG292" s="1069"/>
      <c r="EMH292" s="1069"/>
      <c r="EMI292" s="1069"/>
      <c r="EMJ292" s="1069"/>
      <c r="EMK292" s="1069"/>
      <c r="EML292" s="1069"/>
      <c r="EMM292" s="1069"/>
      <c r="EMN292" s="1069"/>
      <c r="EMO292" s="1069"/>
      <c r="EMP292" s="1069"/>
      <c r="EMQ292" s="1069"/>
      <c r="EMR292" s="1069"/>
      <c r="EMS292" s="1069"/>
      <c r="EMT292" s="1069"/>
      <c r="EMU292" s="1069"/>
      <c r="EMV292" s="1069"/>
      <c r="EMW292" s="1069"/>
      <c r="EMX292" s="1069"/>
      <c r="EMY292" s="1069"/>
      <c r="EMZ292" s="1069"/>
      <c r="ENA292" s="1069"/>
      <c r="ENB292" s="1069"/>
      <c r="ENC292" s="1069"/>
      <c r="END292" s="1069"/>
      <c r="ENE292" s="1069"/>
      <c r="ENF292" s="1069"/>
      <c r="ENG292" s="1069"/>
      <c r="ENH292" s="1069"/>
      <c r="ENI292" s="1069"/>
      <c r="ENJ292" s="1069"/>
      <c r="ENK292" s="1069"/>
      <c r="ENL292" s="1069"/>
      <c r="ENM292" s="1069"/>
      <c r="ENN292" s="1069"/>
      <c r="ENO292" s="1069"/>
      <c r="ENP292" s="1069"/>
      <c r="ENQ292" s="1069"/>
      <c r="ENR292" s="1069"/>
      <c r="ENS292" s="1069"/>
      <c r="ENT292" s="1069"/>
      <c r="ENU292" s="1069"/>
      <c r="ENV292" s="1069"/>
      <c r="ENW292" s="1069"/>
      <c r="ENX292" s="1069"/>
      <c r="ENY292" s="1069"/>
      <c r="ENZ292" s="1069"/>
      <c r="EOA292" s="1069"/>
      <c r="EOB292" s="1069"/>
      <c r="EOC292" s="1069"/>
      <c r="EOD292" s="1069"/>
      <c r="EOE292" s="1069"/>
      <c r="EOF292" s="1069"/>
      <c r="EOG292" s="1069"/>
      <c r="EOH292" s="1069"/>
      <c r="EOI292" s="1069"/>
      <c r="EOJ292" s="1069"/>
      <c r="EOK292" s="1069"/>
      <c r="EOL292" s="1069"/>
      <c r="EOM292" s="1069"/>
      <c r="EON292" s="1069"/>
      <c r="EOO292" s="1069"/>
      <c r="EOP292" s="1069"/>
      <c r="EOQ292" s="1069"/>
      <c r="EOR292" s="1069"/>
      <c r="EOS292" s="1069"/>
      <c r="EOT292" s="1069"/>
      <c r="EOU292" s="1069"/>
      <c r="EOV292" s="1069"/>
      <c r="EOW292" s="1069"/>
      <c r="EOX292" s="1069"/>
      <c r="EOY292" s="1069"/>
      <c r="EOZ292" s="1069"/>
      <c r="EPA292" s="1069"/>
      <c r="EPB292" s="1069"/>
      <c r="EPC292" s="1069"/>
      <c r="EPD292" s="1069"/>
      <c r="EPE292" s="1069"/>
      <c r="EPF292" s="1069"/>
      <c r="EPG292" s="1069"/>
      <c r="EPH292" s="1069"/>
      <c r="EPI292" s="1069"/>
      <c r="EPJ292" s="1069"/>
      <c r="EPK292" s="1069"/>
      <c r="EPL292" s="1069"/>
      <c r="EPM292" s="1069"/>
      <c r="EPN292" s="1069"/>
      <c r="EPO292" s="1069"/>
      <c r="EPP292" s="1069"/>
      <c r="EPQ292" s="1069"/>
      <c r="EPR292" s="1069"/>
      <c r="EPS292" s="1069"/>
      <c r="EPT292" s="1069"/>
      <c r="EPU292" s="1069"/>
      <c r="EPV292" s="1069"/>
      <c r="EPW292" s="1069"/>
      <c r="EPX292" s="1069"/>
      <c r="EPY292" s="1069"/>
      <c r="EPZ292" s="1069"/>
      <c r="EQA292" s="1069"/>
      <c r="EQB292" s="1069"/>
      <c r="EQC292" s="1069"/>
      <c r="EQD292" s="1069"/>
      <c r="EQE292" s="1069"/>
      <c r="EQF292" s="1069"/>
      <c r="EQG292" s="1069"/>
      <c r="EQH292" s="1069"/>
      <c r="EQI292" s="1069"/>
      <c r="EQJ292" s="1069"/>
      <c r="EQK292" s="1069"/>
      <c r="EQL292" s="1069"/>
      <c r="EQM292" s="1069"/>
      <c r="EQN292" s="1069"/>
      <c r="EQO292" s="1069"/>
      <c r="EQP292" s="1069"/>
      <c r="EQQ292" s="1069"/>
      <c r="EQR292" s="1069"/>
      <c r="EQS292" s="1069"/>
      <c r="EQT292" s="1069"/>
      <c r="EQU292" s="1069"/>
      <c r="EQV292" s="1069"/>
      <c r="EQW292" s="1069"/>
      <c r="EQX292" s="1069"/>
      <c r="EQY292" s="1069"/>
      <c r="EQZ292" s="1069"/>
      <c r="ERA292" s="1069"/>
      <c r="ERB292" s="1069"/>
      <c r="ERC292" s="1069"/>
      <c r="ERD292" s="1069"/>
      <c r="ERE292" s="1069"/>
      <c r="ERF292" s="1069"/>
      <c r="ERG292" s="1069"/>
      <c r="ERH292" s="1069"/>
      <c r="ERI292" s="1069"/>
      <c r="ERJ292" s="1069"/>
      <c r="ERK292" s="1069"/>
      <c r="ERL292" s="1069"/>
      <c r="ERM292" s="1069"/>
      <c r="ERN292" s="1069"/>
      <c r="ERO292" s="1069"/>
      <c r="ERP292" s="1069"/>
      <c r="ERQ292" s="1069"/>
      <c r="ERR292" s="1069"/>
      <c r="ERS292" s="1069"/>
      <c r="ERT292" s="1069"/>
      <c r="ERU292" s="1069"/>
      <c r="ERV292" s="1069"/>
      <c r="ERW292" s="1069"/>
      <c r="ERX292" s="1069"/>
      <c r="ERY292" s="1069"/>
      <c r="ERZ292" s="1069"/>
      <c r="ESA292" s="1069"/>
      <c r="ESB292" s="1069"/>
      <c r="ESC292" s="1069"/>
      <c r="ESD292" s="1069"/>
      <c r="ESE292" s="1069"/>
      <c r="ESF292" s="1069"/>
      <c r="ESG292" s="1069"/>
      <c r="ESH292" s="1069"/>
      <c r="ESI292" s="1069"/>
      <c r="ESJ292" s="1069"/>
      <c r="ESK292" s="1069"/>
      <c r="ESL292" s="1069"/>
      <c r="ESM292" s="1069"/>
      <c r="ESN292" s="1069"/>
      <c r="ESO292" s="1069"/>
      <c r="ESP292" s="1069"/>
      <c r="ESQ292" s="1069"/>
      <c r="ESR292" s="1069"/>
      <c r="ESS292" s="1069"/>
      <c r="EST292" s="1069"/>
      <c r="ESU292" s="1069"/>
      <c r="ESV292" s="1069"/>
      <c r="ESW292" s="1069"/>
      <c r="ESX292" s="1069"/>
      <c r="ESY292" s="1069"/>
      <c r="ESZ292" s="1069"/>
      <c r="ETA292" s="1069"/>
      <c r="ETB292" s="1069"/>
      <c r="ETC292" s="1069"/>
      <c r="ETD292" s="1069"/>
      <c r="ETE292" s="1069"/>
      <c r="ETF292" s="1069"/>
      <c r="ETG292" s="1069"/>
      <c r="ETH292" s="1069"/>
      <c r="ETI292" s="1069"/>
      <c r="ETJ292" s="1069"/>
      <c r="ETK292" s="1069"/>
      <c r="ETL292" s="1069"/>
      <c r="ETM292" s="1069"/>
      <c r="ETN292" s="1069"/>
      <c r="ETO292" s="1069"/>
      <c r="ETP292" s="1069"/>
      <c r="ETQ292" s="1069"/>
      <c r="ETR292" s="1069"/>
      <c r="ETS292" s="1069"/>
      <c r="ETT292" s="1069"/>
      <c r="ETU292" s="1069"/>
      <c r="ETV292" s="1069"/>
      <c r="ETW292" s="1069"/>
      <c r="ETX292" s="1069"/>
      <c r="ETY292" s="1069"/>
      <c r="ETZ292" s="1069"/>
      <c r="EUA292" s="1069"/>
      <c r="EUB292" s="1069"/>
      <c r="EUC292" s="1069"/>
      <c r="EUD292" s="1069"/>
      <c r="EUE292" s="1069"/>
      <c r="EUF292" s="1069"/>
      <c r="EUG292" s="1069"/>
      <c r="EUH292" s="1069"/>
      <c r="EUI292" s="1069"/>
      <c r="EUJ292" s="1069"/>
      <c r="EUK292" s="1069"/>
      <c r="EUL292" s="1069"/>
      <c r="EUM292" s="1069"/>
      <c r="EUN292" s="1069"/>
      <c r="EUO292" s="1069"/>
      <c r="EUP292" s="1069"/>
      <c r="EUQ292" s="1069"/>
      <c r="EUR292" s="1069"/>
      <c r="EUS292" s="1069"/>
      <c r="EUT292" s="1069"/>
      <c r="EUU292" s="1069"/>
      <c r="EUV292" s="1069"/>
      <c r="EUW292" s="1069"/>
      <c r="EUX292" s="1069"/>
      <c r="EUY292" s="1069"/>
      <c r="EUZ292" s="1069"/>
      <c r="EVA292" s="1069"/>
      <c r="EVB292" s="1069"/>
      <c r="EVC292" s="1069"/>
      <c r="EVD292" s="1069"/>
      <c r="EVE292" s="1069"/>
      <c r="EVF292" s="1069"/>
      <c r="EVG292" s="1069"/>
      <c r="EVH292" s="1069"/>
      <c r="EVI292" s="1069"/>
      <c r="EVJ292" s="1069"/>
      <c r="EVK292" s="1069"/>
      <c r="EVL292" s="1069"/>
      <c r="EVM292" s="1069"/>
      <c r="EVN292" s="1069"/>
      <c r="EVO292" s="1069"/>
      <c r="EVP292" s="1069"/>
      <c r="EVQ292" s="1069"/>
      <c r="EVR292" s="1069"/>
      <c r="EVS292" s="1069"/>
      <c r="EVT292" s="1069"/>
      <c r="EVU292" s="1069"/>
      <c r="EVV292" s="1069"/>
      <c r="EVW292" s="1069"/>
      <c r="EVX292" s="1069"/>
      <c r="EVY292" s="1069"/>
      <c r="EVZ292" s="1069"/>
      <c r="EWA292" s="1069"/>
      <c r="EWB292" s="1069"/>
      <c r="EWC292" s="1069"/>
      <c r="EWD292" s="1069"/>
      <c r="EWE292" s="1069"/>
      <c r="EWF292" s="1069"/>
      <c r="EWG292" s="1069"/>
      <c r="EWH292" s="1069"/>
      <c r="EWI292" s="1069"/>
      <c r="EWJ292" s="1069"/>
      <c r="EWK292" s="1069"/>
      <c r="EWL292" s="1069"/>
      <c r="EWM292" s="1069"/>
      <c r="EWN292" s="1069"/>
      <c r="EWO292" s="1069"/>
      <c r="EWP292" s="1069"/>
      <c r="EWQ292" s="1069"/>
      <c r="EWR292" s="1069"/>
      <c r="EWS292" s="1069"/>
      <c r="EWT292" s="1069"/>
      <c r="EWU292" s="1069"/>
      <c r="EWV292" s="1069"/>
      <c r="EWW292" s="1069"/>
      <c r="EWX292" s="1069"/>
      <c r="EWY292" s="1069"/>
      <c r="EWZ292" s="1069"/>
      <c r="EXA292" s="1069"/>
      <c r="EXB292" s="1069"/>
      <c r="EXC292" s="1069"/>
      <c r="EXD292" s="1069"/>
      <c r="EXE292" s="1069"/>
      <c r="EXF292" s="1069"/>
      <c r="EXG292" s="1069"/>
      <c r="EXH292" s="1069"/>
      <c r="EXI292" s="1069"/>
      <c r="EXJ292" s="1069"/>
      <c r="EXK292" s="1069"/>
      <c r="EXL292" s="1069"/>
      <c r="EXM292" s="1069"/>
      <c r="EXN292" s="1069"/>
      <c r="EXO292" s="1069"/>
      <c r="EXP292" s="1069"/>
      <c r="EXQ292" s="1069"/>
      <c r="EXR292" s="1069"/>
      <c r="EXS292" s="1069"/>
      <c r="EXT292" s="1069"/>
      <c r="EXU292" s="1069"/>
      <c r="EXV292" s="1069"/>
      <c r="EXW292" s="1069"/>
      <c r="EXX292" s="1069"/>
      <c r="EXY292" s="1069"/>
      <c r="EXZ292" s="1069"/>
      <c r="EYA292" s="1069"/>
      <c r="EYB292" s="1069"/>
      <c r="EYC292" s="1069"/>
      <c r="EYD292" s="1069"/>
      <c r="EYE292" s="1069"/>
      <c r="EYF292" s="1069"/>
      <c r="EYG292" s="1069"/>
      <c r="EYH292" s="1069"/>
      <c r="EYI292" s="1069"/>
      <c r="EYJ292" s="1069"/>
      <c r="EYK292" s="1069"/>
      <c r="EYL292" s="1069"/>
      <c r="EYM292" s="1069"/>
      <c r="EYN292" s="1069"/>
      <c r="EYO292" s="1069"/>
      <c r="EYP292" s="1069"/>
      <c r="EYQ292" s="1069"/>
      <c r="EYR292" s="1069"/>
      <c r="EYS292" s="1069"/>
      <c r="EYT292" s="1069"/>
      <c r="EYU292" s="1069"/>
      <c r="EYV292" s="1069"/>
      <c r="EYW292" s="1069"/>
      <c r="EYX292" s="1069"/>
      <c r="EYY292" s="1069"/>
      <c r="EYZ292" s="1069"/>
      <c r="EZA292" s="1069"/>
      <c r="EZB292" s="1069"/>
      <c r="EZC292" s="1069"/>
      <c r="EZD292" s="1069"/>
      <c r="EZE292" s="1069"/>
      <c r="EZF292" s="1069"/>
      <c r="EZG292" s="1069"/>
      <c r="EZH292" s="1069"/>
      <c r="EZI292" s="1069"/>
      <c r="EZJ292" s="1069"/>
      <c r="EZK292" s="1069"/>
      <c r="EZL292" s="1069"/>
      <c r="EZM292" s="1069"/>
      <c r="EZN292" s="1069"/>
      <c r="EZO292" s="1069"/>
      <c r="EZP292" s="1069"/>
      <c r="EZQ292" s="1069"/>
      <c r="EZR292" s="1069"/>
      <c r="EZS292" s="1069"/>
      <c r="EZT292" s="1069"/>
      <c r="EZU292" s="1069"/>
      <c r="EZV292" s="1069"/>
      <c r="EZW292" s="1069"/>
      <c r="EZX292" s="1069"/>
      <c r="EZY292" s="1069"/>
      <c r="EZZ292" s="1069"/>
      <c r="FAA292" s="1069"/>
      <c r="FAB292" s="1069"/>
      <c r="FAC292" s="1069"/>
      <c r="FAD292" s="1069"/>
      <c r="FAE292" s="1069"/>
      <c r="FAF292" s="1069"/>
      <c r="FAG292" s="1069"/>
      <c r="FAH292" s="1069"/>
      <c r="FAI292" s="1069"/>
      <c r="FAJ292" s="1069"/>
      <c r="FAK292" s="1069"/>
      <c r="FAL292" s="1069"/>
      <c r="FAM292" s="1069"/>
      <c r="FAN292" s="1069"/>
      <c r="FAO292" s="1069"/>
      <c r="FAP292" s="1069"/>
      <c r="FAQ292" s="1069"/>
      <c r="FAR292" s="1069"/>
      <c r="FAS292" s="1069"/>
      <c r="FAT292" s="1069"/>
      <c r="FAU292" s="1069"/>
      <c r="FAV292" s="1069"/>
      <c r="FAW292" s="1069"/>
      <c r="FAX292" s="1069"/>
      <c r="FAY292" s="1069"/>
      <c r="FAZ292" s="1069"/>
      <c r="FBA292" s="1069"/>
      <c r="FBB292" s="1069"/>
      <c r="FBC292" s="1069"/>
      <c r="FBD292" s="1069"/>
      <c r="FBE292" s="1069"/>
      <c r="FBF292" s="1069"/>
      <c r="FBG292" s="1069"/>
      <c r="FBH292" s="1069"/>
      <c r="FBI292" s="1069"/>
      <c r="FBJ292" s="1069"/>
      <c r="FBK292" s="1069"/>
      <c r="FBL292" s="1069"/>
      <c r="FBM292" s="1069"/>
      <c r="FBN292" s="1069"/>
      <c r="FBO292" s="1069"/>
      <c r="FBP292" s="1069"/>
      <c r="FBQ292" s="1069"/>
      <c r="FBR292" s="1069"/>
      <c r="FBS292" s="1069"/>
      <c r="FBT292" s="1069"/>
      <c r="FBU292" s="1069"/>
      <c r="FBV292" s="1069"/>
      <c r="FBW292" s="1069"/>
      <c r="FBX292" s="1069"/>
      <c r="FBY292" s="1069"/>
      <c r="FBZ292" s="1069"/>
      <c r="FCA292" s="1069"/>
      <c r="FCB292" s="1069"/>
      <c r="FCC292" s="1069"/>
      <c r="FCD292" s="1069"/>
      <c r="FCE292" s="1069"/>
      <c r="FCF292" s="1069"/>
      <c r="FCG292" s="1069"/>
      <c r="FCH292" s="1069"/>
      <c r="FCI292" s="1069"/>
      <c r="FCJ292" s="1069"/>
      <c r="FCK292" s="1069"/>
      <c r="FCL292" s="1069"/>
      <c r="FCM292" s="1069"/>
      <c r="FCN292" s="1069"/>
      <c r="FCO292" s="1069"/>
      <c r="FCP292" s="1069"/>
      <c r="FCQ292" s="1069"/>
      <c r="FCR292" s="1069"/>
      <c r="FCS292" s="1069"/>
      <c r="FCT292" s="1069"/>
      <c r="FCU292" s="1069"/>
      <c r="FCV292" s="1069"/>
      <c r="FCW292" s="1069"/>
      <c r="FCX292" s="1069"/>
      <c r="FCY292" s="1069"/>
      <c r="FCZ292" s="1069"/>
      <c r="FDA292" s="1069"/>
      <c r="FDB292" s="1069"/>
      <c r="FDC292" s="1069"/>
      <c r="FDD292" s="1069"/>
      <c r="FDE292" s="1069"/>
      <c r="FDF292" s="1069"/>
      <c r="FDG292" s="1069"/>
      <c r="FDH292" s="1069"/>
      <c r="FDI292" s="1069"/>
      <c r="FDJ292" s="1069"/>
      <c r="FDK292" s="1069"/>
      <c r="FDL292" s="1069"/>
      <c r="FDM292" s="1069"/>
      <c r="FDN292" s="1069"/>
      <c r="FDO292" s="1069"/>
      <c r="FDP292" s="1069"/>
      <c r="FDQ292" s="1069"/>
      <c r="FDR292" s="1069"/>
      <c r="FDS292" s="1069"/>
      <c r="FDT292" s="1069"/>
      <c r="FDU292" s="1069"/>
      <c r="FDV292" s="1069"/>
      <c r="FDW292" s="1069"/>
      <c r="FDX292" s="1069"/>
      <c r="FDY292" s="1069"/>
      <c r="FDZ292" s="1069"/>
      <c r="FEA292" s="1069"/>
      <c r="FEB292" s="1069"/>
      <c r="FEC292" s="1069"/>
      <c r="FED292" s="1069"/>
      <c r="FEE292" s="1069"/>
      <c r="FEF292" s="1069"/>
      <c r="FEG292" s="1069"/>
      <c r="FEH292" s="1069"/>
      <c r="FEI292" s="1069"/>
      <c r="FEJ292" s="1069"/>
      <c r="FEK292" s="1069"/>
      <c r="FEL292" s="1069"/>
      <c r="FEM292" s="1069"/>
      <c r="FEN292" s="1069"/>
      <c r="FEO292" s="1069"/>
      <c r="FEP292" s="1069"/>
      <c r="FEQ292" s="1069"/>
      <c r="FER292" s="1069"/>
      <c r="FES292" s="1069"/>
      <c r="FET292" s="1069"/>
      <c r="FEU292" s="1069"/>
      <c r="FEV292" s="1069"/>
      <c r="FEW292" s="1069"/>
      <c r="FEX292" s="1069"/>
      <c r="FEY292" s="1069"/>
      <c r="FEZ292" s="1069"/>
      <c r="FFA292" s="1069"/>
      <c r="FFB292" s="1069"/>
      <c r="FFC292" s="1069"/>
      <c r="FFD292" s="1069"/>
      <c r="FFE292" s="1069"/>
      <c r="FFF292" s="1069"/>
      <c r="FFG292" s="1069"/>
      <c r="FFH292" s="1069"/>
      <c r="FFI292" s="1069"/>
      <c r="FFJ292" s="1069"/>
      <c r="FFK292" s="1069"/>
      <c r="FFL292" s="1069"/>
      <c r="FFM292" s="1069"/>
      <c r="FFN292" s="1069"/>
      <c r="FFO292" s="1069"/>
      <c r="FFP292" s="1069"/>
      <c r="FFQ292" s="1069"/>
      <c r="FFR292" s="1069"/>
      <c r="FFS292" s="1069"/>
      <c r="FFT292" s="1069"/>
      <c r="FFU292" s="1069"/>
      <c r="FFV292" s="1069"/>
      <c r="FFW292" s="1069"/>
      <c r="FFX292" s="1069"/>
      <c r="FFY292" s="1069"/>
      <c r="FFZ292" s="1069"/>
      <c r="FGA292" s="1069"/>
      <c r="FGB292" s="1069"/>
      <c r="FGC292" s="1069"/>
      <c r="FGD292" s="1069"/>
      <c r="FGE292" s="1069"/>
      <c r="FGF292" s="1069"/>
      <c r="FGG292" s="1069"/>
      <c r="FGH292" s="1069"/>
      <c r="FGI292" s="1069"/>
      <c r="FGJ292" s="1069"/>
      <c r="FGK292" s="1069"/>
      <c r="FGL292" s="1069"/>
      <c r="FGM292" s="1069"/>
      <c r="FGN292" s="1069"/>
      <c r="FGO292" s="1069"/>
      <c r="FGP292" s="1069"/>
      <c r="FGQ292" s="1069"/>
      <c r="FGR292" s="1069"/>
      <c r="FGS292" s="1069"/>
      <c r="FGT292" s="1069"/>
      <c r="FGU292" s="1069"/>
      <c r="FGV292" s="1069"/>
      <c r="FGW292" s="1069"/>
      <c r="FGX292" s="1069"/>
      <c r="FGY292" s="1069"/>
      <c r="FGZ292" s="1069"/>
      <c r="FHA292" s="1069"/>
      <c r="FHB292" s="1069"/>
      <c r="FHC292" s="1069"/>
      <c r="FHD292" s="1069"/>
      <c r="FHE292" s="1069"/>
      <c r="FHF292" s="1069"/>
      <c r="FHG292" s="1069"/>
      <c r="FHH292" s="1069"/>
      <c r="FHI292" s="1069"/>
      <c r="FHJ292" s="1069"/>
      <c r="FHK292" s="1069"/>
      <c r="FHL292" s="1069"/>
      <c r="FHM292" s="1069"/>
      <c r="FHN292" s="1069"/>
      <c r="FHO292" s="1069"/>
      <c r="FHP292" s="1069"/>
      <c r="FHQ292" s="1069"/>
      <c r="FHR292" s="1069"/>
      <c r="FHS292" s="1069"/>
      <c r="FHT292" s="1069"/>
      <c r="FHU292" s="1069"/>
      <c r="FHV292" s="1069"/>
      <c r="FHW292" s="1069"/>
      <c r="FHX292" s="1069"/>
      <c r="FHY292" s="1069"/>
      <c r="FHZ292" s="1069"/>
      <c r="FIA292" s="1069"/>
      <c r="FIB292" s="1069"/>
      <c r="FIC292" s="1069"/>
      <c r="FID292" s="1069"/>
      <c r="FIE292" s="1069"/>
      <c r="FIF292" s="1069"/>
      <c r="FIG292" s="1069"/>
      <c r="FIH292" s="1069"/>
      <c r="FII292" s="1069"/>
      <c r="FIJ292" s="1069"/>
      <c r="FIK292" s="1069"/>
      <c r="FIL292" s="1069"/>
      <c r="FIM292" s="1069"/>
      <c r="FIN292" s="1069"/>
      <c r="FIO292" s="1069"/>
      <c r="FIP292" s="1069"/>
      <c r="FIQ292" s="1069"/>
      <c r="FIR292" s="1069"/>
      <c r="FIS292" s="1069"/>
      <c r="FIT292" s="1069"/>
      <c r="FIU292" s="1069"/>
      <c r="FIV292" s="1069"/>
      <c r="FIW292" s="1069"/>
      <c r="FIX292" s="1069"/>
      <c r="FIY292" s="1069"/>
      <c r="FIZ292" s="1069"/>
      <c r="FJA292" s="1069"/>
      <c r="FJB292" s="1069"/>
      <c r="FJC292" s="1069"/>
      <c r="FJD292" s="1069"/>
      <c r="FJE292" s="1069"/>
      <c r="FJF292" s="1069"/>
      <c r="FJG292" s="1069"/>
      <c r="FJH292" s="1069"/>
      <c r="FJI292" s="1069"/>
      <c r="FJJ292" s="1069"/>
      <c r="FJK292" s="1069"/>
      <c r="FJL292" s="1069"/>
      <c r="FJM292" s="1069"/>
      <c r="FJN292" s="1069"/>
      <c r="FJO292" s="1069"/>
      <c r="FJP292" s="1069"/>
      <c r="FJQ292" s="1069"/>
      <c r="FJR292" s="1069"/>
      <c r="FJS292" s="1069"/>
      <c r="FJT292" s="1069"/>
      <c r="FJU292" s="1069"/>
      <c r="FJV292" s="1069"/>
      <c r="FJW292" s="1069"/>
      <c r="FJX292" s="1069"/>
      <c r="FJY292" s="1069"/>
      <c r="FJZ292" s="1069"/>
      <c r="FKA292" s="1069"/>
      <c r="FKB292" s="1069"/>
      <c r="FKC292" s="1069"/>
      <c r="FKD292" s="1069"/>
      <c r="FKE292" s="1069"/>
      <c r="FKF292" s="1069"/>
      <c r="FKG292" s="1069"/>
      <c r="FKH292" s="1069"/>
      <c r="FKI292" s="1069"/>
      <c r="FKJ292" s="1069"/>
      <c r="FKK292" s="1069"/>
      <c r="FKL292" s="1069"/>
      <c r="FKM292" s="1069"/>
      <c r="FKN292" s="1069"/>
      <c r="FKO292" s="1069"/>
      <c r="FKP292" s="1069"/>
      <c r="FKQ292" s="1069"/>
      <c r="FKR292" s="1069"/>
      <c r="FKS292" s="1069"/>
      <c r="FKT292" s="1069"/>
      <c r="FKU292" s="1069"/>
      <c r="FKV292" s="1069"/>
      <c r="FKW292" s="1069"/>
      <c r="FKX292" s="1069"/>
      <c r="FKY292" s="1069"/>
      <c r="FKZ292" s="1069"/>
      <c r="FLA292" s="1069"/>
      <c r="FLB292" s="1069"/>
      <c r="FLC292" s="1069"/>
      <c r="FLD292" s="1069"/>
      <c r="FLE292" s="1069"/>
      <c r="FLF292" s="1069"/>
      <c r="FLG292" s="1069"/>
      <c r="FLH292" s="1069"/>
      <c r="FLI292" s="1069"/>
      <c r="FLJ292" s="1069"/>
      <c r="FLK292" s="1069"/>
      <c r="FLL292" s="1069"/>
      <c r="FLM292" s="1069"/>
      <c r="FLN292" s="1069"/>
      <c r="FLO292" s="1069"/>
      <c r="FLP292" s="1069"/>
      <c r="FLQ292" s="1069"/>
      <c r="FLR292" s="1069"/>
      <c r="FLS292" s="1069"/>
      <c r="FLT292" s="1069"/>
      <c r="FLU292" s="1069"/>
      <c r="FLV292" s="1069"/>
      <c r="FLW292" s="1069"/>
      <c r="FLX292" s="1069"/>
      <c r="FLY292" s="1069"/>
      <c r="FLZ292" s="1069"/>
      <c r="FMA292" s="1069"/>
      <c r="FMB292" s="1069"/>
      <c r="FMC292" s="1069"/>
      <c r="FMD292" s="1069"/>
      <c r="FME292" s="1069"/>
      <c r="FMF292" s="1069"/>
      <c r="FMG292" s="1069"/>
      <c r="FMH292" s="1069"/>
      <c r="FMI292" s="1069"/>
      <c r="FMJ292" s="1069"/>
      <c r="FMK292" s="1069"/>
      <c r="FML292" s="1069"/>
      <c r="FMM292" s="1069"/>
      <c r="FMN292" s="1069"/>
      <c r="FMO292" s="1069"/>
      <c r="FMP292" s="1069"/>
      <c r="FMQ292" s="1069"/>
      <c r="FMR292" s="1069"/>
      <c r="FMS292" s="1069"/>
      <c r="FMT292" s="1069"/>
      <c r="FMU292" s="1069"/>
      <c r="FMV292" s="1069"/>
      <c r="FMW292" s="1069"/>
      <c r="FMX292" s="1069"/>
      <c r="FMY292" s="1069"/>
      <c r="FMZ292" s="1069"/>
      <c r="FNA292" s="1069"/>
      <c r="FNB292" s="1069"/>
      <c r="FNC292" s="1069"/>
      <c r="FND292" s="1069"/>
      <c r="FNE292" s="1069"/>
      <c r="FNF292" s="1069"/>
      <c r="FNG292" s="1069"/>
      <c r="FNH292" s="1069"/>
      <c r="FNI292" s="1069"/>
      <c r="FNJ292" s="1069"/>
      <c r="FNK292" s="1069"/>
      <c r="FNL292" s="1069"/>
      <c r="FNM292" s="1069"/>
      <c r="FNN292" s="1069"/>
      <c r="FNO292" s="1069"/>
      <c r="FNP292" s="1069"/>
      <c r="FNQ292" s="1069"/>
      <c r="FNR292" s="1069"/>
      <c r="FNS292" s="1069"/>
      <c r="FNT292" s="1069"/>
      <c r="FNU292" s="1069"/>
      <c r="FNV292" s="1069"/>
      <c r="FNW292" s="1069"/>
      <c r="FNX292" s="1069"/>
      <c r="FNY292" s="1069"/>
      <c r="FNZ292" s="1069"/>
      <c r="FOA292" s="1069"/>
      <c r="FOB292" s="1069"/>
      <c r="FOC292" s="1069"/>
      <c r="FOD292" s="1069"/>
      <c r="FOE292" s="1069"/>
      <c r="FOF292" s="1069"/>
      <c r="FOG292" s="1069"/>
      <c r="FOH292" s="1069"/>
      <c r="FOI292" s="1069"/>
      <c r="FOJ292" s="1069"/>
      <c r="FOK292" s="1069"/>
      <c r="FOL292" s="1069"/>
      <c r="FOM292" s="1069"/>
      <c r="FON292" s="1069"/>
      <c r="FOO292" s="1069"/>
      <c r="FOP292" s="1069"/>
      <c r="FOQ292" s="1069"/>
      <c r="FOR292" s="1069"/>
      <c r="FOS292" s="1069"/>
      <c r="FOT292" s="1069"/>
      <c r="FOU292" s="1069"/>
      <c r="FOV292" s="1069"/>
      <c r="FOW292" s="1069"/>
      <c r="FOX292" s="1069"/>
      <c r="FOY292" s="1069"/>
      <c r="FOZ292" s="1069"/>
      <c r="FPA292" s="1069"/>
      <c r="FPB292" s="1069"/>
      <c r="FPC292" s="1069"/>
      <c r="FPD292" s="1069"/>
      <c r="FPE292" s="1069"/>
      <c r="FPF292" s="1069"/>
      <c r="FPG292" s="1069"/>
      <c r="FPH292" s="1069"/>
      <c r="FPI292" s="1069"/>
      <c r="FPJ292" s="1069"/>
      <c r="FPK292" s="1069"/>
      <c r="FPL292" s="1069"/>
      <c r="FPM292" s="1069"/>
      <c r="FPN292" s="1069"/>
      <c r="FPO292" s="1069"/>
      <c r="FPP292" s="1069"/>
      <c r="FPQ292" s="1069"/>
      <c r="FPR292" s="1069"/>
      <c r="FPS292" s="1069"/>
      <c r="FPT292" s="1069"/>
      <c r="FPU292" s="1069"/>
      <c r="FPV292" s="1069"/>
      <c r="FPW292" s="1069"/>
      <c r="FPX292" s="1069"/>
      <c r="FPY292" s="1069"/>
      <c r="FPZ292" s="1069"/>
      <c r="FQA292" s="1069"/>
      <c r="FQB292" s="1069"/>
      <c r="FQC292" s="1069"/>
      <c r="FQD292" s="1069"/>
      <c r="FQE292" s="1069"/>
      <c r="FQF292" s="1069"/>
      <c r="FQG292" s="1069"/>
      <c r="FQH292" s="1069"/>
      <c r="FQI292" s="1069"/>
      <c r="FQJ292" s="1069"/>
      <c r="FQK292" s="1069"/>
      <c r="FQL292" s="1069"/>
      <c r="FQM292" s="1069"/>
      <c r="FQN292" s="1069"/>
      <c r="FQO292" s="1069"/>
      <c r="FQP292" s="1069"/>
      <c r="FQQ292" s="1069"/>
      <c r="FQR292" s="1069"/>
      <c r="FQS292" s="1069"/>
      <c r="FQT292" s="1069"/>
      <c r="FQU292" s="1069"/>
      <c r="FQV292" s="1069"/>
      <c r="FQW292" s="1069"/>
      <c r="FQX292" s="1069"/>
      <c r="FQY292" s="1069"/>
      <c r="FQZ292" s="1069"/>
      <c r="FRA292" s="1069"/>
      <c r="FRB292" s="1069"/>
      <c r="FRC292" s="1069"/>
      <c r="FRD292" s="1069"/>
      <c r="FRE292" s="1069"/>
      <c r="FRF292" s="1069"/>
      <c r="FRG292" s="1069"/>
      <c r="FRH292" s="1069"/>
      <c r="FRI292" s="1069"/>
      <c r="FRJ292" s="1069"/>
      <c r="FRK292" s="1069"/>
      <c r="FRL292" s="1069"/>
      <c r="FRM292" s="1069"/>
      <c r="FRN292" s="1069"/>
      <c r="FRO292" s="1069"/>
      <c r="FRP292" s="1069"/>
      <c r="FRQ292" s="1069"/>
      <c r="FRR292" s="1069"/>
      <c r="FRS292" s="1069"/>
      <c r="FRT292" s="1069"/>
      <c r="FRU292" s="1069"/>
      <c r="FRV292" s="1069"/>
      <c r="FRW292" s="1069"/>
      <c r="FRX292" s="1069"/>
      <c r="FRY292" s="1069"/>
      <c r="FRZ292" s="1069"/>
      <c r="FSA292" s="1069"/>
      <c r="FSB292" s="1069"/>
      <c r="FSC292" s="1069"/>
      <c r="FSD292" s="1069"/>
      <c r="FSE292" s="1069"/>
      <c r="FSF292" s="1069"/>
      <c r="FSG292" s="1069"/>
      <c r="FSH292" s="1069"/>
      <c r="FSI292" s="1069"/>
      <c r="FSJ292" s="1069"/>
      <c r="FSK292" s="1069"/>
      <c r="FSL292" s="1069"/>
      <c r="FSM292" s="1069"/>
      <c r="FSN292" s="1069"/>
      <c r="FSO292" s="1069"/>
      <c r="FSP292" s="1069"/>
      <c r="FSQ292" s="1069"/>
      <c r="FSR292" s="1069"/>
      <c r="FSS292" s="1069"/>
      <c r="FST292" s="1069"/>
      <c r="FSU292" s="1069"/>
      <c r="FSV292" s="1069"/>
      <c r="FSW292" s="1069"/>
      <c r="FSX292" s="1069"/>
      <c r="FSY292" s="1069"/>
      <c r="FSZ292" s="1069"/>
      <c r="FTA292" s="1069"/>
      <c r="FTB292" s="1069"/>
      <c r="FTC292" s="1069"/>
      <c r="FTD292" s="1069"/>
      <c r="FTE292" s="1069"/>
      <c r="FTF292" s="1069"/>
      <c r="FTG292" s="1069"/>
      <c r="FTH292" s="1069"/>
      <c r="FTI292" s="1069"/>
      <c r="FTJ292" s="1069"/>
      <c r="FTK292" s="1069"/>
      <c r="FTL292" s="1069"/>
      <c r="FTM292" s="1069"/>
      <c r="FTN292" s="1069"/>
      <c r="FTO292" s="1069"/>
      <c r="FTP292" s="1069"/>
      <c r="FTQ292" s="1069"/>
      <c r="FTR292" s="1069"/>
      <c r="FTS292" s="1069"/>
      <c r="FTT292" s="1069"/>
      <c r="FTU292" s="1069"/>
      <c r="FTV292" s="1069"/>
      <c r="FTW292" s="1069"/>
      <c r="FTX292" s="1069"/>
      <c r="FTY292" s="1069"/>
      <c r="FTZ292" s="1069"/>
      <c r="FUA292" s="1069"/>
      <c r="FUB292" s="1069"/>
      <c r="FUC292" s="1069"/>
      <c r="FUD292" s="1069"/>
      <c r="FUE292" s="1069"/>
      <c r="FUF292" s="1069"/>
      <c r="FUG292" s="1069"/>
      <c r="FUH292" s="1069"/>
      <c r="FUI292" s="1069"/>
      <c r="FUJ292" s="1069"/>
      <c r="FUK292" s="1069"/>
      <c r="FUL292" s="1069"/>
      <c r="FUM292" s="1069"/>
      <c r="FUN292" s="1069"/>
      <c r="FUO292" s="1069"/>
      <c r="FUP292" s="1069"/>
      <c r="FUQ292" s="1069"/>
      <c r="FUR292" s="1069"/>
      <c r="FUS292" s="1069"/>
      <c r="FUT292" s="1069"/>
      <c r="FUU292" s="1069"/>
      <c r="FUV292" s="1069"/>
      <c r="FUW292" s="1069"/>
      <c r="FUX292" s="1069"/>
      <c r="FUY292" s="1069"/>
      <c r="FUZ292" s="1069"/>
      <c r="FVA292" s="1069"/>
      <c r="FVB292" s="1069"/>
      <c r="FVC292" s="1069"/>
      <c r="FVD292" s="1069"/>
      <c r="FVE292" s="1069"/>
      <c r="FVF292" s="1069"/>
      <c r="FVG292" s="1069"/>
      <c r="FVH292" s="1069"/>
      <c r="FVI292" s="1069"/>
      <c r="FVJ292" s="1069"/>
      <c r="FVK292" s="1069"/>
      <c r="FVL292" s="1069"/>
      <c r="FVM292" s="1069"/>
      <c r="FVN292" s="1069"/>
      <c r="FVO292" s="1069"/>
      <c r="FVP292" s="1069"/>
      <c r="FVQ292" s="1069"/>
      <c r="FVR292" s="1069"/>
      <c r="FVS292" s="1069"/>
      <c r="FVT292" s="1069"/>
      <c r="FVU292" s="1069"/>
      <c r="FVV292" s="1069"/>
      <c r="FVW292" s="1069"/>
      <c r="FVX292" s="1069"/>
      <c r="FVY292" s="1069"/>
      <c r="FVZ292" s="1069"/>
      <c r="FWA292" s="1069"/>
      <c r="FWB292" s="1069"/>
      <c r="FWC292" s="1069"/>
      <c r="FWD292" s="1069"/>
      <c r="FWE292" s="1069"/>
      <c r="FWF292" s="1069"/>
      <c r="FWG292" s="1069"/>
      <c r="FWH292" s="1069"/>
      <c r="FWI292" s="1069"/>
      <c r="FWJ292" s="1069"/>
      <c r="FWK292" s="1069"/>
      <c r="FWL292" s="1069"/>
      <c r="FWM292" s="1069"/>
      <c r="FWN292" s="1069"/>
      <c r="FWO292" s="1069"/>
      <c r="FWP292" s="1069"/>
      <c r="FWQ292" s="1069"/>
      <c r="FWR292" s="1069"/>
      <c r="FWS292" s="1069"/>
      <c r="FWT292" s="1069"/>
      <c r="FWU292" s="1069"/>
      <c r="FWV292" s="1069"/>
      <c r="FWW292" s="1069"/>
      <c r="FWX292" s="1069"/>
      <c r="FWY292" s="1069"/>
      <c r="FWZ292" s="1069"/>
      <c r="FXA292" s="1069"/>
      <c r="FXB292" s="1069"/>
      <c r="FXC292" s="1069"/>
      <c r="FXD292" s="1069"/>
      <c r="FXE292" s="1069"/>
      <c r="FXF292" s="1069"/>
      <c r="FXG292" s="1069"/>
      <c r="FXH292" s="1069"/>
      <c r="FXI292" s="1069"/>
      <c r="FXJ292" s="1069"/>
      <c r="FXK292" s="1069"/>
      <c r="FXL292" s="1069"/>
      <c r="FXM292" s="1069"/>
      <c r="FXN292" s="1069"/>
      <c r="FXO292" s="1069"/>
      <c r="FXP292" s="1069"/>
      <c r="FXQ292" s="1069"/>
      <c r="FXR292" s="1069"/>
      <c r="FXS292" s="1069"/>
      <c r="FXT292" s="1069"/>
      <c r="FXU292" s="1069"/>
      <c r="FXV292" s="1069"/>
      <c r="FXW292" s="1069"/>
      <c r="FXX292" s="1069"/>
      <c r="FXY292" s="1069"/>
      <c r="FXZ292" s="1069"/>
      <c r="FYA292" s="1069"/>
      <c r="FYB292" s="1069"/>
      <c r="FYC292" s="1069"/>
      <c r="FYD292" s="1069"/>
      <c r="FYE292" s="1069"/>
      <c r="FYF292" s="1069"/>
      <c r="FYG292" s="1069"/>
      <c r="FYH292" s="1069"/>
      <c r="FYI292" s="1069"/>
      <c r="FYJ292" s="1069"/>
      <c r="FYK292" s="1069"/>
      <c r="FYL292" s="1069"/>
      <c r="FYM292" s="1069"/>
      <c r="FYN292" s="1069"/>
      <c r="FYO292" s="1069"/>
      <c r="FYP292" s="1069"/>
      <c r="FYQ292" s="1069"/>
      <c r="FYR292" s="1069"/>
      <c r="FYS292" s="1069"/>
      <c r="FYT292" s="1069"/>
      <c r="FYU292" s="1069"/>
      <c r="FYV292" s="1069"/>
      <c r="FYW292" s="1069"/>
      <c r="FYX292" s="1069"/>
      <c r="FYY292" s="1069"/>
      <c r="FYZ292" s="1069"/>
      <c r="FZA292" s="1069"/>
      <c r="FZB292" s="1069"/>
      <c r="FZC292" s="1069"/>
      <c r="FZD292" s="1069"/>
      <c r="FZE292" s="1069"/>
      <c r="FZF292" s="1069"/>
      <c r="FZG292" s="1069"/>
      <c r="FZH292" s="1069"/>
      <c r="FZI292" s="1069"/>
      <c r="FZJ292" s="1069"/>
      <c r="FZK292" s="1069"/>
      <c r="FZL292" s="1069"/>
      <c r="FZM292" s="1069"/>
      <c r="FZN292" s="1069"/>
      <c r="FZO292" s="1069"/>
      <c r="FZP292" s="1069"/>
      <c r="FZQ292" s="1069"/>
      <c r="FZR292" s="1069"/>
      <c r="FZS292" s="1069"/>
      <c r="FZT292" s="1069"/>
      <c r="FZU292" s="1069"/>
      <c r="FZV292" s="1069"/>
      <c r="FZW292" s="1069"/>
      <c r="FZX292" s="1069"/>
      <c r="FZY292" s="1069"/>
      <c r="FZZ292" s="1069"/>
      <c r="GAA292" s="1069"/>
      <c r="GAB292" s="1069"/>
      <c r="GAC292" s="1069"/>
      <c r="GAD292" s="1069"/>
      <c r="GAE292" s="1069"/>
      <c r="GAF292" s="1069"/>
      <c r="GAG292" s="1069"/>
      <c r="GAH292" s="1069"/>
      <c r="GAI292" s="1069"/>
      <c r="GAJ292" s="1069"/>
      <c r="GAK292" s="1069"/>
      <c r="GAL292" s="1069"/>
      <c r="GAM292" s="1069"/>
      <c r="GAN292" s="1069"/>
      <c r="GAO292" s="1069"/>
      <c r="GAP292" s="1069"/>
      <c r="GAQ292" s="1069"/>
      <c r="GAR292" s="1069"/>
      <c r="GAS292" s="1069"/>
      <c r="GAT292" s="1069"/>
      <c r="GAU292" s="1069"/>
      <c r="GAV292" s="1069"/>
      <c r="GAW292" s="1069"/>
      <c r="GAX292" s="1069"/>
      <c r="GAY292" s="1069"/>
      <c r="GAZ292" s="1069"/>
      <c r="GBA292" s="1069"/>
      <c r="GBB292" s="1069"/>
      <c r="GBC292" s="1069"/>
      <c r="GBD292" s="1069"/>
      <c r="GBE292" s="1069"/>
      <c r="GBF292" s="1069"/>
      <c r="GBG292" s="1069"/>
      <c r="GBH292" s="1069"/>
      <c r="GBI292" s="1069"/>
      <c r="GBJ292" s="1069"/>
      <c r="GBK292" s="1069"/>
      <c r="GBL292" s="1069"/>
      <c r="GBM292" s="1069"/>
      <c r="GBN292" s="1069"/>
      <c r="GBO292" s="1069"/>
      <c r="GBP292" s="1069"/>
      <c r="GBQ292" s="1069"/>
      <c r="GBR292" s="1069"/>
      <c r="GBS292" s="1069"/>
      <c r="GBT292" s="1069"/>
      <c r="GBU292" s="1069"/>
      <c r="GBV292" s="1069"/>
      <c r="GBW292" s="1069"/>
      <c r="GBX292" s="1069"/>
      <c r="GBY292" s="1069"/>
      <c r="GBZ292" s="1069"/>
      <c r="GCA292" s="1069"/>
      <c r="GCB292" s="1069"/>
      <c r="GCC292" s="1069"/>
      <c r="GCD292" s="1069"/>
      <c r="GCE292" s="1069"/>
      <c r="GCF292" s="1069"/>
      <c r="GCG292" s="1069"/>
      <c r="GCH292" s="1069"/>
      <c r="GCI292" s="1069"/>
      <c r="GCJ292" s="1069"/>
      <c r="GCK292" s="1069"/>
      <c r="GCL292" s="1069"/>
      <c r="GCM292" s="1069"/>
      <c r="GCN292" s="1069"/>
      <c r="GCO292" s="1069"/>
      <c r="GCP292" s="1069"/>
      <c r="GCQ292" s="1069"/>
      <c r="GCR292" s="1069"/>
      <c r="GCS292" s="1069"/>
      <c r="GCT292" s="1069"/>
      <c r="GCU292" s="1069"/>
      <c r="GCV292" s="1069"/>
      <c r="GCW292" s="1069"/>
      <c r="GCX292" s="1069"/>
      <c r="GCY292" s="1069"/>
      <c r="GCZ292" s="1069"/>
      <c r="GDA292" s="1069"/>
      <c r="GDB292" s="1069"/>
      <c r="GDC292" s="1069"/>
      <c r="GDD292" s="1069"/>
      <c r="GDE292" s="1069"/>
      <c r="GDF292" s="1069"/>
      <c r="GDG292" s="1069"/>
      <c r="GDH292" s="1069"/>
      <c r="GDI292" s="1069"/>
      <c r="GDJ292" s="1069"/>
      <c r="GDK292" s="1069"/>
      <c r="GDL292" s="1069"/>
      <c r="GDM292" s="1069"/>
      <c r="GDN292" s="1069"/>
      <c r="GDO292" s="1069"/>
      <c r="GDP292" s="1069"/>
      <c r="GDQ292" s="1069"/>
      <c r="GDR292" s="1069"/>
      <c r="GDS292" s="1069"/>
      <c r="GDT292" s="1069"/>
      <c r="GDU292" s="1069"/>
      <c r="GDV292" s="1069"/>
      <c r="GDW292" s="1069"/>
      <c r="GDX292" s="1069"/>
      <c r="GDY292" s="1069"/>
      <c r="GDZ292" s="1069"/>
      <c r="GEA292" s="1069"/>
      <c r="GEB292" s="1069"/>
      <c r="GEC292" s="1069"/>
      <c r="GED292" s="1069"/>
      <c r="GEE292" s="1069"/>
      <c r="GEF292" s="1069"/>
      <c r="GEG292" s="1069"/>
      <c r="GEH292" s="1069"/>
      <c r="GEI292" s="1069"/>
      <c r="GEJ292" s="1069"/>
      <c r="GEK292" s="1069"/>
      <c r="GEL292" s="1069"/>
      <c r="GEM292" s="1069"/>
      <c r="GEN292" s="1069"/>
      <c r="GEO292" s="1069"/>
      <c r="GEP292" s="1069"/>
      <c r="GEQ292" s="1069"/>
      <c r="GER292" s="1069"/>
      <c r="GES292" s="1069"/>
      <c r="GET292" s="1069"/>
      <c r="GEU292" s="1069"/>
      <c r="GEV292" s="1069"/>
      <c r="GEW292" s="1069"/>
      <c r="GEX292" s="1069"/>
      <c r="GEY292" s="1069"/>
      <c r="GEZ292" s="1069"/>
      <c r="GFA292" s="1069"/>
      <c r="GFB292" s="1069"/>
      <c r="GFC292" s="1069"/>
      <c r="GFD292" s="1069"/>
      <c r="GFE292" s="1069"/>
      <c r="GFF292" s="1069"/>
      <c r="GFG292" s="1069"/>
      <c r="GFH292" s="1069"/>
      <c r="GFI292" s="1069"/>
      <c r="GFJ292" s="1069"/>
      <c r="GFK292" s="1069"/>
      <c r="GFL292" s="1069"/>
      <c r="GFM292" s="1069"/>
      <c r="GFN292" s="1069"/>
      <c r="GFO292" s="1069"/>
      <c r="GFP292" s="1069"/>
      <c r="GFQ292" s="1069"/>
      <c r="GFR292" s="1069"/>
      <c r="GFS292" s="1069"/>
      <c r="GFT292" s="1069"/>
      <c r="GFU292" s="1069"/>
      <c r="GFV292" s="1069"/>
      <c r="GFW292" s="1069"/>
      <c r="GFX292" s="1069"/>
      <c r="GFY292" s="1069"/>
      <c r="GFZ292" s="1069"/>
      <c r="GGA292" s="1069"/>
      <c r="GGB292" s="1069"/>
      <c r="GGC292" s="1069"/>
      <c r="GGD292" s="1069"/>
      <c r="GGE292" s="1069"/>
      <c r="GGF292" s="1069"/>
      <c r="GGG292" s="1069"/>
      <c r="GGH292" s="1069"/>
      <c r="GGI292" s="1069"/>
      <c r="GGJ292" s="1069"/>
      <c r="GGK292" s="1069"/>
      <c r="GGL292" s="1069"/>
      <c r="GGM292" s="1069"/>
      <c r="GGN292" s="1069"/>
      <c r="GGO292" s="1069"/>
      <c r="GGP292" s="1069"/>
      <c r="GGQ292" s="1069"/>
      <c r="GGR292" s="1069"/>
      <c r="GGS292" s="1069"/>
      <c r="GGT292" s="1069"/>
      <c r="GGU292" s="1069"/>
      <c r="GGV292" s="1069"/>
      <c r="GGW292" s="1069"/>
      <c r="GGX292" s="1069"/>
      <c r="GGY292" s="1069"/>
      <c r="GGZ292" s="1069"/>
      <c r="GHA292" s="1069"/>
      <c r="GHB292" s="1069"/>
      <c r="GHC292" s="1069"/>
      <c r="GHD292" s="1069"/>
      <c r="GHE292" s="1069"/>
      <c r="GHF292" s="1069"/>
      <c r="GHG292" s="1069"/>
      <c r="GHH292" s="1069"/>
      <c r="GHI292" s="1069"/>
      <c r="GHJ292" s="1069"/>
      <c r="GHK292" s="1069"/>
      <c r="GHL292" s="1069"/>
      <c r="GHM292" s="1069"/>
      <c r="GHN292" s="1069"/>
      <c r="GHO292" s="1069"/>
      <c r="GHP292" s="1069"/>
      <c r="GHQ292" s="1069"/>
      <c r="GHR292" s="1069"/>
      <c r="GHS292" s="1069"/>
      <c r="GHT292" s="1069"/>
      <c r="GHU292" s="1069"/>
      <c r="GHV292" s="1069"/>
      <c r="GHW292" s="1069"/>
      <c r="GHX292" s="1069"/>
      <c r="GHY292" s="1069"/>
      <c r="GHZ292" s="1069"/>
      <c r="GIA292" s="1069"/>
      <c r="GIB292" s="1069"/>
      <c r="GIC292" s="1069"/>
      <c r="GID292" s="1069"/>
      <c r="GIE292" s="1069"/>
      <c r="GIF292" s="1069"/>
      <c r="GIG292" s="1069"/>
      <c r="GIH292" s="1069"/>
      <c r="GII292" s="1069"/>
      <c r="GIJ292" s="1069"/>
      <c r="GIK292" s="1069"/>
      <c r="GIL292" s="1069"/>
      <c r="GIM292" s="1069"/>
      <c r="GIN292" s="1069"/>
      <c r="GIO292" s="1069"/>
      <c r="GIP292" s="1069"/>
      <c r="GIQ292" s="1069"/>
      <c r="GIR292" s="1069"/>
      <c r="GIS292" s="1069"/>
      <c r="GIT292" s="1069"/>
      <c r="GIU292" s="1069"/>
      <c r="GIV292" s="1069"/>
      <c r="GIW292" s="1069"/>
      <c r="GIX292" s="1069"/>
      <c r="GIY292" s="1069"/>
      <c r="GIZ292" s="1069"/>
      <c r="GJA292" s="1069"/>
      <c r="GJB292" s="1069"/>
      <c r="GJC292" s="1069"/>
      <c r="GJD292" s="1069"/>
      <c r="GJE292" s="1069"/>
      <c r="GJF292" s="1069"/>
      <c r="GJG292" s="1069"/>
      <c r="GJH292" s="1069"/>
      <c r="GJI292" s="1069"/>
      <c r="GJJ292" s="1069"/>
      <c r="GJK292" s="1069"/>
      <c r="GJL292" s="1069"/>
      <c r="GJM292" s="1069"/>
      <c r="GJN292" s="1069"/>
      <c r="GJO292" s="1069"/>
      <c r="GJP292" s="1069"/>
      <c r="GJQ292" s="1069"/>
      <c r="GJR292" s="1069"/>
      <c r="GJS292" s="1069"/>
      <c r="GJT292" s="1069"/>
      <c r="GJU292" s="1069"/>
      <c r="GJV292" s="1069"/>
      <c r="GJW292" s="1069"/>
      <c r="GJX292" s="1069"/>
      <c r="GJY292" s="1069"/>
      <c r="GJZ292" s="1069"/>
      <c r="GKA292" s="1069"/>
      <c r="GKB292" s="1069"/>
      <c r="GKC292" s="1069"/>
      <c r="GKD292" s="1069"/>
      <c r="GKE292" s="1069"/>
      <c r="GKF292" s="1069"/>
      <c r="GKG292" s="1069"/>
      <c r="GKH292" s="1069"/>
      <c r="GKI292" s="1069"/>
      <c r="GKJ292" s="1069"/>
      <c r="GKK292" s="1069"/>
      <c r="GKL292" s="1069"/>
      <c r="GKM292" s="1069"/>
      <c r="GKN292" s="1069"/>
      <c r="GKO292" s="1069"/>
      <c r="GKP292" s="1069"/>
      <c r="GKQ292" s="1069"/>
      <c r="GKR292" s="1069"/>
      <c r="GKS292" s="1069"/>
      <c r="GKT292" s="1069"/>
      <c r="GKU292" s="1069"/>
      <c r="GKV292" s="1069"/>
      <c r="GKW292" s="1069"/>
      <c r="GKX292" s="1069"/>
      <c r="GKY292" s="1069"/>
      <c r="GKZ292" s="1069"/>
      <c r="GLA292" s="1069"/>
      <c r="GLB292" s="1069"/>
      <c r="GLC292" s="1069"/>
      <c r="GLD292" s="1069"/>
      <c r="GLE292" s="1069"/>
      <c r="GLF292" s="1069"/>
      <c r="GLG292" s="1069"/>
      <c r="GLH292" s="1069"/>
      <c r="GLI292" s="1069"/>
      <c r="GLJ292" s="1069"/>
      <c r="GLK292" s="1069"/>
      <c r="GLL292" s="1069"/>
      <c r="GLM292" s="1069"/>
      <c r="GLN292" s="1069"/>
      <c r="GLO292" s="1069"/>
      <c r="GLP292" s="1069"/>
      <c r="GLQ292" s="1069"/>
      <c r="GLR292" s="1069"/>
      <c r="GLS292" s="1069"/>
      <c r="GLT292" s="1069"/>
      <c r="GLU292" s="1069"/>
      <c r="GLV292" s="1069"/>
      <c r="GLW292" s="1069"/>
      <c r="GLX292" s="1069"/>
      <c r="GLY292" s="1069"/>
      <c r="GLZ292" s="1069"/>
      <c r="GMA292" s="1069"/>
      <c r="GMB292" s="1069"/>
      <c r="GMC292" s="1069"/>
      <c r="GMD292" s="1069"/>
      <c r="GME292" s="1069"/>
      <c r="GMF292" s="1069"/>
      <c r="GMG292" s="1069"/>
      <c r="GMH292" s="1069"/>
      <c r="GMI292" s="1069"/>
      <c r="GMJ292" s="1069"/>
      <c r="GMK292" s="1069"/>
      <c r="GML292" s="1069"/>
      <c r="GMM292" s="1069"/>
      <c r="GMN292" s="1069"/>
      <c r="GMO292" s="1069"/>
      <c r="GMP292" s="1069"/>
      <c r="GMQ292" s="1069"/>
      <c r="GMR292" s="1069"/>
      <c r="GMS292" s="1069"/>
      <c r="GMT292" s="1069"/>
      <c r="GMU292" s="1069"/>
      <c r="GMV292" s="1069"/>
      <c r="GMW292" s="1069"/>
      <c r="GMX292" s="1069"/>
      <c r="GMY292" s="1069"/>
      <c r="GMZ292" s="1069"/>
      <c r="GNA292" s="1069"/>
      <c r="GNB292" s="1069"/>
      <c r="GNC292" s="1069"/>
      <c r="GND292" s="1069"/>
      <c r="GNE292" s="1069"/>
      <c r="GNF292" s="1069"/>
      <c r="GNG292" s="1069"/>
      <c r="GNH292" s="1069"/>
      <c r="GNI292" s="1069"/>
      <c r="GNJ292" s="1069"/>
      <c r="GNK292" s="1069"/>
      <c r="GNL292" s="1069"/>
      <c r="GNM292" s="1069"/>
      <c r="GNN292" s="1069"/>
      <c r="GNO292" s="1069"/>
      <c r="GNP292" s="1069"/>
      <c r="GNQ292" s="1069"/>
      <c r="GNR292" s="1069"/>
      <c r="GNS292" s="1069"/>
      <c r="GNT292" s="1069"/>
      <c r="GNU292" s="1069"/>
      <c r="GNV292" s="1069"/>
      <c r="GNW292" s="1069"/>
      <c r="GNX292" s="1069"/>
      <c r="GNY292" s="1069"/>
      <c r="GNZ292" s="1069"/>
      <c r="GOA292" s="1069"/>
      <c r="GOB292" s="1069"/>
      <c r="GOC292" s="1069"/>
      <c r="GOD292" s="1069"/>
      <c r="GOE292" s="1069"/>
      <c r="GOF292" s="1069"/>
      <c r="GOG292" s="1069"/>
      <c r="GOH292" s="1069"/>
      <c r="GOI292" s="1069"/>
      <c r="GOJ292" s="1069"/>
      <c r="GOK292" s="1069"/>
      <c r="GOL292" s="1069"/>
      <c r="GOM292" s="1069"/>
      <c r="GON292" s="1069"/>
      <c r="GOO292" s="1069"/>
      <c r="GOP292" s="1069"/>
      <c r="GOQ292" s="1069"/>
      <c r="GOR292" s="1069"/>
      <c r="GOS292" s="1069"/>
      <c r="GOT292" s="1069"/>
      <c r="GOU292" s="1069"/>
      <c r="GOV292" s="1069"/>
      <c r="GOW292" s="1069"/>
      <c r="GOX292" s="1069"/>
      <c r="GOY292" s="1069"/>
      <c r="GOZ292" s="1069"/>
      <c r="GPA292" s="1069"/>
      <c r="GPB292" s="1069"/>
      <c r="GPC292" s="1069"/>
      <c r="GPD292" s="1069"/>
      <c r="GPE292" s="1069"/>
      <c r="GPF292" s="1069"/>
      <c r="GPG292" s="1069"/>
      <c r="GPH292" s="1069"/>
      <c r="GPI292" s="1069"/>
      <c r="GPJ292" s="1069"/>
      <c r="GPK292" s="1069"/>
      <c r="GPL292" s="1069"/>
      <c r="GPM292" s="1069"/>
      <c r="GPN292" s="1069"/>
      <c r="GPO292" s="1069"/>
      <c r="GPP292" s="1069"/>
      <c r="GPQ292" s="1069"/>
      <c r="GPR292" s="1069"/>
      <c r="GPS292" s="1069"/>
      <c r="GPT292" s="1069"/>
      <c r="GPU292" s="1069"/>
      <c r="GPV292" s="1069"/>
      <c r="GPW292" s="1069"/>
      <c r="GPX292" s="1069"/>
      <c r="GPY292" s="1069"/>
      <c r="GPZ292" s="1069"/>
      <c r="GQA292" s="1069"/>
      <c r="GQB292" s="1069"/>
      <c r="GQC292" s="1069"/>
      <c r="GQD292" s="1069"/>
      <c r="GQE292" s="1069"/>
      <c r="GQF292" s="1069"/>
      <c r="GQG292" s="1069"/>
      <c r="GQH292" s="1069"/>
      <c r="GQI292" s="1069"/>
      <c r="GQJ292" s="1069"/>
      <c r="GQK292" s="1069"/>
      <c r="GQL292" s="1069"/>
      <c r="GQM292" s="1069"/>
      <c r="GQN292" s="1069"/>
      <c r="GQO292" s="1069"/>
      <c r="GQP292" s="1069"/>
      <c r="GQQ292" s="1069"/>
      <c r="GQR292" s="1069"/>
      <c r="GQS292" s="1069"/>
      <c r="GQT292" s="1069"/>
      <c r="GQU292" s="1069"/>
      <c r="GQV292" s="1069"/>
      <c r="GQW292" s="1069"/>
      <c r="GQX292" s="1069"/>
      <c r="GQY292" s="1069"/>
      <c r="GQZ292" s="1069"/>
      <c r="GRA292" s="1069"/>
      <c r="GRB292" s="1069"/>
      <c r="GRC292" s="1069"/>
      <c r="GRD292" s="1069"/>
      <c r="GRE292" s="1069"/>
      <c r="GRF292" s="1069"/>
      <c r="GRG292" s="1069"/>
      <c r="GRH292" s="1069"/>
      <c r="GRI292" s="1069"/>
      <c r="GRJ292" s="1069"/>
      <c r="GRK292" s="1069"/>
      <c r="GRL292" s="1069"/>
      <c r="GRM292" s="1069"/>
      <c r="GRN292" s="1069"/>
      <c r="GRO292" s="1069"/>
      <c r="GRP292" s="1069"/>
      <c r="GRQ292" s="1069"/>
      <c r="GRR292" s="1069"/>
      <c r="GRS292" s="1069"/>
      <c r="GRT292" s="1069"/>
      <c r="GRU292" s="1069"/>
      <c r="GRV292" s="1069"/>
      <c r="GRW292" s="1069"/>
      <c r="GRX292" s="1069"/>
      <c r="GRY292" s="1069"/>
      <c r="GRZ292" s="1069"/>
      <c r="GSA292" s="1069"/>
      <c r="GSB292" s="1069"/>
      <c r="GSC292" s="1069"/>
      <c r="GSD292" s="1069"/>
      <c r="GSE292" s="1069"/>
      <c r="GSF292" s="1069"/>
      <c r="GSG292" s="1069"/>
      <c r="GSH292" s="1069"/>
      <c r="GSI292" s="1069"/>
      <c r="GSJ292" s="1069"/>
      <c r="GSK292" s="1069"/>
      <c r="GSL292" s="1069"/>
      <c r="GSM292" s="1069"/>
      <c r="GSN292" s="1069"/>
      <c r="GSO292" s="1069"/>
      <c r="GSP292" s="1069"/>
      <c r="GSQ292" s="1069"/>
      <c r="GSR292" s="1069"/>
      <c r="GSS292" s="1069"/>
      <c r="GST292" s="1069"/>
      <c r="GSU292" s="1069"/>
      <c r="GSV292" s="1069"/>
      <c r="GSW292" s="1069"/>
      <c r="GSX292" s="1069"/>
      <c r="GSY292" s="1069"/>
      <c r="GSZ292" s="1069"/>
      <c r="GTA292" s="1069"/>
      <c r="GTB292" s="1069"/>
      <c r="GTC292" s="1069"/>
      <c r="GTD292" s="1069"/>
      <c r="GTE292" s="1069"/>
      <c r="GTF292" s="1069"/>
      <c r="GTG292" s="1069"/>
      <c r="GTH292" s="1069"/>
      <c r="GTI292" s="1069"/>
      <c r="GTJ292" s="1069"/>
      <c r="GTK292" s="1069"/>
      <c r="GTL292" s="1069"/>
      <c r="GTM292" s="1069"/>
      <c r="GTN292" s="1069"/>
      <c r="GTO292" s="1069"/>
      <c r="GTP292" s="1069"/>
      <c r="GTQ292" s="1069"/>
      <c r="GTR292" s="1069"/>
      <c r="GTS292" s="1069"/>
      <c r="GTT292" s="1069"/>
      <c r="GTU292" s="1069"/>
      <c r="GTV292" s="1069"/>
      <c r="GTW292" s="1069"/>
      <c r="GTX292" s="1069"/>
      <c r="GTY292" s="1069"/>
      <c r="GTZ292" s="1069"/>
      <c r="GUA292" s="1069"/>
      <c r="GUB292" s="1069"/>
      <c r="GUC292" s="1069"/>
      <c r="GUD292" s="1069"/>
      <c r="GUE292" s="1069"/>
      <c r="GUF292" s="1069"/>
      <c r="GUG292" s="1069"/>
      <c r="GUH292" s="1069"/>
      <c r="GUI292" s="1069"/>
      <c r="GUJ292" s="1069"/>
      <c r="GUK292" s="1069"/>
      <c r="GUL292" s="1069"/>
      <c r="GUM292" s="1069"/>
      <c r="GUN292" s="1069"/>
      <c r="GUO292" s="1069"/>
      <c r="GUP292" s="1069"/>
      <c r="GUQ292" s="1069"/>
      <c r="GUR292" s="1069"/>
      <c r="GUS292" s="1069"/>
      <c r="GUT292" s="1069"/>
      <c r="GUU292" s="1069"/>
      <c r="GUV292" s="1069"/>
      <c r="GUW292" s="1069"/>
      <c r="GUX292" s="1069"/>
      <c r="GUY292" s="1069"/>
      <c r="GUZ292" s="1069"/>
      <c r="GVA292" s="1069"/>
      <c r="GVB292" s="1069"/>
      <c r="GVC292" s="1069"/>
      <c r="GVD292" s="1069"/>
      <c r="GVE292" s="1069"/>
      <c r="GVF292" s="1069"/>
      <c r="GVG292" s="1069"/>
      <c r="GVH292" s="1069"/>
      <c r="GVI292" s="1069"/>
      <c r="GVJ292" s="1069"/>
      <c r="GVK292" s="1069"/>
      <c r="GVL292" s="1069"/>
      <c r="GVM292" s="1069"/>
      <c r="GVN292" s="1069"/>
      <c r="GVO292" s="1069"/>
      <c r="GVP292" s="1069"/>
      <c r="GVQ292" s="1069"/>
      <c r="GVR292" s="1069"/>
      <c r="GVS292" s="1069"/>
      <c r="GVT292" s="1069"/>
      <c r="GVU292" s="1069"/>
      <c r="GVV292" s="1069"/>
      <c r="GVW292" s="1069"/>
      <c r="GVX292" s="1069"/>
      <c r="GVY292" s="1069"/>
      <c r="GVZ292" s="1069"/>
      <c r="GWA292" s="1069"/>
      <c r="GWB292" s="1069"/>
      <c r="GWC292" s="1069"/>
      <c r="GWD292" s="1069"/>
      <c r="GWE292" s="1069"/>
      <c r="GWF292" s="1069"/>
      <c r="GWG292" s="1069"/>
      <c r="GWH292" s="1069"/>
      <c r="GWI292" s="1069"/>
      <c r="GWJ292" s="1069"/>
      <c r="GWK292" s="1069"/>
      <c r="GWL292" s="1069"/>
      <c r="GWM292" s="1069"/>
      <c r="GWN292" s="1069"/>
      <c r="GWO292" s="1069"/>
      <c r="GWP292" s="1069"/>
      <c r="GWQ292" s="1069"/>
      <c r="GWR292" s="1069"/>
      <c r="GWS292" s="1069"/>
      <c r="GWT292" s="1069"/>
      <c r="GWU292" s="1069"/>
      <c r="GWV292" s="1069"/>
      <c r="GWW292" s="1069"/>
      <c r="GWX292" s="1069"/>
      <c r="GWY292" s="1069"/>
      <c r="GWZ292" s="1069"/>
      <c r="GXA292" s="1069"/>
      <c r="GXB292" s="1069"/>
      <c r="GXC292" s="1069"/>
      <c r="GXD292" s="1069"/>
      <c r="GXE292" s="1069"/>
      <c r="GXF292" s="1069"/>
      <c r="GXG292" s="1069"/>
      <c r="GXH292" s="1069"/>
      <c r="GXI292" s="1069"/>
      <c r="GXJ292" s="1069"/>
      <c r="GXK292" s="1069"/>
      <c r="GXL292" s="1069"/>
      <c r="GXM292" s="1069"/>
      <c r="GXN292" s="1069"/>
      <c r="GXO292" s="1069"/>
      <c r="GXP292" s="1069"/>
      <c r="GXQ292" s="1069"/>
      <c r="GXR292" s="1069"/>
      <c r="GXS292" s="1069"/>
      <c r="GXT292" s="1069"/>
      <c r="GXU292" s="1069"/>
      <c r="GXV292" s="1069"/>
      <c r="GXW292" s="1069"/>
      <c r="GXX292" s="1069"/>
      <c r="GXY292" s="1069"/>
      <c r="GXZ292" s="1069"/>
      <c r="GYA292" s="1069"/>
      <c r="GYB292" s="1069"/>
      <c r="GYC292" s="1069"/>
      <c r="GYD292" s="1069"/>
      <c r="GYE292" s="1069"/>
      <c r="GYF292" s="1069"/>
      <c r="GYG292" s="1069"/>
      <c r="GYH292" s="1069"/>
      <c r="GYI292" s="1069"/>
      <c r="GYJ292" s="1069"/>
      <c r="GYK292" s="1069"/>
      <c r="GYL292" s="1069"/>
      <c r="GYM292" s="1069"/>
      <c r="GYN292" s="1069"/>
      <c r="GYO292" s="1069"/>
      <c r="GYP292" s="1069"/>
      <c r="GYQ292" s="1069"/>
      <c r="GYR292" s="1069"/>
      <c r="GYS292" s="1069"/>
      <c r="GYT292" s="1069"/>
      <c r="GYU292" s="1069"/>
      <c r="GYV292" s="1069"/>
      <c r="GYW292" s="1069"/>
      <c r="GYX292" s="1069"/>
      <c r="GYY292" s="1069"/>
      <c r="GYZ292" s="1069"/>
      <c r="GZA292" s="1069"/>
      <c r="GZB292" s="1069"/>
      <c r="GZC292" s="1069"/>
      <c r="GZD292" s="1069"/>
      <c r="GZE292" s="1069"/>
      <c r="GZF292" s="1069"/>
      <c r="GZG292" s="1069"/>
      <c r="GZH292" s="1069"/>
      <c r="GZI292" s="1069"/>
      <c r="GZJ292" s="1069"/>
      <c r="GZK292" s="1069"/>
      <c r="GZL292" s="1069"/>
      <c r="GZM292" s="1069"/>
      <c r="GZN292" s="1069"/>
      <c r="GZO292" s="1069"/>
      <c r="GZP292" s="1069"/>
      <c r="GZQ292" s="1069"/>
      <c r="GZR292" s="1069"/>
      <c r="GZS292" s="1069"/>
      <c r="GZT292" s="1069"/>
      <c r="GZU292" s="1069"/>
      <c r="GZV292" s="1069"/>
      <c r="GZW292" s="1069"/>
      <c r="GZX292" s="1069"/>
      <c r="GZY292" s="1069"/>
      <c r="GZZ292" s="1069"/>
      <c r="HAA292" s="1069"/>
      <c r="HAB292" s="1069"/>
      <c r="HAC292" s="1069"/>
      <c r="HAD292" s="1069"/>
      <c r="HAE292" s="1069"/>
      <c r="HAF292" s="1069"/>
      <c r="HAG292" s="1069"/>
      <c r="HAH292" s="1069"/>
      <c r="HAI292" s="1069"/>
      <c r="HAJ292" s="1069"/>
      <c r="HAK292" s="1069"/>
      <c r="HAL292" s="1069"/>
      <c r="HAM292" s="1069"/>
      <c r="HAN292" s="1069"/>
      <c r="HAO292" s="1069"/>
      <c r="HAP292" s="1069"/>
      <c r="HAQ292" s="1069"/>
      <c r="HAR292" s="1069"/>
      <c r="HAS292" s="1069"/>
      <c r="HAT292" s="1069"/>
      <c r="HAU292" s="1069"/>
      <c r="HAV292" s="1069"/>
      <c r="HAW292" s="1069"/>
      <c r="HAX292" s="1069"/>
      <c r="HAY292" s="1069"/>
      <c r="HAZ292" s="1069"/>
      <c r="HBA292" s="1069"/>
      <c r="HBB292" s="1069"/>
      <c r="HBC292" s="1069"/>
      <c r="HBD292" s="1069"/>
      <c r="HBE292" s="1069"/>
      <c r="HBF292" s="1069"/>
      <c r="HBG292" s="1069"/>
      <c r="HBH292" s="1069"/>
      <c r="HBI292" s="1069"/>
      <c r="HBJ292" s="1069"/>
      <c r="HBK292" s="1069"/>
      <c r="HBL292" s="1069"/>
      <c r="HBM292" s="1069"/>
      <c r="HBN292" s="1069"/>
      <c r="HBO292" s="1069"/>
      <c r="HBP292" s="1069"/>
      <c r="HBQ292" s="1069"/>
      <c r="HBR292" s="1069"/>
      <c r="HBS292" s="1069"/>
      <c r="HBT292" s="1069"/>
      <c r="HBU292" s="1069"/>
      <c r="HBV292" s="1069"/>
      <c r="HBW292" s="1069"/>
      <c r="HBX292" s="1069"/>
      <c r="HBY292" s="1069"/>
      <c r="HBZ292" s="1069"/>
      <c r="HCA292" s="1069"/>
      <c r="HCB292" s="1069"/>
      <c r="HCC292" s="1069"/>
      <c r="HCD292" s="1069"/>
      <c r="HCE292" s="1069"/>
      <c r="HCF292" s="1069"/>
      <c r="HCG292" s="1069"/>
      <c r="HCH292" s="1069"/>
      <c r="HCI292" s="1069"/>
      <c r="HCJ292" s="1069"/>
      <c r="HCK292" s="1069"/>
      <c r="HCL292" s="1069"/>
      <c r="HCM292" s="1069"/>
      <c r="HCN292" s="1069"/>
      <c r="HCO292" s="1069"/>
      <c r="HCP292" s="1069"/>
      <c r="HCQ292" s="1069"/>
      <c r="HCR292" s="1069"/>
      <c r="HCS292" s="1069"/>
      <c r="HCT292" s="1069"/>
      <c r="HCU292" s="1069"/>
      <c r="HCV292" s="1069"/>
      <c r="HCW292" s="1069"/>
      <c r="HCX292" s="1069"/>
      <c r="HCY292" s="1069"/>
      <c r="HCZ292" s="1069"/>
      <c r="HDA292" s="1069"/>
      <c r="HDB292" s="1069"/>
      <c r="HDC292" s="1069"/>
      <c r="HDD292" s="1069"/>
      <c r="HDE292" s="1069"/>
      <c r="HDF292" s="1069"/>
      <c r="HDG292" s="1069"/>
      <c r="HDH292" s="1069"/>
      <c r="HDI292" s="1069"/>
      <c r="HDJ292" s="1069"/>
      <c r="HDK292" s="1069"/>
      <c r="HDL292" s="1069"/>
      <c r="HDM292" s="1069"/>
      <c r="HDN292" s="1069"/>
      <c r="HDO292" s="1069"/>
      <c r="HDP292" s="1069"/>
      <c r="HDQ292" s="1069"/>
      <c r="HDR292" s="1069"/>
      <c r="HDS292" s="1069"/>
      <c r="HDT292" s="1069"/>
      <c r="HDU292" s="1069"/>
      <c r="HDV292" s="1069"/>
      <c r="HDW292" s="1069"/>
      <c r="HDX292" s="1069"/>
      <c r="HDY292" s="1069"/>
      <c r="HDZ292" s="1069"/>
      <c r="HEA292" s="1069"/>
      <c r="HEB292" s="1069"/>
      <c r="HEC292" s="1069"/>
      <c r="HED292" s="1069"/>
      <c r="HEE292" s="1069"/>
      <c r="HEF292" s="1069"/>
      <c r="HEG292" s="1069"/>
      <c r="HEH292" s="1069"/>
      <c r="HEI292" s="1069"/>
      <c r="HEJ292" s="1069"/>
      <c r="HEK292" s="1069"/>
      <c r="HEL292" s="1069"/>
      <c r="HEM292" s="1069"/>
      <c r="HEN292" s="1069"/>
      <c r="HEO292" s="1069"/>
      <c r="HEP292" s="1069"/>
      <c r="HEQ292" s="1069"/>
      <c r="HER292" s="1069"/>
      <c r="HES292" s="1069"/>
      <c r="HET292" s="1069"/>
      <c r="HEU292" s="1069"/>
      <c r="HEV292" s="1069"/>
      <c r="HEW292" s="1069"/>
      <c r="HEX292" s="1069"/>
      <c r="HEY292" s="1069"/>
      <c r="HEZ292" s="1069"/>
      <c r="HFA292" s="1069"/>
      <c r="HFB292" s="1069"/>
      <c r="HFC292" s="1069"/>
      <c r="HFD292" s="1069"/>
      <c r="HFE292" s="1069"/>
      <c r="HFF292" s="1069"/>
      <c r="HFG292" s="1069"/>
      <c r="HFH292" s="1069"/>
      <c r="HFI292" s="1069"/>
      <c r="HFJ292" s="1069"/>
      <c r="HFK292" s="1069"/>
      <c r="HFL292" s="1069"/>
      <c r="HFM292" s="1069"/>
      <c r="HFN292" s="1069"/>
      <c r="HFO292" s="1069"/>
      <c r="HFP292" s="1069"/>
      <c r="HFQ292" s="1069"/>
      <c r="HFR292" s="1069"/>
      <c r="HFS292" s="1069"/>
      <c r="HFT292" s="1069"/>
      <c r="HFU292" s="1069"/>
      <c r="HFV292" s="1069"/>
      <c r="HFW292" s="1069"/>
      <c r="HFX292" s="1069"/>
      <c r="HFY292" s="1069"/>
      <c r="HFZ292" s="1069"/>
      <c r="HGA292" s="1069"/>
      <c r="HGB292" s="1069"/>
      <c r="HGC292" s="1069"/>
      <c r="HGD292" s="1069"/>
      <c r="HGE292" s="1069"/>
      <c r="HGF292" s="1069"/>
      <c r="HGG292" s="1069"/>
      <c r="HGH292" s="1069"/>
      <c r="HGI292" s="1069"/>
      <c r="HGJ292" s="1069"/>
      <c r="HGK292" s="1069"/>
      <c r="HGL292" s="1069"/>
      <c r="HGM292" s="1069"/>
      <c r="HGN292" s="1069"/>
      <c r="HGO292" s="1069"/>
      <c r="HGP292" s="1069"/>
      <c r="HGQ292" s="1069"/>
      <c r="HGR292" s="1069"/>
      <c r="HGS292" s="1069"/>
      <c r="HGT292" s="1069"/>
      <c r="HGU292" s="1069"/>
      <c r="HGV292" s="1069"/>
      <c r="HGW292" s="1069"/>
      <c r="HGX292" s="1069"/>
      <c r="HGY292" s="1069"/>
      <c r="HGZ292" s="1069"/>
      <c r="HHA292" s="1069"/>
      <c r="HHB292" s="1069"/>
      <c r="HHC292" s="1069"/>
      <c r="HHD292" s="1069"/>
      <c r="HHE292" s="1069"/>
      <c r="HHF292" s="1069"/>
      <c r="HHG292" s="1069"/>
      <c r="HHH292" s="1069"/>
      <c r="HHI292" s="1069"/>
      <c r="HHJ292" s="1069"/>
      <c r="HHK292" s="1069"/>
      <c r="HHL292" s="1069"/>
      <c r="HHM292" s="1069"/>
      <c r="HHN292" s="1069"/>
      <c r="HHO292" s="1069"/>
      <c r="HHP292" s="1069"/>
      <c r="HHQ292" s="1069"/>
      <c r="HHR292" s="1069"/>
      <c r="HHS292" s="1069"/>
      <c r="HHT292" s="1069"/>
      <c r="HHU292" s="1069"/>
      <c r="HHV292" s="1069"/>
      <c r="HHW292" s="1069"/>
      <c r="HHX292" s="1069"/>
      <c r="HHY292" s="1069"/>
      <c r="HHZ292" s="1069"/>
      <c r="HIA292" s="1069"/>
      <c r="HIB292" s="1069"/>
      <c r="HIC292" s="1069"/>
      <c r="HID292" s="1069"/>
      <c r="HIE292" s="1069"/>
      <c r="HIF292" s="1069"/>
      <c r="HIG292" s="1069"/>
      <c r="HIH292" s="1069"/>
      <c r="HII292" s="1069"/>
      <c r="HIJ292" s="1069"/>
      <c r="HIK292" s="1069"/>
      <c r="HIL292" s="1069"/>
      <c r="HIM292" s="1069"/>
      <c r="HIN292" s="1069"/>
      <c r="HIO292" s="1069"/>
      <c r="HIP292" s="1069"/>
      <c r="HIQ292" s="1069"/>
      <c r="HIR292" s="1069"/>
      <c r="HIS292" s="1069"/>
      <c r="HIT292" s="1069"/>
      <c r="HIU292" s="1069"/>
      <c r="HIV292" s="1069"/>
      <c r="HIW292" s="1069"/>
      <c r="HIX292" s="1069"/>
      <c r="HIY292" s="1069"/>
      <c r="HIZ292" s="1069"/>
      <c r="HJA292" s="1069"/>
      <c r="HJB292" s="1069"/>
      <c r="HJC292" s="1069"/>
      <c r="HJD292" s="1069"/>
      <c r="HJE292" s="1069"/>
      <c r="HJF292" s="1069"/>
      <c r="HJG292" s="1069"/>
      <c r="HJH292" s="1069"/>
      <c r="HJI292" s="1069"/>
      <c r="HJJ292" s="1069"/>
      <c r="HJK292" s="1069"/>
      <c r="HJL292" s="1069"/>
      <c r="HJM292" s="1069"/>
      <c r="HJN292" s="1069"/>
      <c r="HJO292" s="1069"/>
      <c r="HJP292" s="1069"/>
      <c r="HJQ292" s="1069"/>
      <c r="HJR292" s="1069"/>
      <c r="HJS292" s="1069"/>
      <c r="HJT292" s="1069"/>
      <c r="HJU292" s="1069"/>
      <c r="HJV292" s="1069"/>
      <c r="HJW292" s="1069"/>
      <c r="HJX292" s="1069"/>
      <c r="HJY292" s="1069"/>
      <c r="HJZ292" s="1069"/>
      <c r="HKA292" s="1069"/>
      <c r="HKB292" s="1069"/>
      <c r="HKC292" s="1069"/>
      <c r="HKD292" s="1069"/>
      <c r="HKE292" s="1069"/>
      <c r="HKF292" s="1069"/>
      <c r="HKG292" s="1069"/>
      <c r="HKH292" s="1069"/>
      <c r="HKI292" s="1069"/>
      <c r="HKJ292" s="1069"/>
      <c r="HKK292" s="1069"/>
      <c r="HKL292" s="1069"/>
      <c r="HKM292" s="1069"/>
      <c r="HKN292" s="1069"/>
      <c r="HKO292" s="1069"/>
      <c r="HKP292" s="1069"/>
      <c r="HKQ292" s="1069"/>
      <c r="HKR292" s="1069"/>
      <c r="HKS292" s="1069"/>
      <c r="HKT292" s="1069"/>
      <c r="HKU292" s="1069"/>
      <c r="HKV292" s="1069"/>
      <c r="HKW292" s="1069"/>
      <c r="HKX292" s="1069"/>
      <c r="HKY292" s="1069"/>
      <c r="HKZ292" s="1069"/>
      <c r="HLA292" s="1069"/>
      <c r="HLB292" s="1069"/>
      <c r="HLC292" s="1069"/>
      <c r="HLD292" s="1069"/>
      <c r="HLE292" s="1069"/>
      <c r="HLF292" s="1069"/>
      <c r="HLG292" s="1069"/>
      <c r="HLH292" s="1069"/>
      <c r="HLI292" s="1069"/>
      <c r="HLJ292" s="1069"/>
      <c r="HLK292" s="1069"/>
      <c r="HLL292" s="1069"/>
      <c r="HLM292" s="1069"/>
      <c r="HLN292" s="1069"/>
      <c r="HLO292" s="1069"/>
      <c r="HLP292" s="1069"/>
      <c r="HLQ292" s="1069"/>
      <c r="HLR292" s="1069"/>
      <c r="HLS292" s="1069"/>
      <c r="HLT292" s="1069"/>
      <c r="HLU292" s="1069"/>
      <c r="HLV292" s="1069"/>
      <c r="HLW292" s="1069"/>
      <c r="HLX292" s="1069"/>
      <c r="HLY292" s="1069"/>
      <c r="HLZ292" s="1069"/>
      <c r="HMA292" s="1069"/>
      <c r="HMB292" s="1069"/>
      <c r="HMC292" s="1069"/>
      <c r="HMD292" s="1069"/>
      <c r="HME292" s="1069"/>
      <c r="HMF292" s="1069"/>
      <c r="HMG292" s="1069"/>
      <c r="HMH292" s="1069"/>
      <c r="HMI292" s="1069"/>
      <c r="HMJ292" s="1069"/>
      <c r="HMK292" s="1069"/>
      <c r="HML292" s="1069"/>
      <c r="HMM292" s="1069"/>
      <c r="HMN292" s="1069"/>
      <c r="HMO292" s="1069"/>
      <c r="HMP292" s="1069"/>
      <c r="HMQ292" s="1069"/>
      <c r="HMR292" s="1069"/>
      <c r="HMS292" s="1069"/>
      <c r="HMT292" s="1069"/>
      <c r="HMU292" s="1069"/>
      <c r="HMV292" s="1069"/>
      <c r="HMW292" s="1069"/>
      <c r="HMX292" s="1069"/>
      <c r="HMY292" s="1069"/>
      <c r="HMZ292" s="1069"/>
      <c r="HNA292" s="1069"/>
      <c r="HNB292" s="1069"/>
      <c r="HNC292" s="1069"/>
      <c r="HND292" s="1069"/>
      <c r="HNE292" s="1069"/>
      <c r="HNF292" s="1069"/>
      <c r="HNG292" s="1069"/>
      <c r="HNH292" s="1069"/>
      <c r="HNI292" s="1069"/>
      <c r="HNJ292" s="1069"/>
      <c r="HNK292" s="1069"/>
      <c r="HNL292" s="1069"/>
      <c r="HNM292" s="1069"/>
      <c r="HNN292" s="1069"/>
      <c r="HNO292" s="1069"/>
      <c r="HNP292" s="1069"/>
      <c r="HNQ292" s="1069"/>
      <c r="HNR292" s="1069"/>
      <c r="HNS292" s="1069"/>
      <c r="HNT292" s="1069"/>
      <c r="HNU292" s="1069"/>
      <c r="HNV292" s="1069"/>
      <c r="HNW292" s="1069"/>
      <c r="HNX292" s="1069"/>
      <c r="HNY292" s="1069"/>
      <c r="HNZ292" s="1069"/>
      <c r="HOA292" s="1069"/>
      <c r="HOB292" s="1069"/>
      <c r="HOC292" s="1069"/>
      <c r="HOD292" s="1069"/>
      <c r="HOE292" s="1069"/>
      <c r="HOF292" s="1069"/>
      <c r="HOG292" s="1069"/>
      <c r="HOH292" s="1069"/>
      <c r="HOI292" s="1069"/>
      <c r="HOJ292" s="1069"/>
      <c r="HOK292" s="1069"/>
      <c r="HOL292" s="1069"/>
      <c r="HOM292" s="1069"/>
      <c r="HON292" s="1069"/>
      <c r="HOO292" s="1069"/>
      <c r="HOP292" s="1069"/>
      <c r="HOQ292" s="1069"/>
      <c r="HOR292" s="1069"/>
      <c r="HOS292" s="1069"/>
      <c r="HOT292" s="1069"/>
      <c r="HOU292" s="1069"/>
      <c r="HOV292" s="1069"/>
      <c r="HOW292" s="1069"/>
      <c r="HOX292" s="1069"/>
      <c r="HOY292" s="1069"/>
      <c r="HOZ292" s="1069"/>
      <c r="HPA292" s="1069"/>
      <c r="HPB292" s="1069"/>
      <c r="HPC292" s="1069"/>
      <c r="HPD292" s="1069"/>
      <c r="HPE292" s="1069"/>
      <c r="HPF292" s="1069"/>
      <c r="HPG292" s="1069"/>
      <c r="HPH292" s="1069"/>
      <c r="HPI292" s="1069"/>
      <c r="HPJ292" s="1069"/>
      <c r="HPK292" s="1069"/>
      <c r="HPL292" s="1069"/>
      <c r="HPM292" s="1069"/>
      <c r="HPN292" s="1069"/>
      <c r="HPO292" s="1069"/>
      <c r="HPP292" s="1069"/>
      <c r="HPQ292" s="1069"/>
      <c r="HPR292" s="1069"/>
      <c r="HPS292" s="1069"/>
      <c r="HPT292" s="1069"/>
      <c r="HPU292" s="1069"/>
      <c r="HPV292" s="1069"/>
      <c r="HPW292" s="1069"/>
      <c r="HPX292" s="1069"/>
      <c r="HPY292" s="1069"/>
      <c r="HPZ292" s="1069"/>
      <c r="HQA292" s="1069"/>
      <c r="HQB292" s="1069"/>
      <c r="HQC292" s="1069"/>
      <c r="HQD292" s="1069"/>
      <c r="HQE292" s="1069"/>
      <c r="HQF292" s="1069"/>
      <c r="HQG292" s="1069"/>
      <c r="HQH292" s="1069"/>
      <c r="HQI292" s="1069"/>
      <c r="HQJ292" s="1069"/>
      <c r="HQK292" s="1069"/>
      <c r="HQL292" s="1069"/>
      <c r="HQM292" s="1069"/>
      <c r="HQN292" s="1069"/>
      <c r="HQO292" s="1069"/>
      <c r="HQP292" s="1069"/>
      <c r="HQQ292" s="1069"/>
      <c r="HQR292" s="1069"/>
      <c r="HQS292" s="1069"/>
      <c r="HQT292" s="1069"/>
      <c r="HQU292" s="1069"/>
      <c r="HQV292" s="1069"/>
      <c r="HQW292" s="1069"/>
      <c r="HQX292" s="1069"/>
      <c r="HQY292" s="1069"/>
      <c r="HQZ292" s="1069"/>
      <c r="HRA292" s="1069"/>
      <c r="HRB292" s="1069"/>
      <c r="HRC292" s="1069"/>
      <c r="HRD292" s="1069"/>
      <c r="HRE292" s="1069"/>
      <c r="HRF292" s="1069"/>
      <c r="HRG292" s="1069"/>
      <c r="HRH292" s="1069"/>
      <c r="HRI292" s="1069"/>
      <c r="HRJ292" s="1069"/>
      <c r="HRK292" s="1069"/>
      <c r="HRL292" s="1069"/>
      <c r="HRM292" s="1069"/>
      <c r="HRN292" s="1069"/>
      <c r="HRO292" s="1069"/>
      <c r="HRP292" s="1069"/>
      <c r="HRQ292" s="1069"/>
      <c r="HRR292" s="1069"/>
      <c r="HRS292" s="1069"/>
      <c r="HRT292" s="1069"/>
      <c r="HRU292" s="1069"/>
      <c r="HRV292" s="1069"/>
      <c r="HRW292" s="1069"/>
      <c r="HRX292" s="1069"/>
      <c r="HRY292" s="1069"/>
      <c r="HRZ292" s="1069"/>
      <c r="HSA292" s="1069"/>
      <c r="HSB292" s="1069"/>
      <c r="HSC292" s="1069"/>
      <c r="HSD292" s="1069"/>
      <c r="HSE292" s="1069"/>
      <c r="HSF292" s="1069"/>
      <c r="HSG292" s="1069"/>
      <c r="HSH292" s="1069"/>
      <c r="HSI292" s="1069"/>
      <c r="HSJ292" s="1069"/>
      <c r="HSK292" s="1069"/>
      <c r="HSL292" s="1069"/>
      <c r="HSM292" s="1069"/>
      <c r="HSN292" s="1069"/>
      <c r="HSO292" s="1069"/>
      <c r="HSP292" s="1069"/>
      <c r="HSQ292" s="1069"/>
      <c r="HSR292" s="1069"/>
      <c r="HSS292" s="1069"/>
      <c r="HST292" s="1069"/>
      <c r="HSU292" s="1069"/>
      <c r="HSV292" s="1069"/>
      <c r="HSW292" s="1069"/>
      <c r="HSX292" s="1069"/>
      <c r="HSY292" s="1069"/>
      <c r="HSZ292" s="1069"/>
      <c r="HTA292" s="1069"/>
      <c r="HTB292" s="1069"/>
      <c r="HTC292" s="1069"/>
      <c r="HTD292" s="1069"/>
      <c r="HTE292" s="1069"/>
      <c r="HTF292" s="1069"/>
      <c r="HTG292" s="1069"/>
      <c r="HTH292" s="1069"/>
      <c r="HTI292" s="1069"/>
      <c r="HTJ292" s="1069"/>
      <c r="HTK292" s="1069"/>
      <c r="HTL292" s="1069"/>
      <c r="HTM292" s="1069"/>
      <c r="HTN292" s="1069"/>
      <c r="HTO292" s="1069"/>
      <c r="HTP292" s="1069"/>
      <c r="HTQ292" s="1069"/>
      <c r="HTR292" s="1069"/>
      <c r="HTS292" s="1069"/>
      <c r="HTT292" s="1069"/>
      <c r="HTU292" s="1069"/>
      <c r="HTV292" s="1069"/>
      <c r="HTW292" s="1069"/>
      <c r="HTX292" s="1069"/>
      <c r="HTY292" s="1069"/>
      <c r="HTZ292" s="1069"/>
      <c r="HUA292" s="1069"/>
      <c r="HUB292" s="1069"/>
      <c r="HUC292" s="1069"/>
      <c r="HUD292" s="1069"/>
      <c r="HUE292" s="1069"/>
      <c r="HUF292" s="1069"/>
      <c r="HUG292" s="1069"/>
      <c r="HUH292" s="1069"/>
      <c r="HUI292" s="1069"/>
      <c r="HUJ292" s="1069"/>
      <c r="HUK292" s="1069"/>
      <c r="HUL292" s="1069"/>
      <c r="HUM292" s="1069"/>
      <c r="HUN292" s="1069"/>
      <c r="HUO292" s="1069"/>
      <c r="HUP292" s="1069"/>
      <c r="HUQ292" s="1069"/>
      <c r="HUR292" s="1069"/>
      <c r="HUS292" s="1069"/>
      <c r="HUT292" s="1069"/>
      <c r="HUU292" s="1069"/>
      <c r="HUV292" s="1069"/>
      <c r="HUW292" s="1069"/>
      <c r="HUX292" s="1069"/>
      <c r="HUY292" s="1069"/>
      <c r="HUZ292" s="1069"/>
      <c r="HVA292" s="1069"/>
      <c r="HVB292" s="1069"/>
      <c r="HVC292" s="1069"/>
      <c r="HVD292" s="1069"/>
      <c r="HVE292" s="1069"/>
      <c r="HVF292" s="1069"/>
      <c r="HVG292" s="1069"/>
      <c r="HVH292" s="1069"/>
      <c r="HVI292" s="1069"/>
      <c r="HVJ292" s="1069"/>
      <c r="HVK292" s="1069"/>
      <c r="HVL292" s="1069"/>
      <c r="HVM292" s="1069"/>
      <c r="HVN292" s="1069"/>
      <c r="HVO292" s="1069"/>
      <c r="HVP292" s="1069"/>
      <c r="HVQ292" s="1069"/>
      <c r="HVR292" s="1069"/>
      <c r="HVS292" s="1069"/>
      <c r="HVT292" s="1069"/>
      <c r="HVU292" s="1069"/>
      <c r="HVV292" s="1069"/>
      <c r="HVW292" s="1069"/>
      <c r="HVX292" s="1069"/>
      <c r="HVY292" s="1069"/>
      <c r="HVZ292" s="1069"/>
      <c r="HWA292" s="1069"/>
      <c r="HWB292" s="1069"/>
      <c r="HWC292" s="1069"/>
      <c r="HWD292" s="1069"/>
      <c r="HWE292" s="1069"/>
      <c r="HWF292" s="1069"/>
      <c r="HWG292" s="1069"/>
      <c r="HWH292" s="1069"/>
      <c r="HWI292" s="1069"/>
      <c r="HWJ292" s="1069"/>
      <c r="HWK292" s="1069"/>
      <c r="HWL292" s="1069"/>
      <c r="HWM292" s="1069"/>
      <c r="HWN292" s="1069"/>
      <c r="HWO292" s="1069"/>
      <c r="HWP292" s="1069"/>
      <c r="HWQ292" s="1069"/>
      <c r="HWR292" s="1069"/>
      <c r="HWS292" s="1069"/>
      <c r="HWT292" s="1069"/>
      <c r="HWU292" s="1069"/>
      <c r="HWV292" s="1069"/>
      <c r="HWW292" s="1069"/>
      <c r="HWX292" s="1069"/>
      <c r="HWY292" s="1069"/>
      <c r="HWZ292" s="1069"/>
      <c r="HXA292" s="1069"/>
      <c r="HXB292" s="1069"/>
      <c r="HXC292" s="1069"/>
      <c r="HXD292" s="1069"/>
      <c r="HXE292" s="1069"/>
      <c r="HXF292" s="1069"/>
      <c r="HXG292" s="1069"/>
      <c r="HXH292" s="1069"/>
      <c r="HXI292" s="1069"/>
      <c r="HXJ292" s="1069"/>
      <c r="HXK292" s="1069"/>
      <c r="HXL292" s="1069"/>
      <c r="HXM292" s="1069"/>
      <c r="HXN292" s="1069"/>
      <c r="HXO292" s="1069"/>
      <c r="HXP292" s="1069"/>
      <c r="HXQ292" s="1069"/>
      <c r="HXR292" s="1069"/>
      <c r="HXS292" s="1069"/>
      <c r="HXT292" s="1069"/>
      <c r="HXU292" s="1069"/>
      <c r="HXV292" s="1069"/>
      <c r="HXW292" s="1069"/>
      <c r="HXX292" s="1069"/>
      <c r="HXY292" s="1069"/>
      <c r="HXZ292" s="1069"/>
      <c r="HYA292" s="1069"/>
      <c r="HYB292" s="1069"/>
      <c r="HYC292" s="1069"/>
      <c r="HYD292" s="1069"/>
      <c r="HYE292" s="1069"/>
      <c r="HYF292" s="1069"/>
      <c r="HYG292" s="1069"/>
      <c r="HYH292" s="1069"/>
      <c r="HYI292" s="1069"/>
      <c r="HYJ292" s="1069"/>
      <c r="HYK292" s="1069"/>
      <c r="HYL292" s="1069"/>
      <c r="HYM292" s="1069"/>
      <c r="HYN292" s="1069"/>
      <c r="HYO292" s="1069"/>
      <c r="HYP292" s="1069"/>
      <c r="HYQ292" s="1069"/>
      <c r="HYR292" s="1069"/>
      <c r="HYS292" s="1069"/>
      <c r="HYT292" s="1069"/>
      <c r="HYU292" s="1069"/>
      <c r="HYV292" s="1069"/>
      <c r="HYW292" s="1069"/>
      <c r="HYX292" s="1069"/>
      <c r="HYY292" s="1069"/>
      <c r="HYZ292" s="1069"/>
      <c r="HZA292" s="1069"/>
      <c r="HZB292" s="1069"/>
      <c r="HZC292" s="1069"/>
      <c r="HZD292" s="1069"/>
      <c r="HZE292" s="1069"/>
      <c r="HZF292" s="1069"/>
      <c r="HZG292" s="1069"/>
      <c r="HZH292" s="1069"/>
      <c r="HZI292" s="1069"/>
      <c r="HZJ292" s="1069"/>
      <c r="HZK292" s="1069"/>
      <c r="HZL292" s="1069"/>
      <c r="HZM292" s="1069"/>
      <c r="HZN292" s="1069"/>
      <c r="HZO292" s="1069"/>
      <c r="HZP292" s="1069"/>
      <c r="HZQ292" s="1069"/>
      <c r="HZR292" s="1069"/>
      <c r="HZS292" s="1069"/>
      <c r="HZT292" s="1069"/>
      <c r="HZU292" s="1069"/>
      <c r="HZV292" s="1069"/>
      <c r="HZW292" s="1069"/>
      <c r="HZX292" s="1069"/>
      <c r="HZY292" s="1069"/>
      <c r="HZZ292" s="1069"/>
      <c r="IAA292" s="1069"/>
      <c r="IAB292" s="1069"/>
      <c r="IAC292" s="1069"/>
      <c r="IAD292" s="1069"/>
      <c r="IAE292" s="1069"/>
      <c r="IAF292" s="1069"/>
      <c r="IAG292" s="1069"/>
      <c r="IAH292" s="1069"/>
      <c r="IAI292" s="1069"/>
      <c r="IAJ292" s="1069"/>
      <c r="IAK292" s="1069"/>
      <c r="IAL292" s="1069"/>
      <c r="IAM292" s="1069"/>
      <c r="IAN292" s="1069"/>
      <c r="IAO292" s="1069"/>
      <c r="IAP292" s="1069"/>
      <c r="IAQ292" s="1069"/>
      <c r="IAR292" s="1069"/>
      <c r="IAS292" s="1069"/>
      <c r="IAT292" s="1069"/>
      <c r="IAU292" s="1069"/>
      <c r="IAV292" s="1069"/>
      <c r="IAW292" s="1069"/>
      <c r="IAX292" s="1069"/>
      <c r="IAY292" s="1069"/>
      <c r="IAZ292" s="1069"/>
      <c r="IBA292" s="1069"/>
      <c r="IBB292" s="1069"/>
      <c r="IBC292" s="1069"/>
      <c r="IBD292" s="1069"/>
      <c r="IBE292" s="1069"/>
      <c r="IBF292" s="1069"/>
      <c r="IBG292" s="1069"/>
      <c r="IBH292" s="1069"/>
      <c r="IBI292" s="1069"/>
      <c r="IBJ292" s="1069"/>
      <c r="IBK292" s="1069"/>
      <c r="IBL292" s="1069"/>
      <c r="IBM292" s="1069"/>
      <c r="IBN292" s="1069"/>
      <c r="IBO292" s="1069"/>
      <c r="IBP292" s="1069"/>
      <c r="IBQ292" s="1069"/>
      <c r="IBR292" s="1069"/>
      <c r="IBS292" s="1069"/>
      <c r="IBT292" s="1069"/>
      <c r="IBU292" s="1069"/>
      <c r="IBV292" s="1069"/>
      <c r="IBW292" s="1069"/>
      <c r="IBX292" s="1069"/>
      <c r="IBY292" s="1069"/>
      <c r="IBZ292" s="1069"/>
      <c r="ICA292" s="1069"/>
      <c r="ICB292" s="1069"/>
      <c r="ICC292" s="1069"/>
      <c r="ICD292" s="1069"/>
      <c r="ICE292" s="1069"/>
      <c r="ICF292" s="1069"/>
      <c r="ICG292" s="1069"/>
      <c r="ICH292" s="1069"/>
      <c r="ICI292" s="1069"/>
      <c r="ICJ292" s="1069"/>
      <c r="ICK292" s="1069"/>
      <c r="ICL292" s="1069"/>
      <c r="ICM292" s="1069"/>
      <c r="ICN292" s="1069"/>
      <c r="ICO292" s="1069"/>
      <c r="ICP292" s="1069"/>
      <c r="ICQ292" s="1069"/>
      <c r="ICR292" s="1069"/>
      <c r="ICS292" s="1069"/>
      <c r="ICT292" s="1069"/>
      <c r="ICU292" s="1069"/>
      <c r="ICV292" s="1069"/>
      <c r="ICW292" s="1069"/>
      <c r="ICX292" s="1069"/>
      <c r="ICY292" s="1069"/>
      <c r="ICZ292" s="1069"/>
      <c r="IDA292" s="1069"/>
      <c r="IDB292" s="1069"/>
      <c r="IDC292" s="1069"/>
      <c r="IDD292" s="1069"/>
      <c r="IDE292" s="1069"/>
      <c r="IDF292" s="1069"/>
      <c r="IDG292" s="1069"/>
      <c r="IDH292" s="1069"/>
      <c r="IDI292" s="1069"/>
      <c r="IDJ292" s="1069"/>
      <c r="IDK292" s="1069"/>
      <c r="IDL292" s="1069"/>
      <c r="IDM292" s="1069"/>
      <c r="IDN292" s="1069"/>
      <c r="IDO292" s="1069"/>
      <c r="IDP292" s="1069"/>
      <c r="IDQ292" s="1069"/>
      <c r="IDR292" s="1069"/>
      <c r="IDS292" s="1069"/>
      <c r="IDT292" s="1069"/>
      <c r="IDU292" s="1069"/>
      <c r="IDV292" s="1069"/>
      <c r="IDW292" s="1069"/>
      <c r="IDX292" s="1069"/>
      <c r="IDY292" s="1069"/>
      <c r="IDZ292" s="1069"/>
      <c r="IEA292" s="1069"/>
      <c r="IEB292" s="1069"/>
      <c r="IEC292" s="1069"/>
      <c r="IED292" s="1069"/>
      <c r="IEE292" s="1069"/>
      <c r="IEF292" s="1069"/>
      <c r="IEG292" s="1069"/>
      <c r="IEH292" s="1069"/>
      <c r="IEI292" s="1069"/>
      <c r="IEJ292" s="1069"/>
      <c r="IEK292" s="1069"/>
      <c r="IEL292" s="1069"/>
      <c r="IEM292" s="1069"/>
      <c r="IEN292" s="1069"/>
      <c r="IEO292" s="1069"/>
      <c r="IEP292" s="1069"/>
      <c r="IEQ292" s="1069"/>
      <c r="IER292" s="1069"/>
      <c r="IES292" s="1069"/>
      <c r="IET292" s="1069"/>
      <c r="IEU292" s="1069"/>
      <c r="IEV292" s="1069"/>
      <c r="IEW292" s="1069"/>
      <c r="IEX292" s="1069"/>
      <c r="IEY292" s="1069"/>
      <c r="IEZ292" s="1069"/>
      <c r="IFA292" s="1069"/>
      <c r="IFB292" s="1069"/>
      <c r="IFC292" s="1069"/>
      <c r="IFD292" s="1069"/>
      <c r="IFE292" s="1069"/>
      <c r="IFF292" s="1069"/>
      <c r="IFG292" s="1069"/>
      <c r="IFH292" s="1069"/>
      <c r="IFI292" s="1069"/>
      <c r="IFJ292" s="1069"/>
      <c r="IFK292" s="1069"/>
      <c r="IFL292" s="1069"/>
      <c r="IFM292" s="1069"/>
      <c r="IFN292" s="1069"/>
      <c r="IFO292" s="1069"/>
      <c r="IFP292" s="1069"/>
      <c r="IFQ292" s="1069"/>
      <c r="IFR292" s="1069"/>
      <c r="IFS292" s="1069"/>
      <c r="IFT292" s="1069"/>
      <c r="IFU292" s="1069"/>
      <c r="IFV292" s="1069"/>
      <c r="IFW292" s="1069"/>
      <c r="IFX292" s="1069"/>
      <c r="IFY292" s="1069"/>
      <c r="IFZ292" s="1069"/>
      <c r="IGA292" s="1069"/>
      <c r="IGB292" s="1069"/>
      <c r="IGC292" s="1069"/>
      <c r="IGD292" s="1069"/>
      <c r="IGE292" s="1069"/>
      <c r="IGF292" s="1069"/>
      <c r="IGG292" s="1069"/>
      <c r="IGH292" s="1069"/>
      <c r="IGI292" s="1069"/>
      <c r="IGJ292" s="1069"/>
      <c r="IGK292" s="1069"/>
      <c r="IGL292" s="1069"/>
      <c r="IGM292" s="1069"/>
      <c r="IGN292" s="1069"/>
      <c r="IGO292" s="1069"/>
      <c r="IGP292" s="1069"/>
      <c r="IGQ292" s="1069"/>
      <c r="IGR292" s="1069"/>
      <c r="IGS292" s="1069"/>
      <c r="IGT292" s="1069"/>
      <c r="IGU292" s="1069"/>
      <c r="IGV292" s="1069"/>
      <c r="IGW292" s="1069"/>
      <c r="IGX292" s="1069"/>
      <c r="IGY292" s="1069"/>
      <c r="IGZ292" s="1069"/>
      <c r="IHA292" s="1069"/>
      <c r="IHB292" s="1069"/>
      <c r="IHC292" s="1069"/>
      <c r="IHD292" s="1069"/>
      <c r="IHE292" s="1069"/>
      <c r="IHF292" s="1069"/>
      <c r="IHG292" s="1069"/>
      <c r="IHH292" s="1069"/>
      <c r="IHI292" s="1069"/>
      <c r="IHJ292" s="1069"/>
      <c r="IHK292" s="1069"/>
      <c r="IHL292" s="1069"/>
      <c r="IHM292" s="1069"/>
      <c r="IHN292" s="1069"/>
      <c r="IHO292" s="1069"/>
      <c r="IHP292" s="1069"/>
      <c r="IHQ292" s="1069"/>
      <c r="IHR292" s="1069"/>
      <c r="IHS292" s="1069"/>
      <c r="IHT292" s="1069"/>
      <c r="IHU292" s="1069"/>
      <c r="IHV292" s="1069"/>
      <c r="IHW292" s="1069"/>
      <c r="IHX292" s="1069"/>
      <c r="IHY292" s="1069"/>
      <c r="IHZ292" s="1069"/>
      <c r="IIA292" s="1069"/>
      <c r="IIB292" s="1069"/>
      <c r="IIC292" s="1069"/>
      <c r="IID292" s="1069"/>
      <c r="IIE292" s="1069"/>
      <c r="IIF292" s="1069"/>
      <c r="IIG292" s="1069"/>
      <c r="IIH292" s="1069"/>
      <c r="III292" s="1069"/>
      <c r="IIJ292" s="1069"/>
      <c r="IIK292" s="1069"/>
      <c r="IIL292" s="1069"/>
      <c r="IIM292" s="1069"/>
      <c r="IIN292" s="1069"/>
      <c r="IIO292" s="1069"/>
      <c r="IIP292" s="1069"/>
      <c r="IIQ292" s="1069"/>
      <c r="IIR292" s="1069"/>
      <c r="IIS292" s="1069"/>
      <c r="IIT292" s="1069"/>
      <c r="IIU292" s="1069"/>
      <c r="IIV292" s="1069"/>
      <c r="IIW292" s="1069"/>
      <c r="IIX292" s="1069"/>
      <c r="IIY292" s="1069"/>
      <c r="IIZ292" s="1069"/>
      <c r="IJA292" s="1069"/>
      <c r="IJB292" s="1069"/>
      <c r="IJC292" s="1069"/>
      <c r="IJD292" s="1069"/>
      <c r="IJE292" s="1069"/>
      <c r="IJF292" s="1069"/>
      <c r="IJG292" s="1069"/>
      <c r="IJH292" s="1069"/>
      <c r="IJI292" s="1069"/>
      <c r="IJJ292" s="1069"/>
      <c r="IJK292" s="1069"/>
      <c r="IJL292" s="1069"/>
      <c r="IJM292" s="1069"/>
      <c r="IJN292" s="1069"/>
      <c r="IJO292" s="1069"/>
      <c r="IJP292" s="1069"/>
      <c r="IJQ292" s="1069"/>
      <c r="IJR292" s="1069"/>
      <c r="IJS292" s="1069"/>
      <c r="IJT292" s="1069"/>
      <c r="IJU292" s="1069"/>
      <c r="IJV292" s="1069"/>
      <c r="IJW292" s="1069"/>
      <c r="IJX292" s="1069"/>
      <c r="IJY292" s="1069"/>
      <c r="IJZ292" s="1069"/>
      <c r="IKA292" s="1069"/>
      <c r="IKB292" s="1069"/>
      <c r="IKC292" s="1069"/>
      <c r="IKD292" s="1069"/>
      <c r="IKE292" s="1069"/>
      <c r="IKF292" s="1069"/>
      <c r="IKG292" s="1069"/>
      <c r="IKH292" s="1069"/>
      <c r="IKI292" s="1069"/>
      <c r="IKJ292" s="1069"/>
      <c r="IKK292" s="1069"/>
      <c r="IKL292" s="1069"/>
      <c r="IKM292" s="1069"/>
      <c r="IKN292" s="1069"/>
      <c r="IKO292" s="1069"/>
      <c r="IKP292" s="1069"/>
      <c r="IKQ292" s="1069"/>
      <c r="IKR292" s="1069"/>
      <c r="IKS292" s="1069"/>
      <c r="IKT292" s="1069"/>
      <c r="IKU292" s="1069"/>
      <c r="IKV292" s="1069"/>
      <c r="IKW292" s="1069"/>
      <c r="IKX292" s="1069"/>
      <c r="IKY292" s="1069"/>
      <c r="IKZ292" s="1069"/>
      <c r="ILA292" s="1069"/>
      <c r="ILB292" s="1069"/>
      <c r="ILC292" s="1069"/>
      <c r="ILD292" s="1069"/>
      <c r="ILE292" s="1069"/>
      <c r="ILF292" s="1069"/>
      <c r="ILG292" s="1069"/>
      <c r="ILH292" s="1069"/>
      <c r="ILI292" s="1069"/>
      <c r="ILJ292" s="1069"/>
      <c r="ILK292" s="1069"/>
      <c r="ILL292" s="1069"/>
      <c r="ILM292" s="1069"/>
      <c r="ILN292" s="1069"/>
      <c r="ILO292" s="1069"/>
      <c r="ILP292" s="1069"/>
      <c r="ILQ292" s="1069"/>
      <c r="ILR292" s="1069"/>
      <c r="ILS292" s="1069"/>
      <c r="ILT292" s="1069"/>
      <c r="ILU292" s="1069"/>
      <c r="ILV292" s="1069"/>
      <c r="ILW292" s="1069"/>
      <c r="ILX292" s="1069"/>
      <c r="ILY292" s="1069"/>
      <c r="ILZ292" s="1069"/>
      <c r="IMA292" s="1069"/>
      <c r="IMB292" s="1069"/>
      <c r="IMC292" s="1069"/>
      <c r="IMD292" s="1069"/>
      <c r="IME292" s="1069"/>
      <c r="IMF292" s="1069"/>
      <c r="IMG292" s="1069"/>
      <c r="IMH292" s="1069"/>
      <c r="IMI292" s="1069"/>
      <c r="IMJ292" s="1069"/>
      <c r="IMK292" s="1069"/>
      <c r="IML292" s="1069"/>
      <c r="IMM292" s="1069"/>
      <c r="IMN292" s="1069"/>
      <c r="IMO292" s="1069"/>
      <c r="IMP292" s="1069"/>
      <c r="IMQ292" s="1069"/>
      <c r="IMR292" s="1069"/>
      <c r="IMS292" s="1069"/>
      <c r="IMT292" s="1069"/>
      <c r="IMU292" s="1069"/>
      <c r="IMV292" s="1069"/>
      <c r="IMW292" s="1069"/>
      <c r="IMX292" s="1069"/>
      <c r="IMY292" s="1069"/>
      <c r="IMZ292" s="1069"/>
      <c r="INA292" s="1069"/>
      <c r="INB292" s="1069"/>
      <c r="INC292" s="1069"/>
      <c r="IND292" s="1069"/>
      <c r="INE292" s="1069"/>
      <c r="INF292" s="1069"/>
      <c r="ING292" s="1069"/>
      <c r="INH292" s="1069"/>
      <c r="INI292" s="1069"/>
      <c r="INJ292" s="1069"/>
      <c r="INK292" s="1069"/>
      <c r="INL292" s="1069"/>
      <c r="INM292" s="1069"/>
      <c r="INN292" s="1069"/>
      <c r="INO292" s="1069"/>
      <c r="INP292" s="1069"/>
      <c r="INQ292" s="1069"/>
      <c r="INR292" s="1069"/>
      <c r="INS292" s="1069"/>
      <c r="INT292" s="1069"/>
      <c r="INU292" s="1069"/>
      <c r="INV292" s="1069"/>
      <c r="INW292" s="1069"/>
      <c r="INX292" s="1069"/>
      <c r="INY292" s="1069"/>
      <c r="INZ292" s="1069"/>
      <c r="IOA292" s="1069"/>
      <c r="IOB292" s="1069"/>
      <c r="IOC292" s="1069"/>
      <c r="IOD292" s="1069"/>
      <c r="IOE292" s="1069"/>
      <c r="IOF292" s="1069"/>
      <c r="IOG292" s="1069"/>
      <c r="IOH292" s="1069"/>
      <c r="IOI292" s="1069"/>
      <c r="IOJ292" s="1069"/>
      <c r="IOK292" s="1069"/>
      <c r="IOL292" s="1069"/>
      <c r="IOM292" s="1069"/>
      <c r="ION292" s="1069"/>
      <c r="IOO292" s="1069"/>
      <c r="IOP292" s="1069"/>
      <c r="IOQ292" s="1069"/>
      <c r="IOR292" s="1069"/>
      <c r="IOS292" s="1069"/>
      <c r="IOT292" s="1069"/>
      <c r="IOU292" s="1069"/>
      <c r="IOV292" s="1069"/>
      <c r="IOW292" s="1069"/>
      <c r="IOX292" s="1069"/>
      <c r="IOY292" s="1069"/>
      <c r="IOZ292" s="1069"/>
      <c r="IPA292" s="1069"/>
      <c r="IPB292" s="1069"/>
      <c r="IPC292" s="1069"/>
      <c r="IPD292" s="1069"/>
      <c r="IPE292" s="1069"/>
      <c r="IPF292" s="1069"/>
      <c r="IPG292" s="1069"/>
      <c r="IPH292" s="1069"/>
      <c r="IPI292" s="1069"/>
      <c r="IPJ292" s="1069"/>
      <c r="IPK292" s="1069"/>
      <c r="IPL292" s="1069"/>
      <c r="IPM292" s="1069"/>
      <c r="IPN292" s="1069"/>
      <c r="IPO292" s="1069"/>
      <c r="IPP292" s="1069"/>
      <c r="IPQ292" s="1069"/>
      <c r="IPR292" s="1069"/>
      <c r="IPS292" s="1069"/>
      <c r="IPT292" s="1069"/>
      <c r="IPU292" s="1069"/>
      <c r="IPV292" s="1069"/>
      <c r="IPW292" s="1069"/>
      <c r="IPX292" s="1069"/>
      <c r="IPY292" s="1069"/>
      <c r="IPZ292" s="1069"/>
      <c r="IQA292" s="1069"/>
      <c r="IQB292" s="1069"/>
      <c r="IQC292" s="1069"/>
      <c r="IQD292" s="1069"/>
      <c r="IQE292" s="1069"/>
      <c r="IQF292" s="1069"/>
      <c r="IQG292" s="1069"/>
      <c r="IQH292" s="1069"/>
      <c r="IQI292" s="1069"/>
      <c r="IQJ292" s="1069"/>
      <c r="IQK292" s="1069"/>
      <c r="IQL292" s="1069"/>
      <c r="IQM292" s="1069"/>
      <c r="IQN292" s="1069"/>
      <c r="IQO292" s="1069"/>
      <c r="IQP292" s="1069"/>
      <c r="IQQ292" s="1069"/>
      <c r="IQR292" s="1069"/>
      <c r="IQS292" s="1069"/>
      <c r="IQT292" s="1069"/>
      <c r="IQU292" s="1069"/>
      <c r="IQV292" s="1069"/>
      <c r="IQW292" s="1069"/>
      <c r="IQX292" s="1069"/>
      <c r="IQY292" s="1069"/>
      <c r="IQZ292" s="1069"/>
      <c r="IRA292" s="1069"/>
      <c r="IRB292" s="1069"/>
      <c r="IRC292" s="1069"/>
      <c r="IRD292" s="1069"/>
      <c r="IRE292" s="1069"/>
      <c r="IRF292" s="1069"/>
      <c r="IRG292" s="1069"/>
      <c r="IRH292" s="1069"/>
      <c r="IRI292" s="1069"/>
      <c r="IRJ292" s="1069"/>
      <c r="IRK292" s="1069"/>
      <c r="IRL292" s="1069"/>
      <c r="IRM292" s="1069"/>
      <c r="IRN292" s="1069"/>
      <c r="IRO292" s="1069"/>
      <c r="IRP292" s="1069"/>
      <c r="IRQ292" s="1069"/>
      <c r="IRR292" s="1069"/>
      <c r="IRS292" s="1069"/>
      <c r="IRT292" s="1069"/>
      <c r="IRU292" s="1069"/>
      <c r="IRV292" s="1069"/>
      <c r="IRW292" s="1069"/>
      <c r="IRX292" s="1069"/>
      <c r="IRY292" s="1069"/>
      <c r="IRZ292" s="1069"/>
      <c r="ISA292" s="1069"/>
      <c r="ISB292" s="1069"/>
      <c r="ISC292" s="1069"/>
      <c r="ISD292" s="1069"/>
      <c r="ISE292" s="1069"/>
      <c r="ISF292" s="1069"/>
      <c r="ISG292" s="1069"/>
      <c r="ISH292" s="1069"/>
      <c r="ISI292" s="1069"/>
      <c r="ISJ292" s="1069"/>
      <c r="ISK292" s="1069"/>
      <c r="ISL292" s="1069"/>
      <c r="ISM292" s="1069"/>
      <c r="ISN292" s="1069"/>
      <c r="ISO292" s="1069"/>
      <c r="ISP292" s="1069"/>
      <c r="ISQ292" s="1069"/>
      <c r="ISR292" s="1069"/>
      <c r="ISS292" s="1069"/>
      <c r="IST292" s="1069"/>
      <c r="ISU292" s="1069"/>
      <c r="ISV292" s="1069"/>
      <c r="ISW292" s="1069"/>
      <c r="ISX292" s="1069"/>
      <c r="ISY292" s="1069"/>
      <c r="ISZ292" s="1069"/>
      <c r="ITA292" s="1069"/>
      <c r="ITB292" s="1069"/>
      <c r="ITC292" s="1069"/>
      <c r="ITD292" s="1069"/>
      <c r="ITE292" s="1069"/>
      <c r="ITF292" s="1069"/>
      <c r="ITG292" s="1069"/>
      <c r="ITH292" s="1069"/>
      <c r="ITI292" s="1069"/>
      <c r="ITJ292" s="1069"/>
      <c r="ITK292" s="1069"/>
      <c r="ITL292" s="1069"/>
      <c r="ITM292" s="1069"/>
      <c r="ITN292" s="1069"/>
      <c r="ITO292" s="1069"/>
      <c r="ITP292" s="1069"/>
      <c r="ITQ292" s="1069"/>
      <c r="ITR292" s="1069"/>
      <c r="ITS292" s="1069"/>
      <c r="ITT292" s="1069"/>
      <c r="ITU292" s="1069"/>
      <c r="ITV292" s="1069"/>
      <c r="ITW292" s="1069"/>
      <c r="ITX292" s="1069"/>
      <c r="ITY292" s="1069"/>
      <c r="ITZ292" s="1069"/>
      <c r="IUA292" s="1069"/>
      <c r="IUB292" s="1069"/>
      <c r="IUC292" s="1069"/>
      <c r="IUD292" s="1069"/>
      <c r="IUE292" s="1069"/>
      <c r="IUF292" s="1069"/>
      <c r="IUG292" s="1069"/>
      <c r="IUH292" s="1069"/>
      <c r="IUI292" s="1069"/>
      <c r="IUJ292" s="1069"/>
      <c r="IUK292" s="1069"/>
      <c r="IUL292" s="1069"/>
      <c r="IUM292" s="1069"/>
      <c r="IUN292" s="1069"/>
      <c r="IUO292" s="1069"/>
      <c r="IUP292" s="1069"/>
      <c r="IUQ292" s="1069"/>
      <c r="IUR292" s="1069"/>
      <c r="IUS292" s="1069"/>
      <c r="IUT292" s="1069"/>
      <c r="IUU292" s="1069"/>
      <c r="IUV292" s="1069"/>
      <c r="IUW292" s="1069"/>
      <c r="IUX292" s="1069"/>
      <c r="IUY292" s="1069"/>
      <c r="IUZ292" s="1069"/>
      <c r="IVA292" s="1069"/>
      <c r="IVB292" s="1069"/>
      <c r="IVC292" s="1069"/>
      <c r="IVD292" s="1069"/>
      <c r="IVE292" s="1069"/>
      <c r="IVF292" s="1069"/>
      <c r="IVG292" s="1069"/>
      <c r="IVH292" s="1069"/>
      <c r="IVI292" s="1069"/>
      <c r="IVJ292" s="1069"/>
      <c r="IVK292" s="1069"/>
      <c r="IVL292" s="1069"/>
      <c r="IVM292" s="1069"/>
      <c r="IVN292" s="1069"/>
      <c r="IVO292" s="1069"/>
      <c r="IVP292" s="1069"/>
      <c r="IVQ292" s="1069"/>
      <c r="IVR292" s="1069"/>
      <c r="IVS292" s="1069"/>
      <c r="IVT292" s="1069"/>
      <c r="IVU292" s="1069"/>
      <c r="IVV292" s="1069"/>
      <c r="IVW292" s="1069"/>
      <c r="IVX292" s="1069"/>
      <c r="IVY292" s="1069"/>
      <c r="IVZ292" s="1069"/>
      <c r="IWA292" s="1069"/>
      <c r="IWB292" s="1069"/>
      <c r="IWC292" s="1069"/>
      <c r="IWD292" s="1069"/>
      <c r="IWE292" s="1069"/>
      <c r="IWF292" s="1069"/>
      <c r="IWG292" s="1069"/>
      <c r="IWH292" s="1069"/>
      <c r="IWI292" s="1069"/>
      <c r="IWJ292" s="1069"/>
      <c r="IWK292" s="1069"/>
      <c r="IWL292" s="1069"/>
      <c r="IWM292" s="1069"/>
      <c r="IWN292" s="1069"/>
      <c r="IWO292" s="1069"/>
      <c r="IWP292" s="1069"/>
      <c r="IWQ292" s="1069"/>
      <c r="IWR292" s="1069"/>
      <c r="IWS292" s="1069"/>
      <c r="IWT292" s="1069"/>
      <c r="IWU292" s="1069"/>
      <c r="IWV292" s="1069"/>
      <c r="IWW292" s="1069"/>
      <c r="IWX292" s="1069"/>
      <c r="IWY292" s="1069"/>
      <c r="IWZ292" s="1069"/>
      <c r="IXA292" s="1069"/>
      <c r="IXB292" s="1069"/>
      <c r="IXC292" s="1069"/>
      <c r="IXD292" s="1069"/>
      <c r="IXE292" s="1069"/>
      <c r="IXF292" s="1069"/>
      <c r="IXG292" s="1069"/>
      <c r="IXH292" s="1069"/>
      <c r="IXI292" s="1069"/>
      <c r="IXJ292" s="1069"/>
      <c r="IXK292" s="1069"/>
      <c r="IXL292" s="1069"/>
      <c r="IXM292" s="1069"/>
      <c r="IXN292" s="1069"/>
      <c r="IXO292" s="1069"/>
      <c r="IXP292" s="1069"/>
      <c r="IXQ292" s="1069"/>
      <c r="IXR292" s="1069"/>
      <c r="IXS292" s="1069"/>
      <c r="IXT292" s="1069"/>
      <c r="IXU292" s="1069"/>
      <c r="IXV292" s="1069"/>
      <c r="IXW292" s="1069"/>
      <c r="IXX292" s="1069"/>
      <c r="IXY292" s="1069"/>
      <c r="IXZ292" s="1069"/>
      <c r="IYA292" s="1069"/>
      <c r="IYB292" s="1069"/>
      <c r="IYC292" s="1069"/>
      <c r="IYD292" s="1069"/>
      <c r="IYE292" s="1069"/>
      <c r="IYF292" s="1069"/>
      <c r="IYG292" s="1069"/>
      <c r="IYH292" s="1069"/>
      <c r="IYI292" s="1069"/>
      <c r="IYJ292" s="1069"/>
      <c r="IYK292" s="1069"/>
      <c r="IYL292" s="1069"/>
      <c r="IYM292" s="1069"/>
      <c r="IYN292" s="1069"/>
      <c r="IYO292" s="1069"/>
      <c r="IYP292" s="1069"/>
      <c r="IYQ292" s="1069"/>
      <c r="IYR292" s="1069"/>
      <c r="IYS292" s="1069"/>
      <c r="IYT292" s="1069"/>
      <c r="IYU292" s="1069"/>
      <c r="IYV292" s="1069"/>
      <c r="IYW292" s="1069"/>
      <c r="IYX292" s="1069"/>
      <c r="IYY292" s="1069"/>
      <c r="IYZ292" s="1069"/>
      <c r="IZA292" s="1069"/>
      <c r="IZB292" s="1069"/>
      <c r="IZC292" s="1069"/>
      <c r="IZD292" s="1069"/>
      <c r="IZE292" s="1069"/>
      <c r="IZF292" s="1069"/>
      <c r="IZG292" s="1069"/>
      <c r="IZH292" s="1069"/>
      <c r="IZI292" s="1069"/>
      <c r="IZJ292" s="1069"/>
      <c r="IZK292" s="1069"/>
      <c r="IZL292" s="1069"/>
      <c r="IZM292" s="1069"/>
      <c r="IZN292" s="1069"/>
      <c r="IZO292" s="1069"/>
      <c r="IZP292" s="1069"/>
      <c r="IZQ292" s="1069"/>
      <c r="IZR292" s="1069"/>
      <c r="IZS292" s="1069"/>
      <c r="IZT292" s="1069"/>
      <c r="IZU292" s="1069"/>
      <c r="IZV292" s="1069"/>
      <c r="IZW292" s="1069"/>
      <c r="IZX292" s="1069"/>
      <c r="IZY292" s="1069"/>
      <c r="IZZ292" s="1069"/>
      <c r="JAA292" s="1069"/>
      <c r="JAB292" s="1069"/>
      <c r="JAC292" s="1069"/>
      <c r="JAD292" s="1069"/>
      <c r="JAE292" s="1069"/>
      <c r="JAF292" s="1069"/>
      <c r="JAG292" s="1069"/>
      <c r="JAH292" s="1069"/>
      <c r="JAI292" s="1069"/>
      <c r="JAJ292" s="1069"/>
      <c r="JAK292" s="1069"/>
      <c r="JAL292" s="1069"/>
      <c r="JAM292" s="1069"/>
      <c r="JAN292" s="1069"/>
      <c r="JAO292" s="1069"/>
      <c r="JAP292" s="1069"/>
      <c r="JAQ292" s="1069"/>
      <c r="JAR292" s="1069"/>
      <c r="JAS292" s="1069"/>
      <c r="JAT292" s="1069"/>
      <c r="JAU292" s="1069"/>
      <c r="JAV292" s="1069"/>
      <c r="JAW292" s="1069"/>
      <c r="JAX292" s="1069"/>
      <c r="JAY292" s="1069"/>
      <c r="JAZ292" s="1069"/>
      <c r="JBA292" s="1069"/>
      <c r="JBB292" s="1069"/>
      <c r="JBC292" s="1069"/>
      <c r="JBD292" s="1069"/>
      <c r="JBE292" s="1069"/>
      <c r="JBF292" s="1069"/>
      <c r="JBG292" s="1069"/>
      <c r="JBH292" s="1069"/>
      <c r="JBI292" s="1069"/>
      <c r="JBJ292" s="1069"/>
      <c r="JBK292" s="1069"/>
      <c r="JBL292" s="1069"/>
      <c r="JBM292" s="1069"/>
      <c r="JBN292" s="1069"/>
      <c r="JBO292" s="1069"/>
      <c r="JBP292" s="1069"/>
      <c r="JBQ292" s="1069"/>
      <c r="JBR292" s="1069"/>
      <c r="JBS292" s="1069"/>
      <c r="JBT292" s="1069"/>
      <c r="JBU292" s="1069"/>
      <c r="JBV292" s="1069"/>
      <c r="JBW292" s="1069"/>
      <c r="JBX292" s="1069"/>
      <c r="JBY292" s="1069"/>
      <c r="JBZ292" s="1069"/>
      <c r="JCA292" s="1069"/>
      <c r="JCB292" s="1069"/>
      <c r="JCC292" s="1069"/>
      <c r="JCD292" s="1069"/>
      <c r="JCE292" s="1069"/>
      <c r="JCF292" s="1069"/>
      <c r="JCG292" s="1069"/>
      <c r="JCH292" s="1069"/>
      <c r="JCI292" s="1069"/>
      <c r="JCJ292" s="1069"/>
      <c r="JCK292" s="1069"/>
      <c r="JCL292" s="1069"/>
      <c r="JCM292" s="1069"/>
      <c r="JCN292" s="1069"/>
      <c r="JCO292" s="1069"/>
      <c r="JCP292" s="1069"/>
      <c r="JCQ292" s="1069"/>
      <c r="JCR292" s="1069"/>
      <c r="JCS292" s="1069"/>
      <c r="JCT292" s="1069"/>
      <c r="JCU292" s="1069"/>
      <c r="JCV292" s="1069"/>
      <c r="JCW292" s="1069"/>
      <c r="JCX292" s="1069"/>
      <c r="JCY292" s="1069"/>
      <c r="JCZ292" s="1069"/>
      <c r="JDA292" s="1069"/>
      <c r="JDB292" s="1069"/>
      <c r="JDC292" s="1069"/>
      <c r="JDD292" s="1069"/>
      <c r="JDE292" s="1069"/>
      <c r="JDF292" s="1069"/>
      <c r="JDG292" s="1069"/>
      <c r="JDH292" s="1069"/>
      <c r="JDI292" s="1069"/>
      <c r="JDJ292" s="1069"/>
      <c r="JDK292" s="1069"/>
      <c r="JDL292" s="1069"/>
      <c r="JDM292" s="1069"/>
      <c r="JDN292" s="1069"/>
      <c r="JDO292" s="1069"/>
      <c r="JDP292" s="1069"/>
      <c r="JDQ292" s="1069"/>
      <c r="JDR292" s="1069"/>
      <c r="JDS292" s="1069"/>
      <c r="JDT292" s="1069"/>
      <c r="JDU292" s="1069"/>
      <c r="JDV292" s="1069"/>
      <c r="JDW292" s="1069"/>
      <c r="JDX292" s="1069"/>
      <c r="JDY292" s="1069"/>
      <c r="JDZ292" s="1069"/>
      <c r="JEA292" s="1069"/>
      <c r="JEB292" s="1069"/>
      <c r="JEC292" s="1069"/>
      <c r="JED292" s="1069"/>
      <c r="JEE292" s="1069"/>
      <c r="JEF292" s="1069"/>
      <c r="JEG292" s="1069"/>
      <c r="JEH292" s="1069"/>
      <c r="JEI292" s="1069"/>
      <c r="JEJ292" s="1069"/>
      <c r="JEK292" s="1069"/>
      <c r="JEL292" s="1069"/>
      <c r="JEM292" s="1069"/>
      <c r="JEN292" s="1069"/>
      <c r="JEO292" s="1069"/>
      <c r="JEP292" s="1069"/>
      <c r="JEQ292" s="1069"/>
      <c r="JER292" s="1069"/>
      <c r="JES292" s="1069"/>
      <c r="JET292" s="1069"/>
      <c r="JEU292" s="1069"/>
      <c r="JEV292" s="1069"/>
      <c r="JEW292" s="1069"/>
      <c r="JEX292" s="1069"/>
      <c r="JEY292" s="1069"/>
      <c r="JEZ292" s="1069"/>
      <c r="JFA292" s="1069"/>
      <c r="JFB292" s="1069"/>
      <c r="JFC292" s="1069"/>
      <c r="JFD292" s="1069"/>
      <c r="JFE292" s="1069"/>
      <c r="JFF292" s="1069"/>
      <c r="JFG292" s="1069"/>
      <c r="JFH292" s="1069"/>
      <c r="JFI292" s="1069"/>
      <c r="JFJ292" s="1069"/>
      <c r="JFK292" s="1069"/>
      <c r="JFL292" s="1069"/>
      <c r="JFM292" s="1069"/>
      <c r="JFN292" s="1069"/>
      <c r="JFO292" s="1069"/>
      <c r="JFP292" s="1069"/>
      <c r="JFQ292" s="1069"/>
      <c r="JFR292" s="1069"/>
      <c r="JFS292" s="1069"/>
      <c r="JFT292" s="1069"/>
      <c r="JFU292" s="1069"/>
      <c r="JFV292" s="1069"/>
      <c r="JFW292" s="1069"/>
      <c r="JFX292" s="1069"/>
      <c r="JFY292" s="1069"/>
      <c r="JFZ292" s="1069"/>
      <c r="JGA292" s="1069"/>
      <c r="JGB292" s="1069"/>
      <c r="JGC292" s="1069"/>
      <c r="JGD292" s="1069"/>
      <c r="JGE292" s="1069"/>
      <c r="JGF292" s="1069"/>
      <c r="JGG292" s="1069"/>
      <c r="JGH292" s="1069"/>
      <c r="JGI292" s="1069"/>
      <c r="JGJ292" s="1069"/>
      <c r="JGK292" s="1069"/>
      <c r="JGL292" s="1069"/>
      <c r="JGM292" s="1069"/>
      <c r="JGN292" s="1069"/>
      <c r="JGO292" s="1069"/>
      <c r="JGP292" s="1069"/>
      <c r="JGQ292" s="1069"/>
      <c r="JGR292" s="1069"/>
      <c r="JGS292" s="1069"/>
      <c r="JGT292" s="1069"/>
      <c r="JGU292" s="1069"/>
      <c r="JGV292" s="1069"/>
      <c r="JGW292" s="1069"/>
      <c r="JGX292" s="1069"/>
      <c r="JGY292" s="1069"/>
      <c r="JGZ292" s="1069"/>
      <c r="JHA292" s="1069"/>
      <c r="JHB292" s="1069"/>
      <c r="JHC292" s="1069"/>
      <c r="JHD292" s="1069"/>
      <c r="JHE292" s="1069"/>
      <c r="JHF292" s="1069"/>
      <c r="JHG292" s="1069"/>
      <c r="JHH292" s="1069"/>
      <c r="JHI292" s="1069"/>
      <c r="JHJ292" s="1069"/>
      <c r="JHK292" s="1069"/>
      <c r="JHL292" s="1069"/>
      <c r="JHM292" s="1069"/>
      <c r="JHN292" s="1069"/>
      <c r="JHO292" s="1069"/>
      <c r="JHP292" s="1069"/>
      <c r="JHQ292" s="1069"/>
      <c r="JHR292" s="1069"/>
      <c r="JHS292" s="1069"/>
      <c r="JHT292" s="1069"/>
      <c r="JHU292" s="1069"/>
      <c r="JHV292" s="1069"/>
      <c r="JHW292" s="1069"/>
      <c r="JHX292" s="1069"/>
      <c r="JHY292" s="1069"/>
      <c r="JHZ292" s="1069"/>
      <c r="JIA292" s="1069"/>
      <c r="JIB292" s="1069"/>
      <c r="JIC292" s="1069"/>
      <c r="JID292" s="1069"/>
      <c r="JIE292" s="1069"/>
      <c r="JIF292" s="1069"/>
      <c r="JIG292" s="1069"/>
      <c r="JIH292" s="1069"/>
      <c r="JII292" s="1069"/>
      <c r="JIJ292" s="1069"/>
      <c r="JIK292" s="1069"/>
      <c r="JIL292" s="1069"/>
      <c r="JIM292" s="1069"/>
      <c r="JIN292" s="1069"/>
      <c r="JIO292" s="1069"/>
      <c r="JIP292" s="1069"/>
      <c r="JIQ292" s="1069"/>
      <c r="JIR292" s="1069"/>
      <c r="JIS292" s="1069"/>
      <c r="JIT292" s="1069"/>
      <c r="JIU292" s="1069"/>
      <c r="JIV292" s="1069"/>
      <c r="JIW292" s="1069"/>
      <c r="JIX292" s="1069"/>
      <c r="JIY292" s="1069"/>
      <c r="JIZ292" s="1069"/>
      <c r="JJA292" s="1069"/>
      <c r="JJB292" s="1069"/>
      <c r="JJC292" s="1069"/>
      <c r="JJD292" s="1069"/>
      <c r="JJE292" s="1069"/>
      <c r="JJF292" s="1069"/>
      <c r="JJG292" s="1069"/>
      <c r="JJH292" s="1069"/>
      <c r="JJI292" s="1069"/>
      <c r="JJJ292" s="1069"/>
      <c r="JJK292" s="1069"/>
      <c r="JJL292" s="1069"/>
      <c r="JJM292" s="1069"/>
      <c r="JJN292" s="1069"/>
      <c r="JJO292" s="1069"/>
      <c r="JJP292" s="1069"/>
      <c r="JJQ292" s="1069"/>
      <c r="JJR292" s="1069"/>
      <c r="JJS292" s="1069"/>
      <c r="JJT292" s="1069"/>
      <c r="JJU292" s="1069"/>
      <c r="JJV292" s="1069"/>
      <c r="JJW292" s="1069"/>
      <c r="JJX292" s="1069"/>
      <c r="JJY292" s="1069"/>
      <c r="JJZ292" s="1069"/>
      <c r="JKA292" s="1069"/>
      <c r="JKB292" s="1069"/>
      <c r="JKC292" s="1069"/>
      <c r="JKD292" s="1069"/>
      <c r="JKE292" s="1069"/>
      <c r="JKF292" s="1069"/>
      <c r="JKG292" s="1069"/>
      <c r="JKH292" s="1069"/>
      <c r="JKI292" s="1069"/>
      <c r="JKJ292" s="1069"/>
      <c r="JKK292" s="1069"/>
      <c r="JKL292" s="1069"/>
      <c r="JKM292" s="1069"/>
      <c r="JKN292" s="1069"/>
      <c r="JKO292" s="1069"/>
      <c r="JKP292" s="1069"/>
      <c r="JKQ292" s="1069"/>
      <c r="JKR292" s="1069"/>
      <c r="JKS292" s="1069"/>
      <c r="JKT292" s="1069"/>
      <c r="JKU292" s="1069"/>
      <c r="JKV292" s="1069"/>
      <c r="JKW292" s="1069"/>
      <c r="JKX292" s="1069"/>
      <c r="JKY292" s="1069"/>
      <c r="JKZ292" s="1069"/>
      <c r="JLA292" s="1069"/>
      <c r="JLB292" s="1069"/>
      <c r="JLC292" s="1069"/>
      <c r="JLD292" s="1069"/>
      <c r="JLE292" s="1069"/>
      <c r="JLF292" s="1069"/>
      <c r="JLG292" s="1069"/>
      <c r="JLH292" s="1069"/>
      <c r="JLI292" s="1069"/>
      <c r="JLJ292" s="1069"/>
      <c r="JLK292" s="1069"/>
      <c r="JLL292" s="1069"/>
      <c r="JLM292" s="1069"/>
      <c r="JLN292" s="1069"/>
      <c r="JLO292" s="1069"/>
      <c r="JLP292" s="1069"/>
      <c r="JLQ292" s="1069"/>
      <c r="JLR292" s="1069"/>
      <c r="JLS292" s="1069"/>
      <c r="JLT292" s="1069"/>
      <c r="JLU292" s="1069"/>
      <c r="JLV292" s="1069"/>
      <c r="JLW292" s="1069"/>
      <c r="JLX292" s="1069"/>
      <c r="JLY292" s="1069"/>
      <c r="JLZ292" s="1069"/>
      <c r="JMA292" s="1069"/>
      <c r="JMB292" s="1069"/>
      <c r="JMC292" s="1069"/>
      <c r="JMD292" s="1069"/>
      <c r="JME292" s="1069"/>
      <c r="JMF292" s="1069"/>
      <c r="JMG292" s="1069"/>
      <c r="JMH292" s="1069"/>
      <c r="JMI292" s="1069"/>
      <c r="JMJ292" s="1069"/>
      <c r="JMK292" s="1069"/>
      <c r="JML292" s="1069"/>
      <c r="JMM292" s="1069"/>
      <c r="JMN292" s="1069"/>
      <c r="JMO292" s="1069"/>
      <c r="JMP292" s="1069"/>
      <c r="JMQ292" s="1069"/>
      <c r="JMR292" s="1069"/>
      <c r="JMS292" s="1069"/>
      <c r="JMT292" s="1069"/>
      <c r="JMU292" s="1069"/>
      <c r="JMV292" s="1069"/>
      <c r="JMW292" s="1069"/>
      <c r="JMX292" s="1069"/>
      <c r="JMY292" s="1069"/>
      <c r="JMZ292" s="1069"/>
      <c r="JNA292" s="1069"/>
      <c r="JNB292" s="1069"/>
      <c r="JNC292" s="1069"/>
      <c r="JND292" s="1069"/>
      <c r="JNE292" s="1069"/>
      <c r="JNF292" s="1069"/>
      <c r="JNG292" s="1069"/>
      <c r="JNH292" s="1069"/>
      <c r="JNI292" s="1069"/>
      <c r="JNJ292" s="1069"/>
      <c r="JNK292" s="1069"/>
      <c r="JNL292" s="1069"/>
      <c r="JNM292" s="1069"/>
      <c r="JNN292" s="1069"/>
      <c r="JNO292" s="1069"/>
      <c r="JNP292" s="1069"/>
      <c r="JNQ292" s="1069"/>
      <c r="JNR292" s="1069"/>
      <c r="JNS292" s="1069"/>
      <c r="JNT292" s="1069"/>
      <c r="JNU292" s="1069"/>
      <c r="JNV292" s="1069"/>
      <c r="JNW292" s="1069"/>
      <c r="JNX292" s="1069"/>
      <c r="JNY292" s="1069"/>
      <c r="JNZ292" s="1069"/>
      <c r="JOA292" s="1069"/>
      <c r="JOB292" s="1069"/>
      <c r="JOC292" s="1069"/>
      <c r="JOD292" s="1069"/>
      <c r="JOE292" s="1069"/>
      <c r="JOF292" s="1069"/>
      <c r="JOG292" s="1069"/>
      <c r="JOH292" s="1069"/>
      <c r="JOI292" s="1069"/>
      <c r="JOJ292" s="1069"/>
      <c r="JOK292" s="1069"/>
      <c r="JOL292" s="1069"/>
      <c r="JOM292" s="1069"/>
      <c r="JON292" s="1069"/>
      <c r="JOO292" s="1069"/>
      <c r="JOP292" s="1069"/>
      <c r="JOQ292" s="1069"/>
      <c r="JOR292" s="1069"/>
      <c r="JOS292" s="1069"/>
      <c r="JOT292" s="1069"/>
      <c r="JOU292" s="1069"/>
      <c r="JOV292" s="1069"/>
      <c r="JOW292" s="1069"/>
      <c r="JOX292" s="1069"/>
      <c r="JOY292" s="1069"/>
      <c r="JOZ292" s="1069"/>
      <c r="JPA292" s="1069"/>
      <c r="JPB292" s="1069"/>
      <c r="JPC292" s="1069"/>
      <c r="JPD292" s="1069"/>
      <c r="JPE292" s="1069"/>
      <c r="JPF292" s="1069"/>
      <c r="JPG292" s="1069"/>
      <c r="JPH292" s="1069"/>
      <c r="JPI292" s="1069"/>
      <c r="JPJ292" s="1069"/>
      <c r="JPK292" s="1069"/>
      <c r="JPL292" s="1069"/>
      <c r="JPM292" s="1069"/>
      <c r="JPN292" s="1069"/>
      <c r="JPO292" s="1069"/>
      <c r="JPP292" s="1069"/>
      <c r="JPQ292" s="1069"/>
      <c r="JPR292" s="1069"/>
      <c r="JPS292" s="1069"/>
      <c r="JPT292" s="1069"/>
      <c r="JPU292" s="1069"/>
      <c r="JPV292" s="1069"/>
      <c r="JPW292" s="1069"/>
      <c r="JPX292" s="1069"/>
      <c r="JPY292" s="1069"/>
      <c r="JPZ292" s="1069"/>
      <c r="JQA292" s="1069"/>
      <c r="JQB292" s="1069"/>
      <c r="JQC292" s="1069"/>
      <c r="JQD292" s="1069"/>
      <c r="JQE292" s="1069"/>
      <c r="JQF292" s="1069"/>
      <c r="JQG292" s="1069"/>
      <c r="JQH292" s="1069"/>
      <c r="JQI292" s="1069"/>
      <c r="JQJ292" s="1069"/>
      <c r="JQK292" s="1069"/>
      <c r="JQL292" s="1069"/>
      <c r="JQM292" s="1069"/>
      <c r="JQN292" s="1069"/>
      <c r="JQO292" s="1069"/>
      <c r="JQP292" s="1069"/>
      <c r="JQQ292" s="1069"/>
      <c r="JQR292" s="1069"/>
      <c r="JQS292" s="1069"/>
      <c r="JQT292" s="1069"/>
      <c r="JQU292" s="1069"/>
      <c r="JQV292" s="1069"/>
      <c r="JQW292" s="1069"/>
      <c r="JQX292" s="1069"/>
      <c r="JQY292" s="1069"/>
      <c r="JQZ292" s="1069"/>
      <c r="JRA292" s="1069"/>
      <c r="JRB292" s="1069"/>
      <c r="JRC292" s="1069"/>
      <c r="JRD292" s="1069"/>
      <c r="JRE292" s="1069"/>
      <c r="JRF292" s="1069"/>
      <c r="JRG292" s="1069"/>
      <c r="JRH292" s="1069"/>
      <c r="JRI292" s="1069"/>
      <c r="JRJ292" s="1069"/>
      <c r="JRK292" s="1069"/>
      <c r="JRL292" s="1069"/>
      <c r="JRM292" s="1069"/>
      <c r="JRN292" s="1069"/>
      <c r="JRO292" s="1069"/>
      <c r="JRP292" s="1069"/>
      <c r="JRQ292" s="1069"/>
      <c r="JRR292" s="1069"/>
      <c r="JRS292" s="1069"/>
      <c r="JRT292" s="1069"/>
      <c r="JRU292" s="1069"/>
      <c r="JRV292" s="1069"/>
      <c r="JRW292" s="1069"/>
      <c r="JRX292" s="1069"/>
      <c r="JRY292" s="1069"/>
      <c r="JRZ292" s="1069"/>
      <c r="JSA292" s="1069"/>
      <c r="JSB292" s="1069"/>
      <c r="JSC292" s="1069"/>
      <c r="JSD292" s="1069"/>
      <c r="JSE292" s="1069"/>
      <c r="JSF292" s="1069"/>
      <c r="JSG292" s="1069"/>
      <c r="JSH292" s="1069"/>
      <c r="JSI292" s="1069"/>
      <c r="JSJ292" s="1069"/>
      <c r="JSK292" s="1069"/>
      <c r="JSL292" s="1069"/>
      <c r="JSM292" s="1069"/>
      <c r="JSN292" s="1069"/>
      <c r="JSO292" s="1069"/>
      <c r="JSP292" s="1069"/>
      <c r="JSQ292" s="1069"/>
      <c r="JSR292" s="1069"/>
      <c r="JSS292" s="1069"/>
      <c r="JST292" s="1069"/>
      <c r="JSU292" s="1069"/>
      <c r="JSV292" s="1069"/>
      <c r="JSW292" s="1069"/>
      <c r="JSX292" s="1069"/>
      <c r="JSY292" s="1069"/>
      <c r="JSZ292" s="1069"/>
      <c r="JTA292" s="1069"/>
      <c r="JTB292" s="1069"/>
      <c r="JTC292" s="1069"/>
      <c r="JTD292" s="1069"/>
      <c r="JTE292" s="1069"/>
      <c r="JTF292" s="1069"/>
      <c r="JTG292" s="1069"/>
      <c r="JTH292" s="1069"/>
      <c r="JTI292" s="1069"/>
      <c r="JTJ292" s="1069"/>
      <c r="JTK292" s="1069"/>
      <c r="JTL292" s="1069"/>
      <c r="JTM292" s="1069"/>
      <c r="JTN292" s="1069"/>
      <c r="JTO292" s="1069"/>
      <c r="JTP292" s="1069"/>
      <c r="JTQ292" s="1069"/>
      <c r="JTR292" s="1069"/>
      <c r="JTS292" s="1069"/>
      <c r="JTT292" s="1069"/>
      <c r="JTU292" s="1069"/>
      <c r="JTV292" s="1069"/>
      <c r="JTW292" s="1069"/>
      <c r="JTX292" s="1069"/>
      <c r="JTY292" s="1069"/>
      <c r="JTZ292" s="1069"/>
      <c r="JUA292" s="1069"/>
      <c r="JUB292" s="1069"/>
      <c r="JUC292" s="1069"/>
      <c r="JUD292" s="1069"/>
      <c r="JUE292" s="1069"/>
      <c r="JUF292" s="1069"/>
      <c r="JUG292" s="1069"/>
      <c r="JUH292" s="1069"/>
      <c r="JUI292" s="1069"/>
      <c r="JUJ292" s="1069"/>
      <c r="JUK292" s="1069"/>
      <c r="JUL292" s="1069"/>
      <c r="JUM292" s="1069"/>
      <c r="JUN292" s="1069"/>
      <c r="JUO292" s="1069"/>
      <c r="JUP292" s="1069"/>
      <c r="JUQ292" s="1069"/>
      <c r="JUR292" s="1069"/>
      <c r="JUS292" s="1069"/>
      <c r="JUT292" s="1069"/>
      <c r="JUU292" s="1069"/>
      <c r="JUV292" s="1069"/>
      <c r="JUW292" s="1069"/>
      <c r="JUX292" s="1069"/>
      <c r="JUY292" s="1069"/>
      <c r="JUZ292" s="1069"/>
      <c r="JVA292" s="1069"/>
      <c r="JVB292" s="1069"/>
      <c r="JVC292" s="1069"/>
      <c r="JVD292" s="1069"/>
      <c r="JVE292" s="1069"/>
      <c r="JVF292" s="1069"/>
      <c r="JVG292" s="1069"/>
      <c r="JVH292" s="1069"/>
      <c r="JVI292" s="1069"/>
      <c r="JVJ292" s="1069"/>
      <c r="JVK292" s="1069"/>
      <c r="JVL292" s="1069"/>
      <c r="JVM292" s="1069"/>
      <c r="JVN292" s="1069"/>
      <c r="JVO292" s="1069"/>
      <c r="JVP292" s="1069"/>
      <c r="JVQ292" s="1069"/>
      <c r="JVR292" s="1069"/>
      <c r="JVS292" s="1069"/>
      <c r="JVT292" s="1069"/>
      <c r="JVU292" s="1069"/>
      <c r="JVV292" s="1069"/>
      <c r="JVW292" s="1069"/>
      <c r="JVX292" s="1069"/>
      <c r="JVY292" s="1069"/>
      <c r="JVZ292" s="1069"/>
      <c r="JWA292" s="1069"/>
      <c r="JWB292" s="1069"/>
      <c r="JWC292" s="1069"/>
      <c r="JWD292" s="1069"/>
      <c r="JWE292" s="1069"/>
      <c r="JWF292" s="1069"/>
      <c r="JWG292" s="1069"/>
      <c r="JWH292" s="1069"/>
      <c r="JWI292" s="1069"/>
      <c r="JWJ292" s="1069"/>
      <c r="JWK292" s="1069"/>
      <c r="JWL292" s="1069"/>
      <c r="JWM292" s="1069"/>
      <c r="JWN292" s="1069"/>
      <c r="JWO292" s="1069"/>
      <c r="JWP292" s="1069"/>
      <c r="JWQ292" s="1069"/>
      <c r="JWR292" s="1069"/>
      <c r="JWS292" s="1069"/>
      <c r="JWT292" s="1069"/>
      <c r="JWU292" s="1069"/>
      <c r="JWV292" s="1069"/>
      <c r="JWW292" s="1069"/>
      <c r="JWX292" s="1069"/>
      <c r="JWY292" s="1069"/>
      <c r="JWZ292" s="1069"/>
      <c r="JXA292" s="1069"/>
      <c r="JXB292" s="1069"/>
      <c r="JXC292" s="1069"/>
      <c r="JXD292" s="1069"/>
      <c r="JXE292" s="1069"/>
      <c r="JXF292" s="1069"/>
      <c r="JXG292" s="1069"/>
      <c r="JXH292" s="1069"/>
      <c r="JXI292" s="1069"/>
      <c r="JXJ292" s="1069"/>
      <c r="JXK292" s="1069"/>
      <c r="JXL292" s="1069"/>
      <c r="JXM292" s="1069"/>
      <c r="JXN292" s="1069"/>
      <c r="JXO292" s="1069"/>
      <c r="JXP292" s="1069"/>
      <c r="JXQ292" s="1069"/>
      <c r="JXR292" s="1069"/>
      <c r="JXS292" s="1069"/>
      <c r="JXT292" s="1069"/>
      <c r="JXU292" s="1069"/>
      <c r="JXV292" s="1069"/>
      <c r="JXW292" s="1069"/>
      <c r="JXX292" s="1069"/>
      <c r="JXY292" s="1069"/>
      <c r="JXZ292" s="1069"/>
      <c r="JYA292" s="1069"/>
      <c r="JYB292" s="1069"/>
      <c r="JYC292" s="1069"/>
      <c r="JYD292" s="1069"/>
      <c r="JYE292" s="1069"/>
      <c r="JYF292" s="1069"/>
      <c r="JYG292" s="1069"/>
      <c r="JYH292" s="1069"/>
      <c r="JYI292" s="1069"/>
      <c r="JYJ292" s="1069"/>
      <c r="JYK292" s="1069"/>
      <c r="JYL292" s="1069"/>
      <c r="JYM292" s="1069"/>
      <c r="JYN292" s="1069"/>
      <c r="JYO292" s="1069"/>
      <c r="JYP292" s="1069"/>
      <c r="JYQ292" s="1069"/>
      <c r="JYR292" s="1069"/>
      <c r="JYS292" s="1069"/>
      <c r="JYT292" s="1069"/>
      <c r="JYU292" s="1069"/>
      <c r="JYV292" s="1069"/>
      <c r="JYW292" s="1069"/>
      <c r="JYX292" s="1069"/>
      <c r="JYY292" s="1069"/>
      <c r="JYZ292" s="1069"/>
      <c r="JZA292" s="1069"/>
      <c r="JZB292" s="1069"/>
      <c r="JZC292" s="1069"/>
      <c r="JZD292" s="1069"/>
      <c r="JZE292" s="1069"/>
      <c r="JZF292" s="1069"/>
      <c r="JZG292" s="1069"/>
      <c r="JZH292" s="1069"/>
      <c r="JZI292" s="1069"/>
      <c r="JZJ292" s="1069"/>
      <c r="JZK292" s="1069"/>
      <c r="JZL292" s="1069"/>
      <c r="JZM292" s="1069"/>
      <c r="JZN292" s="1069"/>
      <c r="JZO292" s="1069"/>
      <c r="JZP292" s="1069"/>
      <c r="JZQ292" s="1069"/>
      <c r="JZR292" s="1069"/>
      <c r="JZS292" s="1069"/>
      <c r="JZT292" s="1069"/>
      <c r="JZU292" s="1069"/>
      <c r="JZV292" s="1069"/>
      <c r="JZW292" s="1069"/>
      <c r="JZX292" s="1069"/>
      <c r="JZY292" s="1069"/>
      <c r="JZZ292" s="1069"/>
      <c r="KAA292" s="1069"/>
      <c r="KAB292" s="1069"/>
      <c r="KAC292" s="1069"/>
      <c r="KAD292" s="1069"/>
      <c r="KAE292" s="1069"/>
      <c r="KAF292" s="1069"/>
      <c r="KAG292" s="1069"/>
      <c r="KAH292" s="1069"/>
      <c r="KAI292" s="1069"/>
      <c r="KAJ292" s="1069"/>
      <c r="KAK292" s="1069"/>
      <c r="KAL292" s="1069"/>
      <c r="KAM292" s="1069"/>
      <c r="KAN292" s="1069"/>
      <c r="KAO292" s="1069"/>
      <c r="KAP292" s="1069"/>
      <c r="KAQ292" s="1069"/>
      <c r="KAR292" s="1069"/>
      <c r="KAS292" s="1069"/>
      <c r="KAT292" s="1069"/>
      <c r="KAU292" s="1069"/>
      <c r="KAV292" s="1069"/>
      <c r="KAW292" s="1069"/>
      <c r="KAX292" s="1069"/>
      <c r="KAY292" s="1069"/>
      <c r="KAZ292" s="1069"/>
      <c r="KBA292" s="1069"/>
      <c r="KBB292" s="1069"/>
      <c r="KBC292" s="1069"/>
      <c r="KBD292" s="1069"/>
      <c r="KBE292" s="1069"/>
      <c r="KBF292" s="1069"/>
      <c r="KBG292" s="1069"/>
      <c r="KBH292" s="1069"/>
      <c r="KBI292" s="1069"/>
      <c r="KBJ292" s="1069"/>
      <c r="KBK292" s="1069"/>
      <c r="KBL292" s="1069"/>
      <c r="KBM292" s="1069"/>
      <c r="KBN292" s="1069"/>
      <c r="KBO292" s="1069"/>
      <c r="KBP292" s="1069"/>
      <c r="KBQ292" s="1069"/>
      <c r="KBR292" s="1069"/>
      <c r="KBS292" s="1069"/>
      <c r="KBT292" s="1069"/>
      <c r="KBU292" s="1069"/>
      <c r="KBV292" s="1069"/>
      <c r="KBW292" s="1069"/>
      <c r="KBX292" s="1069"/>
      <c r="KBY292" s="1069"/>
      <c r="KBZ292" s="1069"/>
      <c r="KCA292" s="1069"/>
      <c r="KCB292" s="1069"/>
      <c r="KCC292" s="1069"/>
      <c r="KCD292" s="1069"/>
      <c r="KCE292" s="1069"/>
      <c r="KCF292" s="1069"/>
      <c r="KCG292" s="1069"/>
      <c r="KCH292" s="1069"/>
      <c r="KCI292" s="1069"/>
      <c r="KCJ292" s="1069"/>
      <c r="KCK292" s="1069"/>
      <c r="KCL292" s="1069"/>
      <c r="KCM292" s="1069"/>
      <c r="KCN292" s="1069"/>
      <c r="KCO292" s="1069"/>
      <c r="KCP292" s="1069"/>
      <c r="KCQ292" s="1069"/>
      <c r="KCR292" s="1069"/>
      <c r="KCS292" s="1069"/>
      <c r="KCT292" s="1069"/>
      <c r="KCU292" s="1069"/>
      <c r="KCV292" s="1069"/>
      <c r="KCW292" s="1069"/>
      <c r="KCX292" s="1069"/>
      <c r="KCY292" s="1069"/>
      <c r="KCZ292" s="1069"/>
      <c r="KDA292" s="1069"/>
      <c r="KDB292" s="1069"/>
      <c r="KDC292" s="1069"/>
      <c r="KDD292" s="1069"/>
      <c r="KDE292" s="1069"/>
      <c r="KDF292" s="1069"/>
      <c r="KDG292" s="1069"/>
      <c r="KDH292" s="1069"/>
      <c r="KDI292" s="1069"/>
      <c r="KDJ292" s="1069"/>
      <c r="KDK292" s="1069"/>
      <c r="KDL292" s="1069"/>
      <c r="KDM292" s="1069"/>
      <c r="KDN292" s="1069"/>
      <c r="KDO292" s="1069"/>
      <c r="KDP292" s="1069"/>
      <c r="KDQ292" s="1069"/>
      <c r="KDR292" s="1069"/>
      <c r="KDS292" s="1069"/>
      <c r="KDT292" s="1069"/>
      <c r="KDU292" s="1069"/>
      <c r="KDV292" s="1069"/>
      <c r="KDW292" s="1069"/>
      <c r="KDX292" s="1069"/>
      <c r="KDY292" s="1069"/>
      <c r="KDZ292" s="1069"/>
      <c r="KEA292" s="1069"/>
      <c r="KEB292" s="1069"/>
      <c r="KEC292" s="1069"/>
      <c r="KED292" s="1069"/>
      <c r="KEE292" s="1069"/>
      <c r="KEF292" s="1069"/>
      <c r="KEG292" s="1069"/>
      <c r="KEH292" s="1069"/>
      <c r="KEI292" s="1069"/>
      <c r="KEJ292" s="1069"/>
      <c r="KEK292" s="1069"/>
      <c r="KEL292" s="1069"/>
      <c r="KEM292" s="1069"/>
      <c r="KEN292" s="1069"/>
      <c r="KEO292" s="1069"/>
      <c r="KEP292" s="1069"/>
      <c r="KEQ292" s="1069"/>
      <c r="KER292" s="1069"/>
      <c r="KES292" s="1069"/>
      <c r="KET292" s="1069"/>
      <c r="KEU292" s="1069"/>
      <c r="KEV292" s="1069"/>
      <c r="KEW292" s="1069"/>
      <c r="KEX292" s="1069"/>
      <c r="KEY292" s="1069"/>
      <c r="KEZ292" s="1069"/>
      <c r="KFA292" s="1069"/>
      <c r="KFB292" s="1069"/>
      <c r="KFC292" s="1069"/>
      <c r="KFD292" s="1069"/>
      <c r="KFE292" s="1069"/>
      <c r="KFF292" s="1069"/>
      <c r="KFG292" s="1069"/>
      <c r="KFH292" s="1069"/>
      <c r="KFI292" s="1069"/>
      <c r="KFJ292" s="1069"/>
      <c r="KFK292" s="1069"/>
      <c r="KFL292" s="1069"/>
      <c r="KFM292" s="1069"/>
      <c r="KFN292" s="1069"/>
      <c r="KFO292" s="1069"/>
      <c r="KFP292" s="1069"/>
      <c r="KFQ292" s="1069"/>
      <c r="KFR292" s="1069"/>
      <c r="KFS292" s="1069"/>
      <c r="KFT292" s="1069"/>
      <c r="KFU292" s="1069"/>
      <c r="KFV292" s="1069"/>
      <c r="KFW292" s="1069"/>
      <c r="KFX292" s="1069"/>
      <c r="KFY292" s="1069"/>
      <c r="KFZ292" s="1069"/>
      <c r="KGA292" s="1069"/>
      <c r="KGB292" s="1069"/>
      <c r="KGC292" s="1069"/>
      <c r="KGD292" s="1069"/>
      <c r="KGE292" s="1069"/>
      <c r="KGF292" s="1069"/>
      <c r="KGG292" s="1069"/>
      <c r="KGH292" s="1069"/>
      <c r="KGI292" s="1069"/>
      <c r="KGJ292" s="1069"/>
      <c r="KGK292" s="1069"/>
      <c r="KGL292" s="1069"/>
      <c r="KGM292" s="1069"/>
      <c r="KGN292" s="1069"/>
      <c r="KGO292" s="1069"/>
      <c r="KGP292" s="1069"/>
      <c r="KGQ292" s="1069"/>
      <c r="KGR292" s="1069"/>
      <c r="KGS292" s="1069"/>
      <c r="KGT292" s="1069"/>
      <c r="KGU292" s="1069"/>
      <c r="KGV292" s="1069"/>
      <c r="KGW292" s="1069"/>
      <c r="KGX292" s="1069"/>
      <c r="KGY292" s="1069"/>
      <c r="KGZ292" s="1069"/>
      <c r="KHA292" s="1069"/>
      <c r="KHB292" s="1069"/>
      <c r="KHC292" s="1069"/>
      <c r="KHD292" s="1069"/>
      <c r="KHE292" s="1069"/>
      <c r="KHF292" s="1069"/>
      <c r="KHG292" s="1069"/>
      <c r="KHH292" s="1069"/>
      <c r="KHI292" s="1069"/>
      <c r="KHJ292" s="1069"/>
      <c r="KHK292" s="1069"/>
      <c r="KHL292" s="1069"/>
      <c r="KHM292" s="1069"/>
      <c r="KHN292" s="1069"/>
      <c r="KHO292" s="1069"/>
      <c r="KHP292" s="1069"/>
      <c r="KHQ292" s="1069"/>
      <c r="KHR292" s="1069"/>
      <c r="KHS292" s="1069"/>
      <c r="KHT292" s="1069"/>
      <c r="KHU292" s="1069"/>
      <c r="KHV292" s="1069"/>
      <c r="KHW292" s="1069"/>
      <c r="KHX292" s="1069"/>
      <c r="KHY292" s="1069"/>
      <c r="KHZ292" s="1069"/>
      <c r="KIA292" s="1069"/>
      <c r="KIB292" s="1069"/>
      <c r="KIC292" s="1069"/>
      <c r="KID292" s="1069"/>
      <c r="KIE292" s="1069"/>
      <c r="KIF292" s="1069"/>
      <c r="KIG292" s="1069"/>
      <c r="KIH292" s="1069"/>
      <c r="KII292" s="1069"/>
      <c r="KIJ292" s="1069"/>
      <c r="KIK292" s="1069"/>
      <c r="KIL292" s="1069"/>
      <c r="KIM292" s="1069"/>
      <c r="KIN292" s="1069"/>
      <c r="KIO292" s="1069"/>
      <c r="KIP292" s="1069"/>
      <c r="KIQ292" s="1069"/>
      <c r="KIR292" s="1069"/>
      <c r="KIS292" s="1069"/>
      <c r="KIT292" s="1069"/>
      <c r="KIU292" s="1069"/>
      <c r="KIV292" s="1069"/>
      <c r="KIW292" s="1069"/>
      <c r="KIX292" s="1069"/>
      <c r="KIY292" s="1069"/>
      <c r="KIZ292" s="1069"/>
      <c r="KJA292" s="1069"/>
      <c r="KJB292" s="1069"/>
      <c r="KJC292" s="1069"/>
      <c r="KJD292" s="1069"/>
      <c r="KJE292" s="1069"/>
      <c r="KJF292" s="1069"/>
      <c r="KJG292" s="1069"/>
      <c r="KJH292" s="1069"/>
      <c r="KJI292" s="1069"/>
      <c r="KJJ292" s="1069"/>
      <c r="KJK292" s="1069"/>
      <c r="KJL292" s="1069"/>
      <c r="KJM292" s="1069"/>
      <c r="KJN292" s="1069"/>
      <c r="KJO292" s="1069"/>
      <c r="KJP292" s="1069"/>
      <c r="KJQ292" s="1069"/>
      <c r="KJR292" s="1069"/>
      <c r="KJS292" s="1069"/>
      <c r="KJT292" s="1069"/>
      <c r="KJU292" s="1069"/>
      <c r="KJV292" s="1069"/>
      <c r="KJW292" s="1069"/>
      <c r="KJX292" s="1069"/>
      <c r="KJY292" s="1069"/>
      <c r="KJZ292" s="1069"/>
      <c r="KKA292" s="1069"/>
      <c r="KKB292" s="1069"/>
      <c r="KKC292" s="1069"/>
      <c r="KKD292" s="1069"/>
      <c r="KKE292" s="1069"/>
      <c r="KKF292" s="1069"/>
      <c r="KKG292" s="1069"/>
      <c r="KKH292" s="1069"/>
      <c r="KKI292" s="1069"/>
      <c r="KKJ292" s="1069"/>
      <c r="KKK292" s="1069"/>
      <c r="KKL292" s="1069"/>
      <c r="KKM292" s="1069"/>
      <c r="KKN292" s="1069"/>
      <c r="KKO292" s="1069"/>
      <c r="KKP292" s="1069"/>
      <c r="KKQ292" s="1069"/>
      <c r="KKR292" s="1069"/>
      <c r="KKS292" s="1069"/>
      <c r="KKT292" s="1069"/>
      <c r="KKU292" s="1069"/>
      <c r="KKV292" s="1069"/>
      <c r="KKW292" s="1069"/>
      <c r="KKX292" s="1069"/>
      <c r="KKY292" s="1069"/>
      <c r="KKZ292" s="1069"/>
      <c r="KLA292" s="1069"/>
      <c r="KLB292" s="1069"/>
      <c r="KLC292" s="1069"/>
      <c r="KLD292" s="1069"/>
      <c r="KLE292" s="1069"/>
      <c r="KLF292" s="1069"/>
      <c r="KLG292" s="1069"/>
      <c r="KLH292" s="1069"/>
      <c r="KLI292" s="1069"/>
      <c r="KLJ292" s="1069"/>
      <c r="KLK292" s="1069"/>
      <c r="KLL292" s="1069"/>
      <c r="KLM292" s="1069"/>
      <c r="KLN292" s="1069"/>
      <c r="KLO292" s="1069"/>
      <c r="KLP292" s="1069"/>
      <c r="KLQ292" s="1069"/>
      <c r="KLR292" s="1069"/>
      <c r="KLS292" s="1069"/>
      <c r="KLT292" s="1069"/>
      <c r="KLU292" s="1069"/>
      <c r="KLV292" s="1069"/>
      <c r="KLW292" s="1069"/>
      <c r="KLX292" s="1069"/>
      <c r="KLY292" s="1069"/>
      <c r="KLZ292" s="1069"/>
      <c r="KMA292" s="1069"/>
      <c r="KMB292" s="1069"/>
      <c r="KMC292" s="1069"/>
      <c r="KMD292" s="1069"/>
      <c r="KME292" s="1069"/>
      <c r="KMF292" s="1069"/>
      <c r="KMG292" s="1069"/>
      <c r="KMH292" s="1069"/>
      <c r="KMI292" s="1069"/>
      <c r="KMJ292" s="1069"/>
      <c r="KMK292" s="1069"/>
      <c r="KML292" s="1069"/>
      <c r="KMM292" s="1069"/>
      <c r="KMN292" s="1069"/>
      <c r="KMO292" s="1069"/>
      <c r="KMP292" s="1069"/>
      <c r="KMQ292" s="1069"/>
      <c r="KMR292" s="1069"/>
      <c r="KMS292" s="1069"/>
      <c r="KMT292" s="1069"/>
      <c r="KMU292" s="1069"/>
      <c r="KMV292" s="1069"/>
      <c r="KMW292" s="1069"/>
      <c r="KMX292" s="1069"/>
      <c r="KMY292" s="1069"/>
      <c r="KMZ292" s="1069"/>
      <c r="KNA292" s="1069"/>
      <c r="KNB292" s="1069"/>
      <c r="KNC292" s="1069"/>
      <c r="KND292" s="1069"/>
      <c r="KNE292" s="1069"/>
      <c r="KNF292" s="1069"/>
      <c r="KNG292" s="1069"/>
      <c r="KNH292" s="1069"/>
      <c r="KNI292" s="1069"/>
      <c r="KNJ292" s="1069"/>
      <c r="KNK292" s="1069"/>
      <c r="KNL292" s="1069"/>
      <c r="KNM292" s="1069"/>
      <c r="KNN292" s="1069"/>
      <c r="KNO292" s="1069"/>
      <c r="KNP292" s="1069"/>
      <c r="KNQ292" s="1069"/>
      <c r="KNR292" s="1069"/>
      <c r="KNS292" s="1069"/>
      <c r="KNT292" s="1069"/>
      <c r="KNU292" s="1069"/>
      <c r="KNV292" s="1069"/>
      <c r="KNW292" s="1069"/>
      <c r="KNX292" s="1069"/>
      <c r="KNY292" s="1069"/>
      <c r="KNZ292" s="1069"/>
      <c r="KOA292" s="1069"/>
      <c r="KOB292" s="1069"/>
      <c r="KOC292" s="1069"/>
      <c r="KOD292" s="1069"/>
      <c r="KOE292" s="1069"/>
      <c r="KOF292" s="1069"/>
      <c r="KOG292" s="1069"/>
      <c r="KOH292" s="1069"/>
      <c r="KOI292" s="1069"/>
      <c r="KOJ292" s="1069"/>
      <c r="KOK292" s="1069"/>
      <c r="KOL292" s="1069"/>
      <c r="KOM292" s="1069"/>
      <c r="KON292" s="1069"/>
      <c r="KOO292" s="1069"/>
      <c r="KOP292" s="1069"/>
      <c r="KOQ292" s="1069"/>
      <c r="KOR292" s="1069"/>
      <c r="KOS292" s="1069"/>
      <c r="KOT292" s="1069"/>
      <c r="KOU292" s="1069"/>
      <c r="KOV292" s="1069"/>
      <c r="KOW292" s="1069"/>
      <c r="KOX292" s="1069"/>
      <c r="KOY292" s="1069"/>
      <c r="KOZ292" s="1069"/>
      <c r="KPA292" s="1069"/>
      <c r="KPB292" s="1069"/>
      <c r="KPC292" s="1069"/>
      <c r="KPD292" s="1069"/>
      <c r="KPE292" s="1069"/>
      <c r="KPF292" s="1069"/>
      <c r="KPG292" s="1069"/>
      <c r="KPH292" s="1069"/>
      <c r="KPI292" s="1069"/>
      <c r="KPJ292" s="1069"/>
      <c r="KPK292" s="1069"/>
      <c r="KPL292" s="1069"/>
      <c r="KPM292" s="1069"/>
      <c r="KPN292" s="1069"/>
      <c r="KPO292" s="1069"/>
      <c r="KPP292" s="1069"/>
      <c r="KPQ292" s="1069"/>
      <c r="KPR292" s="1069"/>
      <c r="KPS292" s="1069"/>
      <c r="KPT292" s="1069"/>
      <c r="KPU292" s="1069"/>
      <c r="KPV292" s="1069"/>
      <c r="KPW292" s="1069"/>
      <c r="KPX292" s="1069"/>
      <c r="KPY292" s="1069"/>
      <c r="KPZ292" s="1069"/>
      <c r="KQA292" s="1069"/>
      <c r="KQB292" s="1069"/>
      <c r="KQC292" s="1069"/>
      <c r="KQD292" s="1069"/>
      <c r="KQE292" s="1069"/>
      <c r="KQF292" s="1069"/>
      <c r="KQG292" s="1069"/>
      <c r="KQH292" s="1069"/>
      <c r="KQI292" s="1069"/>
      <c r="KQJ292" s="1069"/>
      <c r="KQK292" s="1069"/>
      <c r="KQL292" s="1069"/>
      <c r="KQM292" s="1069"/>
      <c r="KQN292" s="1069"/>
      <c r="KQO292" s="1069"/>
      <c r="KQP292" s="1069"/>
      <c r="KQQ292" s="1069"/>
      <c r="KQR292" s="1069"/>
      <c r="KQS292" s="1069"/>
      <c r="KQT292" s="1069"/>
      <c r="KQU292" s="1069"/>
      <c r="KQV292" s="1069"/>
      <c r="KQW292" s="1069"/>
      <c r="KQX292" s="1069"/>
      <c r="KQY292" s="1069"/>
      <c r="KQZ292" s="1069"/>
      <c r="KRA292" s="1069"/>
      <c r="KRB292" s="1069"/>
      <c r="KRC292" s="1069"/>
      <c r="KRD292" s="1069"/>
      <c r="KRE292" s="1069"/>
      <c r="KRF292" s="1069"/>
      <c r="KRG292" s="1069"/>
      <c r="KRH292" s="1069"/>
      <c r="KRI292" s="1069"/>
      <c r="KRJ292" s="1069"/>
      <c r="KRK292" s="1069"/>
      <c r="KRL292" s="1069"/>
      <c r="KRM292" s="1069"/>
      <c r="KRN292" s="1069"/>
      <c r="KRO292" s="1069"/>
      <c r="KRP292" s="1069"/>
      <c r="KRQ292" s="1069"/>
      <c r="KRR292" s="1069"/>
      <c r="KRS292" s="1069"/>
      <c r="KRT292" s="1069"/>
      <c r="KRU292" s="1069"/>
      <c r="KRV292" s="1069"/>
      <c r="KRW292" s="1069"/>
      <c r="KRX292" s="1069"/>
      <c r="KRY292" s="1069"/>
      <c r="KRZ292" s="1069"/>
      <c r="KSA292" s="1069"/>
      <c r="KSB292" s="1069"/>
      <c r="KSC292" s="1069"/>
      <c r="KSD292" s="1069"/>
      <c r="KSE292" s="1069"/>
      <c r="KSF292" s="1069"/>
      <c r="KSG292" s="1069"/>
      <c r="KSH292" s="1069"/>
      <c r="KSI292" s="1069"/>
      <c r="KSJ292" s="1069"/>
      <c r="KSK292" s="1069"/>
      <c r="KSL292" s="1069"/>
      <c r="KSM292" s="1069"/>
      <c r="KSN292" s="1069"/>
      <c r="KSO292" s="1069"/>
      <c r="KSP292" s="1069"/>
      <c r="KSQ292" s="1069"/>
      <c r="KSR292" s="1069"/>
      <c r="KSS292" s="1069"/>
      <c r="KST292" s="1069"/>
      <c r="KSU292" s="1069"/>
      <c r="KSV292" s="1069"/>
      <c r="KSW292" s="1069"/>
      <c r="KSX292" s="1069"/>
      <c r="KSY292" s="1069"/>
      <c r="KSZ292" s="1069"/>
      <c r="KTA292" s="1069"/>
      <c r="KTB292" s="1069"/>
      <c r="KTC292" s="1069"/>
      <c r="KTD292" s="1069"/>
      <c r="KTE292" s="1069"/>
      <c r="KTF292" s="1069"/>
      <c r="KTG292" s="1069"/>
      <c r="KTH292" s="1069"/>
      <c r="KTI292" s="1069"/>
      <c r="KTJ292" s="1069"/>
      <c r="KTK292" s="1069"/>
      <c r="KTL292" s="1069"/>
      <c r="KTM292" s="1069"/>
      <c r="KTN292" s="1069"/>
      <c r="KTO292" s="1069"/>
      <c r="KTP292" s="1069"/>
      <c r="KTQ292" s="1069"/>
      <c r="KTR292" s="1069"/>
      <c r="KTS292" s="1069"/>
      <c r="KTT292" s="1069"/>
      <c r="KTU292" s="1069"/>
      <c r="KTV292" s="1069"/>
      <c r="KTW292" s="1069"/>
      <c r="KTX292" s="1069"/>
      <c r="KTY292" s="1069"/>
      <c r="KTZ292" s="1069"/>
      <c r="KUA292" s="1069"/>
      <c r="KUB292" s="1069"/>
      <c r="KUC292" s="1069"/>
      <c r="KUD292" s="1069"/>
      <c r="KUE292" s="1069"/>
      <c r="KUF292" s="1069"/>
      <c r="KUG292" s="1069"/>
      <c r="KUH292" s="1069"/>
      <c r="KUI292" s="1069"/>
      <c r="KUJ292" s="1069"/>
      <c r="KUK292" s="1069"/>
      <c r="KUL292" s="1069"/>
      <c r="KUM292" s="1069"/>
      <c r="KUN292" s="1069"/>
      <c r="KUO292" s="1069"/>
      <c r="KUP292" s="1069"/>
      <c r="KUQ292" s="1069"/>
      <c r="KUR292" s="1069"/>
      <c r="KUS292" s="1069"/>
      <c r="KUT292" s="1069"/>
      <c r="KUU292" s="1069"/>
      <c r="KUV292" s="1069"/>
      <c r="KUW292" s="1069"/>
      <c r="KUX292" s="1069"/>
      <c r="KUY292" s="1069"/>
      <c r="KUZ292" s="1069"/>
      <c r="KVA292" s="1069"/>
      <c r="KVB292" s="1069"/>
      <c r="KVC292" s="1069"/>
      <c r="KVD292" s="1069"/>
      <c r="KVE292" s="1069"/>
      <c r="KVF292" s="1069"/>
      <c r="KVG292" s="1069"/>
      <c r="KVH292" s="1069"/>
      <c r="KVI292" s="1069"/>
      <c r="KVJ292" s="1069"/>
      <c r="KVK292" s="1069"/>
      <c r="KVL292" s="1069"/>
      <c r="KVM292" s="1069"/>
      <c r="KVN292" s="1069"/>
      <c r="KVO292" s="1069"/>
      <c r="KVP292" s="1069"/>
      <c r="KVQ292" s="1069"/>
      <c r="KVR292" s="1069"/>
      <c r="KVS292" s="1069"/>
      <c r="KVT292" s="1069"/>
      <c r="KVU292" s="1069"/>
      <c r="KVV292" s="1069"/>
      <c r="KVW292" s="1069"/>
      <c r="KVX292" s="1069"/>
      <c r="KVY292" s="1069"/>
      <c r="KVZ292" s="1069"/>
      <c r="KWA292" s="1069"/>
      <c r="KWB292" s="1069"/>
      <c r="KWC292" s="1069"/>
      <c r="KWD292" s="1069"/>
      <c r="KWE292" s="1069"/>
      <c r="KWF292" s="1069"/>
      <c r="KWG292" s="1069"/>
      <c r="KWH292" s="1069"/>
      <c r="KWI292" s="1069"/>
      <c r="KWJ292" s="1069"/>
      <c r="KWK292" s="1069"/>
      <c r="KWL292" s="1069"/>
      <c r="KWM292" s="1069"/>
      <c r="KWN292" s="1069"/>
      <c r="KWO292" s="1069"/>
      <c r="KWP292" s="1069"/>
      <c r="KWQ292" s="1069"/>
      <c r="KWR292" s="1069"/>
      <c r="KWS292" s="1069"/>
      <c r="KWT292" s="1069"/>
      <c r="KWU292" s="1069"/>
      <c r="KWV292" s="1069"/>
      <c r="KWW292" s="1069"/>
      <c r="KWX292" s="1069"/>
      <c r="KWY292" s="1069"/>
      <c r="KWZ292" s="1069"/>
      <c r="KXA292" s="1069"/>
      <c r="KXB292" s="1069"/>
      <c r="KXC292" s="1069"/>
      <c r="KXD292" s="1069"/>
      <c r="KXE292" s="1069"/>
      <c r="KXF292" s="1069"/>
      <c r="KXG292" s="1069"/>
      <c r="KXH292" s="1069"/>
      <c r="KXI292" s="1069"/>
      <c r="KXJ292" s="1069"/>
      <c r="KXK292" s="1069"/>
      <c r="KXL292" s="1069"/>
      <c r="KXM292" s="1069"/>
      <c r="KXN292" s="1069"/>
      <c r="KXO292" s="1069"/>
      <c r="KXP292" s="1069"/>
      <c r="KXQ292" s="1069"/>
      <c r="KXR292" s="1069"/>
      <c r="KXS292" s="1069"/>
      <c r="KXT292" s="1069"/>
      <c r="KXU292" s="1069"/>
      <c r="KXV292" s="1069"/>
      <c r="KXW292" s="1069"/>
      <c r="KXX292" s="1069"/>
      <c r="KXY292" s="1069"/>
      <c r="KXZ292" s="1069"/>
      <c r="KYA292" s="1069"/>
      <c r="KYB292" s="1069"/>
      <c r="KYC292" s="1069"/>
      <c r="KYD292" s="1069"/>
      <c r="KYE292" s="1069"/>
      <c r="KYF292" s="1069"/>
      <c r="KYG292" s="1069"/>
      <c r="KYH292" s="1069"/>
      <c r="KYI292" s="1069"/>
      <c r="KYJ292" s="1069"/>
      <c r="KYK292" s="1069"/>
      <c r="KYL292" s="1069"/>
      <c r="KYM292" s="1069"/>
      <c r="KYN292" s="1069"/>
      <c r="KYO292" s="1069"/>
      <c r="KYP292" s="1069"/>
      <c r="KYQ292" s="1069"/>
      <c r="KYR292" s="1069"/>
      <c r="KYS292" s="1069"/>
      <c r="KYT292" s="1069"/>
      <c r="KYU292" s="1069"/>
      <c r="KYV292" s="1069"/>
      <c r="KYW292" s="1069"/>
      <c r="KYX292" s="1069"/>
      <c r="KYY292" s="1069"/>
      <c r="KYZ292" s="1069"/>
      <c r="KZA292" s="1069"/>
      <c r="KZB292" s="1069"/>
      <c r="KZC292" s="1069"/>
      <c r="KZD292" s="1069"/>
      <c r="KZE292" s="1069"/>
      <c r="KZF292" s="1069"/>
      <c r="KZG292" s="1069"/>
      <c r="KZH292" s="1069"/>
      <c r="KZI292" s="1069"/>
      <c r="KZJ292" s="1069"/>
      <c r="KZK292" s="1069"/>
      <c r="KZL292" s="1069"/>
      <c r="KZM292" s="1069"/>
      <c r="KZN292" s="1069"/>
      <c r="KZO292" s="1069"/>
      <c r="KZP292" s="1069"/>
      <c r="KZQ292" s="1069"/>
      <c r="KZR292" s="1069"/>
      <c r="KZS292" s="1069"/>
      <c r="KZT292" s="1069"/>
      <c r="KZU292" s="1069"/>
      <c r="KZV292" s="1069"/>
      <c r="KZW292" s="1069"/>
      <c r="KZX292" s="1069"/>
      <c r="KZY292" s="1069"/>
      <c r="KZZ292" s="1069"/>
      <c r="LAA292" s="1069"/>
      <c r="LAB292" s="1069"/>
      <c r="LAC292" s="1069"/>
      <c r="LAD292" s="1069"/>
      <c r="LAE292" s="1069"/>
      <c r="LAF292" s="1069"/>
      <c r="LAG292" s="1069"/>
      <c r="LAH292" s="1069"/>
      <c r="LAI292" s="1069"/>
      <c r="LAJ292" s="1069"/>
      <c r="LAK292" s="1069"/>
      <c r="LAL292" s="1069"/>
      <c r="LAM292" s="1069"/>
      <c r="LAN292" s="1069"/>
      <c r="LAO292" s="1069"/>
      <c r="LAP292" s="1069"/>
      <c r="LAQ292" s="1069"/>
      <c r="LAR292" s="1069"/>
      <c r="LAS292" s="1069"/>
      <c r="LAT292" s="1069"/>
      <c r="LAU292" s="1069"/>
      <c r="LAV292" s="1069"/>
      <c r="LAW292" s="1069"/>
      <c r="LAX292" s="1069"/>
      <c r="LAY292" s="1069"/>
      <c r="LAZ292" s="1069"/>
      <c r="LBA292" s="1069"/>
      <c r="LBB292" s="1069"/>
      <c r="LBC292" s="1069"/>
      <c r="LBD292" s="1069"/>
      <c r="LBE292" s="1069"/>
      <c r="LBF292" s="1069"/>
      <c r="LBG292" s="1069"/>
      <c r="LBH292" s="1069"/>
      <c r="LBI292" s="1069"/>
      <c r="LBJ292" s="1069"/>
      <c r="LBK292" s="1069"/>
      <c r="LBL292" s="1069"/>
      <c r="LBM292" s="1069"/>
      <c r="LBN292" s="1069"/>
      <c r="LBO292" s="1069"/>
      <c r="LBP292" s="1069"/>
      <c r="LBQ292" s="1069"/>
      <c r="LBR292" s="1069"/>
      <c r="LBS292" s="1069"/>
      <c r="LBT292" s="1069"/>
      <c r="LBU292" s="1069"/>
      <c r="LBV292" s="1069"/>
      <c r="LBW292" s="1069"/>
      <c r="LBX292" s="1069"/>
      <c r="LBY292" s="1069"/>
      <c r="LBZ292" s="1069"/>
      <c r="LCA292" s="1069"/>
      <c r="LCB292" s="1069"/>
      <c r="LCC292" s="1069"/>
      <c r="LCD292" s="1069"/>
      <c r="LCE292" s="1069"/>
      <c r="LCF292" s="1069"/>
      <c r="LCG292" s="1069"/>
      <c r="LCH292" s="1069"/>
      <c r="LCI292" s="1069"/>
      <c r="LCJ292" s="1069"/>
      <c r="LCK292" s="1069"/>
      <c r="LCL292" s="1069"/>
      <c r="LCM292" s="1069"/>
      <c r="LCN292" s="1069"/>
      <c r="LCO292" s="1069"/>
      <c r="LCP292" s="1069"/>
      <c r="LCQ292" s="1069"/>
      <c r="LCR292" s="1069"/>
      <c r="LCS292" s="1069"/>
      <c r="LCT292" s="1069"/>
      <c r="LCU292" s="1069"/>
      <c r="LCV292" s="1069"/>
      <c r="LCW292" s="1069"/>
      <c r="LCX292" s="1069"/>
      <c r="LCY292" s="1069"/>
      <c r="LCZ292" s="1069"/>
      <c r="LDA292" s="1069"/>
      <c r="LDB292" s="1069"/>
      <c r="LDC292" s="1069"/>
      <c r="LDD292" s="1069"/>
      <c r="LDE292" s="1069"/>
      <c r="LDF292" s="1069"/>
      <c r="LDG292" s="1069"/>
      <c r="LDH292" s="1069"/>
      <c r="LDI292" s="1069"/>
      <c r="LDJ292" s="1069"/>
      <c r="LDK292" s="1069"/>
      <c r="LDL292" s="1069"/>
      <c r="LDM292" s="1069"/>
      <c r="LDN292" s="1069"/>
      <c r="LDO292" s="1069"/>
      <c r="LDP292" s="1069"/>
      <c r="LDQ292" s="1069"/>
      <c r="LDR292" s="1069"/>
      <c r="LDS292" s="1069"/>
      <c r="LDT292" s="1069"/>
      <c r="LDU292" s="1069"/>
      <c r="LDV292" s="1069"/>
      <c r="LDW292" s="1069"/>
      <c r="LDX292" s="1069"/>
      <c r="LDY292" s="1069"/>
      <c r="LDZ292" s="1069"/>
      <c r="LEA292" s="1069"/>
      <c r="LEB292" s="1069"/>
      <c r="LEC292" s="1069"/>
      <c r="LED292" s="1069"/>
      <c r="LEE292" s="1069"/>
      <c r="LEF292" s="1069"/>
      <c r="LEG292" s="1069"/>
      <c r="LEH292" s="1069"/>
      <c r="LEI292" s="1069"/>
      <c r="LEJ292" s="1069"/>
      <c r="LEK292" s="1069"/>
      <c r="LEL292" s="1069"/>
      <c r="LEM292" s="1069"/>
      <c r="LEN292" s="1069"/>
      <c r="LEO292" s="1069"/>
      <c r="LEP292" s="1069"/>
      <c r="LEQ292" s="1069"/>
      <c r="LER292" s="1069"/>
      <c r="LES292" s="1069"/>
      <c r="LET292" s="1069"/>
      <c r="LEU292" s="1069"/>
      <c r="LEV292" s="1069"/>
      <c r="LEW292" s="1069"/>
      <c r="LEX292" s="1069"/>
      <c r="LEY292" s="1069"/>
      <c r="LEZ292" s="1069"/>
      <c r="LFA292" s="1069"/>
      <c r="LFB292" s="1069"/>
      <c r="LFC292" s="1069"/>
      <c r="LFD292" s="1069"/>
      <c r="LFE292" s="1069"/>
      <c r="LFF292" s="1069"/>
      <c r="LFG292" s="1069"/>
      <c r="LFH292" s="1069"/>
      <c r="LFI292" s="1069"/>
      <c r="LFJ292" s="1069"/>
      <c r="LFK292" s="1069"/>
      <c r="LFL292" s="1069"/>
      <c r="LFM292" s="1069"/>
      <c r="LFN292" s="1069"/>
      <c r="LFO292" s="1069"/>
      <c r="LFP292" s="1069"/>
      <c r="LFQ292" s="1069"/>
      <c r="LFR292" s="1069"/>
      <c r="LFS292" s="1069"/>
      <c r="LFT292" s="1069"/>
      <c r="LFU292" s="1069"/>
      <c r="LFV292" s="1069"/>
      <c r="LFW292" s="1069"/>
      <c r="LFX292" s="1069"/>
      <c r="LFY292" s="1069"/>
      <c r="LFZ292" s="1069"/>
      <c r="LGA292" s="1069"/>
      <c r="LGB292" s="1069"/>
      <c r="LGC292" s="1069"/>
      <c r="LGD292" s="1069"/>
      <c r="LGE292" s="1069"/>
      <c r="LGF292" s="1069"/>
      <c r="LGG292" s="1069"/>
      <c r="LGH292" s="1069"/>
      <c r="LGI292" s="1069"/>
      <c r="LGJ292" s="1069"/>
      <c r="LGK292" s="1069"/>
      <c r="LGL292" s="1069"/>
      <c r="LGM292" s="1069"/>
      <c r="LGN292" s="1069"/>
      <c r="LGO292" s="1069"/>
      <c r="LGP292" s="1069"/>
      <c r="LGQ292" s="1069"/>
      <c r="LGR292" s="1069"/>
      <c r="LGS292" s="1069"/>
      <c r="LGT292" s="1069"/>
      <c r="LGU292" s="1069"/>
      <c r="LGV292" s="1069"/>
      <c r="LGW292" s="1069"/>
      <c r="LGX292" s="1069"/>
      <c r="LGY292" s="1069"/>
      <c r="LGZ292" s="1069"/>
      <c r="LHA292" s="1069"/>
      <c r="LHB292" s="1069"/>
      <c r="LHC292" s="1069"/>
      <c r="LHD292" s="1069"/>
      <c r="LHE292" s="1069"/>
      <c r="LHF292" s="1069"/>
      <c r="LHG292" s="1069"/>
      <c r="LHH292" s="1069"/>
      <c r="LHI292" s="1069"/>
      <c r="LHJ292" s="1069"/>
      <c r="LHK292" s="1069"/>
      <c r="LHL292" s="1069"/>
      <c r="LHM292" s="1069"/>
      <c r="LHN292" s="1069"/>
      <c r="LHO292" s="1069"/>
      <c r="LHP292" s="1069"/>
      <c r="LHQ292" s="1069"/>
      <c r="LHR292" s="1069"/>
      <c r="LHS292" s="1069"/>
      <c r="LHT292" s="1069"/>
      <c r="LHU292" s="1069"/>
      <c r="LHV292" s="1069"/>
      <c r="LHW292" s="1069"/>
      <c r="LHX292" s="1069"/>
      <c r="LHY292" s="1069"/>
      <c r="LHZ292" s="1069"/>
      <c r="LIA292" s="1069"/>
      <c r="LIB292" s="1069"/>
      <c r="LIC292" s="1069"/>
      <c r="LID292" s="1069"/>
      <c r="LIE292" s="1069"/>
      <c r="LIF292" s="1069"/>
      <c r="LIG292" s="1069"/>
      <c r="LIH292" s="1069"/>
      <c r="LII292" s="1069"/>
      <c r="LIJ292" s="1069"/>
      <c r="LIK292" s="1069"/>
      <c r="LIL292" s="1069"/>
      <c r="LIM292" s="1069"/>
      <c r="LIN292" s="1069"/>
      <c r="LIO292" s="1069"/>
      <c r="LIP292" s="1069"/>
      <c r="LIQ292" s="1069"/>
      <c r="LIR292" s="1069"/>
      <c r="LIS292" s="1069"/>
      <c r="LIT292" s="1069"/>
      <c r="LIU292" s="1069"/>
      <c r="LIV292" s="1069"/>
      <c r="LIW292" s="1069"/>
      <c r="LIX292" s="1069"/>
      <c r="LIY292" s="1069"/>
      <c r="LIZ292" s="1069"/>
      <c r="LJA292" s="1069"/>
      <c r="LJB292" s="1069"/>
      <c r="LJC292" s="1069"/>
      <c r="LJD292" s="1069"/>
      <c r="LJE292" s="1069"/>
      <c r="LJF292" s="1069"/>
      <c r="LJG292" s="1069"/>
      <c r="LJH292" s="1069"/>
      <c r="LJI292" s="1069"/>
      <c r="LJJ292" s="1069"/>
      <c r="LJK292" s="1069"/>
      <c r="LJL292" s="1069"/>
      <c r="LJM292" s="1069"/>
      <c r="LJN292" s="1069"/>
      <c r="LJO292" s="1069"/>
      <c r="LJP292" s="1069"/>
      <c r="LJQ292" s="1069"/>
      <c r="LJR292" s="1069"/>
      <c r="LJS292" s="1069"/>
      <c r="LJT292" s="1069"/>
      <c r="LJU292" s="1069"/>
      <c r="LJV292" s="1069"/>
      <c r="LJW292" s="1069"/>
      <c r="LJX292" s="1069"/>
      <c r="LJY292" s="1069"/>
      <c r="LJZ292" s="1069"/>
      <c r="LKA292" s="1069"/>
      <c r="LKB292" s="1069"/>
      <c r="LKC292" s="1069"/>
      <c r="LKD292" s="1069"/>
      <c r="LKE292" s="1069"/>
      <c r="LKF292" s="1069"/>
      <c r="LKG292" s="1069"/>
      <c r="LKH292" s="1069"/>
      <c r="LKI292" s="1069"/>
      <c r="LKJ292" s="1069"/>
      <c r="LKK292" s="1069"/>
      <c r="LKL292" s="1069"/>
      <c r="LKM292" s="1069"/>
      <c r="LKN292" s="1069"/>
      <c r="LKO292" s="1069"/>
      <c r="LKP292" s="1069"/>
      <c r="LKQ292" s="1069"/>
      <c r="LKR292" s="1069"/>
      <c r="LKS292" s="1069"/>
      <c r="LKT292" s="1069"/>
      <c r="LKU292" s="1069"/>
      <c r="LKV292" s="1069"/>
      <c r="LKW292" s="1069"/>
      <c r="LKX292" s="1069"/>
      <c r="LKY292" s="1069"/>
      <c r="LKZ292" s="1069"/>
      <c r="LLA292" s="1069"/>
      <c r="LLB292" s="1069"/>
      <c r="LLC292" s="1069"/>
      <c r="LLD292" s="1069"/>
      <c r="LLE292" s="1069"/>
      <c r="LLF292" s="1069"/>
      <c r="LLG292" s="1069"/>
      <c r="LLH292" s="1069"/>
      <c r="LLI292" s="1069"/>
      <c r="LLJ292" s="1069"/>
      <c r="LLK292" s="1069"/>
      <c r="LLL292" s="1069"/>
      <c r="LLM292" s="1069"/>
      <c r="LLN292" s="1069"/>
      <c r="LLO292" s="1069"/>
      <c r="LLP292" s="1069"/>
      <c r="LLQ292" s="1069"/>
      <c r="LLR292" s="1069"/>
      <c r="LLS292" s="1069"/>
      <c r="LLT292" s="1069"/>
      <c r="LLU292" s="1069"/>
      <c r="LLV292" s="1069"/>
      <c r="LLW292" s="1069"/>
      <c r="LLX292" s="1069"/>
      <c r="LLY292" s="1069"/>
      <c r="LLZ292" s="1069"/>
      <c r="LMA292" s="1069"/>
      <c r="LMB292" s="1069"/>
      <c r="LMC292" s="1069"/>
      <c r="LMD292" s="1069"/>
      <c r="LME292" s="1069"/>
      <c r="LMF292" s="1069"/>
      <c r="LMG292" s="1069"/>
      <c r="LMH292" s="1069"/>
      <c r="LMI292" s="1069"/>
      <c r="LMJ292" s="1069"/>
      <c r="LMK292" s="1069"/>
      <c r="LML292" s="1069"/>
      <c r="LMM292" s="1069"/>
      <c r="LMN292" s="1069"/>
      <c r="LMO292" s="1069"/>
      <c r="LMP292" s="1069"/>
      <c r="LMQ292" s="1069"/>
      <c r="LMR292" s="1069"/>
      <c r="LMS292" s="1069"/>
      <c r="LMT292" s="1069"/>
      <c r="LMU292" s="1069"/>
      <c r="LMV292" s="1069"/>
      <c r="LMW292" s="1069"/>
      <c r="LMX292" s="1069"/>
      <c r="LMY292" s="1069"/>
      <c r="LMZ292" s="1069"/>
      <c r="LNA292" s="1069"/>
      <c r="LNB292" s="1069"/>
      <c r="LNC292" s="1069"/>
      <c r="LND292" s="1069"/>
      <c r="LNE292" s="1069"/>
      <c r="LNF292" s="1069"/>
      <c r="LNG292" s="1069"/>
      <c r="LNH292" s="1069"/>
      <c r="LNI292" s="1069"/>
      <c r="LNJ292" s="1069"/>
      <c r="LNK292" s="1069"/>
      <c r="LNL292" s="1069"/>
      <c r="LNM292" s="1069"/>
      <c r="LNN292" s="1069"/>
      <c r="LNO292" s="1069"/>
      <c r="LNP292" s="1069"/>
      <c r="LNQ292" s="1069"/>
      <c r="LNR292" s="1069"/>
      <c r="LNS292" s="1069"/>
      <c r="LNT292" s="1069"/>
      <c r="LNU292" s="1069"/>
      <c r="LNV292" s="1069"/>
      <c r="LNW292" s="1069"/>
      <c r="LNX292" s="1069"/>
      <c r="LNY292" s="1069"/>
      <c r="LNZ292" s="1069"/>
      <c r="LOA292" s="1069"/>
      <c r="LOB292" s="1069"/>
      <c r="LOC292" s="1069"/>
      <c r="LOD292" s="1069"/>
      <c r="LOE292" s="1069"/>
      <c r="LOF292" s="1069"/>
      <c r="LOG292" s="1069"/>
      <c r="LOH292" s="1069"/>
      <c r="LOI292" s="1069"/>
      <c r="LOJ292" s="1069"/>
      <c r="LOK292" s="1069"/>
      <c r="LOL292" s="1069"/>
      <c r="LOM292" s="1069"/>
      <c r="LON292" s="1069"/>
      <c r="LOO292" s="1069"/>
      <c r="LOP292" s="1069"/>
      <c r="LOQ292" s="1069"/>
      <c r="LOR292" s="1069"/>
      <c r="LOS292" s="1069"/>
      <c r="LOT292" s="1069"/>
      <c r="LOU292" s="1069"/>
      <c r="LOV292" s="1069"/>
      <c r="LOW292" s="1069"/>
      <c r="LOX292" s="1069"/>
      <c r="LOY292" s="1069"/>
      <c r="LOZ292" s="1069"/>
      <c r="LPA292" s="1069"/>
      <c r="LPB292" s="1069"/>
      <c r="LPC292" s="1069"/>
      <c r="LPD292" s="1069"/>
      <c r="LPE292" s="1069"/>
      <c r="LPF292" s="1069"/>
      <c r="LPG292" s="1069"/>
      <c r="LPH292" s="1069"/>
      <c r="LPI292" s="1069"/>
      <c r="LPJ292" s="1069"/>
      <c r="LPK292" s="1069"/>
      <c r="LPL292" s="1069"/>
      <c r="LPM292" s="1069"/>
      <c r="LPN292" s="1069"/>
      <c r="LPO292" s="1069"/>
      <c r="LPP292" s="1069"/>
      <c r="LPQ292" s="1069"/>
      <c r="LPR292" s="1069"/>
      <c r="LPS292" s="1069"/>
      <c r="LPT292" s="1069"/>
      <c r="LPU292" s="1069"/>
      <c r="LPV292" s="1069"/>
      <c r="LPW292" s="1069"/>
      <c r="LPX292" s="1069"/>
      <c r="LPY292" s="1069"/>
      <c r="LPZ292" s="1069"/>
      <c r="LQA292" s="1069"/>
      <c r="LQB292" s="1069"/>
      <c r="LQC292" s="1069"/>
      <c r="LQD292" s="1069"/>
      <c r="LQE292" s="1069"/>
      <c r="LQF292" s="1069"/>
      <c r="LQG292" s="1069"/>
      <c r="LQH292" s="1069"/>
      <c r="LQI292" s="1069"/>
      <c r="LQJ292" s="1069"/>
      <c r="LQK292" s="1069"/>
      <c r="LQL292" s="1069"/>
      <c r="LQM292" s="1069"/>
      <c r="LQN292" s="1069"/>
      <c r="LQO292" s="1069"/>
      <c r="LQP292" s="1069"/>
      <c r="LQQ292" s="1069"/>
      <c r="LQR292" s="1069"/>
      <c r="LQS292" s="1069"/>
      <c r="LQT292" s="1069"/>
      <c r="LQU292" s="1069"/>
      <c r="LQV292" s="1069"/>
      <c r="LQW292" s="1069"/>
      <c r="LQX292" s="1069"/>
      <c r="LQY292" s="1069"/>
      <c r="LQZ292" s="1069"/>
      <c r="LRA292" s="1069"/>
      <c r="LRB292" s="1069"/>
      <c r="LRC292" s="1069"/>
      <c r="LRD292" s="1069"/>
      <c r="LRE292" s="1069"/>
      <c r="LRF292" s="1069"/>
      <c r="LRG292" s="1069"/>
      <c r="LRH292" s="1069"/>
      <c r="LRI292" s="1069"/>
      <c r="LRJ292" s="1069"/>
      <c r="LRK292" s="1069"/>
      <c r="LRL292" s="1069"/>
      <c r="LRM292" s="1069"/>
      <c r="LRN292" s="1069"/>
      <c r="LRO292" s="1069"/>
      <c r="LRP292" s="1069"/>
      <c r="LRQ292" s="1069"/>
      <c r="LRR292" s="1069"/>
      <c r="LRS292" s="1069"/>
      <c r="LRT292" s="1069"/>
      <c r="LRU292" s="1069"/>
      <c r="LRV292" s="1069"/>
      <c r="LRW292" s="1069"/>
      <c r="LRX292" s="1069"/>
      <c r="LRY292" s="1069"/>
      <c r="LRZ292" s="1069"/>
      <c r="LSA292" s="1069"/>
      <c r="LSB292" s="1069"/>
      <c r="LSC292" s="1069"/>
      <c r="LSD292" s="1069"/>
      <c r="LSE292" s="1069"/>
      <c r="LSF292" s="1069"/>
      <c r="LSG292" s="1069"/>
      <c r="LSH292" s="1069"/>
      <c r="LSI292" s="1069"/>
      <c r="LSJ292" s="1069"/>
      <c r="LSK292" s="1069"/>
      <c r="LSL292" s="1069"/>
      <c r="LSM292" s="1069"/>
      <c r="LSN292" s="1069"/>
      <c r="LSO292" s="1069"/>
      <c r="LSP292" s="1069"/>
      <c r="LSQ292" s="1069"/>
      <c r="LSR292" s="1069"/>
      <c r="LSS292" s="1069"/>
      <c r="LST292" s="1069"/>
      <c r="LSU292" s="1069"/>
      <c r="LSV292" s="1069"/>
      <c r="LSW292" s="1069"/>
      <c r="LSX292" s="1069"/>
      <c r="LSY292" s="1069"/>
      <c r="LSZ292" s="1069"/>
      <c r="LTA292" s="1069"/>
      <c r="LTB292" s="1069"/>
      <c r="LTC292" s="1069"/>
      <c r="LTD292" s="1069"/>
      <c r="LTE292" s="1069"/>
      <c r="LTF292" s="1069"/>
      <c r="LTG292" s="1069"/>
      <c r="LTH292" s="1069"/>
      <c r="LTI292" s="1069"/>
      <c r="LTJ292" s="1069"/>
      <c r="LTK292" s="1069"/>
      <c r="LTL292" s="1069"/>
      <c r="LTM292" s="1069"/>
      <c r="LTN292" s="1069"/>
      <c r="LTO292" s="1069"/>
      <c r="LTP292" s="1069"/>
      <c r="LTQ292" s="1069"/>
      <c r="LTR292" s="1069"/>
      <c r="LTS292" s="1069"/>
      <c r="LTT292" s="1069"/>
      <c r="LTU292" s="1069"/>
      <c r="LTV292" s="1069"/>
      <c r="LTW292" s="1069"/>
      <c r="LTX292" s="1069"/>
      <c r="LTY292" s="1069"/>
      <c r="LTZ292" s="1069"/>
      <c r="LUA292" s="1069"/>
      <c r="LUB292" s="1069"/>
      <c r="LUC292" s="1069"/>
      <c r="LUD292" s="1069"/>
      <c r="LUE292" s="1069"/>
      <c r="LUF292" s="1069"/>
      <c r="LUG292" s="1069"/>
      <c r="LUH292" s="1069"/>
      <c r="LUI292" s="1069"/>
      <c r="LUJ292" s="1069"/>
      <c r="LUK292" s="1069"/>
      <c r="LUL292" s="1069"/>
      <c r="LUM292" s="1069"/>
      <c r="LUN292" s="1069"/>
      <c r="LUO292" s="1069"/>
      <c r="LUP292" s="1069"/>
      <c r="LUQ292" s="1069"/>
      <c r="LUR292" s="1069"/>
      <c r="LUS292" s="1069"/>
      <c r="LUT292" s="1069"/>
      <c r="LUU292" s="1069"/>
      <c r="LUV292" s="1069"/>
      <c r="LUW292" s="1069"/>
      <c r="LUX292" s="1069"/>
      <c r="LUY292" s="1069"/>
      <c r="LUZ292" s="1069"/>
      <c r="LVA292" s="1069"/>
      <c r="LVB292" s="1069"/>
      <c r="LVC292" s="1069"/>
      <c r="LVD292" s="1069"/>
      <c r="LVE292" s="1069"/>
      <c r="LVF292" s="1069"/>
      <c r="LVG292" s="1069"/>
      <c r="LVH292" s="1069"/>
      <c r="LVI292" s="1069"/>
      <c r="LVJ292" s="1069"/>
      <c r="LVK292" s="1069"/>
      <c r="LVL292" s="1069"/>
      <c r="LVM292" s="1069"/>
      <c r="LVN292" s="1069"/>
      <c r="LVO292" s="1069"/>
      <c r="LVP292" s="1069"/>
      <c r="LVQ292" s="1069"/>
      <c r="LVR292" s="1069"/>
      <c r="LVS292" s="1069"/>
      <c r="LVT292" s="1069"/>
      <c r="LVU292" s="1069"/>
      <c r="LVV292" s="1069"/>
      <c r="LVW292" s="1069"/>
      <c r="LVX292" s="1069"/>
      <c r="LVY292" s="1069"/>
      <c r="LVZ292" s="1069"/>
      <c r="LWA292" s="1069"/>
      <c r="LWB292" s="1069"/>
      <c r="LWC292" s="1069"/>
      <c r="LWD292" s="1069"/>
      <c r="LWE292" s="1069"/>
      <c r="LWF292" s="1069"/>
      <c r="LWG292" s="1069"/>
      <c r="LWH292" s="1069"/>
      <c r="LWI292" s="1069"/>
      <c r="LWJ292" s="1069"/>
      <c r="LWK292" s="1069"/>
      <c r="LWL292" s="1069"/>
      <c r="LWM292" s="1069"/>
      <c r="LWN292" s="1069"/>
      <c r="LWO292" s="1069"/>
      <c r="LWP292" s="1069"/>
      <c r="LWQ292" s="1069"/>
      <c r="LWR292" s="1069"/>
      <c r="LWS292" s="1069"/>
      <c r="LWT292" s="1069"/>
      <c r="LWU292" s="1069"/>
      <c r="LWV292" s="1069"/>
      <c r="LWW292" s="1069"/>
      <c r="LWX292" s="1069"/>
      <c r="LWY292" s="1069"/>
      <c r="LWZ292" s="1069"/>
      <c r="LXA292" s="1069"/>
      <c r="LXB292" s="1069"/>
      <c r="LXC292" s="1069"/>
      <c r="LXD292" s="1069"/>
      <c r="LXE292" s="1069"/>
      <c r="LXF292" s="1069"/>
      <c r="LXG292" s="1069"/>
      <c r="LXH292" s="1069"/>
      <c r="LXI292" s="1069"/>
      <c r="LXJ292" s="1069"/>
      <c r="LXK292" s="1069"/>
      <c r="LXL292" s="1069"/>
      <c r="LXM292" s="1069"/>
      <c r="LXN292" s="1069"/>
      <c r="LXO292" s="1069"/>
      <c r="LXP292" s="1069"/>
      <c r="LXQ292" s="1069"/>
      <c r="LXR292" s="1069"/>
      <c r="LXS292" s="1069"/>
      <c r="LXT292" s="1069"/>
      <c r="LXU292" s="1069"/>
      <c r="LXV292" s="1069"/>
      <c r="LXW292" s="1069"/>
      <c r="LXX292" s="1069"/>
      <c r="LXY292" s="1069"/>
      <c r="LXZ292" s="1069"/>
      <c r="LYA292" s="1069"/>
      <c r="LYB292" s="1069"/>
      <c r="LYC292" s="1069"/>
      <c r="LYD292" s="1069"/>
      <c r="LYE292" s="1069"/>
      <c r="LYF292" s="1069"/>
      <c r="LYG292" s="1069"/>
      <c r="LYH292" s="1069"/>
      <c r="LYI292" s="1069"/>
      <c r="LYJ292" s="1069"/>
      <c r="LYK292" s="1069"/>
      <c r="LYL292" s="1069"/>
      <c r="LYM292" s="1069"/>
      <c r="LYN292" s="1069"/>
      <c r="LYO292" s="1069"/>
      <c r="LYP292" s="1069"/>
      <c r="LYQ292" s="1069"/>
      <c r="LYR292" s="1069"/>
      <c r="LYS292" s="1069"/>
      <c r="LYT292" s="1069"/>
      <c r="LYU292" s="1069"/>
      <c r="LYV292" s="1069"/>
      <c r="LYW292" s="1069"/>
      <c r="LYX292" s="1069"/>
      <c r="LYY292" s="1069"/>
      <c r="LYZ292" s="1069"/>
      <c r="LZA292" s="1069"/>
      <c r="LZB292" s="1069"/>
      <c r="LZC292" s="1069"/>
      <c r="LZD292" s="1069"/>
      <c r="LZE292" s="1069"/>
      <c r="LZF292" s="1069"/>
      <c r="LZG292" s="1069"/>
      <c r="LZH292" s="1069"/>
      <c r="LZI292" s="1069"/>
      <c r="LZJ292" s="1069"/>
      <c r="LZK292" s="1069"/>
      <c r="LZL292" s="1069"/>
      <c r="LZM292" s="1069"/>
      <c r="LZN292" s="1069"/>
      <c r="LZO292" s="1069"/>
      <c r="LZP292" s="1069"/>
      <c r="LZQ292" s="1069"/>
      <c r="LZR292" s="1069"/>
      <c r="LZS292" s="1069"/>
      <c r="LZT292" s="1069"/>
      <c r="LZU292" s="1069"/>
      <c r="LZV292" s="1069"/>
      <c r="LZW292" s="1069"/>
      <c r="LZX292" s="1069"/>
      <c r="LZY292" s="1069"/>
      <c r="LZZ292" s="1069"/>
      <c r="MAA292" s="1069"/>
      <c r="MAB292" s="1069"/>
      <c r="MAC292" s="1069"/>
      <c r="MAD292" s="1069"/>
      <c r="MAE292" s="1069"/>
      <c r="MAF292" s="1069"/>
      <c r="MAG292" s="1069"/>
      <c r="MAH292" s="1069"/>
      <c r="MAI292" s="1069"/>
      <c r="MAJ292" s="1069"/>
      <c r="MAK292" s="1069"/>
      <c r="MAL292" s="1069"/>
      <c r="MAM292" s="1069"/>
      <c r="MAN292" s="1069"/>
      <c r="MAO292" s="1069"/>
      <c r="MAP292" s="1069"/>
      <c r="MAQ292" s="1069"/>
      <c r="MAR292" s="1069"/>
      <c r="MAS292" s="1069"/>
      <c r="MAT292" s="1069"/>
      <c r="MAU292" s="1069"/>
      <c r="MAV292" s="1069"/>
      <c r="MAW292" s="1069"/>
      <c r="MAX292" s="1069"/>
      <c r="MAY292" s="1069"/>
      <c r="MAZ292" s="1069"/>
      <c r="MBA292" s="1069"/>
      <c r="MBB292" s="1069"/>
      <c r="MBC292" s="1069"/>
      <c r="MBD292" s="1069"/>
      <c r="MBE292" s="1069"/>
      <c r="MBF292" s="1069"/>
      <c r="MBG292" s="1069"/>
      <c r="MBH292" s="1069"/>
      <c r="MBI292" s="1069"/>
      <c r="MBJ292" s="1069"/>
      <c r="MBK292" s="1069"/>
      <c r="MBL292" s="1069"/>
      <c r="MBM292" s="1069"/>
      <c r="MBN292" s="1069"/>
      <c r="MBO292" s="1069"/>
      <c r="MBP292" s="1069"/>
      <c r="MBQ292" s="1069"/>
      <c r="MBR292" s="1069"/>
      <c r="MBS292" s="1069"/>
      <c r="MBT292" s="1069"/>
      <c r="MBU292" s="1069"/>
      <c r="MBV292" s="1069"/>
      <c r="MBW292" s="1069"/>
      <c r="MBX292" s="1069"/>
      <c r="MBY292" s="1069"/>
      <c r="MBZ292" s="1069"/>
      <c r="MCA292" s="1069"/>
      <c r="MCB292" s="1069"/>
      <c r="MCC292" s="1069"/>
      <c r="MCD292" s="1069"/>
      <c r="MCE292" s="1069"/>
      <c r="MCF292" s="1069"/>
      <c r="MCG292" s="1069"/>
      <c r="MCH292" s="1069"/>
      <c r="MCI292" s="1069"/>
      <c r="MCJ292" s="1069"/>
      <c r="MCK292" s="1069"/>
      <c r="MCL292" s="1069"/>
      <c r="MCM292" s="1069"/>
      <c r="MCN292" s="1069"/>
      <c r="MCO292" s="1069"/>
      <c r="MCP292" s="1069"/>
      <c r="MCQ292" s="1069"/>
      <c r="MCR292" s="1069"/>
      <c r="MCS292" s="1069"/>
      <c r="MCT292" s="1069"/>
      <c r="MCU292" s="1069"/>
      <c r="MCV292" s="1069"/>
      <c r="MCW292" s="1069"/>
      <c r="MCX292" s="1069"/>
      <c r="MCY292" s="1069"/>
      <c r="MCZ292" s="1069"/>
      <c r="MDA292" s="1069"/>
      <c r="MDB292" s="1069"/>
      <c r="MDC292" s="1069"/>
      <c r="MDD292" s="1069"/>
      <c r="MDE292" s="1069"/>
      <c r="MDF292" s="1069"/>
      <c r="MDG292" s="1069"/>
      <c r="MDH292" s="1069"/>
      <c r="MDI292" s="1069"/>
      <c r="MDJ292" s="1069"/>
      <c r="MDK292" s="1069"/>
      <c r="MDL292" s="1069"/>
      <c r="MDM292" s="1069"/>
      <c r="MDN292" s="1069"/>
      <c r="MDO292" s="1069"/>
      <c r="MDP292" s="1069"/>
      <c r="MDQ292" s="1069"/>
      <c r="MDR292" s="1069"/>
      <c r="MDS292" s="1069"/>
      <c r="MDT292" s="1069"/>
      <c r="MDU292" s="1069"/>
      <c r="MDV292" s="1069"/>
      <c r="MDW292" s="1069"/>
      <c r="MDX292" s="1069"/>
      <c r="MDY292" s="1069"/>
      <c r="MDZ292" s="1069"/>
      <c r="MEA292" s="1069"/>
      <c r="MEB292" s="1069"/>
      <c r="MEC292" s="1069"/>
      <c r="MED292" s="1069"/>
      <c r="MEE292" s="1069"/>
      <c r="MEF292" s="1069"/>
      <c r="MEG292" s="1069"/>
      <c r="MEH292" s="1069"/>
      <c r="MEI292" s="1069"/>
      <c r="MEJ292" s="1069"/>
      <c r="MEK292" s="1069"/>
      <c r="MEL292" s="1069"/>
      <c r="MEM292" s="1069"/>
      <c r="MEN292" s="1069"/>
      <c r="MEO292" s="1069"/>
      <c r="MEP292" s="1069"/>
      <c r="MEQ292" s="1069"/>
      <c r="MER292" s="1069"/>
      <c r="MES292" s="1069"/>
      <c r="MET292" s="1069"/>
      <c r="MEU292" s="1069"/>
      <c r="MEV292" s="1069"/>
      <c r="MEW292" s="1069"/>
      <c r="MEX292" s="1069"/>
      <c r="MEY292" s="1069"/>
      <c r="MEZ292" s="1069"/>
      <c r="MFA292" s="1069"/>
      <c r="MFB292" s="1069"/>
      <c r="MFC292" s="1069"/>
      <c r="MFD292" s="1069"/>
      <c r="MFE292" s="1069"/>
      <c r="MFF292" s="1069"/>
      <c r="MFG292" s="1069"/>
      <c r="MFH292" s="1069"/>
      <c r="MFI292" s="1069"/>
      <c r="MFJ292" s="1069"/>
      <c r="MFK292" s="1069"/>
      <c r="MFL292" s="1069"/>
      <c r="MFM292" s="1069"/>
      <c r="MFN292" s="1069"/>
      <c r="MFO292" s="1069"/>
      <c r="MFP292" s="1069"/>
      <c r="MFQ292" s="1069"/>
      <c r="MFR292" s="1069"/>
      <c r="MFS292" s="1069"/>
      <c r="MFT292" s="1069"/>
      <c r="MFU292" s="1069"/>
      <c r="MFV292" s="1069"/>
      <c r="MFW292" s="1069"/>
      <c r="MFX292" s="1069"/>
      <c r="MFY292" s="1069"/>
      <c r="MFZ292" s="1069"/>
      <c r="MGA292" s="1069"/>
      <c r="MGB292" s="1069"/>
      <c r="MGC292" s="1069"/>
      <c r="MGD292" s="1069"/>
      <c r="MGE292" s="1069"/>
      <c r="MGF292" s="1069"/>
      <c r="MGG292" s="1069"/>
      <c r="MGH292" s="1069"/>
      <c r="MGI292" s="1069"/>
      <c r="MGJ292" s="1069"/>
      <c r="MGK292" s="1069"/>
      <c r="MGL292" s="1069"/>
      <c r="MGM292" s="1069"/>
      <c r="MGN292" s="1069"/>
      <c r="MGO292" s="1069"/>
      <c r="MGP292" s="1069"/>
      <c r="MGQ292" s="1069"/>
      <c r="MGR292" s="1069"/>
      <c r="MGS292" s="1069"/>
      <c r="MGT292" s="1069"/>
      <c r="MGU292" s="1069"/>
      <c r="MGV292" s="1069"/>
      <c r="MGW292" s="1069"/>
      <c r="MGX292" s="1069"/>
      <c r="MGY292" s="1069"/>
      <c r="MGZ292" s="1069"/>
      <c r="MHA292" s="1069"/>
      <c r="MHB292" s="1069"/>
      <c r="MHC292" s="1069"/>
      <c r="MHD292" s="1069"/>
      <c r="MHE292" s="1069"/>
      <c r="MHF292" s="1069"/>
      <c r="MHG292" s="1069"/>
      <c r="MHH292" s="1069"/>
      <c r="MHI292" s="1069"/>
      <c r="MHJ292" s="1069"/>
      <c r="MHK292" s="1069"/>
      <c r="MHL292" s="1069"/>
      <c r="MHM292" s="1069"/>
      <c r="MHN292" s="1069"/>
      <c r="MHO292" s="1069"/>
      <c r="MHP292" s="1069"/>
      <c r="MHQ292" s="1069"/>
      <c r="MHR292" s="1069"/>
      <c r="MHS292" s="1069"/>
      <c r="MHT292" s="1069"/>
      <c r="MHU292" s="1069"/>
      <c r="MHV292" s="1069"/>
      <c r="MHW292" s="1069"/>
      <c r="MHX292" s="1069"/>
      <c r="MHY292" s="1069"/>
      <c r="MHZ292" s="1069"/>
      <c r="MIA292" s="1069"/>
      <c r="MIB292" s="1069"/>
      <c r="MIC292" s="1069"/>
      <c r="MID292" s="1069"/>
      <c r="MIE292" s="1069"/>
      <c r="MIF292" s="1069"/>
      <c r="MIG292" s="1069"/>
      <c r="MIH292" s="1069"/>
      <c r="MII292" s="1069"/>
      <c r="MIJ292" s="1069"/>
      <c r="MIK292" s="1069"/>
      <c r="MIL292" s="1069"/>
      <c r="MIM292" s="1069"/>
      <c r="MIN292" s="1069"/>
      <c r="MIO292" s="1069"/>
      <c r="MIP292" s="1069"/>
      <c r="MIQ292" s="1069"/>
      <c r="MIR292" s="1069"/>
      <c r="MIS292" s="1069"/>
      <c r="MIT292" s="1069"/>
      <c r="MIU292" s="1069"/>
      <c r="MIV292" s="1069"/>
      <c r="MIW292" s="1069"/>
      <c r="MIX292" s="1069"/>
      <c r="MIY292" s="1069"/>
      <c r="MIZ292" s="1069"/>
      <c r="MJA292" s="1069"/>
      <c r="MJB292" s="1069"/>
      <c r="MJC292" s="1069"/>
      <c r="MJD292" s="1069"/>
      <c r="MJE292" s="1069"/>
      <c r="MJF292" s="1069"/>
      <c r="MJG292" s="1069"/>
      <c r="MJH292" s="1069"/>
      <c r="MJI292" s="1069"/>
      <c r="MJJ292" s="1069"/>
      <c r="MJK292" s="1069"/>
      <c r="MJL292" s="1069"/>
      <c r="MJM292" s="1069"/>
      <c r="MJN292" s="1069"/>
      <c r="MJO292" s="1069"/>
      <c r="MJP292" s="1069"/>
      <c r="MJQ292" s="1069"/>
      <c r="MJR292" s="1069"/>
      <c r="MJS292" s="1069"/>
      <c r="MJT292" s="1069"/>
      <c r="MJU292" s="1069"/>
      <c r="MJV292" s="1069"/>
      <c r="MJW292" s="1069"/>
      <c r="MJX292" s="1069"/>
      <c r="MJY292" s="1069"/>
      <c r="MJZ292" s="1069"/>
      <c r="MKA292" s="1069"/>
      <c r="MKB292" s="1069"/>
      <c r="MKC292" s="1069"/>
      <c r="MKD292" s="1069"/>
      <c r="MKE292" s="1069"/>
      <c r="MKF292" s="1069"/>
      <c r="MKG292" s="1069"/>
      <c r="MKH292" s="1069"/>
      <c r="MKI292" s="1069"/>
      <c r="MKJ292" s="1069"/>
      <c r="MKK292" s="1069"/>
      <c r="MKL292" s="1069"/>
      <c r="MKM292" s="1069"/>
      <c r="MKN292" s="1069"/>
      <c r="MKO292" s="1069"/>
      <c r="MKP292" s="1069"/>
      <c r="MKQ292" s="1069"/>
      <c r="MKR292" s="1069"/>
      <c r="MKS292" s="1069"/>
      <c r="MKT292" s="1069"/>
      <c r="MKU292" s="1069"/>
      <c r="MKV292" s="1069"/>
      <c r="MKW292" s="1069"/>
      <c r="MKX292" s="1069"/>
      <c r="MKY292" s="1069"/>
      <c r="MKZ292" s="1069"/>
      <c r="MLA292" s="1069"/>
      <c r="MLB292" s="1069"/>
      <c r="MLC292" s="1069"/>
      <c r="MLD292" s="1069"/>
      <c r="MLE292" s="1069"/>
      <c r="MLF292" s="1069"/>
      <c r="MLG292" s="1069"/>
      <c r="MLH292" s="1069"/>
      <c r="MLI292" s="1069"/>
      <c r="MLJ292" s="1069"/>
      <c r="MLK292" s="1069"/>
      <c r="MLL292" s="1069"/>
      <c r="MLM292" s="1069"/>
      <c r="MLN292" s="1069"/>
      <c r="MLO292" s="1069"/>
      <c r="MLP292" s="1069"/>
      <c r="MLQ292" s="1069"/>
      <c r="MLR292" s="1069"/>
      <c r="MLS292" s="1069"/>
      <c r="MLT292" s="1069"/>
      <c r="MLU292" s="1069"/>
      <c r="MLV292" s="1069"/>
      <c r="MLW292" s="1069"/>
      <c r="MLX292" s="1069"/>
      <c r="MLY292" s="1069"/>
      <c r="MLZ292" s="1069"/>
      <c r="MMA292" s="1069"/>
      <c r="MMB292" s="1069"/>
      <c r="MMC292" s="1069"/>
      <c r="MMD292" s="1069"/>
      <c r="MME292" s="1069"/>
      <c r="MMF292" s="1069"/>
      <c r="MMG292" s="1069"/>
      <c r="MMH292" s="1069"/>
      <c r="MMI292" s="1069"/>
      <c r="MMJ292" s="1069"/>
      <c r="MMK292" s="1069"/>
      <c r="MML292" s="1069"/>
      <c r="MMM292" s="1069"/>
      <c r="MMN292" s="1069"/>
      <c r="MMO292" s="1069"/>
      <c r="MMP292" s="1069"/>
      <c r="MMQ292" s="1069"/>
      <c r="MMR292" s="1069"/>
      <c r="MMS292" s="1069"/>
      <c r="MMT292" s="1069"/>
      <c r="MMU292" s="1069"/>
      <c r="MMV292" s="1069"/>
      <c r="MMW292" s="1069"/>
      <c r="MMX292" s="1069"/>
      <c r="MMY292" s="1069"/>
      <c r="MMZ292" s="1069"/>
      <c r="MNA292" s="1069"/>
      <c r="MNB292" s="1069"/>
      <c r="MNC292" s="1069"/>
      <c r="MND292" s="1069"/>
      <c r="MNE292" s="1069"/>
      <c r="MNF292" s="1069"/>
      <c r="MNG292" s="1069"/>
      <c r="MNH292" s="1069"/>
      <c r="MNI292" s="1069"/>
      <c r="MNJ292" s="1069"/>
      <c r="MNK292" s="1069"/>
      <c r="MNL292" s="1069"/>
      <c r="MNM292" s="1069"/>
      <c r="MNN292" s="1069"/>
      <c r="MNO292" s="1069"/>
      <c r="MNP292" s="1069"/>
      <c r="MNQ292" s="1069"/>
      <c r="MNR292" s="1069"/>
      <c r="MNS292" s="1069"/>
      <c r="MNT292" s="1069"/>
      <c r="MNU292" s="1069"/>
      <c r="MNV292" s="1069"/>
      <c r="MNW292" s="1069"/>
      <c r="MNX292" s="1069"/>
      <c r="MNY292" s="1069"/>
      <c r="MNZ292" s="1069"/>
      <c r="MOA292" s="1069"/>
      <c r="MOB292" s="1069"/>
      <c r="MOC292" s="1069"/>
      <c r="MOD292" s="1069"/>
      <c r="MOE292" s="1069"/>
      <c r="MOF292" s="1069"/>
      <c r="MOG292" s="1069"/>
      <c r="MOH292" s="1069"/>
      <c r="MOI292" s="1069"/>
      <c r="MOJ292" s="1069"/>
      <c r="MOK292" s="1069"/>
      <c r="MOL292" s="1069"/>
      <c r="MOM292" s="1069"/>
      <c r="MON292" s="1069"/>
      <c r="MOO292" s="1069"/>
      <c r="MOP292" s="1069"/>
      <c r="MOQ292" s="1069"/>
      <c r="MOR292" s="1069"/>
      <c r="MOS292" s="1069"/>
      <c r="MOT292" s="1069"/>
      <c r="MOU292" s="1069"/>
      <c r="MOV292" s="1069"/>
      <c r="MOW292" s="1069"/>
      <c r="MOX292" s="1069"/>
      <c r="MOY292" s="1069"/>
      <c r="MOZ292" s="1069"/>
      <c r="MPA292" s="1069"/>
      <c r="MPB292" s="1069"/>
      <c r="MPC292" s="1069"/>
      <c r="MPD292" s="1069"/>
      <c r="MPE292" s="1069"/>
      <c r="MPF292" s="1069"/>
      <c r="MPG292" s="1069"/>
      <c r="MPH292" s="1069"/>
      <c r="MPI292" s="1069"/>
      <c r="MPJ292" s="1069"/>
      <c r="MPK292" s="1069"/>
      <c r="MPL292" s="1069"/>
      <c r="MPM292" s="1069"/>
      <c r="MPN292" s="1069"/>
      <c r="MPO292" s="1069"/>
      <c r="MPP292" s="1069"/>
      <c r="MPQ292" s="1069"/>
      <c r="MPR292" s="1069"/>
      <c r="MPS292" s="1069"/>
      <c r="MPT292" s="1069"/>
      <c r="MPU292" s="1069"/>
      <c r="MPV292" s="1069"/>
      <c r="MPW292" s="1069"/>
      <c r="MPX292" s="1069"/>
      <c r="MPY292" s="1069"/>
      <c r="MPZ292" s="1069"/>
      <c r="MQA292" s="1069"/>
      <c r="MQB292" s="1069"/>
      <c r="MQC292" s="1069"/>
      <c r="MQD292" s="1069"/>
      <c r="MQE292" s="1069"/>
      <c r="MQF292" s="1069"/>
      <c r="MQG292" s="1069"/>
      <c r="MQH292" s="1069"/>
      <c r="MQI292" s="1069"/>
      <c r="MQJ292" s="1069"/>
      <c r="MQK292" s="1069"/>
      <c r="MQL292" s="1069"/>
      <c r="MQM292" s="1069"/>
      <c r="MQN292" s="1069"/>
      <c r="MQO292" s="1069"/>
      <c r="MQP292" s="1069"/>
      <c r="MQQ292" s="1069"/>
      <c r="MQR292" s="1069"/>
      <c r="MQS292" s="1069"/>
      <c r="MQT292" s="1069"/>
      <c r="MQU292" s="1069"/>
      <c r="MQV292" s="1069"/>
      <c r="MQW292" s="1069"/>
      <c r="MQX292" s="1069"/>
      <c r="MQY292" s="1069"/>
      <c r="MQZ292" s="1069"/>
      <c r="MRA292" s="1069"/>
      <c r="MRB292" s="1069"/>
      <c r="MRC292" s="1069"/>
      <c r="MRD292" s="1069"/>
      <c r="MRE292" s="1069"/>
      <c r="MRF292" s="1069"/>
      <c r="MRG292" s="1069"/>
      <c r="MRH292" s="1069"/>
      <c r="MRI292" s="1069"/>
      <c r="MRJ292" s="1069"/>
      <c r="MRK292" s="1069"/>
      <c r="MRL292" s="1069"/>
      <c r="MRM292" s="1069"/>
      <c r="MRN292" s="1069"/>
      <c r="MRO292" s="1069"/>
      <c r="MRP292" s="1069"/>
      <c r="MRQ292" s="1069"/>
      <c r="MRR292" s="1069"/>
      <c r="MRS292" s="1069"/>
      <c r="MRT292" s="1069"/>
      <c r="MRU292" s="1069"/>
      <c r="MRV292" s="1069"/>
      <c r="MRW292" s="1069"/>
      <c r="MRX292" s="1069"/>
      <c r="MRY292" s="1069"/>
      <c r="MRZ292" s="1069"/>
      <c r="MSA292" s="1069"/>
      <c r="MSB292" s="1069"/>
      <c r="MSC292" s="1069"/>
      <c r="MSD292" s="1069"/>
      <c r="MSE292" s="1069"/>
      <c r="MSF292" s="1069"/>
      <c r="MSG292" s="1069"/>
      <c r="MSH292" s="1069"/>
      <c r="MSI292" s="1069"/>
      <c r="MSJ292" s="1069"/>
      <c r="MSK292" s="1069"/>
      <c r="MSL292" s="1069"/>
      <c r="MSM292" s="1069"/>
      <c r="MSN292" s="1069"/>
      <c r="MSO292" s="1069"/>
      <c r="MSP292" s="1069"/>
      <c r="MSQ292" s="1069"/>
      <c r="MSR292" s="1069"/>
      <c r="MSS292" s="1069"/>
      <c r="MST292" s="1069"/>
      <c r="MSU292" s="1069"/>
      <c r="MSV292" s="1069"/>
      <c r="MSW292" s="1069"/>
      <c r="MSX292" s="1069"/>
      <c r="MSY292" s="1069"/>
      <c r="MSZ292" s="1069"/>
      <c r="MTA292" s="1069"/>
      <c r="MTB292" s="1069"/>
      <c r="MTC292" s="1069"/>
      <c r="MTD292" s="1069"/>
      <c r="MTE292" s="1069"/>
      <c r="MTF292" s="1069"/>
      <c r="MTG292" s="1069"/>
      <c r="MTH292" s="1069"/>
      <c r="MTI292" s="1069"/>
      <c r="MTJ292" s="1069"/>
      <c r="MTK292" s="1069"/>
      <c r="MTL292" s="1069"/>
      <c r="MTM292" s="1069"/>
      <c r="MTN292" s="1069"/>
      <c r="MTO292" s="1069"/>
      <c r="MTP292" s="1069"/>
      <c r="MTQ292" s="1069"/>
      <c r="MTR292" s="1069"/>
      <c r="MTS292" s="1069"/>
      <c r="MTT292" s="1069"/>
      <c r="MTU292" s="1069"/>
      <c r="MTV292" s="1069"/>
      <c r="MTW292" s="1069"/>
      <c r="MTX292" s="1069"/>
      <c r="MTY292" s="1069"/>
      <c r="MTZ292" s="1069"/>
      <c r="MUA292" s="1069"/>
      <c r="MUB292" s="1069"/>
      <c r="MUC292" s="1069"/>
      <c r="MUD292" s="1069"/>
      <c r="MUE292" s="1069"/>
      <c r="MUF292" s="1069"/>
      <c r="MUG292" s="1069"/>
      <c r="MUH292" s="1069"/>
      <c r="MUI292" s="1069"/>
      <c r="MUJ292" s="1069"/>
      <c r="MUK292" s="1069"/>
      <c r="MUL292" s="1069"/>
      <c r="MUM292" s="1069"/>
      <c r="MUN292" s="1069"/>
      <c r="MUO292" s="1069"/>
      <c r="MUP292" s="1069"/>
      <c r="MUQ292" s="1069"/>
      <c r="MUR292" s="1069"/>
      <c r="MUS292" s="1069"/>
      <c r="MUT292" s="1069"/>
      <c r="MUU292" s="1069"/>
      <c r="MUV292" s="1069"/>
      <c r="MUW292" s="1069"/>
      <c r="MUX292" s="1069"/>
      <c r="MUY292" s="1069"/>
      <c r="MUZ292" s="1069"/>
      <c r="MVA292" s="1069"/>
      <c r="MVB292" s="1069"/>
      <c r="MVC292" s="1069"/>
      <c r="MVD292" s="1069"/>
      <c r="MVE292" s="1069"/>
      <c r="MVF292" s="1069"/>
      <c r="MVG292" s="1069"/>
      <c r="MVH292" s="1069"/>
      <c r="MVI292" s="1069"/>
      <c r="MVJ292" s="1069"/>
      <c r="MVK292" s="1069"/>
      <c r="MVL292" s="1069"/>
      <c r="MVM292" s="1069"/>
      <c r="MVN292" s="1069"/>
      <c r="MVO292" s="1069"/>
      <c r="MVP292" s="1069"/>
      <c r="MVQ292" s="1069"/>
      <c r="MVR292" s="1069"/>
      <c r="MVS292" s="1069"/>
      <c r="MVT292" s="1069"/>
      <c r="MVU292" s="1069"/>
      <c r="MVV292" s="1069"/>
      <c r="MVW292" s="1069"/>
      <c r="MVX292" s="1069"/>
      <c r="MVY292" s="1069"/>
      <c r="MVZ292" s="1069"/>
      <c r="MWA292" s="1069"/>
      <c r="MWB292" s="1069"/>
      <c r="MWC292" s="1069"/>
      <c r="MWD292" s="1069"/>
      <c r="MWE292" s="1069"/>
      <c r="MWF292" s="1069"/>
      <c r="MWG292" s="1069"/>
      <c r="MWH292" s="1069"/>
      <c r="MWI292" s="1069"/>
      <c r="MWJ292" s="1069"/>
      <c r="MWK292" s="1069"/>
      <c r="MWL292" s="1069"/>
      <c r="MWM292" s="1069"/>
      <c r="MWN292" s="1069"/>
      <c r="MWO292" s="1069"/>
      <c r="MWP292" s="1069"/>
      <c r="MWQ292" s="1069"/>
      <c r="MWR292" s="1069"/>
      <c r="MWS292" s="1069"/>
      <c r="MWT292" s="1069"/>
      <c r="MWU292" s="1069"/>
      <c r="MWV292" s="1069"/>
      <c r="MWW292" s="1069"/>
      <c r="MWX292" s="1069"/>
      <c r="MWY292" s="1069"/>
      <c r="MWZ292" s="1069"/>
      <c r="MXA292" s="1069"/>
      <c r="MXB292" s="1069"/>
      <c r="MXC292" s="1069"/>
      <c r="MXD292" s="1069"/>
      <c r="MXE292" s="1069"/>
      <c r="MXF292" s="1069"/>
      <c r="MXG292" s="1069"/>
      <c r="MXH292" s="1069"/>
      <c r="MXI292" s="1069"/>
      <c r="MXJ292" s="1069"/>
      <c r="MXK292" s="1069"/>
      <c r="MXL292" s="1069"/>
      <c r="MXM292" s="1069"/>
      <c r="MXN292" s="1069"/>
      <c r="MXO292" s="1069"/>
      <c r="MXP292" s="1069"/>
      <c r="MXQ292" s="1069"/>
      <c r="MXR292" s="1069"/>
      <c r="MXS292" s="1069"/>
      <c r="MXT292" s="1069"/>
      <c r="MXU292" s="1069"/>
      <c r="MXV292" s="1069"/>
      <c r="MXW292" s="1069"/>
      <c r="MXX292" s="1069"/>
      <c r="MXY292" s="1069"/>
      <c r="MXZ292" s="1069"/>
      <c r="MYA292" s="1069"/>
      <c r="MYB292" s="1069"/>
      <c r="MYC292" s="1069"/>
      <c r="MYD292" s="1069"/>
      <c r="MYE292" s="1069"/>
      <c r="MYF292" s="1069"/>
      <c r="MYG292" s="1069"/>
      <c r="MYH292" s="1069"/>
      <c r="MYI292" s="1069"/>
      <c r="MYJ292" s="1069"/>
      <c r="MYK292" s="1069"/>
      <c r="MYL292" s="1069"/>
      <c r="MYM292" s="1069"/>
      <c r="MYN292" s="1069"/>
      <c r="MYO292" s="1069"/>
      <c r="MYP292" s="1069"/>
      <c r="MYQ292" s="1069"/>
      <c r="MYR292" s="1069"/>
      <c r="MYS292" s="1069"/>
      <c r="MYT292" s="1069"/>
      <c r="MYU292" s="1069"/>
      <c r="MYV292" s="1069"/>
      <c r="MYW292" s="1069"/>
      <c r="MYX292" s="1069"/>
      <c r="MYY292" s="1069"/>
      <c r="MYZ292" s="1069"/>
      <c r="MZA292" s="1069"/>
      <c r="MZB292" s="1069"/>
      <c r="MZC292" s="1069"/>
      <c r="MZD292" s="1069"/>
      <c r="MZE292" s="1069"/>
      <c r="MZF292" s="1069"/>
      <c r="MZG292" s="1069"/>
      <c r="MZH292" s="1069"/>
      <c r="MZI292" s="1069"/>
      <c r="MZJ292" s="1069"/>
      <c r="MZK292" s="1069"/>
      <c r="MZL292" s="1069"/>
      <c r="MZM292" s="1069"/>
      <c r="MZN292" s="1069"/>
      <c r="MZO292" s="1069"/>
      <c r="MZP292" s="1069"/>
      <c r="MZQ292" s="1069"/>
      <c r="MZR292" s="1069"/>
      <c r="MZS292" s="1069"/>
      <c r="MZT292" s="1069"/>
      <c r="MZU292" s="1069"/>
      <c r="MZV292" s="1069"/>
      <c r="MZW292" s="1069"/>
      <c r="MZX292" s="1069"/>
      <c r="MZY292" s="1069"/>
      <c r="MZZ292" s="1069"/>
      <c r="NAA292" s="1069"/>
      <c r="NAB292" s="1069"/>
      <c r="NAC292" s="1069"/>
      <c r="NAD292" s="1069"/>
      <c r="NAE292" s="1069"/>
      <c r="NAF292" s="1069"/>
      <c r="NAG292" s="1069"/>
      <c r="NAH292" s="1069"/>
      <c r="NAI292" s="1069"/>
      <c r="NAJ292" s="1069"/>
      <c r="NAK292" s="1069"/>
      <c r="NAL292" s="1069"/>
      <c r="NAM292" s="1069"/>
      <c r="NAN292" s="1069"/>
      <c r="NAO292" s="1069"/>
      <c r="NAP292" s="1069"/>
      <c r="NAQ292" s="1069"/>
      <c r="NAR292" s="1069"/>
      <c r="NAS292" s="1069"/>
      <c r="NAT292" s="1069"/>
      <c r="NAU292" s="1069"/>
      <c r="NAV292" s="1069"/>
      <c r="NAW292" s="1069"/>
      <c r="NAX292" s="1069"/>
      <c r="NAY292" s="1069"/>
      <c r="NAZ292" s="1069"/>
      <c r="NBA292" s="1069"/>
      <c r="NBB292" s="1069"/>
      <c r="NBC292" s="1069"/>
      <c r="NBD292" s="1069"/>
      <c r="NBE292" s="1069"/>
      <c r="NBF292" s="1069"/>
      <c r="NBG292" s="1069"/>
      <c r="NBH292" s="1069"/>
      <c r="NBI292" s="1069"/>
      <c r="NBJ292" s="1069"/>
      <c r="NBK292" s="1069"/>
      <c r="NBL292" s="1069"/>
      <c r="NBM292" s="1069"/>
      <c r="NBN292" s="1069"/>
      <c r="NBO292" s="1069"/>
      <c r="NBP292" s="1069"/>
      <c r="NBQ292" s="1069"/>
      <c r="NBR292" s="1069"/>
      <c r="NBS292" s="1069"/>
      <c r="NBT292" s="1069"/>
      <c r="NBU292" s="1069"/>
      <c r="NBV292" s="1069"/>
      <c r="NBW292" s="1069"/>
      <c r="NBX292" s="1069"/>
      <c r="NBY292" s="1069"/>
      <c r="NBZ292" s="1069"/>
      <c r="NCA292" s="1069"/>
      <c r="NCB292" s="1069"/>
      <c r="NCC292" s="1069"/>
      <c r="NCD292" s="1069"/>
      <c r="NCE292" s="1069"/>
      <c r="NCF292" s="1069"/>
      <c r="NCG292" s="1069"/>
      <c r="NCH292" s="1069"/>
      <c r="NCI292" s="1069"/>
      <c r="NCJ292" s="1069"/>
      <c r="NCK292" s="1069"/>
      <c r="NCL292" s="1069"/>
      <c r="NCM292" s="1069"/>
      <c r="NCN292" s="1069"/>
      <c r="NCO292" s="1069"/>
      <c r="NCP292" s="1069"/>
      <c r="NCQ292" s="1069"/>
      <c r="NCR292" s="1069"/>
      <c r="NCS292" s="1069"/>
      <c r="NCT292" s="1069"/>
      <c r="NCU292" s="1069"/>
      <c r="NCV292" s="1069"/>
      <c r="NCW292" s="1069"/>
      <c r="NCX292" s="1069"/>
      <c r="NCY292" s="1069"/>
      <c r="NCZ292" s="1069"/>
      <c r="NDA292" s="1069"/>
      <c r="NDB292" s="1069"/>
      <c r="NDC292" s="1069"/>
      <c r="NDD292" s="1069"/>
      <c r="NDE292" s="1069"/>
      <c r="NDF292" s="1069"/>
      <c r="NDG292" s="1069"/>
      <c r="NDH292" s="1069"/>
      <c r="NDI292" s="1069"/>
      <c r="NDJ292" s="1069"/>
      <c r="NDK292" s="1069"/>
      <c r="NDL292" s="1069"/>
      <c r="NDM292" s="1069"/>
      <c r="NDN292" s="1069"/>
      <c r="NDO292" s="1069"/>
      <c r="NDP292" s="1069"/>
      <c r="NDQ292" s="1069"/>
      <c r="NDR292" s="1069"/>
      <c r="NDS292" s="1069"/>
      <c r="NDT292" s="1069"/>
      <c r="NDU292" s="1069"/>
      <c r="NDV292" s="1069"/>
      <c r="NDW292" s="1069"/>
      <c r="NDX292" s="1069"/>
      <c r="NDY292" s="1069"/>
      <c r="NDZ292" s="1069"/>
      <c r="NEA292" s="1069"/>
      <c r="NEB292" s="1069"/>
      <c r="NEC292" s="1069"/>
      <c r="NED292" s="1069"/>
      <c r="NEE292" s="1069"/>
      <c r="NEF292" s="1069"/>
      <c r="NEG292" s="1069"/>
      <c r="NEH292" s="1069"/>
      <c r="NEI292" s="1069"/>
      <c r="NEJ292" s="1069"/>
      <c r="NEK292" s="1069"/>
      <c r="NEL292" s="1069"/>
      <c r="NEM292" s="1069"/>
      <c r="NEN292" s="1069"/>
      <c r="NEO292" s="1069"/>
      <c r="NEP292" s="1069"/>
      <c r="NEQ292" s="1069"/>
      <c r="NER292" s="1069"/>
      <c r="NES292" s="1069"/>
      <c r="NET292" s="1069"/>
      <c r="NEU292" s="1069"/>
      <c r="NEV292" s="1069"/>
      <c r="NEW292" s="1069"/>
      <c r="NEX292" s="1069"/>
      <c r="NEY292" s="1069"/>
      <c r="NEZ292" s="1069"/>
      <c r="NFA292" s="1069"/>
      <c r="NFB292" s="1069"/>
      <c r="NFC292" s="1069"/>
      <c r="NFD292" s="1069"/>
      <c r="NFE292" s="1069"/>
      <c r="NFF292" s="1069"/>
      <c r="NFG292" s="1069"/>
      <c r="NFH292" s="1069"/>
      <c r="NFI292" s="1069"/>
      <c r="NFJ292" s="1069"/>
      <c r="NFK292" s="1069"/>
      <c r="NFL292" s="1069"/>
      <c r="NFM292" s="1069"/>
      <c r="NFN292" s="1069"/>
      <c r="NFO292" s="1069"/>
      <c r="NFP292" s="1069"/>
      <c r="NFQ292" s="1069"/>
      <c r="NFR292" s="1069"/>
      <c r="NFS292" s="1069"/>
      <c r="NFT292" s="1069"/>
      <c r="NFU292" s="1069"/>
      <c r="NFV292" s="1069"/>
      <c r="NFW292" s="1069"/>
      <c r="NFX292" s="1069"/>
      <c r="NFY292" s="1069"/>
      <c r="NFZ292" s="1069"/>
      <c r="NGA292" s="1069"/>
      <c r="NGB292" s="1069"/>
      <c r="NGC292" s="1069"/>
      <c r="NGD292" s="1069"/>
      <c r="NGE292" s="1069"/>
      <c r="NGF292" s="1069"/>
      <c r="NGG292" s="1069"/>
      <c r="NGH292" s="1069"/>
      <c r="NGI292" s="1069"/>
      <c r="NGJ292" s="1069"/>
      <c r="NGK292" s="1069"/>
      <c r="NGL292" s="1069"/>
      <c r="NGM292" s="1069"/>
      <c r="NGN292" s="1069"/>
      <c r="NGO292" s="1069"/>
      <c r="NGP292" s="1069"/>
      <c r="NGQ292" s="1069"/>
      <c r="NGR292" s="1069"/>
      <c r="NGS292" s="1069"/>
      <c r="NGT292" s="1069"/>
      <c r="NGU292" s="1069"/>
      <c r="NGV292" s="1069"/>
      <c r="NGW292" s="1069"/>
      <c r="NGX292" s="1069"/>
      <c r="NGY292" s="1069"/>
      <c r="NGZ292" s="1069"/>
      <c r="NHA292" s="1069"/>
      <c r="NHB292" s="1069"/>
      <c r="NHC292" s="1069"/>
      <c r="NHD292" s="1069"/>
      <c r="NHE292" s="1069"/>
      <c r="NHF292" s="1069"/>
      <c r="NHG292" s="1069"/>
      <c r="NHH292" s="1069"/>
      <c r="NHI292" s="1069"/>
      <c r="NHJ292" s="1069"/>
      <c r="NHK292" s="1069"/>
      <c r="NHL292" s="1069"/>
      <c r="NHM292" s="1069"/>
      <c r="NHN292" s="1069"/>
      <c r="NHO292" s="1069"/>
      <c r="NHP292" s="1069"/>
      <c r="NHQ292" s="1069"/>
      <c r="NHR292" s="1069"/>
      <c r="NHS292" s="1069"/>
      <c r="NHT292" s="1069"/>
      <c r="NHU292" s="1069"/>
      <c r="NHV292" s="1069"/>
      <c r="NHW292" s="1069"/>
      <c r="NHX292" s="1069"/>
      <c r="NHY292" s="1069"/>
      <c r="NHZ292" s="1069"/>
      <c r="NIA292" s="1069"/>
      <c r="NIB292" s="1069"/>
      <c r="NIC292" s="1069"/>
      <c r="NID292" s="1069"/>
      <c r="NIE292" s="1069"/>
      <c r="NIF292" s="1069"/>
      <c r="NIG292" s="1069"/>
      <c r="NIH292" s="1069"/>
      <c r="NII292" s="1069"/>
      <c r="NIJ292" s="1069"/>
      <c r="NIK292" s="1069"/>
      <c r="NIL292" s="1069"/>
      <c r="NIM292" s="1069"/>
      <c r="NIN292" s="1069"/>
      <c r="NIO292" s="1069"/>
      <c r="NIP292" s="1069"/>
      <c r="NIQ292" s="1069"/>
      <c r="NIR292" s="1069"/>
      <c r="NIS292" s="1069"/>
      <c r="NIT292" s="1069"/>
      <c r="NIU292" s="1069"/>
      <c r="NIV292" s="1069"/>
      <c r="NIW292" s="1069"/>
      <c r="NIX292" s="1069"/>
      <c r="NIY292" s="1069"/>
      <c r="NIZ292" s="1069"/>
      <c r="NJA292" s="1069"/>
      <c r="NJB292" s="1069"/>
      <c r="NJC292" s="1069"/>
      <c r="NJD292" s="1069"/>
      <c r="NJE292" s="1069"/>
      <c r="NJF292" s="1069"/>
      <c r="NJG292" s="1069"/>
      <c r="NJH292" s="1069"/>
      <c r="NJI292" s="1069"/>
      <c r="NJJ292" s="1069"/>
      <c r="NJK292" s="1069"/>
      <c r="NJL292" s="1069"/>
      <c r="NJM292" s="1069"/>
      <c r="NJN292" s="1069"/>
      <c r="NJO292" s="1069"/>
      <c r="NJP292" s="1069"/>
      <c r="NJQ292" s="1069"/>
      <c r="NJR292" s="1069"/>
      <c r="NJS292" s="1069"/>
      <c r="NJT292" s="1069"/>
      <c r="NJU292" s="1069"/>
      <c r="NJV292" s="1069"/>
      <c r="NJW292" s="1069"/>
      <c r="NJX292" s="1069"/>
      <c r="NJY292" s="1069"/>
      <c r="NJZ292" s="1069"/>
      <c r="NKA292" s="1069"/>
      <c r="NKB292" s="1069"/>
      <c r="NKC292" s="1069"/>
      <c r="NKD292" s="1069"/>
      <c r="NKE292" s="1069"/>
      <c r="NKF292" s="1069"/>
      <c r="NKG292" s="1069"/>
      <c r="NKH292" s="1069"/>
      <c r="NKI292" s="1069"/>
      <c r="NKJ292" s="1069"/>
      <c r="NKK292" s="1069"/>
      <c r="NKL292" s="1069"/>
      <c r="NKM292" s="1069"/>
      <c r="NKN292" s="1069"/>
      <c r="NKO292" s="1069"/>
      <c r="NKP292" s="1069"/>
      <c r="NKQ292" s="1069"/>
      <c r="NKR292" s="1069"/>
      <c r="NKS292" s="1069"/>
      <c r="NKT292" s="1069"/>
      <c r="NKU292" s="1069"/>
      <c r="NKV292" s="1069"/>
      <c r="NKW292" s="1069"/>
      <c r="NKX292" s="1069"/>
      <c r="NKY292" s="1069"/>
      <c r="NKZ292" s="1069"/>
      <c r="NLA292" s="1069"/>
      <c r="NLB292" s="1069"/>
      <c r="NLC292" s="1069"/>
      <c r="NLD292" s="1069"/>
      <c r="NLE292" s="1069"/>
      <c r="NLF292" s="1069"/>
      <c r="NLG292" s="1069"/>
      <c r="NLH292" s="1069"/>
      <c r="NLI292" s="1069"/>
      <c r="NLJ292" s="1069"/>
      <c r="NLK292" s="1069"/>
      <c r="NLL292" s="1069"/>
      <c r="NLM292" s="1069"/>
      <c r="NLN292" s="1069"/>
      <c r="NLO292" s="1069"/>
      <c r="NLP292" s="1069"/>
      <c r="NLQ292" s="1069"/>
      <c r="NLR292" s="1069"/>
      <c r="NLS292" s="1069"/>
      <c r="NLT292" s="1069"/>
      <c r="NLU292" s="1069"/>
      <c r="NLV292" s="1069"/>
      <c r="NLW292" s="1069"/>
      <c r="NLX292" s="1069"/>
      <c r="NLY292" s="1069"/>
      <c r="NLZ292" s="1069"/>
      <c r="NMA292" s="1069"/>
      <c r="NMB292" s="1069"/>
      <c r="NMC292" s="1069"/>
      <c r="NMD292" s="1069"/>
      <c r="NME292" s="1069"/>
      <c r="NMF292" s="1069"/>
      <c r="NMG292" s="1069"/>
      <c r="NMH292" s="1069"/>
      <c r="NMI292" s="1069"/>
      <c r="NMJ292" s="1069"/>
      <c r="NMK292" s="1069"/>
      <c r="NML292" s="1069"/>
      <c r="NMM292" s="1069"/>
      <c r="NMN292" s="1069"/>
      <c r="NMO292" s="1069"/>
      <c r="NMP292" s="1069"/>
      <c r="NMQ292" s="1069"/>
      <c r="NMR292" s="1069"/>
      <c r="NMS292" s="1069"/>
      <c r="NMT292" s="1069"/>
      <c r="NMU292" s="1069"/>
      <c r="NMV292" s="1069"/>
      <c r="NMW292" s="1069"/>
      <c r="NMX292" s="1069"/>
      <c r="NMY292" s="1069"/>
      <c r="NMZ292" s="1069"/>
      <c r="NNA292" s="1069"/>
      <c r="NNB292" s="1069"/>
      <c r="NNC292" s="1069"/>
      <c r="NND292" s="1069"/>
      <c r="NNE292" s="1069"/>
      <c r="NNF292" s="1069"/>
      <c r="NNG292" s="1069"/>
      <c r="NNH292" s="1069"/>
      <c r="NNI292" s="1069"/>
      <c r="NNJ292" s="1069"/>
      <c r="NNK292" s="1069"/>
      <c r="NNL292" s="1069"/>
      <c r="NNM292" s="1069"/>
      <c r="NNN292" s="1069"/>
      <c r="NNO292" s="1069"/>
      <c r="NNP292" s="1069"/>
      <c r="NNQ292" s="1069"/>
      <c r="NNR292" s="1069"/>
      <c r="NNS292" s="1069"/>
      <c r="NNT292" s="1069"/>
      <c r="NNU292" s="1069"/>
      <c r="NNV292" s="1069"/>
      <c r="NNW292" s="1069"/>
      <c r="NNX292" s="1069"/>
      <c r="NNY292" s="1069"/>
      <c r="NNZ292" s="1069"/>
      <c r="NOA292" s="1069"/>
      <c r="NOB292" s="1069"/>
      <c r="NOC292" s="1069"/>
      <c r="NOD292" s="1069"/>
      <c r="NOE292" s="1069"/>
      <c r="NOF292" s="1069"/>
      <c r="NOG292" s="1069"/>
      <c r="NOH292" s="1069"/>
      <c r="NOI292" s="1069"/>
      <c r="NOJ292" s="1069"/>
      <c r="NOK292" s="1069"/>
      <c r="NOL292" s="1069"/>
      <c r="NOM292" s="1069"/>
      <c r="NON292" s="1069"/>
      <c r="NOO292" s="1069"/>
      <c r="NOP292" s="1069"/>
      <c r="NOQ292" s="1069"/>
      <c r="NOR292" s="1069"/>
      <c r="NOS292" s="1069"/>
      <c r="NOT292" s="1069"/>
      <c r="NOU292" s="1069"/>
      <c r="NOV292" s="1069"/>
      <c r="NOW292" s="1069"/>
      <c r="NOX292" s="1069"/>
      <c r="NOY292" s="1069"/>
      <c r="NOZ292" s="1069"/>
      <c r="NPA292" s="1069"/>
      <c r="NPB292" s="1069"/>
      <c r="NPC292" s="1069"/>
      <c r="NPD292" s="1069"/>
      <c r="NPE292" s="1069"/>
      <c r="NPF292" s="1069"/>
      <c r="NPG292" s="1069"/>
      <c r="NPH292" s="1069"/>
      <c r="NPI292" s="1069"/>
      <c r="NPJ292" s="1069"/>
      <c r="NPK292" s="1069"/>
      <c r="NPL292" s="1069"/>
      <c r="NPM292" s="1069"/>
      <c r="NPN292" s="1069"/>
      <c r="NPO292" s="1069"/>
      <c r="NPP292" s="1069"/>
      <c r="NPQ292" s="1069"/>
      <c r="NPR292" s="1069"/>
      <c r="NPS292" s="1069"/>
      <c r="NPT292" s="1069"/>
      <c r="NPU292" s="1069"/>
      <c r="NPV292" s="1069"/>
      <c r="NPW292" s="1069"/>
      <c r="NPX292" s="1069"/>
      <c r="NPY292" s="1069"/>
      <c r="NPZ292" s="1069"/>
      <c r="NQA292" s="1069"/>
      <c r="NQB292" s="1069"/>
      <c r="NQC292" s="1069"/>
      <c r="NQD292" s="1069"/>
      <c r="NQE292" s="1069"/>
      <c r="NQF292" s="1069"/>
      <c r="NQG292" s="1069"/>
      <c r="NQH292" s="1069"/>
      <c r="NQI292" s="1069"/>
      <c r="NQJ292" s="1069"/>
      <c r="NQK292" s="1069"/>
      <c r="NQL292" s="1069"/>
      <c r="NQM292" s="1069"/>
      <c r="NQN292" s="1069"/>
      <c r="NQO292" s="1069"/>
      <c r="NQP292" s="1069"/>
      <c r="NQQ292" s="1069"/>
      <c r="NQR292" s="1069"/>
      <c r="NQS292" s="1069"/>
      <c r="NQT292" s="1069"/>
      <c r="NQU292" s="1069"/>
      <c r="NQV292" s="1069"/>
      <c r="NQW292" s="1069"/>
      <c r="NQX292" s="1069"/>
      <c r="NQY292" s="1069"/>
      <c r="NQZ292" s="1069"/>
      <c r="NRA292" s="1069"/>
      <c r="NRB292" s="1069"/>
      <c r="NRC292" s="1069"/>
      <c r="NRD292" s="1069"/>
      <c r="NRE292" s="1069"/>
      <c r="NRF292" s="1069"/>
      <c r="NRG292" s="1069"/>
      <c r="NRH292" s="1069"/>
      <c r="NRI292" s="1069"/>
      <c r="NRJ292" s="1069"/>
      <c r="NRK292" s="1069"/>
      <c r="NRL292" s="1069"/>
      <c r="NRM292" s="1069"/>
      <c r="NRN292" s="1069"/>
      <c r="NRO292" s="1069"/>
      <c r="NRP292" s="1069"/>
      <c r="NRQ292" s="1069"/>
      <c r="NRR292" s="1069"/>
      <c r="NRS292" s="1069"/>
      <c r="NRT292" s="1069"/>
      <c r="NRU292" s="1069"/>
      <c r="NRV292" s="1069"/>
      <c r="NRW292" s="1069"/>
      <c r="NRX292" s="1069"/>
      <c r="NRY292" s="1069"/>
      <c r="NRZ292" s="1069"/>
      <c r="NSA292" s="1069"/>
      <c r="NSB292" s="1069"/>
      <c r="NSC292" s="1069"/>
      <c r="NSD292" s="1069"/>
      <c r="NSE292" s="1069"/>
      <c r="NSF292" s="1069"/>
      <c r="NSG292" s="1069"/>
      <c r="NSH292" s="1069"/>
      <c r="NSI292" s="1069"/>
      <c r="NSJ292" s="1069"/>
      <c r="NSK292" s="1069"/>
      <c r="NSL292" s="1069"/>
      <c r="NSM292" s="1069"/>
      <c r="NSN292" s="1069"/>
      <c r="NSO292" s="1069"/>
      <c r="NSP292" s="1069"/>
      <c r="NSQ292" s="1069"/>
      <c r="NSR292" s="1069"/>
      <c r="NSS292" s="1069"/>
      <c r="NST292" s="1069"/>
      <c r="NSU292" s="1069"/>
      <c r="NSV292" s="1069"/>
      <c r="NSW292" s="1069"/>
      <c r="NSX292" s="1069"/>
      <c r="NSY292" s="1069"/>
      <c r="NSZ292" s="1069"/>
      <c r="NTA292" s="1069"/>
      <c r="NTB292" s="1069"/>
      <c r="NTC292" s="1069"/>
      <c r="NTD292" s="1069"/>
      <c r="NTE292" s="1069"/>
      <c r="NTF292" s="1069"/>
      <c r="NTG292" s="1069"/>
      <c r="NTH292" s="1069"/>
      <c r="NTI292" s="1069"/>
      <c r="NTJ292" s="1069"/>
      <c r="NTK292" s="1069"/>
      <c r="NTL292" s="1069"/>
      <c r="NTM292" s="1069"/>
      <c r="NTN292" s="1069"/>
      <c r="NTO292" s="1069"/>
      <c r="NTP292" s="1069"/>
      <c r="NTQ292" s="1069"/>
      <c r="NTR292" s="1069"/>
      <c r="NTS292" s="1069"/>
      <c r="NTT292" s="1069"/>
      <c r="NTU292" s="1069"/>
      <c r="NTV292" s="1069"/>
      <c r="NTW292" s="1069"/>
      <c r="NTX292" s="1069"/>
      <c r="NTY292" s="1069"/>
      <c r="NTZ292" s="1069"/>
      <c r="NUA292" s="1069"/>
      <c r="NUB292" s="1069"/>
      <c r="NUC292" s="1069"/>
      <c r="NUD292" s="1069"/>
      <c r="NUE292" s="1069"/>
      <c r="NUF292" s="1069"/>
      <c r="NUG292" s="1069"/>
      <c r="NUH292" s="1069"/>
      <c r="NUI292" s="1069"/>
      <c r="NUJ292" s="1069"/>
      <c r="NUK292" s="1069"/>
      <c r="NUL292" s="1069"/>
      <c r="NUM292" s="1069"/>
      <c r="NUN292" s="1069"/>
      <c r="NUO292" s="1069"/>
      <c r="NUP292" s="1069"/>
      <c r="NUQ292" s="1069"/>
      <c r="NUR292" s="1069"/>
      <c r="NUS292" s="1069"/>
      <c r="NUT292" s="1069"/>
      <c r="NUU292" s="1069"/>
      <c r="NUV292" s="1069"/>
      <c r="NUW292" s="1069"/>
      <c r="NUX292" s="1069"/>
      <c r="NUY292" s="1069"/>
      <c r="NUZ292" s="1069"/>
      <c r="NVA292" s="1069"/>
      <c r="NVB292" s="1069"/>
      <c r="NVC292" s="1069"/>
      <c r="NVD292" s="1069"/>
      <c r="NVE292" s="1069"/>
      <c r="NVF292" s="1069"/>
      <c r="NVG292" s="1069"/>
      <c r="NVH292" s="1069"/>
      <c r="NVI292" s="1069"/>
      <c r="NVJ292" s="1069"/>
      <c r="NVK292" s="1069"/>
      <c r="NVL292" s="1069"/>
      <c r="NVM292" s="1069"/>
      <c r="NVN292" s="1069"/>
      <c r="NVO292" s="1069"/>
      <c r="NVP292" s="1069"/>
      <c r="NVQ292" s="1069"/>
      <c r="NVR292" s="1069"/>
      <c r="NVS292" s="1069"/>
      <c r="NVT292" s="1069"/>
      <c r="NVU292" s="1069"/>
      <c r="NVV292" s="1069"/>
      <c r="NVW292" s="1069"/>
      <c r="NVX292" s="1069"/>
      <c r="NVY292" s="1069"/>
      <c r="NVZ292" s="1069"/>
      <c r="NWA292" s="1069"/>
      <c r="NWB292" s="1069"/>
      <c r="NWC292" s="1069"/>
      <c r="NWD292" s="1069"/>
      <c r="NWE292" s="1069"/>
      <c r="NWF292" s="1069"/>
      <c r="NWG292" s="1069"/>
      <c r="NWH292" s="1069"/>
      <c r="NWI292" s="1069"/>
      <c r="NWJ292" s="1069"/>
      <c r="NWK292" s="1069"/>
      <c r="NWL292" s="1069"/>
      <c r="NWM292" s="1069"/>
      <c r="NWN292" s="1069"/>
      <c r="NWO292" s="1069"/>
      <c r="NWP292" s="1069"/>
      <c r="NWQ292" s="1069"/>
      <c r="NWR292" s="1069"/>
      <c r="NWS292" s="1069"/>
      <c r="NWT292" s="1069"/>
      <c r="NWU292" s="1069"/>
      <c r="NWV292" s="1069"/>
      <c r="NWW292" s="1069"/>
      <c r="NWX292" s="1069"/>
      <c r="NWY292" s="1069"/>
      <c r="NWZ292" s="1069"/>
      <c r="NXA292" s="1069"/>
      <c r="NXB292" s="1069"/>
      <c r="NXC292" s="1069"/>
      <c r="NXD292" s="1069"/>
      <c r="NXE292" s="1069"/>
      <c r="NXF292" s="1069"/>
      <c r="NXG292" s="1069"/>
      <c r="NXH292" s="1069"/>
      <c r="NXI292" s="1069"/>
      <c r="NXJ292" s="1069"/>
      <c r="NXK292" s="1069"/>
      <c r="NXL292" s="1069"/>
      <c r="NXM292" s="1069"/>
      <c r="NXN292" s="1069"/>
      <c r="NXO292" s="1069"/>
      <c r="NXP292" s="1069"/>
      <c r="NXQ292" s="1069"/>
      <c r="NXR292" s="1069"/>
      <c r="NXS292" s="1069"/>
      <c r="NXT292" s="1069"/>
      <c r="NXU292" s="1069"/>
      <c r="NXV292" s="1069"/>
      <c r="NXW292" s="1069"/>
      <c r="NXX292" s="1069"/>
      <c r="NXY292" s="1069"/>
      <c r="NXZ292" s="1069"/>
      <c r="NYA292" s="1069"/>
      <c r="NYB292" s="1069"/>
      <c r="NYC292" s="1069"/>
      <c r="NYD292" s="1069"/>
      <c r="NYE292" s="1069"/>
      <c r="NYF292" s="1069"/>
      <c r="NYG292" s="1069"/>
      <c r="NYH292" s="1069"/>
      <c r="NYI292" s="1069"/>
      <c r="NYJ292" s="1069"/>
      <c r="NYK292" s="1069"/>
      <c r="NYL292" s="1069"/>
      <c r="NYM292" s="1069"/>
      <c r="NYN292" s="1069"/>
      <c r="NYO292" s="1069"/>
      <c r="NYP292" s="1069"/>
      <c r="NYQ292" s="1069"/>
      <c r="NYR292" s="1069"/>
      <c r="NYS292" s="1069"/>
      <c r="NYT292" s="1069"/>
      <c r="NYU292" s="1069"/>
      <c r="NYV292" s="1069"/>
      <c r="NYW292" s="1069"/>
      <c r="NYX292" s="1069"/>
      <c r="NYY292" s="1069"/>
      <c r="NYZ292" s="1069"/>
      <c r="NZA292" s="1069"/>
      <c r="NZB292" s="1069"/>
      <c r="NZC292" s="1069"/>
      <c r="NZD292" s="1069"/>
      <c r="NZE292" s="1069"/>
      <c r="NZF292" s="1069"/>
      <c r="NZG292" s="1069"/>
      <c r="NZH292" s="1069"/>
      <c r="NZI292" s="1069"/>
      <c r="NZJ292" s="1069"/>
      <c r="NZK292" s="1069"/>
      <c r="NZL292" s="1069"/>
      <c r="NZM292" s="1069"/>
      <c r="NZN292" s="1069"/>
      <c r="NZO292" s="1069"/>
      <c r="NZP292" s="1069"/>
      <c r="NZQ292" s="1069"/>
      <c r="NZR292" s="1069"/>
      <c r="NZS292" s="1069"/>
      <c r="NZT292" s="1069"/>
      <c r="NZU292" s="1069"/>
      <c r="NZV292" s="1069"/>
      <c r="NZW292" s="1069"/>
      <c r="NZX292" s="1069"/>
      <c r="NZY292" s="1069"/>
      <c r="NZZ292" s="1069"/>
      <c r="OAA292" s="1069"/>
      <c r="OAB292" s="1069"/>
      <c r="OAC292" s="1069"/>
      <c r="OAD292" s="1069"/>
      <c r="OAE292" s="1069"/>
      <c r="OAF292" s="1069"/>
      <c r="OAG292" s="1069"/>
      <c r="OAH292" s="1069"/>
      <c r="OAI292" s="1069"/>
      <c r="OAJ292" s="1069"/>
      <c r="OAK292" s="1069"/>
      <c r="OAL292" s="1069"/>
      <c r="OAM292" s="1069"/>
      <c r="OAN292" s="1069"/>
      <c r="OAO292" s="1069"/>
      <c r="OAP292" s="1069"/>
      <c r="OAQ292" s="1069"/>
      <c r="OAR292" s="1069"/>
      <c r="OAS292" s="1069"/>
      <c r="OAT292" s="1069"/>
      <c r="OAU292" s="1069"/>
      <c r="OAV292" s="1069"/>
      <c r="OAW292" s="1069"/>
      <c r="OAX292" s="1069"/>
      <c r="OAY292" s="1069"/>
      <c r="OAZ292" s="1069"/>
      <c r="OBA292" s="1069"/>
      <c r="OBB292" s="1069"/>
      <c r="OBC292" s="1069"/>
      <c r="OBD292" s="1069"/>
      <c r="OBE292" s="1069"/>
      <c r="OBF292" s="1069"/>
      <c r="OBG292" s="1069"/>
      <c r="OBH292" s="1069"/>
      <c r="OBI292" s="1069"/>
      <c r="OBJ292" s="1069"/>
      <c r="OBK292" s="1069"/>
      <c r="OBL292" s="1069"/>
      <c r="OBM292" s="1069"/>
      <c r="OBN292" s="1069"/>
      <c r="OBO292" s="1069"/>
      <c r="OBP292" s="1069"/>
      <c r="OBQ292" s="1069"/>
      <c r="OBR292" s="1069"/>
      <c r="OBS292" s="1069"/>
      <c r="OBT292" s="1069"/>
      <c r="OBU292" s="1069"/>
      <c r="OBV292" s="1069"/>
      <c r="OBW292" s="1069"/>
      <c r="OBX292" s="1069"/>
      <c r="OBY292" s="1069"/>
      <c r="OBZ292" s="1069"/>
      <c r="OCA292" s="1069"/>
      <c r="OCB292" s="1069"/>
      <c r="OCC292" s="1069"/>
      <c r="OCD292" s="1069"/>
      <c r="OCE292" s="1069"/>
      <c r="OCF292" s="1069"/>
      <c r="OCG292" s="1069"/>
      <c r="OCH292" s="1069"/>
      <c r="OCI292" s="1069"/>
      <c r="OCJ292" s="1069"/>
      <c r="OCK292" s="1069"/>
      <c r="OCL292" s="1069"/>
      <c r="OCM292" s="1069"/>
      <c r="OCN292" s="1069"/>
      <c r="OCO292" s="1069"/>
      <c r="OCP292" s="1069"/>
      <c r="OCQ292" s="1069"/>
      <c r="OCR292" s="1069"/>
      <c r="OCS292" s="1069"/>
      <c r="OCT292" s="1069"/>
      <c r="OCU292" s="1069"/>
      <c r="OCV292" s="1069"/>
      <c r="OCW292" s="1069"/>
      <c r="OCX292" s="1069"/>
      <c r="OCY292" s="1069"/>
      <c r="OCZ292" s="1069"/>
      <c r="ODA292" s="1069"/>
      <c r="ODB292" s="1069"/>
      <c r="ODC292" s="1069"/>
      <c r="ODD292" s="1069"/>
      <c r="ODE292" s="1069"/>
      <c r="ODF292" s="1069"/>
      <c r="ODG292" s="1069"/>
      <c r="ODH292" s="1069"/>
      <c r="ODI292" s="1069"/>
      <c r="ODJ292" s="1069"/>
      <c r="ODK292" s="1069"/>
      <c r="ODL292" s="1069"/>
      <c r="ODM292" s="1069"/>
      <c r="ODN292" s="1069"/>
      <c r="ODO292" s="1069"/>
      <c r="ODP292" s="1069"/>
      <c r="ODQ292" s="1069"/>
      <c r="ODR292" s="1069"/>
      <c r="ODS292" s="1069"/>
      <c r="ODT292" s="1069"/>
      <c r="ODU292" s="1069"/>
      <c r="ODV292" s="1069"/>
      <c r="ODW292" s="1069"/>
      <c r="ODX292" s="1069"/>
      <c r="ODY292" s="1069"/>
      <c r="ODZ292" s="1069"/>
      <c r="OEA292" s="1069"/>
      <c r="OEB292" s="1069"/>
      <c r="OEC292" s="1069"/>
      <c r="OED292" s="1069"/>
      <c r="OEE292" s="1069"/>
      <c r="OEF292" s="1069"/>
      <c r="OEG292" s="1069"/>
      <c r="OEH292" s="1069"/>
      <c r="OEI292" s="1069"/>
      <c r="OEJ292" s="1069"/>
      <c r="OEK292" s="1069"/>
      <c r="OEL292" s="1069"/>
      <c r="OEM292" s="1069"/>
      <c r="OEN292" s="1069"/>
      <c r="OEO292" s="1069"/>
      <c r="OEP292" s="1069"/>
      <c r="OEQ292" s="1069"/>
      <c r="OER292" s="1069"/>
      <c r="OES292" s="1069"/>
      <c r="OET292" s="1069"/>
      <c r="OEU292" s="1069"/>
      <c r="OEV292" s="1069"/>
      <c r="OEW292" s="1069"/>
      <c r="OEX292" s="1069"/>
      <c r="OEY292" s="1069"/>
      <c r="OEZ292" s="1069"/>
      <c r="OFA292" s="1069"/>
      <c r="OFB292" s="1069"/>
      <c r="OFC292" s="1069"/>
      <c r="OFD292" s="1069"/>
      <c r="OFE292" s="1069"/>
      <c r="OFF292" s="1069"/>
      <c r="OFG292" s="1069"/>
      <c r="OFH292" s="1069"/>
      <c r="OFI292" s="1069"/>
      <c r="OFJ292" s="1069"/>
      <c r="OFK292" s="1069"/>
      <c r="OFL292" s="1069"/>
      <c r="OFM292" s="1069"/>
      <c r="OFN292" s="1069"/>
      <c r="OFO292" s="1069"/>
      <c r="OFP292" s="1069"/>
      <c r="OFQ292" s="1069"/>
      <c r="OFR292" s="1069"/>
      <c r="OFS292" s="1069"/>
      <c r="OFT292" s="1069"/>
      <c r="OFU292" s="1069"/>
      <c r="OFV292" s="1069"/>
      <c r="OFW292" s="1069"/>
      <c r="OFX292" s="1069"/>
      <c r="OFY292" s="1069"/>
      <c r="OFZ292" s="1069"/>
      <c r="OGA292" s="1069"/>
      <c r="OGB292" s="1069"/>
      <c r="OGC292" s="1069"/>
      <c r="OGD292" s="1069"/>
      <c r="OGE292" s="1069"/>
      <c r="OGF292" s="1069"/>
      <c r="OGG292" s="1069"/>
      <c r="OGH292" s="1069"/>
      <c r="OGI292" s="1069"/>
      <c r="OGJ292" s="1069"/>
      <c r="OGK292" s="1069"/>
      <c r="OGL292" s="1069"/>
      <c r="OGM292" s="1069"/>
      <c r="OGN292" s="1069"/>
      <c r="OGO292" s="1069"/>
      <c r="OGP292" s="1069"/>
      <c r="OGQ292" s="1069"/>
      <c r="OGR292" s="1069"/>
      <c r="OGS292" s="1069"/>
      <c r="OGT292" s="1069"/>
      <c r="OGU292" s="1069"/>
      <c r="OGV292" s="1069"/>
      <c r="OGW292" s="1069"/>
      <c r="OGX292" s="1069"/>
      <c r="OGY292" s="1069"/>
      <c r="OGZ292" s="1069"/>
      <c r="OHA292" s="1069"/>
      <c r="OHB292" s="1069"/>
      <c r="OHC292" s="1069"/>
      <c r="OHD292" s="1069"/>
      <c r="OHE292" s="1069"/>
      <c r="OHF292" s="1069"/>
      <c r="OHG292" s="1069"/>
      <c r="OHH292" s="1069"/>
      <c r="OHI292" s="1069"/>
      <c r="OHJ292" s="1069"/>
      <c r="OHK292" s="1069"/>
      <c r="OHL292" s="1069"/>
      <c r="OHM292" s="1069"/>
      <c r="OHN292" s="1069"/>
      <c r="OHO292" s="1069"/>
      <c r="OHP292" s="1069"/>
      <c r="OHQ292" s="1069"/>
      <c r="OHR292" s="1069"/>
      <c r="OHS292" s="1069"/>
      <c r="OHT292" s="1069"/>
      <c r="OHU292" s="1069"/>
      <c r="OHV292" s="1069"/>
      <c r="OHW292" s="1069"/>
      <c r="OHX292" s="1069"/>
      <c r="OHY292" s="1069"/>
      <c r="OHZ292" s="1069"/>
      <c r="OIA292" s="1069"/>
      <c r="OIB292" s="1069"/>
      <c r="OIC292" s="1069"/>
      <c r="OID292" s="1069"/>
      <c r="OIE292" s="1069"/>
      <c r="OIF292" s="1069"/>
      <c r="OIG292" s="1069"/>
      <c r="OIH292" s="1069"/>
      <c r="OII292" s="1069"/>
      <c r="OIJ292" s="1069"/>
      <c r="OIK292" s="1069"/>
      <c r="OIL292" s="1069"/>
      <c r="OIM292" s="1069"/>
      <c r="OIN292" s="1069"/>
      <c r="OIO292" s="1069"/>
      <c r="OIP292" s="1069"/>
      <c r="OIQ292" s="1069"/>
      <c r="OIR292" s="1069"/>
      <c r="OIS292" s="1069"/>
      <c r="OIT292" s="1069"/>
      <c r="OIU292" s="1069"/>
      <c r="OIV292" s="1069"/>
      <c r="OIW292" s="1069"/>
      <c r="OIX292" s="1069"/>
      <c r="OIY292" s="1069"/>
      <c r="OIZ292" s="1069"/>
      <c r="OJA292" s="1069"/>
      <c r="OJB292" s="1069"/>
      <c r="OJC292" s="1069"/>
      <c r="OJD292" s="1069"/>
      <c r="OJE292" s="1069"/>
      <c r="OJF292" s="1069"/>
      <c r="OJG292" s="1069"/>
      <c r="OJH292" s="1069"/>
      <c r="OJI292" s="1069"/>
      <c r="OJJ292" s="1069"/>
      <c r="OJK292" s="1069"/>
      <c r="OJL292" s="1069"/>
      <c r="OJM292" s="1069"/>
      <c r="OJN292" s="1069"/>
      <c r="OJO292" s="1069"/>
      <c r="OJP292" s="1069"/>
      <c r="OJQ292" s="1069"/>
      <c r="OJR292" s="1069"/>
      <c r="OJS292" s="1069"/>
      <c r="OJT292" s="1069"/>
      <c r="OJU292" s="1069"/>
      <c r="OJV292" s="1069"/>
      <c r="OJW292" s="1069"/>
      <c r="OJX292" s="1069"/>
      <c r="OJY292" s="1069"/>
      <c r="OJZ292" s="1069"/>
      <c r="OKA292" s="1069"/>
      <c r="OKB292" s="1069"/>
      <c r="OKC292" s="1069"/>
      <c r="OKD292" s="1069"/>
      <c r="OKE292" s="1069"/>
      <c r="OKF292" s="1069"/>
      <c r="OKG292" s="1069"/>
      <c r="OKH292" s="1069"/>
      <c r="OKI292" s="1069"/>
      <c r="OKJ292" s="1069"/>
      <c r="OKK292" s="1069"/>
      <c r="OKL292" s="1069"/>
      <c r="OKM292" s="1069"/>
      <c r="OKN292" s="1069"/>
      <c r="OKO292" s="1069"/>
      <c r="OKP292" s="1069"/>
      <c r="OKQ292" s="1069"/>
      <c r="OKR292" s="1069"/>
      <c r="OKS292" s="1069"/>
      <c r="OKT292" s="1069"/>
      <c r="OKU292" s="1069"/>
      <c r="OKV292" s="1069"/>
      <c r="OKW292" s="1069"/>
      <c r="OKX292" s="1069"/>
      <c r="OKY292" s="1069"/>
      <c r="OKZ292" s="1069"/>
      <c r="OLA292" s="1069"/>
      <c r="OLB292" s="1069"/>
      <c r="OLC292" s="1069"/>
      <c r="OLD292" s="1069"/>
      <c r="OLE292" s="1069"/>
      <c r="OLF292" s="1069"/>
      <c r="OLG292" s="1069"/>
      <c r="OLH292" s="1069"/>
      <c r="OLI292" s="1069"/>
      <c r="OLJ292" s="1069"/>
      <c r="OLK292" s="1069"/>
      <c r="OLL292" s="1069"/>
      <c r="OLM292" s="1069"/>
      <c r="OLN292" s="1069"/>
      <c r="OLO292" s="1069"/>
      <c r="OLP292" s="1069"/>
      <c r="OLQ292" s="1069"/>
      <c r="OLR292" s="1069"/>
      <c r="OLS292" s="1069"/>
      <c r="OLT292" s="1069"/>
      <c r="OLU292" s="1069"/>
      <c r="OLV292" s="1069"/>
      <c r="OLW292" s="1069"/>
      <c r="OLX292" s="1069"/>
      <c r="OLY292" s="1069"/>
      <c r="OLZ292" s="1069"/>
      <c r="OMA292" s="1069"/>
      <c r="OMB292" s="1069"/>
      <c r="OMC292" s="1069"/>
      <c r="OMD292" s="1069"/>
      <c r="OME292" s="1069"/>
      <c r="OMF292" s="1069"/>
      <c r="OMG292" s="1069"/>
      <c r="OMH292" s="1069"/>
      <c r="OMI292" s="1069"/>
      <c r="OMJ292" s="1069"/>
      <c r="OMK292" s="1069"/>
      <c r="OML292" s="1069"/>
      <c r="OMM292" s="1069"/>
      <c r="OMN292" s="1069"/>
      <c r="OMO292" s="1069"/>
      <c r="OMP292" s="1069"/>
      <c r="OMQ292" s="1069"/>
      <c r="OMR292" s="1069"/>
      <c r="OMS292" s="1069"/>
      <c r="OMT292" s="1069"/>
      <c r="OMU292" s="1069"/>
      <c r="OMV292" s="1069"/>
      <c r="OMW292" s="1069"/>
      <c r="OMX292" s="1069"/>
      <c r="OMY292" s="1069"/>
      <c r="OMZ292" s="1069"/>
      <c r="ONA292" s="1069"/>
      <c r="ONB292" s="1069"/>
      <c r="ONC292" s="1069"/>
      <c r="OND292" s="1069"/>
      <c r="ONE292" s="1069"/>
      <c r="ONF292" s="1069"/>
      <c r="ONG292" s="1069"/>
      <c r="ONH292" s="1069"/>
      <c r="ONI292" s="1069"/>
      <c r="ONJ292" s="1069"/>
      <c r="ONK292" s="1069"/>
      <c r="ONL292" s="1069"/>
      <c r="ONM292" s="1069"/>
      <c r="ONN292" s="1069"/>
      <c r="ONO292" s="1069"/>
      <c r="ONP292" s="1069"/>
      <c r="ONQ292" s="1069"/>
      <c r="ONR292" s="1069"/>
      <c r="ONS292" s="1069"/>
      <c r="ONT292" s="1069"/>
      <c r="ONU292" s="1069"/>
      <c r="ONV292" s="1069"/>
      <c r="ONW292" s="1069"/>
      <c r="ONX292" s="1069"/>
      <c r="ONY292" s="1069"/>
      <c r="ONZ292" s="1069"/>
      <c r="OOA292" s="1069"/>
      <c r="OOB292" s="1069"/>
      <c r="OOC292" s="1069"/>
      <c r="OOD292" s="1069"/>
      <c r="OOE292" s="1069"/>
      <c r="OOF292" s="1069"/>
      <c r="OOG292" s="1069"/>
      <c r="OOH292" s="1069"/>
      <c r="OOI292" s="1069"/>
      <c r="OOJ292" s="1069"/>
      <c r="OOK292" s="1069"/>
      <c r="OOL292" s="1069"/>
      <c r="OOM292" s="1069"/>
      <c r="OON292" s="1069"/>
      <c r="OOO292" s="1069"/>
      <c r="OOP292" s="1069"/>
      <c r="OOQ292" s="1069"/>
      <c r="OOR292" s="1069"/>
      <c r="OOS292" s="1069"/>
      <c r="OOT292" s="1069"/>
      <c r="OOU292" s="1069"/>
      <c r="OOV292" s="1069"/>
      <c r="OOW292" s="1069"/>
      <c r="OOX292" s="1069"/>
      <c r="OOY292" s="1069"/>
      <c r="OOZ292" s="1069"/>
      <c r="OPA292" s="1069"/>
      <c r="OPB292" s="1069"/>
      <c r="OPC292" s="1069"/>
      <c r="OPD292" s="1069"/>
      <c r="OPE292" s="1069"/>
      <c r="OPF292" s="1069"/>
      <c r="OPG292" s="1069"/>
      <c r="OPH292" s="1069"/>
      <c r="OPI292" s="1069"/>
      <c r="OPJ292" s="1069"/>
      <c r="OPK292" s="1069"/>
      <c r="OPL292" s="1069"/>
      <c r="OPM292" s="1069"/>
      <c r="OPN292" s="1069"/>
      <c r="OPO292" s="1069"/>
      <c r="OPP292" s="1069"/>
      <c r="OPQ292" s="1069"/>
      <c r="OPR292" s="1069"/>
      <c r="OPS292" s="1069"/>
      <c r="OPT292" s="1069"/>
      <c r="OPU292" s="1069"/>
      <c r="OPV292" s="1069"/>
      <c r="OPW292" s="1069"/>
      <c r="OPX292" s="1069"/>
      <c r="OPY292" s="1069"/>
      <c r="OPZ292" s="1069"/>
      <c r="OQA292" s="1069"/>
      <c r="OQB292" s="1069"/>
      <c r="OQC292" s="1069"/>
      <c r="OQD292" s="1069"/>
      <c r="OQE292" s="1069"/>
      <c r="OQF292" s="1069"/>
      <c r="OQG292" s="1069"/>
      <c r="OQH292" s="1069"/>
      <c r="OQI292" s="1069"/>
      <c r="OQJ292" s="1069"/>
      <c r="OQK292" s="1069"/>
      <c r="OQL292" s="1069"/>
      <c r="OQM292" s="1069"/>
      <c r="OQN292" s="1069"/>
      <c r="OQO292" s="1069"/>
      <c r="OQP292" s="1069"/>
      <c r="OQQ292" s="1069"/>
      <c r="OQR292" s="1069"/>
      <c r="OQS292" s="1069"/>
      <c r="OQT292" s="1069"/>
      <c r="OQU292" s="1069"/>
      <c r="OQV292" s="1069"/>
      <c r="OQW292" s="1069"/>
      <c r="OQX292" s="1069"/>
      <c r="OQY292" s="1069"/>
      <c r="OQZ292" s="1069"/>
      <c r="ORA292" s="1069"/>
      <c r="ORB292" s="1069"/>
      <c r="ORC292" s="1069"/>
      <c r="ORD292" s="1069"/>
      <c r="ORE292" s="1069"/>
      <c r="ORF292" s="1069"/>
      <c r="ORG292" s="1069"/>
      <c r="ORH292" s="1069"/>
      <c r="ORI292" s="1069"/>
      <c r="ORJ292" s="1069"/>
      <c r="ORK292" s="1069"/>
      <c r="ORL292" s="1069"/>
      <c r="ORM292" s="1069"/>
      <c r="ORN292" s="1069"/>
      <c r="ORO292" s="1069"/>
      <c r="ORP292" s="1069"/>
      <c r="ORQ292" s="1069"/>
      <c r="ORR292" s="1069"/>
      <c r="ORS292" s="1069"/>
      <c r="ORT292" s="1069"/>
      <c r="ORU292" s="1069"/>
      <c r="ORV292" s="1069"/>
      <c r="ORW292" s="1069"/>
      <c r="ORX292" s="1069"/>
      <c r="ORY292" s="1069"/>
      <c r="ORZ292" s="1069"/>
      <c r="OSA292" s="1069"/>
      <c r="OSB292" s="1069"/>
      <c r="OSC292" s="1069"/>
      <c r="OSD292" s="1069"/>
      <c r="OSE292" s="1069"/>
      <c r="OSF292" s="1069"/>
      <c r="OSG292" s="1069"/>
      <c r="OSH292" s="1069"/>
      <c r="OSI292" s="1069"/>
      <c r="OSJ292" s="1069"/>
      <c r="OSK292" s="1069"/>
      <c r="OSL292" s="1069"/>
      <c r="OSM292" s="1069"/>
      <c r="OSN292" s="1069"/>
      <c r="OSO292" s="1069"/>
      <c r="OSP292" s="1069"/>
      <c r="OSQ292" s="1069"/>
      <c r="OSR292" s="1069"/>
      <c r="OSS292" s="1069"/>
      <c r="OST292" s="1069"/>
      <c r="OSU292" s="1069"/>
      <c r="OSV292" s="1069"/>
      <c r="OSW292" s="1069"/>
      <c r="OSX292" s="1069"/>
      <c r="OSY292" s="1069"/>
      <c r="OSZ292" s="1069"/>
      <c r="OTA292" s="1069"/>
      <c r="OTB292" s="1069"/>
      <c r="OTC292" s="1069"/>
      <c r="OTD292" s="1069"/>
      <c r="OTE292" s="1069"/>
      <c r="OTF292" s="1069"/>
      <c r="OTG292" s="1069"/>
      <c r="OTH292" s="1069"/>
      <c r="OTI292" s="1069"/>
      <c r="OTJ292" s="1069"/>
      <c r="OTK292" s="1069"/>
      <c r="OTL292" s="1069"/>
      <c r="OTM292" s="1069"/>
      <c r="OTN292" s="1069"/>
      <c r="OTO292" s="1069"/>
      <c r="OTP292" s="1069"/>
      <c r="OTQ292" s="1069"/>
      <c r="OTR292" s="1069"/>
      <c r="OTS292" s="1069"/>
      <c r="OTT292" s="1069"/>
      <c r="OTU292" s="1069"/>
      <c r="OTV292" s="1069"/>
      <c r="OTW292" s="1069"/>
      <c r="OTX292" s="1069"/>
      <c r="OTY292" s="1069"/>
      <c r="OTZ292" s="1069"/>
      <c r="OUA292" s="1069"/>
      <c r="OUB292" s="1069"/>
      <c r="OUC292" s="1069"/>
      <c r="OUD292" s="1069"/>
      <c r="OUE292" s="1069"/>
      <c r="OUF292" s="1069"/>
      <c r="OUG292" s="1069"/>
      <c r="OUH292" s="1069"/>
      <c r="OUI292" s="1069"/>
      <c r="OUJ292" s="1069"/>
      <c r="OUK292" s="1069"/>
      <c r="OUL292" s="1069"/>
      <c r="OUM292" s="1069"/>
      <c r="OUN292" s="1069"/>
      <c r="OUO292" s="1069"/>
      <c r="OUP292" s="1069"/>
      <c r="OUQ292" s="1069"/>
      <c r="OUR292" s="1069"/>
      <c r="OUS292" s="1069"/>
      <c r="OUT292" s="1069"/>
      <c r="OUU292" s="1069"/>
      <c r="OUV292" s="1069"/>
      <c r="OUW292" s="1069"/>
      <c r="OUX292" s="1069"/>
      <c r="OUY292" s="1069"/>
      <c r="OUZ292" s="1069"/>
      <c r="OVA292" s="1069"/>
      <c r="OVB292" s="1069"/>
      <c r="OVC292" s="1069"/>
      <c r="OVD292" s="1069"/>
      <c r="OVE292" s="1069"/>
      <c r="OVF292" s="1069"/>
      <c r="OVG292" s="1069"/>
      <c r="OVH292" s="1069"/>
      <c r="OVI292" s="1069"/>
      <c r="OVJ292" s="1069"/>
      <c r="OVK292" s="1069"/>
      <c r="OVL292" s="1069"/>
      <c r="OVM292" s="1069"/>
      <c r="OVN292" s="1069"/>
      <c r="OVO292" s="1069"/>
      <c r="OVP292" s="1069"/>
      <c r="OVQ292" s="1069"/>
      <c r="OVR292" s="1069"/>
      <c r="OVS292" s="1069"/>
      <c r="OVT292" s="1069"/>
      <c r="OVU292" s="1069"/>
      <c r="OVV292" s="1069"/>
      <c r="OVW292" s="1069"/>
      <c r="OVX292" s="1069"/>
      <c r="OVY292" s="1069"/>
      <c r="OVZ292" s="1069"/>
      <c r="OWA292" s="1069"/>
      <c r="OWB292" s="1069"/>
      <c r="OWC292" s="1069"/>
      <c r="OWD292" s="1069"/>
      <c r="OWE292" s="1069"/>
      <c r="OWF292" s="1069"/>
      <c r="OWG292" s="1069"/>
      <c r="OWH292" s="1069"/>
      <c r="OWI292" s="1069"/>
      <c r="OWJ292" s="1069"/>
      <c r="OWK292" s="1069"/>
      <c r="OWL292" s="1069"/>
      <c r="OWM292" s="1069"/>
      <c r="OWN292" s="1069"/>
      <c r="OWO292" s="1069"/>
      <c r="OWP292" s="1069"/>
      <c r="OWQ292" s="1069"/>
      <c r="OWR292" s="1069"/>
      <c r="OWS292" s="1069"/>
      <c r="OWT292" s="1069"/>
      <c r="OWU292" s="1069"/>
      <c r="OWV292" s="1069"/>
      <c r="OWW292" s="1069"/>
      <c r="OWX292" s="1069"/>
      <c r="OWY292" s="1069"/>
      <c r="OWZ292" s="1069"/>
      <c r="OXA292" s="1069"/>
      <c r="OXB292" s="1069"/>
      <c r="OXC292" s="1069"/>
      <c r="OXD292" s="1069"/>
      <c r="OXE292" s="1069"/>
      <c r="OXF292" s="1069"/>
      <c r="OXG292" s="1069"/>
      <c r="OXH292" s="1069"/>
      <c r="OXI292" s="1069"/>
      <c r="OXJ292" s="1069"/>
      <c r="OXK292" s="1069"/>
      <c r="OXL292" s="1069"/>
      <c r="OXM292" s="1069"/>
      <c r="OXN292" s="1069"/>
      <c r="OXO292" s="1069"/>
      <c r="OXP292" s="1069"/>
      <c r="OXQ292" s="1069"/>
      <c r="OXR292" s="1069"/>
      <c r="OXS292" s="1069"/>
      <c r="OXT292" s="1069"/>
      <c r="OXU292" s="1069"/>
      <c r="OXV292" s="1069"/>
      <c r="OXW292" s="1069"/>
      <c r="OXX292" s="1069"/>
      <c r="OXY292" s="1069"/>
      <c r="OXZ292" s="1069"/>
      <c r="OYA292" s="1069"/>
      <c r="OYB292" s="1069"/>
      <c r="OYC292" s="1069"/>
      <c r="OYD292" s="1069"/>
      <c r="OYE292" s="1069"/>
      <c r="OYF292" s="1069"/>
      <c r="OYG292" s="1069"/>
      <c r="OYH292" s="1069"/>
      <c r="OYI292" s="1069"/>
      <c r="OYJ292" s="1069"/>
      <c r="OYK292" s="1069"/>
      <c r="OYL292" s="1069"/>
      <c r="OYM292" s="1069"/>
      <c r="OYN292" s="1069"/>
      <c r="OYO292" s="1069"/>
      <c r="OYP292" s="1069"/>
      <c r="OYQ292" s="1069"/>
      <c r="OYR292" s="1069"/>
      <c r="OYS292" s="1069"/>
      <c r="OYT292" s="1069"/>
      <c r="OYU292" s="1069"/>
      <c r="OYV292" s="1069"/>
      <c r="OYW292" s="1069"/>
      <c r="OYX292" s="1069"/>
      <c r="OYY292" s="1069"/>
      <c r="OYZ292" s="1069"/>
      <c r="OZA292" s="1069"/>
      <c r="OZB292" s="1069"/>
      <c r="OZC292" s="1069"/>
      <c r="OZD292" s="1069"/>
      <c r="OZE292" s="1069"/>
      <c r="OZF292" s="1069"/>
      <c r="OZG292" s="1069"/>
      <c r="OZH292" s="1069"/>
      <c r="OZI292" s="1069"/>
      <c r="OZJ292" s="1069"/>
      <c r="OZK292" s="1069"/>
      <c r="OZL292" s="1069"/>
      <c r="OZM292" s="1069"/>
      <c r="OZN292" s="1069"/>
      <c r="OZO292" s="1069"/>
      <c r="OZP292" s="1069"/>
      <c r="OZQ292" s="1069"/>
      <c r="OZR292" s="1069"/>
      <c r="OZS292" s="1069"/>
      <c r="OZT292" s="1069"/>
      <c r="OZU292" s="1069"/>
      <c r="OZV292" s="1069"/>
      <c r="OZW292" s="1069"/>
      <c r="OZX292" s="1069"/>
      <c r="OZY292" s="1069"/>
      <c r="OZZ292" s="1069"/>
      <c r="PAA292" s="1069"/>
      <c r="PAB292" s="1069"/>
      <c r="PAC292" s="1069"/>
      <c r="PAD292" s="1069"/>
      <c r="PAE292" s="1069"/>
      <c r="PAF292" s="1069"/>
      <c r="PAG292" s="1069"/>
      <c r="PAH292" s="1069"/>
      <c r="PAI292" s="1069"/>
      <c r="PAJ292" s="1069"/>
      <c r="PAK292" s="1069"/>
      <c r="PAL292" s="1069"/>
      <c r="PAM292" s="1069"/>
      <c r="PAN292" s="1069"/>
      <c r="PAO292" s="1069"/>
      <c r="PAP292" s="1069"/>
      <c r="PAQ292" s="1069"/>
      <c r="PAR292" s="1069"/>
      <c r="PAS292" s="1069"/>
      <c r="PAT292" s="1069"/>
      <c r="PAU292" s="1069"/>
      <c r="PAV292" s="1069"/>
      <c r="PAW292" s="1069"/>
      <c r="PAX292" s="1069"/>
      <c r="PAY292" s="1069"/>
      <c r="PAZ292" s="1069"/>
      <c r="PBA292" s="1069"/>
      <c r="PBB292" s="1069"/>
      <c r="PBC292" s="1069"/>
      <c r="PBD292" s="1069"/>
      <c r="PBE292" s="1069"/>
      <c r="PBF292" s="1069"/>
      <c r="PBG292" s="1069"/>
      <c r="PBH292" s="1069"/>
      <c r="PBI292" s="1069"/>
      <c r="PBJ292" s="1069"/>
      <c r="PBK292" s="1069"/>
      <c r="PBL292" s="1069"/>
      <c r="PBM292" s="1069"/>
      <c r="PBN292" s="1069"/>
      <c r="PBO292" s="1069"/>
      <c r="PBP292" s="1069"/>
      <c r="PBQ292" s="1069"/>
      <c r="PBR292" s="1069"/>
      <c r="PBS292" s="1069"/>
      <c r="PBT292" s="1069"/>
      <c r="PBU292" s="1069"/>
      <c r="PBV292" s="1069"/>
      <c r="PBW292" s="1069"/>
      <c r="PBX292" s="1069"/>
      <c r="PBY292" s="1069"/>
      <c r="PBZ292" s="1069"/>
      <c r="PCA292" s="1069"/>
      <c r="PCB292" s="1069"/>
      <c r="PCC292" s="1069"/>
      <c r="PCD292" s="1069"/>
      <c r="PCE292" s="1069"/>
      <c r="PCF292" s="1069"/>
      <c r="PCG292" s="1069"/>
      <c r="PCH292" s="1069"/>
      <c r="PCI292" s="1069"/>
      <c r="PCJ292" s="1069"/>
      <c r="PCK292" s="1069"/>
      <c r="PCL292" s="1069"/>
      <c r="PCM292" s="1069"/>
      <c r="PCN292" s="1069"/>
      <c r="PCO292" s="1069"/>
      <c r="PCP292" s="1069"/>
      <c r="PCQ292" s="1069"/>
      <c r="PCR292" s="1069"/>
      <c r="PCS292" s="1069"/>
      <c r="PCT292" s="1069"/>
      <c r="PCU292" s="1069"/>
      <c r="PCV292" s="1069"/>
      <c r="PCW292" s="1069"/>
      <c r="PCX292" s="1069"/>
      <c r="PCY292" s="1069"/>
      <c r="PCZ292" s="1069"/>
      <c r="PDA292" s="1069"/>
      <c r="PDB292" s="1069"/>
      <c r="PDC292" s="1069"/>
      <c r="PDD292" s="1069"/>
      <c r="PDE292" s="1069"/>
      <c r="PDF292" s="1069"/>
      <c r="PDG292" s="1069"/>
      <c r="PDH292" s="1069"/>
      <c r="PDI292" s="1069"/>
      <c r="PDJ292" s="1069"/>
      <c r="PDK292" s="1069"/>
      <c r="PDL292" s="1069"/>
      <c r="PDM292" s="1069"/>
      <c r="PDN292" s="1069"/>
      <c r="PDO292" s="1069"/>
      <c r="PDP292" s="1069"/>
      <c r="PDQ292" s="1069"/>
      <c r="PDR292" s="1069"/>
      <c r="PDS292" s="1069"/>
      <c r="PDT292" s="1069"/>
      <c r="PDU292" s="1069"/>
      <c r="PDV292" s="1069"/>
      <c r="PDW292" s="1069"/>
      <c r="PDX292" s="1069"/>
      <c r="PDY292" s="1069"/>
      <c r="PDZ292" s="1069"/>
      <c r="PEA292" s="1069"/>
      <c r="PEB292" s="1069"/>
      <c r="PEC292" s="1069"/>
      <c r="PED292" s="1069"/>
      <c r="PEE292" s="1069"/>
      <c r="PEF292" s="1069"/>
      <c r="PEG292" s="1069"/>
      <c r="PEH292" s="1069"/>
      <c r="PEI292" s="1069"/>
      <c r="PEJ292" s="1069"/>
      <c r="PEK292" s="1069"/>
      <c r="PEL292" s="1069"/>
      <c r="PEM292" s="1069"/>
      <c r="PEN292" s="1069"/>
      <c r="PEO292" s="1069"/>
      <c r="PEP292" s="1069"/>
      <c r="PEQ292" s="1069"/>
      <c r="PER292" s="1069"/>
      <c r="PES292" s="1069"/>
      <c r="PET292" s="1069"/>
      <c r="PEU292" s="1069"/>
      <c r="PEV292" s="1069"/>
      <c r="PEW292" s="1069"/>
      <c r="PEX292" s="1069"/>
      <c r="PEY292" s="1069"/>
      <c r="PEZ292" s="1069"/>
      <c r="PFA292" s="1069"/>
      <c r="PFB292" s="1069"/>
      <c r="PFC292" s="1069"/>
      <c r="PFD292" s="1069"/>
      <c r="PFE292" s="1069"/>
      <c r="PFF292" s="1069"/>
      <c r="PFG292" s="1069"/>
      <c r="PFH292" s="1069"/>
      <c r="PFI292" s="1069"/>
      <c r="PFJ292" s="1069"/>
      <c r="PFK292" s="1069"/>
      <c r="PFL292" s="1069"/>
      <c r="PFM292" s="1069"/>
      <c r="PFN292" s="1069"/>
      <c r="PFO292" s="1069"/>
      <c r="PFP292" s="1069"/>
      <c r="PFQ292" s="1069"/>
      <c r="PFR292" s="1069"/>
      <c r="PFS292" s="1069"/>
      <c r="PFT292" s="1069"/>
      <c r="PFU292" s="1069"/>
      <c r="PFV292" s="1069"/>
      <c r="PFW292" s="1069"/>
      <c r="PFX292" s="1069"/>
      <c r="PFY292" s="1069"/>
      <c r="PFZ292" s="1069"/>
      <c r="PGA292" s="1069"/>
      <c r="PGB292" s="1069"/>
      <c r="PGC292" s="1069"/>
      <c r="PGD292" s="1069"/>
      <c r="PGE292" s="1069"/>
      <c r="PGF292" s="1069"/>
      <c r="PGG292" s="1069"/>
      <c r="PGH292" s="1069"/>
      <c r="PGI292" s="1069"/>
      <c r="PGJ292" s="1069"/>
      <c r="PGK292" s="1069"/>
      <c r="PGL292" s="1069"/>
      <c r="PGM292" s="1069"/>
      <c r="PGN292" s="1069"/>
      <c r="PGO292" s="1069"/>
      <c r="PGP292" s="1069"/>
      <c r="PGQ292" s="1069"/>
      <c r="PGR292" s="1069"/>
      <c r="PGS292" s="1069"/>
      <c r="PGT292" s="1069"/>
      <c r="PGU292" s="1069"/>
      <c r="PGV292" s="1069"/>
      <c r="PGW292" s="1069"/>
      <c r="PGX292" s="1069"/>
      <c r="PGY292" s="1069"/>
      <c r="PGZ292" s="1069"/>
      <c r="PHA292" s="1069"/>
      <c r="PHB292" s="1069"/>
      <c r="PHC292" s="1069"/>
      <c r="PHD292" s="1069"/>
      <c r="PHE292" s="1069"/>
      <c r="PHF292" s="1069"/>
      <c r="PHG292" s="1069"/>
      <c r="PHH292" s="1069"/>
      <c r="PHI292" s="1069"/>
      <c r="PHJ292" s="1069"/>
      <c r="PHK292" s="1069"/>
      <c r="PHL292" s="1069"/>
      <c r="PHM292" s="1069"/>
      <c r="PHN292" s="1069"/>
      <c r="PHO292" s="1069"/>
      <c r="PHP292" s="1069"/>
      <c r="PHQ292" s="1069"/>
      <c r="PHR292" s="1069"/>
      <c r="PHS292" s="1069"/>
      <c r="PHT292" s="1069"/>
      <c r="PHU292" s="1069"/>
      <c r="PHV292" s="1069"/>
      <c r="PHW292" s="1069"/>
      <c r="PHX292" s="1069"/>
      <c r="PHY292" s="1069"/>
      <c r="PHZ292" s="1069"/>
      <c r="PIA292" s="1069"/>
      <c r="PIB292" s="1069"/>
      <c r="PIC292" s="1069"/>
      <c r="PID292" s="1069"/>
      <c r="PIE292" s="1069"/>
      <c r="PIF292" s="1069"/>
      <c r="PIG292" s="1069"/>
      <c r="PIH292" s="1069"/>
      <c r="PII292" s="1069"/>
      <c r="PIJ292" s="1069"/>
      <c r="PIK292" s="1069"/>
      <c r="PIL292" s="1069"/>
      <c r="PIM292" s="1069"/>
      <c r="PIN292" s="1069"/>
      <c r="PIO292" s="1069"/>
      <c r="PIP292" s="1069"/>
      <c r="PIQ292" s="1069"/>
      <c r="PIR292" s="1069"/>
      <c r="PIS292" s="1069"/>
      <c r="PIT292" s="1069"/>
      <c r="PIU292" s="1069"/>
      <c r="PIV292" s="1069"/>
      <c r="PIW292" s="1069"/>
      <c r="PIX292" s="1069"/>
      <c r="PIY292" s="1069"/>
      <c r="PIZ292" s="1069"/>
      <c r="PJA292" s="1069"/>
      <c r="PJB292" s="1069"/>
      <c r="PJC292" s="1069"/>
      <c r="PJD292" s="1069"/>
      <c r="PJE292" s="1069"/>
      <c r="PJF292" s="1069"/>
      <c r="PJG292" s="1069"/>
      <c r="PJH292" s="1069"/>
      <c r="PJI292" s="1069"/>
      <c r="PJJ292" s="1069"/>
      <c r="PJK292" s="1069"/>
      <c r="PJL292" s="1069"/>
      <c r="PJM292" s="1069"/>
      <c r="PJN292" s="1069"/>
      <c r="PJO292" s="1069"/>
      <c r="PJP292" s="1069"/>
      <c r="PJQ292" s="1069"/>
      <c r="PJR292" s="1069"/>
      <c r="PJS292" s="1069"/>
      <c r="PJT292" s="1069"/>
      <c r="PJU292" s="1069"/>
      <c r="PJV292" s="1069"/>
      <c r="PJW292" s="1069"/>
      <c r="PJX292" s="1069"/>
      <c r="PJY292" s="1069"/>
      <c r="PJZ292" s="1069"/>
      <c r="PKA292" s="1069"/>
      <c r="PKB292" s="1069"/>
      <c r="PKC292" s="1069"/>
      <c r="PKD292" s="1069"/>
      <c r="PKE292" s="1069"/>
      <c r="PKF292" s="1069"/>
      <c r="PKG292" s="1069"/>
      <c r="PKH292" s="1069"/>
      <c r="PKI292" s="1069"/>
      <c r="PKJ292" s="1069"/>
      <c r="PKK292" s="1069"/>
      <c r="PKL292" s="1069"/>
      <c r="PKM292" s="1069"/>
      <c r="PKN292" s="1069"/>
      <c r="PKO292" s="1069"/>
      <c r="PKP292" s="1069"/>
      <c r="PKQ292" s="1069"/>
      <c r="PKR292" s="1069"/>
      <c r="PKS292" s="1069"/>
      <c r="PKT292" s="1069"/>
      <c r="PKU292" s="1069"/>
      <c r="PKV292" s="1069"/>
      <c r="PKW292" s="1069"/>
      <c r="PKX292" s="1069"/>
      <c r="PKY292" s="1069"/>
      <c r="PKZ292" s="1069"/>
      <c r="PLA292" s="1069"/>
      <c r="PLB292" s="1069"/>
      <c r="PLC292" s="1069"/>
      <c r="PLD292" s="1069"/>
      <c r="PLE292" s="1069"/>
      <c r="PLF292" s="1069"/>
      <c r="PLG292" s="1069"/>
      <c r="PLH292" s="1069"/>
      <c r="PLI292" s="1069"/>
      <c r="PLJ292" s="1069"/>
      <c r="PLK292" s="1069"/>
      <c r="PLL292" s="1069"/>
      <c r="PLM292" s="1069"/>
      <c r="PLN292" s="1069"/>
      <c r="PLO292" s="1069"/>
      <c r="PLP292" s="1069"/>
      <c r="PLQ292" s="1069"/>
      <c r="PLR292" s="1069"/>
      <c r="PLS292" s="1069"/>
      <c r="PLT292" s="1069"/>
      <c r="PLU292" s="1069"/>
      <c r="PLV292" s="1069"/>
      <c r="PLW292" s="1069"/>
      <c r="PLX292" s="1069"/>
      <c r="PLY292" s="1069"/>
      <c r="PLZ292" s="1069"/>
      <c r="PMA292" s="1069"/>
      <c r="PMB292" s="1069"/>
      <c r="PMC292" s="1069"/>
      <c r="PMD292" s="1069"/>
      <c r="PME292" s="1069"/>
      <c r="PMF292" s="1069"/>
      <c r="PMG292" s="1069"/>
      <c r="PMH292" s="1069"/>
      <c r="PMI292" s="1069"/>
      <c r="PMJ292" s="1069"/>
      <c r="PMK292" s="1069"/>
      <c r="PML292" s="1069"/>
      <c r="PMM292" s="1069"/>
      <c r="PMN292" s="1069"/>
      <c r="PMO292" s="1069"/>
      <c r="PMP292" s="1069"/>
      <c r="PMQ292" s="1069"/>
      <c r="PMR292" s="1069"/>
      <c r="PMS292" s="1069"/>
      <c r="PMT292" s="1069"/>
      <c r="PMU292" s="1069"/>
      <c r="PMV292" s="1069"/>
      <c r="PMW292" s="1069"/>
      <c r="PMX292" s="1069"/>
      <c r="PMY292" s="1069"/>
      <c r="PMZ292" s="1069"/>
      <c r="PNA292" s="1069"/>
      <c r="PNB292" s="1069"/>
      <c r="PNC292" s="1069"/>
      <c r="PND292" s="1069"/>
      <c r="PNE292" s="1069"/>
      <c r="PNF292" s="1069"/>
      <c r="PNG292" s="1069"/>
      <c r="PNH292" s="1069"/>
      <c r="PNI292" s="1069"/>
      <c r="PNJ292" s="1069"/>
      <c r="PNK292" s="1069"/>
      <c r="PNL292" s="1069"/>
      <c r="PNM292" s="1069"/>
      <c r="PNN292" s="1069"/>
      <c r="PNO292" s="1069"/>
      <c r="PNP292" s="1069"/>
      <c r="PNQ292" s="1069"/>
      <c r="PNR292" s="1069"/>
      <c r="PNS292" s="1069"/>
      <c r="PNT292" s="1069"/>
      <c r="PNU292" s="1069"/>
      <c r="PNV292" s="1069"/>
      <c r="PNW292" s="1069"/>
      <c r="PNX292" s="1069"/>
      <c r="PNY292" s="1069"/>
      <c r="PNZ292" s="1069"/>
      <c r="POA292" s="1069"/>
      <c r="POB292" s="1069"/>
      <c r="POC292" s="1069"/>
      <c r="POD292" s="1069"/>
      <c r="POE292" s="1069"/>
      <c r="POF292" s="1069"/>
      <c r="POG292" s="1069"/>
      <c r="POH292" s="1069"/>
      <c r="POI292" s="1069"/>
      <c r="POJ292" s="1069"/>
      <c r="POK292" s="1069"/>
      <c r="POL292" s="1069"/>
      <c r="POM292" s="1069"/>
      <c r="PON292" s="1069"/>
      <c r="POO292" s="1069"/>
      <c r="POP292" s="1069"/>
      <c r="POQ292" s="1069"/>
      <c r="POR292" s="1069"/>
      <c r="POS292" s="1069"/>
      <c r="POT292" s="1069"/>
      <c r="POU292" s="1069"/>
      <c r="POV292" s="1069"/>
      <c r="POW292" s="1069"/>
      <c r="POX292" s="1069"/>
      <c r="POY292" s="1069"/>
      <c r="POZ292" s="1069"/>
      <c r="PPA292" s="1069"/>
      <c r="PPB292" s="1069"/>
      <c r="PPC292" s="1069"/>
      <c r="PPD292" s="1069"/>
      <c r="PPE292" s="1069"/>
      <c r="PPF292" s="1069"/>
      <c r="PPG292" s="1069"/>
      <c r="PPH292" s="1069"/>
      <c r="PPI292" s="1069"/>
      <c r="PPJ292" s="1069"/>
      <c r="PPK292" s="1069"/>
      <c r="PPL292" s="1069"/>
      <c r="PPM292" s="1069"/>
      <c r="PPN292" s="1069"/>
      <c r="PPO292" s="1069"/>
      <c r="PPP292" s="1069"/>
      <c r="PPQ292" s="1069"/>
      <c r="PPR292" s="1069"/>
      <c r="PPS292" s="1069"/>
      <c r="PPT292" s="1069"/>
      <c r="PPU292" s="1069"/>
      <c r="PPV292" s="1069"/>
      <c r="PPW292" s="1069"/>
      <c r="PPX292" s="1069"/>
      <c r="PPY292" s="1069"/>
      <c r="PPZ292" s="1069"/>
      <c r="PQA292" s="1069"/>
      <c r="PQB292" s="1069"/>
      <c r="PQC292" s="1069"/>
      <c r="PQD292" s="1069"/>
      <c r="PQE292" s="1069"/>
      <c r="PQF292" s="1069"/>
      <c r="PQG292" s="1069"/>
      <c r="PQH292" s="1069"/>
      <c r="PQI292" s="1069"/>
      <c r="PQJ292" s="1069"/>
      <c r="PQK292" s="1069"/>
      <c r="PQL292" s="1069"/>
      <c r="PQM292" s="1069"/>
      <c r="PQN292" s="1069"/>
      <c r="PQO292" s="1069"/>
      <c r="PQP292" s="1069"/>
      <c r="PQQ292" s="1069"/>
      <c r="PQR292" s="1069"/>
      <c r="PQS292" s="1069"/>
      <c r="PQT292" s="1069"/>
      <c r="PQU292" s="1069"/>
      <c r="PQV292" s="1069"/>
      <c r="PQW292" s="1069"/>
      <c r="PQX292" s="1069"/>
      <c r="PQY292" s="1069"/>
      <c r="PQZ292" s="1069"/>
      <c r="PRA292" s="1069"/>
      <c r="PRB292" s="1069"/>
      <c r="PRC292" s="1069"/>
      <c r="PRD292" s="1069"/>
      <c r="PRE292" s="1069"/>
      <c r="PRF292" s="1069"/>
      <c r="PRG292" s="1069"/>
      <c r="PRH292" s="1069"/>
      <c r="PRI292" s="1069"/>
      <c r="PRJ292" s="1069"/>
      <c r="PRK292" s="1069"/>
      <c r="PRL292" s="1069"/>
      <c r="PRM292" s="1069"/>
      <c r="PRN292" s="1069"/>
      <c r="PRO292" s="1069"/>
      <c r="PRP292" s="1069"/>
      <c r="PRQ292" s="1069"/>
      <c r="PRR292" s="1069"/>
      <c r="PRS292" s="1069"/>
      <c r="PRT292" s="1069"/>
      <c r="PRU292" s="1069"/>
      <c r="PRV292" s="1069"/>
      <c r="PRW292" s="1069"/>
      <c r="PRX292" s="1069"/>
      <c r="PRY292" s="1069"/>
      <c r="PRZ292" s="1069"/>
      <c r="PSA292" s="1069"/>
      <c r="PSB292" s="1069"/>
      <c r="PSC292" s="1069"/>
      <c r="PSD292" s="1069"/>
      <c r="PSE292" s="1069"/>
      <c r="PSF292" s="1069"/>
      <c r="PSG292" s="1069"/>
      <c r="PSH292" s="1069"/>
      <c r="PSI292" s="1069"/>
      <c r="PSJ292" s="1069"/>
      <c r="PSK292" s="1069"/>
      <c r="PSL292" s="1069"/>
      <c r="PSM292" s="1069"/>
      <c r="PSN292" s="1069"/>
      <c r="PSO292" s="1069"/>
      <c r="PSP292" s="1069"/>
      <c r="PSQ292" s="1069"/>
      <c r="PSR292" s="1069"/>
      <c r="PSS292" s="1069"/>
      <c r="PST292" s="1069"/>
      <c r="PSU292" s="1069"/>
      <c r="PSV292" s="1069"/>
      <c r="PSW292" s="1069"/>
      <c r="PSX292" s="1069"/>
      <c r="PSY292" s="1069"/>
      <c r="PSZ292" s="1069"/>
      <c r="PTA292" s="1069"/>
      <c r="PTB292" s="1069"/>
      <c r="PTC292" s="1069"/>
      <c r="PTD292" s="1069"/>
      <c r="PTE292" s="1069"/>
      <c r="PTF292" s="1069"/>
      <c r="PTG292" s="1069"/>
      <c r="PTH292" s="1069"/>
      <c r="PTI292" s="1069"/>
      <c r="PTJ292" s="1069"/>
      <c r="PTK292" s="1069"/>
      <c r="PTL292" s="1069"/>
      <c r="PTM292" s="1069"/>
      <c r="PTN292" s="1069"/>
      <c r="PTO292" s="1069"/>
      <c r="PTP292" s="1069"/>
      <c r="PTQ292" s="1069"/>
      <c r="PTR292" s="1069"/>
      <c r="PTS292" s="1069"/>
      <c r="PTT292" s="1069"/>
      <c r="PTU292" s="1069"/>
      <c r="PTV292" s="1069"/>
      <c r="PTW292" s="1069"/>
      <c r="PTX292" s="1069"/>
      <c r="PTY292" s="1069"/>
      <c r="PTZ292" s="1069"/>
      <c r="PUA292" s="1069"/>
      <c r="PUB292" s="1069"/>
      <c r="PUC292" s="1069"/>
      <c r="PUD292" s="1069"/>
      <c r="PUE292" s="1069"/>
      <c r="PUF292" s="1069"/>
      <c r="PUG292" s="1069"/>
      <c r="PUH292" s="1069"/>
      <c r="PUI292" s="1069"/>
      <c r="PUJ292" s="1069"/>
      <c r="PUK292" s="1069"/>
      <c r="PUL292" s="1069"/>
      <c r="PUM292" s="1069"/>
      <c r="PUN292" s="1069"/>
      <c r="PUO292" s="1069"/>
      <c r="PUP292" s="1069"/>
      <c r="PUQ292" s="1069"/>
      <c r="PUR292" s="1069"/>
      <c r="PUS292" s="1069"/>
      <c r="PUT292" s="1069"/>
      <c r="PUU292" s="1069"/>
      <c r="PUV292" s="1069"/>
      <c r="PUW292" s="1069"/>
      <c r="PUX292" s="1069"/>
      <c r="PUY292" s="1069"/>
      <c r="PUZ292" s="1069"/>
      <c r="PVA292" s="1069"/>
      <c r="PVB292" s="1069"/>
      <c r="PVC292" s="1069"/>
      <c r="PVD292" s="1069"/>
      <c r="PVE292" s="1069"/>
      <c r="PVF292" s="1069"/>
      <c r="PVG292" s="1069"/>
      <c r="PVH292" s="1069"/>
      <c r="PVI292" s="1069"/>
      <c r="PVJ292" s="1069"/>
      <c r="PVK292" s="1069"/>
      <c r="PVL292" s="1069"/>
      <c r="PVM292" s="1069"/>
      <c r="PVN292" s="1069"/>
      <c r="PVO292" s="1069"/>
      <c r="PVP292" s="1069"/>
      <c r="PVQ292" s="1069"/>
      <c r="PVR292" s="1069"/>
      <c r="PVS292" s="1069"/>
      <c r="PVT292" s="1069"/>
      <c r="PVU292" s="1069"/>
      <c r="PVV292" s="1069"/>
      <c r="PVW292" s="1069"/>
      <c r="PVX292" s="1069"/>
      <c r="PVY292" s="1069"/>
      <c r="PVZ292" s="1069"/>
      <c r="PWA292" s="1069"/>
      <c r="PWB292" s="1069"/>
      <c r="PWC292" s="1069"/>
      <c r="PWD292" s="1069"/>
      <c r="PWE292" s="1069"/>
      <c r="PWF292" s="1069"/>
      <c r="PWG292" s="1069"/>
      <c r="PWH292" s="1069"/>
      <c r="PWI292" s="1069"/>
      <c r="PWJ292" s="1069"/>
      <c r="PWK292" s="1069"/>
      <c r="PWL292" s="1069"/>
      <c r="PWM292" s="1069"/>
      <c r="PWN292" s="1069"/>
      <c r="PWO292" s="1069"/>
      <c r="PWP292" s="1069"/>
      <c r="PWQ292" s="1069"/>
      <c r="PWR292" s="1069"/>
      <c r="PWS292" s="1069"/>
      <c r="PWT292" s="1069"/>
      <c r="PWU292" s="1069"/>
      <c r="PWV292" s="1069"/>
      <c r="PWW292" s="1069"/>
      <c r="PWX292" s="1069"/>
      <c r="PWY292" s="1069"/>
      <c r="PWZ292" s="1069"/>
      <c r="PXA292" s="1069"/>
      <c r="PXB292" s="1069"/>
      <c r="PXC292" s="1069"/>
      <c r="PXD292" s="1069"/>
      <c r="PXE292" s="1069"/>
      <c r="PXF292" s="1069"/>
      <c r="PXG292" s="1069"/>
      <c r="PXH292" s="1069"/>
      <c r="PXI292" s="1069"/>
      <c r="PXJ292" s="1069"/>
      <c r="PXK292" s="1069"/>
      <c r="PXL292" s="1069"/>
      <c r="PXM292" s="1069"/>
      <c r="PXN292" s="1069"/>
      <c r="PXO292" s="1069"/>
      <c r="PXP292" s="1069"/>
      <c r="PXQ292" s="1069"/>
      <c r="PXR292" s="1069"/>
      <c r="PXS292" s="1069"/>
      <c r="PXT292" s="1069"/>
      <c r="PXU292" s="1069"/>
      <c r="PXV292" s="1069"/>
      <c r="PXW292" s="1069"/>
      <c r="PXX292" s="1069"/>
      <c r="PXY292" s="1069"/>
      <c r="PXZ292" s="1069"/>
      <c r="PYA292" s="1069"/>
      <c r="PYB292" s="1069"/>
      <c r="PYC292" s="1069"/>
      <c r="PYD292" s="1069"/>
      <c r="PYE292" s="1069"/>
      <c r="PYF292" s="1069"/>
      <c r="PYG292" s="1069"/>
      <c r="PYH292" s="1069"/>
      <c r="PYI292" s="1069"/>
      <c r="PYJ292" s="1069"/>
      <c r="PYK292" s="1069"/>
      <c r="PYL292" s="1069"/>
      <c r="PYM292" s="1069"/>
      <c r="PYN292" s="1069"/>
      <c r="PYO292" s="1069"/>
      <c r="PYP292" s="1069"/>
      <c r="PYQ292" s="1069"/>
      <c r="PYR292" s="1069"/>
      <c r="PYS292" s="1069"/>
      <c r="PYT292" s="1069"/>
      <c r="PYU292" s="1069"/>
      <c r="PYV292" s="1069"/>
      <c r="PYW292" s="1069"/>
      <c r="PYX292" s="1069"/>
      <c r="PYY292" s="1069"/>
      <c r="PYZ292" s="1069"/>
      <c r="PZA292" s="1069"/>
      <c r="PZB292" s="1069"/>
      <c r="PZC292" s="1069"/>
      <c r="PZD292" s="1069"/>
      <c r="PZE292" s="1069"/>
      <c r="PZF292" s="1069"/>
      <c r="PZG292" s="1069"/>
      <c r="PZH292" s="1069"/>
      <c r="PZI292" s="1069"/>
      <c r="PZJ292" s="1069"/>
      <c r="PZK292" s="1069"/>
      <c r="PZL292" s="1069"/>
      <c r="PZM292" s="1069"/>
      <c r="PZN292" s="1069"/>
      <c r="PZO292" s="1069"/>
      <c r="PZP292" s="1069"/>
      <c r="PZQ292" s="1069"/>
      <c r="PZR292" s="1069"/>
      <c r="PZS292" s="1069"/>
      <c r="PZT292" s="1069"/>
      <c r="PZU292" s="1069"/>
      <c r="PZV292" s="1069"/>
      <c r="PZW292" s="1069"/>
      <c r="PZX292" s="1069"/>
      <c r="PZY292" s="1069"/>
      <c r="PZZ292" s="1069"/>
      <c r="QAA292" s="1069"/>
      <c r="QAB292" s="1069"/>
      <c r="QAC292" s="1069"/>
      <c r="QAD292" s="1069"/>
      <c r="QAE292" s="1069"/>
      <c r="QAF292" s="1069"/>
      <c r="QAG292" s="1069"/>
      <c r="QAH292" s="1069"/>
      <c r="QAI292" s="1069"/>
      <c r="QAJ292" s="1069"/>
      <c r="QAK292" s="1069"/>
      <c r="QAL292" s="1069"/>
      <c r="QAM292" s="1069"/>
      <c r="QAN292" s="1069"/>
      <c r="QAO292" s="1069"/>
      <c r="QAP292" s="1069"/>
      <c r="QAQ292" s="1069"/>
      <c r="QAR292" s="1069"/>
      <c r="QAS292" s="1069"/>
      <c r="QAT292" s="1069"/>
      <c r="QAU292" s="1069"/>
      <c r="QAV292" s="1069"/>
      <c r="QAW292" s="1069"/>
      <c r="QAX292" s="1069"/>
      <c r="QAY292" s="1069"/>
      <c r="QAZ292" s="1069"/>
      <c r="QBA292" s="1069"/>
      <c r="QBB292" s="1069"/>
      <c r="QBC292" s="1069"/>
      <c r="QBD292" s="1069"/>
      <c r="QBE292" s="1069"/>
      <c r="QBF292" s="1069"/>
      <c r="QBG292" s="1069"/>
      <c r="QBH292" s="1069"/>
      <c r="QBI292" s="1069"/>
      <c r="QBJ292" s="1069"/>
      <c r="QBK292" s="1069"/>
      <c r="QBL292" s="1069"/>
      <c r="QBM292" s="1069"/>
      <c r="QBN292" s="1069"/>
      <c r="QBO292" s="1069"/>
      <c r="QBP292" s="1069"/>
      <c r="QBQ292" s="1069"/>
      <c r="QBR292" s="1069"/>
      <c r="QBS292" s="1069"/>
      <c r="QBT292" s="1069"/>
      <c r="QBU292" s="1069"/>
      <c r="QBV292" s="1069"/>
      <c r="QBW292" s="1069"/>
      <c r="QBX292" s="1069"/>
      <c r="QBY292" s="1069"/>
      <c r="QBZ292" s="1069"/>
      <c r="QCA292" s="1069"/>
      <c r="QCB292" s="1069"/>
      <c r="QCC292" s="1069"/>
      <c r="QCD292" s="1069"/>
      <c r="QCE292" s="1069"/>
      <c r="QCF292" s="1069"/>
      <c r="QCG292" s="1069"/>
      <c r="QCH292" s="1069"/>
      <c r="QCI292" s="1069"/>
      <c r="QCJ292" s="1069"/>
      <c r="QCK292" s="1069"/>
      <c r="QCL292" s="1069"/>
      <c r="QCM292" s="1069"/>
      <c r="QCN292" s="1069"/>
      <c r="QCO292" s="1069"/>
      <c r="QCP292" s="1069"/>
      <c r="QCQ292" s="1069"/>
      <c r="QCR292" s="1069"/>
      <c r="QCS292" s="1069"/>
      <c r="QCT292" s="1069"/>
      <c r="QCU292" s="1069"/>
      <c r="QCV292" s="1069"/>
      <c r="QCW292" s="1069"/>
      <c r="QCX292" s="1069"/>
      <c r="QCY292" s="1069"/>
      <c r="QCZ292" s="1069"/>
      <c r="QDA292" s="1069"/>
      <c r="QDB292" s="1069"/>
      <c r="QDC292" s="1069"/>
      <c r="QDD292" s="1069"/>
      <c r="QDE292" s="1069"/>
      <c r="QDF292" s="1069"/>
      <c r="QDG292" s="1069"/>
      <c r="QDH292" s="1069"/>
      <c r="QDI292" s="1069"/>
      <c r="QDJ292" s="1069"/>
      <c r="QDK292" s="1069"/>
      <c r="QDL292" s="1069"/>
      <c r="QDM292" s="1069"/>
      <c r="QDN292" s="1069"/>
      <c r="QDO292" s="1069"/>
      <c r="QDP292" s="1069"/>
      <c r="QDQ292" s="1069"/>
      <c r="QDR292" s="1069"/>
      <c r="QDS292" s="1069"/>
      <c r="QDT292" s="1069"/>
      <c r="QDU292" s="1069"/>
      <c r="QDV292" s="1069"/>
      <c r="QDW292" s="1069"/>
      <c r="QDX292" s="1069"/>
      <c r="QDY292" s="1069"/>
      <c r="QDZ292" s="1069"/>
      <c r="QEA292" s="1069"/>
      <c r="QEB292" s="1069"/>
      <c r="QEC292" s="1069"/>
      <c r="QED292" s="1069"/>
      <c r="QEE292" s="1069"/>
      <c r="QEF292" s="1069"/>
      <c r="QEG292" s="1069"/>
      <c r="QEH292" s="1069"/>
      <c r="QEI292" s="1069"/>
      <c r="QEJ292" s="1069"/>
      <c r="QEK292" s="1069"/>
      <c r="QEL292" s="1069"/>
      <c r="QEM292" s="1069"/>
      <c r="QEN292" s="1069"/>
      <c r="QEO292" s="1069"/>
      <c r="QEP292" s="1069"/>
      <c r="QEQ292" s="1069"/>
      <c r="QER292" s="1069"/>
      <c r="QES292" s="1069"/>
      <c r="QET292" s="1069"/>
      <c r="QEU292" s="1069"/>
      <c r="QEV292" s="1069"/>
      <c r="QEW292" s="1069"/>
      <c r="QEX292" s="1069"/>
      <c r="QEY292" s="1069"/>
      <c r="QEZ292" s="1069"/>
      <c r="QFA292" s="1069"/>
      <c r="QFB292" s="1069"/>
      <c r="QFC292" s="1069"/>
      <c r="QFD292" s="1069"/>
      <c r="QFE292" s="1069"/>
      <c r="QFF292" s="1069"/>
      <c r="QFG292" s="1069"/>
      <c r="QFH292" s="1069"/>
      <c r="QFI292" s="1069"/>
      <c r="QFJ292" s="1069"/>
      <c r="QFK292" s="1069"/>
      <c r="QFL292" s="1069"/>
      <c r="QFM292" s="1069"/>
      <c r="QFN292" s="1069"/>
      <c r="QFO292" s="1069"/>
      <c r="QFP292" s="1069"/>
      <c r="QFQ292" s="1069"/>
      <c r="QFR292" s="1069"/>
      <c r="QFS292" s="1069"/>
      <c r="QFT292" s="1069"/>
      <c r="QFU292" s="1069"/>
      <c r="QFV292" s="1069"/>
      <c r="QFW292" s="1069"/>
      <c r="QFX292" s="1069"/>
      <c r="QFY292" s="1069"/>
      <c r="QFZ292" s="1069"/>
      <c r="QGA292" s="1069"/>
      <c r="QGB292" s="1069"/>
      <c r="QGC292" s="1069"/>
      <c r="QGD292" s="1069"/>
      <c r="QGE292" s="1069"/>
      <c r="QGF292" s="1069"/>
      <c r="QGG292" s="1069"/>
      <c r="QGH292" s="1069"/>
      <c r="QGI292" s="1069"/>
      <c r="QGJ292" s="1069"/>
      <c r="QGK292" s="1069"/>
      <c r="QGL292" s="1069"/>
      <c r="QGM292" s="1069"/>
      <c r="QGN292" s="1069"/>
      <c r="QGO292" s="1069"/>
      <c r="QGP292" s="1069"/>
      <c r="QGQ292" s="1069"/>
      <c r="QGR292" s="1069"/>
      <c r="QGS292" s="1069"/>
      <c r="QGT292" s="1069"/>
      <c r="QGU292" s="1069"/>
      <c r="QGV292" s="1069"/>
      <c r="QGW292" s="1069"/>
      <c r="QGX292" s="1069"/>
      <c r="QGY292" s="1069"/>
      <c r="QGZ292" s="1069"/>
      <c r="QHA292" s="1069"/>
      <c r="QHB292" s="1069"/>
      <c r="QHC292" s="1069"/>
      <c r="QHD292" s="1069"/>
      <c r="QHE292" s="1069"/>
      <c r="QHF292" s="1069"/>
      <c r="QHG292" s="1069"/>
      <c r="QHH292" s="1069"/>
      <c r="QHI292" s="1069"/>
      <c r="QHJ292" s="1069"/>
      <c r="QHK292" s="1069"/>
      <c r="QHL292" s="1069"/>
      <c r="QHM292" s="1069"/>
      <c r="QHN292" s="1069"/>
      <c r="QHO292" s="1069"/>
      <c r="QHP292" s="1069"/>
      <c r="QHQ292" s="1069"/>
      <c r="QHR292" s="1069"/>
      <c r="QHS292" s="1069"/>
      <c r="QHT292" s="1069"/>
      <c r="QHU292" s="1069"/>
      <c r="QHV292" s="1069"/>
      <c r="QHW292" s="1069"/>
      <c r="QHX292" s="1069"/>
      <c r="QHY292" s="1069"/>
      <c r="QHZ292" s="1069"/>
      <c r="QIA292" s="1069"/>
      <c r="QIB292" s="1069"/>
      <c r="QIC292" s="1069"/>
      <c r="QID292" s="1069"/>
      <c r="QIE292" s="1069"/>
      <c r="QIF292" s="1069"/>
      <c r="QIG292" s="1069"/>
      <c r="QIH292" s="1069"/>
      <c r="QII292" s="1069"/>
      <c r="QIJ292" s="1069"/>
      <c r="QIK292" s="1069"/>
      <c r="QIL292" s="1069"/>
      <c r="QIM292" s="1069"/>
      <c r="QIN292" s="1069"/>
      <c r="QIO292" s="1069"/>
      <c r="QIP292" s="1069"/>
      <c r="QIQ292" s="1069"/>
      <c r="QIR292" s="1069"/>
      <c r="QIS292" s="1069"/>
      <c r="QIT292" s="1069"/>
      <c r="QIU292" s="1069"/>
      <c r="QIV292" s="1069"/>
      <c r="QIW292" s="1069"/>
      <c r="QIX292" s="1069"/>
      <c r="QIY292" s="1069"/>
      <c r="QIZ292" s="1069"/>
      <c r="QJA292" s="1069"/>
      <c r="QJB292" s="1069"/>
      <c r="QJC292" s="1069"/>
      <c r="QJD292" s="1069"/>
      <c r="QJE292" s="1069"/>
      <c r="QJF292" s="1069"/>
      <c r="QJG292" s="1069"/>
      <c r="QJH292" s="1069"/>
      <c r="QJI292" s="1069"/>
      <c r="QJJ292" s="1069"/>
      <c r="QJK292" s="1069"/>
      <c r="QJL292" s="1069"/>
      <c r="QJM292" s="1069"/>
      <c r="QJN292" s="1069"/>
      <c r="QJO292" s="1069"/>
      <c r="QJP292" s="1069"/>
      <c r="QJQ292" s="1069"/>
      <c r="QJR292" s="1069"/>
      <c r="QJS292" s="1069"/>
      <c r="QJT292" s="1069"/>
      <c r="QJU292" s="1069"/>
      <c r="QJV292" s="1069"/>
      <c r="QJW292" s="1069"/>
      <c r="QJX292" s="1069"/>
      <c r="QJY292" s="1069"/>
      <c r="QJZ292" s="1069"/>
      <c r="QKA292" s="1069"/>
      <c r="QKB292" s="1069"/>
      <c r="QKC292" s="1069"/>
      <c r="QKD292" s="1069"/>
      <c r="QKE292" s="1069"/>
      <c r="QKF292" s="1069"/>
      <c r="QKG292" s="1069"/>
      <c r="QKH292" s="1069"/>
      <c r="QKI292" s="1069"/>
      <c r="QKJ292" s="1069"/>
      <c r="QKK292" s="1069"/>
      <c r="QKL292" s="1069"/>
      <c r="QKM292" s="1069"/>
      <c r="QKN292" s="1069"/>
      <c r="QKO292" s="1069"/>
      <c r="QKP292" s="1069"/>
      <c r="QKQ292" s="1069"/>
      <c r="QKR292" s="1069"/>
      <c r="QKS292" s="1069"/>
      <c r="QKT292" s="1069"/>
      <c r="QKU292" s="1069"/>
      <c r="QKV292" s="1069"/>
      <c r="QKW292" s="1069"/>
      <c r="QKX292" s="1069"/>
      <c r="QKY292" s="1069"/>
      <c r="QKZ292" s="1069"/>
      <c r="QLA292" s="1069"/>
      <c r="QLB292" s="1069"/>
      <c r="QLC292" s="1069"/>
      <c r="QLD292" s="1069"/>
      <c r="QLE292" s="1069"/>
      <c r="QLF292" s="1069"/>
      <c r="QLG292" s="1069"/>
      <c r="QLH292" s="1069"/>
      <c r="QLI292" s="1069"/>
      <c r="QLJ292" s="1069"/>
      <c r="QLK292" s="1069"/>
      <c r="QLL292" s="1069"/>
      <c r="QLM292" s="1069"/>
      <c r="QLN292" s="1069"/>
      <c r="QLO292" s="1069"/>
      <c r="QLP292" s="1069"/>
      <c r="QLQ292" s="1069"/>
      <c r="QLR292" s="1069"/>
      <c r="QLS292" s="1069"/>
      <c r="QLT292" s="1069"/>
      <c r="QLU292" s="1069"/>
      <c r="QLV292" s="1069"/>
      <c r="QLW292" s="1069"/>
      <c r="QLX292" s="1069"/>
      <c r="QLY292" s="1069"/>
      <c r="QLZ292" s="1069"/>
      <c r="QMA292" s="1069"/>
      <c r="QMB292" s="1069"/>
      <c r="QMC292" s="1069"/>
      <c r="QMD292" s="1069"/>
      <c r="QME292" s="1069"/>
      <c r="QMF292" s="1069"/>
      <c r="QMG292" s="1069"/>
      <c r="QMH292" s="1069"/>
      <c r="QMI292" s="1069"/>
      <c r="QMJ292" s="1069"/>
      <c r="QMK292" s="1069"/>
      <c r="QML292" s="1069"/>
      <c r="QMM292" s="1069"/>
      <c r="QMN292" s="1069"/>
      <c r="QMO292" s="1069"/>
      <c r="QMP292" s="1069"/>
      <c r="QMQ292" s="1069"/>
      <c r="QMR292" s="1069"/>
      <c r="QMS292" s="1069"/>
      <c r="QMT292" s="1069"/>
      <c r="QMU292" s="1069"/>
      <c r="QMV292" s="1069"/>
      <c r="QMW292" s="1069"/>
      <c r="QMX292" s="1069"/>
      <c r="QMY292" s="1069"/>
      <c r="QMZ292" s="1069"/>
      <c r="QNA292" s="1069"/>
      <c r="QNB292" s="1069"/>
      <c r="QNC292" s="1069"/>
      <c r="QND292" s="1069"/>
      <c r="QNE292" s="1069"/>
      <c r="QNF292" s="1069"/>
      <c r="QNG292" s="1069"/>
      <c r="QNH292" s="1069"/>
      <c r="QNI292" s="1069"/>
      <c r="QNJ292" s="1069"/>
      <c r="QNK292" s="1069"/>
      <c r="QNL292" s="1069"/>
      <c r="QNM292" s="1069"/>
      <c r="QNN292" s="1069"/>
      <c r="QNO292" s="1069"/>
      <c r="QNP292" s="1069"/>
      <c r="QNQ292" s="1069"/>
      <c r="QNR292" s="1069"/>
      <c r="QNS292" s="1069"/>
      <c r="QNT292" s="1069"/>
      <c r="QNU292" s="1069"/>
      <c r="QNV292" s="1069"/>
      <c r="QNW292" s="1069"/>
      <c r="QNX292" s="1069"/>
      <c r="QNY292" s="1069"/>
      <c r="QNZ292" s="1069"/>
      <c r="QOA292" s="1069"/>
      <c r="QOB292" s="1069"/>
      <c r="QOC292" s="1069"/>
      <c r="QOD292" s="1069"/>
      <c r="QOE292" s="1069"/>
      <c r="QOF292" s="1069"/>
      <c r="QOG292" s="1069"/>
      <c r="QOH292" s="1069"/>
      <c r="QOI292" s="1069"/>
      <c r="QOJ292" s="1069"/>
      <c r="QOK292" s="1069"/>
      <c r="QOL292" s="1069"/>
      <c r="QOM292" s="1069"/>
      <c r="QON292" s="1069"/>
      <c r="QOO292" s="1069"/>
      <c r="QOP292" s="1069"/>
      <c r="QOQ292" s="1069"/>
      <c r="QOR292" s="1069"/>
      <c r="QOS292" s="1069"/>
      <c r="QOT292" s="1069"/>
      <c r="QOU292" s="1069"/>
      <c r="QOV292" s="1069"/>
      <c r="QOW292" s="1069"/>
      <c r="QOX292" s="1069"/>
      <c r="QOY292" s="1069"/>
      <c r="QOZ292" s="1069"/>
      <c r="QPA292" s="1069"/>
      <c r="QPB292" s="1069"/>
      <c r="QPC292" s="1069"/>
      <c r="QPD292" s="1069"/>
      <c r="QPE292" s="1069"/>
      <c r="QPF292" s="1069"/>
      <c r="QPG292" s="1069"/>
      <c r="QPH292" s="1069"/>
      <c r="QPI292" s="1069"/>
      <c r="QPJ292" s="1069"/>
      <c r="QPK292" s="1069"/>
      <c r="QPL292" s="1069"/>
      <c r="QPM292" s="1069"/>
      <c r="QPN292" s="1069"/>
      <c r="QPO292" s="1069"/>
      <c r="QPP292" s="1069"/>
      <c r="QPQ292" s="1069"/>
      <c r="QPR292" s="1069"/>
      <c r="QPS292" s="1069"/>
      <c r="QPT292" s="1069"/>
      <c r="QPU292" s="1069"/>
      <c r="QPV292" s="1069"/>
      <c r="QPW292" s="1069"/>
      <c r="QPX292" s="1069"/>
      <c r="QPY292" s="1069"/>
      <c r="QPZ292" s="1069"/>
      <c r="QQA292" s="1069"/>
      <c r="QQB292" s="1069"/>
      <c r="QQC292" s="1069"/>
      <c r="QQD292" s="1069"/>
      <c r="QQE292" s="1069"/>
      <c r="QQF292" s="1069"/>
      <c r="QQG292" s="1069"/>
      <c r="QQH292" s="1069"/>
      <c r="QQI292" s="1069"/>
      <c r="QQJ292" s="1069"/>
      <c r="QQK292" s="1069"/>
      <c r="QQL292" s="1069"/>
      <c r="QQM292" s="1069"/>
      <c r="QQN292" s="1069"/>
      <c r="QQO292" s="1069"/>
      <c r="QQP292" s="1069"/>
      <c r="QQQ292" s="1069"/>
      <c r="QQR292" s="1069"/>
      <c r="QQS292" s="1069"/>
      <c r="QQT292" s="1069"/>
      <c r="QQU292" s="1069"/>
      <c r="QQV292" s="1069"/>
      <c r="QQW292" s="1069"/>
      <c r="QQX292" s="1069"/>
      <c r="QQY292" s="1069"/>
      <c r="QQZ292" s="1069"/>
      <c r="QRA292" s="1069"/>
      <c r="QRB292" s="1069"/>
      <c r="QRC292" s="1069"/>
      <c r="QRD292" s="1069"/>
      <c r="QRE292" s="1069"/>
      <c r="QRF292" s="1069"/>
      <c r="QRG292" s="1069"/>
      <c r="QRH292" s="1069"/>
      <c r="QRI292" s="1069"/>
      <c r="QRJ292" s="1069"/>
      <c r="QRK292" s="1069"/>
      <c r="QRL292" s="1069"/>
      <c r="QRM292" s="1069"/>
      <c r="QRN292" s="1069"/>
      <c r="QRO292" s="1069"/>
      <c r="QRP292" s="1069"/>
      <c r="QRQ292" s="1069"/>
      <c r="QRR292" s="1069"/>
      <c r="QRS292" s="1069"/>
      <c r="QRT292" s="1069"/>
      <c r="QRU292" s="1069"/>
      <c r="QRV292" s="1069"/>
      <c r="QRW292" s="1069"/>
      <c r="QRX292" s="1069"/>
      <c r="QRY292" s="1069"/>
      <c r="QRZ292" s="1069"/>
      <c r="QSA292" s="1069"/>
      <c r="QSB292" s="1069"/>
      <c r="QSC292" s="1069"/>
      <c r="QSD292" s="1069"/>
      <c r="QSE292" s="1069"/>
      <c r="QSF292" s="1069"/>
      <c r="QSG292" s="1069"/>
      <c r="QSH292" s="1069"/>
      <c r="QSI292" s="1069"/>
      <c r="QSJ292" s="1069"/>
      <c r="QSK292" s="1069"/>
      <c r="QSL292" s="1069"/>
      <c r="QSM292" s="1069"/>
      <c r="QSN292" s="1069"/>
      <c r="QSO292" s="1069"/>
      <c r="QSP292" s="1069"/>
      <c r="QSQ292" s="1069"/>
      <c r="QSR292" s="1069"/>
      <c r="QSS292" s="1069"/>
      <c r="QST292" s="1069"/>
      <c r="QSU292" s="1069"/>
      <c r="QSV292" s="1069"/>
      <c r="QSW292" s="1069"/>
      <c r="QSX292" s="1069"/>
      <c r="QSY292" s="1069"/>
      <c r="QSZ292" s="1069"/>
      <c r="QTA292" s="1069"/>
      <c r="QTB292" s="1069"/>
      <c r="QTC292" s="1069"/>
      <c r="QTD292" s="1069"/>
      <c r="QTE292" s="1069"/>
      <c r="QTF292" s="1069"/>
      <c r="QTG292" s="1069"/>
      <c r="QTH292" s="1069"/>
      <c r="QTI292" s="1069"/>
      <c r="QTJ292" s="1069"/>
      <c r="QTK292" s="1069"/>
      <c r="QTL292" s="1069"/>
      <c r="QTM292" s="1069"/>
      <c r="QTN292" s="1069"/>
      <c r="QTO292" s="1069"/>
      <c r="QTP292" s="1069"/>
      <c r="QTQ292" s="1069"/>
      <c r="QTR292" s="1069"/>
      <c r="QTS292" s="1069"/>
      <c r="QTT292" s="1069"/>
      <c r="QTU292" s="1069"/>
      <c r="QTV292" s="1069"/>
      <c r="QTW292" s="1069"/>
      <c r="QTX292" s="1069"/>
      <c r="QTY292" s="1069"/>
      <c r="QTZ292" s="1069"/>
      <c r="QUA292" s="1069"/>
      <c r="QUB292" s="1069"/>
      <c r="QUC292" s="1069"/>
      <c r="QUD292" s="1069"/>
      <c r="QUE292" s="1069"/>
      <c r="QUF292" s="1069"/>
      <c r="QUG292" s="1069"/>
      <c r="QUH292" s="1069"/>
      <c r="QUI292" s="1069"/>
      <c r="QUJ292" s="1069"/>
      <c r="QUK292" s="1069"/>
      <c r="QUL292" s="1069"/>
      <c r="QUM292" s="1069"/>
      <c r="QUN292" s="1069"/>
      <c r="QUO292" s="1069"/>
      <c r="QUP292" s="1069"/>
      <c r="QUQ292" s="1069"/>
      <c r="QUR292" s="1069"/>
      <c r="QUS292" s="1069"/>
      <c r="QUT292" s="1069"/>
      <c r="QUU292" s="1069"/>
      <c r="QUV292" s="1069"/>
      <c r="QUW292" s="1069"/>
      <c r="QUX292" s="1069"/>
      <c r="QUY292" s="1069"/>
      <c r="QUZ292" s="1069"/>
      <c r="QVA292" s="1069"/>
      <c r="QVB292" s="1069"/>
      <c r="QVC292" s="1069"/>
      <c r="QVD292" s="1069"/>
      <c r="QVE292" s="1069"/>
      <c r="QVF292" s="1069"/>
      <c r="QVG292" s="1069"/>
      <c r="QVH292" s="1069"/>
      <c r="QVI292" s="1069"/>
      <c r="QVJ292" s="1069"/>
      <c r="QVK292" s="1069"/>
      <c r="QVL292" s="1069"/>
      <c r="QVM292" s="1069"/>
      <c r="QVN292" s="1069"/>
      <c r="QVO292" s="1069"/>
      <c r="QVP292" s="1069"/>
      <c r="QVQ292" s="1069"/>
      <c r="QVR292" s="1069"/>
      <c r="QVS292" s="1069"/>
      <c r="QVT292" s="1069"/>
      <c r="QVU292" s="1069"/>
      <c r="QVV292" s="1069"/>
      <c r="QVW292" s="1069"/>
      <c r="QVX292" s="1069"/>
      <c r="QVY292" s="1069"/>
      <c r="QVZ292" s="1069"/>
      <c r="QWA292" s="1069"/>
      <c r="QWB292" s="1069"/>
      <c r="QWC292" s="1069"/>
      <c r="QWD292" s="1069"/>
      <c r="QWE292" s="1069"/>
      <c r="QWF292" s="1069"/>
      <c r="QWG292" s="1069"/>
      <c r="QWH292" s="1069"/>
      <c r="QWI292" s="1069"/>
      <c r="QWJ292" s="1069"/>
      <c r="QWK292" s="1069"/>
      <c r="QWL292" s="1069"/>
      <c r="QWM292" s="1069"/>
      <c r="QWN292" s="1069"/>
      <c r="QWO292" s="1069"/>
      <c r="QWP292" s="1069"/>
      <c r="QWQ292" s="1069"/>
      <c r="QWR292" s="1069"/>
      <c r="QWS292" s="1069"/>
      <c r="QWT292" s="1069"/>
      <c r="QWU292" s="1069"/>
      <c r="QWV292" s="1069"/>
      <c r="QWW292" s="1069"/>
      <c r="QWX292" s="1069"/>
      <c r="QWY292" s="1069"/>
      <c r="QWZ292" s="1069"/>
      <c r="QXA292" s="1069"/>
      <c r="QXB292" s="1069"/>
      <c r="QXC292" s="1069"/>
      <c r="QXD292" s="1069"/>
      <c r="QXE292" s="1069"/>
      <c r="QXF292" s="1069"/>
      <c r="QXG292" s="1069"/>
      <c r="QXH292" s="1069"/>
      <c r="QXI292" s="1069"/>
      <c r="QXJ292" s="1069"/>
      <c r="QXK292" s="1069"/>
      <c r="QXL292" s="1069"/>
      <c r="QXM292" s="1069"/>
      <c r="QXN292" s="1069"/>
      <c r="QXO292" s="1069"/>
      <c r="QXP292" s="1069"/>
      <c r="QXQ292" s="1069"/>
      <c r="QXR292" s="1069"/>
      <c r="QXS292" s="1069"/>
      <c r="QXT292" s="1069"/>
      <c r="QXU292" s="1069"/>
      <c r="QXV292" s="1069"/>
      <c r="QXW292" s="1069"/>
      <c r="QXX292" s="1069"/>
      <c r="QXY292" s="1069"/>
      <c r="QXZ292" s="1069"/>
      <c r="QYA292" s="1069"/>
      <c r="QYB292" s="1069"/>
      <c r="QYC292" s="1069"/>
      <c r="QYD292" s="1069"/>
      <c r="QYE292" s="1069"/>
      <c r="QYF292" s="1069"/>
      <c r="QYG292" s="1069"/>
      <c r="QYH292" s="1069"/>
      <c r="QYI292" s="1069"/>
      <c r="QYJ292" s="1069"/>
      <c r="QYK292" s="1069"/>
      <c r="QYL292" s="1069"/>
      <c r="QYM292" s="1069"/>
      <c r="QYN292" s="1069"/>
      <c r="QYO292" s="1069"/>
      <c r="QYP292" s="1069"/>
      <c r="QYQ292" s="1069"/>
      <c r="QYR292" s="1069"/>
      <c r="QYS292" s="1069"/>
      <c r="QYT292" s="1069"/>
      <c r="QYU292" s="1069"/>
      <c r="QYV292" s="1069"/>
      <c r="QYW292" s="1069"/>
      <c r="QYX292" s="1069"/>
      <c r="QYY292" s="1069"/>
      <c r="QYZ292" s="1069"/>
      <c r="QZA292" s="1069"/>
      <c r="QZB292" s="1069"/>
      <c r="QZC292" s="1069"/>
      <c r="QZD292" s="1069"/>
      <c r="QZE292" s="1069"/>
      <c r="QZF292" s="1069"/>
      <c r="QZG292" s="1069"/>
      <c r="QZH292" s="1069"/>
      <c r="QZI292" s="1069"/>
      <c r="QZJ292" s="1069"/>
      <c r="QZK292" s="1069"/>
      <c r="QZL292" s="1069"/>
      <c r="QZM292" s="1069"/>
      <c r="QZN292" s="1069"/>
      <c r="QZO292" s="1069"/>
      <c r="QZP292" s="1069"/>
      <c r="QZQ292" s="1069"/>
      <c r="QZR292" s="1069"/>
      <c r="QZS292" s="1069"/>
      <c r="QZT292" s="1069"/>
      <c r="QZU292" s="1069"/>
      <c r="QZV292" s="1069"/>
      <c r="QZW292" s="1069"/>
      <c r="QZX292" s="1069"/>
      <c r="QZY292" s="1069"/>
      <c r="QZZ292" s="1069"/>
      <c r="RAA292" s="1069"/>
      <c r="RAB292" s="1069"/>
      <c r="RAC292" s="1069"/>
      <c r="RAD292" s="1069"/>
      <c r="RAE292" s="1069"/>
      <c r="RAF292" s="1069"/>
      <c r="RAG292" s="1069"/>
      <c r="RAH292" s="1069"/>
      <c r="RAI292" s="1069"/>
      <c r="RAJ292" s="1069"/>
      <c r="RAK292" s="1069"/>
      <c r="RAL292" s="1069"/>
      <c r="RAM292" s="1069"/>
      <c r="RAN292" s="1069"/>
      <c r="RAO292" s="1069"/>
      <c r="RAP292" s="1069"/>
      <c r="RAQ292" s="1069"/>
      <c r="RAR292" s="1069"/>
      <c r="RAS292" s="1069"/>
      <c r="RAT292" s="1069"/>
      <c r="RAU292" s="1069"/>
      <c r="RAV292" s="1069"/>
      <c r="RAW292" s="1069"/>
      <c r="RAX292" s="1069"/>
      <c r="RAY292" s="1069"/>
      <c r="RAZ292" s="1069"/>
      <c r="RBA292" s="1069"/>
      <c r="RBB292" s="1069"/>
      <c r="RBC292" s="1069"/>
      <c r="RBD292" s="1069"/>
      <c r="RBE292" s="1069"/>
      <c r="RBF292" s="1069"/>
      <c r="RBG292" s="1069"/>
      <c r="RBH292" s="1069"/>
      <c r="RBI292" s="1069"/>
      <c r="RBJ292" s="1069"/>
      <c r="RBK292" s="1069"/>
      <c r="RBL292" s="1069"/>
      <c r="RBM292" s="1069"/>
      <c r="RBN292" s="1069"/>
      <c r="RBO292" s="1069"/>
      <c r="RBP292" s="1069"/>
      <c r="RBQ292" s="1069"/>
      <c r="RBR292" s="1069"/>
      <c r="RBS292" s="1069"/>
      <c r="RBT292" s="1069"/>
      <c r="RBU292" s="1069"/>
      <c r="RBV292" s="1069"/>
      <c r="RBW292" s="1069"/>
      <c r="RBX292" s="1069"/>
      <c r="RBY292" s="1069"/>
      <c r="RBZ292" s="1069"/>
      <c r="RCA292" s="1069"/>
      <c r="RCB292" s="1069"/>
      <c r="RCC292" s="1069"/>
      <c r="RCD292" s="1069"/>
      <c r="RCE292" s="1069"/>
      <c r="RCF292" s="1069"/>
      <c r="RCG292" s="1069"/>
      <c r="RCH292" s="1069"/>
      <c r="RCI292" s="1069"/>
      <c r="RCJ292" s="1069"/>
      <c r="RCK292" s="1069"/>
      <c r="RCL292" s="1069"/>
      <c r="RCM292" s="1069"/>
      <c r="RCN292" s="1069"/>
      <c r="RCO292" s="1069"/>
      <c r="RCP292" s="1069"/>
      <c r="RCQ292" s="1069"/>
      <c r="RCR292" s="1069"/>
      <c r="RCS292" s="1069"/>
      <c r="RCT292" s="1069"/>
      <c r="RCU292" s="1069"/>
      <c r="RCV292" s="1069"/>
      <c r="RCW292" s="1069"/>
      <c r="RCX292" s="1069"/>
      <c r="RCY292" s="1069"/>
      <c r="RCZ292" s="1069"/>
      <c r="RDA292" s="1069"/>
      <c r="RDB292" s="1069"/>
      <c r="RDC292" s="1069"/>
      <c r="RDD292" s="1069"/>
      <c r="RDE292" s="1069"/>
      <c r="RDF292" s="1069"/>
      <c r="RDG292" s="1069"/>
      <c r="RDH292" s="1069"/>
      <c r="RDI292" s="1069"/>
      <c r="RDJ292" s="1069"/>
      <c r="RDK292" s="1069"/>
      <c r="RDL292" s="1069"/>
      <c r="RDM292" s="1069"/>
      <c r="RDN292" s="1069"/>
      <c r="RDO292" s="1069"/>
      <c r="RDP292" s="1069"/>
      <c r="RDQ292" s="1069"/>
      <c r="RDR292" s="1069"/>
      <c r="RDS292" s="1069"/>
      <c r="RDT292" s="1069"/>
      <c r="RDU292" s="1069"/>
      <c r="RDV292" s="1069"/>
      <c r="RDW292" s="1069"/>
      <c r="RDX292" s="1069"/>
      <c r="RDY292" s="1069"/>
      <c r="RDZ292" s="1069"/>
      <c r="REA292" s="1069"/>
      <c r="REB292" s="1069"/>
      <c r="REC292" s="1069"/>
      <c r="RED292" s="1069"/>
      <c r="REE292" s="1069"/>
      <c r="REF292" s="1069"/>
      <c r="REG292" s="1069"/>
      <c r="REH292" s="1069"/>
      <c r="REI292" s="1069"/>
      <c r="REJ292" s="1069"/>
      <c r="REK292" s="1069"/>
      <c r="REL292" s="1069"/>
      <c r="REM292" s="1069"/>
      <c r="REN292" s="1069"/>
      <c r="REO292" s="1069"/>
      <c r="REP292" s="1069"/>
      <c r="REQ292" s="1069"/>
      <c r="RER292" s="1069"/>
      <c r="RES292" s="1069"/>
      <c r="RET292" s="1069"/>
      <c r="REU292" s="1069"/>
      <c r="REV292" s="1069"/>
      <c r="REW292" s="1069"/>
      <c r="REX292" s="1069"/>
      <c r="REY292" s="1069"/>
      <c r="REZ292" s="1069"/>
      <c r="RFA292" s="1069"/>
      <c r="RFB292" s="1069"/>
      <c r="RFC292" s="1069"/>
      <c r="RFD292" s="1069"/>
      <c r="RFE292" s="1069"/>
      <c r="RFF292" s="1069"/>
      <c r="RFG292" s="1069"/>
      <c r="RFH292" s="1069"/>
      <c r="RFI292" s="1069"/>
      <c r="RFJ292" s="1069"/>
      <c r="RFK292" s="1069"/>
      <c r="RFL292" s="1069"/>
      <c r="RFM292" s="1069"/>
      <c r="RFN292" s="1069"/>
      <c r="RFO292" s="1069"/>
      <c r="RFP292" s="1069"/>
      <c r="RFQ292" s="1069"/>
      <c r="RFR292" s="1069"/>
      <c r="RFS292" s="1069"/>
      <c r="RFT292" s="1069"/>
      <c r="RFU292" s="1069"/>
      <c r="RFV292" s="1069"/>
      <c r="RFW292" s="1069"/>
      <c r="RFX292" s="1069"/>
      <c r="RFY292" s="1069"/>
      <c r="RFZ292" s="1069"/>
      <c r="RGA292" s="1069"/>
      <c r="RGB292" s="1069"/>
      <c r="RGC292" s="1069"/>
      <c r="RGD292" s="1069"/>
      <c r="RGE292" s="1069"/>
      <c r="RGF292" s="1069"/>
      <c r="RGG292" s="1069"/>
      <c r="RGH292" s="1069"/>
      <c r="RGI292" s="1069"/>
      <c r="RGJ292" s="1069"/>
      <c r="RGK292" s="1069"/>
      <c r="RGL292" s="1069"/>
      <c r="RGM292" s="1069"/>
      <c r="RGN292" s="1069"/>
      <c r="RGO292" s="1069"/>
      <c r="RGP292" s="1069"/>
      <c r="RGQ292" s="1069"/>
      <c r="RGR292" s="1069"/>
      <c r="RGS292" s="1069"/>
      <c r="RGT292" s="1069"/>
      <c r="RGU292" s="1069"/>
      <c r="RGV292" s="1069"/>
      <c r="RGW292" s="1069"/>
      <c r="RGX292" s="1069"/>
      <c r="RGY292" s="1069"/>
      <c r="RGZ292" s="1069"/>
      <c r="RHA292" s="1069"/>
      <c r="RHB292" s="1069"/>
      <c r="RHC292" s="1069"/>
      <c r="RHD292" s="1069"/>
      <c r="RHE292" s="1069"/>
      <c r="RHF292" s="1069"/>
      <c r="RHG292" s="1069"/>
      <c r="RHH292" s="1069"/>
      <c r="RHI292" s="1069"/>
      <c r="RHJ292" s="1069"/>
      <c r="RHK292" s="1069"/>
      <c r="RHL292" s="1069"/>
      <c r="RHM292" s="1069"/>
      <c r="RHN292" s="1069"/>
      <c r="RHO292" s="1069"/>
      <c r="RHP292" s="1069"/>
      <c r="RHQ292" s="1069"/>
      <c r="RHR292" s="1069"/>
      <c r="RHS292" s="1069"/>
      <c r="RHT292" s="1069"/>
      <c r="RHU292" s="1069"/>
      <c r="RHV292" s="1069"/>
      <c r="RHW292" s="1069"/>
      <c r="RHX292" s="1069"/>
      <c r="RHY292" s="1069"/>
      <c r="RHZ292" s="1069"/>
      <c r="RIA292" s="1069"/>
      <c r="RIB292" s="1069"/>
      <c r="RIC292" s="1069"/>
      <c r="RID292" s="1069"/>
      <c r="RIE292" s="1069"/>
      <c r="RIF292" s="1069"/>
      <c r="RIG292" s="1069"/>
      <c r="RIH292" s="1069"/>
      <c r="RII292" s="1069"/>
      <c r="RIJ292" s="1069"/>
      <c r="RIK292" s="1069"/>
      <c r="RIL292" s="1069"/>
      <c r="RIM292" s="1069"/>
      <c r="RIN292" s="1069"/>
      <c r="RIO292" s="1069"/>
      <c r="RIP292" s="1069"/>
      <c r="RIQ292" s="1069"/>
      <c r="RIR292" s="1069"/>
      <c r="RIS292" s="1069"/>
      <c r="RIT292" s="1069"/>
      <c r="RIU292" s="1069"/>
      <c r="RIV292" s="1069"/>
      <c r="RIW292" s="1069"/>
      <c r="RIX292" s="1069"/>
      <c r="RIY292" s="1069"/>
      <c r="RIZ292" s="1069"/>
      <c r="RJA292" s="1069"/>
      <c r="RJB292" s="1069"/>
      <c r="RJC292" s="1069"/>
      <c r="RJD292" s="1069"/>
      <c r="RJE292" s="1069"/>
      <c r="RJF292" s="1069"/>
      <c r="RJG292" s="1069"/>
      <c r="RJH292" s="1069"/>
      <c r="RJI292" s="1069"/>
      <c r="RJJ292" s="1069"/>
      <c r="RJK292" s="1069"/>
      <c r="RJL292" s="1069"/>
      <c r="RJM292" s="1069"/>
      <c r="RJN292" s="1069"/>
      <c r="RJO292" s="1069"/>
      <c r="RJP292" s="1069"/>
      <c r="RJQ292" s="1069"/>
      <c r="RJR292" s="1069"/>
      <c r="RJS292" s="1069"/>
      <c r="RJT292" s="1069"/>
      <c r="RJU292" s="1069"/>
      <c r="RJV292" s="1069"/>
      <c r="RJW292" s="1069"/>
      <c r="RJX292" s="1069"/>
      <c r="RJY292" s="1069"/>
      <c r="RJZ292" s="1069"/>
      <c r="RKA292" s="1069"/>
      <c r="RKB292" s="1069"/>
      <c r="RKC292" s="1069"/>
      <c r="RKD292" s="1069"/>
      <c r="RKE292" s="1069"/>
      <c r="RKF292" s="1069"/>
      <c r="RKG292" s="1069"/>
      <c r="RKH292" s="1069"/>
      <c r="RKI292" s="1069"/>
      <c r="RKJ292" s="1069"/>
      <c r="RKK292" s="1069"/>
      <c r="RKL292" s="1069"/>
      <c r="RKM292" s="1069"/>
      <c r="RKN292" s="1069"/>
      <c r="RKO292" s="1069"/>
      <c r="RKP292" s="1069"/>
      <c r="RKQ292" s="1069"/>
      <c r="RKR292" s="1069"/>
      <c r="RKS292" s="1069"/>
      <c r="RKT292" s="1069"/>
      <c r="RKU292" s="1069"/>
      <c r="RKV292" s="1069"/>
      <c r="RKW292" s="1069"/>
      <c r="RKX292" s="1069"/>
      <c r="RKY292" s="1069"/>
      <c r="RKZ292" s="1069"/>
      <c r="RLA292" s="1069"/>
      <c r="RLB292" s="1069"/>
      <c r="RLC292" s="1069"/>
      <c r="RLD292" s="1069"/>
      <c r="RLE292" s="1069"/>
      <c r="RLF292" s="1069"/>
      <c r="RLG292" s="1069"/>
      <c r="RLH292" s="1069"/>
      <c r="RLI292" s="1069"/>
      <c r="RLJ292" s="1069"/>
      <c r="RLK292" s="1069"/>
      <c r="RLL292" s="1069"/>
      <c r="RLM292" s="1069"/>
      <c r="RLN292" s="1069"/>
      <c r="RLO292" s="1069"/>
      <c r="RLP292" s="1069"/>
      <c r="RLQ292" s="1069"/>
      <c r="RLR292" s="1069"/>
      <c r="RLS292" s="1069"/>
      <c r="RLT292" s="1069"/>
      <c r="RLU292" s="1069"/>
      <c r="RLV292" s="1069"/>
      <c r="RLW292" s="1069"/>
      <c r="RLX292" s="1069"/>
      <c r="RLY292" s="1069"/>
      <c r="RLZ292" s="1069"/>
      <c r="RMA292" s="1069"/>
      <c r="RMB292" s="1069"/>
      <c r="RMC292" s="1069"/>
      <c r="RMD292" s="1069"/>
      <c r="RME292" s="1069"/>
      <c r="RMF292" s="1069"/>
      <c r="RMG292" s="1069"/>
      <c r="RMH292" s="1069"/>
      <c r="RMI292" s="1069"/>
      <c r="RMJ292" s="1069"/>
      <c r="RMK292" s="1069"/>
      <c r="RML292" s="1069"/>
      <c r="RMM292" s="1069"/>
      <c r="RMN292" s="1069"/>
      <c r="RMO292" s="1069"/>
      <c r="RMP292" s="1069"/>
      <c r="RMQ292" s="1069"/>
      <c r="RMR292" s="1069"/>
      <c r="RMS292" s="1069"/>
      <c r="RMT292" s="1069"/>
      <c r="RMU292" s="1069"/>
      <c r="RMV292" s="1069"/>
      <c r="RMW292" s="1069"/>
      <c r="RMX292" s="1069"/>
      <c r="RMY292" s="1069"/>
      <c r="RMZ292" s="1069"/>
      <c r="RNA292" s="1069"/>
      <c r="RNB292" s="1069"/>
      <c r="RNC292" s="1069"/>
      <c r="RND292" s="1069"/>
      <c r="RNE292" s="1069"/>
      <c r="RNF292" s="1069"/>
      <c r="RNG292" s="1069"/>
      <c r="RNH292" s="1069"/>
      <c r="RNI292" s="1069"/>
      <c r="RNJ292" s="1069"/>
      <c r="RNK292" s="1069"/>
      <c r="RNL292" s="1069"/>
      <c r="RNM292" s="1069"/>
      <c r="RNN292" s="1069"/>
      <c r="RNO292" s="1069"/>
      <c r="RNP292" s="1069"/>
      <c r="RNQ292" s="1069"/>
      <c r="RNR292" s="1069"/>
      <c r="RNS292" s="1069"/>
      <c r="RNT292" s="1069"/>
      <c r="RNU292" s="1069"/>
      <c r="RNV292" s="1069"/>
      <c r="RNW292" s="1069"/>
      <c r="RNX292" s="1069"/>
      <c r="RNY292" s="1069"/>
      <c r="RNZ292" s="1069"/>
      <c r="ROA292" s="1069"/>
      <c r="ROB292" s="1069"/>
      <c r="ROC292" s="1069"/>
      <c r="ROD292" s="1069"/>
      <c r="ROE292" s="1069"/>
      <c r="ROF292" s="1069"/>
      <c r="ROG292" s="1069"/>
      <c r="ROH292" s="1069"/>
      <c r="ROI292" s="1069"/>
      <c r="ROJ292" s="1069"/>
      <c r="ROK292" s="1069"/>
      <c r="ROL292" s="1069"/>
      <c r="ROM292" s="1069"/>
      <c r="RON292" s="1069"/>
      <c r="ROO292" s="1069"/>
      <c r="ROP292" s="1069"/>
      <c r="ROQ292" s="1069"/>
      <c r="ROR292" s="1069"/>
      <c r="ROS292" s="1069"/>
      <c r="ROT292" s="1069"/>
      <c r="ROU292" s="1069"/>
      <c r="ROV292" s="1069"/>
      <c r="ROW292" s="1069"/>
      <c r="ROX292" s="1069"/>
      <c r="ROY292" s="1069"/>
      <c r="ROZ292" s="1069"/>
      <c r="RPA292" s="1069"/>
      <c r="RPB292" s="1069"/>
      <c r="RPC292" s="1069"/>
      <c r="RPD292" s="1069"/>
      <c r="RPE292" s="1069"/>
      <c r="RPF292" s="1069"/>
      <c r="RPG292" s="1069"/>
      <c r="RPH292" s="1069"/>
      <c r="RPI292" s="1069"/>
      <c r="RPJ292" s="1069"/>
      <c r="RPK292" s="1069"/>
      <c r="RPL292" s="1069"/>
      <c r="RPM292" s="1069"/>
      <c r="RPN292" s="1069"/>
      <c r="RPO292" s="1069"/>
      <c r="RPP292" s="1069"/>
      <c r="RPQ292" s="1069"/>
      <c r="RPR292" s="1069"/>
      <c r="RPS292" s="1069"/>
      <c r="RPT292" s="1069"/>
      <c r="RPU292" s="1069"/>
      <c r="RPV292" s="1069"/>
      <c r="RPW292" s="1069"/>
      <c r="RPX292" s="1069"/>
      <c r="RPY292" s="1069"/>
      <c r="RPZ292" s="1069"/>
      <c r="RQA292" s="1069"/>
      <c r="RQB292" s="1069"/>
      <c r="RQC292" s="1069"/>
      <c r="RQD292" s="1069"/>
      <c r="RQE292" s="1069"/>
      <c r="RQF292" s="1069"/>
      <c r="RQG292" s="1069"/>
      <c r="RQH292" s="1069"/>
      <c r="RQI292" s="1069"/>
      <c r="RQJ292" s="1069"/>
      <c r="RQK292" s="1069"/>
      <c r="RQL292" s="1069"/>
      <c r="RQM292" s="1069"/>
      <c r="RQN292" s="1069"/>
      <c r="RQO292" s="1069"/>
      <c r="RQP292" s="1069"/>
      <c r="RQQ292" s="1069"/>
      <c r="RQR292" s="1069"/>
      <c r="RQS292" s="1069"/>
      <c r="RQT292" s="1069"/>
      <c r="RQU292" s="1069"/>
      <c r="RQV292" s="1069"/>
      <c r="RQW292" s="1069"/>
      <c r="RQX292" s="1069"/>
      <c r="RQY292" s="1069"/>
      <c r="RQZ292" s="1069"/>
      <c r="RRA292" s="1069"/>
      <c r="RRB292" s="1069"/>
      <c r="RRC292" s="1069"/>
      <c r="RRD292" s="1069"/>
      <c r="RRE292" s="1069"/>
      <c r="RRF292" s="1069"/>
      <c r="RRG292" s="1069"/>
      <c r="RRH292" s="1069"/>
      <c r="RRI292" s="1069"/>
      <c r="RRJ292" s="1069"/>
      <c r="RRK292" s="1069"/>
      <c r="RRL292" s="1069"/>
      <c r="RRM292" s="1069"/>
      <c r="RRN292" s="1069"/>
      <c r="RRO292" s="1069"/>
      <c r="RRP292" s="1069"/>
      <c r="RRQ292" s="1069"/>
      <c r="RRR292" s="1069"/>
      <c r="RRS292" s="1069"/>
      <c r="RRT292" s="1069"/>
      <c r="RRU292" s="1069"/>
      <c r="RRV292" s="1069"/>
      <c r="RRW292" s="1069"/>
      <c r="RRX292" s="1069"/>
      <c r="RRY292" s="1069"/>
      <c r="RRZ292" s="1069"/>
      <c r="RSA292" s="1069"/>
      <c r="RSB292" s="1069"/>
      <c r="RSC292" s="1069"/>
      <c r="RSD292" s="1069"/>
      <c r="RSE292" s="1069"/>
      <c r="RSF292" s="1069"/>
      <c r="RSG292" s="1069"/>
      <c r="RSH292" s="1069"/>
      <c r="RSI292" s="1069"/>
      <c r="RSJ292" s="1069"/>
      <c r="RSK292" s="1069"/>
      <c r="RSL292" s="1069"/>
      <c r="RSM292" s="1069"/>
      <c r="RSN292" s="1069"/>
      <c r="RSO292" s="1069"/>
      <c r="RSP292" s="1069"/>
      <c r="RSQ292" s="1069"/>
      <c r="RSR292" s="1069"/>
      <c r="RSS292" s="1069"/>
      <c r="RST292" s="1069"/>
      <c r="RSU292" s="1069"/>
      <c r="RSV292" s="1069"/>
      <c r="RSW292" s="1069"/>
      <c r="RSX292" s="1069"/>
      <c r="RSY292" s="1069"/>
      <c r="RSZ292" s="1069"/>
      <c r="RTA292" s="1069"/>
      <c r="RTB292" s="1069"/>
      <c r="RTC292" s="1069"/>
      <c r="RTD292" s="1069"/>
      <c r="RTE292" s="1069"/>
      <c r="RTF292" s="1069"/>
      <c r="RTG292" s="1069"/>
      <c r="RTH292" s="1069"/>
      <c r="RTI292" s="1069"/>
      <c r="RTJ292" s="1069"/>
      <c r="RTK292" s="1069"/>
      <c r="RTL292" s="1069"/>
      <c r="RTM292" s="1069"/>
      <c r="RTN292" s="1069"/>
      <c r="RTO292" s="1069"/>
      <c r="RTP292" s="1069"/>
      <c r="RTQ292" s="1069"/>
      <c r="RTR292" s="1069"/>
      <c r="RTS292" s="1069"/>
      <c r="RTT292" s="1069"/>
      <c r="RTU292" s="1069"/>
      <c r="RTV292" s="1069"/>
      <c r="RTW292" s="1069"/>
      <c r="RTX292" s="1069"/>
      <c r="RTY292" s="1069"/>
      <c r="RTZ292" s="1069"/>
      <c r="RUA292" s="1069"/>
      <c r="RUB292" s="1069"/>
      <c r="RUC292" s="1069"/>
      <c r="RUD292" s="1069"/>
      <c r="RUE292" s="1069"/>
      <c r="RUF292" s="1069"/>
      <c r="RUG292" s="1069"/>
      <c r="RUH292" s="1069"/>
      <c r="RUI292" s="1069"/>
      <c r="RUJ292" s="1069"/>
      <c r="RUK292" s="1069"/>
      <c r="RUL292" s="1069"/>
      <c r="RUM292" s="1069"/>
      <c r="RUN292" s="1069"/>
      <c r="RUO292" s="1069"/>
      <c r="RUP292" s="1069"/>
      <c r="RUQ292" s="1069"/>
      <c r="RUR292" s="1069"/>
      <c r="RUS292" s="1069"/>
      <c r="RUT292" s="1069"/>
      <c r="RUU292" s="1069"/>
      <c r="RUV292" s="1069"/>
      <c r="RUW292" s="1069"/>
      <c r="RUX292" s="1069"/>
      <c r="RUY292" s="1069"/>
      <c r="RUZ292" s="1069"/>
      <c r="RVA292" s="1069"/>
      <c r="RVB292" s="1069"/>
      <c r="RVC292" s="1069"/>
      <c r="RVD292" s="1069"/>
      <c r="RVE292" s="1069"/>
      <c r="RVF292" s="1069"/>
      <c r="RVG292" s="1069"/>
      <c r="RVH292" s="1069"/>
      <c r="RVI292" s="1069"/>
      <c r="RVJ292" s="1069"/>
      <c r="RVK292" s="1069"/>
      <c r="RVL292" s="1069"/>
      <c r="RVM292" s="1069"/>
      <c r="RVN292" s="1069"/>
      <c r="RVO292" s="1069"/>
      <c r="RVP292" s="1069"/>
      <c r="RVQ292" s="1069"/>
      <c r="RVR292" s="1069"/>
      <c r="RVS292" s="1069"/>
      <c r="RVT292" s="1069"/>
      <c r="RVU292" s="1069"/>
      <c r="RVV292" s="1069"/>
      <c r="RVW292" s="1069"/>
      <c r="RVX292" s="1069"/>
      <c r="RVY292" s="1069"/>
      <c r="RVZ292" s="1069"/>
      <c r="RWA292" s="1069"/>
      <c r="RWB292" s="1069"/>
      <c r="RWC292" s="1069"/>
      <c r="RWD292" s="1069"/>
      <c r="RWE292" s="1069"/>
      <c r="RWF292" s="1069"/>
      <c r="RWG292" s="1069"/>
      <c r="RWH292" s="1069"/>
      <c r="RWI292" s="1069"/>
      <c r="RWJ292" s="1069"/>
      <c r="RWK292" s="1069"/>
      <c r="RWL292" s="1069"/>
      <c r="RWM292" s="1069"/>
      <c r="RWN292" s="1069"/>
      <c r="RWO292" s="1069"/>
      <c r="RWP292" s="1069"/>
      <c r="RWQ292" s="1069"/>
      <c r="RWR292" s="1069"/>
      <c r="RWS292" s="1069"/>
      <c r="RWT292" s="1069"/>
      <c r="RWU292" s="1069"/>
      <c r="RWV292" s="1069"/>
      <c r="RWW292" s="1069"/>
      <c r="RWX292" s="1069"/>
      <c r="RWY292" s="1069"/>
      <c r="RWZ292" s="1069"/>
      <c r="RXA292" s="1069"/>
      <c r="RXB292" s="1069"/>
      <c r="RXC292" s="1069"/>
      <c r="RXD292" s="1069"/>
      <c r="RXE292" s="1069"/>
      <c r="RXF292" s="1069"/>
      <c r="RXG292" s="1069"/>
      <c r="RXH292" s="1069"/>
      <c r="RXI292" s="1069"/>
      <c r="RXJ292" s="1069"/>
      <c r="RXK292" s="1069"/>
      <c r="RXL292" s="1069"/>
      <c r="RXM292" s="1069"/>
      <c r="RXN292" s="1069"/>
      <c r="RXO292" s="1069"/>
      <c r="RXP292" s="1069"/>
      <c r="RXQ292" s="1069"/>
      <c r="RXR292" s="1069"/>
      <c r="RXS292" s="1069"/>
      <c r="RXT292" s="1069"/>
      <c r="RXU292" s="1069"/>
      <c r="RXV292" s="1069"/>
      <c r="RXW292" s="1069"/>
      <c r="RXX292" s="1069"/>
      <c r="RXY292" s="1069"/>
      <c r="RXZ292" s="1069"/>
      <c r="RYA292" s="1069"/>
      <c r="RYB292" s="1069"/>
      <c r="RYC292" s="1069"/>
      <c r="RYD292" s="1069"/>
      <c r="RYE292" s="1069"/>
      <c r="RYF292" s="1069"/>
      <c r="RYG292" s="1069"/>
      <c r="RYH292" s="1069"/>
      <c r="RYI292" s="1069"/>
      <c r="RYJ292" s="1069"/>
      <c r="RYK292" s="1069"/>
      <c r="RYL292" s="1069"/>
      <c r="RYM292" s="1069"/>
      <c r="RYN292" s="1069"/>
      <c r="RYO292" s="1069"/>
      <c r="RYP292" s="1069"/>
      <c r="RYQ292" s="1069"/>
      <c r="RYR292" s="1069"/>
      <c r="RYS292" s="1069"/>
      <c r="RYT292" s="1069"/>
      <c r="RYU292" s="1069"/>
      <c r="RYV292" s="1069"/>
      <c r="RYW292" s="1069"/>
      <c r="RYX292" s="1069"/>
      <c r="RYY292" s="1069"/>
      <c r="RYZ292" s="1069"/>
      <c r="RZA292" s="1069"/>
      <c r="RZB292" s="1069"/>
      <c r="RZC292" s="1069"/>
      <c r="RZD292" s="1069"/>
      <c r="RZE292" s="1069"/>
      <c r="RZF292" s="1069"/>
      <c r="RZG292" s="1069"/>
      <c r="RZH292" s="1069"/>
      <c r="RZI292" s="1069"/>
      <c r="RZJ292" s="1069"/>
      <c r="RZK292" s="1069"/>
      <c r="RZL292" s="1069"/>
      <c r="RZM292" s="1069"/>
      <c r="RZN292" s="1069"/>
      <c r="RZO292" s="1069"/>
      <c r="RZP292" s="1069"/>
      <c r="RZQ292" s="1069"/>
      <c r="RZR292" s="1069"/>
      <c r="RZS292" s="1069"/>
      <c r="RZT292" s="1069"/>
      <c r="RZU292" s="1069"/>
      <c r="RZV292" s="1069"/>
      <c r="RZW292" s="1069"/>
      <c r="RZX292" s="1069"/>
      <c r="RZY292" s="1069"/>
      <c r="RZZ292" s="1069"/>
      <c r="SAA292" s="1069"/>
      <c r="SAB292" s="1069"/>
      <c r="SAC292" s="1069"/>
      <c r="SAD292" s="1069"/>
      <c r="SAE292" s="1069"/>
      <c r="SAF292" s="1069"/>
      <c r="SAG292" s="1069"/>
      <c r="SAH292" s="1069"/>
      <c r="SAI292" s="1069"/>
      <c r="SAJ292" s="1069"/>
      <c r="SAK292" s="1069"/>
      <c r="SAL292" s="1069"/>
      <c r="SAM292" s="1069"/>
      <c r="SAN292" s="1069"/>
      <c r="SAO292" s="1069"/>
      <c r="SAP292" s="1069"/>
      <c r="SAQ292" s="1069"/>
      <c r="SAR292" s="1069"/>
      <c r="SAS292" s="1069"/>
      <c r="SAT292" s="1069"/>
      <c r="SAU292" s="1069"/>
      <c r="SAV292" s="1069"/>
      <c r="SAW292" s="1069"/>
      <c r="SAX292" s="1069"/>
      <c r="SAY292" s="1069"/>
      <c r="SAZ292" s="1069"/>
      <c r="SBA292" s="1069"/>
      <c r="SBB292" s="1069"/>
      <c r="SBC292" s="1069"/>
      <c r="SBD292" s="1069"/>
      <c r="SBE292" s="1069"/>
      <c r="SBF292" s="1069"/>
      <c r="SBG292" s="1069"/>
      <c r="SBH292" s="1069"/>
      <c r="SBI292" s="1069"/>
      <c r="SBJ292" s="1069"/>
      <c r="SBK292" s="1069"/>
      <c r="SBL292" s="1069"/>
      <c r="SBM292" s="1069"/>
      <c r="SBN292" s="1069"/>
      <c r="SBO292" s="1069"/>
      <c r="SBP292" s="1069"/>
      <c r="SBQ292" s="1069"/>
      <c r="SBR292" s="1069"/>
      <c r="SBS292" s="1069"/>
      <c r="SBT292" s="1069"/>
      <c r="SBU292" s="1069"/>
      <c r="SBV292" s="1069"/>
      <c r="SBW292" s="1069"/>
      <c r="SBX292" s="1069"/>
      <c r="SBY292" s="1069"/>
      <c r="SBZ292" s="1069"/>
      <c r="SCA292" s="1069"/>
      <c r="SCB292" s="1069"/>
      <c r="SCC292" s="1069"/>
      <c r="SCD292" s="1069"/>
      <c r="SCE292" s="1069"/>
      <c r="SCF292" s="1069"/>
      <c r="SCG292" s="1069"/>
      <c r="SCH292" s="1069"/>
      <c r="SCI292" s="1069"/>
      <c r="SCJ292" s="1069"/>
      <c r="SCK292" s="1069"/>
      <c r="SCL292" s="1069"/>
      <c r="SCM292" s="1069"/>
      <c r="SCN292" s="1069"/>
      <c r="SCO292" s="1069"/>
      <c r="SCP292" s="1069"/>
      <c r="SCQ292" s="1069"/>
      <c r="SCR292" s="1069"/>
      <c r="SCS292" s="1069"/>
      <c r="SCT292" s="1069"/>
      <c r="SCU292" s="1069"/>
      <c r="SCV292" s="1069"/>
      <c r="SCW292" s="1069"/>
      <c r="SCX292" s="1069"/>
      <c r="SCY292" s="1069"/>
      <c r="SCZ292" s="1069"/>
      <c r="SDA292" s="1069"/>
      <c r="SDB292" s="1069"/>
      <c r="SDC292" s="1069"/>
      <c r="SDD292" s="1069"/>
      <c r="SDE292" s="1069"/>
      <c r="SDF292" s="1069"/>
      <c r="SDG292" s="1069"/>
      <c r="SDH292" s="1069"/>
      <c r="SDI292" s="1069"/>
      <c r="SDJ292" s="1069"/>
      <c r="SDK292" s="1069"/>
      <c r="SDL292" s="1069"/>
      <c r="SDM292" s="1069"/>
      <c r="SDN292" s="1069"/>
      <c r="SDO292" s="1069"/>
      <c r="SDP292" s="1069"/>
      <c r="SDQ292" s="1069"/>
      <c r="SDR292" s="1069"/>
      <c r="SDS292" s="1069"/>
      <c r="SDT292" s="1069"/>
      <c r="SDU292" s="1069"/>
      <c r="SDV292" s="1069"/>
      <c r="SDW292" s="1069"/>
      <c r="SDX292" s="1069"/>
      <c r="SDY292" s="1069"/>
      <c r="SDZ292" s="1069"/>
      <c r="SEA292" s="1069"/>
      <c r="SEB292" s="1069"/>
      <c r="SEC292" s="1069"/>
      <c r="SED292" s="1069"/>
      <c r="SEE292" s="1069"/>
      <c r="SEF292" s="1069"/>
      <c r="SEG292" s="1069"/>
      <c r="SEH292" s="1069"/>
      <c r="SEI292" s="1069"/>
      <c r="SEJ292" s="1069"/>
      <c r="SEK292" s="1069"/>
      <c r="SEL292" s="1069"/>
      <c r="SEM292" s="1069"/>
      <c r="SEN292" s="1069"/>
      <c r="SEO292" s="1069"/>
      <c r="SEP292" s="1069"/>
      <c r="SEQ292" s="1069"/>
      <c r="SER292" s="1069"/>
      <c r="SES292" s="1069"/>
      <c r="SET292" s="1069"/>
      <c r="SEU292" s="1069"/>
      <c r="SEV292" s="1069"/>
      <c r="SEW292" s="1069"/>
      <c r="SEX292" s="1069"/>
      <c r="SEY292" s="1069"/>
      <c r="SEZ292" s="1069"/>
      <c r="SFA292" s="1069"/>
      <c r="SFB292" s="1069"/>
      <c r="SFC292" s="1069"/>
      <c r="SFD292" s="1069"/>
      <c r="SFE292" s="1069"/>
      <c r="SFF292" s="1069"/>
      <c r="SFG292" s="1069"/>
      <c r="SFH292" s="1069"/>
      <c r="SFI292" s="1069"/>
      <c r="SFJ292" s="1069"/>
      <c r="SFK292" s="1069"/>
      <c r="SFL292" s="1069"/>
      <c r="SFM292" s="1069"/>
      <c r="SFN292" s="1069"/>
      <c r="SFO292" s="1069"/>
      <c r="SFP292" s="1069"/>
      <c r="SFQ292" s="1069"/>
      <c r="SFR292" s="1069"/>
      <c r="SFS292" s="1069"/>
      <c r="SFT292" s="1069"/>
      <c r="SFU292" s="1069"/>
      <c r="SFV292" s="1069"/>
      <c r="SFW292" s="1069"/>
      <c r="SFX292" s="1069"/>
      <c r="SFY292" s="1069"/>
      <c r="SFZ292" s="1069"/>
      <c r="SGA292" s="1069"/>
      <c r="SGB292" s="1069"/>
      <c r="SGC292" s="1069"/>
      <c r="SGD292" s="1069"/>
      <c r="SGE292" s="1069"/>
      <c r="SGF292" s="1069"/>
      <c r="SGG292" s="1069"/>
      <c r="SGH292" s="1069"/>
      <c r="SGI292" s="1069"/>
      <c r="SGJ292" s="1069"/>
      <c r="SGK292" s="1069"/>
      <c r="SGL292" s="1069"/>
      <c r="SGM292" s="1069"/>
      <c r="SGN292" s="1069"/>
      <c r="SGO292" s="1069"/>
      <c r="SGP292" s="1069"/>
      <c r="SGQ292" s="1069"/>
      <c r="SGR292" s="1069"/>
      <c r="SGS292" s="1069"/>
      <c r="SGT292" s="1069"/>
      <c r="SGU292" s="1069"/>
      <c r="SGV292" s="1069"/>
      <c r="SGW292" s="1069"/>
      <c r="SGX292" s="1069"/>
      <c r="SGY292" s="1069"/>
      <c r="SGZ292" s="1069"/>
      <c r="SHA292" s="1069"/>
      <c r="SHB292" s="1069"/>
      <c r="SHC292" s="1069"/>
      <c r="SHD292" s="1069"/>
      <c r="SHE292" s="1069"/>
      <c r="SHF292" s="1069"/>
      <c r="SHG292" s="1069"/>
      <c r="SHH292" s="1069"/>
      <c r="SHI292" s="1069"/>
      <c r="SHJ292" s="1069"/>
      <c r="SHK292" s="1069"/>
      <c r="SHL292" s="1069"/>
      <c r="SHM292" s="1069"/>
      <c r="SHN292" s="1069"/>
      <c r="SHO292" s="1069"/>
      <c r="SHP292" s="1069"/>
      <c r="SHQ292" s="1069"/>
      <c r="SHR292" s="1069"/>
      <c r="SHS292" s="1069"/>
      <c r="SHT292" s="1069"/>
      <c r="SHU292" s="1069"/>
      <c r="SHV292" s="1069"/>
      <c r="SHW292" s="1069"/>
      <c r="SHX292" s="1069"/>
      <c r="SHY292" s="1069"/>
      <c r="SHZ292" s="1069"/>
      <c r="SIA292" s="1069"/>
      <c r="SIB292" s="1069"/>
      <c r="SIC292" s="1069"/>
      <c r="SID292" s="1069"/>
      <c r="SIE292" s="1069"/>
      <c r="SIF292" s="1069"/>
      <c r="SIG292" s="1069"/>
      <c r="SIH292" s="1069"/>
      <c r="SII292" s="1069"/>
      <c r="SIJ292" s="1069"/>
      <c r="SIK292" s="1069"/>
      <c r="SIL292" s="1069"/>
      <c r="SIM292" s="1069"/>
      <c r="SIN292" s="1069"/>
      <c r="SIO292" s="1069"/>
      <c r="SIP292" s="1069"/>
      <c r="SIQ292" s="1069"/>
      <c r="SIR292" s="1069"/>
      <c r="SIS292" s="1069"/>
      <c r="SIT292" s="1069"/>
      <c r="SIU292" s="1069"/>
      <c r="SIV292" s="1069"/>
      <c r="SIW292" s="1069"/>
      <c r="SIX292" s="1069"/>
      <c r="SIY292" s="1069"/>
      <c r="SIZ292" s="1069"/>
      <c r="SJA292" s="1069"/>
      <c r="SJB292" s="1069"/>
      <c r="SJC292" s="1069"/>
      <c r="SJD292" s="1069"/>
      <c r="SJE292" s="1069"/>
      <c r="SJF292" s="1069"/>
      <c r="SJG292" s="1069"/>
      <c r="SJH292" s="1069"/>
      <c r="SJI292" s="1069"/>
      <c r="SJJ292" s="1069"/>
      <c r="SJK292" s="1069"/>
      <c r="SJL292" s="1069"/>
      <c r="SJM292" s="1069"/>
      <c r="SJN292" s="1069"/>
      <c r="SJO292" s="1069"/>
      <c r="SJP292" s="1069"/>
      <c r="SJQ292" s="1069"/>
      <c r="SJR292" s="1069"/>
      <c r="SJS292" s="1069"/>
      <c r="SJT292" s="1069"/>
      <c r="SJU292" s="1069"/>
      <c r="SJV292" s="1069"/>
      <c r="SJW292" s="1069"/>
      <c r="SJX292" s="1069"/>
      <c r="SJY292" s="1069"/>
      <c r="SJZ292" s="1069"/>
      <c r="SKA292" s="1069"/>
      <c r="SKB292" s="1069"/>
      <c r="SKC292" s="1069"/>
      <c r="SKD292" s="1069"/>
      <c r="SKE292" s="1069"/>
      <c r="SKF292" s="1069"/>
      <c r="SKG292" s="1069"/>
      <c r="SKH292" s="1069"/>
      <c r="SKI292" s="1069"/>
      <c r="SKJ292" s="1069"/>
      <c r="SKK292" s="1069"/>
      <c r="SKL292" s="1069"/>
      <c r="SKM292" s="1069"/>
      <c r="SKN292" s="1069"/>
      <c r="SKO292" s="1069"/>
      <c r="SKP292" s="1069"/>
      <c r="SKQ292" s="1069"/>
      <c r="SKR292" s="1069"/>
      <c r="SKS292" s="1069"/>
      <c r="SKT292" s="1069"/>
      <c r="SKU292" s="1069"/>
      <c r="SKV292" s="1069"/>
      <c r="SKW292" s="1069"/>
      <c r="SKX292" s="1069"/>
      <c r="SKY292" s="1069"/>
      <c r="SKZ292" s="1069"/>
      <c r="SLA292" s="1069"/>
      <c r="SLB292" s="1069"/>
      <c r="SLC292" s="1069"/>
      <c r="SLD292" s="1069"/>
      <c r="SLE292" s="1069"/>
      <c r="SLF292" s="1069"/>
      <c r="SLG292" s="1069"/>
      <c r="SLH292" s="1069"/>
      <c r="SLI292" s="1069"/>
      <c r="SLJ292" s="1069"/>
      <c r="SLK292" s="1069"/>
      <c r="SLL292" s="1069"/>
      <c r="SLM292" s="1069"/>
      <c r="SLN292" s="1069"/>
      <c r="SLO292" s="1069"/>
      <c r="SLP292" s="1069"/>
      <c r="SLQ292" s="1069"/>
      <c r="SLR292" s="1069"/>
      <c r="SLS292" s="1069"/>
      <c r="SLT292" s="1069"/>
      <c r="SLU292" s="1069"/>
      <c r="SLV292" s="1069"/>
      <c r="SLW292" s="1069"/>
      <c r="SLX292" s="1069"/>
      <c r="SLY292" s="1069"/>
      <c r="SLZ292" s="1069"/>
      <c r="SMA292" s="1069"/>
      <c r="SMB292" s="1069"/>
      <c r="SMC292" s="1069"/>
      <c r="SMD292" s="1069"/>
      <c r="SME292" s="1069"/>
      <c r="SMF292" s="1069"/>
      <c r="SMG292" s="1069"/>
      <c r="SMH292" s="1069"/>
      <c r="SMI292" s="1069"/>
      <c r="SMJ292" s="1069"/>
      <c r="SMK292" s="1069"/>
      <c r="SML292" s="1069"/>
      <c r="SMM292" s="1069"/>
      <c r="SMN292" s="1069"/>
      <c r="SMO292" s="1069"/>
      <c r="SMP292" s="1069"/>
      <c r="SMQ292" s="1069"/>
      <c r="SMR292" s="1069"/>
      <c r="SMS292" s="1069"/>
      <c r="SMT292" s="1069"/>
      <c r="SMU292" s="1069"/>
      <c r="SMV292" s="1069"/>
      <c r="SMW292" s="1069"/>
      <c r="SMX292" s="1069"/>
      <c r="SMY292" s="1069"/>
      <c r="SMZ292" s="1069"/>
      <c r="SNA292" s="1069"/>
      <c r="SNB292" s="1069"/>
      <c r="SNC292" s="1069"/>
      <c r="SND292" s="1069"/>
      <c r="SNE292" s="1069"/>
      <c r="SNF292" s="1069"/>
      <c r="SNG292" s="1069"/>
      <c r="SNH292" s="1069"/>
      <c r="SNI292" s="1069"/>
      <c r="SNJ292" s="1069"/>
      <c r="SNK292" s="1069"/>
      <c r="SNL292" s="1069"/>
      <c r="SNM292" s="1069"/>
      <c r="SNN292" s="1069"/>
      <c r="SNO292" s="1069"/>
      <c r="SNP292" s="1069"/>
      <c r="SNQ292" s="1069"/>
      <c r="SNR292" s="1069"/>
      <c r="SNS292" s="1069"/>
      <c r="SNT292" s="1069"/>
      <c r="SNU292" s="1069"/>
      <c r="SNV292" s="1069"/>
      <c r="SNW292" s="1069"/>
      <c r="SNX292" s="1069"/>
      <c r="SNY292" s="1069"/>
      <c r="SNZ292" s="1069"/>
      <c r="SOA292" s="1069"/>
      <c r="SOB292" s="1069"/>
      <c r="SOC292" s="1069"/>
      <c r="SOD292" s="1069"/>
      <c r="SOE292" s="1069"/>
      <c r="SOF292" s="1069"/>
      <c r="SOG292" s="1069"/>
      <c r="SOH292" s="1069"/>
      <c r="SOI292" s="1069"/>
      <c r="SOJ292" s="1069"/>
      <c r="SOK292" s="1069"/>
      <c r="SOL292" s="1069"/>
      <c r="SOM292" s="1069"/>
      <c r="SON292" s="1069"/>
      <c r="SOO292" s="1069"/>
      <c r="SOP292" s="1069"/>
      <c r="SOQ292" s="1069"/>
      <c r="SOR292" s="1069"/>
      <c r="SOS292" s="1069"/>
      <c r="SOT292" s="1069"/>
      <c r="SOU292" s="1069"/>
      <c r="SOV292" s="1069"/>
      <c r="SOW292" s="1069"/>
      <c r="SOX292" s="1069"/>
      <c r="SOY292" s="1069"/>
      <c r="SOZ292" s="1069"/>
      <c r="SPA292" s="1069"/>
      <c r="SPB292" s="1069"/>
      <c r="SPC292" s="1069"/>
      <c r="SPD292" s="1069"/>
      <c r="SPE292" s="1069"/>
      <c r="SPF292" s="1069"/>
      <c r="SPG292" s="1069"/>
      <c r="SPH292" s="1069"/>
      <c r="SPI292" s="1069"/>
      <c r="SPJ292" s="1069"/>
      <c r="SPK292" s="1069"/>
      <c r="SPL292" s="1069"/>
      <c r="SPM292" s="1069"/>
      <c r="SPN292" s="1069"/>
      <c r="SPO292" s="1069"/>
      <c r="SPP292" s="1069"/>
      <c r="SPQ292" s="1069"/>
      <c r="SPR292" s="1069"/>
      <c r="SPS292" s="1069"/>
      <c r="SPT292" s="1069"/>
      <c r="SPU292" s="1069"/>
      <c r="SPV292" s="1069"/>
      <c r="SPW292" s="1069"/>
      <c r="SPX292" s="1069"/>
      <c r="SPY292" s="1069"/>
      <c r="SPZ292" s="1069"/>
      <c r="SQA292" s="1069"/>
      <c r="SQB292" s="1069"/>
      <c r="SQC292" s="1069"/>
      <c r="SQD292" s="1069"/>
      <c r="SQE292" s="1069"/>
      <c r="SQF292" s="1069"/>
      <c r="SQG292" s="1069"/>
      <c r="SQH292" s="1069"/>
      <c r="SQI292" s="1069"/>
      <c r="SQJ292" s="1069"/>
      <c r="SQK292" s="1069"/>
      <c r="SQL292" s="1069"/>
      <c r="SQM292" s="1069"/>
      <c r="SQN292" s="1069"/>
      <c r="SQO292" s="1069"/>
      <c r="SQP292" s="1069"/>
      <c r="SQQ292" s="1069"/>
      <c r="SQR292" s="1069"/>
      <c r="SQS292" s="1069"/>
      <c r="SQT292" s="1069"/>
      <c r="SQU292" s="1069"/>
      <c r="SQV292" s="1069"/>
      <c r="SQW292" s="1069"/>
      <c r="SQX292" s="1069"/>
      <c r="SQY292" s="1069"/>
      <c r="SQZ292" s="1069"/>
      <c r="SRA292" s="1069"/>
      <c r="SRB292" s="1069"/>
      <c r="SRC292" s="1069"/>
      <c r="SRD292" s="1069"/>
      <c r="SRE292" s="1069"/>
      <c r="SRF292" s="1069"/>
      <c r="SRG292" s="1069"/>
      <c r="SRH292" s="1069"/>
      <c r="SRI292" s="1069"/>
      <c r="SRJ292" s="1069"/>
      <c r="SRK292" s="1069"/>
      <c r="SRL292" s="1069"/>
      <c r="SRM292" s="1069"/>
      <c r="SRN292" s="1069"/>
      <c r="SRO292" s="1069"/>
      <c r="SRP292" s="1069"/>
      <c r="SRQ292" s="1069"/>
      <c r="SRR292" s="1069"/>
      <c r="SRS292" s="1069"/>
      <c r="SRT292" s="1069"/>
      <c r="SRU292" s="1069"/>
      <c r="SRV292" s="1069"/>
      <c r="SRW292" s="1069"/>
      <c r="SRX292" s="1069"/>
      <c r="SRY292" s="1069"/>
      <c r="SRZ292" s="1069"/>
      <c r="SSA292" s="1069"/>
      <c r="SSB292" s="1069"/>
      <c r="SSC292" s="1069"/>
      <c r="SSD292" s="1069"/>
      <c r="SSE292" s="1069"/>
      <c r="SSF292" s="1069"/>
      <c r="SSG292" s="1069"/>
      <c r="SSH292" s="1069"/>
      <c r="SSI292" s="1069"/>
      <c r="SSJ292" s="1069"/>
      <c r="SSK292" s="1069"/>
      <c r="SSL292" s="1069"/>
      <c r="SSM292" s="1069"/>
      <c r="SSN292" s="1069"/>
      <c r="SSO292" s="1069"/>
      <c r="SSP292" s="1069"/>
      <c r="SSQ292" s="1069"/>
      <c r="SSR292" s="1069"/>
      <c r="SSS292" s="1069"/>
      <c r="SST292" s="1069"/>
      <c r="SSU292" s="1069"/>
      <c r="SSV292" s="1069"/>
      <c r="SSW292" s="1069"/>
      <c r="SSX292" s="1069"/>
      <c r="SSY292" s="1069"/>
      <c r="SSZ292" s="1069"/>
      <c r="STA292" s="1069"/>
      <c r="STB292" s="1069"/>
      <c r="STC292" s="1069"/>
      <c r="STD292" s="1069"/>
      <c r="STE292" s="1069"/>
      <c r="STF292" s="1069"/>
      <c r="STG292" s="1069"/>
      <c r="STH292" s="1069"/>
      <c r="STI292" s="1069"/>
      <c r="STJ292" s="1069"/>
      <c r="STK292" s="1069"/>
      <c r="STL292" s="1069"/>
      <c r="STM292" s="1069"/>
      <c r="STN292" s="1069"/>
      <c r="STO292" s="1069"/>
      <c r="STP292" s="1069"/>
      <c r="STQ292" s="1069"/>
      <c r="STR292" s="1069"/>
      <c r="STS292" s="1069"/>
      <c r="STT292" s="1069"/>
      <c r="STU292" s="1069"/>
      <c r="STV292" s="1069"/>
      <c r="STW292" s="1069"/>
      <c r="STX292" s="1069"/>
      <c r="STY292" s="1069"/>
      <c r="STZ292" s="1069"/>
      <c r="SUA292" s="1069"/>
      <c r="SUB292" s="1069"/>
      <c r="SUC292" s="1069"/>
      <c r="SUD292" s="1069"/>
      <c r="SUE292" s="1069"/>
      <c r="SUF292" s="1069"/>
      <c r="SUG292" s="1069"/>
      <c r="SUH292" s="1069"/>
      <c r="SUI292" s="1069"/>
      <c r="SUJ292" s="1069"/>
      <c r="SUK292" s="1069"/>
      <c r="SUL292" s="1069"/>
      <c r="SUM292" s="1069"/>
      <c r="SUN292" s="1069"/>
      <c r="SUO292" s="1069"/>
      <c r="SUP292" s="1069"/>
      <c r="SUQ292" s="1069"/>
      <c r="SUR292" s="1069"/>
      <c r="SUS292" s="1069"/>
      <c r="SUT292" s="1069"/>
      <c r="SUU292" s="1069"/>
      <c r="SUV292" s="1069"/>
      <c r="SUW292" s="1069"/>
      <c r="SUX292" s="1069"/>
      <c r="SUY292" s="1069"/>
      <c r="SUZ292" s="1069"/>
      <c r="SVA292" s="1069"/>
      <c r="SVB292" s="1069"/>
      <c r="SVC292" s="1069"/>
      <c r="SVD292" s="1069"/>
      <c r="SVE292" s="1069"/>
      <c r="SVF292" s="1069"/>
      <c r="SVG292" s="1069"/>
      <c r="SVH292" s="1069"/>
      <c r="SVI292" s="1069"/>
      <c r="SVJ292" s="1069"/>
      <c r="SVK292" s="1069"/>
      <c r="SVL292" s="1069"/>
      <c r="SVM292" s="1069"/>
      <c r="SVN292" s="1069"/>
      <c r="SVO292" s="1069"/>
      <c r="SVP292" s="1069"/>
      <c r="SVQ292" s="1069"/>
      <c r="SVR292" s="1069"/>
      <c r="SVS292" s="1069"/>
      <c r="SVT292" s="1069"/>
      <c r="SVU292" s="1069"/>
      <c r="SVV292" s="1069"/>
      <c r="SVW292" s="1069"/>
      <c r="SVX292" s="1069"/>
      <c r="SVY292" s="1069"/>
      <c r="SVZ292" s="1069"/>
      <c r="SWA292" s="1069"/>
      <c r="SWB292" s="1069"/>
      <c r="SWC292" s="1069"/>
      <c r="SWD292" s="1069"/>
      <c r="SWE292" s="1069"/>
      <c r="SWF292" s="1069"/>
      <c r="SWG292" s="1069"/>
      <c r="SWH292" s="1069"/>
      <c r="SWI292" s="1069"/>
      <c r="SWJ292" s="1069"/>
      <c r="SWK292" s="1069"/>
      <c r="SWL292" s="1069"/>
      <c r="SWM292" s="1069"/>
      <c r="SWN292" s="1069"/>
      <c r="SWO292" s="1069"/>
      <c r="SWP292" s="1069"/>
      <c r="SWQ292" s="1069"/>
      <c r="SWR292" s="1069"/>
      <c r="SWS292" s="1069"/>
      <c r="SWT292" s="1069"/>
      <c r="SWU292" s="1069"/>
      <c r="SWV292" s="1069"/>
      <c r="SWW292" s="1069"/>
      <c r="SWX292" s="1069"/>
      <c r="SWY292" s="1069"/>
      <c r="SWZ292" s="1069"/>
      <c r="SXA292" s="1069"/>
      <c r="SXB292" s="1069"/>
      <c r="SXC292" s="1069"/>
      <c r="SXD292" s="1069"/>
      <c r="SXE292" s="1069"/>
      <c r="SXF292" s="1069"/>
      <c r="SXG292" s="1069"/>
      <c r="SXH292" s="1069"/>
      <c r="SXI292" s="1069"/>
      <c r="SXJ292" s="1069"/>
      <c r="SXK292" s="1069"/>
      <c r="SXL292" s="1069"/>
      <c r="SXM292" s="1069"/>
      <c r="SXN292" s="1069"/>
      <c r="SXO292" s="1069"/>
      <c r="SXP292" s="1069"/>
      <c r="SXQ292" s="1069"/>
      <c r="SXR292" s="1069"/>
      <c r="SXS292" s="1069"/>
      <c r="SXT292" s="1069"/>
      <c r="SXU292" s="1069"/>
      <c r="SXV292" s="1069"/>
      <c r="SXW292" s="1069"/>
      <c r="SXX292" s="1069"/>
      <c r="SXY292" s="1069"/>
      <c r="SXZ292" s="1069"/>
      <c r="SYA292" s="1069"/>
      <c r="SYB292" s="1069"/>
      <c r="SYC292" s="1069"/>
      <c r="SYD292" s="1069"/>
      <c r="SYE292" s="1069"/>
      <c r="SYF292" s="1069"/>
      <c r="SYG292" s="1069"/>
      <c r="SYH292" s="1069"/>
      <c r="SYI292" s="1069"/>
      <c r="SYJ292" s="1069"/>
      <c r="SYK292" s="1069"/>
      <c r="SYL292" s="1069"/>
      <c r="SYM292" s="1069"/>
      <c r="SYN292" s="1069"/>
      <c r="SYO292" s="1069"/>
      <c r="SYP292" s="1069"/>
      <c r="SYQ292" s="1069"/>
      <c r="SYR292" s="1069"/>
      <c r="SYS292" s="1069"/>
      <c r="SYT292" s="1069"/>
      <c r="SYU292" s="1069"/>
      <c r="SYV292" s="1069"/>
      <c r="SYW292" s="1069"/>
      <c r="SYX292" s="1069"/>
      <c r="SYY292" s="1069"/>
      <c r="SYZ292" s="1069"/>
      <c r="SZA292" s="1069"/>
      <c r="SZB292" s="1069"/>
      <c r="SZC292" s="1069"/>
      <c r="SZD292" s="1069"/>
      <c r="SZE292" s="1069"/>
      <c r="SZF292" s="1069"/>
      <c r="SZG292" s="1069"/>
      <c r="SZH292" s="1069"/>
      <c r="SZI292" s="1069"/>
      <c r="SZJ292" s="1069"/>
      <c r="SZK292" s="1069"/>
      <c r="SZL292" s="1069"/>
      <c r="SZM292" s="1069"/>
      <c r="SZN292" s="1069"/>
      <c r="SZO292" s="1069"/>
      <c r="SZP292" s="1069"/>
      <c r="SZQ292" s="1069"/>
      <c r="SZR292" s="1069"/>
      <c r="SZS292" s="1069"/>
      <c r="SZT292" s="1069"/>
      <c r="SZU292" s="1069"/>
      <c r="SZV292" s="1069"/>
      <c r="SZW292" s="1069"/>
      <c r="SZX292" s="1069"/>
      <c r="SZY292" s="1069"/>
      <c r="SZZ292" s="1069"/>
      <c r="TAA292" s="1069"/>
      <c r="TAB292" s="1069"/>
      <c r="TAC292" s="1069"/>
      <c r="TAD292" s="1069"/>
      <c r="TAE292" s="1069"/>
      <c r="TAF292" s="1069"/>
      <c r="TAG292" s="1069"/>
      <c r="TAH292" s="1069"/>
      <c r="TAI292" s="1069"/>
      <c r="TAJ292" s="1069"/>
      <c r="TAK292" s="1069"/>
      <c r="TAL292" s="1069"/>
      <c r="TAM292" s="1069"/>
      <c r="TAN292" s="1069"/>
      <c r="TAO292" s="1069"/>
      <c r="TAP292" s="1069"/>
      <c r="TAQ292" s="1069"/>
      <c r="TAR292" s="1069"/>
      <c r="TAS292" s="1069"/>
      <c r="TAT292" s="1069"/>
      <c r="TAU292" s="1069"/>
      <c r="TAV292" s="1069"/>
      <c r="TAW292" s="1069"/>
      <c r="TAX292" s="1069"/>
      <c r="TAY292" s="1069"/>
      <c r="TAZ292" s="1069"/>
      <c r="TBA292" s="1069"/>
      <c r="TBB292" s="1069"/>
      <c r="TBC292" s="1069"/>
      <c r="TBD292" s="1069"/>
      <c r="TBE292" s="1069"/>
      <c r="TBF292" s="1069"/>
      <c r="TBG292" s="1069"/>
      <c r="TBH292" s="1069"/>
      <c r="TBI292" s="1069"/>
      <c r="TBJ292" s="1069"/>
      <c r="TBK292" s="1069"/>
      <c r="TBL292" s="1069"/>
      <c r="TBM292" s="1069"/>
      <c r="TBN292" s="1069"/>
      <c r="TBO292" s="1069"/>
      <c r="TBP292" s="1069"/>
      <c r="TBQ292" s="1069"/>
      <c r="TBR292" s="1069"/>
      <c r="TBS292" s="1069"/>
      <c r="TBT292" s="1069"/>
      <c r="TBU292" s="1069"/>
      <c r="TBV292" s="1069"/>
      <c r="TBW292" s="1069"/>
      <c r="TBX292" s="1069"/>
      <c r="TBY292" s="1069"/>
      <c r="TBZ292" s="1069"/>
      <c r="TCA292" s="1069"/>
      <c r="TCB292" s="1069"/>
      <c r="TCC292" s="1069"/>
      <c r="TCD292" s="1069"/>
      <c r="TCE292" s="1069"/>
      <c r="TCF292" s="1069"/>
      <c r="TCG292" s="1069"/>
      <c r="TCH292" s="1069"/>
      <c r="TCI292" s="1069"/>
      <c r="TCJ292" s="1069"/>
      <c r="TCK292" s="1069"/>
      <c r="TCL292" s="1069"/>
      <c r="TCM292" s="1069"/>
      <c r="TCN292" s="1069"/>
      <c r="TCO292" s="1069"/>
      <c r="TCP292" s="1069"/>
      <c r="TCQ292" s="1069"/>
      <c r="TCR292" s="1069"/>
      <c r="TCS292" s="1069"/>
      <c r="TCT292" s="1069"/>
      <c r="TCU292" s="1069"/>
      <c r="TCV292" s="1069"/>
      <c r="TCW292" s="1069"/>
      <c r="TCX292" s="1069"/>
      <c r="TCY292" s="1069"/>
      <c r="TCZ292" s="1069"/>
      <c r="TDA292" s="1069"/>
      <c r="TDB292" s="1069"/>
      <c r="TDC292" s="1069"/>
      <c r="TDD292" s="1069"/>
      <c r="TDE292" s="1069"/>
      <c r="TDF292" s="1069"/>
      <c r="TDG292" s="1069"/>
      <c r="TDH292" s="1069"/>
      <c r="TDI292" s="1069"/>
      <c r="TDJ292" s="1069"/>
      <c r="TDK292" s="1069"/>
      <c r="TDL292" s="1069"/>
      <c r="TDM292" s="1069"/>
      <c r="TDN292" s="1069"/>
      <c r="TDO292" s="1069"/>
      <c r="TDP292" s="1069"/>
      <c r="TDQ292" s="1069"/>
      <c r="TDR292" s="1069"/>
      <c r="TDS292" s="1069"/>
      <c r="TDT292" s="1069"/>
      <c r="TDU292" s="1069"/>
      <c r="TDV292" s="1069"/>
      <c r="TDW292" s="1069"/>
      <c r="TDX292" s="1069"/>
      <c r="TDY292" s="1069"/>
      <c r="TDZ292" s="1069"/>
      <c r="TEA292" s="1069"/>
      <c r="TEB292" s="1069"/>
      <c r="TEC292" s="1069"/>
      <c r="TED292" s="1069"/>
      <c r="TEE292" s="1069"/>
      <c r="TEF292" s="1069"/>
      <c r="TEG292" s="1069"/>
      <c r="TEH292" s="1069"/>
      <c r="TEI292" s="1069"/>
      <c r="TEJ292" s="1069"/>
      <c r="TEK292" s="1069"/>
      <c r="TEL292" s="1069"/>
      <c r="TEM292" s="1069"/>
      <c r="TEN292" s="1069"/>
      <c r="TEO292" s="1069"/>
      <c r="TEP292" s="1069"/>
      <c r="TEQ292" s="1069"/>
      <c r="TER292" s="1069"/>
      <c r="TES292" s="1069"/>
      <c r="TET292" s="1069"/>
      <c r="TEU292" s="1069"/>
      <c r="TEV292" s="1069"/>
      <c r="TEW292" s="1069"/>
      <c r="TEX292" s="1069"/>
      <c r="TEY292" s="1069"/>
      <c r="TEZ292" s="1069"/>
      <c r="TFA292" s="1069"/>
      <c r="TFB292" s="1069"/>
      <c r="TFC292" s="1069"/>
      <c r="TFD292" s="1069"/>
      <c r="TFE292" s="1069"/>
      <c r="TFF292" s="1069"/>
      <c r="TFG292" s="1069"/>
      <c r="TFH292" s="1069"/>
      <c r="TFI292" s="1069"/>
      <c r="TFJ292" s="1069"/>
      <c r="TFK292" s="1069"/>
      <c r="TFL292" s="1069"/>
      <c r="TFM292" s="1069"/>
      <c r="TFN292" s="1069"/>
      <c r="TFO292" s="1069"/>
      <c r="TFP292" s="1069"/>
      <c r="TFQ292" s="1069"/>
      <c r="TFR292" s="1069"/>
      <c r="TFS292" s="1069"/>
      <c r="TFT292" s="1069"/>
      <c r="TFU292" s="1069"/>
      <c r="TFV292" s="1069"/>
      <c r="TFW292" s="1069"/>
      <c r="TFX292" s="1069"/>
      <c r="TFY292" s="1069"/>
      <c r="TFZ292" s="1069"/>
      <c r="TGA292" s="1069"/>
      <c r="TGB292" s="1069"/>
      <c r="TGC292" s="1069"/>
      <c r="TGD292" s="1069"/>
      <c r="TGE292" s="1069"/>
      <c r="TGF292" s="1069"/>
      <c r="TGG292" s="1069"/>
      <c r="TGH292" s="1069"/>
      <c r="TGI292" s="1069"/>
      <c r="TGJ292" s="1069"/>
      <c r="TGK292" s="1069"/>
      <c r="TGL292" s="1069"/>
      <c r="TGM292" s="1069"/>
      <c r="TGN292" s="1069"/>
      <c r="TGO292" s="1069"/>
      <c r="TGP292" s="1069"/>
      <c r="TGQ292" s="1069"/>
      <c r="TGR292" s="1069"/>
      <c r="TGS292" s="1069"/>
      <c r="TGT292" s="1069"/>
      <c r="TGU292" s="1069"/>
      <c r="TGV292" s="1069"/>
      <c r="TGW292" s="1069"/>
      <c r="TGX292" s="1069"/>
      <c r="TGY292" s="1069"/>
      <c r="TGZ292" s="1069"/>
      <c r="THA292" s="1069"/>
      <c r="THB292" s="1069"/>
      <c r="THC292" s="1069"/>
      <c r="THD292" s="1069"/>
      <c r="THE292" s="1069"/>
      <c r="THF292" s="1069"/>
      <c r="THG292" s="1069"/>
      <c r="THH292" s="1069"/>
      <c r="THI292" s="1069"/>
      <c r="THJ292" s="1069"/>
      <c r="THK292" s="1069"/>
      <c r="THL292" s="1069"/>
      <c r="THM292" s="1069"/>
      <c r="THN292" s="1069"/>
      <c r="THO292" s="1069"/>
      <c r="THP292" s="1069"/>
      <c r="THQ292" s="1069"/>
      <c r="THR292" s="1069"/>
      <c r="THS292" s="1069"/>
      <c r="THT292" s="1069"/>
      <c r="THU292" s="1069"/>
      <c r="THV292" s="1069"/>
      <c r="THW292" s="1069"/>
      <c r="THX292" s="1069"/>
      <c r="THY292" s="1069"/>
      <c r="THZ292" s="1069"/>
      <c r="TIA292" s="1069"/>
      <c r="TIB292" s="1069"/>
      <c r="TIC292" s="1069"/>
      <c r="TID292" s="1069"/>
      <c r="TIE292" s="1069"/>
      <c r="TIF292" s="1069"/>
      <c r="TIG292" s="1069"/>
      <c r="TIH292" s="1069"/>
      <c r="TII292" s="1069"/>
      <c r="TIJ292" s="1069"/>
      <c r="TIK292" s="1069"/>
      <c r="TIL292" s="1069"/>
      <c r="TIM292" s="1069"/>
      <c r="TIN292" s="1069"/>
      <c r="TIO292" s="1069"/>
      <c r="TIP292" s="1069"/>
      <c r="TIQ292" s="1069"/>
      <c r="TIR292" s="1069"/>
      <c r="TIS292" s="1069"/>
      <c r="TIT292" s="1069"/>
      <c r="TIU292" s="1069"/>
      <c r="TIV292" s="1069"/>
      <c r="TIW292" s="1069"/>
      <c r="TIX292" s="1069"/>
      <c r="TIY292" s="1069"/>
      <c r="TIZ292" s="1069"/>
      <c r="TJA292" s="1069"/>
      <c r="TJB292" s="1069"/>
      <c r="TJC292" s="1069"/>
      <c r="TJD292" s="1069"/>
      <c r="TJE292" s="1069"/>
      <c r="TJF292" s="1069"/>
      <c r="TJG292" s="1069"/>
      <c r="TJH292" s="1069"/>
      <c r="TJI292" s="1069"/>
      <c r="TJJ292" s="1069"/>
      <c r="TJK292" s="1069"/>
      <c r="TJL292" s="1069"/>
      <c r="TJM292" s="1069"/>
      <c r="TJN292" s="1069"/>
      <c r="TJO292" s="1069"/>
      <c r="TJP292" s="1069"/>
      <c r="TJQ292" s="1069"/>
      <c r="TJR292" s="1069"/>
      <c r="TJS292" s="1069"/>
      <c r="TJT292" s="1069"/>
      <c r="TJU292" s="1069"/>
      <c r="TJV292" s="1069"/>
      <c r="TJW292" s="1069"/>
      <c r="TJX292" s="1069"/>
      <c r="TJY292" s="1069"/>
      <c r="TJZ292" s="1069"/>
      <c r="TKA292" s="1069"/>
      <c r="TKB292" s="1069"/>
      <c r="TKC292" s="1069"/>
      <c r="TKD292" s="1069"/>
      <c r="TKE292" s="1069"/>
      <c r="TKF292" s="1069"/>
      <c r="TKG292" s="1069"/>
      <c r="TKH292" s="1069"/>
      <c r="TKI292" s="1069"/>
      <c r="TKJ292" s="1069"/>
      <c r="TKK292" s="1069"/>
      <c r="TKL292" s="1069"/>
      <c r="TKM292" s="1069"/>
      <c r="TKN292" s="1069"/>
      <c r="TKO292" s="1069"/>
      <c r="TKP292" s="1069"/>
      <c r="TKQ292" s="1069"/>
      <c r="TKR292" s="1069"/>
      <c r="TKS292" s="1069"/>
      <c r="TKT292" s="1069"/>
      <c r="TKU292" s="1069"/>
      <c r="TKV292" s="1069"/>
      <c r="TKW292" s="1069"/>
      <c r="TKX292" s="1069"/>
      <c r="TKY292" s="1069"/>
      <c r="TKZ292" s="1069"/>
      <c r="TLA292" s="1069"/>
      <c r="TLB292" s="1069"/>
      <c r="TLC292" s="1069"/>
      <c r="TLD292" s="1069"/>
      <c r="TLE292" s="1069"/>
      <c r="TLF292" s="1069"/>
      <c r="TLG292" s="1069"/>
      <c r="TLH292" s="1069"/>
      <c r="TLI292" s="1069"/>
      <c r="TLJ292" s="1069"/>
      <c r="TLK292" s="1069"/>
      <c r="TLL292" s="1069"/>
      <c r="TLM292" s="1069"/>
      <c r="TLN292" s="1069"/>
      <c r="TLO292" s="1069"/>
      <c r="TLP292" s="1069"/>
      <c r="TLQ292" s="1069"/>
      <c r="TLR292" s="1069"/>
      <c r="TLS292" s="1069"/>
      <c r="TLT292" s="1069"/>
      <c r="TLU292" s="1069"/>
      <c r="TLV292" s="1069"/>
      <c r="TLW292" s="1069"/>
      <c r="TLX292" s="1069"/>
      <c r="TLY292" s="1069"/>
      <c r="TLZ292" s="1069"/>
      <c r="TMA292" s="1069"/>
      <c r="TMB292" s="1069"/>
      <c r="TMC292" s="1069"/>
      <c r="TMD292" s="1069"/>
      <c r="TME292" s="1069"/>
      <c r="TMF292" s="1069"/>
      <c r="TMG292" s="1069"/>
      <c r="TMH292" s="1069"/>
      <c r="TMI292" s="1069"/>
      <c r="TMJ292" s="1069"/>
      <c r="TMK292" s="1069"/>
      <c r="TML292" s="1069"/>
      <c r="TMM292" s="1069"/>
      <c r="TMN292" s="1069"/>
      <c r="TMO292" s="1069"/>
      <c r="TMP292" s="1069"/>
      <c r="TMQ292" s="1069"/>
      <c r="TMR292" s="1069"/>
      <c r="TMS292" s="1069"/>
      <c r="TMT292" s="1069"/>
      <c r="TMU292" s="1069"/>
      <c r="TMV292" s="1069"/>
      <c r="TMW292" s="1069"/>
      <c r="TMX292" s="1069"/>
      <c r="TMY292" s="1069"/>
      <c r="TMZ292" s="1069"/>
      <c r="TNA292" s="1069"/>
      <c r="TNB292" s="1069"/>
      <c r="TNC292" s="1069"/>
      <c r="TND292" s="1069"/>
      <c r="TNE292" s="1069"/>
      <c r="TNF292" s="1069"/>
      <c r="TNG292" s="1069"/>
      <c r="TNH292" s="1069"/>
      <c r="TNI292" s="1069"/>
      <c r="TNJ292" s="1069"/>
      <c r="TNK292" s="1069"/>
      <c r="TNL292" s="1069"/>
      <c r="TNM292" s="1069"/>
      <c r="TNN292" s="1069"/>
      <c r="TNO292" s="1069"/>
      <c r="TNP292" s="1069"/>
      <c r="TNQ292" s="1069"/>
      <c r="TNR292" s="1069"/>
      <c r="TNS292" s="1069"/>
      <c r="TNT292" s="1069"/>
      <c r="TNU292" s="1069"/>
      <c r="TNV292" s="1069"/>
      <c r="TNW292" s="1069"/>
      <c r="TNX292" s="1069"/>
      <c r="TNY292" s="1069"/>
      <c r="TNZ292" s="1069"/>
      <c r="TOA292" s="1069"/>
      <c r="TOB292" s="1069"/>
      <c r="TOC292" s="1069"/>
      <c r="TOD292" s="1069"/>
      <c r="TOE292" s="1069"/>
      <c r="TOF292" s="1069"/>
      <c r="TOG292" s="1069"/>
      <c r="TOH292" s="1069"/>
      <c r="TOI292" s="1069"/>
      <c r="TOJ292" s="1069"/>
      <c r="TOK292" s="1069"/>
      <c r="TOL292" s="1069"/>
      <c r="TOM292" s="1069"/>
      <c r="TON292" s="1069"/>
      <c r="TOO292" s="1069"/>
      <c r="TOP292" s="1069"/>
      <c r="TOQ292" s="1069"/>
      <c r="TOR292" s="1069"/>
      <c r="TOS292" s="1069"/>
      <c r="TOT292" s="1069"/>
      <c r="TOU292" s="1069"/>
      <c r="TOV292" s="1069"/>
      <c r="TOW292" s="1069"/>
      <c r="TOX292" s="1069"/>
      <c r="TOY292" s="1069"/>
      <c r="TOZ292" s="1069"/>
      <c r="TPA292" s="1069"/>
      <c r="TPB292" s="1069"/>
      <c r="TPC292" s="1069"/>
      <c r="TPD292" s="1069"/>
      <c r="TPE292" s="1069"/>
      <c r="TPF292" s="1069"/>
      <c r="TPG292" s="1069"/>
      <c r="TPH292" s="1069"/>
      <c r="TPI292" s="1069"/>
      <c r="TPJ292" s="1069"/>
      <c r="TPK292" s="1069"/>
      <c r="TPL292" s="1069"/>
      <c r="TPM292" s="1069"/>
      <c r="TPN292" s="1069"/>
      <c r="TPO292" s="1069"/>
      <c r="TPP292" s="1069"/>
      <c r="TPQ292" s="1069"/>
      <c r="TPR292" s="1069"/>
      <c r="TPS292" s="1069"/>
      <c r="TPT292" s="1069"/>
      <c r="TPU292" s="1069"/>
      <c r="TPV292" s="1069"/>
      <c r="TPW292" s="1069"/>
      <c r="TPX292" s="1069"/>
      <c r="TPY292" s="1069"/>
      <c r="TPZ292" s="1069"/>
      <c r="TQA292" s="1069"/>
      <c r="TQB292" s="1069"/>
      <c r="TQC292" s="1069"/>
      <c r="TQD292" s="1069"/>
      <c r="TQE292" s="1069"/>
      <c r="TQF292" s="1069"/>
      <c r="TQG292" s="1069"/>
      <c r="TQH292" s="1069"/>
      <c r="TQI292" s="1069"/>
      <c r="TQJ292" s="1069"/>
      <c r="TQK292" s="1069"/>
      <c r="TQL292" s="1069"/>
      <c r="TQM292" s="1069"/>
      <c r="TQN292" s="1069"/>
      <c r="TQO292" s="1069"/>
      <c r="TQP292" s="1069"/>
      <c r="TQQ292" s="1069"/>
      <c r="TQR292" s="1069"/>
      <c r="TQS292" s="1069"/>
      <c r="TQT292" s="1069"/>
      <c r="TQU292" s="1069"/>
      <c r="TQV292" s="1069"/>
      <c r="TQW292" s="1069"/>
      <c r="TQX292" s="1069"/>
      <c r="TQY292" s="1069"/>
      <c r="TQZ292" s="1069"/>
      <c r="TRA292" s="1069"/>
      <c r="TRB292" s="1069"/>
      <c r="TRC292" s="1069"/>
      <c r="TRD292" s="1069"/>
      <c r="TRE292" s="1069"/>
      <c r="TRF292" s="1069"/>
      <c r="TRG292" s="1069"/>
      <c r="TRH292" s="1069"/>
      <c r="TRI292" s="1069"/>
      <c r="TRJ292" s="1069"/>
      <c r="TRK292" s="1069"/>
      <c r="TRL292" s="1069"/>
      <c r="TRM292" s="1069"/>
      <c r="TRN292" s="1069"/>
      <c r="TRO292" s="1069"/>
      <c r="TRP292" s="1069"/>
      <c r="TRQ292" s="1069"/>
      <c r="TRR292" s="1069"/>
      <c r="TRS292" s="1069"/>
      <c r="TRT292" s="1069"/>
      <c r="TRU292" s="1069"/>
      <c r="TRV292" s="1069"/>
      <c r="TRW292" s="1069"/>
      <c r="TRX292" s="1069"/>
      <c r="TRY292" s="1069"/>
      <c r="TRZ292" s="1069"/>
      <c r="TSA292" s="1069"/>
      <c r="TSB292" s="1069"/>
      <c r="TSC292" s="1069"/>
      <c r="TSD292" s="1069"/>
      <c r="TSE292" s="1069"/>
      <c r="TSF292" s="1069"/>
      <c r="TSG292" s="1069"/>
      <c r="TSH292" s="1069"/>
      <c r="TSI292" s="1069"/>
      <c r="TSJ292" s="1069"/>
      <c r="TSK292" s="1069"/>
      <c r="TSL292" s="1069"/>
      <c r="TSM292" s="1069"/>
      <c r="TSN292" s="1069"/>
      <c r="TSO292" s="1069"/>
      <c r="TSP292" s="1069"/>
      <c r="TSQ292" s="1069"/>
      <c r="TSR292" s="1069"/>
      <c r="TSS292" s="1069"/>
      <c r="TST292" s="1069"/>
      <c r="TSU292" s="1069"/>
      <c r="TSV292" s="1069"/>
      <c r="TSW292" s="1069"/>
      <c r="TSX292" s="1069"/>
      <c r="TSY292" s="1069"/>
      <c r="TSZ292" s="1069"/>
      <c r="TTA292" s="1069"/>
      <c r="TTB292" s="1069"/>
      <c r="TTC292" s="1069"/>
      <c r="TTD292" s="1069"/>
      <c r="TTE292" s="1069"/>
      <c r="TTF292" s="1069"/>
      <c r="TTG292" s="1069"/>
      <c r="TTH292" s="1069"/>
      <c r="TTI292" s="1069"/>
      <c r="TTJ292" s="1069"/>
      <c r="TTK292" s="1069"/>
      <c r="TTL292" s="1069"/>
      <c r="TTM292" s="1069"/>
      <c r="TTN292" s="1069"/>
      <c r="TTO292" s="1069"/>
      <c r="TTP292" s="1069"/>
      <c r="TTQ292" s="1069"/>
      <c r="TTR292" s="1069"/>
      <c r="TTS292" s="1069"/>
      <c r="TTT292" s="1069"/>
      <c r="TTU292" s="1069"/>
      <c r="TTV292" s="1069"/>
      <c r="TTW292" s="1069"/>
      <c r="TTX292" s="1069"/>
      <c r="TTY292" s="1069"/>
      <c r="TTZ292" s="1069"/>
      <c r="TUA292" s="1069"/>
      <c r="TUB292" s="1069"/>
      <c r="TUC292" s="1069"/>
      <c r="TUD292" s="1069"/>
      <c r="TUE292" s="1069"/>
      <c r="TUF292" s="1069"/>
      <c r="TUG292" s="1069"/>
      <c r="TUH292" s="1069"/>
      <c r="TUI292" s="1069"/>
      <c r="TUJ292" s="1069"/>
      <c r="TUK292" s="1069"/>
      <c r="TUL292" s="1069"/>
      <c r="TUM292" s="1069"/>
      <c r="TUN292" s="1069"/>
      <c r="TUO292" s="1069"/>
      <c r="TUP292" s="1069"/>
      <c r="TUQ292" s="1069"/>
      <c r="TUR292" s="1069"/>
      <c r="TUS292" s="1069"/>
      <c r="TUT292" s="1069"/>
      <c r="TUU292" s="1069"/>
      <c r="TUV292" s="1069"/>
      <c r="TUW292" s="1069"/>
      <c r="TUX292" s="1069"/>
      <c r="TUY292" s="1069"/>
      <c r="TUZ292" s="1069"/>
      <c r="TVA292" s="1069"/>
      <c r="TVB292" s="1069"/>
      <c r="TVC292" s="1069"/>
      <c r="TVD292" s="1069"/>
      <c r="TVE292" s="1069"/>
      <c r="TVF292" s="1069"/>
      <c r="TVG292" s="1069"/>
      <c r="TVH292" s="1069"/>
      <c r="TVI292" s="1069"/>
      <c r="TVJ292" s="1069"/>
      <c r="TVK292" s="1069"/>
      <c r="TVL292" s="1069"/>
      <c r="TVM292" s="1069"/>
      <c r="TVN292" s="1069"/>
      <c r="TVO292" s="1069"/>
      <c r="TVP292" s="1069"/>
      <c r="TVQ292" s="1069"/>
      <c r="TVR292" s="1069"/>
      <c r="TVS292" s="1069"/>
      <c r="TVT292" s="1069"/>
      <c r="TVU292" s="1069"/>
      <c r="TVV292" s="1069"/>
      <c r="TVW292" s="1069"/>
      <c r="TVX292" s="1069"/>
      <c r="TVY292" s="1069"/>
      <c r="TVZ292" s="1069"/>
      <c r="TWA292" s="1069"/>
      <c r="TWB292" s="1069"/>
      <c r="TWC292" s="1069"/>
      <c r="TWD292" s="1069"/>
      <c r="TWE292" s="1069"/>
      <c r="TWF292" s="1069"/>
      <c r="TWG292" s="1069"/>
      <c r="TWH292" s="1069"/>
      <c r="TWI292" s="1069"/>
      <c r="TWJ292" s="1069"/>
      <c r="TWK292" s="1069"/>
      <c r="TWL292" s="1069"/>
      <c r="TWM292" s="1069"/>
      <c r="TWN292" s="1069"/>
      <c r="TWO292" s="1069"/>
      <c r="TWP292" s="1069"/>
      <c r="TWQ292" s="1069"/>
      <c r="TWR292" s="1069"/>
      <c r="TWS292" s="1069"/>
      <c r="TWT292" s="1069"/>
      <c r="TWU292" s="1069"/>
      <c r="TWV292" s="1069"/>
      <c r="TWW292" s="1069"/>
      <c r="TWX292" s="1069"/>
      <c r="TWY292" s="1069"/>
      <c r="TWZ292" s="1069"/>
      <c r="TXA292" s="1069"/>
      <c r="TXB292" s="1069"/>
      <c r="TXC292" s="1069"/>
      <c r="TXD292" s="1069"/>
      <c r="TXE292" s="1069"/>
      <c r="TXF292" s="1069"/>
      <c r="TXG292" s="1069"/>
      <c r="TXH292" s="1069"/>
      <c r="TXI292" s="1069"/>
      <c r="TXJ292" s="1069"/>
      <c r="TXK292" s="1069"/>
      <c r="TXL292" s="1069"/>
      <c r="TXM292" s="1069"/>
      <c r="TXN292" s="1069"/>
      <c r="TXO292" s="1069"/>
      <c r="TXP292" s="1069"/>
      <c r="TXQ292" s="1069"/>
      <c r="TXR292" s="1069"/>
      <c r="TXS292" s="1069"/>
      <c r="TXT292" s="1069"/>
      <c r="TXU292" s="1069"/>
      <c r="TXV292" s="1069"/>
      <c r="TXW292" s="1069"/>
      <c r="TXX292" s="1069"/>
      <c r="TXY292" s="1069"/>
      <c r="TXZ292" s="1069"/>
      <c r="TYA292" s="1069"/>
      <c r="TYB292" s="1069"/>
      <c r="TYC292" s="1069"/>
      <c r="TYD292" s="1069"/>
      <c r="TYE292" s="1069"/>
      <c r="TYF292" s="1069"/>
      <c r="TYG292" s="1069"/>
      <c r="TYH292" s="1069"/>
      <c r="TYI292" s="1069"/>
      <c r="TYJ292" s="1069"/>
      <c r="TYK292" s="1069"/>
      <c r="TYL292" s="1069"/>
      <c r="TYM292" s="1069"/>
      <c r="TYN292" s="1069"/>
      <c r="TYO292" s="1069"/>
      <c r="TYP292" s="1069"/>
      <c r="TYQ292" s="1069"/>
      <c r="TYR292" s="1069"/>
      <c r="TYS292" s="1069"/>
      <c r="TYT292" s="1069"/>
      <c r="TYU292" s="1069"/>
      <c r="TYV292" s="1069"/>
      <c r="TYW292" s="1069"/>
      <c r="TYX292" s="1069"/>
      <c r="TYY292" s="1069"/>
      <c r="TYZ292" s="1069"/>
      <c r="TZA292" s="1069"/>
      <c r="TZB292" s="1069"/>
      <c r="TZC292" s="1069"/>
      <c r="TZD292" s="1069"/>
      <c r="TZE292" s="1069"/>
      <c r="TZF292" s="1069"/>
      <c r="TZG292" s="1069"/>
      <c r="TZH292" s="1069"/>
      <c r="TZI292" s="1069"/>
      <c r="TZJ292" s="1069"/>
      <c r="TZK292" s="1069"/>
      <c r="TZL292" s="1069"/>
      <c r="TZM292" s="1069"/>
      <c r="TZN292" s="1069"/>
      <c r="TZO292" s="1069"/>
      <c r="TZP292" s="1069"/>
      <c r="TZQ292" s="1069"/>
      <c r="TZR292" s="1069"/>
      <c r="TZS292" s="1069"/>
      <c r="TZT292" s="1069"/>
      <c r="TZU292" s="1069"/>
      <c r="TZV292" s="1069"/>
      <c r="TZW292" s="1069"/>
      <c r="TZX292" s="1069"/>
      <c r="TZY292" s="1069"/>
      <c r="TZZ292" s="1069"/>
      <c r="UAA292" s="1069"/>
      <c r="UAB292" s="1069"/>
      <c r="UAC292" s="1069"/>
      <c r="UAD292" s="1069"/>
      <c r="UAE292" s="1069"/>
      <c r="UAF292" s="1069"/>
      <c r="UAG292" s="1069"/>
      <c r="UAH292" s="1069"/>
      <c r="UAI292" s="1069"/>
      <c r="UAJ292" s="1069"/>
      <c r="UAK292" s="1069"/>
      <c r="UAL292" s="1069"/>
      <c r="UAM292" s="1069"/>
      <c r="UAN292" s="1069"/>
      <c r="UAO292" s="1069"/>
      <c r="UAP292" s="1069"/>
      <c r="UAQ292" s="1069"/>
      <c r="UAR292" s="1069"/>
      <c r="UAS292" s="1069"/>
      <c r="UAT292" s="1069"/>
      <c r="UAU292" s="1069"/>
      <c r="UAV292" s="1069"/>
      <c r="UAW292" s="1069"/>
      <c r="UAX292" s="1069"/>
      <c r="UAY292" s="1069"/>
      <c r="UAZ292" s="1069"/>
      <c r="UBA292" s="1069"/>
      <c r="UBB292" s="1069"/>
      <c r="UBC292" s="1069"/>
      <c r="UBD292" s="1069"/>
      <c r="UBE292" s="1069"/>
      <c r="UBF292" s="1069"/>
      <c r="UBG292" s="1069"/>
      <c r="UBH292" s="1069"/>
      <c r="UBI292" s="1069"/>
      <c r="UBJ292" s="1069"/>
      <c r="UBK292" s="1069"/>
      <c r="UBL292" s="1069"/>
      <c r="UBM292" s="1069"/>
      <c r="UBN292" s="1069"/>
      <c r="UBO292" s="1069"/>
      <c r="UBP292" s="1069"/>
      <c r="UBQ292" s="1069"/>
      <c r="UBR292" s="1069"/>
      <c r="UBS292" s="1069"/>
      <c r="UBT292" s="1069"/>
      <c r="UBU292" s="1069"/>
      <c r="UBV292" s="1069"/>
      <c r="UBW292" s="1069"/>
      <c r="UBX292" s="1069"/>
      <c r="UBY292" s="1069"/>
      <c r="UBZ292" s="1069"/>
      <c r="UCA292" s="1069"/>
      <c r="UCB292" s="1069"/>
      <c r="UCC292" s="1069"/>
      <c r="UCD292" s="1069"/>
      <c r="UCE292" s="1069"/>
      <c r="UCF292" s="1069"/>
      <c r="UCG292" s="1069"/>
      <c r="UCH292" s="1069"/>
      <c r="UCI292" s="1069"/>
      <c r="UCJ292" s="1069"/>
      <c r="UCK292" s="1069"/>
      <c r="UCL292" s="1069"/>
      <c r="UCM292" s="1069"/>
      <c r="UCN292" s="1069"/>
      <c r="UCO292" s="1069"/>
      <c r="UCP292" s="1069"/>
      <c r="UCQ292" s="1069"/>
      <c r="UCR292" s="1069"/>
      <c r="UCS292" s="1069"/>
      <c r="UCT292" s="1069"/>
      <c r="UCU292" s="1069"/>
      <c r="UCV292" s="1069"/>
      <c r="UCW292" s="1069"/>
      <c r="UCX292" s="1069"/>
      <c r="UCY292" s="1069"/>
      <c r="UCZ292" s="1069"/>
      <c r="UDA292" s="1069"/>
      <c r="UDB292" s="1069"/>
      <c r="UDC292" s="1069"/>
      <c r="UDD292" s="1069"/>
      <c r="UDE292" s="1069"/>
      <c r="UDF292" s="1069"/>
      <c r="UDG292" s="1069"/>
      <c r="UDH292" s="1069"/>
      <c r="UDI292" s="1069"/>
      <c r="UDJ292" s="1069"/>
      <c r="UDK292" s="1069"/>
      <c r="UDL292" s="1069"/>
      <c r="UDM292" s="1069"/>
      <c r="UDN292" s="1069"/>
      <c r="UDO292" s="1069"/>
      <c r="UDP292" s="1069"/>
      <c r="UDQ292" s="1069"/>
      <c r="UDR292" s="1069"/>
      <c r="UDS292" s="1069"/>
      <c r="UDT292" s="1069"/>
      <c r="UDU292" s="1069"/>
      <c r="UDV292" s="1069"/>
      <c r="UDW292" s="1069"/>
      <c r="UDX292" s="1069"/>
      <c r="UDY292" s="1069"/>
      <c r="UDZ292" s="1069"/>
      <c r="UEA292" s="1069"/>
      <c r="UEB292" s="1069"/>
      <c r="UEC292" s="1069"/>
      <c r="UED292" s="1069"/>
      <c r="UEE292" s="1069"/>
      <c r="UEF292" s="1069"/>
      <c r="UEG292" s="1069"/>
      <c r="UEH292" s="1069"/>
      <c r="UEI292" s="1069"/>
      <c r="UEJ292" s="1069"/>
      <c r="UEK292" s="1069"/>
      <c r="UEL292" s="1069"/>
      <c r="UEM292" s="1069"/>
      <c r="UEN292" s="1069"/>
      <c r="UEO292" s="1069"/>
      <c r="UEP292" s="1069"/>
      <c r="UEQ292" s="1069"/>
      <c r="UER292" s="1069"/>
      <c r="UES292" s="1069"/>
      <c r="UET292" s="1069"/>
      <c r="UEU292" s="1069"/>
      <c r="UEV292" s="1069"/>
      <c r="UEW292" s="1069"/>
      <c r="UEX292" s="1069"/>
      <c r="UEY292" s="1069"/>
      <c r="UEZ292" s="1069"/>
      <c r="UFA292" s="1069"/>
      <c r="UFB292" s="1069"/>
      <c r="UFC292" s="1069"/>
      <c r="UFD292" s="1069"/>
      <c r="UFE292" s="1069"/>
      <c r="UFF292" s="1069"/>
      <c r="UFG292" s="1069"/>
      <c r="UFH292" s="1069"/>
      <c r="UFI292" s="1069"/>
      <c r="UFJ292" s="1069"/>
      <c r="UFK292" s="1069"/>
      <c r="UFL292" s="1069"/>
      <c r="UFM292" s="1069"/>
      <c r="UFN292" s="1069"/>
      <c r="UFO292" s="1069"/>
      <c r="UFP292" s="1069"/>
      <c r="UFQ292" s="1069"/>
      <c r="UFR292" s="1069"/>
      <c r="UFS292" s="1069"/>
      <c r="UFT292" s="1069"/>
      <c r="UFU292" s="1069"/>
      <c r="UFV292" s="1069"/>
      <c r="UFW292" s="1069"/>
      <c r="UFX292" s="1069"/>
      <c r="UFY292" s="1069"/>
      <c r="UFZ292" s="1069"/>
      <c r="UGA292" s="1069"/>
      <c r="UGB292" s="1069"/>
      <c r="UGC292" s="1069"/>
      <c r="UGD292" s="1069"/>
      <c r="UGE292" s="1069"/>
      <c r="UGF292" s="1069"/>
      <c r="UGG292" s="1069"/>
      <c r="UGH292" s="1069"/>
      <c r="UGI292" s="1069"/>
      <c r="UGJ292" s="1069"/>
      <c r="UGK292" s="1069"/>
      <c r="UGL292" s="1069"/>
      <c r="UGM292" s="1069"/>
      <c r="UGN292" s="1069"/>
      <c r="UGO292" s="1069"/>
      <c r="UGP292" s="1069"/>
      <c r="UGQ292" s="1069"/>
      <c r="UGR292" s="1069"/>
      <c r="UGS292" s="1069"/>
      <c r="UGT292" s="1069"/>
      <c r="UGU292" s="1069"/>
      <c r="UGV292" s="1069"/>
      <c r="UGW292" s="1069"/>
      <c r="UGX292" s="1069"/>
      <c r="UGY292" s="1069"/>
      <c r="UGZ292" s="1069"/>
      <c r="UHA292" s="1069"/>
      <c r="UHB292" s="1069"/>
      <c r="UHC292" s="1069"/>
      <c r="UHD292" s="1069"/>
      <c r="UHE292" s="1069"/>
      <c r="UHF292" s="1069"/>
      <c r="UHG292" s="1069"/>
      <c r="UHH292" s="1069"/>
      <c r="UHI292" s="1069"/>
      <c r="UHJ292" s="1069"/>
      <c r="UHK292" s="1069"/>
      <c r="UHL292" s="1069"/>
      <c r="UHM292" s="1069"/>
      <c r="UHN292" s="1069"/>
      <c r="UHO292" s="1069"/>
      <c r="UHP292" s="1069"/>
      <c r="UHQ292" s="1069"/>
      <c r="UHR292" s="1069"/>
      <c r="UHS292" s="1069"/>
      <c r="UHT292" s="1069"/>
      <c r="UHU292" s="1069"/>
      <c r="UHV292" s="1069"/>
      <c r="UHW292" s="1069"/>
      <c r="UHX292" s="1069"/>
      <c r="UHY292" s="1069"/>
      <c r="UHZ292" s="1069"/>
      <c r="UIA292" s="1069"/>
      <c r="UIB292" s="1069"/>
      <c r="UIC292" s="1069"/>
      <c r="UID292" s="1069"/>
      <c r="UIE292" s="1069"/>
      <c r="UIF292" s="1069"/>
      <c r="UIG292" s="1069"/>
      <c r="UIH292" s="1069"/>
      <c r="UII292" s="1069"/>
      <c r="UIJ292" s="1069"/>
      <c r="UIK292" s="1069"/>
      <c r="UIL292" s="1069"/>
      <c r="UIM292" s="1069"/>
      <c r="UIN292" s="1069"/>
      <c r="UIO292" s="1069"/>
      <c r="UIP292" s="1069"/>
      <c r="UIQ292" s="1069"/>
      <c r="UIR292" s="1069"/>
      <c r="UIS292" s="1069"/>
      <c r="UIT292" s="1069"/>
      <c r="UIU292" s="1069"/>
      <c r="UIV292" s="1069"/>
      <c r="UIW292" s="1069"/>
      <c r="UIX292" s="1069"/>
      <c r="UIY292" s="1069"/>
      <c r="UIZ292" s="1069"/>
      <c r="UJA292" s="1069"/>
      <c r="UJB292" s="1069"/>
      <c r="UJC292" s="1069"/>
      <c r="UJD292" s="1069"/>
      <c r="UJE292" s="1069"/>
      <c r="UJF292" s="1069"/>
      <c r="UJG292" s="1069"/>
      <c r="UJH292" s="1069"/>
      <c r="UJI292" s="1069"/>
      <c r="UJJ292" s="1069"/>
      <c r="UJK292" s="1069"/>
      <c r="UJL292" s="1069"/>
      <c r="UJM292" s="1069"/>
      <c r="UJN292" s="1069"/>
      <c r="UJO292" s="1069"/>
      <c r="UJP292" s="1069"/>
      <c r="UJQ292" s="1069"/>
      <c r="UJR292" s="1069"/>
      <c r="UJS292" s="1069"/>
      <c r="UJT292" s="1069"/>
      <c r="UJU292" s="1069"/>
      <c r="UJV292" s="1069"/>
      <c r="UJW292" s="1069"/>
      <c r="UJX292" s="1069"/>
      <c r="UJY292" s="1069"/>
      <c r="UJZ292" s="1069"/>
      <c r="UKA292" s="1069"/>
      <c r="UKB292" s="1069"/>
      <c r="UKC292" s="1069"/>
      <c r="UKD292" s="1069"/>
      <c r="UKE292" s="1069"/>
      <c r="UKF292" s="1069"/>
      <c r="UKG292" s="1069"/>
      <c r="UKH292" s="1069"/>
      <c r="UKI292" s="1069"/>
      <c r="UKJ292" s="1069"/>
      <c r="UKK292" s="1069"/>
      <c r="UKL292" s="1069"/>
      <c r="UKM292" s="1069"/>
      <c r="UKN292" s="1069"/>
      <c r="UKO292" s="1069"/>
      <c r="UKP292" s="1069"/>
      <c r="UKQ292" s="1069"/>
      <c r="UKR292" s="1069"/>
      <c r="UKS292" s="1069"/>
      <c r="UKT292" s="1069"/>
      <c r="UKU292" s="1069"/>
      <c r="UKV292" s="1069"/>
      <c r="UKW292" s="1069"/>
      <c r="UKX292" s="1069"/>
      <c r="UKY292" s="1069"/>
      <c r="UKZ292" s="1069"/>
      <c r="ULA292" s="1069"/>
      <c r="ULB292" s="1069"/>
      <c r="ULC292" s="1069"/>
      <c r="ULD292" s="1069"/>
      <c r="ULE292" s="1069"/>
      <c r="ULF292" s="1069"/>
      <c r="ULG292" s="1069"/>
      <c r="ULH292" s="1069"/>
      <c r="ULI292" s="1069"/>
      <c r="ULJ292" s="1069"/>
      <c r="ULK292" s="1069"/>
      <c r="ULL292" s="1069"/>
      <c r="ULM292" s="1069"/>
      <c r="ULN292" s="1069"/>
      <c r="ULO292" s="1069"/>
      <c r="ULP292" s="1069"/>
      <c r="ULQ292" s="1069"/>
      <c r="ULR292" s="1069"/>
      <c r="ULS292" s="1069"/>
      <c r="ULT292" s="1069"/>
      <c r="ULU292" s="1069"/>
      <c r="ULV292" s="1069"/>
      <c r="ULW292" s="1069"/>
      <c r="ULX292" s="1069"/>
      <c r="ULY292" s="1069"/>
      <c r="ULZ292" s="1069"/>
      <c r="UMA292" s="1069"/>
      <c r="UMB292" s="1069"/>
      <c r="UMC292" s="1069"/>
      <c r="UMD292" s="1069"/>
      <c r="UME292" s="1069"/>
      <c r="UMF292" s="1069"/>
      <c r="UMG292" s="1069"/>
      <c r="UMH292" s="1069"/>
      <c r="UMI292" s="1069"/>
      <c r="UMJ292" s="1069"/>
      <c r="UMK292" s="1069"/>
      <c r="UML292" s="1069"/>
      <c r="UMM292" s="1069"/>
      <c r="UMN292" s="1069"/>
      <c r="UMO292" s="1069"/>
      <c r="UMP292" s="1069"/>
      <c r="UMQ292" s="1069"/>
      <c r="UMR292" s="1069"/>
      <c r="UMS292" s="1069"/>
      <c r="UMT292" s="1069"/>
      <c r="UMU292" s="1069"/>
      <c r="UMV292" s="1069"/>
      <c r="UMW292" s="1069"/>
      <c r="UMX292" s="1069"/>
      <c r="UMY292" s="1069"/>
      <c r="UMZ292" s="1069"/>
      <c r="UNA292" s="1069"/>
      <c r="UNB292" s="1069"/>
      <c r="UNC292" s="1069"/>
      <c r="UND292" s="1069"/>
      <c r="UNE292" s="1069"/>
      <c r="UNF292" s="1069"/>
      <c r="UNG292" s="1069"/>
      <c r="UNH292" s="1069"/>
      <c r="UNI292" s="1069"/>
      <c r="UNJ292" s="1069"/>
      <c r="UNK292" s="1069"/>
      <c r="UNL292" s="1069"/>
      <c r="UNM292" s="1069"/>
      <c r="UNN292" s="1069"/>
      <c r="UNO292" s="1069"/>
      <c r="UNP292" s="1069"/>
      <c r="UNQ292" s="1069"/>
      <c r="UNR292" s="1069"/>
      <c r="UNS292" s="1069"/>
      <c r="UNT292" s="1069"/>
      <c r="UNU292" s="1069"/>
      <c r="UNV292" s="1069"/>
      <c r="UNW292" s="1069"/>
      <c r="UNX292" s="1069"/>
      <c r="UNY292" s="1069"/>
      <c r="UNZ292" s="1069"/>
      <c r="UOA292" s="1069"/>
      <c r="UOB292" s="1069"/>
      <c r="UOC292" s="1069"/>
      <c r="UOD292" s="1069"/>
      <c r="UOE292" s="1069"/>
      <c r="UOF292" s="1069"/>
      <c r="UOG292" s="1069"/>
      <c r="UOH292" s="1069"/>
      <c r="UOI292" s="1069"/>
      <c r="UOJ292" s="1069"/>
      <c r="UOK292" s="1069"/>
      <c r="UOL292" s="1069"/>
      <c r="UOM292" s="1069"/>
      <c r="UON292" s="1069"/>
      <c r="UOO292" s="1069"/>
      <c r="UOP292" s="1069"/>
      <c r="UOQ292" s="1069"/>
      <c r="UOR292" s="1069"/>
      <c r="UOS292" s="1069"/>
      <c r="UOT292" s="1069"/>
      <c r="UOU292" s="1069"/>
      <c r="UOV292" s="1069"/>
      <c r="UOW292" s="1069"/>
      <c r="UOX292" s="1069"/>
      <c r="UOY292" s="1069"/>
      <c r="UOZ292" s="1069"/>
      <c r="UPA292" s="1069"/>
      <c r="UPB292" s="1069"/>
      <c r="UPC292" s="1069"/>
      <c r="UPD292" s="1069"/>
      <c r="UPE292" s="1069"/>
      <c r="UPF292" s="1069"/>
      <c r="UPG292" s="1069"/>
      <c r="UPH292" s="1069"/>
      <c r="UPI292" s="1069"/>
      <c r="UPJ292" s="1069"/>
      <c r="UPK292" s="1069"/>
      <c r="UPL292" s="1069"/>
      <c r="UPM292" s="1069"/>
      <c r="UPN292" s="1069"/>
      <c r="UPO292" s="1069"/>
      <c r="UPP292" s="1069"/>
      <c r="UPQ292" s="1069"/>
      <c r="UPR292" s="1069"/>
      <c r="UPS292" s="1069"/>
      <c r="UPT292" s="1069"/>
      <c r="UPU292" s="1069"/>
      <c r="UPV292" s="1069"/>
      <c r="UPW292" s="1069"/>
      <c r="UPX292" s="1069"/>
      <c r="UPY292" s="1069"/>
      <c r="UPZ292" s="1069"/>
      <c r="UQA292" s="1069"/>
      <c r="UQB292" s="1069"/>
      <c r="UQC292" s="1069"/>
      <c r="UQD292" s="1069"/>
      <c r="UQE292" s="1069"/>
      <c r="UQF292" s="1069"/>
      <c r="UQG292" s="1069"/>
      <c r="UQH292" s="1069"/>
      <c r="UQI292" s="1069"/>
      <c r="UQJ292" s="1069"/>
      <c r="UQK292" s="1069"/>
      <c r="UQL292" s="1069"/>
      <c r="UQM292" s="1069"/>
      <c r="UQN292" s="1069"/>
      <c r="UQO292" s="1069"/>
      <c r="UQP292" s="1069"/>
      <c r="UQQ292" s="1069"/>
      <c r="UQR292" s="1069"/>
      <c r="UQS292" s="1069"/>
      <c r="UQT292" s="1069"/>
      <c r="UQU292" s="1069"/>
      <c r="UQV292" s="1069"/>
      <c r="UQW292" s="1069"/>
      <c r="UQX292" s="1069"/>
      <c r="UQY292" s="1069"/>
      <c r="UQZ292" s="1069"/>
      <c r="URA292" s="1069"/>
      <c r="URB292" s="1069"/>
      <c r="URC292" s="1069"/>
      <c r="URD292" s="1069"/>
      <c r="URE292" s="1069"/>
      <c r="URF292" s="1069"/>
      <c r="URG292" s="1069"/>
      <c r="URH292" s="1069"/>
      <c r="URI292" s="1069"/>
      <c r="URJ292" s="1069"/>
      <c r="URK292" s="1069"/>
      <c r="URL292" s="1069"/>
      <c r="URM292" s="1069"/>
      <c r="URN292" s="1069"/>
      <c r="URO292" s="1069"/>
      <c r="URP292" s="1069"/>
      <c r="URQ292" s="1069"/>
      <c r="URR292" s="1069"/>
      <c r="URS292" s="1069"/>
      <c r="URT292" s="1069"/>
      <c r="URU292" s="1069"/>
      <c r="URV292" s="1069"/>
      <c r="URW292" s="1069"/>
      <c r="URX292" s="1069"/>
      <c r="URY292" s="1069"/>
      <c r="URZ292" s="1069"/>
      <c r="USA292" s="1069"/>
      <c r="USB292" s="1069"/>
      <c r="USC292" s="1069"/>
      <c r="USD292" s="1069"/>
      <c r="USE292" s="1069"/>
      <c r="USF292" s="1069"/>
      <c r="USG292" s="1069"/>
      <c r="USH292" s="1069"/>
      <c r="USI292" s="1069"/>
      <c r="USJ292" s="1069"/>
      <c r="USK292" s="1069"/>
      <c r="USL292" s="1069"/>
      <c r="USM292" s="1069"/>
      <c r="USN292" s="1069"/>
      <c r="USO292" s="1069"/>
      <c r="USP292" s="1069"/>
      <c r="USQ292" s="1069"/>
      <c r="USR292" s="1069"/>
      <c r="USS292" s="1069"/>
      <c r="UST292" s="1069"/>
      <c r="USU292" s="1069"/>
      <c r="USV292" s="1069"/>
      <c r="USW292" s="1069"/>
      <c r="USX292" s="1069"/>
      <c r="USY292" s="1069"/>
      <c r="USZ292" s="1069"/>
      <c r="UTA292" s="1069"/>
      <c r="UTB292" s="1069"/>
      <c r="UTC292" s="1069"/>
      <c r="UTD292" s="1069"/>
      <c r="UTE292" s="1069"/>
      <c r="UTF292" s="1069"/>
      <c r="UTG292" s="1069"/>
      <c r="UTH292" s="1069"/>
      <c r="UTI292" s="1069"/>
      <c r="UTJ292" s="1069"/>
      <c r="UTK292" s="1069"/>
      <c r="UTL292" s="1069"/>
      <c r="UTM292" s="1069"/>
      <c r="UTN292" s="1069"/>
      <c r="UTO292" s="1069"/>
      <c r="UTP292" s="1069"/>
      <c r="UTQ292" s="1069"/>
      <c r="UTR292" s="1069"/>
      <c r="UTS292" s="1069"/>
      <c r="UTT292" s="1069"/>
      <c r="UTU292" s="1069"/>
      <c r="UTV292" s="1069"/>
      <c r="UTW292" s="1069"/>
      <c r="UTX292" s="1069"/>
      <c r="UTY292" s="1069"/>
      <c r="UTZ292" s="1069"/>
      <c r="UUA292" s="1069"/>
      <c r="UUB292" s="1069"/>
      <c r="UUC292" s="1069"/>
      <c r="UUD292" s="1069"/>
      <c r="UUE292" s="1069"/>
      <c r="UUF292" s="1069"/>
      <c r="UUG292" s="1069"/>
      <c r="UUH292" s="1069"/>
      <c r="UUI292" s="1069"/>
      <c r="UUJ292" s="1069"/>
      <c r="UUK292" s="1069"/>
      <c r="UUL292" s="1069"/>
      <c r="UUM292" s="1069"/>
      <c r="UUN292" s="1069"/>
      <c r="UUO292" s="1069"/>
      <c r="UUP292" s="1069"/>
      <c r="UUQ292" s="1069"/>
      <c r="UUR292" s="1069"/>
      <c r="UUS292" s="1069"/>
      <c r="UUT292" s="1069"/>
      <c r="UUU292" s="1069"/>
      <c r="UUV292" s="1069"/>
      <c r="UUW292" s="1069"/>
      <c r="UUX292" s="1069"/>
      <c r="UUY292" s="1069"/>
      <c r="UUZ292" s="1069"/>
      <c r="UVA292" s="1069"/>
      <c r="UVB292" s="1069"/>
      <c r="UVC292" s="1069"/>
      <c r="UVD292" s="1069"/>
      <c r="UVE292" s="1069"/>
      <c r="UVF292" s="1069"/>
      <c r="UVG292" s="1069"/>
      <c r="UVH292" s="1069"/>
      <c r="UVI292" s="1069"/>
      <c r="UVJ292" s="1069"/>
      <c r="UVK292" s="1069"/>
      <c r="UVL292" s="1069"/>
      <c r="UVM292" s="1069"/>
      <c r="UVN292" s="1069"/>
      <c r="UVO292" s="1069"/>
      <c r="UVP292" s="1069"/>
      <c r="UVQ292" s="1069"/>
      <c r="UVR292" s="1069"/>
      <c r="UVS292" s="1069"/>
      <c r="UVT292" s="1069"/>
      <c r="UVU292" s="1069"/>
      <c r="UVV292" s="1069"/>
      <c r="UVW292" s="1069"/>
      <c r="UVX292" s="1069"/>
      <c r="UVY292" s="1069"/>
      <c r="UVZ292" s="1069"/>
      <c r="UWA292" s="1069"/>
      <c r="UWB292" s="1069"/>
      <c r="UWC292" s="1069"/>
      <c r="UWD292" s="1069"/>
      <c r="UWE292" s="1069"/>
      <c r="UWF292" s="1069"/>
      <c r="UWG292" s="1069"/>
      <c r="UWH292" s="1069"/>
      <c r="UWI292" s="1069"/>
      <c r="UWJ292" s="1069"/>
      <c r="UWK292" s="1069"/>
      <c r="UWL292" s="1069"/>
      <c r="UWM292" s="1069"/>
      <c r="UWN292" s="1069"/>
      <c r="UWO292" s="1069"/>
      <c r="UWP292" s="1069"/>
      <c r="UWQ292" s="1069"/>
      <c r="UWR292" s="1069"/>
      <c r="UWS292" s="1069"/>
      <c r="UWT292" s="1069"/>
      <c r="UWU292" s="1069"/>
      <c r="UWV292" s="1069"/>
      <c r="UWW292" s="1069"/>
      <c r="UWX292" s="1069"/>
      <c r="UWY292" s="1069"/>
      <c r="UWZ292" s="1069"/>
      <c r="UXA292" s="1069"/>
      <c r="UXB292" s="1069"/>
      <c r="UXC292" s="1069"/>
      <c r="UXD292" s="1069"/>
      <c r="UXE292" s="1069"/>
      <c r="UXF292" s="1069"/>
      <c r="UXG292" s="1069"/>
      <c r="UXH292" s="1069"/>
      <c r="UXI292" s="1069"/>
      <c r="UXJ292" s="1069"/>
      <c r="UXK292" s="1069"/>
      <c r="UXL292" s="1069"/>
      <c r="UXM292" s="1069"/>
      <c r="UXN292" s="1069"/>
      <c r="UXO292" s="1069"/>
      <c r="UXP292" s="1069"/>
      <c r="UXQ292" s="1069"/>
      <c r="UXR292" s="1069"/>
      <c r="UXS292" s="1069"/>
      <c r="UXT292" s="1069"/>
      <c r="UXU292" s="1069"/>
      <c r="UXV292" s="1069"/>
      <c r="UXW292" s="1069"/>
      <c r="UXX292" s="1069"/>
      <c r="UXY292" s="1069"/>
      <c r="UXZ292" s="1069"/>
      <c r="UYA292" s="1069"/>
      <c r="UYB292" s="1069"/>
      <c r="UYC292" s="1069"/>
      <c r="UYD292" s="1069"/>
      <c r="UYE292" s="1069"/>
      <c r="UYF292" s="1069"/>
      <c r="UYG292" s="1069"/>
      <c r="UYH292" s="1069"/>
      <c r="UYI292" s="1069"/>
      <c r="UYJ292" s="1069"/>
      <c r="UYK292" s="1069"/>
      <c r="UYL292" s="1069"/>
      <c r="UYM292" s="1069"/>
      <c r="UYN292" s="1069"/>
      <c r="UYO292" s="1069"/>
      <c r="UYP292" s="1069"/>
      <c r="UYQ292" s="1069"/>
      <c r="UYR292" s="1069"/>
      <c r="UYS292" s="1069"/>
      <c r="UYT292" s="1069"/>
      <c r="UYU292" s="1069"/>
      <c r="UYV292" s="1069"/>
      <c r="UYW292" s="1069"/>
      <c r="UYX292" s="1069"/>
      <c r="UYY292" s="1069"/>
      <c r="UYZ292" s="1069"/>
      <c r="UZA292" s="1069"/>
      <c r="UZB292" s="1069"/>
      <c r="UZC292" s="1069"/>
      <c r="UZD292" s="1069"/>
      <c r="UZE292" s="1069"/>
      <c r="UZF292" s="1069"/>
      <c r="UZG292" s="1069"/>
      <c r="UZH292" s="1069"/>
      <c r="UZI292" s="1069"/>
      <c r="UZJ292" s="1069"/>
      <c r="UZK292" s="1069"/>
      <c r="UZL292" s="1069"/>
      <c r="UZM292" s="1069"/>
      <c r="UZN292" s="1069"/>
      <c r="UZO292" s="1069"/>
      <c r="UZP292" s="1069"/>
      <c r="UZQ292" s="1069"/>
      <c r="UZR292" s="1069"/>
      <c r="UZS292" s="1069"/>
      <c r="UZT292" s="1069"/>
      <c r="UZU292" s="1069"/>
      <c r="UZV292" s="1069"/>
      <c r="UZW292" s="1069"/>
      <c r="UZX292" s="1069"/>
      <c r="UZY292" s="1069"/>
      <c r="UZZ292" s="1069"/>
      <c r="VAA292" s="1069"/>
      <c r="VAB292" s="1069"/>
      <c r="VAC292" s="1069"/>
      <c r="VAD292" s="1069"/>
      <c r="VAE292" s="1069"/>
      <c r="VAF292" s="1069"/>
      <c r="VAG292" s="1069"/>
      <c r="VAH292" s="1069"/>
      <c r="VAI292" s="1069"/>
      <c r="VAJ292" s="1069"/>
      <c r="VAK292" s="1069"/>
      <c r="VAL292" s="1069"/>
      <c r="VAM292" s="1069"/>
      <c r="VAN292" s="1069"/>
      <c r="VAO292" s="1069"/>
      <c r="VAP292" s="1069"/>
      <c r="VAQ292" s="1069"/>
      <c r="VAR292" s="1069"/>
      <c r="VAS292" s="1069"/>
      <c r="VAT292" s="1069"/>
      <c r="VAU292" s="1069"/>
      <c r="VAV292" s="1069"/>
      <c r="VAW292" s="1069"/>
      <c r="VAX292" s="1069"/>
      <c r="VAY292" s="1069"/>
      <c r="VAZ292" s="1069"/>
      <c r="VBA292" s="1069"/>
      <c r="VBB292" s="1069"/>
      <c r="VBC292" s="1069"/>
      <c r="VBD292" s="1069"/>
      <c r="VBE292" s="1069"/>
      <c r="VBF292" s="1069"/>
      <c r="VBG292" s="1069"/>
      <c r="VBH292" s="1069"/>
      <c r="VBI292" s="1069"/>
      <c r="VBJ292" s="1069"/>
      <c r="VBK292" s="1069"/>
      <c r="VBL292" s="1069"/>
      <c r="VBM292" s="1069"/>
      <c r="VBN292" s="1069"/>
      <c r="VBO292" s="1069"/>
      <c r="VBP292" s="1069"/>
      <c r="VBQ292" s="1069"/>
      <c r="VBR292" s="1069"/>
      <c r="VBS292" s="1069"/>
      <c r="VBT292" s="1069"/>
      <c r="VBU292" s="1069"/>
      <c r="VBV292" s="1069"/>
      <c r="VBW292" s="1069"/>
      <c r="VBX292" s="1069"/>
      <c r="VBY292" s="1069"/>
      <c r="VBZ292" s="1069"/>
      <c r="VCA292" s="1069"/>
      <c r="VCB292" s="1069"/>
      <c r="VCC292" s="1069"/>
      <c r="VCD292" s="1069"/>
      <c r="VCE292" s="1069"/>
      <c r="VCF292" s="1069"/>
      <c r="VCG292" s="1069"/>
      <c r="VCH292" s="1069"/>
      <c r="VCI292" s="1069"/>
      <c r="VCJ292" s="1069"/>
      <c r="VCK292" s="1069"/>
      <c r="VCL292" s="1069"/>
      <c r="VCM292" s="1069"/>
      <c r="VCN292" s="1069"/>
      <c r="VCO292" s="1069"/>
      <c r="VCP292" s="1069"/>
      <c r="VCQ292" s="1069"/>
      <c r="VCR292" s="1069"/>
      <c r="VCS292" s="1069"/>
      <c r="VCT292" s="1069"/>
      <c r="VCU292" s="1069"/>
      <c r="VCV292" s="1069"/>
      <c r="VCW292" s="1069"/>
      <c r="VCX292" s="1069"/>
      <c r="VCY292" s="1069"/>
      <c r="VCZ292" s="1069"/>
      <c r="VDA292" s="1069"/>
      <c r="VDB292" s="1069"/>
      <c r="VDC292" s="1069"/>
      <c r="VDD292" s="1069"/>
      <c r="VDE292" s="1069"/>
      <c r="VDF292" s="1069"/>
      <c r="VDG292" s="1069"/>
      <c r="VDH292" s="1069"/>
      <c r="VDI292" s="1069"/>
      <c r="VDJ292" s="1069"/>
      <c r="VDK292" s="1069"/>
      <c r="VDL292" s="1069"/>
      <c r="VDM292" s="1069"/>
      <c r="VDN292" s="1069"/>
      <c r="VDO292" s="1069"/>
      <c r="VDP292" s="1069"/>
      <c r="VDQ292" s="1069"/>
      <c r="VDR292" s="1069"/>
      <c r="VDS292" s="1069"/>
      <c r="VDT292" s="1069"/>
      <c r="VDU292" s="1069"/>
      <c r="VDV292" s="1069"/>
      <c r="VDW292" s="1069"/>
      <c r="VDX292" s="1069"/>
      <c r="VDY292" s="1069"/>
      <c r="VDZ292" s="1069"/>
      <c r="VEA292" s="1069"/>
      <c r="VEB292" s="1069"/>
      <c r="VEC292" s="1069"/>
      <c r="VED292" s="1069"/>
      <c r="VEE292" s="1069"/>
      <c r="VEF292" s="1069"/>
      <c r="VEG292" s="1069"/>
      <c r="VEH292" s="1069"/>
      <c r="VEI292" s="1069"/>
      <c r="VEJ292" s="1069"/>
      <c r="VEK292" s="1069"/>
      <c r="VEL292" s="1069"/>
      <c r="VEM292" s="1069"/>
      <c r="VEN292" s="1069"/>
      <c r="VEO292" s="1069"/>
      <c r="VEP292" s="1069"/>
      <c r="VEQ292" s="1069"/>
      <c r="VER292" s="1069"/>
      <c r="VES292" s="1069"/>
      <c r="VET292" s="1069"/>
      <c r="VEU292" s="1069"/>
      <c r="VEV292" s="1069"/>
      <c r="VEW292" s="1069"/>
      <c r="VEX292" s="1069"/>
      <c r="VEY292" s="1069"/>
      <c r="VEZ292" s="1069"/>
      <c r="VFA292" s="1069"/>
      <c r="VFB292" s="1069"/>
      <c r="VFC292" s="1069"/>
      <c r="VFD292" s="1069"/>
      <c r="VFE292" s="1069"/>
      <c r="VFF292" s="1069"/>
      <c r="VFG292" s="1069"/>
      <c r="VFH292" s="1069"/>
      <c r="VFI292" s="1069"/>
      <c r="VFJ292" s="1069"/>
      <c r="VFK292" s="1069"/>
      <c r="VFL292" s="1069"/>
      <c r="VFM292" s="1069"/>
      <c r="VFN292" s="1069"/>
      <c r="VFO292" s="1069"/>
      <c r="VFP292" s="1069"/>
      <c r="VFQ292" s="1069"/>
      <c r="VFR292" s="1069"/>
      <c r="VFS292" s="1069"/>
      <c r="VFT292" s="1069"/>
      <c r="VFU292" s="1069"/>
      <c r="VFV292" s="1069"/>
      <c r="VFW292" s="1069"/>
      <c r="VFX292" s="1069"/>
      <c r="VFY292" s="1069"/>
      <c r="VFZ292" s="1069"/>
      <c r="VGA292" s="1069"/>
      <c r="VGB292" s="1069"/>
      <c r="VGC292" s="1069"/>
      <c r="VGD292" s="1069"/>
      <c r="VGE292" s="1069"/>
      <c r="VGF292" s="1069"/>
      <c r="VGG292" s="1069"/>
      <c r="VGH292" s="1069"/>
      <c r="VGI292" s="1069"/>
      <c r="VGJ292" s="1069"/>
      <c r="VGK292" s="1069"/>
      <c r="VGL292" s="1069"/>
      <c r="VGM292" s="1069"/>
      <c r="VGN292" s="1069"/>
      <c r="VGO292" s="1069"/>
      <c r="VGP292" s="1069"/>
      <c r="VGQ292" s="1069"/>
      <c r="VGR292" s="1069"/>
      <c r="VGS292" s="1069"/>
      <c r="VGT292" s="1069"/>
      <c r="VGU292" s="1069"/>
      <c r="VGV292" s="1069"/>
      <c r="VGW292" s="1069"/>
      <c r="VGX292" s="1069"/>
      <c r="VGY292" s="1069"/>
      <c r="VGZ292" s="1069"/>
      <c r="VHA292" s="1069"/>
      <c r="VHB292" s="1069"/>
      <c r="VHC292" s="1069"/>
      <c r="VHD292" s="1069"/>
      <c r="VHE292" s="1069"/>
      <c r="VHF292" s="1069"/>
      <c r="VHG292" s="1069"/>
      <c r="VHH292" s="1069"/>
      <c r="VHI292" s="1069"/>
      <c r="VHJ292" s="1069"/>
      <c r="VHK292" s="1069"/>
      <c r="VHL292" s="1069"/>
      <c r="VHM292" s="1069"/>
      <c r="VHN292" s="1069"/>
      <c r="VHO292" s="1069"/>
      <c r="VHP292" s="1069"/>
      <c r="VHQ292" s="1069"/>
      <c r="VHR292" s="1069"/>
      <c r="VHS292" s="1069"/>
      <c r="VHT292" s="1069"/>
      <c r="VHU292" s="1069"/>
      <c r="VHV292" s="1069"/>
      <c r="VHW292" s="1069"/>
      <c r="VHX292" s="1069"/>
      <c r="VHY292" s="1069"/>
      <c r="VHZ292" s="1069"/>
      <c r="VIA292" s="1069"/>
      <c r="VIB292" s="1069"/>
      <c r="VIC292" s="1069"/>
      <c r="VID292" s="1069"/>
      <c r="VIE292" s="1069"/>
      <c r="VIF292" s="1069"/>
      <c r="VIG292" s="1069"/>
      <c r="VIH292" s="1069"/>
      <c r="VII292" s="1069"/>
      <c r="VIJ292" s="1069"/>
      <c r="VIK292" s="1069"/>
      <c r="VIL292" s="1069"/>
      <c r="VIM292" s="1069"/>
      <c r="VIN292" s="1069"/>
      <c r="VIO292" s="1069"/>
      <c r="VIP292" s="1069"/>
      <c r="VIQ292" s="1069"/>
      <c r="VIR292" s="1069"/>
      <c r="VIS292" s="1069"/>
      <c r="VIT292" s="1069"/>
      <c r="VIU292" s="1069"/>
      <c r="VIV292" s="1069"/>
      <c r="VIW292" s="1069"/>
      <c r="VIX292" s="1069"/>
      <c r="VIY292" s="1069"/>
      <c r="VIZ292" s="1069"/>
      <c r="VJA292" s="1069"/>
      <c r="VJB292" s="1069"/>
      <c r="VJC292" s="1069"/>
      <c r="VJD292" s="1069"/>
      <c r="VJE292" s="1069"/>
      <c r="VJF292" s="1069"/>
      <c r="VJG292" s="1069"/>
      <c r="VJH292" s="1069"/>
      <c r="VJI292" s="1069"/>
      <c r="VJJ292" s="1069"/>
      <c r="VJK292" s="1069"/>
      <c r="VJL292" s="1069"/>
      <c r="VJM292" s="1069"/>
      <c r="VJN292" s="1069"/>
      <c r="VJO292" s="1069"/>
      <c r="VJP292" s="1069"/>
      <c r="VJQ292" s="1069"/>
      <c r="VJR292" s="1069"/>
      <c r="VJS292" s="1069"/>
      <c r="VJT292" s="1069"/>
      <c r="VJU292" s="1069"/>
      <c r="VJV292" s="1069"/>
      <c r="VJW292" s="1069"/>
      <c r="VJX292" s="1069"/>
      <c r="VJY292" s="1069"/>
      <c r="VJZ292" s="1069"/>
      <c r="VKA292" s="1069"/>
      <c r="VKB292" s="1069"/>
      <c r="VKC292" s="1069"/>
      <c r="VKD292" s="1069"/>
      <c r="VKE292" s="1069"/>
      <c r="VKF292" s="1069"/>
      <c r="VKG292" s="1069"/>
      <c r="VKH292" s="1069"/>
      <c r="VKI292" s="1069"/>
      <c r="VKJ292" s="1069"/>
      <c r="VKK292" s="1069"/>
      <c r="VKL292" s="1069"/>
      <c r="VKM292" s="1069"/>
      <c r="VKN292" s="1069"/>
      <c r="VKO292" s="1069"/>
      <c r="VKP292" s="1069"/>
      <c r="VKQ292" s="1069"/>
      <c r="VKR292" s="1069"/>
      <c r="VKS292" s="1069"/>
      <c r="VKT292" s="1069"/>
      <c r="VKU292" s="1069"/>
      <c r="VKV292" s="1069"/>
      <c r="VKW292" s="1069"/>
      <c r="VKX292" s="1069"/>
      <c r="VKY292" s="1069"/>
      <c r="VKZ292" s="1069"/>
      <c r="VLA292" s="1069"/>
      <c r="VLB292" s="1069"/>
      <c r="VLC292" s="1069"/>
      <c r="VLD292" s="1069"/>
      <c r="VLE292" s="1069"/>
      <c r="VLF292" s="1069"/>
      <c r="VLG292" s="1069"/>
      <c r="VLH292" s="1069"/>
      <c r="VLI292" s="1069"/>
      <c r="VLJ292" s="1069"/>
      <c r="VLK292" s="1069"/>
      <c r="VLL292" s="1069"/>
      <c r="VLM292" s="1069"/>
      <c r="VLN292" s="1069"/>
      <c r="VLO292" s="1069"/>
      <c r="VLP292" s="1069"/>
      <c r="VLQ292" s="1069"/>
      <c r="VLR292" s="1069"/>
      <c r="VLS292" s="1069"/>
      <c r="VLT292" s="1069"/>
      <c r="VLU292" s="1069"/>
      <c r="VLV292" s="1069"/>
      <c r="VLW292" s="1069"/>
      <c r="VLX292" s="1069"/>
      <c r="VLY292" s="1069"/>
      <c r="VLZ292" s="1069"/>
      <c r="VMA292" s="1069"/>
      <c r="VMB292" s="1069"/>
      <c r="VMC292" s="1069"/>
      <c r="VMD292" s="1069"/>
      <c r="VME292" s="1069"/>
      <c r="VMF292" s="1069"/>
      <c r="VMG292" s="1069"/>
      <c r="VMH292" s="1069"/>
      <c r="VMI292" s="1069"/>
      <c r="VMJ292" s="1069"/>
      <c r="VMK292" s="1069"/>
      <c r="VML292" s="1069"/>
      <c r="VMM292" s="1069"/>
      <c r="VMN292" s="1069"/>
      <c r="VMO292" s="1069"/>
      <c r="VMP292" s="1069"/>
      <c r="VMQ292" s="1069"/>
      <c r="VMR292" s="1069"/>
      <c r="VMS292" s="1069"/>
      <c r="VMT292" s="1069"/>
      <c r="VMU292" s="1069"/>
      <c r="VMV292" s="1069"/>
      <c r="VMW292" s="1069"/>
      <c r="VMX292" s="1069"/>
      <c r="VMY292" s="1069"/>
      <c r="VMZ292" s="1069"/>
      <c r="VNA292" s="1069"/>
      <c r="VNB292" s="1069"/>
      <c r="VNC292" s="1069"/>
      <c r="VND292" s="1069"/>
      <c r="VNE292" s="1069"/>
      <c r="VNF292" s="1069"/>
      <c r="VNG292" s="1069"/>
      <c r="VNH292" s="1069"/>
      <c r="VNI292" s="1069"/>
      <c r="VNJ292" s="1069"/>
      <c r="VNK292" s="1069"/>
      <c r="VNL292" s="1069"/>
      <c r="VNM292" s="1069"/>
      <c r="VNN292" s="1069"/>
      <c r="VNO292" s="1069"/>
      <c r="VNP292" s="1069"/>
      <c r="VNQ292" s="1069"/>
      <c r="VNR292" s="1069"/>
      <c r="VNS292" s="1069"/>
      <c r="VNT292" s="1069"/>
      <c r="VNU292" s="1069"/>
      <c r="VNV292" s="1069"/>
      <c r="VNW292" s="1069"/>
      <c r="VNX292" s="1069"/>
      <c r="VNY292" s="1069"/>
      <c r="VNZ292" s="1069"/>
      <c r="VOA292" s="1069"/>
      <c r="VOB292" s="1069"/>
      <c r="VOC292" s="1069"/>
      <c r="VOD292" s="1069"/>
      <c r="VOE292" s="1069"/>
      <c r="VOF292" s="1069"/>
      <c r="VOG292" s="1069"/>
      <c r="VOH292" s="1069"/>
      <c r="VOI292" s="1069"/>
      <c r="VOJ292" s="1069"/>
      <c r="VOK292" s="1069"/>
      <c r="VOL292" s="1069"/>
      <c r="VOM292" s="1069"/>
      <c r="VON292" s="1069"/>
      <c r="VOO292" s="1069"/>
      <c r="VOP292" s="1069"/>
      <c r="VOQ292" s="1069"/>
      <c r="VOR292" s="1069"/>
      <c r="VOS292" s="1069"/>
      <c r="VOT292" s="1069"/>
      <c r="VOU292" s="1069"/>
      <c r="VOV292" s="1069"/>
      <c r="VOW292" s="1069"/>
      <c r="VOX292" s="1069"/>
      <c r="VOY292" s="1069"/>
      <c r="VOZ292" s="1069"/>
      <c r="VPA292" s="1069"/>
      <c r="VPB292" s="1069"/>
      <c r="VPC292" s="1069"/>
      <c r="VPD292" s="1069"/>
      <c r="VPE292" s="1069"/>
      <c r="VPF292" s="1069"/>
      <c r="VPG292" s="1069"/>
      <c r="VPH292" s="1069"/>
      <c r="VPI292" s="1069"/>
      <c r="VPJ292" s="1069"/>
      <c r="VPK292" s="1069"/>
      <c r="VPL292" s="1069"/>
      <c r="VPM292" s="1069"/>
      <c r="VPN292" s="1069"/>
      <c r="VPO292" s="1069"/>
      <c r="VPP292" s="1069"/>
      <c r="VPQ292" s="1069"/>
      <c r="VPR292" s="1069"/>
      <c r="VPS292" s="1069"/>
      <c r="VPT292" s="1069"/>
      <c r="VPU292" s="1069"/>
      <c r="VPV292" s="1069"/>
      <c r="VPW292" s="1069"/>
      <c r="VPX292" s="1069"/>
      <c r="VPY292" s="1069"/>
      <c r="VPZ292" s="1069"/>
      <c r="VQA292" s="1069"/>
      <c r="VQB292" s="1069"/>
      <c r="VQC292" s="1069"/>
      <c r="VQD292" s="1069"/>
      <c r="VQE292" s="1069"/>
      <c r="VQF292" s="1069"/>
      <c r="VQG292" s="1069"/>
      <c r="VQH292" s="1069"/>
      <c r="VQI292" s="1069"/>
      <c r="VQJ292" s="1069"/>
      <c r="VQK292" s="1069"/>
      <c r="VQL292" s="1069"/>
      <c r="VQM292" s="1069"/>
      <c r="VQN292" s="1069"/>
      <c r="VQO292" s="1069"/>
      <c r="VQP292" s="1069"/>
      <c r="VQQ292" s="1069"/>
      <c r="VQR292" s="1069"/>
      <c r="VQS292" s="1069"/>
      <c r="VQT292" s="1069"/>
      <c r="VQU292" s="1069"/>
      <c r="VQV292" s="1069"/>
      <c r="VQW292" s="1069"/>
      <c r="VQX292" s="1069"/>
      <c r="VQY292" s="1069"/>
      <c r="VQZ292" s="1069"/>
      <c r="VRA292" s="1069"/>
      <c r="VRB292" s="1069"/>
      <c r="VRC292" s="1069"/>
      <c r="VRD292" s="1069"/>
      <c r="VRE292" s="1069"/>
      <c r="VRF292" s="1069"/>
      <c r="VRG292" s="1069"/>
      <c r="VRH292" s="1069"/>
      <c r="VRI292" s="1069"/>
      <c r="VRJ292" s="1069"/>
      <c r="VRK292" s="1069"/>
      <c r="VRL292" s="1069"/>
      <c r="VRM292" s="1069"/>
      <c r="VRN292" s="1069"/>
      <c r="VRO292" s="1069"/>
      <c r="VRP292" s="1069"/>
      <c r="VRQ292" s="1069"/>
      <c r="VRR292" s="1069"/>
      <c r="VRS292" s="1069"/>
      <c r="VRT292" s="1069"/>
      <c r="VRU292" s="1069"/>
      <c r="VRV292" s="1069"/>
      <c r="VRW292" s="1069"/>
      <c r="VRX292" s="1069"/>
      <c r="VRY292" s="1069"/>
      <c r="VRZ292" s="1069"/>
      <c r="VSA292" s="1069"/>
      <c r="VSB292" s="1069"/>
      <c r="VSC292" s="1069"/>
      <c r="VSD292" s="1069"/>
      <c r="VSE292" s="1069"/>
      <c r="VSF292" s="1069"/>
      <c r="VSG292" s="1069"/>
      <c r="VSH292" s="1069"/>
      <c r="VSI292" s="1069"/>
      <c r="VSJ292" s="1069"/>
      <c r="VSK292" s="1069"/>
      <c r="VSL292" s="1069"/>
      <c r="VSM292" s="1069"/>
      <c r="VSN292" s="1069"/>
      <c r="VSO292" s="1069"/>
      <c r="VSP292" s="1069"/>
      <c r="VSQ292" s="1069"/>
      <c r="VSR292" s="1069"/>
      <c r="VSS292" s="1069"/>
      <c r="VST292" s="1069"/>
      <c r="VSU292" s="1069"/>
      <c r="VSV292" s="1069"/>
      <c r="VSW292" s="1069"/>
      <c r="VSX292" s="1069"/>
      <c r="VSY292" s="1069"/>
      <c r="VSZ292" s="1069"/>
      <c r="VTA292" s="1069"/>
      <c r="VTB292" s="1069"/>
      <c r="VTC292" s="1069"/>
      <c r="VTD292" s="1069"/>
      <c r="VTE292" s="1069"/>
      <c r="VTF292" s="1069"/>
      <c r="VTG292" s="1069"/>
      <c r="VTH292" s="1069"/>
      <c r="VTI292" s="1069"/>
      <c r="VTJ292" s="1069"/>
      <c r="VTK292" s="1069"/>
      <c r="VTL292" s="1069"/>
      <c r="VTM292" s="1069"/>
      <c r="VTN292" s="1069"/>
      <c r="VTO292" s="1069"/>
      <c r="VTP292" s="1069"/>
      <c r="VTQ292" s="1069"/>
      <c r="VTR292" s="1069"/>
      <c r="VTS292" s="1069"/>
      <c r="VTT292" s="1069"/>
      <c r="VTU292" s="1069"/>
      <c r="VTV292" s="1069"/>
      <c r="VTW292" s="1069"/>
      <c r="VTX292" s="1069"/>
      <c r="VTY292" s="1069"/>
      <c r="VTZ292" s="1069"/>
      <c r="VUA292" s="1069"/>
      <c r="VUB292" s="1069"/>
      <c r="VUC292" s="1069"/>
      <c r="VUD292" s="1069"/>
      <c r="VUE292" s="1069"/>
      <c r="VUF292" s="1069"/>
      <c r="VUG292" s="1069"/>
      <c r="VUH292" s="1069"/>
      <c r="VUI292" s="1069"/>
      <c r="VUJ292" s="1069"/>
      <c r="VUK292" s="1069"/>
      <c r="VUL292" s="1069"/>
      <c r="VUM292" s="1069"/>
      <c r="VUN292" s="1069"/>
      <c r="VUO292" s="1069"/>
      <c r="VUP292" s="1069"/>
      <c r="VUQ292" s="1069"/>
      <c r="VUR292" s="1069"/>
      <c r="VUS292" s="1069"/>
      <c r="VUT292" s="1069"/>
      <c r="VUU292" s="1069"/>
      <c r="VUV292" s="1069"/>
      <c r="VUW292" s="1069"/>
      <c r="VUX292" s="1069"/>
      <c r="VUY292" s="1069"/>
      <c r="VUZ292" s="1069"/>
      <c r="VVA292" s="1069"/>
      <c r="VVB292" s="1069"/>
      <c r="VVC292" s="1069"/>
      <c r="VVD292" s="1069"/>
      <c r="VVE292" s="1069"/>
      <c r="VVF292" s="1069"/>
      <c r="VVG292" s="1069"/>
      <c r="VVH292" s="1069"/>
      <c r="VVI292" s="1069"/>
      <c r="VVJ292" s="1069"/>
      <c r="VVK292" s="1069"/>
      <c r="VVL292" s="1069"/>
      <c r="VVM292" s="1069"/>
      <c r="VVN292" s="1069"/>
      <c r="VVO292" s="1069"/>
      <c r="VVP292" s="1069"/>
      <c r="VVQ292" s="1069"/>
      <c r="VVR292" s="1069"/>
      <c r="VVS292" s="1069"/>
      <c r="VVT292" s="1069"/>
      <c r="VVU292" s="1069"/>
      <c r="VVV292" s="1069"/>
      <c r="VVW292" s="1069"/>
      <c r="VVX292" s="1069"/>
      <c r="VVY292" s="1069"/>
      <c r="VVZ292" s="1069"/>
      <c r="VWA292" s="1069"/>
      <c r="VWB292" s="1069"/>
      <c r="VWC292" s="1069"/>
      <c r="VWD292" s="1069"/>
      <c r="VWE292" s="1069"/>
      <c r="VWF292" s="1069"/>
      <c r="VWG292" s="1069"/>
      <c r="VWH292" s="1069"/>
      <c r="VWI292" s="1069"/>
      <c r="VWJ292" s="1069"/>
      <c r="VWK292" s="1069"/>
      <c r="VWL292" s="1069"/>
      <c r="VWM292" s="1069"/>
      <c r="VWN292" s="1069"/>
      <c r="VWO292" s="1069"/>
      <c r="VWP292" s="1069"/>
      <c r="VWQ292" s="1069"/>
      <c r="VWR292" s="1069"/>
      <c r="VWS292" s="1069"/>
      <c r="VWT292" s="1069"/>
      <c r="VWU292" s="1069"/>
      <c r="VWV292" s="1069"/>
      <c r="VWW292" s="1069"/>
      <c r="VWX292" s="1069"/>
      <c r="VWY292" s="1069"/>
      <c r="VWZ292" s="1069"/>
      <c r="VXA292" s="1069"/>
      <c r="VXB292" s="1069"/>
      <c r="VXC292" s="1069"/>
      <c r="VXD292" s="1069"/>
      <c r="VXE292" s="1069"/>
      <c r="VXF292" s="1069"/>
      <c r="VXG292" s="1069"/>
      <c r="VXH292" s="1069"/>
      <c r="VXI292" s="1069"/>
      <c r="VXJ292" s="1069"/>
      <c r="VXK292" s="1069"/>
      <c r="VXL292" s="1069"/>
      <c r="VXM292" s="1069"/>
      <c r="VXN292" s="1069"/>
      <c r="VXO292" s="1069"/>
      <c r="VXP292" s="1069"/>
      <c r="VXQ292" s="1069"/>
      <c r="VXR292" s="1069"/>
      <c r="VXS292" s="1069"/>
      <c r="VXT292" s="1069"/>
      <c r="VXU292" s="1069"/>
      <c r="VXV292" s="1069"/>
      <c r="VXW292" s="1069"/>
      <c r="VXX292" s="1069"/>
      <c r="VXY292" s="1069"/>
      <c r="VXZ292" s="1069"/>
      <c r="VYA292" s="1069"/>
      <c r="VYB292" s="1069"/>
      <c r="VYC292" s="1069"/>
      <c r="VYD292" s="1069"/>
      <c r="VYE292" s="1069"/>
      <c r="VYF292" s="1069"/>
      <c r="VYG292" s="1069"/>
      <c r="VYH292" s="1069"/>
      <c r="VYI292" s="1069"/>
      <c r="VYJ292" s="1069"/>
      <c r="VYK292" s="1069"/>
      <c r="VYL292" s="1069"/>
      <c r="VYM292" s="1069"/>
      <c r="VYN292" s="1069"/>
      <c r="VYO292" s="1069"/>
      <c r="VYP292" s="1069"/>
      <c r="VYQ292" s="1069"/>
      <c r="VYR292" s="1069"/>
      <c r="VYS292" s="1069"/>
      <c r="VYT292" s="1069"/>
      <c r="VYU292" s="1069"/>
      <c r="VYV292" s="1069"/>
      <c r="VYW292" s="1069"/>
      <c r="VYX292" s="1069"/>
      <c r="VYY292" s="1069"/>
      <c r="VYZ292" s="1069"/>
      <c r="VZA292" s="1069"/>
      <c r="VZB292" s="1069"/>
      <c r="VZC292" s="1069"/>
      <c r="VZD292" s="1069"/>
      <c r="VZE292" s="1069"/>
      <c r="VZF292" s="1069"/>
      <c r="VZG292" s="1069"/>
      <c r="VZH292" s="1069"/>
      <c r="VZI292" s="1069"/>
      <c r="VZJ292" s="1069"/>
      <c r="VZK292" s="1069"/>
      <c r="VZL292" s="1069"/>
      <c r="VZM292" s="1069"/>
      <c r="VZN292" s="1069"/>
      <c r="VZO292" s="1069"/>
      <c r="VZP292" s="1069"/>
      <c r="VZQ292" s="1069"/>
      <c r="VZR292" s="1069"/>
      <c r="VZS292" s="1069"/>
      <c r="VZT292" s="1069"/>
      <c r="VZU292" s="1069"/>
      <c r="VZV292" s="1069"/>
      <c r="VZW292" s="1069"/>
      <c r="VZX292" s="1069"/>
      <c r="VZY292" s="1069"/>
      <c r="VZZ292" s="1069"/>
      <c r="WAA292" s="1069"/>
      <c r="WAB292" s="1069"/>
      <c r="WAC292" s="1069"/>
      <c r="WAD292" s="1069"/>
      <c r="WAE292" s="1069"/>
      <c r="WAF292" s="1069"/>
      <c r="WAG292" s="1069"/>
      <c r="WAH292" s="1069"/>
      <c r="WAI292" s="1069"/>
      <c r="WAJ292" s="1069"/>
      <c r="WAK292" s="1069"/>
      <c r="WAL292" s="1069"/>
      <c r="WAM292" s="1069"/>
      <c r="WAN292" s="1069"/>
      <c r="WAO292" s="1069"/>
      <c r="WAP292" s="1069"/>
      <c r="WAQ292" s="1069"/>
      <c r="WAR292" s="1069"/>
      <c r="WAS292" s="1069"/>
      <c r="WAT292" s="1069"/>
      <c r="WAU292" s="1069"/>
      <c r="WAV292" s="1069"/>
      <c r="WAW292" s="1069"/>
      <c r="WAX292" s="1069"/>
      <c r="WAY292" s="1069"/>
      <c r="WAZ292" s="1069"/>
      <c r="WBA292" s="1069"/>
      <c r="WBB292" s="1069"/>
      <c r="WBC292" s="1069"/>
      <c r="WBD292" s="1069"/>
      <c r="WBE292" s="1069"/>
      <c r="WBF292" s="1069"/>
      <c r="WBG292" s="1069"/>
      <c r="WBH292" s="1069"/>
      <c r="WBI292" s="1069"/>
      <c r="WBJ292" s="1069"/>
      <c r="WBK292" s="1069"/>
      <c r="WBL292" s="1069"/>
      <c r="WBM292" s="1069"/>
      <c r="WBN292" s="1069"/>
      <c r="WBO292" s="1069"/>
      <c r="WBP292" s="1069"/>
      <c r="WBQ292" s="1069"/>
      <c r="WBR292" s="1069"/>
      <c r="WBS292" s="1069"/>
      <c r="WBT292" s="1069"/>
      <c r="WBU292" s="1069"/>
      <c r="WBV292" s="1069"/>
      <c r="WBW292" s="1069"/>
      <c r="WBX292" s="1069"/>
      <c r="WBY292" s="1069"/>
      <c r="WBZ292" s="1069"/>
      <c r="WCA292" s="1069"/>
      <c r="WCB292" s="1069"/>
      <c r="WCC292" s="1069"/>
      <c r="WCD292" s="1069"/>
      <c r="WCE292" s="1069"/>
      <c r="WCF292" s="1069"/>
      <c r="WCG292" s="1069"/>
      <c r="WCH292" s="1069"/>
      <c r="WCI292" s="1069"/>
      <c r="WCJ292" s="1069"/>
      <c r="WCK292" s="1069"/>
      <c r="WCL292" s="1069"/>
      <c r="WCM292" s="1069"/>
      <c r="WCN292" s="1069"/>
      <c r="WCO292" s="1069"/>
      <c r="WCP292" s="1069"/>
      <c r="WCQ292" s="1069"/>
      <c r="WCR292" s="1069"/>
      <c r="WCS292" s="1069"/>
      <c r="WCT292" s="1069"/>
      <c r="WCU292" s="1069"/>
      <c r="WCV292" s="1069"/>
      <c r="WCW292" s="1069"/>
      <c r="WCX292" s="1069"/>
      <c r="WCY292" s="1069"/>
      <c r="WCZ292" s="1069"/>
      <c r="WDA292" s="1069"/>
      <c r="WDB292" s="1069"/>
      <c r="WDC292" s="1069"/>
      <c r="WDD292" s="1069"/>
      <c r="WDE292" s="1069"/>
      <c r="WDF292" s="1069"/>
      <c r="WDG292" s="1069"/>
      <c r="WDH292" s="1069"/>
      <c r="WDI292" s="1069"/>
      <c r="WDJ292" s="1069"/>
      <c r="WDK292" s="1069"/>
      <c r="WDL292" s="1069"/>
      <c r="WDM292" s="1069"/>
      <c r="WDN292" s="1069"/>
      <c r="WDO292" s="1069"/>
      <c r="WDP292" s="1069"/>
      <c r="WDQ292" s="1069"/>
      <c r="WDR292" s="1069"/>
      <c r="WDS292" s="1069"/>
      <c r="WDT292" s="1069"/>
      <c r="WDU292" s="1069"/>
      <c r="WDV292" s="1069"/>
      <c r="WDW292" s="1069"/>
      <c r="WDX292" s="1069"/>
      <c r="WDY292" s="1069"/>
      <c r="WDZ292" s="1069"/>
      <c r="WEA292" s="1069"/>
      <c r="WEB292" s="1069"/>
      <c r="WEC292" s="1069"/>
      <c r="WED292" s="1069"/>
      <c r="WEE292" s="1069"/>
      <c r="WEF292" s="1069"/>
      <c r="WEG292" s="1069"/>
      <c r="WEH292" s="1069"/>
      <c r="WEI292" s="1069"/>
      <c r="WEJ292" s="1069"/>
      <c r="WEK292" s="1069"/>
      <c r="WEL292" s="1069"/>
      <c r="WEM292" s="1069"/>
      <c r="WEN292" s="1069"/>
      <c r="WEO292" s="1069"/>
      <c r="WEP292" s="1069"/>
      <c r="WEQ292" s="1069"/>
      <c r="WER292" s="1069"/>
      <c r="WES292" s="1069"/>
      <c r="WET292" s="1069"/>
      <c r="WEU292" s="1069"/>
      <c r="WEV292" s="1069"/>
      <c r="WEW292" s="1069"/>
      <c r="WEX292" s="1069"/>
      <c r="WEY292" s="1069"/>
      <c r="WEZ292" s="1069"/>
      <c r="WFA292" s="1069"/>
      <c r="WFB292" s="1069"/>
      <c r="WFC292" s="1069"/>
      <c r="WFD292" s="1069"/>
      <c r="WFE292" s="1069"/>
      <c r="WFF292" s="1069"/>
      <c r="WFG292" s="1069"/>
      <c r="WFH292" s="1069"/>
      <c r="WFI292" s="1069"/>
      <c r="WFJ292" s="1069"/>
      <c r="WFK292" s="1069"/>
      <c r="WFL292" s="1069"/>
      <c r="WFM292" s="1069"/>
      <c r="WFN292" s="1069"/>
      <c r="WFO292" s="1069"/>
      <c r="WFP292" s="1069"/>
      <c r="WFQ292" s="1069"/>
      <c r="WFR292" s="1069"/>
      <c r="WFS292" s="1069"/>
      <c r="WFT292" s="1069"/>
      <c r="WFU292" s="1069"/>
      <c r="WFV292" s="1069"/>
      <c r="WFW292" s="1069"/>
      <c r="WFX292" s="1069"/>
      <c r="WFY292" s="1069"/>
      <c r="WFZ292" s="1069"/>
      <c r="WGA292" s="1069"/>
      <c r="WGB292" s="1069"/>
      <c r="WGC292" s="1069"/>
      <c r="WGD292" s="1069"/>
      <c r="WGE292" s="1069"/>
      <c r="WGF292" s="1069"/>
      <c r="WGG292" s="1069"/>
      <c r="WGH292" s="1069"/>
      <c r="WGI292" s="1069"/>
      <c r="WGJ292" s="1069"/>
      <c r="WGK292" s="1069"/>
      <c r="WGL292" s="1069"/>
      <c r="WGM292" s="1069"/>
      <c r="WGN292" s="1069"/>
      <c r="WGO292" s="1069"/>
      <c r="WGP292" s="1069"/>
      <c r="WGQ292" s="1069"/>
      <c r="WGR292" s="1069"/>
      <c r="WGS292" s="1069"/>
      <c r="WGT292" s="1069"/>
      <c r="WGU292" s="1069"/>
      <c r="WGV292" s="1069"/>
      <c r="WGW292" s="1069"/>
      <c r="WGX292" s="1069"/>
      <c r="WGY292" s="1069"/>
      <c r="WGZ292" s="1069"/>
      <c r="WHA292" s="1069"/>
      <c r="WHB292" s="1069"/>
      <c r="WHC292" s="1069"/>
      <c r="WHD292" s="1069"/>
      <c r="WHE292" s="1069"/>
      <c r="WHF292" s="1069"/>
      <c r="WHG292" s="1069"/>
      <c r="WHH292" s="1069"/>
      <c r="WHI292" s="1069"/>
      <c r="WHJ292" s="1069"/>
      <c r="WHK292" s="1069"/>
      <c r="WHL292" s="1069"/>
      <c r="WHM292" s="1069"/>
      <c r="WHN292" s="1069"/>
      <c r="WHO292" s="1069"/>
      <c r="WHP292" s="1069"/>
      <c r="WHQ292" s="1069"/>
      <c r="WHR292" s="1069"/>
      <c r="WHS292" s="1069"/>
      <c r="WHT292" s="1069"/>
      <c r="WHU292" s="1069"/>
      <c r="WHV292" s="1069"/>
      <c r="WHW292" s="1069"/>
      <c r="WHX292" s="1069"/>
      <c r="WHY292" s="1069"/>
      <c r="WHZ292" s="1069"/>
      <c r="WIA292" s="1069"/>
      <c r="WIB292" s="1069"/>
      <c r="WIC292" s="1069"/>
      <c r="WID292" s="1069"/>
      <c r="WIE292" s="1069"/>
      <c r="WIF292" s="1069"/>
      <c r="WIG292" s="1069"/>
      <c r="WIH292" s="1069"/>
      <c r="WII292" s="1069"/>
      <c r="WIJ292" s="1069"/>
      <c r="WIK292" s="1069"/>
      <c r="WIL292" s="1069"/>
      <c r="WIM292" s="1069"/>
      <c r="WIN292" s="1069"/>
      <c r="WIO292" s="1069"/>
      <c r="WIP292" s="1069"/>
      <c r="WIQ292" s="1069"/>
      <c r="WIR292" s="1069"/>
      <c r="WIS292" s="1069"/>
      <c r="WIT292" s="1069"/>
      <c r="WIU292" s="1069"/>
      <c r="WIV292" s="1069"/>
      <c r="WIW292" s="1069"/>
      <c r="WIX292" s="1069"/>
      <c r="WIY292" s="1069"/>
      <c r="WIZ292" s="1069"/>
      <c r="WJA292" s="1069"/>
      <c r="WJB292" s="1069"/>
      <c r="WJC292" s="1069"/>
      <c r="WJD292" s="1069"/>
      <c r="WJE292" s="1069"/>
      <c r="WJF292" s="1069"/>
      <c r="WJG292" s="1069"/>
      <c r="WJH292" s="1069"/>
      <c r="WJI292" s="1069"/>
      <c r="WJJ292" s="1069"/>
      <c r="WJK292" s="1069"/>
      <c r="WJL292" s="1069"/>
      <c r="WJM292" s="1069"/>
      <c r="WJN292" s="1069"/>
      <c r="WJO292" s="1069"/>
      <c r="WJP292" s="1069"/>
      <c r="WJQ292" s="1069"/>
      <c r="WJR292" s="1069"/>
      <c r="WJS292" s="1069"/>
      <c r="WJT292" s="1069"/>
      <c r="WJU292" s="1069"/>
      <c r="WJV292" s="1069"/>
      <c r="WJW292" s="1069"/>
      <c r="WJX292" s="1069"/>
      <c r="WJY292" s="1069"/>
      <c r="WJZ292" s="1069"/>
      <c r="WKA292" s="1069"/>
      <c r="WKB292" s="1069"/>
      <c r="WKC292" s="1069"/>
      <c r="WKD292" s="1069"/>
      <c r="WKE292" s="1069"/>
      <c r="WKF292" s="1069"/>
      <c r="WKG292" s="1069"/>
      <c r="WKH292" s="1069"/>
      <c r="WKI292" s="1069"/>
      <c r="WKJ292" s="1069"/>
      <c r="WKK292" s="1069"/>
      <c r="WKL292" s="1069"/>
      <c r="WKM292" s="1069"/>
      <c r="WKN292" s="1069"/>
      <c r="WKO292" s="1069"/>
      <c r="WKP292" s="1069"/>
      <c r="WKQ292" s="1069"/>
      <c r="WKR292" s="1069"/>
      <c r="WKS292" s="1069"/>
      <c r="WKT292" s="1069"/>
      <c r="WKU292" s="1069"/>
      <c r="WKV292" s="1069"/>
      <c r="WKW292" s="1069"/>
      <c r="WKX292" s="1069"/>
      <c r="WKY292" s="1069"/>
      <c r="WKZ292" s="1069"/>
      <c r="WLA292" s="1069"/>
      <c r="WLB292" s="1069"/>
      <c r="WLC292" s="1069"/>
      <c r="WLD292" s="1069"/>
      <c r="WLE292" s="1069"/>
      <c r="WLF292" s="1069"/>
      <c r="WLG292" s="1069"/>
      <c r="WLH292" s="1069"/>
      <c r="WLI292" s="1069"/>
      <c r="WLJ292" s="1069"/>
      <c r="WLK292" s="1069"/>
      <c r="WLL292" s="1069"/>
      <c r="WLM292" s="1069"/>
      <c r="WLN292" s="1069"/>
      <c r="WLO292" s="1069"/>
      <c r="WLP292" s="1069"/>
      <c r="WLQ292" s="1069"/>
      <c r="WLR292" s="1069"/>
      <c r="WLS292" s="1069"/>
      <c r="WLT292" s="1069"/>
      <c r="WLU292" s="1069"/>
      <c r="WLV292" s="1069"/>
      <c r="WLW292" s="1069"/>
      <c r="WLX292" s="1069"/>
      <c r="WLY292" s="1069"/>
      <c r="WLZ292" s="1069"/>
      <c r="WMA292" s="1069"/>
      <c r="WMB292" s="1069"/>
      <c r="WMC292" s="1069"/>
      <c r="WMD292" s="1069"/>
      <c r="WME292" s="1069"/>
      <c r="WMF292" s="1069"/>
      <c r="WMG292" s="1069"/>
      <c r="WMH292" s="1069"/>
      <c r="WMI292" s="1069"/>
      <c r="WMJ292" s="1069"/>
      <c r="WMK292" s="1069"/>
      <c r="WML292" s="1069"/>
      <c r="WMM292" s="1069"/>
      <c r="WMN292" s="1069"/>
      <c r="WMO292" s="1069"/>
      <c r="WMP292" s="1069"/>
      <c r="WMQ292" s="1069"/>
      <c r="WMR292" s="1069"/>
      <c r="WMS292" s="1069"/>
      <c r="WMT292" s="1069"/>
      <c r="WMU292" s="1069"/>
      <c r="WMV292" s="1069"/>
      <c r="WMW292" s="1069"/>
      <c r="WMX292" s="1069"/>
      <c r="WMY292" s="1069"/>
      <c r="WMZ292" s="1069"/>
      <c r="WNA292" s="1069"/>
      <c r="WNB292" s="1069"/>
      <c r="WNC292" s="1069"/>
      <c r="WND292" s="1069"/>
      <c r="WNE292" s="1069"/>
      <c r="WNF292" s="1069"/>
      <c r="WNG292" s="1069"/>
      <c r="WNH292" s="1069"/>
      <c r="WNI292" s="1069"/>
      <c r="WNJ292" s="1069"/>
      <c r="WNK292" s="1069"/>
      <c r="WNL292" s="1069"/>
      <c r="WNM292" s="1069"/>
      <c r="WNN292" s="1069"/>
      <c r="WNO292" s="1069"/>
      <c r="WNP292" s="1069"/>
      <c r="WNQ292" s="1069"/>
      <c r="WNR292" s="1069"/>
      <c r="WNS292" s="1069"/>
      <c r="WNT292" s="1069"/>
      <c r="WNU292" s="1069"/>
      <c r="WNV292" s="1069"/>
      <c r="WNW292" s="1069"/>
      <c r="WNX292" s="1069"/>
      <c r="WNY292" s="1069"/>
      <c r="WNZ292" s="1069"/>
      <c r="WOA292" s="1069"/>
      <c r="WOB292" s="1069"/>
      <c r="WOC292" s="1069"/>
      <c r="WOD292" s="1069"/>
      <c r="WOE292" s="1069"/>
      <c r="WOF292" s="1069"/>
      <c r="WOG292" s="1069"/>
      <c r="WOH292" s="1069"/>
      <c r="WOI292" s="1069"/>
      <c r="WOJ292" s="1069"/>
      <c r="WOK292" s="1069"/>
      <c r="WOL292" s="1069"/>
      <c r="WOM292" s="1069"/>
      <c r="WON292" s="1069"/>
      <c r="WOO292" s="1069"/>
      <c r="WOP292" s="1069"/>
      <c r="WOQ292" s="1069"/>
      <c r="WOR292" s="1069"/>
      <c r="WOS292" s="1069"/>
      <c r="WOT292" s="1069"/>
      <c r="WOU292" s="1069"/>
      <c r="WOV292" s="1069"/>
      <c r="WOW292" s="1069"/>
      <c r="WOX292" s="1069"/>
      <c r="WOY292" s="1069"/>
      <c r="WOZ292" s="1069"/>
      <c r="WPA292" s="1069"/>
      <c r="WPB292" s="1069"/>
      <c r="WPC292" s="1069"/>
      <c r="WPD292" s="1069"/>
      <c r="WPE292" s="1069"/>
      <c r="WPF292" s="1069"/>
      <c r="WPG292" s="1069"/>
      <c r="WPH292" s="1069"/>
      <c r="WPI292" s="1069"/>
      <c r="WPJ292" s="1069"/>
      <c r="WPK292" s="1069"/>
      <c r="WPL292" s="1069"/>
      <c r="WPM292" s="1069"/>
      <c r="WPN292" s="1069"/>
      <c r="WPO292" s="1069"/>
      <c r="WPP292" s="1069"/>
      <c r="WPQ292" s="1069"/>
      <c r="WPR292" s="1069"/>
      <c r="WPS292" s="1069"/>
      <c r="WPT292" s="1069"/>
      <c r="WPU292" s="1069"/>
      <c r="WPV292" s="1069"/>
      <c r="WPW292" s="1069"/>
      <c r="WPX292" s="1069"/>
      <c r="WPY292" s="1069"/>
      <c r="WPZ292" s="1069"/>
      <c r="WQA292" s="1069"/>
      <c r="WQB292" s="1069"/>
      <c r="WQC292" s="1069"/>
      <c r="WQD292" s="1069"/>
      <c r="WQE292" s="1069"/>
      <c r="WQF292" s="1069"/>
      <c r="WQG292" s="1069"/>
      <c r="WQH292" s="1069"/>
      <c r="WQI292" s="1069"/>
      <c r="WQJ292" s="1069"/>
      <c r="WQK292" s="1069"/>
      <c r="WQL292" s="1069"/>
      <c r="WQM292" s="1069"/>
      <c r="WQN292" s="1069"/>
      <c r="WQO292" s="1069"/>
      <c r="WQP292" s="1069"/>
      <c r="WQQ292" s="1069"/>
      <c r="WQR292" s="1069"/>
      <c r="WQS292" s="1069"/>
      <c r="WQT292" s="1069"/>
      <c r="WQU292" s="1069"/>
      <c r="WQV292" s="1069"/>
      <c r="WQW292" s="1069"/>
      <c r="WQX292" s="1069"/>
      <c r="WQY292" s="1069"/>
      <c r="WQZ292" s="1069"/>
      <c r="WRA292" s="1069"/>
      <c r="WRB292" s="1069"/>
      <c r="WRC292" s="1069"/>
      <c r="WRD292" s="1069"/>
      <c r="WRE292" s="1069"/>
      <c r="WRF292" s="1069"/>
      <c r="WRG292" s="1069"/>
      <c r="WRH292" s="1069"/>
      <c r="WRI292" s="1069"/>
      <c r="WRJ292" s="1069"/>
      <c r="WRK292" s="1069"/>
      <c r="WRL292" s="1069"/>
      <c r="WRM292" s="1069"/>
      <c r="WRN292" s="1069"/>
      <c r="WRO292" s="1069"/>
      <c r="WRP292" s="1069"/>
      <c r="WRQ292" s="1069"/>
      <c r="WRR292" s="1069"/>
      <c r="WRS292" s="1069"/>
      <c r="WRT292" s="1069"/>
      <c r="WRU292" s="1069"/>
      <c r="WRV292" s="1069"/>
      <c r="WRW292" s="1069"/>
      <c r="WRX292" s="1069"/>
      <c r="WRY292" s="1069"/>
      <c r="WRZ292" s="1069"/>
      <c r="WSA292" s="1069"/>
      <c r="WSB292" s="1069"/>
      <c r="WSC292" s="1069"/>
      <c r="WSD292" s="1069"/>
      <c r="WSE292" s="1069"/>
      <c r="WSF292" s="1069"/>
      <c r="WSG292" s="1069"/>
      <c r="WSH292" s="1069"/>
      <c r="WSI292" s="1069"/>
      <c r="WSJ292" s="1069"/>
      <c r="WSK292" s="1069"/>
      <c r="WSL292" s="1069"/>
      <c r="WSM292" s="1069"/>
      <c r="WSN292" s="1069"/>
      <c r="WSO292" s="1069"/>
      <c r="WSP292" s="1069"/>
      <c r="WSQ292" s="1069"/>
      <c r="WSR292" s="1069"/>
      <c r="WSS292" s="1069"/>
      <c r="WST292" s="1069"/>
      <c r="WSU292" s="1069"/>
      <c r="WSV292" s="1069"/>
      <c r="WSW292" s="1069"/>
      <c r="WSX292" s="1069"/>
      <c r="WSY292" s="1069"/>
      <c r="WSZ292" s="1069"/>
      <c r="WTA292" s="1069"/>
      <c r="WTB292" s="1069"/>
      <c r="WTC292" s="1069"/>
      <c r="WTD292" s="1069"/>
      <c r="WTE292" s="1069"/>
      <c r="WTF292" s="1069"/>
      <c r="WTG292" s="1069"/>
      <c r="WTH292" s="1069"/>
      <c r="WTI292" s="1069"/>
      <c r="WTJ292" s="1069"/>
      <c r="WTK292" s="1069"/>
      <c r="WTL292" s="1069"/>
      <c r="WTM292" s="1069"/>
      <c r="WTN292" s="1069"/>
      <c r="WTO292" s="1069"/>
      <c r="WTP292" s="1069"/>
      <c r="WTQ292" s="1069"/>
      <c r="WTR292" s="1069"/>
      <c r="WTS292" s="1069"/>
      <c r="WTT292" s="1069"/>
      <c r="WTU292" s="1069"/>
      <c r="WTV292" s="1069"/>
      <c r="WTW292" s="1069"/>
      <c r="WTX292" s="1069"/>
      <c r="WTY292" s="1069"/>
      <c r="WTZ292" s="1069"/>
      <c r="WUA292" s="1069"/>
      <c r="WUB292" s="1069"/>
      <c r="WUC292" s="1069"/>
      <c r="WUD292" s="1069"/>
      <c r="WUE292" s="1069"/>
      <c r="WUF292" s="1069"/>
      <c r="WUG292" s="1069"/>
      <c r="WUH292" s="1069"/>
      <c r="WUI292" s="1069"/>
      <c r="WUJ292" s="1069"/>
      <c r="WUK292" s="1069"/>
      <c r="WUL292" s="1069"/>
      <c r="WUM292" s="1069"/>
      <c r="WUN292" s="1069"/>
      <c r="WUO292" s="1069"/>
      <c r="WUP292" s="1069"/>
      <c r="WUQ292" s="1069"/>
      <c r="WUR292" s="1069"/>
      <c r="WUS292" s="1069"/>
      <c r="WUT292" s="1069"/>
      <c r="WUU292" s="1069"/>
      <c r="WUV292" s="1069"/>
      <c r="WUW292" s="1069"/>
      <c r="WUX292" s="1069"/>
      <c r="WUY292" s="1069"/>
      <c r="WUZ292" s="1069"/>
      <c r="WVA292" s="1069"/>
      <c r="WVB292" s="1069"/>
      <c r="WVC292" s="1069"/>
      <c r="WVD292" s="1069"/>
      <c r="WVE292" s="1069"/>
      <c r="WVF292" s="1069"/>
      <c r="WVG292" s="1069"/>
      <c r="WVH292" s="1069"/>
      <c r="WVI292" s="1069"/>
      <c r="WVJ292" s="1069"/>
      <c r="WVK292" s="1069"/>
      <c r="WVL292" s="1069"/>
      <c r="WVM292" s="1069"/>
      <c r="WVN292" s="1069"/>
      <c r="WVO292" s="1069"/>
      <c r="WVP292" s="1069"/>
      <c r="WVQ292" s="1069"/>
      <c r="WVR292" s="1069"/>
      <c r="WVS292" s="1069"/>
      <c r="WVT292" s="1069"/>
      <c r="WVU292" s="1069"/>
      <c r="WVV292" s="1069"/>
      <c r="WVW292" s="1069"/>
      <c r="WVX292" s="1069"/>
      <c r="WVY292" s="1069"/>
      <c r="WVZ292" s="1069"/>
      <c r="WWA292" s="1069"/>
      <c r="WWB292" s="1069"/>
      <c r="WWC292" s="1069"/>
      <c r="WWD292" s="1069"/>
      <c r="WWE292" s="1069"/>
      <c r="WWF292" s="1069"/>
      <c r="WWG292" s="1069"/>
      <c r="WWH292" s="1069"/>
      <c r="WWI292" s="1069"/>
      <c r="WWJ292" s="1069"/>
      <c r="WWK292" s="1069"/>
      <c r="WWL292" s="1069"/>
      <c r="WWM292" s="1069"/>
      <c r="WWN292" s="1069"/>
      <c r="WWO292" s="1069"/>
      <c r="WWP292" s="1069"/>
      <c r="WWQ292" s="1069"/>
      <c r="WWR292" s="1069"/>
      <c r="WWS292" s="1069"/>
      <c r="WWT292" s="1069"/>
      <c r="WWU292" s="1069"/>
      <c r="WWV292" s="1069"/>
      <c r="WWW292" s="1069"/>
      <c r="WWX292" s="1069"/>
      <c r="WWY292" s="1069"/>
      <c r="WWZ292" s="1069"/>
      <c r="WXA292" s="1069"/>
      <c r="WXB292" s="1069"/>
      <c r="WXC292" s="1069"/>
      <c r="WXD292" s="1069"/>
      <c r="WXE292" s="1069"/>
      <c r="WXF292" s="1069"/>
      <c r="WXG292" s="1069"/>
      <c r="WXH292" s="1069"/>
      <c r="WXI292" s="1069"/>
      <c r="WXJ292" s="1069"/>
      <c r="WXK292" s="1069"/>
      <c r="WXL292" s="1069"/>
      <c r="WXM292" s="1069"/>
      <c r="WXN292" s="1069"/>
      <c r="WXO292" s="1069"/>
      <c r="WXP292" s="1069"/>
      <c r="WXQ292" s="1069"/>
      <c r="WXR292" s="1069"/>
      <c r="WXS292" s="1069"/>
      <c r="WXT292" s="1069"/>
      <c r="WXU292" s="1069"/>
      <c r="WXV292" s="1069"/>
      <c r="WXW292" s="1069"/>
      <c r="WXX292" s="1069"/>
      <c r="WXY292" s="1069"/>
      <c r="WXZ292" s="1069"/>
      <c r="WYA292" s="1069"/>
      <c r="WYB292" s="1069"/>
      <c r="WYC292" s="1069"/>
      <c r="WYD292" s="1069"/>
      <c r="WYE292" s="1069"/>
      <c r="WYF292" s="1069"/>
      <c r="WYG292" s="1069"/>
      <c r="WYH292" s="1069"/>
      <c r="WYI292" s="1069"/>
      <c r="WYJ292" s="1069"/>
      <c r="WYK292" s="1069"/>
      <c r="WYL292" s="1069"/>
      <c r="WYM292" s="1069"/>
      <c r="WYN292" s="1069"/>
      <c r="WYO292" s="1069"/>
      <c r="WYP292" s="1069"/>
      <c r="WYQ292" s="1069"/>
      <c r="WYR292" s="1069"/>
      <c r="WYS292" s="1069"/>
      <c r="WYT292" s="1069"/>
      <c r="WYU292" s="1069"/>
      <c r="WYV292" s="1069"/>
      <c r="WYW292" s="1069"/>
      <c r="WYX292" s="1069"/>
      <c r="WYY292" s="1069"/>
      <c r="WYZ292" s="1069"/>
      <c r="WZA292" s="1069"/>
      <c r="WZB292" s="1069"/>
      <c r="WZC292" s="1069"/>
      <c r="WZD292" s="1069"/>
      <c r="WZE292" s="1069"/>
      <c r="WZF292" s="1069"/>
      <c r="WZG292" s="1069"/>
      <c r="WZH292" s="1069"/>
      <c r="WZI292" s="1069"/>
      <c r="WZJ292" s="1069"/>
      <c r="WZK292" s="1069"/>
      <c r="WZL292" s="1069"/>
      <c r="WZM292" s="1069"/>
      <c r="WZN292" s="1069"/>
      <c r="WZO292" s="1069"/>
      <c r="WZP292" s="1069"/>
      <c r="WZQ292" s="1069"/>
      <c r="WZR292" s="1069"/>
      <c r="WZS292" s="1069"/>
      <c r="WZT292" s="1069"/>
      <c r="WZU292" s="1069"/>
      <c r="WZV292" s="1069"/>
      <c r="WZW292" s="1069"/>
      <c r="WZX292" s="1069"/>
      <c r="WZY292" s="1069"/>
      <c r="WZZ292" s="1069"/>
      <c r="XAA292" s="1069"/>
      <c r="XAB292" s="1069"/>
      <c r="XAC292" s="1069"/>
      <c r="XAD292" s="1069"/>
      <c r="XAE292" s="1069"/>
      <c r="XAF292" s="1069"/>
      <c r="XAG292" s="1069"/>
      <c r="XAH292" s="1069"/>
      <c r="XAI292" s="1069"/>
      <c r="XAJ292" s="1069"/>
      <c r="XAK292" s="1069"/>
      <c r="XAL292" s="1069"/>
      <c r="XAM292" s="1069"/>
      <c r="XAN292" s="1069"/>
      <c r="XAO292" s="1069"/>
      <c r="XAP292" s="1069"/>
      <c r="XAQ292" s="1069"/>
      <c r="XAR292" s="1069"/>
      <c r="XAS292" s="1069"/>
      <c r="XAT292" s="1069"/>
      <c r="XAU292" s="1069"/>
      <c r="XAV292" s="1069"/>
      <c r="XAW292" s="1069"/>
      <c r="XAX292" s="1069"/>
      <c r="XAY292" s="1069"/>
      <c r="XAZ292" s="1069"/>
      <c r="XBA292" s="1069"/>
      <c r="XBB292" s="1069"/>
      <c r="XBC292" s="1069"/>
      <c r="XBD292" s="1069"/>
      <c r="XBE292" s="1069"/>
      <c r="XBF292" s="1069"/>
      <c r="XBG292" s="1069"/>
      <c r="XBH292" s="1069"/>
      <c r="XBI292" s="1069"/>
      <c r="XBJ292" s="1069"/>
      <c r="XBK292" s="1069"/>
      <c r="XBL292" s="1069"/>
      <c r="XBM292" s="1069"/>
      <c r="XBN292" s="1069"/>
      <c r="XBO292" s="1069"/>
      <c r="XBP292" s="1069"/>
      <c r="XBQ292" s="1069"/>
      <c r="XBR292" s="1069"/>
      <c r="XBS292" s="1069"/>
      <c r="XBT292" s="1069"/>
      <c r="XBU292" s="1069"/>
      <c r="XBV292" s="1069"/>
      <c r="XBW292" s="1069"/>
      <c r="XBX292" s="1069"/>
      <c r="XBY292" s="1069"/>
      <c r="XBZ292" s="1069"/>
      <c r="XCA292" s="1069"/>
      <c r="XCB292" s="1069"/>
      <c r="XCC292" s="1069"/>
      <c r="XCD292" s="1069"/>
      <c r="XCE292" s="1069"/>
      <c r="XCF292" s="1069"/>
      <c r="XCG292" s="1069"/>
      <c r="XCH292" s="1069"/>
      <c r="XCI292" s="1069"/>
      <c r="XCJ292" s="1069"/>
      <c r="XCK292" s="1069"/>
      <c r="XCL292" s="1069"/>
      <c r="XCM292" s="1069"/>
      <c r="XCN292" s="1069"/>
      <c r="XCO292" s="1069"/>
      <c r="XCP292" s="1069"/>
      <c r="XCQ292" s="1069"/>
      <c r="XCR292" s="1069"/>
      <c r="XCS292" s="1069"/>
      <c r="XCT292" s="1069"/>
      <c r="XCU292" s="1069"/>
      <c r="XCV292" s="1069"/>
      <c r="XCW292" s="1069"/>
      <c r="XCX292" s="1069"/>
      <c r="XCY292" s="1069"/>
      <c r="XCZ292" s="1069"/>
      <c r="XDA292" s="1069"/>
      <c r="XDB292" s="1069"/>
      <c r="XDC292" s="1069"/>
      <c r="XDD292" s="1069"/>
      <c r="XDE292" s="1069"/>
      <c r="XDF292" s="1069"/>
      <c r="XDG292" s="1069"/>
      <c r="XDH292" s="1069"/>
      <c r="XDI292" s="1069"/>
      <c r="XDJ292" s="1069"/>
      <c r="XDK292" s="1069"/>
      <c r="XDL292" s="1069"/>
      <c r="XDM292" s="1069"/>
      <c r="XDN292" s="1069"/>
      <c r="XDO292" s="1069"/>
      <c r="XDP292" s="1069"/>
      <c r="XDQ292" s="1069"/>
      <c r="XDR292" s="1069"/>
      <c r="XDS292" s="1069"/>
      <c r="XDT292" s="1069"/>
      <c r="XDU292" s="1069"/>
      <c r="XDV292" s="1069"/>
      <c r="XDW292" s="1069"/>
      <c r="XDX292" s="1069"/>
      <c r="XDY292" s="1069"/>
      <c r="XDZ292" s="1069"/>
      <c r="XEA292" s="1069"/>
      <c r="XEB292" s="1069"/>
      <c r="XEC292" s="1069"/>
    </row>
    <row r="293" spans="1:16357" s="1069" customFormat="1" ht="12.75" hidden="1" customHeight="1" outlineLevel="1" x14ac:dyDescent="0.35">
      <c r="A293" s="521" t="s">
        <v>708</v>
      </c>
      <c r="B293" s="50"/>
      <c r="C293" s="826"/>
      <c r="D293" s="827"/>
      <c r="E293" s="827"/>
      <c r="F293" s="828"/>
      <c r="G293" s="50"/>
      <c r="H293" s="826"/>
      <c r="I293" s="827"/>
      <c r="J293" s="827"/>
      <c r="K293" s="827"/>
      <c r="L293" s="50"/>
      <c r="M293" s="827"/>
      <c r="N293" s="827"/>
      <c r="O293" s="827"/>
      <c r="P293" s="827"/>
      <c r="Q293" s="50"/>
      <c r="R293" s="46"/>
      <c r="S293" s="46"/>
      <c r="T293" s="46"/>
      <c r="U293" s="47"/>
      <c r="V293" s="50"/>
      <c r="W293" s="46"/>
      <c r="X293" s="46"/>
      <c r="Y293" s="46"/>
      <c r="Z293" s="47"/>
      <c r="AA293" s="52"/>
      <c r="AB293" s="82"/>
      <c r="AC293" s="46"/>
      <c r="AD293" s="46"/>
      <c r="AE293" s="46"/>
      <c r="AF293" s="50"/>
      <c r="AG293" s="46"/>
      <c r="AH293" s="46"/>
      <c r="AI293" s="46"/>
      <c r="AJ293" s="46"/>
      <c r="AK293" s="50"/>
      <c r="AL293" s="46"/>
      <c r="AM293" s="46"/>
      <c r="AN293" s="46"/>
      <c r="AO293" s="46"/>
      <c r="AP293" s="50"/>
      <c r="AQ293" s="46"/>
      <c r="AR293" s="46"/>
      <c r="AS293" s="46"/>
      <c r="AT293" s="46"/>
      <c r="AU293" s="81"/>
      <c r="AV293" s="49"/>
      <c r="AW293" s="46"/>
      <c r="AX293" s="46"/>
      <c r="AY293" s="46"/>
      <c r="AZ293" s="46"/>
      <c r="BA293" s="50"/>
      <c r="BB293" s="46"/>
      <c r="BC293" s="46"/>
      <c r="BD293" s="46"/>
      <c r="BE293" s="46"/>
      <c r="BF293" s="50"/>
      <c r="BG293" s="46"/>
      <c r="BH293" s="46"/>
      <c r="BI293" s="46"/>
      <c r="BJ293" s="46"/>
      <c r="BK293" s="50"/>
      <c r="BL293" s="852">
        <f t="shared" ref="BL293:BP293" si="1611">BL288-BL283</f>
        <v>0</v>
      </c>
      <c r="BM293" s="852">
        <f t="shared" si="1611"/>
        <v>0</v>
      </c>
      <c r="BN293" s="852">
        <f t="shared" si="1611"/>
        <v>0</v>
      </c>
      <c r="BO293" s="852">
        <f t="shared" si="1611"/>
        <v>0</v>
      </c>
      <c r="BP293" s="1065">
        <f t="shared" si="1611"/>
        <v>0</v>
      </c>
      <c r="BQ293" s="852">
        <f t="shared" ref="BQ293:DN293" si="1612">BQ288-BQ283</f>
        <v>0</v>
      </c>
      <c r="BR293" s="852">
        <f t="shared" si="1612"/>
        <v>0</v>
      </c>
      <c r="BS293" s="852">
        <f t="shared" si="1612"/>
        <v>0</v>
      </c>
      <c r="BT293" s="852">
        <f t="shared" si="1612"/>
        <v>-3.1426259271315047</v>
      </c>
      <c r="BU293" s="1065">
        <f t="shared" si="1612"/>
        <v>-3.1426259271312915</v>
      </c>
      <c r="BV293" s="1309">
        <f t="shared" ref="BV293:BZ293" si="1613">BV288-BV283</f>
        <v>409.02342487928456</v>
      </c>
      <c r="BW293" s="1309">
        <f t="shared" si="1613"/>
        <v>447.99260007998345</v>
      </c>
      <c r="BX293" s="1309">
        <f t="shared" si="1613"/>
        <v>477.86539020595797</v>
      </c>
      <c r="BY293" s="1309">
        <f t="shared" si="1613"/>
        <v>482.44935370139422</v>
      </c>
      <c r="BZ293" s="1065">
        <f t="shared" si="1613"/>
        <v>1817.3307688666198</v>
      </c>
      <c r="CA293" s="852">
        <f t="shared" si="1612"/>
        <v>409.02342487928456</v>
      </c>
      <c r="CB293" s="852">
        <f t="shared" si="1612"/>
        <v>447.99260007998345</v>
      </c>
      <c r="CC293" s="852">
        <f t="shared" si="1612"/>
        <v>477.86539020595797</v>
      </c>
      <c r="CD293" s="852">
        <f t="shared" si="1612"/>
        <v>482.44935370139422</v>
      </c>
      <c r="CE293" s="1065">
        <f t="shared" si="1612"/>
        <v>1817.3307688666198</v>
      </c>
      <c r="CF293" s="852">
        <f t="shared" si="1612"/>
        <v>453.38554658268623</v>
      </c>
      <c r="CG293" s="852">
        <f t="shared" si="1612"/>
        <v>472.17731003384364</v>
      </c>
      <c r="CH293" s="852">
        <f t="shared" si="1612"/>
        <v>500.20377417424055</v>
      </c>
      <c r="CI293" s="852">
        <f t="shared" si="1612"/>
        <v>504.52232829641423</v>
      </c>
      <c r="CJ293" s="1065">
        <f t="shared" si="1612"/>
        <v>1930.2889590871844</v>
      </c>
      <c r="CK293" s="852">
        <f t="shared" si="1612"/>
        <v>458.39009141737927</v>
      </c>
      <c r="CL293" s="852">
        <f t="shared" si="1612"/>
        <v>483.84547150688979</v>
      </c>
      <c r="CM293" s="852">
        <f t="shared" si="1612"/>
        <v>521.2756192129151</v>
      </c>
      <c r="CN293" s="852">
        <f t="shared" si="1612"/>
        <v>522.73279323604777</v>
      </c>
      <c r="CO293" s="1065">
        <f t="shared" si="1612"/>
        <v>1986.2439753732319</v>
      </c>
      <c r="CP293" s="852">
        <f t="shared" si="1612"/>
        <v>469.60054476594019</v>
      </c>
      <c r="CQ293" s="852">
        <f t="shared" si="1612"/>
        <v>496.49932003078618</v>
      </c>
      <c r="CR293" s="852">
        <f t="shared" si="1612"/>
        <v>532.32380061191634</v>
      </c>
      <c r="CS293" s="852">
        <f t="shared" si="1612"/>
        <v>526.36079308658475</v>
      </c>
      <c r="CT293" s="1065">
        <f t="shared" si="1612"/>
        <v>2024.7844584952277</v>
      </c>
      <c r="CU293" s="852">
        <f t="shared" si="1612"/>
        <v>476.03020686284503</v>
      </c>
      <c r="CV293" s="852">
        <f t="shared" si="1612"/>
        <v>503.12757830461749</v>
      </c>
      <c r="CW293" s="852">
        <f t="shared" si="1612"/>
        <v>540.1483602448867</v>
      </c>
      <c r="CX293" s="852">
        <f t="shared" si="1612"/>
        <v>537.20608561812503</v>
      </c>
      <c r="CY293" s="1065">
        <f t="shared" si="1612"/>
        <v>2056.5122310304737</v>
      </c>
      <c r="CZ293" s="852">
        <f t="shared" si="1612"/>
        <v>492.75305772817967</v>
      </c>
      <c r="DA293" s="852">
        <f t="shared" si="1612"/>
        <v>513.93645351856458</v>
      </c>
      <c r="DB293" s="852">
        <f t="shared" si="1612"/>
        <v>552.5359062270245</v>
      </c>
      <c r="DC293" s="852">
        <f t="shared" si="1612"/>
        <v>550.28662396937921</v>
      </c>
      <c r="DD293" s="1065">
        <f t="shared" si="1612"/>
        <v>2109.5120414431481</v>
      </c>
      <c r="DE293" s="852">
        <f t="shared" si="1612"/>
        <v>499.30536774901418</v>
      </c>
      <c r="DF293" s="852">
        <f t="shared" si="1612"/>
        <v>527.39284986372115</v>
      </c>
      <c r="DG293" s="852">
        <f t="shared" si="1612"/>
        <v>567.31606175618288</v>
      </c>
      <c r="DH293" s="852">
        <f t="shared" si="1612"/>
        <v>565.50073097847735</v>
      </c>
      <c r="DI293" s="1065">
        <f t="shared" si="1612"/>
        <v>2159.5150103473952</v>
      </c>
      <c r="DJ293" s="852">
        <f t="shared" si="1612"/>
        <v>514.60221307190329</v>
      </c>
      <c r="DK293" s="852">
        <f t="shared" si="1612"/>
        <v>544.62332041820548</v>
      </c>
      <c r="DL293" s="852">
        <f t="shared" si="1612"/>
        <v>587.18500127754362</v>
      </c>
      <c r="DM293" s="852">
        <f t="shared" si="1612"/>
        <v>585.60732672645815</v>
      </c>
      <c r="DN293" s="1065">
        <f t="shared" si="1612"/>
        <v>2232.0178614941105</v>
      </c>
      <c r="DO293" s="852"/>
      <c r="DP293" s="852"/>
      <c r="DQ293" s="852"/>
      <c r="DR293" s="852"/>
      <c r="DS293" s="1065"/>
      <c r="DT293" s="46"/>
      <c r="DU293" s="46"/>
      <c r="DV293" s="46"/>
      <c r="DW293" s="46"/>
      <c r="DX293" s="50"/>
      <c r="DY293" s="46"/>
      <c r="DZ293" s="46"/>
      <c r="EA293" s="46"/>
      <c r="EB293" s="46"/>
      <c r="EC293" s="50"/>
      <c r="ED293" s="46"/>
      <c r="EE293" s="37"/>
      <c r="EF293" s="286"/>
      <c r="EG293" s="25"/>
      <c r="EH293" s="25"/>
      <c r="EI293" s="25"/>
      <c r="EJ293" s="25"/>
      <c r="EK293" s="25"/>
      <c r="EL293" s="25"/>
      <c r="EM293" s="25"/>
      <c r="EN293" s="25"/>
      <c r="EO293" s="25"/>
      <c r="EP293" s="25"/>
      <c r="EQ293" s="25"/>
      <c r="ER293" s="25"/>
      <c r="ES293" s="25"/>
      <c r="ET293" s="25"/>
      <c r="EU293" s="25"/>
      <c r="EX293" s="25"/>
      <c r="EY293" s="294"/>
      <c r="EZ293" s="985"/>
      <c r="FA293" s="985"/>
      <c r="FB293" s="294"/>
      <c r="FC293" s="985"/>
      <c r="FD293" s="25"/>
      <c r="FE293"/>
      <c r="FF293"/>
      <c r="FG293"/>
      <c r="FH293"/>
      <c r="FI293"/>
      <c r="FJ293"/>
    </row>
    <row r="294" spans="1:16357" s="1069" customFormat="1" ht="12.75" hidden="1" customHeight="1" outlineLevel="1" x14ac:dyDescent="0.35">
      <c r="A294" s="521"/>
      <c r="B294" s="50"/>
      <c r="C294" s="826"/>
      <c r="D294" s="827"/>
      <c r="E294" s="827"/>
      <c r="F294" s="828"/>
      <c r="G294" s="50"/>
      <c r="H294" s="826"/>
      <c r="I294" s="827"/>
      <c r="J294" s="827"/>
      <c r="K294" s="827"/>
      <c r="L294" s="50"/>
      <c r="M294" s="827"/>
      <c r="N294" s="827"/>
      <c r="O294" s="827"/>
      <c r="P294" s="827"/>
      <c r="Q294" s="50"/>
      <c r="R294" s="46"/>
      <c r="S294" s="46"/>
      <c r="T294" s="46"/>
      <c r="U294" s="47"/>
      <c r="V294" s="50"/>
      <c r="W294" s="46"/>
      <c r="X294" s="46"/>
      <c r="Y294" s="46"/>
      <c r="Z294" s="47"/>
      <c r="AA294" s="52"/>
      <c r="AB294" s="82"/>
      <c r="AC294" s="46"/>
      <c r="AD294" s="46"/>
      <c r="AE294" s="46"/>
      <c r="AF294" s="50"/>
      <c r="AG294" s="46"/>
      <c r="AH294" s="46"/>
      <c r="AI294" s="46"/>
      <c r="AJ294" s="46"/>
      <c r="AK294" s="50"/>
      <c r="AL294" s="46"/>
      <c r="AM294" s="46"/>
      <c r="AN294" s="46"/>
      <c r="AO294" s="46"/>
      <c r="AP294" s="50"/>
      <c r="AQ294" s="46"/>
      <c r="AR294" s="46"/>
      <c r="AS294" s="46"/>
      <c r="AT294" s="46"/>
      <c r="AU294" s="81"/>
      <c r="AV294" s="49"/>
      <c r="AW294" s="46"/>
      <c r="AX294" s="46"/>
      <c r="AY294" s="46"/>
      <c r="AZ294" s="46"/>
      <c r="BA294" s="50"/>
      <c r="BB294" s="46"/>
      <c r="BC294" s="46"/>
      <c r="BD294" s="46"/>
      <c r="BE294" s="46"/>
      <c r="BF294" s="50"/>
      <c r="BG294" s="46"/>
      <c r="BH294" s="46"/>
      <c r="BI294" s="46"/>
      <c r="BJ294" s="46"/>
      <c r="BK294" s="50"/>
      <c r="BL294" s="852"/>
      <c r="BM294" s="852"/>
      <c r="BN294" s="852"/>
      <c r="BO294" s="852"/>
      <c r="BP294" s="50"/>
      <c r="BQ294" s="852"/>
      <c r="BR294" s="852"/>
      <c r="BS294" s="852"/>
      <c r="BT294" s="852"/>
      <c r="BU294" s="50"/>
      <c r="BV294" s="1309"/>
      <c r="BW294" s="1309"/>
      <c r="BX294" s="1309"/>
      <c r="BY294" s="1309"/>
      <c r="BZ294" s="50"/>
      <c r="CA294" s="852"/>
      <c r="CB294" s="852"/>
      <c r="CC294" s="852"/>
      <c r="CD294" s="852"/>
      <c r="CE294" s="50"/>
      <c r="CF294" s="852"/>
      <c r="CG294" s="852"/>
      <c r="CH294" s="852"/>
      <c r="CI294" s="852"/>
      <c r="CJ294" s="50"/>
      <c r="CK294" s="852"/>
      <c r="CL294" s="852"/>
      <c r="CM294" s="852"/>
      <c r="CN294" s="852"/>
      <c r="CO294" s="50"/>
      <c r="CP294" s="852"/>
      <c r="CQ294" s="852"/>
      <c r="CR294" s="852"/>
      <c r="CS294" s="852"/>
      <c r="CT294" s="50"/>
      <c r="CU294" s="852"/>
      <c r="CV294" s="852"/>
      <c r="CW294" s="852"/>
      <c r="CX294" s="852"/>
      <c r="CY294" s="50"/>
      <c r="CZ294" s="852"/>
      <c r="DA294" s="852"/>
      <c r="DB294" s="852"/>
      <c r="DC294" s="852"/>
      <c r="DD294" s="50"/>
      <c r="DE294" s="852"/>
      <c r="DF294" s="852"/>
      <c r="DG294" s="852"/>
      <c r="DH294" s="852"/>
      <c r="DI294" s="50"/>
      <c r="DJ294" s="852"/>
      <c r="DK294" s="852"/>
      <c r="DL294" s="852"/>
      <c r="DM294" s="852"/>
      <c r="DN294" s="50"/>
      <c r="DO294" s="852"/>
      <c r="DP294" s="852"/>
      <c r="DQ294" s="852"/>
      <c r="DR294" s="852"/>
      <c r="DS294" s="50"/>
      <c r="DT294" s="46"/>
      <c r="DU294" s="46"/>
      <c r="DV294" s="46"/>
      <c r="DW294" s="46"/>
      <c r="DX294" s="50"/>
      <c r="DY294" s="46"/>
      <c r="DZ294" s="46"/>
      <c r="EA294" s="46"/>
      <c r="EB294" s="46"/>
      <c r="EC294" s="50"/>
      <c r="ED294" s="46"/>
      <c r="EE294" s="37"/>
      <c r="EF294" s="286"/>
      <c r="EG294" s="25"/>
      <c r="EH294" s="25"/>
      <c r="EI294" s="25"/>
      <c r="EJ294" s="25"/>
      <c r="EK294" s="25"/>
      <c r="EL294" s="25"/>
      <c r="EM294" s="25"/>
      <c r="EN294" s="25"/>
      <c r="EO294" s="25"/>
      <c r="EP294" s="25"/>
      <c r="EQ294" s="25"/>
      <c r="ER294" s="25"/>
      <c r="ES294" s="25"/>
      <c r="ET294" s="25"/>
      <c r="EU294" s="25"/>
      <c r="EX294" s="25"/>
      <c r="EY294" s="294"/>
      <c r="EZ294" s="985"/>
      <c r="FA294" s="985"/>
      <c r="FB294" s="294"/>
      <c r="FC294" s="985"/>
      <c r="FD294" s="25"/>
      <c r="FE294"/>
      <c r="FF294"/>
      <c r="FG294"/>
      <c r="FH294"/>
      <c r="FI294"/>
      <c r="FJ294"/>
    </row>
    <row r="295" spans="1:16357" ht="12.75" hidden="1" customHeight="1" outlineLevel="1" x14ac:dyDescent="0.35">
      <c r="A295" s="17"/>
      <c r="B295" s="85"/>
      <c r="C295" s="89"/>
      <c r="D295" s="90"/>
      <c r="E295" s="90"/>
      <c r="F295" s="92"/>
      <c r="G295" s="85"/>
      <c r="H295" s="89"/>
      <c r="I295" s="90"/>
      <c r="J295" s="90"/>
      <c r="K295" s="90"/>
      <c r="L295" s="85"/>
      <c r="M295" s="90"/>
      <c r="N295" s="90"/>
      <c r="O295" s="90"/>
      <c r="P295" s="90"/>
      <c r="Q295" s="85"/>
      <c r="R295" s="38"/>
      <c r="S295" s="38"/>
      <c r="T295" s="38"/>
      <c r="U295" s="39"/>
      <c r="V295" s="85"/>
      <c r="W295" s="38"/>
      <c r="X295" s="38"/>
      <c r="Y295" s="38"/>
      <c r="Z295" s="39"/>
      <c r="AA295" s="54"/>
      <c r="AB295" s="87"/>
      <c r="AC295" s="38"/>
      <c r="AD295" s="38"/>
      <c r="AE295" s="38"/>
      <c r="AF295" s="85"/>
      <c r="AG295" s="38"/>
      <c r="AH295" s="38"/>
      <c r="AI295" s="38"/>
      <c r="AJ295" s="38"/>
      <c r="AK295" s="85"/>
      <c r="AL295" s="38"/>
      <c r="AM295" s="38"/>
      <c r="AN295" s="38"/>
      <c r="AO295" s="38"/>
      <c r="AP295" s="85"/>
      <c r="AQ295" s="38"/>
      <c r="AR295" s="38"/>
      <c r="AS295" s="38"/>
      <c r="AT295" s="38"/>
      <c r="AU295" s="86"/>
      <c r="AV295" s="45"/>
      <c r="AW295" s="38"/>
      <c r="AX295" s="38"/>
      <c r="AY295" s="38"/>
      <c r="AZ295" s="38"/>
      <c r="BA295" s="85"/>
      <c r="BB295" s="38"/>
      <c r="BC295" s="38"/>
      <c r="BD295" s="38"/>
      <c r="BE295" s="38"/>
      <c r="BF295" s="85"/>
      <c r="BG295" s="38"/>
      <c r="BH295" s="38"/>
      <c r="BI295" s="38"/>
      <c r="BJ295" s="38"/>
      <c r="BK295" s="85"/>
      <c r="BL295" s="440"/>
      <c r="BM295" s="38"/>
      <c r="BN295" s="38"/>
      <c r="BO295" s="38"/>
      <c r="BP295" s="85"/>
      <c r="BQ295" s="440"/>
      <c r="BR295" s="38"/>
      <c r="BS295" s="38"/>
      <c r="BT295" s="38"/>
      <c r="BU295" s="85"/>
      <c r="BV295" s="1300"/>
      <c r="BW295" s="1070"/>
      <c r="BX295" s="1070"/>
      <c r="BY295" s="1070"/>
      <c r="BZ295" s="85"/>
      <c r="CA295" s="38"/>
      <c r="CB295" s="38"/>
      <c r="CC295" s="38"/>
      <c r="CD295" s="38"/>
      <c r="CE295" s="85"/>
      <c r="CF295" s="38"/>
      <c r="CG295" s="38"/>
      <c r="CH295" s="38"/>
      <c r="CI295" s="38"/>
      <c r="CJ295" s="85"/>
      <c r="CK295" s="38"/>
      <c r="CL295" s="38"/>
      <c r="CM295" s="38"/>
      <c r="CN295" s="38"/>
      <c r="CO295" s="85"/>
      <c r="CP295" s="38"/>
      <c r="CQ295" s="38"/>
      <c r="CR295" s="38"/>
      <c r="CS295" s="38"/>
      <c r="CT295" s="85"/>
      <c r="CU295" s="38"/>
      <c r="CV295" s="38"/>
      <c r="CW295" s="38"/>
      <c r="CX295" s="38"/>
      <c r="CY295" s="85"/>
      <c r="CZ295" s="38"/>
      <c r="DA295" s="38"/>
      <c r="DB295" s="38"/>
      <c r="DC295" s="38"/>
      <c r="DD295" s="85"/>
      <c r="DE295" s="38"/>
      <c r="DF295" s="38"/>
      <c r="DG295" s="38"/>
      <c r="DH295" s="38"/>
      <c r="DI295" s="85"/>
      <c r="DJ295" s="38"/>
      <c r="DK295" s="38"/>
      <c r="DL295" s="38"/>
      <c r="DM295" s="38"/>
      <c r="DN295" s="85"/>
      <c r="DO295" s="38"/>
      <c r="DP295" s="38"/>
      <c r="DQ295" s="38"/>
      <c r="DR295" s="38"/>
      <c r="DS295" s="85"/>
      <c r="DT295" s="38"/>
      <c r="DU295" s="38"/>
      <c r="DV295" s="38"/>
      <c r="DW295" s="38"/>
      <c r="DX295" s="85"/>
      <c r="DY295" s="38"/>
      <c r="DZ295" s="38"/>
      <c r="EA295" s="38"/>
      <c r="EB295" s="38"/>
      <c r="EC295" s="85"/>
      <c r="ED295" s="46"/>
      <c r="EE295" s="37"/>
      <c r="EF295" s="286"/>
      <c r="EG295" s="25"/>
      <c r="EH295" s="25"/>
      <c r="EI295" s="25"/>
      <c r="EJ295" s="25"/>
      <c r="EK295" s="25"/>
      <c r="EL295" s="25"/>
      <c r="EM295" s="25"/>
      <c r="EN295" s="25"/>
      <c r="EO295" s="25"/>
      <c r="EP295" s="25"/>
      <c r="EQ295" s="25"/>
      <c r="ER295" s="25"/>
      <c r="ES295" s="25"/>
      <c r="ET295" s="25"/>
      <c r="EU295" s="25"/>
      <c r="EX295" s="25"/>
      <c r="EY295" s="294"/>
      <c r="EZ295" s="985"/>
      <c r="FA295" s="985"/>
      <c r="FB295" s="294"/>
      <c r="FC295" s="985"/>
      <c r="FD295" s="25"/>
      <c r="FK295" s="1069"/>
      <c r="FL295" s="1069"/>
      <c r="FM295" s="1069"/>
      <c r="FN295" s="1069"/>
      <c r="FO295" s="1069"/>
      <c r="FP295" s="1069"/>
      <c r="FQ295" s="1069"/>
      <c r="FR295" s="1069"/>
      <c r="FS295" s="1069"/>
      <c r="FT295" s="1069"/>
      <c r="FU295" s="1069"/>
      <c r="FV295" s="1069"/>
      <c r="FW295" s="1069"/>
      <c r="FX295" s="1069"/>
      <c r="FY295" s="1069"/>
      <c r="FZ295" s="1069"/>
      <c r="GA295" s="1069"/>
      <c r="GB295" s="1069"/>
      <c r="GC295" s="1069"/>
      <c r="GD295" s="1069"/>
      <c r="GE295" s="1069"/>
      <c r="GF295" s="1069"/>
      <c r="GG295" s="1069"/>
      <c r="GH295" s="1069"/>
      <c r="GI295" s="1069"/>
      <c r="GJ295" s="1069"/>
      <c r="GK295" s="1069"/>
      <c r="GL295" s="1069"/>
      <c r="GM295" s="1069"/>
      <c r="GN295" s="1069"/>
      <c r="GO295" s="1069"/>
      <c r="GP295" s="1069"/>
      <c r="GQ295" s="1069"/>
      <c r="GR295" s="1069"/>
      <c r="GS295" s="1069"/>
      <c r="GT295" s="1069"/>
      <c r="GU295" s="1069"/>
      <c r="GV295" s="1069"/>
      <c r="GW295" s="1069"/>
      <c r="GX295" s="1069"/>
      <c r="GY295" s="1069"/>
      <c r="GZ295" s="1069"/>
      <c r="HA295" s="1069"/>
      <c r="HB295" s="1069"/>
      <c r="HC295" s="1069"/>
      <c r="HD295" s="1069"/>
      <c r="HE295" s="1069"/>
      <c r="HF295" s="1069"/>
      <c r="HG295" s="1069"/>
      <c r="HH295" s="1069"/>
      <c r="HI295" s="1069"/>
      <c r="HJ295" s="1069"/>
      <c r="HK295" s="1069"/>
      <c r="HL295" s="1069"/>
      <c r="HM295" s="1069"/>
      <c r="HN295" s="1069"/>
      <c r="HO295" s="1069"/>
      <c r="HP295" s="1069"/>
      <c r="HQ295" s="1069"/>
      <c r="HR295" s="1069"/>
      <c r="HS295" s="1069"/>
      <c r="HT295" s="1069"/>
      <c r="HU295" s="1069"/>
      <c r="HV295" s="1069"/>
      <c r="HW295" s="1069"/>
      <c r="HX295" s="1069"/>
      <c r="HY295" s="1069"/>
      <c r="HZ295" s="1069"/>
      <c r="IA295" s="1069"/>
      <c r="IB295" s="1069"/>
      <c r="IC295" s="1069"/>
      <c r="ID295" s="1069"/>
      <c r="IE295" s="1069"/>
      <c r="IF295" s="1069"/>
      <c r="IG295" s="1069"/>
      <c r="IH295" s="1069"/>
      <c r="II295" s="1069"/>
      <c r="IJ295" s="1069"/>
      <c r="IK295" s="1069"/>
      <c r="IL295" s="1069"/>
      <c r="IM295" s="1069"/>
      <c r="IN295" s="1069"/>
      <c r="IO295" s="1069"/>
      <c r="IP295" s="1069"/>
      <c r="IQ295" s="1069"/>
      <c r="IR295" s="1069"/>
      <c r="IS295" s="1069"/>
      <c r="IT295" s="1069"/>
      <c r="IU295" s="1069"/>
      <c r="IV295" s="1069"/>
      <c r="IW295" s="1069"/>
      <c r="IX295" s="1069"/>
      <c r="IY295" s="1069"/>
      <c r="IZ295" s="1069"/>
      <c r="JA295" s="1069"/>
      <c r="JB295" s="1069"/>
      <c r="JC295" s="1069"/>
      <c r="JD295" s="1069"/>
      <c r="JE295" s="1069"/>
      <c r="JF295" s="1069"/>
      <c r="JG295" s="1069"/>
      <c r="JH295" s="1069"/>
      <c r="JI295" s="1069"/>
      <c r="JJ295" s="1069"/>
      <c r="JK295" s="1069"/>
      <c r="JL295" s="1069"/>
      <c r="JM295" s="1069"/>
      <c r="JN295" s="1069"/>
      <c r="JO295" s="1069"/>
      <c r="JP295" s="1069"/>
      <c r="JQ295" s="1069"/>
      <c r="JR295" s="1069"/>
      <c r="JS295" s="1069"/>
      <c r="JT295" s="1069"/>
      <c r="JU295" s="1069"/>
      <c r="JV295" s="1069"/>
      <c r="JW295" s="1069"/>
      <c r="JX295" s="1069"/>
      <c r="JY295" s="1069"/>
      <c r="JZ295" s="1069"/>
      <c r="KA295" s="1069"/>
      <c r="KB295" s="1069"/>
      <c r="KC295" s="1069"/>
      <c r="KD295" s="1069"/>
      <c r="KE295" s="1069"/>
      <c r="KF295" s="1069"/>
      <c r="KG295" s="1069"/>
      <c r="KH295" s="1069"/>
      <c r="KI295" s="1069"/>
      <c r="KJ295" s="1069"/>
      <c r="KK295" s="1069"/>
      <c r="KL295" s="1069"/>
      <c r="KM295" s="1069"/>
      <c r="KN295" s="1069"/>
      <c r="KO295" s="1069"/>
      <c r="KP295" s="1069"/>
      <c r="KQ295" s="1069"/>
      <c r="KR295" s="1069"/>
      <c r="KS295" s="1069"/>
      <c r="KT295" s="1069"/>
      <c r="KU295" s="1069"/>
      <c r="KV295" s="1069"/>
      <c r="KW295" s="1069"/>
      <c r="KX295" s="1069"/>
      <c r="KY295" s="1069"/>
      <c r="KZ295" s="1069"/>
      <c r="LA295" s="1069"/>
      <c r="LB295" s="1069"/>
      <c r="LC295" s="1069"/>
      <c r="LD295" s="1069"/>
      <c r="LE295" s="1069"/>
      <c r="LF295" s="1069"/>
      <c r="LG295" s="1069"/>
      <c r="LH295" s="1069"/>
      <c r="LI295" s="1069"/>
      <c r="LJ295" s="1069"/>
      <c r="LK295" s="1069"/>
      <c r="LL295" s="1069"/>
      <c r="LM295" s="1069"/>
      <c r="LN295" s="1069"/>
      <c r="LO295" s="1069"/>
      <c r="LP295" s="1069"/>
      <c r="LQ295" s="1069"/>
      <c r="LR295" s="1069"/>
      <c r="LS295" s="1069"/>
      <c r="LT295" s="1069"/>
      <c r="LU295" s="1069"/>
      <c r="LV295" s="1069"/>
      <c r="LW295" s="1069"/>
      <c r="LX295" s="1069"/>
      <c r="LY295" s="1069"/>
      <c r="LZ295" s="1069"/>
      <c r="MA295" s="1069"/>
      <c r="MB295" s="1069"/>
      <c r="MC295" s="1069"/>
      <c r="MD295" s="1069"/>
      <c r="ME295" s="1069"/>
      <c r="MF295" s="1069"/>
      <c r="MG295" s="1069"/>
      <c r="MH295" s="1069"/>
      <c r="MI295" s="1069"/>
      <c r="MJ295" s="1069"/>
      <c r="MK295" s="1069"/>
      <c r="ML295" s="1069"/>
      <c r="MM295" s="1069"/>
      <c r="MN295" s="1069"/>
      <c r="MO295" s="1069"/>
      <c r="MP295" s="1069"/>
      <c r="MQ295" s="1069"/>
      <c r="MR295" s="1069"/>
      <c r="MS295" s="1069"/>
      <c r="MT295" s="1069"/>
      <c r="MU295" s="1069"/>
      <c r="MV295" s="1069"/>
      <c r="MW295" s="1069"/>
      <c r="MX295" s="1069"/>
      <c r="MY295" s="1069"/>
      <c r="MZ295" s="1069"/>
      <c r="NA295" s="1069"/>
      <c r="NB295" s="1069"/>
      <c r="NC295" s="1069"/>
      <c r="ND295" s="1069"/>
      <c r="NE295" s="1069"/>
      <c r="NF295" s="1069"/>
      <c r="NG295" s="1069"/>
      <c r="NH295" s="1069"/>
      <c r="NI295" s="1069"/>
      <c r="NJ295" s="1069"/>
      <c r="NK295" s="1069"/>
      <c r="NL295" s="1069"/>
      <c r="NM295" s="1069"/>
      <c r="NN295" s="1069"/>
      <c r="NO295" s="1069"/>
      <c r="NP295" s="1069"/>
      <c r="NQ295" s="1069"/>
      <c r="NR295" s="1069"/>
      <c r="NS295" s="1069"/>
      <c r="NT295" s="1069"/>
      <c r="NU295" s="1069"/>
      <c r="NV295" s="1069"/>
      <c r="NW295" s="1069"/>
      <c r="NX295" s="1069"/>
      <c r="NY295" s="1069"/>
      <c r="NZ295" s="1069"/>
      <c r="OA295" s="1069"/>
      <c r="OB295" s="1069"/>
      <c r="OC295" s="1069"/>
      <c r="OD295" s="1069"/>
      <c r="OE295" s="1069"/>
      <c r="OF295" s="1069"/>
      <c r="OG295" s="1069"/>
      <c r="OH295" s="1069"/>
      <c r="OI295" s="1069"/>
      <c r="OJ295" s="1069"/>
      <c r="OK295" s="1069"/>
      <c r="OL295" s="1069"/>
      <c r="OM295" s="1069"/>
      <c r="ON295" s="1069"/>
      <c r="OO295" s="1069"/>
      <c r="OP295" s="1069"/>
      <c r="OQ295" s="1069"/>
      <c r="OR295" s="1069"/>
      <c r="OS295" s="1069"/>
      <c r="OT295" s="1069"/>
      <c r="OU295" s="1069"/>
      <c r="OV295" s="1069"/>
      <c r="OW295" s="1069"/>
      <c r="OX295" s="1069"/>
      <c r="OY295" s="1069"/>
      <c r="OZ295" s="1069"/>
      <c r="PA295" s="1069"/>
      <c r="PB295" s="1069"/>
      <c r="PC295" s="1069"/>
      <c r="PD295" s="1069"/>
      <c r="PE295" s="1069"/>
      <c r="PF295" s="1069"/>
      <c r="PG295" s="1069"/>
      <c r="PH295" s="1069"/>
      <c r="PI295" s="1069"/>
      <c r="PJ295" s="1069"/>
      <c r="PK295" s="1069"/>
      <c r="PL295" s="1069"/>
      <c r="PM295" s="1069"/>
      <c r="PN295" s="1069"/>
      <c r="PO295" s="1069"/>
      <c r="PP295" s="1069"/>
      <c r="PQ295" s="1069"/>
      <c r="PR295" s="1069"/>
      <c r="PS295" s="1069"/>
      <c r="PT295" s="1069"/>
      <c r="PU295" s="1069"/>
      <c r="PV295" s="1069"/>
      <c r="PW295" s="1069"/>
      <c r="PX295" s="1069"/>
      <c r="PY295" s="1069"/>
      <c r="PZ295" s="1069"/>
      <c r="QA295" s="1069"/>
      <c r="QB295" s="1069"/>
      <c r="QC295" s="1069"/>
      <c r="QD295" s="1069"/>
      <c r="QE295" s="1069"/>
      <c r="QF295" s="1069"/>
      <c r="QG295" s="1069"/>
      <c r="QH295" s="1069"/>
      <c r="QI295" s="1069"/>
      <c r="QJ295" s="1069"/>
      <c r="QK295" s="1069"/>
      <c r="QL295" s="1069"/>
      <c r="QM295" s="1069"/>
      <c r="QN295" s="1069"/>
      <c r="QO295" s="1069"/>
      <c r="QP295" s="1069"/>
      <c r="QQ295" s="1069"/>
      <c r="QR295" s="1069"/>
      <c r="QS295" s="1069"/>
      <c r="QT295" s="1069"/>
      <c r="QU295" s="1069"/>
      <c r="QV295" s="1069"/>
      <c r="QW295" s="1069"/>
      <c r="QX295" s="1069"/>
      <c r="QY295" s="1069"/>
      <c r="QZ295" s="1069"/>
      <c r="RA295" s="1069"/>
      <c r="RB295" s="1069"/>
      <c r="RC295" s="1069"/>
      <c r="RD295" s="1069"/>
      <c r="RE295" s="1069"/>
      <c r="RF295" s="1069"/>
      <c r="RG295" s="1069"/>
      <c r="RH295" s="1069"/>
      <c r="RI295" s="1069"/>
      <c r="RJ295" s="1069"/>
      <c r="RK295" s="1069"/>
      <c r="RL295" s="1069"/>
      <c r="RM295" s="1069"/>
      <c r="RN295" s="1069"/>
      <c r="RO295" s="1069"/>
      <c r="RP295" s="1069"/>
      <c r="RQ295" s="1069"/>
      <c r="RR295" s="1069"/>
      <c r="RS295" s="1069"/>
      <c r="RT295" s="1069"/>
      <c r="RU295" s="1069"/>
      <c r="RV295" s="1069"/>
      <c r="RW295" s="1069"/>
      <c r="RX295" s="1069"/>
      <c r="RY295" s="1069"/>
      <c r="RZ295" s="1069"/>
      <c r="SA295" s="1069"/>
      <c r="SB295" s="1069"/>
      <c r="SC295" s="1069"/>
      <c r="SD295" s="1069"/>
      <c r="SE295" s="1069"/>
      <c r="SF295" s="1069"/>
      <c r="SG295" s="1069"/>
      <c r="SH295" s="1069"/>
      <c r="SI295" s="1069"/>
      <c r="SJ295" s="1069"/>
      <c r="SK295" s="1069"/>
      <c r="SL295" s="1069"/>
      <c r="SM295" s="1069"/>
      <c r="SN295" s="1069"/>
      <c r="SO295" s="1069"/>
      <c r="SP295" s="1069"/>
      <c r="SQ295" s="1069"/>
      <c r="SR295" s="1069"/>
      <c r="SS295" s="1069"/>
      <c r="ST295" s="1069"/>
      <c r="SU295" s="1069"/>
      <c r="SV295" s="1069"/>
      <c r="SW295" s="1069"/>
      <c r="SX295" s="1069"/>
      <c r="SY295" s="1069"/>
      <c r="SZ295" s="1069"/>
      <c r="TA295" s="1069"/>
      <c r="TB295" s="1069"/>
      <c r="TC295" s="1069"/>
      <c r="TD295" s="1069"/>
      <c r="TE295" s="1069"/>
      <c r="TF295" s="1069"/>
      <c r="TG295" s="1069"/>
      <c r="TH295" s="1069"/>
      <c r="TI295" s="1069"/>
      <c r="TJ295" s="1069"/>
      <c r="TK295" s="1069"/>
      <c r="TL295" s="1069"/>
      <c r="TM295" s="1069"/>
      <c r="TN295" s="1069"/>
      <c r="TO295" s="1069"/>
      <c r="TP295" s="1069"/>
      <c r="TQ295" s="1069"/>
      <c r="TR295" s="1069"/>
      <c r="TS295" s="1069"/>
      <c r="TT295" s="1069"/>
      <c r="TU295" s="1069"/>
      <c r="TV295" s="1069"/>
      <c r="TW295" s="1069"/>
      <c r="TX295" s="1069"/>
      <c r="TY295" s="1069"/>
      <c r="TZ295" s="1069"/>
      <c r="UA295" s="1069"/>
      <c r="UB295" s="1069"/>
      <c r="UC295" s="1069"/>
      <c r="UD295" s="1069"/>
      <c r="UE295" s="1069"/>
      <c r="UF295" s="1069"/>
      <c r="UG295" s="1069"/>
      <c r="UH295" s="1069"/>
      <c r="UI295" s="1069"/>
      <c r="UJ295" s="1069"/>
      <c r="UK295" s="1069"/>
      <c r="UL295" s="1069"/>
      <c r="UM295" s="1069"/>
      <c r="UN295" s="1069"/>
      <c r="UO295" s="1069"/>
      <c r="UP295" s="1069"/>
      <c r="UQ295" s="1069"/>
      <c r="UR295" s="1069"/>
      <c r="US295" s="1069"/>
      <c r="UT295" s="1069"/>
      <c r="UU295" s="1069"/>
      <c r="UV295" s="1069"/>
      <c r="UW295" s="1069"/>
      <c r="UX295" s="1069"/>
      <c r="UY295" s="1069"/>
      <c r="UZ295" s="1069"/>
      <c r="VA295" s="1069"/>
      <c r="VB295" s="1069"/>
      <c r="VC295" s="1069"/>
      <c r="VD295" s="1069"/>
      <c r="VE295" s="1069"/>
      <c r="VF295" s="1069"/>
      <c r="VG295" s="1069"/>
      <c r="VH295" s="1069"/>
      <c r="VI295" s="1069"/>
      <c r="VJ295" s="1069"/>
      <c r="VK295" s="1069"/>
      <c r="VL295" s="1069"/>
      <c r="VM295" s="1069"/>
      <c r="VN295" s="1069"/>
      <c r="VO295" s="1069"/>
      <c r="VP295" s="1069"/>
      <c r="VQ295" s="1069"/>
      <c r="VR295" s="1069"/>
      <c r="VS295" s="1069"/>
      <c r="VT295" s="1069"/>
      <c r="VU295" s="1069"/>
      <c r="VV295" s="1069"/>
      <c r="VW295" s="1069"/>
      <c r="VX295" s="1069"/>
      <c r="VY295" s="1069"/>
      <c r="VZ295" s="1069"/>
      <c r="WA295" s="1069"/>
      <c r="WB295" s="1069"/>
      <c r="WC295" s="1069"/>
      <c r="WD295" s="1069"/>
      <c r="WE295" s="1069"/>
      <c r="WF295" s="1069"/>
      <c r="WG295" s="1069"/>
      <c r="WH295" s="1069"/>
      <c r="WI295" s="1069"/>
      <c r="WJ295" s="1069"/>
      <c r="WK295" s="1069"/>
      <c r="WL295" s="1069"/>
      <c r="WM295" s="1069"/>
      <c r="WN295" s="1069"/>
      <c r="WO295" s="1069"/>
      <c r="WP295" s="1069"/>
      <c r="WQ295" s="1069"/>
      <c r="WR295" s="1069"/>
      <c r="WS295" s="1069"/>
      <c r="WT295" s="1069"/>
      <c r="WU295" s="1069"/>
      <c r="WV295" s="1069"/>
      <c r="WW295" s="1069"/>
      <c r="WX295" s="1069"/>
      <c r="WY295" s="1069"/>
      <c r="WZ295" s="1069"/>
      <c r="XA295" s="1069"/>
      <c r="XB295" s="1069"/>
      <c r="XC295" s="1069"/>
      <c r="XD295" s="1069"/>
      <c r="XE295" s="1069"/>
      <c r="XF295" s="1069"/>
      <c r="XG295" s="1069"/>
      <c r="XH295" s="1069"/>
      <c r="XI295" s="1069"/>
      <c r="XJ295" s="1069"/>
      <c r="XK295" s="1069"/>
      <c r="XL295" s="1069"/>
      <c r="XM295" s="1069"/>
      <c r="XN295" s="1069"/>
      <c r="XO295" s="1069"/>
      <c r="XP295" s="1069"/>
      <c r="XQ295" s="1069"/>
      <c r="XR295" s="1069"/>
      <c r="XS295" s="1069"/>
      <c r="XT295" s="1069"/>
      <c r="XU295" s="1069"/>
      <c r="XV295" s="1069"/>
      <c r="XW295" s="1069"/>
      <c r="XX295" s="1069"/>
      <c r="XY295" s="1069"/>
      <c r="XZ295" s="1069"/>
      <c r="YA295" s="1069"/>
      <c r="YB295" s="1069"/>
      <c r="YC295" s="1069"/>
      <c r="YD295" s="1069"/>
      <c r="YE295" s="1069"/>
      <c r="YF295" s="1069"/>
      <c r="YG295" s="1069"/>
      <c r="YH295" s="1069"/>
      <c r="YI295" s="1069"/>
      <c r="YJ295" s="1069"/>
      <c r="YK295" s="1069"/>
      <c r="YL295" s="1069"/>
      <c r="YM295" s="1069"/>
      <c r="YN295" s="1069"/>
      <c r="YO295" s="1069"/>
      <c r="YP295" s="1069"/>
      <c r="YQ295" s="1069"/>
      <c r="YR295" s="1069"/>
      <c r="YS295" s="1069"/>
      <c r="YT295" s="1069"/>
      <c r="YU295" s="1069"/>
      <c r="YV295" s="1069"/>
      <c r="YW295" s="1069"/>
      <c r="YX295" s="1069"/>
      <c r="YY295" s="1069"/>
      <c r="YZ295" s="1069"/>
      <c r="ZA295" s="1069"/>
      <c r="ZB295" s="1069"/>
      <c r="ZC295" s="1069"/>
      <c r="ZD295" s="1069"/>
      <c r="ZE295" s="1069"/>
      <c r="ZF295" s="1069"/>
      <c r="ZG295" s="1069"/>
      <c r="ZH295" s="1069"/>
      <c r="ZI295" s="1069"/>
      <c r="ZJ295" s="1069"/>
      <c r="ZK295" s="1069"/>
      <c r="ZL295" s="1069"/>
      <c r="ZM295" s="1069"/>
      <c r="ZN295" s="1069"/>
      <c r="ZO295" s="1069"/>
      <c r="ZP295" s="1069"/>
      <c r="ZQ295" s="1069"/>
      <c r="ZR295" s="1069"/>
      <c r="ZS295" s="1069"/>
      <c r="ZT295" s="1069"/>
      <c r="ZU295" s="1069"/>
      <c r="ZV295" s="1069"/>
      <c r="ZW295" s="1069"/>
      <c r="ZX295" s="1069"/>
      <c r="ZY295" s="1069"/>
      <c r="ZZ295" s="1069"/>
      <c r="AAA295" s="1069"/>
      <c r="AAB295" s="1069"/>
      <c r="AAC295" s="1069"/>
      <c r="AAD295" s="1069"/>
      <c r="AAE295" s="1069"/>
      <c r="AAF295" s="1069"/>
      <c r="AAG295" s="1069"/>
      <c r="AAH295" s="1069"/>
      <c r="AAI295" s="1069"/>
      <c r="AAJ295" s="1069"/>
      <c r="AAK295" s="1069"/>
      <c r="AAL295" s="1069"/>
      <c r="AAM295" s="1069"/>
      <c r="AAN295" s="1069"/>
      <c r="AAO295" s="1069"/>
      <c r="AAP295" s="1069"/>
      <c r="AAQ295" s="1069"/>
      <c r="AAR295" s="1069"/>
      <c r="AAS295" s="1069"/>
      <c r="AAT295" s="1069"/>
      <c r="AAU295" s="1069"/>
      <c r="AAV295" s="1069"/>
      <c r="AAW295" s="1069"/>
      <c r="AAX295" s="1069"/>
      <c r="AAY295" s="1069"/>
      <c r="AAZ295" s="1069"/>
      <c r="ABA295" s="1069"/>
      <c r="ABB295" s="1069"/>
      <c r="ABC295" s="1069"/>
      <c r="ABD295" s="1069"/>
      <c r="ABE295" s="1069"/>
      <c r="ABF295" s="1069"/>
      <c r="ABG295" s="1069"/>
      <c r="ABH295" s="1069"/>
      <c r="ABI295" s="1069"/>
      <c r="ABJ295" s="1069"/>
      <c r="ABK295" s="1069"/>
      <c r="ABL295" s="1069"/>
      <c r="ABM295" s="1069"/>
      <c r="ABN295" s="1069"/>
      <c r="ABO295" s="1069"/>
      <c r="ABP295" s="1069"/>
      <c r="ABQ295" s="1069"/>
      <c r="ABR295" s="1069"/>
      <c r="ABS295" s="1069"/>
      <c r="ABT295" s="1069"/>
      <c r="ABU295" s="1069"/>
      <c r="ABV295" s="1069"/>
      <c r="ABW295" s="1069"/>
      <c r="ABX295" s="1069"/>
      <c r="ABY295" s="1069"/>
      <c r="ABZ295" s="1069"/>
      <c r="ACA295" s="1069"/>
      <c r="ACB295" s="1069"/>
      <c r="ACC295" s="1069"/>
      <c r="ACD295" s="1069"/>
      <c r="ACE295" s="1069"/>
      <c r="ACF295" s="1069"/>
      <c r="ACG295" s="1069"/>
      <c r="ACH295" s="1069"/>
      <c r="ACI295" s="1069"/>
      <c r="ACJ295" s="1069"/>
      <c r="ACK295" s="1069"/>
      <c r="ACL295" s="1069"/>
      <c r="ACM295" s="1069"/>
      <c r="ACN295" s="1069"/>
      <c r="ACO295" s="1069"/>
      <c r="ACP295" s="1069"/>
      <c r="ACQ295" s="1069"/>
      <c r="ACR295" s="1069"/>
      <c r="ACS295" s="1069"/>
      <c r="ACT295" s="1069"/>
      <c r="ACU295" s="1069"/>
      <c r="ACV295" s="1069"/>
      <c r="ACW295" s="1069"/>
      <c r="ACX295" s="1069"/>
      <c r="ACY295" s="1069"/>
      <c r="ACZ295" s="1069"/>
      <c r="ADA295" s="1069"/>
      <c r="ADB295" s="1069"/>
      <c r="ADC295" s="1069"/>
      <c r="ADD295" s="1069"/>
      <c r="ADE295" s="1069"/>
      <c r="ADF295" s="1069"/>
      <c r="ADG295" s="1069"/>
      <c r="ADH295" s="1069"/>
      <c r="ADI295" s="1069"/>
      <c r="ADJ295" s="1069"/>
      <c r="ADK295" s="1069"/>
      <c r="ADL295" s="1069"/>
      <c r="ADM295" s="1069"/>
      <c r="ADN295" s="1069"/>
      <c r="ADO295" s="1069"/>
      <c r="ADP295" s="1069"/>
      <c r="ADQ295" s="1069"/>
      <c r="ADR295" s="1069"/>
      <c r="ADS295" s="1069"/>
      <c r="ADT295" s="1069"/>
      <c r="ADU295" s="1069"/>
      <c r="ADV295" s="1069"/>
      <c r="ADW295" s="1069"/>
      <c r="ADX295" s="1069"/>
      <c r="ADY295" s="1069"/>
      <c r="ADZ295" s="1069"/>
      <c r="AEA295" s="1069"/>
      <c r="AEB295" s="1069"/>
      <c r="AEC295" s="1069"/>
      <c r="AED295" s="1069"/>
      <c r="AEE295" s="1069"/>
      <c r="AEF295" s="1069"/>
      <c r="AEG295" s="1069"/>
      <c r="AEH295" s="1069"/>
      <c r="AEI295" s="1069"/>
      <c r="AEJ295" s="1069"/>
      <c r="AEK295" s="1069"/>
      <c r="AEL295" s="1069"/>
      <c r="AEM295" s="1069"/>
      <c r="AEN295" s="1069"/>
      <c r="AEO295" s="1069"/>
      <c r="AEP295" s="1069"/>
      <c r="AEQ295" s="1069"/>
      <c r="AER295" s="1069"/>
      <c r="AES295" s="1069"/>
      <c r="AET295" s="1069"/>
      <c r="AEU295" s="1069"/>
      <c r="AEV295" s="1069"/>
      <c r="AEW295" s="1069"/>
      <c r="AEX295" s="1069"/>
      <c r="AEY295" s="1069"/>
      <c r="AEZ295" s="1069"/>
      <c r="AFA295" s="1069"/>
      <c r="AFB295" s="1069"/>
      <c r="AFC295" s="1069"/>
      <c r="AFD295" s="1069"/>
      <c r="AFE295" s="1069"/>
      <c r="AFF295" s="1069"/>
      <c r="AFG295" s="1069"/>
      <c r="AFH295" s="1069"/>
      <c r="AFI295" s="1069"/>
      <c r="AFJ295" s="1069"/>
      <c r="AFK295" s="1069"/>
      <c r="AFL295" s="1069"/>
      <c r="AFM295" s="1069"/>
      <c r="AFN295" s="1069"/>
      <c r="AFO295" s="1069"/>
      <c r="AFP295" s="1069"/>
      <c r="AFQ295" s="1069"/>
      <c r="AFR295" s="1069"/>
      <c r="AFS295" s="1069"/>
      <c r="AFT295" s="1069"/>
      <c r="AFU295" s="1069"/>
      <c r="AFV295" s="1069"/>
      <c r="AFW295" s="1069"/>
      <c r="AFX295" s="1069"/>
      <c r="AFY295" s="1069"/>
      <c r="AFZ295" s="1069"/>
      <c r="AGA295" s="1069"/>
      <c r="AGB295" s="1069"/>
      <c r="AGC295" s="1069"/>
      <c r="AGD295" s="1069"/>
      <c r="AGE295" s="1069"/>
      <c r="AGF295" s="1069"/>
      <c r="AGG295" s="1069"/>
      <c r="AGH295" s="1069"/>
      <c r="AGI295" s="1069"/>
      <c r="AGJ295" s="1069"/>
      <c r="AGK295" s="1069"/>
      <c r="AGL295" s="1069"/>
      <c r="AGM295" s="1069"/>
      <c r="AGN295" s="1069"/>
      <c r="AGO295" s="1069"/>
      <c r="AGP295" s="1069"/>
      <c r="AGQ295" s="1069"/>
      <c r="AGR295" s="1069"/>
      <c r="AGS295" s="1069"/>
      <c r="AGT295" s="1069"/>
      <c r="AGU295" s="1069"/>
      <c r="AGV295" s="1069"/>
      <c r="AGW295" s="1069"/>
      <c r="AGX295" s="1069"/>
      <c r="AGY295" s="1069"/>
      <c r="AGZ295" s="1069"/>
      <c r="AHA295" s="1069"/>
      <c r="AHB295" s="1069"/>
      <c r="AHC295" s="1069"/>
      <c r="AHD295" s="1069"/>
      <c r="AHE295" s="1069"/>
      <c r="AHF295" s="1069"/>
      <c r="AHG295" s="1069"/>
      <c r="AHH295" s="1069"/>
      <c r="AHI295" s="1069"/>
      <c r="AHJ295" s="1069"/>
      <c r="AHK295" s="1069"/>
      <c r="AHL295" s="1069"/>
      <c r="AHM295" s="1069"/>
      <c r="AHN295" s="1069"/>
      <c r="AHO295" s="1069"/>
      <c r="AHP295" s="1069"/>
      <c r="AHQ295" s="1069"/>
      <c r="AHR295" s="1069"/>
      <c r="AHS295" s="1069"/>
      <c r="AHT295" s="1069"/>
      <c r="AHU295" s="1069"/>
      <c r="AHV295" s="1069"/>
      <c r="AHW295" s="1069"/>
      <c r="AHX295" s="1069"/>
      <c r="AHY295" s="1069"/>
      <c r="AHZ295" s="1069"/>
      <c r="AIA295" s="1069"/>
      <c r="AIB295" s="1069"/>
      <c r="AIC295" s="1069"/>
      <c r="AID295" s="1069"/>
      <c r="AIE295" s="1069"/>
      <c r="AIF295" s="1069"/>
      <c r="AIG295" s="1069"/>
      <c r="AIH295" s="1069"/>
      <c r="AII295" s="1069"/>
      <c r="AIJ295" s="1069"/>
      <c r="AIK295" s="1069"/>
      <c r="AIL295" s="1069"/>
      <c r="AIM295" s="1069"/>
      <c r="AIN295" s="1069"/>
      <c r="AIO295" s="1069"/>
      <c r="AIP295" s="1069"/>
      <c r="AIQ295" s="1069"/>
      <c r="AIR295" s="1069"/>
      <c r="AIS295" s="1069"/>
      <c r="AIT295" s="1069"/>
      <c r="AIU295" s="1069"/>
      <c r="AIV295" s="1069"/>
      <c r="AIW295" s="1069"/>
      <c r="AIX295" s="1069"/>
      <c r="AIY295" s="1069"/>
      <c r="AIZ295" s="1069"/>
      <c r="AJA295" s="1069"/>
      <c r="AJB295" s="1069"/>
      <c r="AJC295" s="1069"/>
      <c r="AJD295" s="1069"/>
      <c r="AJE295" s="1069"/>
      <c r="AJF295" s="1069"/>
      <c r="AJG295" s="1069"/>
      <c r="AJH295" s="1069"/>
      <c r="AJI295" s="1069"/>
      <c r="AJJ295" s="1069"/>
      <c r="AJK295" s="1069"/>
      <c r="AJL295" s="1069"/>
      <c r="AJM295" s="1069"/>
      <c r="AJN295" s="1069"/>
      <c r="AJO295" s="1069"/>
      <c r="AJP295" s="1069"/>
      <c r="AJQ295" s="1069"/>
      <c r="AJR295" s="1069"/>
      <c r="AJS295" s="1069"/>
      <c r="AJT295" s="1069"/>
      <c r="AJU295" s="1069"/>
      <c r="AJV295" s="1069"/>
      <c r="AJW295" s="1069"/>
      <c r="AJX295" s="1069"/>
      <c r="AJY295" s="1069"/>
      <c r="AJZ295" s="1069"/>
      <c r="AKA295" s="1069"/>
      <c r="AKB295" s="1069"/>
      <c r="AKC295" s="1069"/>
      <c r="AKD295" s="1069"/>
      <c r="AKE295" s="1069"/>
      <c r="AKF295" s="1069"/>
      <c r="AKG295" s="1069"/>
      <c r="AKH295" s="1069"/>
      <c r="AKI295" s="1069"/>
      <c r="AKJ295" s="1069"/>
      <c r="AKK295" s="1069"/>
      <c r="AKL295" s="1069"/>
      <c r="AKM295" s="1069"/>
      <c r="AKN295" s="1069"/>
      <c r="AKO295" s="1069"/>
      <c r="AKP295" s="1069"/>
      <c r="AKQ295" s="1069"/>
      <c r="AKR295" s="1069"/>
      <c r="AKS295" s="1069"/>
      <c r="AKT295" s="1069"/>
      <c r="AKU295" s="1069"/>
      <c r="AKV295" s="1069"/>
      <c r="AKW295" s="1069"/>
      <c r="AKX295" s="1069"/>
      <c r="AKY295" s="1069"/>
      <c r="AKZ295" s="1069"/>
      <c r="ALA295" s="1069"/>
      <c r="ALB295" s="1069"/>
      <c r="ALC295" s="1069"/>
      <c r="ALD295" s="1069"/>
      <c r="ALE295" s="1069"/>
      <c r="ALF295" s="1069"/>
      <c r="ALG295" s="1069"/>
      <c r="ALH295" s="1069"/>
      <c r="ALI295" s="1069"/>
      <c r="ALJ295" s="1069"/>
      <c r="ALK295" s="1069"/>
      <c r="ALL295" s="1069"/>
      <c r="ALM295" s="1069"/>
      <c r="ALN295" s="1069"/>
      <c r="ALO295" s="1069"/>
      <c r="ALP295" s="1069"/>
      <c r="ALQ295" s="1069"/>
      <c r="ALR295" s="1069"/>
      <c r="ALS295" s="1069"/>
      <c r="ALT295" s="1069"/>
      <c r="ALU295" s="1069"/>
      <c r="ALV295" s="1069"/>
      <c r="ALW295" s="1069"/>
      <c r="ALX295" s="1069"/>
      <c r="ALY295" s="1069"/>
      <c r="ALZ295" s="1069"/>
      <c r="AMA295" s="1069"/>
      <c r="AMB295" s="1069"/>
      <c r="AMC295" s="1069"/>
      <c r="AMD295" s="1069"/>
      <c r="AME295" s="1069"/>
      <c r="AMF295" s="1069"/>
      <c r="AMG295" s="1069"/>
      <c r="AMH295" s="1069"/>
      <c r="AMI295" s="1069"/>
      <c r="AMJ295" s="1069"/>
      <c r="AMK295" s="1069"/>
      <c r="AML295" s="1069"/>
      <c r="AMM295" s="1069"/>
      <c r="AMN295" s="1069"/>
      <c r="AMO295" s="1069"/>
      <c r="AMP295" s="1069"/>
      <c r="AMQ295" s="1069"/>
      <c r="AMR295" s="1069"/>
      <c r="AMS295" s="1069"/>
      <c r="AMT295" s="1069"/>
      <c r="AMU295" s="1069"/>
      <c r="AMV295" s="1069"/>
      <c r="AMW295" s="1069"/>
      <c r="AMX295" s="1069"/>
      <c r="AMY295" s="1069"/>
      <c r="AMZ295" s="1069"/>
      <c r="ANA295" s="1069"/>
      <c r="ANB295" s="1069"/>
      <c r="ANC295" s="1069"/>
      <c r="AND295" s="1069"/>
      <c r="ANE295" s="1069"/>
      <c r="ANF295" s="1069"/>
      <c r="ANG295" s="1069"/>
      <c r="ANH295" s="1069"/>
      <c r="ANI295" s="1069"/>
      <c r="ANJ295" s="1069"/>
      <c r="ANK295" s="1069"/>
      <c r="ANL295" s="1069"/>
      <c r="ANM295" s="1069"/>
      <c r="ANN295" s="1069"/>
      <c r="ANO295" s="1069"/>
      <c r="ANP295" s="1069"/>
      <c r="ANQ295" s="1069"/>
      <c r="ANR295" s="1069"/>
      <c r="ANS295" s="1069"/>
      <c r="ANT295" s="1069"/>
      <c r="ANU295" s="1069"/>
      <c r="ANV295" s="1069"/>
      <c r="ANW295" s="1069"/>
      <c r="ANX295" s="1069"/>
      <c r="ANY295" s="1069"/>
      <c r="ANZ295" s="1069"/>
      <c r="AOA295" s="1069"/>
      <c r="AOB295" s="1069"/>
      <c r="AOC295" s="1069"/>
      <c r="AOD295" s="1069"/>
      <c r="AOE295" s="1069"/>
      <c r="AOF295" s="1069"/>
      <c r="AOG295" s="1069"/>
      <c r="AOH295" s="1069"/>
      <c r="AOI295" s="1069"/>
      <c r="AOJ295" s="1069"/>
      <c r="AOK295" s="1069"/>
      <c r="AOL295" s="1069"/>
      <c r="AOM295" s="1069"/>
      <c r="AON295" s="1069"/>
      <c r="AOO295" s="1069"/>
      <c r="AOP295" s="1069"/>
      <c r="AOQ295" s="1069"/>
      <c r="AOR295" s="1069"/>
      <c r="AOS295" s="1069"/>
      <c r="AOT295" s="1069"/>
      <c r="AOU295" s="1069"/>
      <c r="AOV295" s="1069"/>
      <c r="AOW295" s="1069"/>
      <c r="AOX295" s="1069"/>
      <c r="AOY295" s="1069"/>
      <c r="AOZ295" s="1069"/>
      <c r="APA295" s="1069"/>
      <c r="APB295" s="1069"/>
      <c r="APC295" s="1069"/>
      <c r="APD295" s="1069"/>
      <c r="APE295" s="1069"/>
      <c r="APF295" s="1069"/>
      <c r="APG295" s="1069"/>
      <c r="APH295" s="1069"/>
      <c r="API295" s="1069"/>
      <c r="APJ295" s="1069"/>
      <c r="APK295" s="1069"/>
      <c r="APL295" s="1069"/>
      <c r="APM295" s="1069"/>
      <c r="APN295" s="1069"/>
      <c r="APO295" s="1069"/>
      <c r="APP295" s="1069"/>
      <c r="APQ295" s="1069"/>
      <c r="APR295" s="1069"/>
      <c r="APS295" s="1069"/>
      <c r="APT295" s="1069"/>
      <c r="APU295" s="1069"/>
      <c r="APV295" s="1069"/>
      <c r="APW295" s="1069"/>
      <c r="APX295" s="1069"/>
      <c r="APY295" s="1069"/>
      <c r="APZ295" s="1069"/>
      <c r="AQA295" s="1069"/>
      <c r="AQB295" s="1069"/>
      <c r="AQC295" s="1069"/>
      <c r="AQD295" s="1069"/>
      <c r="AQE295" s="1069"/>
      <c r="AQF295" s="1069"/>
      <c r="AQG295" s="1069"/>
      <c r="AQH295" s="1069"/>
      <c r="AQI295" s="1069"/>
      <c r="AQJ295" s="1069"/>
      <c r="AQK295" s="1069"/>
      <c r="AQL295" s="1069"/>
      <c r="AQM295" s="1069"/>
      <c r="AQN295" s="1069"/>
      <c r="AQO295" s="1069"/>
      <c r="AQP295" s="1069"/>
      <c r="AQQ295" s="1069"/>
      <c r="AQR295" s="1069"/>
      <c r="AQS295" s="1069"/>
      <c r="AQT295" s="1069"/>
      <c r="AQU295" s="1069"/>
      <c r="AQV295" s="1069"/>
      <c r="AQW295" s="1069"/>
      <c r="AQX295" s="1069"/>
      <c r="AQY295" s="1069"/>
      <c r="AQZ295" s="1069"/>
      <c r="ARA295" s="1069"/>
      <c r="ARB295" s="1069"/>
      <c r="ARC295" s="1069"/>
      <c r="ARD295" s="1069"/>
      <c r="ARE295" s="1069"/>
      <c r="ARF295" s="1069"/>
      <c r="ARG295" s="1069"/>
      <c r="ARH295" s="1069"/>
      <c r="ARI295" s="1069"/>
      <c r="ARJ295" s="1069"/>
      <c r="ARK295" s="1069"/>
      <c r="ARL295" s="1069"/>
      <c r="ARM295" s="1069"/>
      <c r="ARN295" s="1069"/>
      <c r="ARO295" s="1069"/>
      <c r="ARP295" s="1069"/>
      <c r="ARQ295" s="1069"/>
      <c r="ARR295" s="1069"/>
      <c r="ARS295" s="1069"/>
      <c r="ART295" s="1069"/>
      <c r="ARU295" s="1069"/>
      <c r="ARV295" s="1069"/>
      <c r="ARW295" s="1069"/>
      <c r="ARX295" s="1069"/>
      <c r="ARY295" s="1069"/>
      <c r="ARZ295" s="1069"/>
      <c r="ASA295" s="1069"/>
      <c r="ASB295" s="1069"/>
      <c r="ASC295" s="1069"/>
      <c r="ASD295" s="1069"/>
      <c r="ASE295" s="1069"/>
      <c r="ASF295" s="1069"/>
      <c r="ASG295" s="1069"/>
      <c r="ASH295" s="1069"/>
      <c r="ASI295" s="1069"/>
      <c r="ASJ295" s="1069"/>
      <c r="ASK295" s="1069"/>
      <c r="ASL295" s="1069"/>
      <c r="ASM295" s="1069"/>
      <c r="ASN295" s="1069"/>
      <c r="ASO295" s="1069"/>
      <c r="ASP295" s="1069"/>
      <c r="ASQ295" s="1069"/>
      <c r="ASR295" s="1069"/>
      <c r="ASS295" s="1069"/>
      <c r="AST295" s="1069"/>
      <c r="ASU295" s="1069"/>
      <c r="ASV295" s="1069"/>
      <c r="ASW295" s="1069"/>
      <c r="ASX295" s="1069"/>
      <c r="ASY295" s="1069"/>
      <c r="ASZ295" s="1069"/>
      <c r="ATA295" s="1069"/>
      <c r="ATB295" s="1069"/>
      <c r="ATC295" s="1069"/>
      <c r="ATD295" s="1069"/>
      <c r="ATE295" s="1069"/>
      <c r="ATF295" s="1069"/>
      <c r="ATG295" s="1069"/>
      <c r="ATH295" s="1069"/>
      <c r="ATI295" s="1069"/>
      <c r="ATJ295" s="1069"/>
      <c r="ATK295" s="1069"/>
      <c r="ATL295" s="1069"/>
      <c r="ATM295" s="1069"/>
      <c r="ATN295" s="1069"/>
      <c r="ATO295" s="1069"/>
      <c r="ATP295" s="1069"/>
      <c r="ATQ295" s="1069"/>
      <c r="ATR295" s="1069"/>
      <c r="ATS295" s="1069"/>
      <c r="ATT295" s="1069"/>
      <c r="ATU295" s="1069"/>
      <c r="ATV295" s="1069"/>
      <c r="ATW295" s="1069"/>
      <c r="ATX295" s="1069"/>
      <c r="ATY295" s="1069"/>
      <c r="ATZ295" s="1069"/>
      <c r="AUA295" s="1069"/>
      <c r="AUB295" s="1069"/>
      <c r="AUC295" s="1069"/>
      <c r="AUD295" s="1069"/>
      <c r="AUE295" s="1069"/>
      <c r="AUF295" s="1069"/>
      <c r="AUG295" s="1069"/>
      <c r="AUH295" s="1069"/>
      <c r="AUI295" s="1069"/>
      <c r="AUJ295" s="1069"/>
      <c r="AUK295" s="1069"/>
      <c r="AUL295" s="1069"/>
      <c r="AUM295" s="1069"/>
      <c r="AUN295" s="1069"/>
      <c r="AUO295" s="1069"/>
      <c r="AUP295" s="1069"/>
      <c r="AUQ295" s="1069"/>
      <c r="AUR295" s="1069"/>
      <c r="AUS295" s="1069"/>
      <c r="AUT295" s="1069"/>
      <c r="AUU295" s="1069"/>
      <c r="AUV295" s="1069"/>
      <c r="AUW295" s="1069"/>
      <c r="AUX295" s="1069"/>
      <c r="AUY295" s="1069"/>
      <c r="AUZ295" s="1069"/>
      <c r="AVA295" s="1069"/>
      <c r="AVB295" s="1069"/>
      <c r="AVC295" s="1069"/>
      <c r="AVD295" s="1069"/>
      <c r="AVE295" s="1069"/>
      <c r="AVF295" s="1069"/>
      <c r="AVG295" s="1069"/>
      <c r="AVH295" s="1069"/>
      <c r="AVI295" s="1069"/>
      <c r="AVJ295" s="1069"/>
      <c r="AVK295" s="1069"/>
      <c r="AVL295" s="1069"/>
      <c r="AVM295" s="1069"/>
      <c r="AVN295" s="1069"/>
      <c r="AVO295" s="1069"/>
      <c r="AVP295" s="1069"/>
      <c r="AVQ295" s="1069"/>
      <c r="AVR295" s="1069"/>
      <c r="AVS295" s="1069"/>
      <c r="AVT295" s="1069"/>
      <c r="AVU295" s="1069"/>
      <c r="AVV295" s="1069"/>
      <c r="AVW295" s="1069"/>
      <c r="AVX295" s="1069"/>
      <c r="AVY295" s="1069"/>
      <c r="AVZ295" s="1069"/>
      <c r="AWA295" s="1069"/>
      <c r="AWB295" s="1069"/>
      <c r="AWC295" s="1069"/>
      <c r="AWD295" s="1069"/>
      <c r="AWE295" s="1069"/>
      <c r="AWF295" s="1069"/>
      <c r="AWG295" s="1069"/>
      <c r="AWH295" s="1069"/>
      <c r="AWI295" s="1069"/>
      <c r="AWJ295" s="1069"/>
      <c r="AWK295" s="1069"/>
      <c r="AWL295" s="1069"/>
      <c r="AWM295" s="1069"/>
      <c r="AWN295" s="1069"/>
      <c r="AWO295" s="1069"/>
      <c r="AWP295" s="1069"/>
      <c r="AWQ295" s="1069"/>
      <c r="AWR295" s="1069"/>
      <c r="AWS295" s="1069"/>
      <c r="AWT295" s="1069"/>
      <c r="AWU295" s="1069"/>
      <c r="AWV295" s="1069"/>
      <c r="AWW295" s="1069"/>
      <c r="AWX295" s="1069"/>
      <c r="AWY295" s="1069"/>
      <c r="AWZ295" s="1069"/>
      <c r="AXA295" s="1069"/>
      <c r="AXB295" s="1069"/>
      <c r="AXC295" s="1069"/>
      <c r="AXD295" s="1069"/>
      <c r="AXE295" s="1069"/>
      <c r="AXF295" s="1069"/>
      <c r="AXG295" s="1069"/>
      <c r="AXH295" s="1069"/>
      <c r="AXI295" s="1069"/>
      <c r="AXJ295" s="1069"/>
      <c r="AXK295" s="1069"/>
      <c r="AXL295" s="1069"/>
      <c r="AXM295" s="1069"/>
      <c r="AXN295" s="1069"/>
      <c r="AXO295" s="1069"/>
      <c r="AXP295" s="1069"/>
      <c r="AXQ295" s="1069"/>
      <c r="AXR295" s="1069"/>
      <c r="AXS295" s="1069"/>
      <c r="AXT295" s="1069"/>
      <c r="AXU295" s="1069"/>
      <c r="AXV295" s="1069"/>
      <c r="AXW295" s="1069"/>
      <c r="AXX295" s="1069"/>
      <c r="AXY295" s="1069"/>
      <c r="AXZ295" s="1069"/>
      <c r="AYA295" s="1069"/>
      <c r="AYB295" s="1069"/>
      <c r="AYC295" s="1069"/>
      <c r="AYD295" s="1069"/>
      <c r="AYE295" s="1069"/>
      <c r="AYF295" s="1069"/>
      <c r="AYG295" s="1069"/>
      <c r="AYH295" s="1069"/>
      <c r="AYI295" s="1069"/>
      <c r="AYJ295" s="1069"/>
      <c r="AYK295" s="1069"/>
      <c r="AYL295" s="1069"/>
      <c r="AYM295" s="1069"/>
      <c r="AYN295" s="1069"/>
      <c r="AYO295" s="1069"/>
      <c r="AYP295" s="1069"/>
      <c r="AYQ295" s="1069"/>
      <c r="AYR295" s="1069"/>
      <c r="AYS295" s="1069"/>
      <c r="AYT295" s="1069"/>
      <c r="AYU295" s="1069"/>
      <c r="AYV295" s="1069"/>
      <c r="AYW295" s="1069"/>
      <c r="AYX295" s="1069"/>
      <c r="AYY295" s="1069"/>
      <c r="AYZ295" s="1069"/>
      <c r="AZA295" s="1069"/>
      <c r="AZB295" s="1069"/>
      <c r="AZC295" s="1069"/>
      <c r="AZD295" s="1069"/>
      <c r="AZE295" s="1069"/>
      <c r="AZF295" s="1069"/>
      <c r="AZG295" s="1069"/>
      <c r="AZH295" s="1069"/>
      <c r="AZI295" s="1069"/>
      <c r="AZJ295" s="1069"/>
      <c r="AZK295" s="1069"/>
      <c r="AZL295" s="1069"/>
      <c r="AZM295" s="1069"/>
      <c r="AZN295" s="1069"/>
      <c r="AZO295" s="1069"/>
      <c r="AZP295" s="1069"/>
      <c r="AZQ295" s="1069"/>
      <c r="AZR295" s="1069"/>
      <c r="AZS295" s="1069"/>
      <c r="AZT295" s="1069"/>
      <c r="AZU295" s="1069"/>
      <c r="AZV295" s="1069"/>
      <c r="AZW295" s="1069"/>
      <c r="AZX295" s="1069"/>
      <c r="AZY295" s="1069"/>
      <c r="AZZ295" s="1069"/>
      <c r="BAA295" s="1069"/>
      <c r="BAB295" s="1069"/>
      <c r="BAC295" s="1069"/>
      <c r="BAD295" s="1069"/>
      <c r="BAE295" s="1069"/>
      <c r="BAF295" s="1069"/>
      <c r="BAG295" s="1069"/>
      <c r="BAH295" s="1069"/>
      <c r="BAI295" s="1069"/>
      <c r="BAJ295" s="1069"/>
      <c r="BAK295" s="1069"/>
      <c r="BAL295" s="1069"/>
      <c r="BAM295" s="1069"/>
      <c r="BAN295" s="1069"/>
      <c r="BAO295" s="1069"/>
      <c r="BAP295" s="1069"/>
      <c r="BAQ295" s="1069"/>
      <c r="BAR295" s="1069"/>
      <c r="BAS295" s="1069"/>
      <c r="BAT295" s="1069"/>
      <c r="BAU295" s="1069"/>
      <c r="BAV295" s="1069"/>
      <c r="BAW295" s="1069"/>
      <c r="BAX295" s="1069"/>
      <c r="BAY295" s="1069"/>
      <c r="BAZ295" s="1069"/>
      <c r="BBA295" s="1069"/>
      <c r="BBB295" s="1069"/>
      <c r="BBC295" s="1069"/>
      <c r="BBD295" s="1069"/>
      <c r="BBE295" s="1069"/>
      <c r="BBF295" s="1069"/>
      <c r="BBG295" s="1069"/>
      <c r="BBH295" s="1069"/>
      <c r="BBI295" s="1069"/>
      <c r="BBJ295" s="1069"/>
      <c r="BBK295" s="1069"/>
      <c r="BBL295" s="1069"/>
      <c r="BBM295" s="1069"/>
      <c r="BBN295" s="1069"/>
      <c r="BBO295" s="1069"/>
      <c r="BBP295" s="1069"/>
      <c r="BBQ295" s="1069"/>
      <c r="BBR295" s="1069"/>
      <c r="BBS295" s="1069"/>
      <c r="BBT295" s="1069"/>
      <c r="BBU295" s="1069"/>
      <c r="BBV295" s="1069"/>
      <c r="BBW295" s="1069"/>
      <c r="BBX295" s="1069"/>
      <c r="BBY295" s="1069"/>
      <c r="BBZ295" s="1069"/>
      <c r="BCA295" s="1069"/>
      <c r="BCB295" s="1069"/>
      <c r="BCC295" s="1069"/>
      <c r="BCD295" s="1069"/>
      <c r="BCE295" s="1069"/>
      <c r="BCF295" s="1069"/>
      <c r="BCG295" s="1069"/>
      <c r="BCH295" s="1069"/>
      <c r="BCI295" s="1069"/>
      <c r="BCJ295" s="1069"/>
      <c r="BCK295" s="1069"/>
      <c r="BCL295" s="1069"/>
      <c r="BCM295" s="1069"/>
      <c r="BCN295" s="1069"/>
      <c r="BCO295" s="1069"/>
      <c r="BCP295" s="1069"/>
      <c r="BCQ295" s="1069"/>
      <c r="BCR295" s="1069"/>
      <c r="BCS295" s="1069"/>
      <c r="BCT295" s="1069"/>
      <c r="BCU295" s="1069"/>
      <c r="BCV295" s="1069"/>
      <c r="BCW295" s="1069"/>
      <c r="BCX295" s="1069"/>
      <c r="BCY295" s="1069"/>
      <c r="BCZ295" s="1069"/>
      <c r="BDA295" s="1069"/>
      <c r="BDB295" s="1069"/>
      <c r="BDC295" s="1069"/>
      <c r="BDD295" s="1069"/>
      <c r="BDE295" s="1069"/>
      <c r="BDF295" s="1069"/>
      <c r="BDG295" s="1069"/>
      <c r="BDH295" s="1069"/>
      <c r="BDI295" s="1069"/>
      <c r="BDJ295" s="1069"/>
      <c r="BDK295" s="1069"/>
      <c r="BDL295" s="1069"/>
      <c r="BDM295" s="1069"/>
      <c r="BDN295" s="1069"/>
      <c r="BDO295" s="1069"/>
      <c r="BDP295" s="1069"/>
      <c r="BDQ295" s="1069"/>
      <c r="BDR295" s="1069"/>
      <c r="BDS295" s="1069"/>
      <c r="BDT295" s="1069"/>
      <c r="BDU295" s="1069"/>
      <c r="BDV295" s="1069"/>
      <c r="BDW295" s="1069"/>
      <c r="BDX295" s="1069"/>
      <c r="BDY295" s="1069"/>
      <c r="BDZ295" s="1069"/>
      <c r="BEA295" s="1069"/>
      <c r="BEB295" s="1069"/>
      <c r="BEC295" s="1069"/>
      <c r="BED295" s="1069"/>
      <c r="BEE295" s="1069"/>
      <c r="BEF295" s="1069"/>
      <c r="BEG295" s="1069"/>
      <c r="BEH295" s="1069"/>
      <c r="BEI295" s="1069"/>
      <c r="BEJ295" s="1069"/>
      <c r="BEK295" s="1069"/>
      <c r="BEL295" s="1069"/>
      <c r="BEM295" s="1069"/>
      <c r="BEN295" s="1069"/>
      <c r="BEO295" s="1069"/>
      <c r="BEP295" s="1069"/>
      <c r="BEQ295" s="1069"/>
      <c r="BER295" s="1069"/>
      <c r="BES295" s="1069"/>
      <c r="BET295" s="1069"/>
      <c r="BEU295" s="1069"/>
      <c r="BEV295" s="1069"/>
      <c r="BEW295" s="1069"/>
      <c r="BEX295" s="1069"/>
      <c r="BEY295" s="1069"/>
      <c r="BEZ295" s="1069"/>
      <c r="BFA295" s="1069"/>
      <c r="BFB295" s="1069"/>
      <c r="BFC295" s="1069"/>
      <c r="BFD295" s="1069"/>
      <c r="BFE295" s="1069"/>
      <c r="BFF295" s="1069"/>
      <c r="BFG295" s="1069"/>
      <c r="BFH295" s="1069"/>
      <c r="BFI295" s="1069"/>
      <c r="BFJ295" s="1069"/>
      <c r="BFK295" s="1069"/>
      <c r="BFL295" s="1069"/>
      <c r="BFM295" s="1069"/>
      <c r="BFN295" s="1069"/>
      <c r="BFO295" s="1069"/>
      <c r="BFP295" s="1069"/>
      <c r="BFQ295" s="1069"/>
      <c r="BFR295" s="1069"/>
      <c r="BFS295" s="1069"/>
      <c r="BFT295" s="1069"/>
      <c r="BFU295" s="1069"/>
      <c r="BFV295" s="1069"/>
      <c r="BFW295" s="1069"/>
      <c r="BFX295" s="1069"/>
      <c r="BFY295" s="1069"/>
      <c r="BFZ295" s="1069"/>
      <c r="BGA295" s="1069"/>
      <c r="BGB295" s="1069"/>
      <c r="BGC295" s="1069"/>
      <c r="BGD295" s="1069"/>
      <c r="BGE295" s="1069"/>
      <c r="BGF295" s="1069"/>
      <c r="BGG295" s="1069"/>
      <c r="BGH295" s="1069"/>
      <c r="BGI295" s="1069"/>
      <c r="BGJ295" s="1069"/>
      <c r="BGK295" s="1069"/>
      <c r="BGL295" s="1069"/>
      <c r="BGM295" s="1069"/>
      <c r="BGN295" s="1069"/>
      <c r="BGO295" s="1069"/>
      <c r="BGP295" s="1069"/>
      <c r="BGQ295" s="1069"/>
      <c r="BGR295" s="1069"/>
      <c r="BGS295" s="1069"/>
      <c r="BGT295" s="1069"/>
      <c r="BGU295" s="1069"/>
      <c r="BGV295" s="1069"/>
      <c r="BGW295" s="1069"/>
      <c r="BGX295" s="1069"/>
      <c r="BGY295" s="1069"/>
      <c r="BGZ295" s="1069"/>
      <c r="BHA295" s="1069"/>
      <c r="BHB295" s="1069"/>
      <c r="BHC295" s="1069"/>
      <c r="BHD295" s="1069"/>
      <c r="BHE295" s="1069"/>
      <c r="BHF295" s="1069"/>
      <c r="BHG295" s="1069"/>
      <c r="BHH295" s="1069"/>
      <c r="BHI295" s="1069"/>
      <c r="BHJ295" s="1069"/>
      <c r="BHK295" s="1069"/>
      <c r="BHL295" s="1069"/>
      <c r="BHM295" s="1069"/>
      <c r="BHN295" s="1069"/>
      <c r="BHO295" s="1069"/>
      <c r="BHP295" s="1069"/>
      <c r="BHQ295" s="1069"/>
      <c r="BHR295" s="1069"/>
      <c r="BHS295" s="1069"/>
      <c r="BHT295" s="1069"/>
      <c r="BHU295" s="1069"/>
      <c r="BHV295" s="1069"/>
      <c r="BHW295" s="1069"/>
      <c r="BHX295" s="1069"/>
      <c r="BHY295" s="1069"/>
      <c r="BHZ295" s="1069"/>
      <c r="BIA295" s="1069"/>
      <c r="BIB295" s="1069"/>
      <c r="BIC295" s="1069"/>
      <c r="BID295" s="1069"/>
      <c r="BIE295" s="1069"/>
      <c r="BIF295" s="1069"/>
      <c r="BIG295" s="1069"/>
      <c r="BIH295" s="1069"/>
      <c r="BII295" s="1069"/>
      <c r="BIJ295" s="1069"/>
      <c r="BIK295" s="1069"/>
      <c r="BIL295" s="1069"/>
      <c r="BIM295" s="1069"/>
      <c r="BIN295" s="1069"/>
      <c r="BIO295" s="1069"/>
      <c r="BIP295" s="1069"/>
      <c r="BIQ295" s="1069"/>
      <c r="BIR295" s="1069"/>
      <c r="BIS295" s="1069"/>
      <c r="BIT295" s="1069"/>
      <c r="BIU295" s="1069"/>
      <c r="BIV295" s="1069"/>
      <c r="BIW295" s="1069"/>
      <c r="BIX295" s="1069"/>
      <c r="BIY295" s="1069"/>
      <c r="BIZ295" s="1069"/>
      <c r="BJA295" s="1069"/>
      <c r="BJB295" s="1069"/>
      <c r="BJC295" s="1069"/>
      <c r="BJD295" s="1069"/>
      <c r="BJE295" s="1069"/>
      <c r="BJF295" s="1069"/>
      <c r="BJG295" s="1069"/>
      <c r="BJH295" s="1069"/>
      <c r="BJI295" s="1069"/>
      <c r="BJJ295" s="1069"/>
      <c r="BJK295" s="1069"/>
      <c r="BJL295" s="1069"/>
      <c r="BJM295" s="1069"/>
      <c r="BJN295" s="1069"/>
      <c r="BJO295" s="1069"/>
      <c r="BJP295" s="1069"/>
      <c r="BJQ295" s="1069"/>
      <c r="BJR295" s="1069"/>
      <c r="BJS295" s="1069"/>
      <c r="BJT295" s="1069"/>
      <c r="BJU295" s="1069"/>
      <c r="BJV295" s="1069"/>
      <c r="BJW295" s="1069"/>
      <c r="BJX295" s="1069"/>
      <c r="BJY295" s="1069"/>
      <c r="BJZ295" s="1069"/>
      <c r="BKA295" s="1069"/>
      <c r="BKB295" s="1069"/>
      <c r="BKC295" s="1069"/>
      <c r="BKD295" s="1069"/>
      <c r="BKE295" s="1069"/>
      <c r="BKF295" s="1069"/>
      <c r="BKG295" s="1069"/>
      <c r="BKH295" s="1069"/>
      <c r="BKI295" s="1069"/>
      <c r="BKJ295" s="1069"/>
      <c r="BKK295" s="1069"/>
      <c r="BKL295" s="1069"/>
      <c r="BKM295" s="1069"/>
      <c r="BKN295" s="1069"/>
      <c r="BKO295" s="1069"/>
      <c r="BKP295" s="1069"/>
      <c r="BKQ295" s="1069"/>
      <c r="BKR295" s="1069"/>
      <c r="BKS295" s="1069"/>
      <c r="BKT295" s="1069"/>
      <c r="BKU295" s="1069"/>
      <c r="BKV295" s="1069"/>
      <c r="BKW295" s="1069"/>
      <c r="BKX295" s="1069"/>
      <c r="BKY295" s="1069"/>
      <c r="BKZ295" s="1069"/>
      <c r="BLA295" s="1069"/>
      <c r="BLB295" s="1069"/>
      <c r="BLC295" s="1069"/>
      <c r="BLD295" s="1069"/>
      <c r="BLE295" s="1069"/>
      <c r="BLF295" s="1069"/>
      <c r="BLG295" s="1069"/>
      <c r="BLH295" s="1069"/>
      <c r="BLI295" s="1069"/>
      <c r="BLJ295" s="1069"/>
      <c r="BLK295" s="1069"/>
      <c r="BLL295" s="1069"/>
      <c r="BLM295" s="1069"/>
      <c r="BLN295" s="1069"/>
      <c r="BLO295" s="1069"/>
      <c r="BLP295" s="1069"/>
      <c r="BLQ295" s="1069"/>
      <c r="BLR295" s="1069"/>
      <c r="BLS295" s="1069"/>
      <c r="BLT295" s="1069"/>
      <c r="BLU295" s="1069"/>
      <c r="BLV295" s="1069"/>
      <c r="BLW295" s="1069"/>
      <c r="BLX295" s="1069"/>
      <c r="BLY295" s="1069"/>
      <c r="BLZ295" s="1069"/>
      <c r="BMA295" s="1069"/>
      <c r="BMB295" s="1069"/>
      <c r="BMC295" s="1069"/>
      <c r="BMD295" s="1069"/>
      <c r="BME295" s="1069"/>
      <c r="BMF295" s="1069"/>
      <c r="BMG295" s="1069"/>
      <c r="BMH295" s="1069"/>
      <c r="BMI295" s="1069"/>
      <c r="BMJ295" s="1069"/>
      <c r="BMK295" s="1069"/>
      <c r="BML295" s="1069"/>
      <c r="BMM295" s="1069"/>
      <c r="BMN295" s="1069"/>
      <c r="BMO295" s="1069"/>
      <c r="BMP295" s="1069"/>
      <c r="BMQ295" s="1069"/>
      <c r="BMR295" s="1069"/>
      <c r="BMS295" s="1069"/>
      <c r="BMT295" s="1069"/>
      <c r="BMU295" s="1069"/>
      <c r="BMV295" s="1069"/>
      <c r="BMW295" s="1069"/>
      <c r="BMX295" s="1069"/>
      <c r="BMY295" s="1069"/>
      <c r="BMZ295" s="1069"/>
      <c r="BNA295" s="1069"/>
      <c r="BNB295" s="1069"/>
      <c r="BNC295" s="1069"/>
      <c r="BND295" s="1069"/>
      <c r="BNE295" s="1069"/>
      <c r="BNF295" s="1069"/>
      <c r="BNG295" s="1069"/>
      <c r="BNH295" s="1069"/>
      <c r="BNI295" s="1069"/>
      <c r="BNJ295" s="1069"/>
      <c r="BNK295" s="1069"/>
      <c r="BNL295" s="1069"/>
      <c r="BNM295" s="1069"/>
      <c r="BNN295" s="1069"/>
      <c r="BNO295" s="1069"/>
      <c r="BNP295" s="1069"/>
      <c r="BNQ295" s="1069"/>
      <c r="BNR295" s="1069"/>
      <c r="BNS295" s="1069"/>
      <c r="BNT295" s="1069"/>
      <c r="BNU295" s="1069"/>
      <c r="BNV295" s="1069"/>
      <c r="BNW295" s="1069"/>
      <c r="BNX295" s="1069"/>
      <c r="BNY295" s="1069"/>
      <c r="BNZ295" s="1069"/>
      <c r="BOA295" s="1069"/>
      <c r="BOB295" s="1069"/>
      <c r="BOC295" s="1069"/>
      <c r="BOD295" s="1069"/>
      <c r="BOE295" s="1069"/>
      <c r="BOF295" s="1069"/>
      <c r="BOG295" s="1069"/>
      <c r="BOH295" s="1069"/>
      <c r="BOI295" s="1069"/>
      <c r="BOJ295" s="1069"/>
      <c r="BOK295" s="1069"/>
      <c r="BOL295" s="1069"/>
      <c r="BOM295" s="1069"/>
      <c r="BON295" s="1069"/>
      <c r="BOO295" s="1069"/>
      <c r="BOP295" s="1069"/>
      <c r="BOQ295" s="1069"/>
      <c r="BOR295" s="1069"/>
      <c r="BOS295" s="1069"/>
      <c r="BOT295" s="1069"/>
      <c r="BOU295" s="1069"/>
      <c r="BOV295" s="1069"/>
      <c r="BOW295" s="1069"/>
      <c r="BOX295" s="1069"/>
      <c r="BOY295" s="1069"/>
      <c r="BOZ295" s="1069"/>
      <c r="BPA295" s="1069"/>
      <c r="BPB295" s="1069"/>
      <c r="BPC295" s="1069"/>
      <c r="BPD295" s="1069"/>
      <c r="BPE295" s="1069"/>
      <c r="BPF295" s="1069"/>
      <c r="BPG295" s="1069"/>
      <c r="BPH295" s="1069"/>
      <c r="BPI295" s="1069"/>
      <c r="BPJ295" s="1069"/>
      <c r="BPK295" s="1069"/>
      <c r="BPL295" s="1069"/>
      <c r="BPM295" s="1069"/>
      <c r="BPN295" s="1069"/>
      <c r="BPO295" s="1069"/>
      <c r="BPP295" s="1069"/>
      <c r="BPQ295" s="1069"/>
      <c r="BPR295" s="1069"/>
      <c r="BPS295" s="1069"/>
      <c r="BPT295" s="1069"/>
      <c r="BPU295" s="1069"/>
      <c r="BPV295" s="1069"/>
      <c r="BPW295" s="1069"/>
      <c r="BPX295" s="1069"/>
      <c r="BPY295" s="1069"/>
      <c r="BPZ295" s="1069"/>
      <c r="BQA295" s="1069"/>
      <c r="BQB295" s="1069"/>
      <c r="BQC295" s="1069"/>
      <c r="BQD295" s="1069"/>
      <c r="BQE295" s="1069"/>
      <c r="BQF295" s="1069"/>
      <c r="BQG295" s="1069"/>
      <c r="BQH295" s="1069"/>
      <c r="BQI295" s="1069"/>
      <c r="BQJ295" s="1069"/>
      <c r="BQK295" s="1069"/>
      <c r="BQL295" s="1069"/>
      <c r="BQM295" s="1069"/>
      <c r="BQN295" s="1069"/>
      <c r="BQO295" s="1069"/>
      <c r="BQP295" s="1069"/>
      <c r="BQQ295" s="1069"/>
      <c r="BQR295" s="1069"/>
      <c r="BQS295" s="1069"/>
      <c r="BQT295" s="1069"/>
      <c r="BQU295" s="1069"/>
      <c r="BQV295" s="1069"/>
      <c r="BQW295" s="1069"/>
      <c r="BQX295" s="1069"/>
      <c r="BQY295" s="1069"/>
      <c r="BQZ295" s="1069"/>
      <c r="BRA295" s="1069"/>
      <c r="BRB295" s="1069"/>
      <c r="BRC295" s="1069"/>
      <c r="BRD295" s="1069"/>
      <c r="BRE295" s="1069"/>
      <c r="BRF295" s="1069"/>
      <c r="BRG295" s="1069"/>
      <c r="BRH295" s="1069"/>
      <c r="BRI295" s="1069"/>
      <c r="BRJ295" s="1069"/>
      <c r="BRK295" s="1069"/>
      <c r="BRL295" s="1069"/>
      <c r="BRM295" s="1069"/>
      <c r="BRN295" s="1069"/>
      <c r="BRO295" s="1069"/>
      <c r="BRP295" s="1069"/>
      <c r="BRQ295" s="1069"/>
      <c r="BRR295" s="1069"/>
      <c r="BRS295" s="1069"/>
      <c r="BRT295" s="1069"/>
      <c r="BRU295" s="1069"/>
      <c r="BRV295" s="1069"/>
      <c r="BRW295" s="1069"/>
      <c r="BRX295" s="1069"/>
      <c r="BRY295" s="1069"/>
      <c r="BRZ295" s="1069"/>
      <c r="BSA295" s="1069"/>
      <c r="BSB295" s="1069"/>
      <c r="BSC295" s="1069"/>
      <c r="BSD295" s="1069"/>
      <c r="BSE295" s="1069"/>
      <c r="BSF295" s="1069"/>
      <c r="BSG295" s="1069"/>
      <c r="BSH295" s="1069"/>
      <c r="BSI295" s="1069"/>
      <c r="BSJ295" s="1069"/>
      <c r="BSK295" s="1069"/>
      <c r="BSL295" s="1069"/>
      <c r="BSM295" s="1069"/>
      <c r="BSN295" s="1069"/>
      <c r="BSO295" s="1069"/>
      <c r="BSP295" s="1069"/>
      <c r="BSQ295" s="1069"/>
      <c r="BSR295" s="1069"/>
      <c r="BSS295" s="1069"/>
      <c r="BST295" s="1069"/>
      <c r="BSU295" s="1069"/>
      <c r="BSV295" s="1069"/>
      <c r="BSW295" s="1069"/>
      <c r="BSX295" s="1069"/>
      <c r="BSY295" s="1069"/>
      <c r="BSZ295" s="1069"/>
      <c r="BTA295" s="1069"/>
      <c r="BTB295" s="1069"/>
      <c r="BTC295" s="1069"/>
      <c r="BTD295" s="1069"/>
      <c r="BTE295" s="1069"/>
      <c r="BTF295" s="1069"/>
      <c r="BTG295" s="1069"/>
      <c r="BTH295" s="1069"/>
      <c r="BTI295" s="1069"/>
      <c r="BTJ295" s="1069"/>
      <c r="BTK295" s="1069"/>
      <c r="BTL295" s="1069"/>
      <c r="BTM295" s="1069"/>
      <c r="BTN295" s="1069"/>
      <c r="BTO295" s="1069"/>
      <c r="BTP295" s="1069"/>
      <c r="BTQ295" s="1069"/>
      <c r="BTR295" s="1069"/>
      <c r="BTS295" s="1069"/>
      <c r="BTT295" s="1069"/>
      <c r="BTU295" s="1069"/>
      <c r="BTV295" s="1069"/>
      <c r="BTW295" s="1069"/>
      <c r="BTX295" s="1069"/>
      <c r="BTY295" s="1069"/>
      <c r="BTZ295" s="1069"/>
      <c r="BUA295" s="1069"/>
      <c r="BUB295" s="1069"/>
      <c r="BUC295" s="1069"/>
      <c r="BUD295" s="1069"/>
      <c r="BUE295" s="1069"/>
      <c r="BUF295" s="1069"/>
      <c r="BUG295" s="1069"/>
      <c r="BUH295" s="1069"/>
      <c r="BUI295" s="1069"/>
      <c r="BUJ295" s="1069"/>
      <c r="BUK295" s="1069"/>
      <c r="BUL295" s="1069"/>
      <c r="BUM295" s="1069"/>
      <c r="BUN295" s="1069"/>
      <c r="BUO295" s="1069"/>
      <c r="BUP295" s="1069"/>
      <c r="BUQ295" s="1069"/>
      <c r="BUR295" s="1069"/>
      <c r="BUS295" s="1069"/>
      <c r="BUT295" s="1069"/>
      <c r="BUU295" s="1069"/>
      <c r="BUV295" s="1069"/>
      <c r="BUW295" s="1069"/>
      <c r="BUX295" s="1069"/>
      <c r="BUY295" s="1069"/>
      <c r="BUZ295" s="1069"/>
      <c r="BVA295" s="1069"/>
      <c r="BVB295" s="1069"/>
      <c r="BVC295" s="1069"/>
      <c r="BVD295" s="1069"/>
      <c r="BVE295" s="1069"/>
      <c r="BVF295" s="1069"/>
      <c r="BVG295" s="1069"/>
      <c r="BVH295" s="1069"/>
      <c r="BVI295" s="1069"/>
      <c r="BVJ295" s="1069"/>
      <c r="BVK295" s="1069"/>
      <c r="BVL295" s="1069"/>
      <c r="BVM295" s="1069"/>
      <c r="BVN295" s="1069"/>
      <c r="BVO295" s="1069"/>
      <c r="BVP295" s="1069"/>
      <c r="BVQ295" s="1069"/>
      <c r="BVR295" s="1069"/>
      <c r="BVS295" s="1069"/>
      <c r="BVT295" s="1069"/>
      <c r="BVU295" s="1069"/>
      <c r="BVV295" s="1069"/>
      <c r="BVW295" s="1069"/>
      <c r="BVX295" s="1069"/>
      <c r="BVY295" s="1069"/>
      <c r="BVZ295" s="1069"/>
      <c r="BWA295" s="1069"/>
      <c r="BWB295" s="1069"/>
      <c r="BWC295" s="1069"/>
      <c r="BWD295" s="1069"/>
      <c r="BWE295" s="1069"/>
      <c r="BWF295" s="1069"/>
      <c r="BWG295" s="1069"/>
      <c r="BWH295" s="1069"/>
      <c r="BWI295" s="1069"/>
      <c r="BWJ295" s="1069"/>
      <c r="BWK295" s="1069"/>
      <c r="BWL295" s="1069"/>
      <c r="BWM295" s="1069"/>
      <c r="BWN295" s="1069"/>
      <c r="BWO295" s="1069"/>
      <c r="BWP295" s="1069"/>
      <c r="BWQ295" s="1069"/>
      <c r="BWR295" s="1069"/>
      <c r="BWS295" s="1069"/>
      <c r="BWT295" s="1069"/>
      <c r="BWU295" s="1069"/>
      <c r="BWV295" s="1069"/>
      <c r="BWW295" s="1069"/>
      <c r="BWX295" s="1069"/>
      <c r="BWY295" s="1069"/>
      <c r="BWZ295" s="1069"/>
      <c r="BXA295" s="1069"/>
      <c r="BXB295" s="1069"/>
      <c r="BXC295" s="1069"/>
      <c r="BXD295" s="1069"/>
      <c r="BXE295" s="1069"/>
      <c r="BXF295" s="1069"/>
      <c r="BXG295" s="1069"/>
      <c r="BXH295" s="1069"/>
      <c r="BXI295" s="1069"/>
      <c r="BXJ295" s="1069"/>
      <c r="BXK295" s="1069"/>
      <c r="BXL295" s="1069"/>
      <c r="BXM295" s="1069"/>
      <c r="BXN295" s="1069"/>
      <c r="BXO295" s="1069"/>
      <c r="BXP295" s="1069"/>
      <c r="BXQ295" s="1069"/>
      <c r="BXR295" s="1069"/>
      <c r="BXS295" s="1069"/>
      <c r="BXT295" s="1069"/>
      <c r="BXU295" s="1069"/>
      <c r="BXV295" s="1069"/>
      <c r="BXW295" s="1069"/>
      <c r="BXX295" s="1069"/>
      <c r="BXY295" s="1069"/>
      <c r="BXZ295" s="1069"/>
      <c r="BYA295" s="1069"/>
      <c r="BYB295" s="1069"/>
      <c r="BYC295" s="1069"/>
      <c r="BYD295" s="1069"/>
      <c r="BYE295" s="1069"/>
      <c r="BYF295" s="1069"/>
      <c r="BYG295" s="1069"/>
      <c r="BYH295" s="1069"/>
      <c r="BYI295" s="1069"/>
      <c r="BYJ295" s="1069"/>
      <c r="BYK295" s="1069"/>
      <c r="BYL295" s="1069"/>
      <c r="BYM295" s="1069"/>
      <c r="BYN295" s="1069"/>
      <c r="BYO295" s="1069"/>
      <c r="BYP295" s="1069"/>
      <c r="BYQ295" s="1069"/>
      <c r="BYR295" s="1069"/>
      <c r="BYS295" s="1069"/>
      <c r="BYT295" s="1069"/>
      <c r="BYU295" s="1069"/>
      <c r="BYV295" s="1069"/>
      <c r="BYW295" s="1069"/>
      <c r="BYX295" s="1069"/>
      <c r="BYY295" s="1069"/>
      <c r="BYZ295" s="1069"/>
      <c r="BZA295" s="1069"/>
      <c r="BZB295" s="1069"/>
      <c r="BZC295" s="1069"/>
      <c r="BZD295" s="1069"/>
      <c r="BZE295" s="1069"/>
      <c r="BZF295" s="1069"/>
      <c r="BZG295" s="1069"/>
      <c r="BZH295" s="1069"/>
      <c r="BZI295" s="1069"/>
      <c r="BZJ295" s="1069"/>
      <c r="BZK295" s="1069"/>
      <c r="BZL295" s="1069"/>
      <c r="BZM295" s="1069"/>
      <c r="BZN295" s="1069"/>
      <c r="BZO295" s="1069"/>
      <c r="BZP295" s="1069"/>
      <c r="BZQ295" s="1069"/>
      <c r="BZR295" s="1069"/>
      <c r="BZS295" s="1069"/>
      <c r="BZT295" s="1069"/>
      <c r="BZU295" s="1069"/>
      <c r="BZV295" s="1069"/>
      <c r="BZW295" s="1069"/>
      <c r="BZX295" s="1069"/>
      <c r="BZY295" s="1069"/>
      <c r="BZZ295" s="1069"/>
      <c r="CAA295" s="1069"/>
      <c r="CAB295" s="1069"/>
      <c r="CAC295" s="1069"/>
      <c r="CAD295" s="1069"/>
      <c r="CAE295" s="1069"/>
      <c r="CAF295" s="1069"/>
      <c r="CAG295" s="1069"/>
      <c r="CAH295" s="1069"/>
      <c r="CAI295" s="1069"/>
      <c r="CAJ295" s="1069"/>
      <c r="CAK295" s="1069"/>
      <c r="CAL295" s="1069"/>
      <c r="CAM295" s="1069"/>
      <c r="CAN295" s="1069"/>
      <c r="CAO295" s="1069"/>
      <c r="CAP295" s="1069"/>
      <c r="CAQ295" s="1069"/>
      <c r="CAR295" s="1069"/>
      <c r="CAS295" s="1069"/>
      <c r="CAT295" s="1069"/>
      <c r="CAU295" s="1069"/>
      <c r="CAV295" s="1069"/>
      <c r="CAW295" s="1069"/>
      <c r="CAX295" s="1069"/>
      <c r="CAY295" s="1069"/>
      <c r="CAZ295" s="1069"/>
      <c r="CBA295" s="1069"/>
      <c r="CBB295" s="1069"/>
      <c r="CBC295" s="1069"/>
      <c r="CBD295" s="1069"/>
      <c r="CBE295" s="1069"/>
      <c r="CBF295" s="1069"/>
      <c r="CBG295" s="1069"/>
      <c r="CBH295" s="1069"/>
      <c r="CBI295" s="1069"/>
      <c r="CBJ295" s="1069"/>
      <c r="CBK295" s="1069"/>
      <c r="CBL295" s="1069"/>
      <c r="CBM295" s="1069"/>
      <c r="CBN295" s="1069"/>
      <c r="CBO295" s="1069"/>
      <c r="CBP295" s="1069"/>
      <c r="CBQ295" s="1069"/>
      <c r="CBR295" s="1069"/>
      <c r="CBS295" s="1069"/>
      <c r="CBT295" s="1069"/>
      <c r="CBU295" s="1069"/>
      <c r="CBV295" s="1069"/>
      <c r="CBW295" s="1069"/>
      <c r="CBX295" s="1069"/>
      <c r="CBY295" s="1069"/>
      <c r="CBZ295" s="1069"/>
      <c r="CCA295" s="1069"/>
      <c r="CCB295" s="1069"/>
      <c r="CCC295" s="1069"/>
      <c r="CCD295" s="1069"/>
      <c r="CCE295" s="1069"/>
      <c r="CCF295" s="1069"/>
      <c r="CCG295" s="1069"/>
      <c r="CCH295" s="1069"/>
      <c r="CCI295" s="1069"/>
      <c r="CCJ295" s="1069"/>
      <c r="CCK295" s="1069"/>
      <c r="CCL295" s="1069"/>
      <c r="CCM295" s="1069"/>
      <c r="CCN295" s="1069"/>
      <c r="CCO295" s="1069"/>
      <c r="CCP295" s="1069"/>
      <c r="CCQ295" s="1069"/>
      <c r="CCR295" s="1069"/>
      <c r="CCS295" s="1069"/>
      <c r="CCT295" s="1069"/>
      <c r="CCU295" s="1069"/>
      <c r="CCV295" s="1069"/>
      <c r="CCW295" s="1069"/>
      <c r="CCX295" s="1069"/>
      <c r="CCY295" s="1069"/>
      <c r="CCZ295" s="1069"/>
      <c r="CDA295" s="1069"/>
      <c r="CDB295" s="1069"/>
      <c r="CDC295" s="1069"/>
      <c r="CDD295" s="1069"/>
      <c r="CDE295" s="1069"/>
      <c r="CDF295" s="1069"/>
      <c r="CDG295" s="1069"/>
      <c r="CDH295" s="1069"/>
      <c r="CDI295" s="1069"/>
      <c r="CDJ295" s="1069"/>
      <c r="CDK295" s="1069"/>
      <c r="CDL295" s="1069"/>
      <c r="CDM295" s="1069"/>
      <c r="CDN295" s="1069"/>
      <c r="CDO295" s="1069"/>
      <c r="CDP295" s="1069"/>
      <c r="CDQ295" s="1069"/>
      <c r="CDR295" s="1069"/>
      <c r="CDS295" s="1069"/>
      <c r="CDT295" s="1069"/>
      <c r="CDU295" s="1069"/>
      <c r="CDV295" s="1069"/>
      <c r="CDW295" s="1069"/>
      <c r="CDX295" s="1069"/>
      <c r="CDY295" s="1069"/>
      <c r="CDZ295" s="1069"/>
      <c r="CEA295" s="1069"/>
      <c r="CEB295" s="1069"/>
      <c r="CEC295" s="1069"/>
      <c r="CED295" s="1069"/>
      <c r="CEE295" s="1069"/>
      <c r="CEF295" s="1069"/>
      <c r="CEG295" s="1069"/>
      <c r="CEH295" s="1069"/>
      <c r="CEI295" s="1069"/>
      <c r="CEJ295" s="1069"/>
      <c r="CEK295" s="1069"/>
      <c r="CEL295" s="1069"/>
      <c r="CEM295" s="1069"/>
      <c r="CEN295" s="1069"/>
      <c r="CEO295" s="1069"/>
      <c r="CEP295" s="1069"/>
      <c r="CEQ295" s="1069"/>
      <c r="CER295" s="1069"/>
      <c r="CES295" s="1069"/>
      <c r="CET295" s="1069"/>
      <c r="CEU295" s="1069"/>
      <c r="CEV295" s="1069"/>
      <c r="CEW295" s="1069"/>
      <c r="CEX295" s="1069"/>
      <c r="CEY295" s="1069"/>
      <c r="CEZ295" s="1069"/>
      <c r="CFA295" s="1069"/>
      <c r="CFB295" s="1069"/>
      <c r="CFC295" s="1069"/>
      <c r="CFD295" s="1069"/>
      <c r="CFE295" s="1069"/>
      <c r="CFF295" s="1069"/>
      <c r="CFG295" s="1069"/>
      <c r="CFH295" s="1069"/>
      <c r="CFI295" s="1069"/>
      <c r="CFJ295" s="1069"/>
      <c r="CFK295" s="1069"/>
      <c r="CFL295" s="1069"/>
      <c r="CFM295" s="1069"/>
      <c r="CFN295" s="1069"/>
      <c r="CFO295" s="1069"/>
      <c r="CFP295" s="1069"/>
      <c r="CFQ295" s="1069"/>
      <c r="CFR295" s="1069"/>
      <c r="CFS295" s="1069"/>
      <c r="CFT295" s="1069"/>
      <c r="CFU295" s="1069"/>
      <c r="CFV295" s="1069"/>
      <c r="CFW295" s="1069"/>
      <c r="CFX295" s="1069"/>
      <c r="CFY295" s="1069"/>
      <c r="CFZ295" s="1069"/>
      <c r="CGA295" s="1069"/>
      <c r="CGB295" s="1069"/>
      <c r="CGC295" s="1069"/>
      <c r="CGD295" s="1069"/>
      <c r="CGE295" s="1069"/>
      <c r="CGF295" s="1069"/>
      <c r="CGG295" s="1069"/>
      <c r="CGH295" s="1069"/>
      <c r="CGI295" s="1069"/>
      <c r="CGJ295" s="1069"/>
      <c r="CGK295" s="1069"/>
      <c r="CGL295" s="1069"/>
      <c r="CGM295" s="1069"/>
      <c r="CGN295" s="1069"/>
      <c r="CGO295" s="1069"/>
      <c r="CGP295" s="1069"/>
      <c r="CGQ295" s="1069"/>
      <c r="CGR295" s="1069"/>
      <c r="CGS295" s="1069"/>
      <c r="CGT295" s="1069"/>
      <c r="CGU295" s="1069"/>
      <c r="CGV295" s="1069"/>
      <c r="CGW295" s="1069"/>
      <c r="CGX295" s="1069"/>
      <c r="CGY295" s="1069"/>
      <c r="CGZ295" s="1069"/>
      <c r="CHA295" s="1069"/>
      <c r="CHB295" s="1069"/>
      <c r="CHC295" s="1069"/>
      <c r="CHD295" s="1069"/>
      <c r="CHE295" s="1069"/>
      <c r="CHF295" s="1069"/>
      <c r="CHG295" s="1069"/>
      <c r="CHH295" s="1069"/>
      <c r="CHI295" s="1069"/>
      <c r="CHJ295" s="1069"/>
      <c r="CHK295" s="1069"/>
      <c r="CHL295" s="1069"/>
      <c r="CHM295" s="1069"/>
      <c r="CHN295" s="1069"/>
      <c r="CHO295" s="1069"/>
      <c r="CHP295" s="1069"/>
      <c r="CHQ295" s="1069"/>
      <c r="CHR295" s="1069"/>
      <c r="CHS295" s="1069"/>
      <c r="CHT295" s="1069"/>
      <c r="CHU295" s="1069"/>
      <c r="CHV295" s="1069"/>
      <c r="CHW295" s="1069"/>
      <c r="CHX295" s="1069"/>
      <c r="CHY295" s="1069"/>
      <c r="CHZ295" s="1069"/>
      <c r="CIA295" s="1069"/>
      <c r="CIB295" s="1069"/>
      <c r="CIC295" s="1069"/>
      <c r="CID295" s="1069"/>
      <c r="CIE295" s="1069"/>
      <c r="CIF295" s="1069"/>
      <c r="CIG295" s="1069"/>
      <c r="CIH295" s="1069"/>
      <c r="CII295" s="1069"/>
      <c r="CIJ295" s="1069"/>
      <c r="CIK295" s="1069"/>
      <c r="CIL295" s="1069"/>
      <c r="CIM295" s="1069"/>
      <c r="CIN295" s="1069"/>
      <c r="CIO295" s="1069"/>
      <c r="CIP295" s="1069"/>
      <c r="CIQ295" s="1069"/>
      <c r="CIR295" s="1069"/>
      <c r="CIS295" s="1069"/>
      <c r="CIT295" s="1069"/>
      <c r="CIU295" s="1069"/>
      <c r="CIV295" s="1069"/>
      <c r="CIW295" s="1069"/>
      <c r="CIX295" s="1069"/>
      <c r="CIY295" s="1069"/>
      <c r="CIZ295" s="1069"/>
      <c r="CJA295" s="1069"/>
      <c r="CJB295" s="1069"/>
      <c r="CJC295" s="1069"/>
      <c r="CJD295" s="1069"/>
      <c r="CJE295" s="1069"/>
      <c r="CJF295" s="1069"/>
      <c r="CJG295" s="1069"/>
      <c r="CJH295" s="1069"/>
      <c r="CJI295" s="1069"/>
      <c r="CJJ295" s="1069"/>
      <c r="CJK295" s="1069"/>
      <c r="CJL295" s="1069"/>
      <c r="CJM295" s="1069"/>
      <c r="CJN295" s="1069"/>
      <c r="CJO295" s="1069"/>
      <c r="CJP295" s="1069"/>
      <c r="CJQ295" s="1069"/>
      <c r="CJR295" s="1069"/>
      <c r="CJS295" s="1069"/>
      <c r="CJT295" s="1069"/>
      <c r="CJU295" s="1069"/>
      <c r="CJV295" s="1069"/>
      <c r="CJW295" s="1069"/>
      <c r="CJX295" s="1069"/>
      <c r="CJY295" s="1069"/>
      <c r="CJZ295" s="1069"/>
      <c r="CKA295" s="1069"/>
      <c r="CKB295" s="1069"/>
      <c r="CKC295" s="1069"/>
      <c r="CKD295" s="1069"/>
      <c r="CKE295" s="1069"/>
      <c r="CKF295" s="1069"/>
      <c r="CKG295" s="1069"/>
      <c r="CKH295" s="1069"/>
      <c r="CKI295" s="1069"/>
      <c r="CKJ295" s="1069"/>
      <c r="CKK295" s="1069"/>
      <c r="CKL295" s="1069"/>
      <c r="CKM295" s="1069"/>
      <c r="CKN295" s="1069"/>
      <c r="CKO295" s="1069"/>
      <c r="CKP295" s="1069"/>
      <c r="CKQ295" s="1069"/>
      <c r="CKR295" s="1069"/>
      <c r="CKS295" s="1069"/>
      <c r="CKT295" s="1069"/>
      <c r="CKU295" s="1069"/>
      <c r="CKV295" s="1069"/>
      <c r="CKW295" s="1069"/>
      <c r="CKX295" s="1069"/>
      <c r="CKY295" s="1069"/>
      <c r="CKZ295" s="1069"/>
      <c r="CLA295" s="1069"/>
      <c r="CLB295" s="1069"/>
      <c r="CLC295" s="1069"/>
      <c r="CLD295" s="1069"/>
      <c r="CLE295" s="1069"/>
      <c r="CLF295" s="1069"/>
      <c r="CLG295" s="1069"/>
      <c r="CLH295" s="1069"/>
      <c r="CLI295" s="1069"/>
      <c r="CLJ295" s="1069"/>
      <c r="CLK295" s="1069"/>
      <c r="CLL295" s="1069"/>
      <c r="CLM295" s="1069"/>
      <c r="CLN295" s="1069"/>
      <c r="CLO295" s="1069"/>
      <c r="CLP295" s="1069"/>
      <c r="CLQ295" s="1069"/>
      <c r="CLR295" s="1069"/>
      <c r="CLS295" s="1069"/>
      <c r="CLT295" s="1069"/>
      <c r="CLU295" s="1069"/>
      <c r="CLV295" s="1069"/>
      <c r="CLW295" s="1069"/>
      <c r="CLX295" s="1069"/>
      <c r="CLY295" s="1069"/>
      <c r="CLZ295" s="1069"/>
      <c r="CMA295" s="1069"/>
      <c r="CMB295" s="1069"/>
      <c r="CMC295" s="1069"/>
      <c r="CMD295" s="1069"/>
      <c r="CME295" s="1069"/>
      <c r="CMF295" s="1069"/>
      <c r="CMG295" s="1069"/>
      <c r="CMH295" s="1069"/>
      <c r="CMI295" s="1069"/>
      <c r="CMJ295" s="1069"/>
      <c r="CMK295" s="1069"/>
      <c r="CML295" s="1069"/>
      <c r="CMM295" s="1069"/>
      <c r="CMN295" s="1069"/>
      <c r="CMO295" s="1069"/>
      <c r="CMP295" s="1069"/>
      <c r="CMQ295" s="1069"/>
      <c r="CMR295" s="1069"/>
      <c r="CMS295" s="1069"/>
      <c r="CMT295" s="1069"/>
      <c r="CMU295" s="1069"/>
      <c r="CMV295" s="1069"/>
      <c r="CMW295" s="1069"/>
      <c r="CMX295" s="1069"/>
      <c r="CMY295" s="1069"/>
      <c r="CMZ295" s="1069"/>
      <c r="CNA295" s="1069"/>
      <c r="CNB295" s="1069"/>
      <c r="CNC295" s="1069"/>
      <c r="CND295" s="1069"/>
      <c r="CNE295" s="1069"/>
      <c r="CNF295" s="1069"/>
      <c r="CNG295" s="1069"/>
      <c r="CNH295" s="1069"/>
      <c r="CNI295" s="1069"/>
      <c r="CNJ295" s="1069"/>
      <c r="CNK295" s="1069"/>
      <c r="CNL295" s="1069"/>
      <c r="CNM295" s="1069"/>
      <c r="CNN295" s="1069"/>
      <c r="CNO295" s="1069"/>
      <c r="CNP295" s="1069"/>
      <c r="CNQ295" s="1069"/>
      <c r="CNR295" s="1069"/>
      <c r="CNS295" s="1069"/>
      <c r="CNT295" s="1069"/>
      <c r="CNU295" s="1069"/>
      <c r="CNV295" s="1069"/>
      <c r="CNW295" s="1069"/>
      <c r="CNX295" s="1069"/>
      <c r="CNY295" s="1069"/>
      <c r="CNZ295" s="1069"/>
      <c r="COA295" s="1069"/>
      <c r="COB295" s="1069"/>
      <c r="COC295" s="1069"/>
      <c r="COD295" s="1069"/>
      <c r="COE295" s="1069"/>
      <c r="COF295" s="1069"/>
      <c r="COG295" s="1069"/>
      <c r="COH295" s="1069"/>
      <c r="COI295" s="1069"/>
      <c r="COJ295" s="1069"/>
      <c r="COK295" s="1069"/>
      <c r="COL295" s="1069"/>
      <c r="COM295" s="1069"/>
      <c r="CON295" s="1069"/>
      <c r="COO295" s="1069"/>
      <c r="COP295" s="1069"/>
      <c r="COQ295" s="1069"/>
      <c r="COR295" s="1069"/>
      <c r="COS295" s="1069"/>
      <c r="COT295" s="1069"/>
      <c r="COU295" s="1069"/>
      <c r="COV295" s="1069"/>
      <c r="COW295" s="1069"/>
      <c r="COX295" s="1069"/>
      <c r="COY295" s="1069"/>
      <c r="COZ295" s="1069"/>
      <c r="CPA295" s="1069"/>
      <c r="CPB295" s="1069"/>
      <c r="CPC295" s="1069"/>
      <c r="CPD295" s="1069"/>
      <c r="CPE295" s="1069"/>
      <c r="CPF295" s="1069"/>
      <c r="CPG295" s="1069"/>
      <c r="CPH295" s="1069"/>
      <c r="CPI295" s="1069"/>
      <c r="CPJ295" s="1069"/>
      <c r="CPK295" s="1069"/>
      <c r="CPL295" s="1069"/>
      <c r="CPM295" s="1069"/>
      <c r="CPN295" s="1069"/>
      <c r="CPO295" s="1069"/>
      <c r="CPP295" s="1069"/>
      <c r="CPQ295" s="1069"/>
      <c r="CPR295" s="1069"/>
      <c r="CPS295" s="1069"/>
      <c r="CPT295" s="1069"/>
      <c r="CPU295" s="1069"/>
      <c r="CPV295" s="1069"/>
      <c r="CPW295" s="1069"/>
      <c r="CPX295" s="1069"/>
      <c r="CPY295" s="1069"/>
      <c r="CPZ295" s="1069"/>
      <c r="CQA295" s="1069"/>
      <c r="CQB295" s="1069"/>
      <c r="CQC295" s="1069"/>
      <c r="CQD295" s="1069"/>
      <c r="CQE295" s="1069"/>
      <c r="CQF295" s="1069"/>
      <c r="CQG295" s="1069"/>
      <c r="CQH295" s="1069"/>
      <c r="CQI295" s="1069"/>
      <c r="CQJ295" s="1069"/>
      <c r="CQK295" s="1069"/>
      <c r="CQL295" s="1069"/>
      <c r="CQM295" s="1069"/>
      <c r="CQN295" s="1069"/>
      <c r="CQO295" s="1069"/>
      <c r="CQP295" s="1069"/>
      <c r="CQQ295" s="1069"/>
      <c r="CQR295" s="1069"/>
      <c r="CQS295" s="1069"/>
      <c r="CQT295" s="1069"/>
      <c r="CQU295" s="1069"/>
      <c r="CQV295" s="1069"/>
      <c r="CQW295" s="1069"/>
      <c r="CQX295" s="1069"/>
      <c r="CQY295" s="1069"/>
      <c r="CQZ295" s="1069"/>
      <c r="CRA295" s="1069"/>
      <c r="CRB295" s="1069"/>
      <c r="CRC295" s="1069"/>
      <c r="CRD295" s="1069"/>
      <c r="CRE295" s="1069"/>
      <c r="CRF295" s="1069"/>
      <c r="CRG295" s="1069"/>
      <c r="CRH295" s="1069"/>
      <c r="CRI295" s="1069"/>
      <c r="CRJ295" s="1069"/>
      <c r="CRK295" s="1069"/>
      <c r="CRL295" s="1069"/>
      <c r="CRM295" s="1069"/>
      <c r="CRN295" s="1069"/>
      <c r="CRO295" s="1069"/>
      <c r="CRP295" s="1069"/>
      <c r="CRQ295" s="1069"/>
      <c r="CRR295" s="1069"/>
      <c r="CRS295" s="1069"/>
      <c r="CRT295" s="1069"/>
      <c r="CRU295" s="1069"/>
      <c r="CRV295" s="1069"/>
      <c r="CRW295" s="1069"/>
      <c r="CRX295" s="1069"/>
      <c r="CRY295" s="1069"/>
      <c r="CRZ295" s="1069"/>
      <c r="CSA295" s="1069"/>
      <c r="CSB295" s="1069"/>
      <c r="CSC295" s="1069"/>
      <c r="CSD295" s="1069"/>
      <c r="CSE295" s="1069"/>
      <c r="CSF295" s="1069"/>
      <c r="CSG295" s="1069"/>
      <c r="CSH295" s="1069"/>
      <c r="CSI295" s="1069"/>
      <c r="CSJ295" s="1069"/>
      <c r="CSK295" s="1069"/>
      <c r="CSL295" s="1069"/>
      <c r="CSM295" s="1069"/>
      <c r="CSN295" s="1069"/>
      <c r="CSO295" s="1069"/>
      <c r="CSP295" s="1069"/>
      <c r="CSQ295" s="1069"/>
      <c r="CSR295" s="1069"/>
      <c r="CSS295" s="1069"/>
      <c r="CST295" s="1069"/>
      <c r="CSU295" s="1069"/>
      <c r="CSV295" s="1069"/>
      <c r="CSW295" s="1069"/>
      <c r="CSX295" s="1069"/>
      <c r="CSY295" s="1069"/>
      <c r="CSZ295" s="1069"/>
      <c r="CTA295" s="1069"/>
      <c r="CTB295" s="1069"/>
      <c r="CTC295" s="1069"/>
      <c r="CTD295" s="1069"/>
      <c r="CTE295" s="1069"/>
      <c r="CTF295" s="1069"/>
      <c r="CTG295" s="1069"/>
      <c r="CTH295" s="1069"/>
      <c r="CTI295" s="1069"/>
      <c r="CTJ295" s="1069"/>
      <c r="CTK295" s="1069"/>
      <c r="CTL295" s="1069"/>
      <c r="CTM295" s="1069"/>
      <c r="CTN295" s="1069"/>
      <c r="CTO295" s="1069"/>
      <c r="CTP295" s="1069"/>
      <c r="CTQ295" s="1069"/>
      <c r="CTR295" s="1069"/>
      <c r="CTS295" s="1069"/>
      <c r="CTT295" s="1069"/>
      <c r="CTU295" s="1069"/>
      <c r="CTV295" s="1069"/>
      <c r="CTW295" s="1069"/>
      <c r="CTX295" s="1069"/>
      <c r="CTY295" s="1069"/>
      <c r="CTZ295" s="1069"/>
      <c r="CUA295" s="1069"/>
      <c r="CUB295" s="1069"/>
      <c r="CUC295" s="1069"/>
      <c r="CUD295" s="1069"/>
      <c r="CUE295" s="1069"/>
      <c r="CUF295" s="1069"/>
      <c r="CUG295" s="1069"/>
      <c r="CUH295" s="1069"/>
      <c r="CUI295" s="1069"/>
      <c r="CUJ295" s="1069"/>
      <c r="CUK295" s="1069"/>
      <c r="CUL295" s="1069"/>
      <c r="CUM295" s="1069"/>
      <c r="CUN295" s="1069"/>
      <c r="CUO295" s="1069"/>
      <c r="CUP295" s="1069"/>
      <c r="CUQ295" s="1069"/>
      <c r="CUR295" s="1069"/>
      <c r="CUS295" s="1069"/>
      <c r="CUT295" s="1069"/>
      <c r="CUU295" s="1069"/>
      <c r="CUV295" s="1069"/>
      <c r="CUW295" s="1069"/>
      <c r="CUX295" s="1069"/>
      <c r="CUY295" s="1069"/>
      <c r="CUZ295" s="1069"/>
      <c r="CVA295" s="1069"/>
      <c r="CVB295" s="1069"/>
      <c r="CVC295" s="1069"/>
      <c r="CVD295" s="1069"/>
      <c r="CVE295" s="1069"/>
      <c r="CVF295" s="1069"/>
      <c r="CVG295" s="1069"/>
      <c r="CVH295" s="1069"/>
      <c r="CVI295" s="1069"/>
      <c r="CVJ295" s="1069"/>
      <c r="CVK295" s="1069"/>
      <c r="CVL295" s="1069"/>
      <c r="CVM295" s="1069"/>
      <c r="CVN295" s="1069"/>
      <c r="CVO295" s="1069"/>
      <c r="CVP295" s="1069"/>
      <c r="CVQ295" s="1069"/>
      <c r="CVR295" s="1069"/>
      <c r="CVS295" s="1069"/>
      <c r="CVT295" s="1069"/>
      <c r="CVU295" s="1069"/>
      <c r="CVV295" s="1069"/>
      <c r="CVW295" s="1069"/>
      <c r="CVX295" s="1069"/>
      <c r="CVY295" s="1069"/>
      <c r="CVZ295" s="1069"/>
      <c r="CWA295" s="1069"/>
      <c r="CWB295" s="1069"/>
      <c r="CWC295" s="1069"/>
      <c r="CWD295" s="1069"/>
      <c r="CWE295" s="1069"/>
      <c r="CWF295" s="1069"/>
      <c r="CWG295" s="1069"/>
      <c r="CWH295" s="1069"/>
      <c r="CWI295" s="1069"/>
      <c r="CWJ295" s="1069"/>
      <c r="CWK295" s="1069"/>
      <c r="CWL295" s="1069"/>
      <c r="CWM295" s="1069"/>
      <c r="CWN295" s="1069"/>
      <c r="CWO295" s="1069"/>
      <c r="CWP295" s="1069"/>
      <c r="CWQ295" s="1069"/>
      <c r="CWR295" s="1069"/>
      <c r="CWS295" s="1069"/>
      <c r="CWT295" s="1069"/>
      <c r="CWU295" s="1069"/>
      <c r="CWV295" s="1069"/>
      <c r="CWW295" s="1069"/>
      <c r="CWX295" s="1069"/>
      <c r="CWY295" s="1069"/>
      <c r="CWZ295" s="1069"/>
      <c r="CXA295" s="1069"/>
      <c r="CXB295" s="1069"/>
      <c r="CXC295" s="1069"/>
      <c r="CXD295" s="1069"/>
      <c r="CXE295" s="1069"/>
      <c r="CXF295" s="1069"/>
      <c r="CXG295" s="1069"/>
      <c r="CXH295" s="1069"/>
      <c r="CXI295" s="1069"/>
      <c r="CXJ295" s="1069"/>
      <c r="CXK295" s="1069"/>
      <c r="CXL295" s="1069"/>
      <c r="CXM295" s="1069"/>
      <c r="CXN295" s="1069"/>
      <c r="CXO295" s="1069"/>
      <c r="CXP295" s="1069"/>
      <c r="CXQ295" s="1069"/>
      <c r="CXR295" s="1069"/>
      <c r="CXS295" s="1069"/>
      <c r="CXT295" s="1069"/>
      <c r="CXU295" s="1069"/>
      <c r="CXV295" s="1069"/>
      <c r="CXW295" s="1069"/>
      <c r="CXX295" s="1069"/>
      <c r="CXY295" s="1069"/>
      <c r="CXZ295" s="1069"/>
      <c r="CYA295" s="1069"/>
      <c r="CYB295" s="1069"/>
      <c r="CYC295" s="1069"/>
      <c r="CYD295" s="1069"/>
      <c r="CYE295" s="1069"/>
      <c r="CYF295" s="1069"/>
      <c r="CYG295" s="1069"/>
      <c r="CYH295" s="1069"/>
      <c r="CYI295" s="1069"/>
      <c r="CYJ295" s="1069"/>
      <c r="CYK295" s="1069"/>
      <c r="CYL295" s="1069"/>
      <c r="CYM295" s="1069"/>
      <c r="CYN295" s="1069"/>
      <c r="CYO295" s="1069"/>
      <c r="CYP295" s="1069"/>
      <c r="CYQ295" s="1069"/>
      <c r="CYR295" s="1069"/>
      <c r="CYS295" s="1069"/>
      <c r="CYT295" s="1069"/>
      <c r="CYU295" s="1069"/>
      <c r="CYV295" s="1069"/>
      <c r="CYW295" s="1069"/>
      <c r="CYX295" s="1069"/>
      <c r="CYY295" s="1069"/>
      <c r="CYZ295" s="1069"/>
      <c r="CZA295" s="1069"/>
      <c r="CZB295" s="1069"/>
      <c r="CZC295" s="1069"/>
      <c r="CZD295" s="1069"/>
      <c r="CZE295" s="1069"/>
      <c r="CZF295" s="1069"/>
      <c r="CZG295" s="1069"/>
      <c r="CZH295" s="1069"/>
      <c r="CZI295" s="1069"/>
      <c r="CZJ295" s="1069"/>
      <c r="CZK295" s="1069"/>
      <c r="CZL295" s="1069"/>
      <c r="CZM295" s="1069"/>
      <c r="CZN295" s="1069"/>
      <c r="CZO295" s="1069"/>
      <c r="CZP295" s="1069"/>
      <c r="CZQ295" s="1069"/>
      <c r="CZR295" s="1069"/>
      <c r="CZS295" s="1069"/>
      <c r="CZT295" s="1069"/>
      <c r="CZU295" s="1069"/>
      <c r="CZV295" s="1069"/>
      <c r="CZW295" s="1069"/>
      <c r="CZX295" s="1069"/>
      <c r="CZY295" s="1069"/>
      <c r="CZZ295" s="1069"/>
      <c r="DAA295" s="1069"/>
      <c r="DAB295" s="1069"/>
      <c r="DAC295" s="1069"/>
      <c r="DAD295" s="1069"/>
      <c r="DAE295" s="1069"/>
      <c r="DAF295" s="1069"/>
      <c r="DAG295" s="1069"/>
      <c r="DAH295" s="1069"/>
      <c r="DAI295" s="1069"/>
      <c r="DAJ295" s="1069"/>
      <c r="DAK295" s="1069"/>
      <c r="DAL295" s="1069"/>
      <c r="DAM295" s="1069"/>
      <c r="DAN295" s="1069"/>
      <c r="DAO295" s="1069"/>
      <c r="DAP295" s="1069"/>
      <c r="DAQ295" s="1069"/>
      <c r="DAR295" s="1069"/>
      <c r="DAS295" s="1069"/>
      <c r="DAT295" s="1069"/>
      <c r="DAU295" s="1069"/>
      <c r="DAV295" s="1069"/>
      <c r="DAW295" s="1069"/>
      <c r="DAX295" s="1069"/>
      <c r="DAY295" s="1069"/>
      <c r="DAZ295" s="1069"/>
      <c r="DBA295" s="1069"/>
      <c r="DBB295" s="1069"/>
      <c r="DBC295" s="1069"/>
      <c r="DBD295" s="1069"/>
      <c r="DBE295" s="1069"/>
      <c r="DBF295" s="1069"/>
      <c r="DBG295" s="1069"/>
      <c r="DBH295" s="1069"/>
      <c r="DBI295" s="1069"/>
      <c r="DBJ295" s="1069"/>
      <c r="DBK295" s="1069"/>
      <c r="DBL295" s="1069"/>
      <c r="DBM295" s="1069"/>
      <c r="DBN295" s="1069"/>
      <c r="DBO295" s="1069"/>
      <c r="DBP295" s="1069"/>
      <c r="DBQ295" s="1069"/>
      <c r="DBR295" s="1069"/>
      <c r="DBS295" s="1069"/>
      <c r="DBT295" s="1069"/>
      <c r="DBU295" s="1069"/>
      <c r="DBV295" s="1069"/>
      <c r="DBW295" s="1069"/>
      <c r="DBX295" s="1069"/>
      <c r="DBY295" s="1069"/>
      <c r="DBZ295" s="1069"/>
      <c r="DCA295" s="1069"/>
      <c r="DCB295" s="1069"/>
      <c r="DCC295" s="1069"/>
      <c r="DCD295" s="1069"/>
      <c r="DCE295" s="1069"/>
      <c r="DCF295" s="1069"/>
      <c r="DCG295" s="1069"/>
      <c r="DCH295" s="1069"/>
      <c r="DCI295" s="1069"/>
      <c r="DCJ295" s="1069"/>
      <c r="DCK295" s="1069"/>
      <c r="DCL295" s="1069"/>
      <c r="DCM295" s="1069"/>
      <c r="DCN295" s="1069"/>
      <c r="DCO295" s="1069"/>
      <c r="DCP295" s="1069"/>
      <c r="DCQ295" s="1069"/>
      <c r="DCR295" s="1069"/>
      <c r="DCS295" s="1069"/>
      <c r="DCT295" s="1069"/>
      <c r="DCU295" s="1069"/>
      <c r="DCV295" s="1069"/>
      <c r="DCW295" s="1069"/>
      <c r="DCX295" s="1069"/>
      <c r="DCY295" s="1069"/>
      <c r="DCZ295" s="1069"/>
      <c r="DDA295" s="1069"/>
      <c r="DDB295" s="1069"/>
      <c r="DDC295" s="1069"/>
      <c r="DDD295" s="1069"/>
      <c r="DDE295" s="1069"/>
      <c r="DDF295" s="1069"/>
      <c r="DDG295" s="1069"/>
      <c r="DDH295" s="1069"/>
      <c r="DDI295" s="1069"/>
      <c r="DDJ295" s="1069"/>
      <c r="DDK295" s="1069"/>
      <c r="DDL295" s="1069"/>
      <c r="DDM295" s="1069"/>
      <c r="DDN295" s="1069"/>
      <c r="DDO295" s="1069"/>
      <c r="DDP295" s="1069"/>
      <c r="DDQ295" s="1069"/>
      <c r="DDR295" s="1069"/>
      <c r="DDS295" s="1069"/>
      <c r="DDT295" s="1069"/>
      <c r="DDU295" s="1069"/>
      <c r="DDV295" s="1069"/>
      <c r="DDW295" s="1069"/>
      <c r="DDX295" s="1069"/>
      <c r="DDY295" s="1069"/>
      <c r="DDZ295" s="1069"/>
      <c r="DEA295" s="1069"/>
      <c r="DEB295" s="1069"/>
      <c r="DEC295" s="1069"/>
      <c r="DED295" s="1069"/>
      <c r="DEE295" s="1069"/>
      <c r="DEF295" s="1069"/>
      <c r="DEG295" s="1069"/>
      <c r="DEH295" s="1069"/>
      <c r="DEI295" s="1069"/>
      <c r="DEJ295" s="1069"/>
      <c r="DEK295" s="1069"/>
      <c r="DEL295" s="1069"/>
      <c r="DEM295" s="1069"/>
      <c r="DEN295" s="1069"/>
      <c r="DEO295" s="1069"/>
      <c r="DEP295" s="1069"/>
      <c r="DEQ295" s="1069"/>
      <c r="DER295" s="1069"/>
      <c r="DES295" s="1069"/>
      <c r="DET295" s="1069"/>
      <c r="DEU295" s="1069"/>
      <c r="DEV295" s="1069"/>
      <c r="DEW295" s="1069"/>
      <c r="DEX295" s="1069"/>
      <c r="DEY295" s="1069"/>
      <c r="DEZ295" s="1069"/>
      <c r="DFA295" s="1069"/>
      <c r="DFB295" s="1069"/>
      <c r="DFC295" s="1069"/>
      <c r="DFD295" s="1069"/>
      <c r="DFE295" s="1069"/>
      <c r="DFF295" s="1069"/>
      <c r="DFG295" s="1069"/>
      <c r="DFH295" s="1069"/>
      <c r="DFI295" s="1069"/>
      <c r="DFJ295" s="1069"/>
      <c r="DFK295" s="1069"/>
      <c r="DFL295" s="1069"/>
      <c r="DFM295" s="1069"/>
      <c r="DFN295" s="1069"/>
      <c r="DFO295" s="1069"/>
      <c r="DFP295" s="1069"/>
      <c r="DFQ295" s="1069"/>
      <c r="DFR295" s="1069"/>
      <c r="DFS295" s="1069"/>
      <c r="DFT295" s="1069"/>
      <c r="DFU295" s="1069"/>
      <c r="DFV295" s="1069"/>
      <c r="DFW295" s="1069"/>
      <c r="DFX295" s="1069"/>
      <c r="DFY295" s="1069"/>
      <c r="DFZ295" s="1069"/>
      <c r="DGA295" s="1069"/>
      <c r="DGB295" s="1069"/>
      <c r="DGC295" s="1069"/>
      <c r="DGD295" s="1069"/>
      <c r="DGE295" s="1069"/>
      <c r="DGF295" s="1069"/>
      <c r="DGG295" s="1069"/>
      <c r="DGH295" s="1069"/>
      <c r="DGI295" s="1069"/>
      <c r="DGJ295" s="1069"/>
      <c r="DGK295" s="1069"/>
      <c r="DGL295" s="1069"/>
      <c r="DGM295" s="1069"/>
      <c r="DGN295" s="1069"/>
      <c r="DGO295" s="1069"/>
      <c r="DGP295" s="1069"/>
      <c r="DGQ295" s="1069"/>
      <c r="DGR295" s="1069"/>
      <c r="DGS295" s="1069"/>
      <c r="DGT295" s="1069"/>
      <c r="DGU295" s="1069"/>
      <c r="DGV295" s="1069"/>
      <c r="DGW295" s="1069"/>
      <c r="DGX295" s="1069"/>
      <c r="DGY295" s="1069"/>
      <c r="DGZ295" s="1069"/>
      <c r="DHA295" s="1069"/>
      <c r="DHB295" s="1069"/>
      <c r="DHC295" s="1069"/>
      <c r="DHD295" s="1069"/>
      <c r="DHE295" s="1069"/>
      <c r="DHF295" s="1069"/>
      <c r="DHG295" s="1069"/>
      <c r="DHH295" s="1069"/>
      <c r="DHI295" s="1069"/>
      <c r="DHJ295" s="1069"/>
      <c r="DHK295" s="1069"/>
      <c r="DHL295" s="1069"/>
      <c r="DHM295" s="1069"/>
      <c r="DHN295" s="1069"/>
      <c r="DHO295" s="1069"/>
      <c r="DHP295" s="1069"/>
      <c r="DHQ295" s="1069"/>
      <c r="DHR295" s="1069"/>
      <c r="DHS295" s="1069"/>
      <c r="DHT295" s="1069"/>
      <c r="DHU295" s="1069"/>
      <c r="DHV295" s="1069"/>
      <c r="DHW295" s="1069"/>
      <c r="DHX295" s="1069"/>
      <c r="DHY295" s="1069"/>
      <c r="DHZ295" s="1069"/>
      <c r="DIA295" s="1069"/>
      <c r="DIB295" s="1069"/>
      <c r="DIC295" s="1069"/>
      <c r="DID295" s="1069"/>
      <c r="DIE295" s="1069"/>
      <c r="DIF295" s="1069"/>
      <c r="DIG295" s="1069"/>
      <c r="DIH295" s="1069"/>
      <c r="DII295" s="1069"/>
      <c r="DIJ295" s="1069"/>
      <c r="DIK295" s="1069"/>
      <c r="DIL295" s="1069"/>
      <c r="DIM295" s="1069"/>
      <c r="DIN295" s="1069"/>
      <c r="DIO295" s="1069"/>
      <c r="DIP295" s="1069"/>
      <c r="DIQ295" s="1069"/>
      <c r="DIR295" s="1069"/>
      <c r="DIS295" s="1069"/>
      <c r="DIT295" s="1069"/>
      <c r="DIU295" s="1069"/>
      <c r="DIV295" s="1069"/>
      <c r="DIW295" s="1069"/>
      <c r="DIX295" s="1069"/>
      <c r="DIY295" s="1069"/>
      <c r="DIZ295" s="1069"/>
      <c r="DJA295" s="1069"/>
      <c r="DJB295" s="1069"/>
      <c r="DJC295" s="1069"/>
      <c r="DJD295" s="1069"/>
      <c r="DJE295" s="1069"/>
      <c r="DJF295" s="1069"/>
      <c r="DJG295" s="1069"/>
      <c r="DJH295" s="1069"/>
      <c r="DJI295" s="1069"/>
      <c r="DJJ295" s="1069"/>
      <c r="DJK295" s="1069"/>
      <c r="DJL295" s="1069"/>
      <c r="DJM295" s="1069"/>
      <c r="DJN295" s="1069"/>
      <c r="DJO295" s="1069"/>
      <c r="DJP295" s="1069"/>
      <c r="DJQ295" s="1069"/>
      <c r="DJR295" s="1069"/>
      <c r="DJS295" s="1069"/>
      <c r="DJT295" s="1069"/>
      <c r="DJU295" s="1069"/>
      <c r="DJV295" s="1069"/>
      <c r="DJW295" s="1069"/>
      <c r="DJX295" s="1069"/>
      <c r="DJY295" s="1069"/>
      <c r="DJZ295" s="1069"/>
      <c r="DKA295" s="1069"/>
      <c r="DKB295" s="1069"/>
      <c r="DKC295" s="1069"/>
      <c r="DKD295" s="1069"/>
      <c r="DKE295" s="1069"/>
      <c r="DKF295" s="1069"/>
      <c r="DKG295" s="1069"/>
      <c r="DKH295" s="1069"/>
      <c r="DKI295" s="1069"/>
      <c r="DKJ295" s="1069"/>
      <c r="DKK295" s="1069"/>
      <c r="DKL295" s="1069"/>
      <c r="DKM295" s="1069"/>
      <c r="DKN295" s="1069"/>
      <c r="DKO295" s="1069"/>
      <c r="DKP295" s="1069"/>
      <c r="DKQ295" s="1069"/>
      <c r="DKR295" s="1069"/>
      <c r="DKS295" s="1069"/>
      <c r="DKT295" s="1069"/>
      <c r="DKU295" s="1069"/>
      <c r="DKV295" s="1069"/>
      <c r="DKW295" s="1069"/>
      <c r="DKX295" s="1069"/>
      <c r="DKY295" s="1069"/>
      <c r="DKZ295" s="1069"/>
      <c r="DLA295" s="1069"/>
      <c r="DLB295" s="1069"/>
      <c r="DLC295" s="1069"/>
      <c r="DLD295" s="1069"/>
      <c r="DLE295" s="1069"/>
      <c r="DLF295" s="1069"/>
      <c r="DLG295" s="1069"/>
      <c r="DLH295" s="1069"/>
      <c r="DLI295" s="1069"/>
      <c r="DLJ295" s="1069"/>
      <c r="DLK295" s="1069"/>
      <c r="DLL295" s="1069"/>
      <c r="DLM295" s="1069"/>
      <c r="DLN295" s="1069"/>
      <c r="DLO295" s="1069"/>
      <c r="DLP295" s="1069"/>
      <c r="DLQ295" s="1069"/>
      <c r="DLR295" s="1069"/>
      <c r="DLS295" s="1069"/>
      <c r="DLT295" s="1069"/>
      <c r="DLU295" s="1069"/>
      <c r="DLV295" s="1069"/>
      <c r="DLW295" s="1069"/>
      <c r="DLX295" s="1069"/>
      <c r="DLY295" s="1069"/>
      <c r="DLZ295" s="1069"/>
      <c r="DMA295" s="1069"/>
      <c r="DMB295" s="1069"/>
      <c r="DMC295" s="1069"/>
      <c r="DMD295" s="1069"/>
      <c r="DME295" s="1069"/>
      <c r="DMF295" s="1069"/>
      <c r="DMG295" s="1069"/>
      <c r="DMH295" s="1069"/>
      <c r="DMI295" s="1069"/>
      <c r="DMJ295" s="1069"/>
      <c r="DMK295" s="1069"/>
      <c r="DML295" s="1069"/>
      <c r="DMM295" s="1069"/>
      <c r="DMN295" s="1069"/>
      <c r="DMO295" s="1069"/>
      <c r="DMP295" s="1069"/>
      <c r="DMQ295" s="1069"/>
      <c r="DMR295" s="1069"/>
      <c r="DMS295" s="1069"/>
      <c r="DMT295" s="1069"/>
      <c r="DMU295" s="1069"/>
      <c r="DMV295" s="1069"/>
      <c r="DMW295" s="1069"/>
      <c r="DMX295" s="1069"/>
      <c r="DMY295" s="1069"/>
      <c r="DMZ295" s="1069"/>
      <c r="DNA295" s="1069"/>
      <c r="DNB295" s="1069"/>
      <c r="DNC295" s="1069"/>
      <c r="DND295" s="1069"/>
      <c r="DNE295" s="1069"/>
      <c r="DNF295" s="1069"/>
      <c r="DNG295" s="1069"/>
      <c r="DNH295" s="1069"/>
      <c r="DNI295" s="1069"/>
      <c r="DNJ295" s="1069"/>
      <c r="DNK295" s="1069"/>
      <c r="DNL295" s="1069"/>
      <c r="DNM295" s="1069"/>
      <c r="DNN295" s="1069"/>
      <c r="DNO295" s="1069"/>
      <c r="DNP295" s="1069"/>
      <c r="DNQ295" s="1069"/>
      <c r="DNR295" s="1069"/>
      <c r="DNS295" s="1069"/>
      <c r="DNT295" s="1069"/>
      <c r="DNU295" s="1069"/>
      <c r="DNV295" s="1069"/>
      <c r="DNW295" s="1069"/>
      <c r="DNX295" s="1069"/>
      <c r="DNY295" s="1069"/>
      <c r="DNZ295" s="1069"/>
      <c r="DOA295" s="1069"/>
      <c r="DOB295" s="1069"/>
      <c r="DOC295" s="1069"/>
      <c r="DOD295" s="1069"/>
      <c r="DOE295" s="1069"/>
      <c r="DOF295" s="1069"/>
      <c r="DOG295" s="1069"/>
      <c r="DOH295" s="1069"/>
      <c r="DOI295" s="1069"/>
      <c r="DOJ295" s="1069"/>
      <c r="DOK295" s="1069"/>
      <c r="DOL295" s="1069"/>
      <c r="DOM295" s="1069"/>
      <c r="DON295" s="1069"/>
      <c r="DOO295" s="1069"/>
      <c r="DOP295" s="1069"/>
      <c r="DOQ295" s="1069"/>
      <c r="DOR295" s="1069"/>
      <c r="DOS295" s="1069"/>
      <c r="DOT295" s="1069"/>
      <c r="DOU295" s="1069"/>
      <c r="DOV295" s="1069"/>
      <c r="DOW295" s="1069"/>
      <c r="DOX295" s="1069"/>
      <c r="DOY295" s="1069"/>
      <c r="DOZ295" s="1069"/>
      <c r="DPA295" s="1069"/>
      <c r="DPB295" s="1069"/>
      <c r="DPC295" s="1069"/>
      <c r="DPD295" s="1069"/>
      <c r="DPE295" s="1069"/>
      <c r="DPF295" s="1069"/>
      <c r="DPG295" s="1069"/>
      <c r="DPH295" s="1069"/>
      <c r="DPI295" s="1069"/>
      <c r="DPJ295" s="1069"/>
      <c r="DPK295" s="1069"/>
      <c r="DPL295" s="1069"/>
      <c r="DPM295" s="1069"/>
      <c r="DPN295" s="1069"/>
      <c r="DPO295" s="1069"/>
      <c r="DPP295" s="1069"/>
      <c r="DPQ295" s="1069"/>
      <c r="DPR295" s="1069"/>
      <c r="DPS295" s="1069"/>
      <c r="DPT295" s="1069"/>
      <c r="DPU295" s="1069"/>
      <c r="DPV295" s="1069"/>
      <c r="DPW295" s="1069"/>
      <c r="DPX295" s="1069"/>
      <c r="DPY295" s="1069"/>
      <c r="DPZ295" s="1069"/>
      <c r="DQA295" s="1069"/>
      <c r="DQB295" s="1069"/>
      <c r="DQC295" s="1069"/>
      <c r="DQD295" s="1069"/>
      <c r="DQE295" s="1069"/>
      <c r="DQF295" s="1069"/>
      <c r="DQG295" s="1069"/>
      <c r="DQH295" s="1069"/>
      <c r="DQI295" s="1069"/>
      <c r="DQJ295" s="1069"/>
      <c r="DQK295" s="1069"/>
      <c r="DQL295" s="1069"/>
      <c r="DQM295" s="1069"/>
      <c r="DQN295" s="1069"/>
      <c r="DQO295" s="1069"/>
      <c r="DQP295" s="1069"/>
      <c r="DQQ295" s="1069"/>
      <c r="DQR295" s="1069"/>
      <c r="DQS295" s="1069"/>
      <c r="DQT295" s="1069"/>
      <c r="DQU295" s="1069"/>
      <c r="DQV295" s="1069"/>
      <c r="DQW295" s="1069"/>
      <c r="DQX295" s="1069"/>
      <c r="DQY295" s="1069"/>
      <c r="DQZ295" s="1069"/>
      <c r="DRA295" s="1069"/>
      <c r="DRB295" s="1069"/>
      <c r="DRC295" s="1069"/>
      <c r="DRD295" s="1069"/>
      <c r="DRE295" s="1069"/>
      <c r="DRF295" s="1069"/>
      <c r="DRG295" s="1069"/>
      <c r="DRH295" s="1069"/>
      <c r="DRI295" s="1069"/>
      <c r="DRJ295" s="1069"/>
      <c r="DRK295" s="1069"/>
      <c r="DRL295" s="1069"/>
      <c r="DRM295" s="1069"/>
      <c r="DRN295" s="1069"/>
      <c r="DRO295" s="1069"/>
      <c r="DRP295" s="1069"/>
      <c r="DRQ295" s="1069"/>
      <c r="DRR295" s="1069"/>
      <c r="DRS295" s="1069"/>
      <c r="DRT295" s="1069"/>
      <c r="DRU295" s="1069"/>
      <c r="DRV295" s="1069"/>
      <c r="DRW295" s="1069"/>
      <c r="DRX295" s="1069"/>
      <c r="DRY295" s="1069"/>
      <c r="DRZ295" s="1069"/>
      <c r="DSA295" s="1069"/>
      <c r="DSB295" s="1069"/>
      <c r="DSC295" s="1069"/>
      <c r="DSD295" s="1069"/>
      <c r="DSE295" s="1069"/>
      <c r="DSF295" s="1069"/>
      <c r="DSG295" s="1069"/>
      <c r="DSH295" s="1069"/>
      <c r="DSI295" s="1069"/>
      <c r="DSJ295" s="1069"/>
      <c r="DSK295" s="1069"/>
      <c r="DSL295" s="1069"/>
      <c r="DSM295" s="1069"/>
      <c r="DSN295" s="1069"/>
      <c r="DSO295" s="1069"/>
      <c r="DSP295" s="1069"/>
      <c r="DSQ295" s="1069"/>
      <c r="DSR295" s="1069"/>
      <c r="DSS295" s="1069"/>
      <c r="DST295" s="1069"/>
      <c r="DSU295" s="1069"/>
      <c r="DSV295" s="1069"/>
      <c r="DSW295" s="1069"/>
      <c r="DSX295" s="1069"/>
      <c r="DSY295" s="1069"/>
      <c r="DSZ295" s="1069"/>
      <c r="DTA295" s="1069"/>
      <c r="DTB295" s="1069"/>
      <c r="DTC295" s="1069"/>
      <c r="DTD295" s="1069"/>
      <c r="DTE295" s="1069"/>
      <c r="DTF295" s="1069"/>
      <c r="DTG295" s="1069"/>
      <c r="DTH295" s="1069"/>
      <c r="DTI295" s="1069"/>
      <c r="DTJ295" s="1069"/>
      <c r="DTK295" s="1069"/>
      <c r="DTL295" s="1069"/>
      <c r="DTM295" s="1069"/>
      <c r="DTN295" s="1069"/>
      <c r="DTO295" s="1069"/>
      <c r="DTP295" s="1069"/>
      <c r="DTQ295" s="1069"/>
      <c r="DTR295" s="1069"/>
      <c r="DTS295" s="1069"/>
      <c r="DTT295" s="1069"/>
      <c r="DTU295" s="1069"/>
      <c r="DTV295" s="1069"/>
      <c r="DTW295" s="1069"/>
      <c r="DTX295" s="1069"/>
      <c r="DTY295" s="1069"/>
      <c r="DTZ295" s="1069"/>
      <c r="DUA295" s="1069"/>
      <c r="DUB295" s="1069"/>
      <c r="DUC295" s="1069"/>
      <c r="DUD295" s="1069"/>
      <c r="DUE295" s="1069"/>
      <c r="DUF295" s="1069"/>
      <c r="DUG295" s="1069"/>
      <c r="DUH295" s="1069"/>
      <c r="DUI295" s="1069"/>
      <c r="DUJ295" s="1069"/>
      <c r="DUK295" s="1069"/>
      <c r="DUL295" s="1069"/>
      <c r="DUM295" s="1069"/>
      <c r="DUN295" s="1069"/>
      <c r="DUO295" s="1069"/>
      <c r="DUP295" s="1069"/>
      <c r="DUQ295" s="1069"/>
      <c r="DUR295" s="1069"/>
      <c r="DUS295" s="1069"/>
      <c r="DUT295" s="1069"/>
      <c r="DUU295" s="1069"/>
      <c r="DUV295" s="1069"/>
      <c r="DUW295" s="1069"/>
      <c r="DUX295" s="1069"/>
      <c r="DUY295" s="1069"/>
      <c r="DUZ295" s="1069"/>
      <c r="DVA295" s="1069"/>
      <c r="DVB295" s="1069"/>
      <c r="DVC295" s="1069"/>
      <c r="DVD295" s="1069"/>
      <c r="DVE295" s="1069"/>
      <c r="DVF295" s="1069"/>
      <c r="DVG295" s="1069"/>
      <c r="DVH295" s="1069"/>
      <c r="DVI295" s="1069"/>
      <c r="DVJ295" s="1069"/>
      <c r="DVK295" s="1069"/>
      <c r="DVL295" s="1069"/>
      <c r="DVM295" s="1069"/>
      <c r="DVN295" s="1069"/>
      <c r="DVO295" s="1069"/>
      <c r="DVP295" s="1069"/>
      <c r="DVQ295" s="1069"/>
      <c r="DVR295" s="1069"/>
      <c r="DVS295" s="1069"/>
      <c r="DVT295" s="1069"/>
      <c r="DVU295" s="1069"/>
      <c r="DVV295" s="1069"/>
      <c r="DVW295" s="1069"/>
      <c r="DVX295" s="1069"/>
      <c r="DVY295" s="1069"/>
      <c r="DVZ295" s="1069"/>
      <c r="DWA295" s="1069"/>
      <c r="DWB295" s="1069"/>
      <c r="DWC295" s="1069"/>
      <c r="DWD295" s="1069"/>
      <c r="DWE295" s="1069"/>
      <c r="DWF295" s="1069"/>
      <c r="DWG295" s="1069"/>
      <c r="DWH295" s="1069"/>
      <c r="DWI295" s="1069"/>
      <c r="DWJ295" s="1069"/>
      <c r="DWK295" s="1069"/>
      <c r="DWL295" s="1069"/>
      <c r="DWM295" s="1069"/>
      <c r="DWN295" s="1069"/>
      <c r="DWO295" s="1069"/>
      <c r="DWP295" s="1069"/>
      <c r="DWQ295" s="1069"/>
      <c r="DWR295" s="1069"/>
      <c r="DWS295" s="1069"/>
      <c r="DWT295" s="1069"/>
      <c r="DWU295" s="1069"/>
      <c r="DWV295" s="1069"/>
      <c r="DWW295" s="1069"/>
      <c r="DWX295" s="1069"/>
      <c r="DWY295" s="1069"/>
      <c r="DWZ295" s="1069"/>
      <c r="DXA295" s="1069"/>
      <c r="DXB295" s="1069"/>
      <c r="DXC295" s="1069"/>
      <c r="DXD295" s="1069"/>
      <c r="DXE295" s="1069"/>
      <c r="DXF295" s="1069"/>
      <c r="DXG295" s="1069"/>
      <c r="DXH295" s="1069"/>
      <c r="DXI295" s="1069"/>
      <c r="DXJ295" s="1069"/>
      <c r="DXK295" s="1069"/>
      <c r="DXL295" s="1069"/>
      <c r="DXM295" s="1069"/>
      <c r="DXN295" s="1069"/>
      <c r="DXO295" s="1069"/>
      <c r="DXP295" s="1069"/>
      <c r="DXQ295" s="1069"/>
      <c r="DXR295" s="1069"/>
      <c r="DXS295" s="1069"/>
      <c r="DXT295" s="1069"/>
      <c r="DXU295" s="1069"/>
      <c r="DXV295" s="1069"/>
      <c r="DXW295" s="1069"/>
      <c r="DXX295" s="1069"/>
      <c r="DXY295" s="1069"/>
      <c r="DXZ295" s="1069"/>
      <c r="DYA295" s="1069"/>
      <c r="DYB295" s="1069"/>
      <c r="DYC295" s="1069"/>
      <c r="DYD295" s="1069"/>
      <c r="DYE295" s="1069"/>
      <c r="DYF295" s="1069"/>
      <c r="DYG295" s="1069"/>
      <c r="DYH295" s="1069"/>
      <c r="DYI295" s="1069"/>
      <c r="DYJ295" s="1069"/>
      <c r="DYK295" s="1069"/>
      <c r="DYL295" s="1069"/>
      <c r="DYM295" s="1069"/>
      <c r="DYN295" s="1069"/>
      <c r="DYO295" s="1069"/>
      <c r="DYP295" s="1069"/>
      <c r="DYQ295" s="1069"/>
      <c r="DYR295" s="1069"/>
      <c r="DYS295" s="1069"/>
      <c r="DYT295" s="1069"/>
      <c r="DYU295" s="1069"/>
      <c r="DYV295" s="1069"/>
      <c r="DYW295" s="1069"/>
      <c r="DYX295" s="1069"/>
      <c r="DYY295" s="1069"/>
      <c r="DYZ295" s="1069"/>
      <c r="DZA295" s="1069"/>
      <c r="DZB295" s="1069"/>
      <c r="DZC295" s="1069"/>
      <c r="DZD295" s="1069"/>
      <c r="DZE295" s="1069"/>
      <c r="DZF295" s="1069"/>
      <c r="DZG295" s="1069"/>
      <c r="DZH295" s="1069"/>
      <c r="DZI295" s="1069"/>
      <c r="DZJ295" s="1069"/>
      <c r="DZK295" s="1069"/>
      <c r="DZL295" s="1069"/>
      <c r="DZM295" s="1069"/>
      <c r="DZN295" s="1069"/>
      <c r="DZO295" s="1069"/>
      <c r="DZP295" s="1069"/>
      <c r="DZQ295" s="1069"/>
      <c r="DZR295" s="1069"/>
      <c r="DZS295" s="1069"/>
      <c r="DZT295" s="1069"/>
      <c r="DZU295" s="1069"/>
      <c r="DZV295" s="1069"/>
      <c r="DZW295" s="1069"/>
      <c r="DZX295" s="1069"/>
      <c r="DZY295" s="1069"/>
      <c r="DZZ295" s="1069"/>
      <c r="EAA295" s="1069"/>
      <c r="EAB295" s="1069"/>
      <c r="EAC295" s="1069"/>
      <c r="EAD295" s="1069"/>
      <c r="EAE295" s="1069"/>
      <c r="EAF295" s="1069"/>
      <c r="EAG295" s="1069"/>
      <c r="EAH295" s="1069"/>
      <c r="EAI295" s="1069"/>
      <c r="EAJ295" s="1069"/>
      <c r="EAK295" s="1069"/>
      <c r="EAL295" s="1069"/>
      <c r="EAM295" s="1069"/>
      <c r="EAN295" s="1069"/>
      <c r="EAO295" s="1069"/>
      <c r="EAP295" s="1069"/>
      <c r="EAQ295" s="1069"/>
      <c r="EAR295" s="1069"/>
      <c r="EAS295" s="1069"/>
      <c r="EAT295" s="1069"/>
      <c r="EAU295" s="1069"/>
      <c r="EAV295" s="1069"/>
      <c r="EAW295" s="1069"/>
      <c r="EAX295" s="1069"/>
      <c r="EAY295" s="1069"/>
      <c r="EAZ295" s="1069"/>
      <c r="EBA295" s="1069"/>
      <c r="EBB295" s="1069"/>
      <c r="EBC295" s="1069"/>
      <c r="EBD295" s="1069"/>
      <c r="EBE295" s="1069"/>
      <c r="EBF295" s="1069"/>
      <c r="EBG295" s="1069"/>
      <c r="EBH295" s="1069"/>
      <c r="EBI295" s="1069"/>
      <c r="EBJ295" s="1069"/>
      <c r="EBK295" s="1069"/>
      <c r="EBL295" s="1069"/>
      <c r="EBM295" s="1069"/>
      <c r="EBN295" s="1069"/>
      <c r="EBO295" s="1069"/>
      <c r="EBP295" s="1069"/>
      <c r="EBQ295" s="1069"/>
      <c r="EBR295" s="1069"/>
      <c r="EBS295" s="1069"/>
      <c r="EBT295" s="1069"/>
      <c r="EBU295" s="1069"/>
      <c r="EBV295" s="1069"/>
      <c r="EBW295" s="1069"/>
      <c r="EBX295" s="1069"/>
      <c r="EBY295" s="1069"/>
      <c r="EBZ295" s="1069"/>
      <c r="ECA295" s="1069"/>
      <c r="ECB295" s="1069"/>
      <c r="ECC295" s="1069"/>
      <c r="ECD295" s="1069"/>
      <c r="ECE295" s="1069"/>
      <c r="ECF295" s="1069"/>
      <c r="ECG295" s="1069"/>
      <c r="ECH295" s="1069"/>
      <c r="ECI295" s="1069"/>
      <c r="ECJ295" s="1069"/>
      <c r="ECK295" s="1069"/>
      <c r="ECL295" s="1069"/>
      <c r="ECM295" s="1069"/>
      <c r="ECN295" s="1069"/>
      <c r="ECO295" s="1069"/>
      <c r="ECP295" s="1069"/>
      <c r="ECQ295" s="1069"/>
      <c r="ECR295" s="1069"/>
      <c r="ECS295" s="1069"/>
      <c r="ECT295" s="1069"/>
      <c r="ECU295" s="1069"/>
      <c r="ECV295" s="1069"/>
      <c r="ECW295" s="1069"/>
      <c r="ECX295" s="1069"/>
      <c r="ECY295" s="1069"/>
      <c r="ECZ295" s="1069"/>
      <c r="EDA295" s="1069"/>
      <c r="EDB295" s="1069"/>
      <c r="EDC295" s="1069"/>
      <c r="EDD295" s="1069"/>
      <c r="EDE295" s="1069"/>
      <c r="EDF295" s="1069"/>
      <c r="EDG295" s="1069"/>
      <c r="EDH295" s="1069"/>
      <c r="EDI295" s="1069"/>
      <c r="EDJ295" s="1069"/>
      <c r="EDK295" s="1069"/>
      <c r="EDL295" s="1069"/>
      <c r="EDM295" s="1069"/>
      <c r="EDN295" s="1069"/>
      <c r="EDO295" s="1069"/>
      <c r="EDP295" s="1069"/>
      <c r="EDQ295" s="1069"/>
      <c r="EDR295" s="1069"/>
      <c r="EDS295" s="1069"/>
      <c r="EDT295" s="1069"/>
      <c r="EDU295" s="1069"/>
      <c r="EDV295" s="1069"/>
      <c r="EDW295" s="1069"/>
      <c r="EDX295" s="1069"/>
      <c r="EDY295" s="1069"/>
      <c r="EDZ295" s="1069"/>
      <c r="EEA295" s="1069"/>
      <c r="EEB295" s="1069"/>
      <c r="EEC295" s="1069"/>
      <c r="EED295" s="1069"/>
      <c r="EEE295" s="1069"/>
      <c r="EEF295" s="1069"/>
      <c r="EEG295" s="1069"/>
      <c r="EEH295" s="1069"/>
      <c r="EEI295" s="1069"/>
      <c r="EEJ295" s="1069"/>
      <c r="EEK295" s="1069"/>
      <c r="EEL295" s="1069"/>
      <c r="EEM295" s="1069"/>
      <c r="EEN295" s="1069"/>
      <c r="EEO295" s="1069"/>
      <c r="EEP295" s="1069"/>
      <c r="EEQ295" s="1069"/>
      <c r="EER295" s="1069"/>
      <c r="EES295" s="1069"/>
      <c r="EET295" s="1069"/>
      <c r="EEU295" s="1069"/>
      <c r="EEV295" s="1069"/>
      <c r="EEW295" s="1069"/>
      <c r="EEX295" s="1069"/>
      <c r="EEY295" s="1069"/>
      <c r="EEZ295" s="1069"/>
      <c r="EFA295" s="1069"/>
      <c r="EFB295" s="1069"/>
      <c r="EFC295" s="1069"/>
      <c r="EFD295" s="1069"/>
      <c r="EFE295" s="1069"/>
      <c r="EFF295" s="1069"/>
      <c r="EFG295" s="1069"/>
      <c r="EFH295" s="1069"/>
      <c r="EFI295" s="1069"/>
      <c r="EFJ295" s="1069"/>
      <c r="EFK295" s="1069"/>
      <c r="EFL295" s="1069"/>
      <c r="EFM295" s="1069"/>
      <c r="EFN295" s="1069"/>
      <c r="EFO295" s="1069"/>
      <c r="EFP295" s="1069"/>
      <c r="EFQ295" s="1069"/>
      <c r="EFR295" s="1069"/>
      <c r="EFS295" s="1069"/>
      <c r="EFT295" s="1069"/>
      <c r="EFU295" s="1069"/>
      <c r="EFV295" s="1069"/>
      <c r="EFW295" s="1069"/>
      <c r="EFX295" s="1069"/>
      <c r="EFY295" s="1069"/>
      <c r="EFZ295" s="1069"/>
      <c r="EGA295" s="1069"/>
      <c r="EGB295" s="1069"/>
      <c r="EGC295" s="1069"/>
      <c r="EGD295" s="1069"/>
      <c r="EGE295" s="1069"/>
      <c r="EGF295" s="1069"/>
      <c r="EGG295" s="1069"/>
      <c r="EGH295" s="1069"/>
      <c r="EGI295" s="1069"/>
      <c r="EGJ295" s="1069"/>
      <c r="EGK295" s="1069"/>
      <c r="EGL295" s="1069"/>
      <c r="EGM295" s="1069"/>
      <c r="EGN295" s="1069"/>
      <c r="EGO295" s="1069"/>
      <c r="EGP295" s="1069"/>
      <c r="EGQ295" s="1069"/>
      <c r="EGR295" s="1069"/>
      <c r="EGS295" s="1069"/>
      <c r="EGT295" s="1069"/>
      <c r="EGU295" s="1069"/>
      <c r="EGV295" s="1069"/>
      <c r="EGW295" s="1069"/>
      <c r="EGX295" s="1069"/>
      <c r="EGY295" s="1069"/>
      <c r="EGZ295" s="1069"/>
      <c r="EHA295" s="1069"/>
      <c r="EHB295" s="1069"/>
      <c r="EHC295" s="1069"/>
      <c r="EHD295" s="1069"/>
      <c r="EHE295" s="1069"/>
      <c r="EHF295" s="1069"/>
      <c r="EHG295" s="1069"/>
      <c r="EHH295" s="1069"/>
      <c r="EHI295" s="1069"/>
      <c r="EHJ295" s="1069"/>
      <c r="EHK295" s="1069"/>
      <c r="EHL295" s="1069"/>
      <c r="EHM295" s="1069"/>
      <c r="EHN295" s="1069"/>
      <c r="EHO295" s="1069"/>
      <c r="EHP295" s="1069"/>
      <c r="EHQ295" s="1069"/>
      <c r="EHR295" s="1069"/>
      <c r="EHS295" s="1069"/>
      <c r="EHT295" s="1069"/>
      <c r="EHU295" s="1069"/>
      <c r="EHV295" s="1069"/>
      <c r="EHW295" s="1069"/>
      <c r="EHX295" s="1069"/>
      <c r="EHY295" s="1069"/>
      <c r="EHZ295" s="1069"/>
      <c r="EIA295" s="1069"/>
      <c r="EIB295" s="1069"/>
      <c r="EIC295" s="1069"/>
      <c r="EID295" s="1069"/>
      <c r="EIE295" s="1069"/>
      <c r="EIF295" s="1069"/>
      <c r="EIG295" s="1069"/>
      <c r="EIH295" s="1069"/>
      <c r="EII295" s="1069"/>
      <c r="EIJ295" s="1069"/>
      <c r="EIK295" s="1069"/>
      <c r="EIL295" s="1069"/>
      <c r="EIM295" s="1069"/>
      <c r="EIN295" s="1069"/>
      <c r="EIO295" s="1069"/>
      <c r="EIP295" s="1069"/>
      <c r="EIQ295" s="1069"/>
      <c r="EIR295" s="1069"/>
      <c r="EIS295" s="1069"/>
      <c r="EIT295" s="1069"/>
      <c r="EIU295" s="1069"/>
      <c r="EIV295" s="1069"/>
      <c r="EIW295" s="1069"/>
      <c r="EIX295" s="1069"/>
      <c r="EIY295" s="1069"/>
      <c r="EIZ295" s="1069"/>
      <c r="EJA295" s="1069"/>
      <c r="EJB295" s="1069"/>
      <c r="EJC295" s="1069"/>
      <c r="EJD295" s="1069"/>
      <c r="EJE295" s="1069"/>
      <c r="EJF295" s="1069"/>
      <c r="EJG295" s="1069"/>
      <c r="EJH295" s="1069"/>
      <c r="EJI295" s="1069"/>
      <c r="EJJ295" s="1069"/>
      <c r="EJK295" s="1069"/>
      <c r="EJL295" s="1069"/>
      <c r="EJM295" s="1069"/>
      <c r="EJN295" s="1069"/>
      <c r="EJO295" s="1069"/>
      <c r="EJP295" s="1069"/>
      <c r="EJQ295" s="1069"/>
      <c r="EJR295" s="1069"/>
      <c r="EJS295" s="1069"/>
      <c r="EJT295" s="1069"/>
      <c r="EJU295" s="1069"/>
      <c r="EJV295" s="1069"/>
      <c r="EJW295" s="1069"/>
      <c r="EJX295" s="1069"/>
      <c r="EJY295" s="1069"/>
      <c r="EJZ295" s="1069"/>
      <c r="EKA295" s="1069"/>
      <c r="EKB295" s="1069"/>
      <c r="EKC295" s="1069"/>
      <c r="EKD295" s="1069"/>
      <c r="EKE295" s="1069"/>
      <c r="EKF295" s="1069"/>
      <c r="EKG295" s="1069"/>
      <c r="EKH295" s="1069"/>
      <c r="EKI295" s="1069"/>
      <c r="EKJ295" s="1069"/>
      <c r="EKK295" s="1069"/>
      <c r="EKL295" s="1069"/>
      <c r="EKM295" s="1069"/>
      <c r="EKN295" s="1069"/>
      <c r="EKO295" s="1069"/>
      <c r="EKP295" s="1069"/>
      <c r="EKQ295" s="1069"/>
      <c r="EKR295" s="1069"/>
      <c r="EKS295" s="1069"/>
      <c r="EKT295" s="1069"/>
      <c r="EKU295" s="1069"/>
      <c r="EKV295" s="1069"/>
      <c r="EKW295" s="1069"/>
      <c r="EKX295" s="1069"/>
      <c r="EKY295" s="1069"/>
      <c r="EKZ295" s="1069"/>
      <c r="ELA295" s="1069"/>
      <c r="ELB295" s="1069"/>
      <c r="ELC295" s="1069"/>
      <c r="ELD295" s="1069"/>
      <c r="ELE295" s="1069"/>
      <c r="ELF295" s="1069"/>
      <c r="ELG295" s="1069"/>
      <c r="ELH295" s="1069"/>
      <c r="ELI295" s="1069"/>
      <c r="ELJ295" s="1069"/>
      <c r="ELK295" s="1069"/>
      <c r="ELL295" s="1069"/>
      <c r="ELM295" s="1069"/>
      <c r="ELN295" s="1069"/>
      <c r="ELO295" s="1069"/>
      <c r="ELP295" s="1069"/>
      <c r="ELQ295" s="1069"/>
      <c r="ELR295" s="1069"/>
      <c r="ELS295" s="1069"/>
      <c r="ELT295" s="1069"/>
      <c r="ELU295" s="1069"/>
      <c r="ELV295" s="1069"/>
      <c r="ELW295" s="1069"/>
      <c r="ELX295" s="1069"/>
      <c r="ELY295" s="1069"/>
      <c r="ELZ295" s="1069"/>
      <c r="EMA295" s="1069"/>
      <c r="EMB295" s="1069"/>
      <c r="EMC295" s="1069"/>
      <c r="EMD295" s="1069"/>
      <c r="EME295" s="1069"/>
      <c r="EMF295" s="1069"/>
      <c r="EMG295" s="1069"/>
      <c r="EMH295" s="1069"/>
      <c r="EMI295" s="1069"/>
      <c r="EMJ295" s="1069"/>
      <c r="EMK295" s="1069"/>
      <c r="EML295" s="1069"/>
      <c r="EMM295" s="1069"/>
      <c r="EMN295" s="1069"/>
      <c r="EMO295" s="1069"/>
      <c r="EMP295" s="1069"/>
      <c r="EMQ295" s="1069"/>
      <c r="EMR295" s="1069"/>
      <c r="EMS295" s="1069"/>
      <c r="EMT295" s="1069"/>
      <c r="EMU295" s="1069"/>
      <c r="EMV295" s="1069"/>
      <c r="EMW295" s="1069"/>
      <c r="EMX295" s="1069"/>
      <c r="EMY295" s="1069"/>
      <c r="EMZ295" s="1069"/>
      <c r="ENA295" s="1069"/>
      <c r="ENB295" s="1069"/>
      <c r="ENC295" s="1069"/>
      <c r="END295" s="1069"/>
      <c r="ENE295" s="1069"/>
      <c r="ENF295" s="1069"/>
      <c r="ENG295" s="1069"/>
      <c r="ENH295" s="1069"/>
      <c r="ENI295" s="1069"/>
      <c r="ENJ295" s="1069"/>
      <c r="ENK295" s="1069"/>
      <c r="ENL295" s="1069"/>
      <c r="ENM295" s="1069"/>
      <c r="ENN295" s="1069"/>
      <c r="ENO295" s="1069"/>
      <c r="ENP295" s="1069"/>
      <c r="ENQ295" s="1069"/>
      <c r="ENR295" s="1069"/>
      <c r="ENS295" s="1069"/>
      <c r="ENT295" s="1069"/>
      <c r="ENU295" s="1069"/>
      <c r="ENV295" s="1069"/>
      <c r="ENW295" s="1069"/>
      <c r="ENX295" s="1069"/>
      <c r="ENY295" s="1069"/>
      <c r="ENZ295" s="1069"/>
      <c r="EOA295" s="1069"/>
      <c r="EOB295" s="1069"/>
      <c r="EOC295" s="1069"/>
      <c r="EOD295" s="1069"/>
      <c r="EOE295" s="1069"/>
      <c r="EOF295" s="1069"/>
      <c r="EOG295" s="1069"/>
      <c r="EOH295" s="1069"/>
      <c r="EOI295" s="1069"/>
      <c r="EOJ295" s="1069"/>
      <c r="EOK295" s="1069"/>
      <c r="EOL295" s="1069"/>
      <c r="EOM295" s="1069"/>
      <c r="EON295" s="1069"/>
      <c r="EOO295" s="1069"/>
      <c r="EOP295" s="1069"/>
      <c r="EOQ295" s="1069"/>
      <c r="EOR295" s="1069"/>
      <c r="EOS295" s="1069"/>
      <c r="EOT295" s="1069"/>
      <c r="EOU295" s="1069"/>
      <c r="EOV295" s="1069"/>
      <c r="EOW295" s="1069"/>
      <c r="EOX295" s="1069"/>
      <c r="EOY295" s="1069"/>
      <c r="EOZ295" s="1069"/>
      <c r="EPA295" s="1069"/>
      <c r="EPB295" s="1069"/>
      <c r="EPC295" s="1069"/>
      <c r="EPD295" s="1069"/>
      <c r="EPE295" s="1069"/>
      <c r="EPF295" s="1069"/>
      <c r="EPG295" s="1069"/>
      <c r="EPH295" s="1069"/>
      <c r="EPI295" s="1069"/>
      <c r="EPJ295" s="1069"/>
      <c r="EPK295" s="1069"/>
      <c r="EPL295" s="1069"/>
      <c r="EPM295" s="1069"/>
      <c r="EPN295" s="1069"/>
      <c r="EPO295" s="1069"/>
      <c r="EPP295" s="1069"/>
      <c r="EPQ295" s="1069"/>
      <c r="EPR295" s="1069"/>
      <c r="EPS295" s="1069"/>
      <c r="EPT295" s="1069"/>
      <c r="EPU295" s="1069"/>
      <c r="EPV295" s="1069"/>
      <c r="EPW295" s="1069"/>
      <c r="EPX295" s="1069"/>
      <c r="EPY295" s="1069"/>
      <c r="EPZ295" s="1069"/>
      <c r="EQA295" s="1069"/>
      <c r="EQB295" s="1069"/>
      <c r="EQC295" s="1069"/>
      <c r="EQD295" s="1069"/>
      <c r="EQE295" s="1069"/>
      <c r="EQF295" s="1069"/>
      <c r="EQG295" s="1069"/>
      <c r="EQH295" s="1069"/>
      <c r="EQI295" s="1069"/>
      <c r="EQJ295" s="1069"/>
      <c r="EQK295" s="1069"/>
      <c r="EQL295" s="1069"/>
      <c r="EQM295" s="1069"/>
      <c r="EQN295" s="1069"/>
      <c r="EQO295" s="1069"/>
      <c r="EQP295" s="1069"/>
      <c r="EQQ295" s="1069"/>
      <c r="EQR295" s="1069"/>
      <c r="EQS295" s="1069"/>
      <c r="EQT295" s="1069"/>
      <c r="EQU295" s="1069"/>
      <c r="EQV295" s="1069"/>
      <c r="EQW295" s="1069"/>
      <c r="EQX295" s="1069"/>
      <c r="EQY295" s="1069"/>
      <c r="EQZ295" s="1069"/>
      <c r="ERA295" s="1069"/>
      <c r="ERB295" s="1069"/>
      <c r="ERC295" s="1069"/>
      <c r="ERD295" s="1069"/>
      <c r="ERE295" s="1069"/>
      <c r="ERF295" s="1069"/>
      <c r="ERG295" s="1069"/>
      <c r="ERH295" s="1069"/>
      <c r="ERI295" s="1069"/>
      <c r="ERJ295" s="1069"/>
      <c r="ERK295" s="1069"/>
      <c r="ERL295" s="1069"/>
      <c r="ERM295" s="1069"/>
      <c r="ERN295" s="1069"/>
      <c r="ERO295" s="1069"/>
      <c r="ERP295" s="1069"/>
      <c r="ERQ295" s="1069"/>
      <c r="ERR295" s="1069"/>
      <c r="ERS295" s="1069"/>
      <c r="ERT295" s="1069"/>
      <c r="ERU295" s="1069"/>
      <c r="ERV295" s="1069"/>
      <c r="ERW295" s="1069"/>
      <c r="ERX295" s="1069"/>
      <c r="ERY295" s="1069"/>
      <c r="ERZ295" s="1069"/>
      <c r="ESA295" s="1069"/>
      <c r="ESB295" s="1069"/>
      <c r="ESC295" s="1069"/>
      <c r="ESD295" s="1069"/>
      <c r="ESE295" s="1069"/>
      <c r="ESF295" s="1069"/>
      <c r="ESG295" s="1069"/>
      <c r="ESH295" s="1069"/>
      <c r="ESI295" s="1069"/>
      <c r="ESJ295" s="1069"/>
      <c r="ESK295" s="1069"/>
      <c r="ESL295" s="1069"/>
      <c r="ESM295" s="1069"/>
      <c r="ESN295" s="1069"/>
      <c r="ESO295" s="1069"/>
      <c r="ESP295" s="1069"/>
      <c r="ESQ295" s="1069"/>
      <c r="ESR295" s="1069"/>
      <c r="ESS295" s="1069"/>
      <c r="EST295" s="1069"/>
      <c r="ESU295" s="1069"/>
      <c r="ESV295" s="1069"/>
      <c r="ESW295" s="1069"/>
      <c r="ESX295" s="1069"/>
      <c r="ESY295" s="1069"/>
      <c r="ESZ295" s="1069"/>
      <c r="ETA295" s="1069"/>
      <c r="ETB295" s="1069"/>
      <c r="ETC295" s="1069"/>
      <c r="ETD295" s="1069"/>
      <c r="ETE295" s="1069"/>
      <c r="ETF295" s="1069"/>
      <c r="ETG295" s="1069"/>
      <c r="ETH295" s="1069"/>
      <c r="ETI295" s="1069"/>
      <c r="ETJ295" s="1069"/>
      <c r="ETK295" s="1069"/>
      <c r="ETL295" s="1069"/>
      <c r="ETM295" s="1069"/>
      <c r="ETN295" s="1069"/>
      <c r="ETO295" s="1069"/>
      <c r="ETP295" s="1069"/>
      <c r="ETQ295" s="1069"/>
      <c r="ETR295" s="1069"/>
      <c r="ETS295" s="1069"/>
      <c r="ETT295" s="1069"/>
      <c r="ETU295" s="1069"/>
      <c r="ETV295" s="1069"/>
      <c r="ETW295" s="1069"/>
      <c r="ETX295" s="1069"/>
      <c r="ETY295" s="1069"/>
      <c r="ETZ295" s="1069"/>
      <c r="EUA295" s="1069"/>
      <c r="EUB295" s="1069"/>
      <c r="EUC295" s="1069"/>
      <c r="EUD295" s="1069"/>
      <c r="EUE295" s="1069"/>
      <c r="EUF295" s="1069"/>
      <c r="EUG295" s="1069"/>
      <c r="EUH295" s="1069"/>
      <c r="EUI295" s="1069"/>
      <c r="EUJ295" s="1069"/>
      <c r="EUK295" s="1069"/>
      <c r="EUL295" s="1069"/>
      <c r="EUM295" s="1069"/>
      <c r="EUN295" s="1069"/>
      <c r="EUO295" s="1069"/>
      <c r="EUP295" s="1069"/>
      <c r="EUQ295" s="1069"/>
      <c r="EUR295" s="1069"/>
      <c r="EUS295" s="1069"/>
      <c r="EUT295" s="1069"/>
      <c r="EUU295" s="1069"/>
      <c r="EUV295" s="1069"/>
      <c r="EUW295" s="1069"/>
      <c r="EUX295" s="1069"/>
      <c r="EUY295" s="1069"/>
      <c r="EUZ295" s="1069"/>
      <c r="EVA295" s="1069"/>
      <c r="EVB295" s="1069"/>
      <c r="EVC295" s="1069"/>
      <c r="EVD295" s="1069"/>
      <c r="EVE295" s="1069"/>
      <c r="EVF295" s="1069"/>
      <c r="EVG295" s="1069"/>
      <c r="EVH295" s="1069"/>
      <c r="EVI295" s="1069"/>
      <c r="EVJ295" s="1069"/>
      <c r="EVK295" s="1069"/>
      <c r="EVL295" s="1069"/>
      <c r="EVM295" s="1069"/>
      <c r="EVN295" s="1069"/>
      <c r="EVO295" s="1069"/>
      <c r="EVP295" s="1069"/>
      <c r="EVQ295" s="1069"/>
      <c r="EVR295" s="1069"/>
      <c r="EVS295" s="1069"/>
      <c r="EVT295" s="1069"/>
      <c r="EVU295" s="1069"/>
      <c r="EVV295" s="1069"/>
      <c r="EVW295" s="1069"/>
      <c r="EVX295" s="1069"/>
      <c r="EVY295" s="1069"/>
      <c r="EVZ295" s="1069"/>
      <c r="EWA295" s="1069"/>
      <c r="EWB295" s="1069"/>
      <c r="EWC295" s="1069"/>
      <c r="EWD295" s="1069"/>
      <c r="EWE295" s="1069"/>
      <c r="EWF295" s="1069"/>
      <c r="EWG295" s="1069"/>
      <c r="EWH295" s="1069"/>
      <c r="EWI295" s="1069"/>
      <c r="EWJ295" s="1069"/>
      <c r="EWK295" s="1069"/>
      <c r="EWL295" s="1069"/>
      <c r="EWM295" s="1069"/>
      <c r="EWN295" s="1069"/>
      <c r="EWO295" s="1069"/>
      <c r="EWP295" s="1069"/>
      <c r="EWQ295" s="1069"/>
      <c r="EWR295" s="1069"/>
      <c r="EWS295" s="1069"/>
      <c r="EWT295" s="1069"/>
      <c r="EWU295" s="1069"/>
      <c r="EWV295" s="1069"/>
      <c r="EWW295" s="1069"/>
      <c r="EWX295" s="1069"/>
      <c r="EWY295" s="1069"/>
      <c r="EWZ295" s="1069"/>
      <c r="EXA295" s="1069"/>
      <c r="EXB295" s="1069"/>
      <c r="EXC295" s="1069"/>
      <c r="EXD295" s="1069"/>
      <c r="EXE295" s="1069"/>
      <c r="EXF295" s="1069"/>
      <c r="EXG295" s="1069"/>
      <c r="EXH295" s="1069"/>
      <c r="EXI295" s="1069"/>
      <c r="EXJ295" s="1069"/>
      <c r="EXK295" s="1069"/>
      <c r="EXL295" s="1069"/>
      <c r="EXM295" s="1069"/>
      <c r="EXN295" s="1069"/>
      <c r="EXO295" s="1069"/>
      <c r="EXP295" s="1069"/>
      <c r="EXQ295" s="1069"/>
      <c r="EXR295" s="1069"/>
      <c r="EXS295" s="1069"/>
      <c r="EXT295" s="1069"/>
      <c r="EXU295" s="1069"/>
      <c r="EXV295" s="1069"/>
      <c r="EXW295" s="1069"/>
      <c r="EXX295" s="1069"/>
      <c r="EXY295" s="1069"/>
      <c r="EXZ295" s="1069"/>
      <c r="EYA295" s="1069"/>
      <c r="EYB295" s="1069"/>
      <c r="EYC295" s="1069"/>
      <c r="EYD295" s="1069"/>
      <c r="EYE295" s="1069"/>
      <c r="EYF295" s="1069"/>
      <c r="EYG295" s="1069"/>
      <c r="EYH295" s="1069"/>
      <c r="EYI295" s="1069"/>
      <c r="EYJ295" s="1069"/>
      <c r="EYK295" s="1069"/>
      <c r="EYL295" s="1069"/>
      <c r="EYM295" s="1069"/>
      <c r="EYN295" s="1069"/>
      <c r="EYO295" s="1069"/>
      <c r="EYP295" s="1069"/>
      <c r="EYQ295" s="1069"/>
      <c r="EYR295" s="1069"/>
      <c r="EYS295" s="1069"/>
      <c r="EYT295" s="1069"/>
      <c r="EYU295" s="1069"/>
      <c r="EYV295" s="1069"/>
      <c r="EYW295" s="1069"/>
      <c r="EYX295" s="1069"/>
      <c r="EYY295" s="1069"/>
      <c r="EYZ295" s="1069"/>
      <c r="EZA295" s="1069"/>
      <c r="EZB295" s="1069"/>
      <c r="EZC295" s="1069"/>
      <c r="EZD295" s="1069"/>
      <c r="EZE295" s="1069"/>
      <c r="EZF295" s="1069"/>
      <c r="EZG295" s="1069"/>
      <c r="EZH295" s="1069"/>
      <c r="EZI295" s="1069"/>
      <c r="EZJ295" s="1069"/>
      <c r="EZK295" s="1069"/>
      <c r="EZL295" s="1069"/>
      <c r="EZM295" s="1069"/>
      <c r="EZN295" s="1069"/>
      <c r="EZO295" s="1069"/>
      <c r="EZP295" s="1069"/>
      <c r="EZQ295" s="1069"/>
      <c r="EZR295" s="1069"/>
      <c r="EZS295" s="1069"/>
      <c r="EZT295" s="1069"/>
      <c r="EZU295" s="1069"/>
      <c r="EZV295" s="1069"/>
      <c r="EZW295" s="1069"/>
      <c r="EZX295" s="1069"/>
      <c r="EZY295" s="1069"/>
      <c r="EZZ295" s="1069"/>
      <c r="FAA295" s="1069"/>
      <c r="FAB295" s="1069"/>
      <c r="FAC295" s="1069"/>
      <c r="FAD295" s="1069"/>
      <c r="FAE295" s="1069"/>
      <c r="FAF295" s="1069"/>
      <c r="FAG295" s="1069"/>
      <c r="FAH295" s="1069"/>
      <c r="FAI295" s="1069"/>
      <c r="FAJ295" s="1069"/>
      <c r="FAK295" s="1069"/>
      <c r="FAL295" s="1069"/>
      <c r="FAM295" s="1069"/>
      <c r="FAN295" s="1069"/>
      <c r="FAO295" s="1069"/>
      <c r="FAP295" s="1069"/>
      <c r="FAQ295" s="1069"/>
      <c r="FAR295" s="1069"/>
      <c r="FAS295" s="1069"/>
      <c r="FAT295" s="1069"/>
      <c r="FAU295" s="1069"/>
      <c r="FAV295" s="1069"/>
      <c r="FAW295" s="1069"/>
      <c r="FAX295" s="1069"/>
      <c r="FAY295" s="1069"/>
      <c r="FAZ295" s="1069"/>
      <c r="FBA295" s="1069"/>
      <c r="FBB295" s="1069"/>
      <c r="FBC295" s="1069"/>
      <c r="FBD295" s="1069"/>
      <c r="FBE295" s="1069"/>
      <c r="FBF295" s="1069"/>
      <c r="FBG295" s="1069"/>
      <c r="FBH295" s="1069"/>
      <c r="FBI295" s="1069"/>
      <c r="FBJ295" s="1069"/>
      <c r="FBK295" s="1069"/>
      <c r="FBL295" s="1069"/>
      <c r="FBM295" s="1069"/>
      <c r="FBN295" s="1069"/>
      <c r="FBO295" s="1069"/>
      <c r="FBP295" s="1069"/>
      <c r="FBQ295" s="1069"/>
      <c r="FBR295" s="1069"/>
      <c r="FBS295" s="1069"/>
      <c r="FBT295" s="1069"/>
      <c r="FBU295" s="1069"/>
      <c r="FBV295" s="1069"/>
      <c r="FBW295" s="1069"/>
      <c r="FBX295" s="1069"/>
      <c r="FBY295" s="1069"/>
      <c r="FBZ295" s="1069"/>
      <c r="FCA295" s="1069"/>
      <c r="FCB295" s="1069"/>
      <c r="FCC295" s="1069"/>
      <c r="FCD295" s="1069"/>
      <c r="FCE295" s="1069"/>
      <c r="FCF295" s="1069"/>
      <c r="FCG295" s="1069"/>
      <c r="FCH295" s="1069"/>
      <c r="FCI295" s="1069"/>
      <c r="FCJ295" s="1069"/>
      <c r="FCK295" s="1069"/>
      <c r="FCL295" s="1069"/>
      <c r="FCM295" s="1069"/>
      <c r="FCN295" s="1069"/>
      <c r="FCO295" s="1069"/>
      <c r="FCP295" s="1069"/>
      <c r="FCQ295" s="1069"/>
      <c r="FCR295" s="1069"/>
      <c r="FCS295" s="1069"/>
      <c r="FCT295" s="1069"/>
      <c r="FCU295" s="1069"/>
      <c r="FCV295" s="1069"/>
      <c r="FCW295" s="1069"/>
      <c r="FCX295" s="1069"/>
      <c r="FCY295" s="1069"/>
      <c r="FCZ295" s="1069"/>
      <c r="FDA295" s="1069"/>
      <c r="FDB295" s="1069"/>
      <c r="FDC295" s="1069"/>
      <c r="FDD295" s="1069"/>
      <c r="FDE295" s="1069"/>
      <c r="FDF295" s="1069"/>
      <c r="FDG295" s="1069"/>
      <c r="FDH295" s="1069"/>
      <c r="FDI295" s="1069"/>
      <c r="FDJ295" s="1069"/>
      <c r="FDK295" s="1069"/>
      <c r="FDL295" s="1069"/>
      <c r="FDM295" s="1069"/>
      <c r="FDN295" s="1069"/>
      <c r="FDO295" s="1069"/>
      <c r="FDP295" s="1069"/>
      <c r="FDQ295" s="1069"/>
      <c r="FDR295" s="1069"/>
      <c r="FDS295" s="1069"/>
      <c r="FDT295" s="1069"/>
      <c r="FDU295" s="1069"/>
      <c r="FDV295" s="1069"/>
      <c r="FDW295" s="1069"/>
      <c r="FDX295" s="1069"/>
      <c r="FDY295" s="1069"/>
      <c r="FDZ295" s="1069"/>
      <c r="FEA295" s="1069"/>
      <c r="FEB295" s="1069"/>
      <c r="FEC295" s="1069"/>
      <c r="FED295" s="1069"/>
      <c r="FEE295" s="1069"/>
      <c r="FEF295" s="1069"/>
      <c r="FEG295" s="1069"/>
      <c r="FEH295" s="1069"/>
      <c r="FEI295" s="1069"/>
      <c r="FEJ295" s="1069"/>
      <c r="FEK295" s="1069"/>
      <c r="FEL295" s="1069"/>
      <c r="FEM295" s="1069"/>
      <c r="FEN295" s="1069"/>
      <c r="FEO295" s="1069"/>
      <c r="FEP295" s="1069"/>
      <c r="FEQ295" s="1069"/>
      <c r="FER295" s="1069"/>
      <c r="FES295" s="1069"/>
      <c r="FET295" s="1069"/>
      <c r="FEU295" s="1069"/>
      <c r="FEV295" s="1069"/>
      <c r="FEW295" s="1069"/>
      <c r="FEX295" s="1069"/>
      <c r="FEY295" s="1069"/>
      <c r="FEZ295" s="1069"/>
      <c r="FFA295" s="1069"/>
      <c r="FFB295" s="1069"/>
      <c r="FFC295" s="1069"/>
      <c r="FFD295" s="1069"/>
      <c r="FFE295" s="1069"/>
      <c r="FFF295" s="1069"/>
      <c r="FFG295" s="1069"/>
      <c r="FFH295" s="1069"/>
      <c r="FFI295" s="1069"/>
      <c r="FFJ295" s="1069"/>
      <c r="FFK295" s="1069"/>
      <c r="FFL295" s="1069"/>
      <c r="FFM295" s="1069"/>
      <c r="FFN295" s="1069"/>
      <c r="FFO295" s="1069"/>
      <c r="FFP295" s="1069"/>
      <c r="FFQ295" s="1069"/>
      <c r="FFR295" s="1069"/>
      <c r="FFS295" s="1069"/>
      <c r="FFT295" s="1069"/>
      <c r="FFU295" s="1069"/>
      <c r="FFV295" s="1069"/>
      <c r="FFW295" s="1069"/>
      <c r="FFX295" s="1069"/>
      <c r="FFY295" s="1069"/>
      <c r="FFZ295" s="1069"/>
      <c r="FGA295" s="1069"/>
      <c r="FGB295" s="1069"/>
      <c r="FGC295" s="1069"/>
      <c r="FGD295" s="1069"/>
      <c r="FGE295" s="1069"/>
      <c r="FGF295" s="1069"/>
      <c r="FGG295" s="1069"/>
      <c r="FGH295" s="1069"/>
      <c r="FGI295" s="1069"/>
      <c r="FGJ295" s="1069"/>
      <c r="FGK295" s="1069"/>
      <c r="FGL295" s="1069"/>
      <c r="FGM295" s="1069"/>
      <c r="FGN295" s="1069"/>
      <c r="FGO295" s="1069"/>
      <c r="FGP295" s="1069"/>
      <c r="FGQ295" s="1069"/>
      <c r="FGR295" s="1069"/>
      <c r="FGS295" s="1069"/>
      <c r="FGT295" s="1069"/>
      <c r="FGU295" s="1069"/>
      <c r="FGV295" s="1069"/>
      <c r="FGW295" s="1069"/>
      <c r="FGX295" s="1069"/>
      <c r="FGY295" s="1069"/>
      <c r="FGZ295" s="1069"/>
      <c r="FHA295" s="1069"/>
      <c r="FHB295" s="1069"/>
      <c r="FHC295" s="1069"/>
      <c r="FHD295" s="1069"/>
      <c r="FHE295" s="1069"/>
      <c r="FHF295" s="1069"/>
      <c r="FHG295" s="1069"/>
      <c r="FHH295" s="1069"/>
      <c r="FHI295" s="1069"/>
      <c r="FHJ295" s="1069"/>
      <c r="FHK295" s="1069"/>
      <c r="FHL295" s="1069"/>
      <c r="FHM295" s="1069"/>
      <c r="FHN295" s="1069"/>
      <c r="FHO295" s="1069"/>
      <c r="FHP295" s="1069"/>
      <c r="FHQ295" s="1069"/>
      <c r="FHR295" s="1069"/>
      <c r="FHS295" s="1069"/>
      <c r="FHT295" s="1069"/>
      <c r="FHU295" s="1069"/>
      <c r="FHV295" s="1069"/>
      <c r="FHW295" s="1069"/>
      <c r="FHX295" s="1069"/>
      <c r="FHY295" s="1069"/>
      <c r="FHZ295" s="1069"/>
      <c r="FIA295" s="1069"/>
      <c r="FIB295" s="1069"/>
      <c r="FIC295" s="1069"/>
      <c r="FID295" s="1069"/>
      <c r="FIE295" s="1069"/>
      <c r="FIF295" s="1069"/>
      <c r="FIG295" s="1069"/>
      <c r="FIH295" s="1069"/>
      <c r="FII295" s="1069"/>
      <c r="FIJ295" s="1069"/>
      <c r="FIK295" s="1069"/>
      <c r="FIL295" s="1069"/>
      <c r="FIM295" s="1069"/>
      <c r="FIN295" s="1069"/>
      <c r="FIO295" s="1069"/>
      <c r="FIP295" s="1069"/>
      <c r="FIQ295" s="1069"/>
      <c r="FIR295" s="1069"/>
      <c r="FIS295" s="1069"/>
      <c r="FIT295" s="1069"/>
      <c r="FIU295" s="1069"/>
      <c r="FIV295" s="1069"/>
      <c r="FIW295" s="1069"/>
      <c r="FIX295" s="1069"/>
      <c r="FIY295" s="1069"/>
      <c r="FIZ295" s="1069"/>
      <c r="FJA295" s="1069"/>
      <c r="FJB295" s="1069"/>
      <c r="FJC295" s="1069"/>
      <c r="FJD295" s="1069"/>
      <c r="FJE295" s="1069"/>
      <c r="FJF295" s="1069"/>
      <c r="FJG295" s="1069"/>
      <c r="FJH295" s="1069"/>
      <c r="FJI295" s="1069"/>
      <c r="FJJ295" s="1069"/>
      <c r="FJK295" s="1069"/>
      <c r="FJL295" s="1069"/>
      <c r="FJM295" s="1069"/>
      <c r="FJN295" s="1069"/>
      <c r="FJO295" s="1069"/>
      <c r="FJP295" s="1069"/>
      <c r="FJQ295" s="1069"/>
      <c r="FJR295" s="1069"/>
      <c r="FJS295" s="1069"/>
      <c r="FJT295" s="1069"/>
      <c r="FJU295" s="1069"/>
      <c r="FJV295" s="1069"/>
      <c r="FJW295" s="1069"/>
      <c r="FJX295" s="1069"/>
      <c r="FJY295" s="1069"/>
      <c r="FJZ295" s="1069"/>
      <c r="FKA295" s="1069"/>
      <c r="FKB295" s="1069"/>
      <c r="FKC295" s="1069"/>
      <c r="FKD295" s="1069"/>
      <c r="FKE295" s="1069"/>
      <c r="FKF295" s="1069"/>
      <c r="FKG295" s="1069"/>
      <c r="FKH295" s="1069"/>
      <c r="FKI295" s="1069"/>
      <c r="FKJ295" s="1069"/>
      <c r="FKK295" s="1069"/>
      <c r="FKL295" s="1069"/>
      <c r="FKM295" s="1069"/>
      <c r="FKN295" s="1069"/>
      <c r="FKO295" s="1069"/>
      <c r="FKP295" s="1069"/>
      <c r="FKQ295" s="1069"/>
      <c r="FKR295" s="1069"/>
      <c r="FKS295" s="1069"/>
      <c r="FKT295" s="1069"/>
      <c r="FKU295" s="1069"/>
      <c r="FKV295" s="1069"/>
      <c r="FKW295" s="1069"/>
      <c r="FKX295" s="1069"/>
      <c r="FKY295" s="1069"/>
      <c r="FKZ295" s="1069"/>
      <c r="FLA295" s="1069"/>
      <c r="FLB295" s="1069"/>
      <c r="FLC295" s="1069"/>
      <c r="FLD295" s="1069"/>
      <c r="FLE295" s="1069"/>
      <c r="FLF295" s="1069"/>
      <c r="FLG295" s="1069"/>
      <c r="FLH295" s="1069"/>
      <c r="FLI295" s="1069"/>
      <c r="FLJ295" s="1069"/>
      <c r="FLK295" s="1069"/>
      <c r="FLL295" s="1069"/>
      <c r="FLM295" s="1069"/>
      <c r="FLN295" s="1069"/>
      <c r="FLO295" s="1069"/>
      <c r="FLP295" s="1069"/>
      <c r="FLQ295" s="1069"/>
      <c r="FLR295" s="1069"/>
      <c r="FLS295" s="1069"/>
      <c r="FLT295" s="1069"/>
      <c r="FLU295" s="1069"/>
      <c r="FLV295" s="1069"/>
      <c r="FLW295" s="1069"/>
      <c r="FLX295" s="1069"/>
      <c r="FLY295" s="1069"/>
      <c r="FLZ295" s="1069"/>
      <c r="FMA295" s="1069"/>
      <c r="FMB295" s="1069"/>
      <c r="FMC295" s="1069"/>
      <c r="FMD295" s="1069"/>
      <c r="FME295" s="1069"/>
      <c r="FMF295" s="1069"/>
      <c r="FMG295" s="1069"/>
      <c r="FMH295" s="1069"/>
      <c r="FMI295" s="1069"/>
      <c r="FMJ295" s="1069"/>
      <c r="FMK295" s="1069"/>
      <c r="FML295" s="1069"/>
      <c r="FMM295" s="1069"/>
      <c r="FMN295" s="1069"/>
      <c r="FMO295" s="1069"/>
      <c r="FMP295" s="1069"/>
      <c r="FMQ295" s="1069"/>
      <c r="FMR295" s="1069"/>
      <c r="FMS295" s="1069"/>
      <c r="FMT295" s="1069"/>
      <c r="FMU295" s="1069"/>
      <c r="FMV295" s="1069"/>
      <c r="FMW295" s="1069"/>
      <c r="FMX295" s="1069"/>
      <c r="FMY295" s="1069"/>
      <c r="FMZ295" s="1069"/>
      <c r="FNA295" s="1069"/>
      <c r="FNB295" s="1069"/>
      <c r="FNC295" s="1069"/>
      <c r="FND295" s="1069"/>
      <c r="FNE295" s="1069"/>
      <c r="FNF295" s="1069"/>
      <c r="FNG295" s="1069"/>
      <c r="FNH295" s="1069"/>
      <c r="FNI295" s="1069"/>
      <c r="FNJ295" s="1069"/>
      <c r="FNK295" s="1069"/>
      <c r="FNL295" s="1069"/>
      <c r="FNM295" s="1069"/>
      <c r="FNN295" s="1069"/>
      <c r="FNO295" s="1069"/>
      <c r="FNP295" s="1069"/>
      <c r="FNQ295" s="1069"/>
      <c r="FNR295" s="1069"/>
      <c r="FNS295" s="1069"/>
      <c r="FNT295" s="1069"/>
      <c r="FNU295" s="1069"/>
      <c r="FNV295" s="1069"/>
      <c r="FNW295" s="1069"/>
      <c r="FNX295" s="1069"/>
      <c r="FNY295" s="1069"/>
      <c r="FNZ295" s="1069"/>
      <c r="FOA295" s="1069"/>
      <c r="FOB295" s="1069"/>
      <c r="FOC295" s="1069"/>
      <c r="FOD295" s="1069"/>
      <c r="FOE295" s="1069"/>
      <c r="FOF295" s="1069"/>
      <c r="FOG295" s="1069"/>
      <c r="FOH295" s="1069"/>
      <c r="FOI295" s="1069"/>
      <c r="FOJ295" s="1069"/>
      <c r="FOK295" s="1069"/>
      <c r="FOL295" s="1069"/>
      <c r="FOM295" s="1069"/>
      <c r="FON295" s="1069"/>
      <c r="FOO295" s="1069"/>
      <c r="FOP295" s="1069"/>
      <c r="FOQ295" s="1069"/>
      <c r="FOR295" s="1069"/>
      <c r="FOS295" s="1069"/>
      <c r="FOT295" s="1069"/>
      <c r="FOU295" s="1069"/>
      <c r="FOV295" s="1069"/>
      <c r="FOW295" s="1069"/>
      <c r="FOX295" s="1069"/>
      <c r="FOY295" s="1069"/>
      <c r="FOZ295" s="1069"/>
      <c r="FPA295" s="1069"/>
      <c r="FPB295" s="1069"/>
      <c r="FPC295" s="1069"/>
      <c r="FPD295" s="1069"/>
      <c r="FPE295" s="1069"/>
      <c r="FPF295" s="1069"/>
      <c r="FPG295" s="1069"/>
      <c r="FPH295" s="1069"/>
      <c r="FPI295" s="1069"/>
      <c r="FPJ295" s="1069"/>
      <c r="FPK295" s="1069"/>
      <c r="FPL295" s="1069"/>
      <c r="FPM295" s="1069"/>
      <c r="FPN295" s="1069"/>
      <c r="FPO295" s="1069"/>
      <c r="FPP295" s="1069"/>
      <c r="FPQ295" s="1069"/>
      <c r="FPR295" s="1069"/>
      <c r="FPS295" s="1069"/>
      <c r="FPT295" s="1069"/>
      <c r="FPU295" s="1069"/>
      <c r="FPV295" s="1069"/>
      <c r="FPW295" s="1069"/>
      <c r="FPX295" s="1069"/>
      <c r="FPY295" s="1069"/>
      <c r="FPZ295" s="1069"/>
      <c r="FQA295" s="1069"/>
      <c r="FQB295" s="1069"/>
      <c r="FQC295" s="1069"/>
      <c r="FQD295" s="1069"/>
      <c r="FQE295" s="1069"/>
      <c r="FQF295" s="1069"/>
      <c r="FQG295" s="1069"/>
      <c r="FQH295" s="1069"/>
      <c r="FQI295" s="1069"/>
      <c r="FQJ295" s="1069"/>
      <c r="FQK295" s="1069"/>
      <c r="FQL295" s="1069"/>
      <c r="FQM295" s="1069"/>
      <c r="FQN295" s="1069"/>
      <c r="FQO295" s="1069"/>
      <c r="FQP295" s="1069"/>
      <c r="FQQ295" s="1069"/>
      <c r="FQR295" s="1069"/>
      <c r="FQS295" s="1069"/>
      <c r="FQT295" s="1069"/>
      <c r="FQU295" s="1069"/>
      <c r="FQV295" s="1069"/>
      <c r="FQW295" s="1069"/>
      <c r="FQX295" s="1069"/>
      <c r="FQY295" s="1069"/>
      <c r="FQZ295" s="1069"/>
      <c r="FRA295" s="1069"/>
      <c r="FRB295" s="1069"/>
      <c r="FRC295" s="1069"/>
      <c r="FRD295" s="1069"/>
      <c r="FRE295" s="1069"/>
      <c r="FRF295" s="1069"/>
      <c r="FRG295" s="1069"/>
      <c r="FRH295" s="1069"/>
      <c r="FRI295" s="1069"/>
      <c r="FRJ295" s="1069"/>
      <c r="FRK295" s="1069"/>
      <c r="FRL295" s="1069"/>
      <c r="FRM295" s="1069"/>
      <c r="FRN295" s="1069"/>
      <c r="FRO295" s="1069"/>
      <c r="FRP295" s="1069"/>
      <c r="FRQ295" s="1069"/>
      <c r="FRR295" s="1069"/>
      <c r="FRS295" s="1069"/>
      <c r="FRT295" s="1069"/>
      <c r="FRU295" s="1069"/>
      <c r="FRV295" s="1069"/>
      <c r="FRW295" s="1069"/>
      <c r="FRX295" s="1069"/>
      <c r="FRY295" s="1069"/>
      <c r="FRZ295" s="1069"/>
      <c r="FSA295" s="1069"/>
      <c r="FSB295" s="1069"/>
      <c r="FSC295" s="1069"/>
      <c r="FSD295" s="1069"/>
      <c r="FSE295" s="1069"/>
      <c r="FSF295" s="1069"/>
      <c r="FSG295" s="1069"/>
      <c r="FSH295" s="1069"/>
      <c r="FSI295" s="1069"/>
      <c r="FSJ295" s="1069"/>
      <c r="FSK295" s="1069"/>
      <c r="FSL295" s="1069"/>
      <c r="FSM295" s="1069"/>
      <c r="FSN295" s="1069"/>
      <c r="FSO295" s="1069"/>
      <c r="FSP295" s="1069"/>
      <c r="FSQ295" s="1069"/>
      <c r="FSR295" s="1069"/>
      <c r="FSS295" s="1069"/>
      <c r="FST295" s="1069"/>
      <c r="FSU295" s="1069"/>
      <c r="FSV295" s="1069"/>
      <c r="FSW295" s="1069"/>
      <c r="FSX295" s="1069"/>
      <c r="FSY295" s="1069"/>
      <c r="FSZ295" s="1069"/>
      <c r="FTA295" s="1069"/>
      <c r="FTB295" s="1069"/>
      <c r="FTC295" s="1069"/>
      <c r="FTD295" s="1069"/>
      <c r="FTE295" s="1069"/>
      <c r="FTF295" s="1069"/>
      <c r="FTG295" s="1069"/>
      <c r="FTH295" s="1069"/>
      <c r="FTI295" s="1069"/>
      <c r="FTJ295" s="1069"/>
      <c r="FTK295" s="1069"/>
      <c r="FTL295" s="1069"/>
      <c r="FTM295" s="1069"/>
      <c r="FTN295" s="1069"/>
      <c r="FTO295" s="1069"/>
      <c r="FTP295" s="1069"/>
      <c r="FTQ295" s="1069"/>
      <c r="FTR295" s="1069"/>
      <c r="FTS295" s="1069"/>
      <c r="FTT295" s="1069"/>
      <c r="FTU295" s="1069"/>
      <c r="FTV295" s="1069"/>
      <c r="FTW295" s="1069"/>
      <c r="FTX295" s="1069"/>
      <c r="FTY295" s="1069"/>
      <c r="FTZ295" s="1069"/>
      <c r="FUA295" s="1069"/>
      <c r="FUB295" s="1069"/>
      <c r="FUC295" s="1069"/>
      <c r="FUD295" s="1069"/>
      <c r="FUE295" s="1069"/>
      <c r="FUF295" s="1069"/>
      <c r="FUG295" s="1069"/>
      <c r="FUH295" s="1069"/>
      <c r="FUI295" s="1069"/>
      <c r="FUJ295" s="1069"/>
      <c r="FUK295" s="1069"/>
      <c r="FUL295" s="1069"/>
      <c r="FUM295" s="1069"/>
      <c r="FUN295" s="1069"/>
      <c r="FUO295" s="1069"/>
      <c r="FUP295" s="1069"/>
      <c r="FUQ295" s="1069"/>
      <c r="FUR295" s="1069"/>
      <c r="FUS295" s="1069"/>
      <c r="FUT295" s="1069"/>
      <c r="FUU295" s="1069"/>
      <c r="FUV295" s="1069"/>
      <c r="FUW295" s="1069"/>
      <c r="FUX295" s="1069"/>
      <c r="FUY295" s="1069"/>
      <c r="FUZ295" s="1069"/>
      <c r="FVA295" s="1069"/>
      <c r="FVB295" s="1069"/>
      <c r="FVC295" s="1069"/>
      <c r="FVD295" s="1069"/>
      <c r="FVE295" s="1069"/>
      <c r="FVF295" s="1069"/>
      <c r="FVG295" s="1069"/>
      <c r="FVH295" s="1069"/>
      <c r="FVI295" s="1069"/>
      <c r="FVJ295" s="1069"/>
      <c r="FVK295" s="1069"/>
      <c r="FVL295" s="1069"/>
      <c r="FVM295" s="1069"/>
      <c r="FVN295" s="1069"/>
      <c r="FVO295" s="1069"/>
      <c r="FVP295" s="1069"/>
      <c r="FVQ295" s="1069"/>
      <c r="FVR295" s="1069"/>
      <c r="FVS295" s="1069"/>
      <c r="FVT295" s="1069"/>
      <c r="FVU295" s="1069"/>
      <c r="FVV295" s="1069"/>
      <c r="FVW295" s="1069"/>
      <c r="FVX295" s="1069"/>
      <c r="FVY295" s="1069"/>
      <c r="FVZ295" s="1069"/>
      <c r="FWA295" s="1069"/>
      <c r="FWB295" s="1069"/>
      <c r="FWC295" s="1069"/>
      <c r="FWD295" s="1069"/>
      <c r="FWE295" s="1069"/>
      <c r="FWF295" s="1069"/>
      <c r="FWG295" s="1069"/>
      <c r="FWH295" s="1069"/>
      <c r="FWI295" s="1069"/>
      <c r="FWJ295" s="1069"/>
      <c r="FWK295" s="1069"/>
      <c r="FWL295" s="1069"/>
      <c r="FWM295" s="1069"/>
      <c r="FWN295" s="1069"/>
      <c r="FWO295" s="1069"/>
      <c r="FWP295" s="1069"/>
      <c r="FWQ295" s="1069"/>
      <c r="FWR295" s="1069"/>
      <c r="FWS295" s="1069"/>
      <c r="FWT295" s="1069"/>
      <c r="FWU295" s="1069"/>
      <c r="FWV295" s="1069"/>
      <c r="FWW295" s="1069"/>
      <c r="FWX295" s="1069"/>
      <c r="FWY295" s="1069"/>
      <c r="FWZ295" s="1069"/>
      <c r="FXA295" s="1069"/>
      <c r="FXB295" s="1069"/>
      <c r="FXC295" s="1069"/>
      <c r="FXD295" s="1069"/>
      <c r="FXE295" s="1069"/>
      <c r="FXF295" s="1069"/>
      <c r="FXG295" s="1069"/>
      <c r="FXH295" s="1069"/>
      <c r="FXI295" s="1069"/>
      <c r="FXJ295" s="1069"/>
      <c r="FXK295" s="1069"/>
      <c r="FXL295" s="1069"/>
      <c r="FXM295" s="1069"/>
      <c r="FXN295" s="1069"/>
      <c r="FXO295" s="1069"/>
      <c r="FXP295" s="1069"/>
      <c r="FXQ295" s="1069"/>
      <c r="FXR295" s="1069"/>
      <c r="FXS295" s="1069"/>
      <c r="FXT295" s="1069"/>
      <c r="FXU295" s="1069"/>
      <c r="FXV295" s="1069"/>
      <c r="FXW295" s="1069"/>
      <c r="FXX295" s="1069"/>
      <c r="FXY295" s="1069"/>
      <c r="FXZ295" s="1069"/>
      <c r="FYA295" s="1069"/>
      <c r="FYB295" s="1069"/>
      <c r="FYC295" s="1069"/>
      <c r="FYD295" s="1069"/>
      <c r="FYE295" s="1069"/>
      <c r="FYF295" s="1069"/>
      <c r="FYG295" s="1069"/>
      <c r="FYH295" s="1069"/>
      <c r="FYI295" s="1069"/>
      <c r="FYJ295" s="1069"/>
      <c r="FYK295" s="1069"/>
      <c r="FYL295" s="1069"/>
      <c r="FYM295" s="1069"/>
      <c r="FYN295" s="1069"/>
      <c r="FYO295" s="1069"/>
      <c r="FYP295" s="1069"/>
      <c r="FYQ295" s="1069"/>
      <c r="FYR295" s="1069"/>
      <c r="FYS295" s="1069"/>
      <c r="FYT295" s="1069"/>
      <c r="FYU295" s="1069"/>
      <c r="FYV295" s="1069"/>
      <c r="FYW295" s="1069"/>
      <c r="FYX295" s="1069"/>
      <c r="FYY295" s="1069"/>
      <c r="FYZ295" s="1069"/>
      <c r="FZA295" s="1069"/>
      <c r="FZB295" s="1069"/>
      <c r="FZC295" s="1069"/>
      <c r="FZD295" s="1069"/>
      <c r="FZE295" s="1069"/>
      <c r="FZF295" s="1069"/>
      <c r="FZG295" s="1069"/>
      <c r="FZH295" s="1069"/>
      <c r="FZI295" s="1069"/>
      <c r="FZJ295" s="1069"/>
      <c r="FZK295" s="1069"/>
      <c r="FZL295" s="1069"/>
      <c r="FZM295" s="1069"/>
      <c r="FZN295" s="1069"/>
      <c r="FZO295" s="1069"/>
      <c r="FZP295" s="1069"/>
      <c r="FZQ295" s="1069"/>
      <c r="FZR295" s="1069"/>
      <c r="FZS295" s="1069"/>
      <c r="FZT295" s="1069"/>
      <c r="FZU295" s="1069"/>
      <c r="FZV295" s="1069"/>
      <c r="FZW295" s="1069"/>
      <c r="FZX295" s="1069"/>
      <c r="FZY295" s="1069"/>
      <c r="FZZ295" s="1069"/>
      <c r="GAA295" s="1069"/>
      <c r="GAB295" s="1069"/>
      <c r="GAC295" s="1069"/>
      <c r="GAD295" s="1069"/>
      <c r="GAE295" s="1069"/>
      <c r="GAF295" s="1069"/>
      <c r="GAG295" s="1069"/>
      <c r="GAH295" s="1069"/>
      <c r="GAI295" s="1069"/>
      <c r="GAJ295" s="1069"/>
      <c r="GAK295" s="1069"/>
      <c r="GAL295" s="1069"/>
      <c r="GAM295" s="1069"/>
      <c r="GAN295" s="1069"/>
      <c r="GAO295" s="1069"/>
      <c r="GAP295" s="1069"/>
      <c r="GAQ295" s="1069"/>
      <c r="GAR295" s="1069"/>
      <c r="GAS295" s="1069"/>
      <c r="GAT295" s="1069"/>
      <c r="GAU295" s="1069"/>
      <c r="GAV295" s="1069"/>
      <c r="GAW295" s="1069"/>
      <c r="GAX295" s="1069"/>
      <c r="GAY295" s="1069"/>
      <c r="GAZ295" s="1069"/>
      <c r="GBA295" s="1069"/>
      <c r="GBB295" s="1069"/>
      <c r="GBC295" s="1069"/>
      <c r="GBD295" s="1069"/>
      <c r="GBE295" s="1069"/>
      <c r="GBF295" s="1069"/>
      <c r="GBG295" s="1069"/>
      <c r="GBH295" s="1069"/>
      <c r="GBI295" s="1069"/>
      <c r="GBJ295" s="1069"/>
      <c r="GBK295" s="1069"/>
      <c r="GBL295" s="1069"/>
      <c r="GBM295" s="1069"/>
      <c r="GBN295" s="1069"/>
      <c r="GBO295" s="1069"/>
      <c r="GBP295" s="1069"/>
      <c r="GBQ295" s="1069"/>
      <c r="GBR295" s="1069"/>
      <c r="GBS295" s="1069"/>
      <c r="GBT295" s="1069"/>
      <c r="GBU295" s="1069"/>
      <c r="GBV295" s="1069"/>
      <c r="GBW295" s="1069"/>
      <c r="GBX295" s="1069"/>
      <c r="GBY295" s="1069"/>
      <c r="GBZ295" s="1069"/>
      <c r="GCA295" s="1069"/>
      <c r="GCB295" s="1069"/>
      <c r="GCC295" s="1069"/>
      <c r="GCD295" s="1069"/>
      <c r="GCE295" s="1069"/>
      <c r="GCF295" s="1069"/>
      <c r="GCG295" s="1069"/>
      <c r="GCH295" s="1069"/>
      <c r="GCI295" s="1069"/>
      <c r="GCJ295" s="1069"/>
      <c r="GCK295" s="1069"/>
      <c r="GCL295" s="1069"/>
      <c r="GCM295" s="1069"/>
      <c r="GCN295" s="1069"/>
      <c r="GCO295" s="1069"/>
      <c r="GCP295" s="1069"/>
      <c r="GCQ295" s="1069"/>
      <c r="GCR295" s="1069"/>
      <c r="GCS295" s="1069"/>
      <c r="GCT295" s="1069"/>
      <c r="GCU295" s="1069"/>
      <c r="GCV295" s="1069"/>
      <c r="GCW295" s="1069"/>
      <c r="GCX295" s="1069"/>
      <c r="GCY295" s="1069"/>
      <c r="GCZ295" s="1069"/>
      <c r="GDA295" s="1069"/>
      <c r="GDB295" s="1069"/>
      <c r="GDC295" s="1069"/>
      <c r="GDD295" s="1069"/>
      <c r="GDE295" s="1069"/>
      <c r="GDF295" s="1069"/>
      <c r="GDG295" s="1069"/>
      <c r="GDH295" s="1069"/>
      <c r="GDI295" s="1069"/>
      <c r="GDJ295" s="1069"/>
      <c r="GDK295" s="1069"/>
      <c r="GDL295" s="1069"/>
      <c r="GDM295" s="1069"/>
      <c r="GDN295" s="1069"/>
      <c r="GDO295" s="1069"/>
      <c r="GDP295" s="1069"/>
      <c r="GDQ295" s="1069"/>
      <c r="GDR295" s="1069"/>
      <c r="GDS295" s="1069"/>
      <c r="GDT295" s="1069"/>
      <c r="GDU295" s="1069"/>
      <c r="GDV295" s="1069"/>
      <c r="GDW295" s="1069"/>
      <c r="GDX295" s="1069"/>
      <c r="GDY295" s="1069"/>
      <c r="GDZ295" s="1069"/>
      <c r="GEA295" s="1069"/>
      <c r="GEB295" s="1069"/>
      <c r="GEC295" s="1069"/>
      <c r="GED295" s="1069"/>
      <c r="GEE295" s="1069"/>
      <c r="GEF295" s="1069"/>
      <c r="GEG295" s="1069"/>
      <c r="GEH295" s="1069"/>
      <c r="GEI295" s="1069"/>
      <c r="GEJ295" s="1069"/>
      <c r="GEK295" s="1069"/>
      <c r="GEL295" s="1069"/>
      <c r="GEM295" s="1069"/>
      <c r="GEN295" s="1069"/>
      <c r="GEO295" s="1069"/>
      <c r="GEP295" s="1069"/>
      <c r="GEQ295" s="1069"/>
      <c r="GER295" s="1069"/>
      <c r="GES295" s="1069"/>
      <c r="GET295" s="1069"/>
      <c r="GEU295" s="1069"/>
      <c r="GEV295" s="1069"/>
      <c r="GEW295" s="1069"/>
      <c r="GEX295" s="1069"/>
      <c r="GEY295" s="1069"/>
      <c r="GEZ295" s="1069"/>
      <c r="GFA295" s="1069"/>
      <c r="GFB295" s="1069"/>
      <c r="GFC295" s="1069"/>
      <c r="GFD295" s="1069"/>
      <c r="GFE295" s="1069"/>
      <c r="GFF295" s="1069"/>
      <c r="GFG295" s="1069"/>
      <c r="GFH295" s="1069"/>
      <c r="GFI295" s="1069"/>
      <c r="GFJ295" s="1069"/>
      <c r="GFK295" s="1069"/>
      <c r="GFL295" s="1069"/>
      <c r="GFM295" s="1069"/>
      <c r="GFN295" s="1069"/>
      <c r="GFO295" s="1069"/>
      <c r="GFP295" s="1069"/>
      <c r="GFQ295" s="1069"/>
      <c r="GFR295" s="1069"/>
      <c r="GFS295" s="1069"/>
      <c r="GFT295" s="1069"/>
      <c r="GFU295" s="1069"/>
      <c r="GFV295" s="1069"/>
      <c r="GFW295" s="1069"/>
      <c r="GFX295" s="1069"/>
      <c r="GFY295" s="1069"/>
      <c r="GFZ295" s="1069"/>
      <c r="GGA295" s="1069"/>
      <c r="GGB295" s="1069"/>
      <c r="GGC295" s="1069"/>
      <c r="GGD295" s="1069"/>
      <c r="GGE295" s="1069"/>
      <c r="GGF295" s="1069"/>
      <c r="GGG295" s="1069"/>
      <c r="GGH295" s="1069"/>
      <c r="GGI295" s="1069"/>
      <c r="GGJ295" s="1069"/>
      <c r="GGK295" s="1069"/>
      <c r="GGL295" s="1069"/>
      <c r="GGM295" s="1069"/>
      <c r="GGN295" s="1069"/>
      <c r="GGO295" s="1069"/>
      <c r="GGP295" s="1069"/>
      <c r="GGQ295" s="1069"/>
      <c r="GGR295" s="1069"/>
      <c r="GGS295" s="1069"/>
      <c r="GGT295" s="1069"/>
      <c r="GGU295" s="1069"/>
      <c r="GGV295" s="1069"/>
      <c r="GGW295" s="1069"/>
      <c r="GGX295" s="1069"/>
      <c r="GGY295" s="1069"/>
      <c r="GGZ295" s="1069"/>
      <c r="GHA295" s="1069"/>
      <c r="GHB295" s="1069"/>
      <c r="GHC295" s="1069"/>
      <c r="GHD295" s="1069"/>
      <c r="GHE295" s="1069"/>
      <c r="GHF295" s="1069"/>
      <c r="GHG295" s="1069"/>
      <c r="GHH295" s="1069"/>
      <c r="GHI295" s="1069"/>
      <c r="GHJ295" s="1069"/>
      <c r="GHK295" s="1069"/>
      <c r="GHL295" s="1069"/>
      <c r="GHM295" s="1069"/>
      <c r="GHN295" s="1069"/>
      <c r="GHO295" s="1069"/>
      <c r="GHP295" s="1069"/>
      <c r="GHQ295" s="1069"/>
      <c r="GHR295" s="1069"/>
      <c r="GHS295" s="1069"/>
      <c r="GHT295" s="1069"/>
      <c r="GHU295" s="1069"/>
      <c r="GHV295" s="1069"/>
      <c r="GHW295" s="1069"/>
      <c r="GHX295" s="1069"/>
      <c r="GHY295" s="1069"/>
      <c r="GHZ295" s="1069"/>
      <c r="GIA295" s="1069"/>
      <c r="GIB295" s="1069"/>
      <c r="GIC295" s="1069"/>
      <c r="GID295" s="1069"/>
      <c r="GIE295" s="1069"/>
      <c r="GIF295" s="1069"/>
      <c r="GIG295" s="1069"/>
      <c r="GIH295" s="1069"/>
      <c r="GII295" s="1069"/>
      <c r="GIJ295" s="1069"/>
      <c r="GIK295" s="1069"/>
      <c r="GIL295" s="1069"/>
      <c r="GIM295" s="1069"/>
      <c r="GIN295" s="1069"/>
      <c r="GIO295" s="1069"/>
      <c r="GIP295" s="1069"/>
      <c r="GIQ295" s="1069"/>
      <c r="GIR295" s="1069"/>
      <c r="GIS295" s="1069"/>
      <c r="GIT295" s="1069"/>
      <c r="GIU295" s="1069"/>
      <c r="GIV295" s="1069"/>
      <c r="GIW295" s="1069"/>
      <c r="GIX295" s="1069"/>
      <c r="GIY295" s="1069"/>
      <c r="GIZ295" s="1069"/>
      <c r="GJA295" s="1069"/>
      <c r="GJB295" s="1069"/>
      <c r="GJC295" s="1069"/>
      <c r="GJD295" s="1069"/>
      <c r="GJE295" s="1069"/>
      <c r="GJF295" s="1069"/>
      <c r="GJG295" s="1069"/>
      <c r="GJH295" s="1069"/>
      <c r="GJI295" s="1069"/>
      <c r="GJJ295" s="1069"/>
      <c r="GJK295" s="1069"/>
      <c r="GJL295" s="1069"/>
      <c r="GJM295" s="1069"/>
      <c r="GJN295" s="1069"/>
      <c r="GJO295" s="1069"/>
      <c r="GJP295" s="1069"/>
      <c r="GJQ295" s="1069"/>
      <c r="GJR295" s="1069"/>
      <c r="GJS295" s="1069"/>
      <c r="GJT295" s="1069"/>
      <c r="GJU295" s="1069"/>
      <c r="GJV295" s="1069"/>
      <c r="GJW295" s="1069"/>
      <c r="GJX295" s="1069"/>
      <c r="GJY295" s="1069"/>
      <c r="GJZ295" s="1069"/>
      <c r="GKA295" s="1069"/>
      <c r="GKB295" s="1069"/>
      <c r="GKC295" s="1069"/>
      <c r="GKD295" s="1069"/>
      <c r="GKE295" s="1069"/>
      <c r="GKF295" s="1069"/>
      <c r="GKG295" s="1069"/>
      <c r="GKH295" s="1069"/>
      <c r="GKI295" s="1069"/>
      <c r="GKJ295" s="1069"/>
      <c r="GKK295" s="1069"/>
      <c r="GKL295" s="1069"/>
      <c r="GKM295" s="1069"/>
      <c r="GKN295" s="1069"/>
      <c r="GKO295" s="1069"/>
      <c r="GKP295" s="1069"/>
      <c r="GKQ295" s="1069"/>
      <c r="GKR295" s="1069"/>
      <c r="GKS295" s="1069"/>
      <c r="GKT295" s="1069"/>
      <c r="GKU295" s="1069"/>
      <c r="GKV295" s="1069"/>
      <c r="GKW295" s="1069"/>
      <c r="GKX295" s="1069"/>
      <c r="GKY295" s="1069"/>
      <c r="GKZ295" s="1069"/>
      <c r="GLA295" s="1069"/>
      <c r="GLB295" s="1069"/>
      <c r="GLC295" s="1069"/>
      <c r="GLD295" s="1069"/>
      <c r="GLE295" s="1069"/>
      <c r="GLF295" s="1069"/>
      <c r="GLG295" s="1069"/>
      <c r="GLH295" s="1069"/>
      <c r="GLI295" s="1069"/>
      <c r="GLJ295" s="1069"/>
      <c r="GLK295" s="1069"/>
      <c r="GLL295" s="1069"/>
      <c r="GLM295" s="1069"/>
      <c r="GLN295" s="1069"/>
      <c r="GLO295" s="1069"/>
      <c r="GLP295" s="1069"/>
      <c r="GLQ295" s="1069"/>
      <c r="GLR295" s="1069"/>
      <c r="GLS295" s="1069"/>
      <c r="GLT295" s="1069"/>
      <c r="GLU295" s="1069"/>
      <c r="GLV295" s="1069"/>
      <c r="GLW295" s="1069"/>
      <c r="GLX295" s="1069"/>
      <c r="GLY295" s="1069"/>
      <c r="GLZ295" s="1069"/>
      <c r="GMA295" s="1069"/>
      <c r="GMB295" s="1069"/>
      <c r="GMC295" s="1069"/>
      <c r="GMD295" s="1069"/>
      <c r="GME295" s="1069"/>
      <c r="GMF295" s="1069"/>
      <c r="GMG295" s="1069"/>
      <c r="GMH295" s="1069"/>
      <c r="GMI295" s="1069"/>
      <c r="GMJ295" s="1069"/>
      <c r="GMK295" s="1069"/>
      <c r="GML295" s="1069"/>
      <c r="GMM295" s="1069"/>
      <c r="GMN295" s="1069"/>
      <c r="GMO295" s="1069"/>
      <c r="GMP295" s="1069"/>
      <c r="GMQ295" s="1069"/>
      <c r="GMR295" s="1069"/>
      <c r="GMS295" s="1069"/>
      <c r="GMT295" s="1069"/>
      <c r="GMU295" s="1069"/>
      <c r="GMV295" s="1069"/>
      <c r="GMW295" s="1069"/>
      <c r="GMX295" s="1069"/>
      <c r="GMY295" s="1069"/>
      <c r="GMZ295" s="1069"/>
      <c r="GNA295" s="1069"/>
      <c r="GNB295" s="1069"/>
      <c r="GNC295" s="1069"/>
      <c r="GND295" s="1069"/>
      <c r="GNE295" s="1069"/>
      <c r="GNF295" s="1069"/>
      <c r="GNG295" s="1069"/>
      <c r="GNH295" s="1069"/>
      <c r="GNI295" s="1069"/>
      <c r="GNJ295" s="1069"/>
      <c r="GNK295" s="1069"/>
      <c r="GNL295" s="1069"/>
      <c r="GNM295" s="1069"/>
      <c r="GNN295" s="1069"/>
      <c r="GNO295" s="1069"/>
      <c r="GNP295" s="1069"/>
      <c r="GNQ295" s="1069"/>
      <c r="GNR295" s="1069"/>
      <c r="GNS295" s="1069"/>
      <c r="GNT295" s="1069"/>
      <c r="GNU295" s="1069"/>
      <c r="GNV295" s="1069"/>
      <c r="GNW295" s="1069"/>
      <c r="GNX295" s="1069"/>
      <c r="GNY295" s="1069"/>
      <c r="GNZ295" s="1069"/>
      <c r="GOA295" s="1069"/>
      <c r="GOB295" s="1069"/>
      <c r="GOC295" s="1069"/>
      <c r="GOD295" s="1069"/>
      <c r="GOE295" s="1069"/>
      <c r="GOF295" s="1069"/>
      <c r="GOG295" s="1069"/>
      <c r="GOH295" s="1069"/>
      <c r="GOI295" s="1069"/>
      <c r="GOJ295" s="1069"/>
      <c r="GOK295" s="1069"/>
      <c r="GOL295" s="1069"/>
      <c r="GOM295" s="1069"/>
      <c r="GON295" s="1069"/>
      <c r="GOO295" s="1069"/>
      <c r="GOP295" s="1069"/>
      <c r="GOQ295" s="1069"/>
      <c r="GOR295" s="1069"/>
      <c r="GOS295" s="1069"/>
      <c r="GOT295" s="1069"/>
      <c r="GOU295" s="1069"/>
      <c r="GOV295" s="1069"/>
      <c r="GOW295" s="1069"/>
      <c r="GOX295" s="1069"/>
      <c r="GOY295" s="1069"/>
      <c r="GOZ295" s="1069"/>
      <c r="GPA295" s="1069"/>
      <c r="GPB295" s="1069"/>
      <c r="GPC295" s="1069"/>
      <c r="GPD295" s="1069"/>
      <c r="GPE295" s="1069"/>
      <c r="GPF295" s="1069"/>
      <c r="GPG295" s="1069"/>
      <c r="GPH295" s="1069"/>
      <c r="GPI295" s="1069"/>
      <c r="GPJ295" s="1069"/>
      <c r="GPK295" s="1069"/>
      <c r="GPL295" s="1069"/>
      <c r="GPM295" s="1069"/>
      <c r="GPN295" s="1069"/>
      <c r="GPO295" s="1069"/>
      <c r="GPP295" s="1069"/>
      <c r="GPQ295" s="1069"/>
      <c r="GPR295" s="1069"/>
      <c r="GPS295" s="1069"/>
      <c r="GPT295" s="1069"/>
      <c r="GPU295" s="1069"/>
      <c r="GPV295" s="1069"/>
      <c r="GPW295" s="1069"/>
      <c r="GPX295" s="1069"/>
      <c r="GPY295" s="1069"/>
      <c r="GPZ295" s="1069"/>
      <c r="GQA295" s="1069"/>
      <c r="GQB295" s="1069"/>
      <c r="GQC295" s="1069"/>
      <c r="GQD295" s="1069"/>
      <c r="GQE295" s="1069"/>
      <c r="GQF295" s="1069"/>
      <c r="GQG295" s="1069"/>
      <c r="GQH295" s="1069"/>
      <c r="GQI295" s="1069"/>
      <c r="GQJ295" s="1069"/>
      <c r="GQK295" s="1069"/>
      <c r="GQL295" s="1069"/>
      <c r="GQM295" s="1069"/>
      <c r="GQN295" s="1069"/>
      <c r="GQO295" s="1069"/>
      <c r="GQP295" s="1069"/>
      <c r="GQQ295" s="1069"/>
      <c r="GQR295" s="1069"/>
      <c r="GQS295" s="1069"/>
      <c r="GQT295" s="1069"/>
      <c r="GQU295" s="1069"/>
      <c r="GQV295" s="1069"/>
      <c r="GQW295" s="1069"/>
      <c r="GQX295" s="1069"/>
      <c r="GQY295" s="1069"/>
      <c r="GQZ295" s="1069"/>
      <c r="GRA295" s="1069"/>
      <c r="GRB295" s="1069"/>
      <c r="GRC295" s="1069"/>
      <c r="GRD295" s="1069"/>
      <c r="GRE295" s="1069"/>
      <c r="GRF295" s="1069"/>
      <c r="GRG295" s="1069"/>
      <c r="GRH295" s="1069"/>
      <c r="GRI295" s="1069"/>
      <c r="GRJ295" s="1069"/>
      <c r="GRK295" s="1069"/>
      <c r="GRL295" s="1069"/>
      <c r="GRM295" s="1069"/>
      <c r="GRN295" s="1069"/>
      <c r="GRO295" s="1069"/>
      <c r="GRP295" s="1069"/>
      <c r="GRQ295" s="1069"/>
      <c r="GRR295" s="1069"/>
      <c r="GRS295" s="1069"/>
      <c r="GRT295" s="1069"/>
      <c r="GRU295" s="1069"/>
      <c r="GRV295" s="1069"/>
      <c r="GRW295" s="1069"/>
      <c r="GRX295" s="1069"/>
      <c r="GRY295" s="1069"/>
      <c r="GRZ295" s="1069"/>
      <c r="GSA295" s="1069"/>
      <c r="GSB295" s="1069"/>
      <c r="GSC295" s="1069"/>
      <c r="GSD295" s="1069"/>
      <c r="GSE295" s="1069"/>
      <c r="GSF295" s="1069"/>
      <c r="GSG295" s="1069"/>
      <c r="GSH295" s="1069"/>
      <c r="GSI295" s="1069"/>
      <c r="GSJ295" s="1069"/>
      <c r="GSK295" s="1069"/>
      <c r="GSL295" s="1069"/>
      <c r="GSM295" s="1069"/>
      <c r="GSN295" s="1069"/>
      <c r="GSO295" s="1069"/>
      <c r="GSP295" s="1069"/>
      <c r="GSQ295" s="1069"/>
      <c r="GSR295" s="1069"/>
      <c r="GSS295" s="1069"/>
      <c r="GST295" s="1069"/>
      <c r="GSU295" s="1069"/>
      <c r="GSV295" s="1069"/>
      <c r="GSW295" s="1069"/>
      <c r="GSX295" s="1069"/>
      <c r="GSY295" s="1069"/>
      <c r="GSZ295" s="1069"/>
      <c r="GTA295" s="1069"/>
      <c r="GTB295" s="1069"/>
      <c r="GTC295" s="1069"/>
      <c r="GTD295" s="1069"/>
      <c r="GTE295" s="1069"/>
      <c r="GTF295" s="1069"/>
      <c r="GTG295" s="1069"/>
      <c r="GTH295" s="1069"/>
      <c r="GTI295" s="1069"/>
      <c r="GTJ295" s="1069"/>
      <c r="GTK295" s="1069"/>
      <c r="GTL295" s="1069"/>
      <c r="GTM295" s="1069"/>
      <c r="GTN295" s="1069"/>
      <c r="GTO295" s="1069"/>
      <c r="GTP295" s="1069"/>
      <c r="GTQ295" s="1069"/>
      <c r="GTR295" s="1069"/>
      <c r="GTS295" s="1069"/>
      <c r="GTT295" s="1069"/>
      <c r="GTU295" s="1069"/>
      <c r="GTV295" s="1069"/>
      <c r="GTW295" s="1069"/>
      <c r="GTX295" s="1069"/>
      <c r="GTY295" s="1069"/>
      <c r="GTZ295" s="1069"/>
      <c r="GUA295" s="1069"/>
      <c r="GUB295" s="1069"/>
      <c r="GUC295" s="1069"/>
      <c r="GUD295" s="1069"/>
      <c r="GUE295" s="1069"/>
      <c r="GUF295" s="1069"/>
      <c r="GUG295" s="1069"/>
      <c r="GUH295" s="1069"/>
      <c r="GUI295" s="1069"/>
      <c r="GUJ295" s="1069"/>
      <c r="GUK295" s="1069"/>
      <c r="GUL295" s="1069"/>
      <c r="GUM295" s="1069"/>
      <c r="GUN295" s="1069"/>
      <c r="GUO295" s="1069"/>
      <c r="GUP295" s="1069"/>
      <c r="GUQ295" s="1069"/>
      <c r="GUR295" s="1069"/>
      <c r="GUS295" s="1069"/>
      <c r="GUT295" s="1069"/>
      <c r="GUU295" s="1069"/>
      <c r="GUV295" s="1069"/>
      <c r="GUW295" s="1069"/>
      <c r="GUX295" s="1069"/>
      <c r="GUY295" s="1069"/>
      <c r="GUZ295" s="1069"/>
      <c r="GVA295" s="1069"/>
      <c r="GVB295" s="1069"/>
      <c r="GVC295" s="1069"/>
      <c r="GVD295" s="1069"/>
      <c r="GVE295" s="1069"/>
      <c r="GVF295" s="1069"/>
      <c r="GVG295" s="1069"/>
      <c r="GVH295" s="1069"/>
      <c r="GVI295" s="1069"/>
      <c r="GVJ295" s="1069"/>
      <c r="GVK295" s="1069"/>
      <c r="GVL295" s="1069"/>
      <c r="GVM295" s="1069"/>
      <c r="GVN295" s="1069"/>
      <c r="GVO295" s="1069"/>
      <c r="GVP295" s="1069"/>
      <c r="GVQ295" s="1069"/>
      <c r="GVR295" s="1069"/>
      <c r="GVS295" s="1069"/>
      <c r="GVT295" s="1069"/>
      <c r="GVU295" s="1069"/>
      <c r="GVV295" s="1069"/>
      <c r="GVW295" s="1069"/>
      <c r="GVX295" s="1069"/>
      <c r="GVY295" s="1069"/>
      <c r="GVZ295" s="1069"/>
      <c r="GWA295" s="1069"/>
      <c r="GWB295" s="1069"/>
      <c r="GWC295" s="1069"/>
      <c r="GWD295" s="1069"/>
      <c r="GWE295" s="1069"/>
      <c r="GWF295" s="1069"/>
      <c r="GWG295" s="1069"/>
      <c r="GWH295" s="1069"/>
      <c r="GWI295" s="1069"/>
      <c r="GWJ295" s="1069"/>
      <c r="GWK295" s="1069"/>
      <c r="GWL295" s="1069"/>
      <c r="GWM295" s="1069"/>
      <c r="GWN295" s="1069"/>
      <c r="GWO295" s="1069"/>
      <c r="GWP295" s="1069"/>
      <c r="GWQ295" s="1069"/>
      <c r="GWR295" s="1069"/>
      <c r="GWS295" s="1069"/>
      <c r="GWT295" s="1069"/>
      <c r="GWU295" s="1069"/>
      <c r="GWV295" s="1069"/>
      <c r="GWW295" s="1069"/>
      <c r="GWX295" s="1069"/>
      <c r="GWY295" s="1069"/>
      <c r="GWZ295" s="1069"/>
      <c r="GXA295" s="1069"/>
      <c r="GXB295" s="1069"/>
      <c r="GXC295" s="1069"/>
      <c r="GXD295" s="1069"/>
      <c r="GXE295" s="1069"/>
      <c r="GXF295" s="1069"/>
      <c r="GXG295" s="1069"/>
      <c r="GXH295" s="1069"/>
      <c r="GXI295" s="1069"/>
      <c r="GXJ295" s="1069"/>
      <c r="GXK295" s="1069"/>
      <c r="GXL295" s="1069"/>
      <c r="GXM295" s="1069"/>
      <c r="GXN295" s="1069"/>
      <c r="GXO295" s="1069"/>
      <c r="GXP295" s="1069"/>
      <c r="GXQ295" s="1069"/>
      <c r="GXR295" s="1069"/>
      <c r="GXS295" s="1069"/>
      <c r="GXT295" s="1069"/>
      <c r="GXU295" s="1069"/>
      <c r="GXV295" s="1069"/>
      <c r="GXW295" s="1069"/>
      <c r="GXX295" s="1069"/>
      <c r="GXY295" s="1069"/>
      <c r="GXZ295" s="1069"/>
      <c r="GYA295" s="1069"/>
      <c r="GYB295" s="1069"/>
      <c r="GYC295" s="1069"/>
      <c r="GYD295" s="1069"/>
      <c r="GYE295" s="1069"/>
      <c r="GYF295" s="1069"/>
      <c r="GYG295" s="1069"/>
      <c r="GYH295" s="1069"/>
      <c r="GYI295" s="1069"/>
      <c r="GYJ295" s="1069"/>
      <c r="GYK295" s="1069"/>
      <c r="GYL295" s="1069"/>
      <c r="GYM295" s="1069"/>
      <c r="GYN295" s="1069"/>
      <c r="GYO295" s="1069"/>
      <c r="GYP295" s="1069"/>
      <c r="GYQ295" s="1069"/>
      <c r="GYR295" s="1069"/>
      <c r="GYS295" s="1069"/>
      <c r="GYT295" s="1069"/>
      <c r="GYU295" s="1069"/>
      <c r="GYV295" s="1069"/>
      <c r="GYW295" s="1069"/>
      <c r="GYX295" s="1069"/>
      <c r="GYY295" s="1069"/>
      <c r="GYZ295" s="1069"/>
      <c r="GZA295" s="1069"/>
      <c r="GZB295" s="1069"/>
      <c r="GZC295" s="1069"/>
      <c r="GZD295" s="1069"/>
      <c r="GZE295" s="1069"/>
      <c r="GZF295" s="1069"/>
      <c r="GZG295" s="1069"/>
      <c r="GZH295" s="1069"/>
      <c r="GZI295" s="1069"/>
      <c r="GZJ295" s="1069"/>
      <c r="GZK295" s="1069"/>
      <c r="GZL295" s="1069"/>
      <c r="GZM295" s="1069"/>
      <c r="GZN295" s="1069"/>
      <c r="GZO295" s="1069"/>
      <c r="GZP295" s="1069"/>
      <c r="GZQ295" s="1069"/>
      <c r="GZR295" s="1069"/>
      <c r="GZS295" s="1069"/>
      <c r="GZT295" s="1069"/>
      <c r="GZU295" s="1069"/>
      <c r="GZV295" s="1069"/>
      <c r="GZW295" s="1069"/>
      <c r="GZX295" s="1069"/>
      <c r="GZY295" s="1069"/>
      <c r="GZZ295" s="1069"/>
      <c r="HAA295" s="1069"/>
      <c r="HAB295" s="1069"/>
      <c r="HAC295" s="1069"/>
      <c r="HAD295" s="1069"/>
      <c r="HAE295" s="1069"/>
      <c r="HAF295" s="1069"/>
      <c r="HAG295" s="1069"/>
      <c r="HAH295" s="1069"/>
      <c r="HAI295" s="1069"/>
      <c r="HAJ295" s="1069"/>
      <c r="HAK295" s="1069"/>
      <c r="HAL295" s="1069"/>
      <c r="HAM295" s="1069"/>
      <c r="HAN295" s="1069"/>
      <c r="HAO295" s="1069"/>
      <c r="HAP295" s="1069"/>
      <c r="HAQ295" s="1069"/>
      <c r="HAR295" s="1069"/>
      <c r="HAS295" s="1069"/>
      <c r="HAT295" s="1069"/>
      <c r="HAU295" s="1069"/>
      <c r="HAV295" s="1069"/>
      <c r="HAW295" s="1069"/>
      <c r="HAX295" s="1069"/>
      <c r="HAY295" s="1069"/>
      <c r="HAZ295" s="1069"/>
      <c r="HBA295" s="1069"/>
      <c r="HBB295" s="1069"/>
      <c r="HBC295" s="1069"/>
      <c r="HBD295" s="1069"/>
      <c r="HBE295" s="1069"/>
      <c r="HBF295" s="1069"/>
      <c r="HBG295" s="1069"/>
      <c r="HBH295" s="1069"/>
      <c r="HBI295" s="1069"/>
      <c r="HBJ295" s="1069"/>
      <c r="HBK295" s="1069"/>
      <c r="HBL295" s="1069"/>
      <c r="HBM295" s="1069"/>
      <c r="HBN295" s="1069"/>
      <c r="HBO295" s="1069"/>
      <c r="HBP295" s="1069"/>
      <c r="HBQ295" s="1069"/>
      <c r="HBR295" s="1069"/>
      <c r="HBS295" s="1069"/>
      <c r="HBT295" s="1069"/>
      <c r="HBU295" s="1069"/>
      <c r="HBV295" s="1069"/>
      <c r="HBW295" s="1069"/>
      <c r="HBX295" s="1069"/>
      <c r="HBY295" s="1069"/>
      <c r="HBZ295" s="1069"/>
      <c r="HCA295" s="1069"/>
      <c r="HCB295" s="1069"/>
      <c r="HCC295" s="1069"/>
      <c r="HCD295" s="1069"/>
      <c r="HCE295" s="1069"/>
      <c r="HCF295" s="1069"/>
      <c r="HCG295" s="1069"/>
      <c r="HCH295" s="1069"/>
      <c r="HCI295" s="1069"/>
      <c r="HCJ295" s="1069"/>
      <c r="HCK295" s="1069"/>
      <c r="HCL295" s="1069"/>
      <c r="HCM295" s="1069"/>
      <c r="HCN295" s="1069"/>
      <c r="HCO295" s="1069"/>
      <c r="HCP295" s="1069"/>
      <c r="HCQ295" s="1069"/>
      <c r="HCR295" s="1069"/>
      <c r="HCS295" s="1069"/>
      <c r="HCT295" s="1069"/>
      <c r="HCU295" s="1069"/>
      <c r="HCV295" s="1069"/>
      <c r="HCW295" s="1069"/>
      <c r="HCX295" s="1069"/>
      <c r="HCY295" s="1069"/>
      <c r="HCZ295" s="1069"/>
      <c r="HDA295" s="1069"/>
      <c r="HDB295" s="1069"/>
      <c r="HDC295" s="1069"/>
      <c r="HDD295" s="1069"/>
      <c r="HDE295" s="1069"/>
      <c r="HDF295" s="1069"/>
      <c r="HDG295" s="1069"/>
      <c r="HDH295" s="1069"/>
      <c r="HDI295" s="1069"/>
      <c r="HDJ295" s="1069"/>
      <c r="HDK295" s="1069"/>
      <c r="HDL295" s="1069"/>
      <c r="HDM295" s="1069"/>
      <c r="HDN295" s="1069"/>
      <c r="HDO295" s="1069"/>
      <c r="HDP295" s="1069"/>
      <c r="HDQ295" s="1069"/>
      <c r="HDR295" s="1069"/>
      <c r="HDS295" s="1069"/>
      <c r="HDT295" s="1069"/>
      <c r="HDU295" s="1069"/>
      <c r="HDV295" s="1069"/>
      <c r="HDW295" s="1069"/>
      <c r="HDX295" s="1069"/>
      <c r="HDY295" s="1069"/>
      <c r="HDZ295" s="1069"/>
      <c r="HEA295" s="1069"/>
      <c r="HEB295" s="1069"/>
      <c r="HEC295" s="1069"/>
      <c r="HED295" s="1069"/>
      <c r="HEE295" s="1069"/>
      <c r="HEF295" s="1069"/>
      <c r="HEG295" s="1069"/>
      <c r="HEH295" s="1069"/>
      <c r="HEI295" s="1069"/>
      <c r="HEJ295" s="1069"/>
      <c r="HEK295" s="1069"/>
      <c r="HEL295" s="1069"/>
      <c r="HEM295" s="1069"/>
      <c r="HEN295" s="1069"/>
      <c r="HEO295" s="1069"/>
      <c r="HEP295" s="1069"/>
      <c r="HEQ295" s="1069"/>
      <c r="HER295" s="1069"/>
      <c r="HES295" s="1069"/>
      <c r="HET295" s="1069"/>
      <c r="HEU295" s="1069"/>
      <c r="HEV295" s="1069"/>
      <c r="HEW295" s="1069"/>
      <c r="HEX295" s="1069"/>
      <c r="HEY295" s="1069"/>
      <c r="HEZ295" s="1069"/>
      <c r="HFA295" s="1069"/>
      <c r="HFB295" s="1069"/>
      <c r="HFC295" s="1069"/>
      <c r="HFD295" s="1069"/>
      <c r="HFE295" s="1069"/>
      <c r="HFF295" s="1069"/>
      <c r="HFG295" s="1069"/>
      <c r="HFH295" s="1069"/>
      <c r="HFI295" s="1069"/>
      <c r="HFJ295" s="1069"/>
      <c r="HFK295" s="1069"/>
      <c r="HFL295" s="1069"/>
      <c r="HFM295" s="1069"/>
      <c r="HFN295" s="1069"/>
      <c r="HFO295" s="1069"/>
      <c r="HFP295" s="1069"/>
      <c r="HFQ295" s="1069"/>
      <c r="HFR295" s="1069"/>
      <c r="HFS295" s="1069"/>
      <c r="HFT295" s="1069"/>
      <c r="HFU295" s="1069"/>
      <c r="HFV295" s="1069"/>
      <c r="HFW295" s="1069"/>
      <c r="HFX295" s="1069"/>
      <c r="HFY295" s="1069"/>
      <c r="HFZ295" s="1069"/>
      <c r="HGA295" s="1069"/>
      <c r="HGB295" s="1069"/>
      <c r="HGC295" s="1069"/>
      <c r="HGD295" s="1069"/>
      <c r="HGE295" s="1069"/>
      <c r="HGF295" s="1069"/>
      <c r="HGG295" s="1069"/>
      <c r="HGH295" s="1069"/>
      <c r="HGI295" s="1069"/>
      <c r="HGJ295" s="1069"/>
      <c r="HGK295" s="1069"/>
      <c r="HGL295" s="1069"/>
      <c r="HGM295" s="1069"/>
      <c r="HGN295" s="1069"/>
      <c r="HGO295" s="1069"/>
      <c r="HGP295" s="1069"/>
      <c r="HGQ295" s="1069"/>
      <c r="HGR295" s="1069"/>
      <c r="HGS295" s="1069"/>
      <c r="HGT295" s="1069"/>
      <c r="HGU295" s="1069"/>
      <c r="HGV295" s="1069"/>
      <c r="HGW295" s="1069"/>
      <c r="HGX295" s="1069"/>
      <c r="HGY295" s="1069"/>
      <c r="HGZ295" s="1069"/>
      <c r="HHA295" s="1069"/>
      <c r="HHB295" s="1069"/>
      <c r="HHC295" s="1069"/>
      <c r="HHD295" s="1069"/>
      <c r="HHE295" s="1069"/>
      <c r="HHF295" s="1069"/>
      <c r="HHG295" s="1069"/>
      <c r="HHH295" s="1069"/>
      <c r="HHI295" s="1069"/>
      <c r="HHJ295" s="1069"/>
      <c r="HHK295" s="1069"/>
      <c r="HHL295" s="1069"/>
      <c r="HHM295" s="1069"/>
      <c r="HHN295" s="1069"/>
      <c r="HHO295" s="1069"/>
      <c r="HHP295" s="1069"/>
      <c r="HHQ295" s="1069"/>
      <c r="HHR295" s="1069"/>
      <c r="HHS295" s="1069"/>
      <c r="HHT295" s="1069"/>
      <c r="HHU295" s="1069"/>
      <c r="HHV295" s="1069"/>
      <c r="HHW295" s="1069"/>
      <c r="HHX295" s="1069"/>
      <c r="HHY295" s="1069"/>
      <c r="HHZ295" s="1069"/>
      <c r="HIA295" s="1069"/>
      <c r="HIB295" s="1069"/>
      <c r="HIC295" s="1069"/>
      <c r="HID295" s="1069"/>
      <c r="HIE295" s="1069"/>
      <c r="HIF295" s="1069"/>
      <c r="HIG295" s="1069"/>
      <c r="HIH295" s="1069"/>
      <c r="HII295" s="1069"/>
      <c r="HIJ295" s="1069"/>
      <c r="HIK295" s="1069"/>
      <c r="HIL295" s="1069"/>
      <c r="HIM295" s="1069"/>
      <c r="HIN295" s="1069"/>
      <c r="HIO295" s="1069"/>
      <c r="HIP295" s="1069"/>
      <c r="HIQ295" s="1069"/>
      <c r="HIR295" s="1069"/>
      <c r="HIS295" s="1069"/>
      <c r="HIT295" s="1069"/>
      <c r="HIU295" s="1069"/>
      <c r="HIV295" s="1069"/>
      <c r="HIW295" s="1069"/>
      <c r="HIX295" s="1069"/>
      <c r="HIY295" s="1069"/>
      <c r="HIZ295" s="1069"/>
      <c r="HJA295" s="1069"/>
      <c r="HJB295" s="1069"/>
      <c r="HJC295" s="1069"/>
      <c r="HJD295" s="1069"/>
      <c r="HJE295" s="1069"/>
      <c r="HJF295" s="1069"/>
      <c r="HJG295" s="1069"/>
      <c r="HJH295" s="1069"/>
      <c r="HJI295" s="1069"/>
      <c r="HJJ295" s="1069"/>
      <c r="HJK295" s="1069"/>
      <c r="HJL295" s="1069"/>
      <c r="HJM295" s="1069"/>
      <c r="HJN295" s="1069"/>
      <c r="HJO295" s="1069"/>
      <c r="HJP295" s="1069"/>
      <c r="HJQ295" s="1069"/>
      <c r="HJR295" s="1069"/>
      <c r="HJS295" s="1069"/>
      <c r="HJT295" s="1069"/>
      <c r="HJU295" s="1069"/>
      <c r="HJV295" s="1069"/>
      <c r="HJW295" s="1069"/>
      <c r="HJX295" s="1069"/>
      <c r="HJY295" s="1069"/>
      <c r="HJZ295" s="1069"/>
      <c r="HKA295" s="1069"/>
      <c r="HKB295" s="1069"/>
      <c r="HKC295" s="1069"/>
      <c r="HKD295" s="1069"/>
      <c r="HKE295" s="1069"/>
      <c r="HKF295" s="1069"/>
      <c r="HKG295" s="1069"/>
      <c r="HKH295" s="1069"/>
      <c r="HKI295" s="1069"/>
      <c r="HKJ295" s="1069"/>
      <c r="HKK295" s="1069"/>
      <c r="HKL295" s="1069"/>
      <c r="HKM295" s="1069"/>
      <c r="HKN295" s="1069"/>
      <c r="HKO295" s="1069"/>
      <c r="HKP295" s="1069"/>
      <c r="HKQ295" s="1069"/>
      <c r="HKR295" s="1069"/>
      <c r="HKS295" s="1069"/>
      <c r="HKT295" s="1069"/>
      <c r="HKU295" s="1069"/>
      <c r="HKV295" s="1069"/>
      <c r="HKW295" s="1069"/>
      <c r="HKX295" s="1069"/>
      <c r="HKY295" s="1069"/>
      <c r="HKZ295" s="1069"/>
      <c r="HLA295" s="1069"/>
      <c r="HLB295" s="1069"/>
      <c r="HLC295" s="1069"/>
      <c r="HLD295" s="1069"/>
      <c r="HLE295" s="1069"/>
      <c r="HLF295" s="1069"/>
      <c r="HLG295" s="1069"/>
      <c r="HLH295" s="1069"/>
      <c r="HLI295" s="1069"/>
      <c r="HLJ295" s="1069"/>
      <c r="HLK295" s="1069"/>
      <c r="HLL295" s="1069"/>
      <c r="HLM295" s="1069"/>
      <c r="HLN295" s="1069"/>
      <c r="HLO295" s="1069"/>
      <c r="HLP295" s="1069"/>
      <c r="HLQ295" s="1069"/>
      <c r="HLR295" s="1069"/>
      <c r="HLS295" s="1069"/>
      <c r="HLT295" s="1069"/>
      <c r="HLU295" s="1069"/>
      <c r="HLV295" s="1069"/>
      <c r="HLW295" s="1069"/>
      <c r="HLX295" s="1069"/>
      <c r="HLY295" s="1069"/>
      <c r="HLZ295" s="1069"/>
      <c r="HMA295" s="1069"/>
      <c r="HMB295" s="1069"/>
      <c r="HMC295" s="1069"/>
      <c r="HMD295" s="1069"/>
      <c r="HME295" s="1069"/>
      <c r="HMF295" s="1069"/>
      <c r="HMG295" s="1069"/>
      <c r="HMH295" s="1069"/>
      <c r="HMI295" s="1069"/>
      <c r="HMJ295" s="1069"/>
      <c r="HMK295" s="1069"/>
      <c r="HML295" s="1069"/>
      <c r="HMM295" s="1069"/>
      <c r="HMN295" s="1069"/>
      <c r="HMO295" s="1069"/>
      <c r="HMP295" s="1069"/>
      <c r="HMQ295" s="1069"/>
      <c r="HMR295" s="1069"/>
      <c r="HMS295" s="1069"/>
      <c r="HMT295" s="1069"/>
      <c r="HMU295" s="1069"/>
      <c r="HMV295" s="1069"/>
      <c r="HMW295" s="1069"/>
      <c r="HMX295" s="1069"/>
      <c r="HMY295" s="1069"/>
      <c r="HMZ295" s="1069"/>
      <c r="HNA295" s="1069"/>
      <c r="HNB295" s="1069"/>
      <c r="HNC295" s="1069"/>
      <c r="HND295" s="1069"/>
      <c r="HNE295" s="1069"/>
      <c r="HNF295" s="1069"/>
      <c r="HNG295" s="1069"/>
      <c r="HNH295" s="1069"/>
      <c r="HNI295" s="1069"/>
      <c r="HNJ295" s="1069"/>
      <c r="HNK295" s="1069"/>
      <c r="HNL295" s="1069"/>
      <c r="HNM295" s="1069"/>
      <c r="HNN295" s="1069"/>
      <c r="HNO295" s="1069"/>
      <c r="HNP295" s="1069"/>
      <c r="HNQ295" s="1069"/>
      <c r="HNR295" s="1069"/>
      <c r="HNS295" s="1069"/>
      <c r="HNT295" s="1069"/>
      <c r="HNU295" s="1069"/>
      <c r="HNV295" s="1069"/>
      <c r="HNW295" s="1069"/>
      <c r="HNX295" s="1069"/>
      <c r="HNY295" s="1069"/>
      <c r="HNZ295" s="1069"/>
      <c r="HOA295" s="1069"/>
      <c r="HOB295" s="1069"/>
      <c r="HOC295" s="1069"/>
      <c r="HOD295" s="1069"/>
      <c r="HOE295" s="1069"/>
      <c r="HOF295" s="1069"/>
      <c r="HOG295" s="1069"/>
      <c r="HOH295" s="1069"/>
      <c r="HOI295" s="1069"/>
      <c r="HOJ295" s="1069"/>
      <c r="HOK295" s="1069"/>
      <c r="HOL295" s="1069"/>
      <c r="HOM295" s="1069"/>
      <c r="HON295" s="1069"/>
      <c r="HOO295" s="1069"/>
      <c r="HOP295" s="1069"/>
      <c r="HOQ295" s="1069"/>
      <c r="HOR295" s="1069"/>
      <c r="HOS295" s="1069"/>
      <c r="HOT295" s="1069"/>
      <c r="HOU295" s="1069"/>
      <c r="HOV295" s="1069"/>
      <c r="HOW295" s="1069"/>
      <c r="HOX295" s="1069"/>
      <c r="HOY295" s="1069"/>
      <c r="HOZ295" s="1069"/>
      <c r="HPA295" s="1069"/>
      <c r="HPB295" s="1069"/>
      <c r="HPC295" s="1069"/>
      <c r="HPD295" s="1069"/>
      <c r="HPE295" s="1069"/>
      <c r="HPF295" s="1069"/>
      <c r="HPG295" s="1069"/>
      <c r="HPH295" s="1069"/>
      <c r="HPI295" s="1069"/>
      <c r="HPJ295" s="1069"/>
      <c r="HPK295" s="1069"/>
      <c r="HPL295" s="1069"/>
      <c r="HPM295" s="1069"/>
      <c r="HPN295" s="1069"/>
      <c r="HPO295" s="1069"/>
      <c r="HPP295" s="1069"/>
      <c r="HPQ295" s="1069"/>
      <c r="HPR295" s="1069"/>
      <c r="HPS295" s="1069"/>
      <c r="HPT295" s="1069"/>
      <c r="HPU295" s="1069"/>
      <c r="HPV295" s="1069"/>
      <c r="HPW295" s="1069"/>
      <c r="HPX295" s="1069"/>
      <c r="HPY295" s="1069"/>
      <c r="HPZ295" s="1069"/>
      <c r="HQA295" s="1069"/>
      <c r="HQB295" s="1069"/>
      <c r="HQC295" s="1069"/>
      <c r="HQD295" s="1069"/>
      <c r="HQE295" s="1069"/>
      <c r="HQF295" s="1069"/>
      <c r="HQG295" s="1069"/>
      <c r="HQH295" s="1069"/>
      <c r="HQI295" s="1069"/>
      <c r="HQJ295" s="1069"/>
      <c r="HQK295" s="1069"/>
      <c r="HQL295" s="1069"/>
      <c r="HQM295" s="1069"/>
      <c r="HQN295" s="1069"/>
      <c r="HQO295" s="1069"/>
      <c r="HQP295" s="1069"/>
      <c r="HQQ295" s="1069"/>
      <c r="HQR295" s="1069"/>
      <c r="HQS295" s="1069"/>
      <c r="HQT295" s="1069"/>
      <c r="HQU295" s="1069"/>
      <c r="HQV295" s="1069"/>
      <c r="HQW295" s="1069"/>
      <c r="HQX295" s="1069"/>
      <c r="HQY295" s="1069"/>
      <c r="HQZ295" s="1069"/>
      <c r="HRA295" s="1069"/>
      <c r="HRB295" s="1069"/>
      <c r="HRC295" s="1069"/>
      <c r="HRD295" s="1069"/>
      <c r="HRE295" s="1069"/>
      <c r="HRF295" s="1069"/>
      <c r="HRG295" s="1069"/>
      <c r="HRH295" s="1069"/>
      <c r="HRI295" s="1069"/>
      <c r="HRJ295" s="1069"/>
      <c r="HRK295" s="1069"/>
      <c r="HRL295" s="1069"/>
      <c r="HRM295" s="1069"/>
      <c r="HRN295" s="1069"/>
      <c r="HRO295" s="1069"/>
      <c r="HRP295" s="1069"/>
      <c r="HRQ295" s="1069"/>
      <c r="HRR295" s="1069"/>
      <c r="HRS295" s="1069"/>
      <c r="HRT295" s="1069"/>
      <c r="HRU295" s="1069"/>
      <c r="HRV295" s="1069"/>
      <c r="HRW295" s="1069"/>
      <c r="HRX295" s="1069"/>
      <c r="HRY295" s="1069"/>
      <c r="HRZ295" s="1069"/>
      <c r="HSA295" s="1069"/>
      <c r="HSB295" s="1069"/>
      <c r="HSC295" s="1069"/>
      <c r="HSD295" s="1069"/>
      <c r="HSE295" s="1069"/>
      <c r="HSF295" s="1069"/>
      <c r="HSG295" s="1069"/>
      <c r="HSH295" s="1069"/>
      <c r="HSI295" s="1069"/>
      <c r="HSJ295" s="1069"/>
      <c r="HSK295" s="1069"/>
      <c r="HSL295" s="1069"/>
      <c r="HSM295" s="1069"/>
      <c r="HSN295" s="1069"/>
      <c r="HSO295" s="1069"/>
      <c r="HSP295" s="1069"/>
      <c r="HSQ295" s="1069"/>
      <c r="HSR295" s="1069"/>
      <c r="HSS295" s="1069"/>
      <c r="HST295" s="1069"/>
      <c r="HSU295" s="1069"/>
      <c r="HSV295" s="1069"/>
      <c r="HSW295" s="1069"/>
      <c r="HSX295" s="1069"/>
      <c r="HSY295" s="1069"/>
      <c r="HSZ295" s="1069"/>
      <c r="HTA295" s="1069"/>
      <c r="HTB295" s="1069"/>
      <c r="HTC295" s="1069"/>
      <c r="HTD295" s="1069"/>
      <c r="HTE295" s="1069"/>
      <c r="HTF295" s="1069"/>
      <c r="HTG295" s="1069"/>
      <c r="HTH295" s="1069"/>
      <c r="HTI295" s="1069"/>
      <c r="HTJ295" s="1069"/>
      <c r="HTK295" s="1069"/>
      <c r="HTL295" s="1069"/>
      <c r="HTM295" s="1069"/>
      <c r="HTN295" s="1069"/>
      <c r="HTO295" s="1069"/>
      <c r="HTP295" s="1069"/>
      <c r="HTQ295" s="1069"/>
      <c r="HTR295" s="1069"/>
      <c r="HTS295" s="1069"/>
      <c r="HTT295" s="1069"/>
      <c r="HTU295" s="1069"/>
      <c r="HTV295" s="1069"/>
      <c r="HTW295" s="1069"/>
      <c r="HTX295" s="1069"/>
      <c r="HTY295" s="1069"/>
      <c r="HTZ295" s="1069"/>
      <c r="HUA295" s="1069"/>
      <c r="HUB295" s="1069"/>
      <c r="HUC295" s="1069"/>
      <c r="HUD295" s="1069"/>
      <c r="HUE295" s="1069"/>
      <c r="HUF295" s="1069"/>
      <c r="HUG295" s="1069"/>
      <c r="HUH295" s="1069"/>
      <c r="HUI295" s="1069"/>
      <c r="HUJ295" s="1069"/>
      <c r="HUK295" s="1069"/>
      <c r="HUL295" s="1069"/>
      <c r="HUM295" s="1069"/>
      <c r="HUN295" s="1069"/>
      <c r="HUO295" s="1069"/>
      <c r="HUP295" s="1069"/>
      <c r="HUQ295" s="1069"/>
      <c r="HUR295" s="1069"/>
      <c r="HUS295" s="1069"/>
      <c r="HUT295" s="1069"/>
      <c r="HUU295" s="1069"/>
      <c r="HUV295" s="1069"/>
      <c r="HUW295" s="1069"/>
      <c r="HUX295" s="1069"/>
      <c r="HUY295" s="1069"/>
      <c r="HUZ295" s="1069"/>
      <c r="HVA295" s="1069"/>
      <c r="HVB295" s="1069"/>
      <c r="HVC295" s="1069"/>
      <c r="HVD295" s="1069"/>
      <c r="HVE295" s="1069"/>
      <c r="HVF295" s="1069"/>
      <c r="HVG295" s="1069"/>
      <c r="HVH295" s="1069"/>
      <c r="HVI295" s="1069"/>
      <c r="HVJ295" s="1069"/>
      <c r="HVK295" s="1069"/>
      <c r="HVL295" s="1069"/>
      <c r="HVM295" s="1069"/>
      <c r="HVN295" s="1069"/>
      <c r="HVO295" s="1069"/>
      <c r="HVP295" s="1069"/>
      <c r="HVQ295" s="1069"/>
      <c r="HVR295" s="1069"/>
      <c r="HVS295" s="1069"/>
      <c r="HVT295" s="1069"/>
      <c r="HVU295" s="1069"/>
      <c r="HVV295" s="1069"/>
      <c r="HVW295" s="1069"/>
      <c r="HVX295" s="1069"/>
      <c r="HVY295" s="1069"/>
      <c r="HVZ295" s="1069"/>
      <c r="HWA295" s="1069"/>
      <c r="HWB295" s="1069"/>
      <c r="HWC295" s="1069"/>
      <c r="HWD295" s="1069"/>
      <c r="HWE295" s="1069"/>
      <c r="HWF295" s="1069"/>
      <c r="HWG295" s="1069"/>
      <c r="HWH295" s="1069"/>
      <c r="HWI295" s="1069"/>
      <c r="HWJ295" s="1069"/>
      <c r="HWK295" s="1069"/>
      <c r="HWL295" s="1069"/>
      <c r="HWM295" s="1069"/>
      <c r="HWN295" s="1069"/>
      <c r="HWO295" s="1069"/>
      <c r="HWP295" s="1069"/>
      <c r="HWQ295" s="1069"/>
      <c r="HWR295" s="1069"/>
      <c r="HWS295" s="1069"/>
      <c r="HWT295" s="1069"/>
      <c r="HWU295" s="1069"/>
      <c r="HWV295" s="1069"/>
      <c r="HWW295" s="1069"/>
      <c r="HWX295" s="1069"/>
      <c r="HWY295" s="1069"/>
      <c r="HWZ295" s="1069"/>
      <c r="HXA295" s="1069"/>
      <c r="HXB295" s="1069"/>
      <c r="HXC295" s="1069"/>
      <c r="HXD295" s="1069"/>
      <c r="HXE295" s="1069"/>
      <c r="HXF295" s="1069"/>
      <c r="HXG295" s="1069"/>
      <c r="HXH295" s="1069"/>
      <c r="HXI295" s="1069"/>
      <c r="HXJ295" s="1069"/>
      <c r="HXK295" s="1069"/>
      <c r="HXL295" s="1069"/>
      <c r="HXM295" s="1069"/>
      <c r="HXN295" s="1069"/>
      <c r="HXO295" s="1069"/>
      <c r="HXP295" s="1069"/>
      <c r="HXQ295" s="1069"/>
      <c r="HXR295" s="1069"/>
      <c r="HXS295" s="1069"/>
      <c r="HXT295" s="1069"/>
      <c r="HXU295" s="1069"/>
      <c r="HXV295" s="1069"/>
      <c r="HXW295" s="1069"/>
      <c r="HXX295" s="1069"/>
      <c r="HXY295" s="1069"/>
      <c r="HXZ295" s="1069"/>
      <c r="HYA295" s="1069"/>
      <c r="HYB295" s="1069"/>
      <c r="HYC295" s="1069"/>
      <c r="HYD295" s="1069"/>
      <c r="HYE295" s="1069"/>
      <c r="HYF295" s="1069"/>
      <c r="HYG295" s="1069"/>
      <c r="HYH295" s="1069"/>
      <c r="HYI295" s="1069"/>
      <c r="HYJ295" s="1069"/>
      <c r="HYK295" s="1069"/>
      <c r="HYL295" s="1069"/>
      <c r="HYM295" s="1069"/>
      <c r="HYN295" s="1069"/>
      <c r="HYO295" s="1069"/>
      <c r="HYP295" s="1069"/>
      <c r="HYQ295" s="1069"/>
      <c r="HYR295" s="1069"/>
      <c r="HYS295" s="1069"/>
      <c r="HYT295" s="1069"/>
      <c r="HYU295" s="1069"/>
      <c r="HYV295" s="1069"/>
      <c r="HYW295" s="1069"/>
      <c r="HYX295" s="1069"/>
      <c r="HYY295" s="1069"/>
      <c r="HYZ295" s="1069"/>
      <c r="HZA295" s="1069"/>
      <c r="HZB295" s="1069"/>
      <c r="HZC295" s="1069"/>
      <c r="HZD295" s="1069"/>
      <c r="HZE295" s="1069"/>
      <c r="HZF295" s="1069"/>
      <c r="HZG295" s="1069"/>
      <c r="HZH295" s="1069"/>
      <c r="HZI295" s="1069"/>
      <c r="HZJ295" s="1069"/>
      <c r="HZK295" s="1069"/>
      <c r="HZL295" s="1069"/>
      <c r="HZM295" s="1069"/>
      <c r="HZN295" s="1069"/>
      <c r="HZO295" s="1069"/>
      <c r="HZP295" s="1069"/>
      <c r="HZQ295" s="1069"/>
      <c r="HZR295" s="1069"/>
      <c r="HZS295" s="1069"/>
      <c r="HZT295" s="1069"/>
      <c r="HZU295" s="1069"/>
      <c r="HZV295" s="1069"/>
      <c r="HZW295" s="1069"/>
      <c r="HZX295" s="1069"/>
      <c r="HZY295" s="1069"/>
      <c r="HZZ295" s="1069"/>
      <c r="IAA295" s="1069"/>
      <c r="IAB295" s="1069"/>
      <c r="IAC295" s="1069"/>
      <c r="IAD295" s="1069"/>
      <c r="IAE295" s="1069"/>
      <c r="IAF295" s="1069"/>
      <c r="IAG295" s="1069"/>
      <c r="IAH295" s="1069"/>
      <c r="IAI295" s="1069"/>
      <c r="IAJ295" s="1069"/>
      <c r="IAK295" s="1069"/>
      <c r="IAL295" s="1069"/>
      <c r="IAM295" s="1069"/>
      <c r="IAN295" s="1069"/>
      <c r="IAO295" s="1069"/>
      <c r="IAP295" s="1069"/>
      <c r="IAQ295" s="1069"/>
      <c r="IAR295" s="1069"/>
      <c r="IAS295" s="1069"/>
      <c r="IAT295" s="1069"/>
      <c r="IAU295" s="1069"/>
      <c r="IAV295" s="1069"/>
      <c r="IAW295" s="1069"/>
      <c r="IAX295" s="1069"/>
      <c r="IAY295" s="1069"/>
      <c r="IAZ295" s="1069"/>
      <c r="IBA295" s="1069"/>
      <c r="IBB295" s="1069"/>
      <c r="IBC295" s="1069"/>
      <c r="IBD295" s="1069"/>
      <c r="IBE295" s="1069"/>
      <c r="IBF295" s="1069"/>
      <c r="IBG295" s="1069"/>
      <c r="IBH295" s="1069"/>
      <c r="IBI295" s="1069"/>
      <c r="IBJ295" s="1069"/>
      <c r="IBK295" s="1069"/>
      <c r="IBL295" s="1069"/>
      <c r="IBM295" s="1069"/>
      <c r="IBN295" s="1069"/>
      <c r="IBO295" s="1069"/>
      <c r="IBP295" s="1069"/>
      <c r="IBQ295" s="1069"/>
      <c r="IBR295" s="1069"/>
      <c r="IBS295" s="1069"/>
      <c r="IBT295" s="1069"/>
      <c r="IBU295" s="1069"/>
      <c r="IBV295" s="1069"/>
      <c r="IBW295" s="1069"/>
      <c r="IBX295" s="1069"/>
      <c r="IBY295" s="1069"/>
      <c r="IBZ295" s="1069"/>
      <c r="ICA295" s="1069"/>
      <c r="ICB295" s="1069"/>
      <c r="ICC295" s="1069"/>
      <c r="ICD295" s="1069"/>
      <c r="ICE295" s="1069"/>
      <c r="ICF295" s="1069"/>
      <c r="ICG295" s="1069"/>
      <c r="ICH295" s="1069"/>
      <c r="ICI295" s="1069"/>
      <c r="ICJ295" s="1069"/>
      <c r="ICK295" s="1069"/>
      <c r="ICL295" s="1069"/>
      <c r="ICM295" s="1069"/>
      <c r="ICN295" s="1069"/>
      <c r="ICO295" s="1069"/>
      <c r="ICP295" s="1069"/>
      <c r="ICQ295" s="1069"/>
      <c r="ICR295" s="1069"/>
      <c r="ICS295" s="1069"/>
      <c r="ICT295" s="1069"/>
      <c r="ICU295" s="1069"/>
      <c r="ICV295" s="1069"/>
      <c r="ICW295" s="1069"/>
      <c r="ICX295" s="1069"/>
      <c r="ICY295" s="1069"/>
      <c r="ICZ295" s="1069"/>
      <c r="IDA295" s="1069"/>
      <c r="IDB295" s="1069"/>
      <c r="IDC295" s="1069"/>
      <c r="IDD295" s="1069"/>
      <c r="IDE295" s="1069"/>
      <c r="IDF295" s="1069"/>
      <c r="IDG295" s="1069"/>
      <c r="IDH295" s="1069"/>
      <c r="IDI295" s="1069"/>
      <c r="IDJ295" s="1069"/>
      <c r="IDK295" s="1069"/>
      <c r="IDL295" s="1069"/>
      <c r="IDM295" s="1069"/>
      <c r="IDN295" s="1069"/>
      <c r="IDO295" s="1069"/>
      <c r="IDP295" s="1069"/>
      <c r="IDQ295" s="1069"/>
      <c r="IDR295" s="1069"/>
      <c r="IDS295" s="1069"/>
      <c r="IDT295" s="1069"/>
      <c r="IDU295" s="1069"/>
      <c r="IDV295" s="1069"/>
      <c r="IDW295" s="1069"/>
      <c r="IDX295" s="1069"/>
      <c r="IDY295" s="1069"/>
      <c r="IDZ295" s="1069"/>
      <c r="IEA295" s="1069"/>
      <c r="IEB295" s="1069"/>
      <c r="IEC295" s="1069"/>
      <c r="IED295" s="1069"/>
      <c r="IEE295" s="1069"/>
      <c r="IEF295" s="1069"/>
      <c r="IEG295" s="1069"/>
      <c r="IEH295" s="1069"/>
      <c r="IEI295" s="1069"/>
      <c r="IEJ295" s="1069"/>
      <c r="IEK295" s="1069"/>
      <c r="IEL295" s="1069"/>
      <c r="IEM295" s="1069"/>
      <c r="IEN295" s="1069"/>
      <c r="IEO295" s="1069"/>
      <c r="IEP295" s="1069"/>
      <c r="IEQ295" s="1069"/>
      <c r="IER295" s="1069"/>
      <c r="IES295" s="1069"/>
      <c r="IET295" s="1069"/>
      <c r="IEU295" s="1069"/>
      <c r="IEV295" s="1069"/>
      <c r="IEW295" s="1069"/>
      <c r="IEX295" s="1069"/>
      <c r="IEY295" s="1069"/>
      <c r="IEZ295" s="1069"/>
      <c r="IFA295" s="1069"/>
      <c r="IFB295" s="1069"/>
      <c r="IFC295" s="1069"/>
      <c r="IFD295" s="1069"/>
      <c r="IFE295" s="1069"/>
      <c r="IFF295" s="1069"/>
      <c r="IFG295" s="1069"/>
      <c r="IFH295" s="1069"/>
      <c r="IFI295" s="1069"/>
      <c r="IFJ295" s="1069"/>
      <c r="IFK295" s="1069"/>
      <c r="IFL295" s="1069"/>
      <c r="IFM295" s="1069"/>
      <c r="IFN295" s="1069"/>
      <c r="IFO295" s="1069"/>
      <c r="IFP295" s="1069"/>
      <c r="IFQ295" s="1069"/>
      <c r="IFR295" s="1069"/>
      <c r="IFS295" s="1069"/>
      <c r="IFT295" s="1069"/>
      <c r="IFU295" s="1069"/>
      <c r="IFV295" s="1069"/>
      <c r="IFW295" s="1069"/>
      <c r="IFX295" s="1069"/>
      <c r="IFY295" s="1069"/>
      <c r="IFZ295" s="1069"/>
      <c r="IGA295" s="1069"/>
      <c r="IGB295" s="1069"/>
      <c r="IGC295" s="1069"/>
      <c r="IGD295" s="1069"/>
      <c r="IGE295" s="1069"/>
      <c r="IGF295" s="1069"/>
      <c r="IGG295" s="1069"/>
      <c r="IGH295" s="1069"/>
      <c r="IGI295" s="1069"/>
      <c r="IGJ295" s="1069"/>
      <c r="IGK295" s="1069"/>
      <c r="IGL295" s="1069"/>
      <c r="IGM295" s="1069"/>
      <c r="IGN295" s="1069"/>
      <c r="IGO295" s="1069"/>
      <c r="IGP295" s="1069"/>
      <c r="IGQ295" s="1069"/>
      <c r="IGR295" s="1069"/>
      <c r="IGS295" s="1069"/>
      <c r="IGT295" s="1069"/>
      <c r="IGU295" s="1069"/>
      <c r="IGV295" s="1069"/>
      <c r="IGW295" s="1069"/>
      <c r="IGX295" s="1069"/>
      <c r="IGY295" s="1069"/>
      <c r="IGZ295" s="1069"/>
      <c r="IHA295" s="1069"/>
      <c r="IHB295" s="1069"/>
      <c r="IHC295" s="1069"/>
      <c r="IHD295" s="1069"/>
      <c r="IHE295" s="1069"/>
      <c r="IHF295" s="1069"/>
      <c r="IHG295" s="1069"/>
      <c r="IHH295" s="1069"/>
      <c r="IHI295" s="1069"/>
      <c r="IHJ295" s="1069"/>
      <c r="IHK295" s="1069"/>
      <c r="IHL295" s="1069"/>
      <c r="IHM295" s="1069"/>
      <c r="IHN295" s="1069"/>
      <c r="IHO295" s="1069"/>
      <c r="IHP295" s="1069"/>
      <c r="IHQ295" s="1069"/>
      <c r="IHR295" s="1069"/>
      <c r="IHS295" s="1069"/>
      <c r="IHT295" s="1069"/>
      <c r="IHU295" s="1069"/>
      <c r="IHV295" s="1069"/>
      <c r="IHW295" s="1069"/>
      <c r="IHX295" s="1069"/>
      <c r="IHY295" s="1069"/>
      <c r="IHZ295" s="1069"/>
      <c r="IIA295" s="1069"/>
      <c r="IIB295" s="1069"/>
      <c r="IIC295" s="1069"/>
      <c r="IID295" s="1069"/>
      <c r="IIE295" s="1069"/>
      <c r="IIF295" s="1069"/>
      <c r="IIG295" s="1069"/>
      <c r="IIH295" s="1069"/>
      <c r="III295" s="1069"/>
      <c r="IIJ295" s="1069"/>
      <c r="IIK295" s="1069"/>
      <c r="IIL295" s="1069"/>
      <c r="IIM295" s="1069"/>
      <c r="IIN295" s="1069"/>
      <c r="IIO295" s="1069"/>
      <c r="IIP295" s="1069"/>
      <c r="IIQ295" s="1069"/>
      <c r="IIR295" s="1069"/>
      <c r="IIS295" s="1069"/>
      <c r="IIT295" s="1069"/>
      <c r="IIU295" s="1069"/>
      <c r="IIV295" s="1069"/>
      <c r="IIW295" s="1069"/>
      <c r="IIX295" s="1069"/>
      <c r="IIY295" s="1069"/>
      <c r="IIZ295" s="1069"/>
      <c r="IJA295" s="1069"/>
      <c r="IJB295" s="1069"/>
      <c r="IJC295" s="1069"/>
      <c r="IJD295" s="1069"/>
      <c r="IJE295" s="1069"/>
      <c r="IJF295" s="1069"/>
      <c r="IJG295" s="1069"/>
      <c r="IJH295" s="1069"/>
      <c r="IJI295" s="1069"/>
      <c r="IJJ295" s="1069"/>
      <c r="IJK295" s="1069"/>
      <c r="IJL295" s="1069"/>
      <c r="IJM295" s="1069"/>
      <c r="IJN295" s="1069"/>
      <c r="IJO295" s="1069"/>
      <c r="IJP295" s="1069"/>
      <c r="IJQ295" s="1069"/>
      <c r="IJR295" s="1069"/>
      <c r="IJS295" s="1069"/>
      <c r="IJT295" s="1069"/>
      <c r="IJU295" s="1069"/>
      <c r="IJV295" s="1069"/>
      <c r="IJW295" s="1069"/>
      <c r="IJX295" s="1069"/>
      <c r="IJY295" s="1069"/>
      <c r="IJZ295" s="1069"/>
      <c r="IKA295" s="1069"/>
      <c r="IKB295" s="1069"/>
      <c r="IKC295" s="1069"/>
      <c r="IKD295" s="1069"/>
      <c r="IKE295" s="1069"/>
      <c r="IKF295" s="1069"/>
      <c r="IKG295" s="1069"/>
      <c r="IKH295" s="1069"/>
      <c r="IKI295" s="1069"/>
      <c r="IKJ295" s="1069"/>
      <c r="IKK295" s="1069"/>
      <c r="IKL295" s="1069"/>
      <c r="IKM295" s="1069"/>
      <c r="IKN295" s="1069"/>
      <c r="IKO295" s="1069"/>
      <c r="IKP295" s="1069"/>
      <c r="IKQ295" s="1069"/>
      <c r="IKR295" s="1069"/>
      <c r="IKS295" s="1069"/>
      <c r="IKT295" s="1069"/>
      <c r="IKU295" s="1069"/>
      <c r="IKV295" s="1069"/>
      <c r="IKW295" s="1069"/>
      <c r="IKX295" s="1069"/>
      <c r="IKY295" s="1069"/>
      <c r="IKZ295" s="1069"/>
      <c r="ILA295" s="1069"/>
      <c r="ILB295" s="1069"/>
      <c r="ILC295" s="1069"/>
      <c r="ILD295" s="1069"/>
      <c r="ILE295" s="1069"/>
      <c r="ILF295" s="1069"/>
      <c r="ILG295" s="1069"/>
      <c r="ILH295" s="1069"/>
      <c r="ILI295" s="1069"/>
      <c r="ILJ295" s="1069"/>
      <c r="ILK295" s="1069"/>
      <c r="ILL295" s="1069"/>
      <c r="ILM295" s="1069"/>
      <c r="ILN295" s="1069"/>
      <c r="ILO295" s="1069"/>
      <c r="ILP295" s="1069"/>
      <c r="ILQ295" s="1069"/>
      <c r="ILR295" s="1069"/>
      <c r="ILS295" s="1069"/>
      <c r="ILT295" s="1069"/>
      <c r="ILU295" s="1069"/>
      <c r="ILV295" s="1069"/>
      <c r="ILW295" s="1069"/>
      <c r="ILX295" s="1069"/>
      <c r="ILY295" s="1069"/>
      <c r="ILZ295" s="1069"/>
      <c r="IMA295" s="1069"/>
      <c r="IMB295" s="1069"/>
      <c r="IMC295" s="1069"/>
      <c r="IMD295" s="1069"/>
      <c r="IME295" s="1069"/>
      <c r="IMF295" s="1069"/>
      <c r="IMG295" s="1069"/>
      <c r="IMH295" s="1069"/>
      <c r="IMI295" s="1069"/>
      <c r="IMJ295" s="1069"/>
      <c r="IMK295" s="1069"/>
      <c r="IML295" s="1069"/>
      <c r="IMM295" s="1069"/>
      <c r="IMN295" s="1069"/>
      <c r="IMO295" s="1069"/>
      <c r="IMP295" s="1069"/>
      <c r="IMQ295" s="1069"/>
      <c r="IMR295" s="1069"/>
      <c r="IMS295" s="1069"/>
      <c r="IMT295" s="1069"/>
      <c r="IMU295" s="1069"/>
      <c r="IMV295" s="1069"/>
      <c r="IMW295" s="1069"/>
      <c r="IMX295" s="1069"/>
      <c r="IMY295" s="1069"/>
      <c r="IMZ295" s="1069"/>
      <c r="INA295" s="1069"/>
      <c r="INB295" s="1069"/>
      <c r="INC295" s="1069"/>
      <c r="IND295" s="1069"/>
      <c r="INE295" s="1069"/>
      <c r="INF295" s="1069"/>
      <c r="ING295" s="1069"/>
      <c r="INH295" s="1069"/>
      <c r="INI295" s="1069"/>
      <c r="INJ295" s="1069"/>
      <c r="INK295" s="1069"/>
      <c r="INL295" s="1069"/>
      <c r="INM295" s="1069"/>
      <c r="INN295" s="1069"/>
      <c r="INO295" s="1069"/>
      <c r="INP295" s="1069"/>
      <c r="INQ295" s="1069"/>
      <c r="INR295" s="1069"/>
      <c r="INS295" s="1069"/>
      <c r="INT295" s="1069"/>
      <c r="INU295" s="1069"/>
      <c r="INV295" s="1069"/>
      <c r="INW295" s="1069"/>
      <c r="INX295" s="1069"/>
      <c r="INY295" s="1069"/>
      <c r="INZ295" s="1069"/>
      <c r="IOA295" s="1069"/>
      <c r="IOB295" s="1069"/>
      <c r="IOC295" s="1069"/>
      <c r="IOD295" s="1069"/>
      <c r="IOE295" s="1069"/>
      <c r="IOF295" s="1069"/>
      <c r="IOG295" s="1069"/>
      <c r="IOH295" s="1069"/>
      <c r="IOI295" s="1069"/>
      <c r="IOJ295" s="1069"/>
      <c r="IOK295" s="1069"/>
      <c r="IOL295" s="1069"/>
      <c r="IOM295" s="1069"/>
      <c r="ION295" s="1069"/>
      <c r="IOO295" s="1069"/>
      <c r="IOP295" s="1069"/>
      <c r="IOQ295" s="1069"/>
      <c r="IOR295" s="1069"/>
      <c r="IOS295" s="1069"/>
      <c r="IOT295" s="1069"/>
      <c r="IOU295" s="1069"/>
      <c r="IOV295" s="1069"/>
      <c r="IOW295" s="1069"/>
      <c r="IOX295" s="1069"/>
      <c r="IOY295" s="1069"/>
      <c r="IOZ295" s="1069"/>
      <c r="IPA295" s="1069"/>
      <c r="IPB295" s="1069"/>
      <c r="IPC295" s="1069"/>
      <c r="IPD295" s="1069"/>
      <c r="IPE295" s="1069"/>
      <c r="IPF295" s="1069"/>
      <c r="IPG295" s="1069"/>
      <c r="IPH295" s="1069"/>
      <c r="IPI295" s="1069"/>
      <c r="IPJ295" s="1069"/>
      <c r="IPK295" s="1069"/>
      <c r="IPL295" s="1069"/>
      <c r="IPM295" s="1069"/>
      <c r="IPN295" s="1069"/>
      <c r="IPO295" s="1069"/>
      <c r="IPP295" s="1069"/>
      <c r="IPQ295" s="1069"/>
      <c r="IPR295" s="1069"/>
      <c r="IPS295" s="1069"/>
      <c r="IPT295" s="1069"/>
      <c r="IPU295" s="1069"/>
      <c r="IPV295" s="1069"/>
      <c r="IPW295" s="1069"/>
      <c r="IPX295" s="1069"/>
      <c r="IPY295" s="1069"/>
      <c r="IPZ295" s="1069"/>
      <c r="IQA295" s="1069"/>
      <c r="IQB295" s="1069"/>
      <c r="IQC295" s="1069"/>
      <c r="IQD295" s="1069"/>
      <c r="IQE295" s="1069"/>
      <c r="IQF295" s="1069"/>
      <c r="IQG295" s="1069"/>
      <c r="IQH295" s="1069"/>
      <c r="IQI295" s="1069"/>
      <c r="IQJ295" s="1069"/>
      <c r="IQK295" s="1069"/>
      <c r="IQL295" s="1069"/>
      <c r="IQM295" s="1069"/>
      <c r="IQN295" s="1069"/>
      <c r="IQO295" s="1069"/>
      <c r="IQP295" s="1069"/>
      <c r="IQQ295" s="1069"/>
      <c r="IQR295" s="1069"/>
      <c r="IQS295" s="1069"/>
      <c r="IQT295" s="1069"/>
      <c r="IQU295" s="1069"/>
      <c r="IQV295" s="1069"/>
      <c r="IQW295" s="1069"/>
      <c r="IQX295" s="1069"/>
      <c r="IQY295" s="1069"/>
      <c r="IQZ295" s="1069"/>
      <c r="IRA295" s="1069"/>
      <c r="IRB295" s="1069"/>
      <c r="IRC295" s="1069"/>
      <c r="IRD295" s="1069"/>
      <c r="IRE295" s="1069"/>
      <c r="IRF295" s="1069"/>
      <c r="IRG295" s="1069"/>
      <c r="IRH295" s="1069"/>
      <c r="IRI295" s="1069"/>
      <c r="IRJ295" s="1069"/>
      <c r="IRK295" s="1069"/>
      <c r="IRL295" s="1069"/>
      <c r="IRM295" s="1069"/>
      <c r="IRN295" s="1069"/>
      <c r="IRO295" s="1069"/>
      <c r="IRP295" s="1069"/>
      <c r="IRQ295" s="1069"/>
      <c r="IRR295" s="1069"/>
      <c r="IRS295" s="1069"/>
      <c r="IRT295" s="1069"/>
      <c r="IRU295" s="1069"/>
      <c r="IRV295" s="1069"/>
      <c r="IRW295" s="1069"/>
      <c r="IRX295" s="1069"/>
      <c r="IRY295" s="1069"/>
      <c r="IRZ295" s="1069"/>
      <c r="ISA295" s="1069"/>
      <c r="ISB295" s="1069"/>
      <c r="ISC295" s="1069"/>
      <c r="ISD295" s="1069"/>
      <c r="ISE295" s="1069"/>
      <c r="ISF295" s="1069"/>
      <c r="ISG295" s="1069"/>
      <c r="ISH295" s="1069"/>
      <c r="ISI295" s="1069"/>
      <c r="ISJ295" s="1069"/>
      <c r="ISK295" s="1069"/>
      <c r="ISL295" s="1069"/>
      <c r="ISM295" s="1069"/>
      <c r="ISN295" s="1069"/>
      <c r="ISO295" s="1069"/>
      <c r="ISP295" s="1069"/>
      <c r="ISQ295" s="1069"/>
      <c r="ISR295" s="1069"/>
      <c r="ISS295" s="1069"/>
      <c r="IST295" s="1069"/>
      <c r="ISU295" s="1069"/>
      <c r="ISV295" s="1069"/>
      <c r="ISW295" s="1069"/>
      <c r="ISX295" s="1069"/>
      <c r="ISY295" s="1069"/>
      <c r="ISZ295" s="1069"/>
      <c r="ITA295" s="1069"/>
      <c r="ITB295" s="1069"/>
      <c r="ITC295" s="1069"/>
      <c r="ITD295" s="1069"/>
      <c r="ITE295" s="1069"/>
      <c r="ITF295" s="1069"/>
      <c r="ITG295" s="1069"/>
      <c r="ITH295" s="1069"/>
      <c r="ITI295" s="1069"/>
      <c r="ITJ295" s="1069"/>
      <c r="ITK295" s="1069"/>
      <c r="ITL295" s="1069"/>
      <c r="ITM295" s="1069"/>
      <c r="ITN295" s="1069"/>
      <c r="ITO295" s="1069"/>
      <c r="ITP295" s="1069"/>
      <c r="ITQ295" s="1069"/>
      <c r="ITR295" s="1069"/>
      <c r="ITS295" s="1069"/>
      <c r="ITT295" s="1069"/>
      <c r="ITU295" s="1069"/>
      <c r="ITV295" s="1069"/>
      <c r="ITW295" s="1069"/>
      <c r="ITX295" s="1069"/>
      <c r="ITY295" s="1069"/>
      <c r="ITZ295" s="1069"/>
      <c r="IUA295" s="1069"/>
      <c r="IUB295" s="1069"/>
      <c r="IUC295" s="1069"/>
      <c r="IUD295" s="1069"/>
      <c r="IUE295" s="1069"/>
      <c r="IUF295" s="1069"/>
      <c r="IUG295" s="1069"/>
      <c r="IUH295" s="1069"/>
      <c r="IUI295" s="1069"/>
      <c r="IUJ295" s="1069"/>
      <c r="IUK295" s="1069"/>
      <c r="IUL295" s="1069"/>
      <c r="IUM295" s="1069"/>
      <c r="IUN295" s="1069"/>
      <c r="IUO295" s="1069"/>
      <c r="IUP295" s="1069"/>
      <c r="IUQ295" s="1069"/>
      <c r="IUR295" s="1069"/>
      <c r="IUS295" s="1069"/>
      <c r="IUT295" s="1069"/>
      <c r="IUU295" s="1069"/>
      <c r="IUV295" s="1069"/>
      <c r="IUW295" s="1069"/>
      <c r="IUX295" s="1069"/>
      <c r="IUY295" s="1069"/>
      <c r="IUZ295" s="1069"/>
      <c r="IVA295" s="1069"/>
      <c r="IVB295" s="1069"/>
      <c r="IVC295" s="1069"/>
      <c r="IVD295" s="1069"/>
      <c r="IVE295" s="1069"/>
      <c r="IVF295" s="1069"/>
      <c r="IVG295" s="1069"/>
      <c r="IVH295" s="1069"/>
      <c r="IVI295" s="1069"/>
      <c r="IVJ295" s="1069"/>
      <c r="IVK295" s="1069"/>
      <c r="IVL295" s="1069"/>
      <c r="IVM295" s="1069"/>
      <c r="IVN295" s="1069"/>
      <c r="IVO295" s="1069"/>
      <c r="IVP295" s="1069"/>
      <c r="IVQ295" s="1069"/>
      <c r="IVR295" s="1069"/>
      <c r="IVS295" s="1069"/>
      <c r="IVT295" s="1069"/>
      <c r="IVU295" s="1069"/>
      <c r="IVV295" s="1069"/>
      <c r="IVW295" s="1069"/>
      <c r="IVX295" s="1069"/>
      <c r="IVY295" s="1069"/>
      <c r="IVZ295" s="1069"/>
      <c r="IWA295" s="1069"/>
      <c r="IWB295" s="1069"/>
      <c r="IWC295" s="1069"/>
      <c r="IWD295" s="1069"/>
      <c r="IWE295" s="1069"/>
      <c r="IWF295" s="1069"/>
      <c r="IWG295" s="1069"/>
      <c r="IWH295" s="1069"/>
      <c r="IWI295" s="1069"/>
      <c r="IWJ295" s="1069"/>
      <c r="IWK295" s="1069"/>
      <c r="IWL295" s="1069"/>
      <c r="IWM295" s="1069"/>
      <c r="IWN295" s="1069"/>
      <c r="IWO295" s="1069"/>
      <c r="IWP295" s="1069"/>
      <c r="IWQ295" s="1069"/>
      <c r="IWR295" s="1069"/>
      <c r="IWS295" s="1069"/>
      <c r="IWT295" s="1069"/>
      <c r="IWU295" s="1069"/>
      <c r="IWV295" s="1069"/>
      <c r="IWW295" s="1069"/>
      <c r="IWX295" s="1069"/>
      <c r="IWY295" s="1069"/>
      <c r="IWZ295" s="1069"/>
      <c r="IXA295" s="1069"/>
      <c r="IXB295" s="1069"/>
      <c r="IXC295" s="1069"/>
      <c r="IXD295" s="1069"/>
      <c r="IXE295" s="1069"/>
      <c r="IXF295" s="1069"/>
      <c r="IXG295" s="1069"/>
      <c r="IXH295" s="1069"/>
      <c r="IXI295" s="1069"/>
      <c r="IXJ295" s="1069"/>
      <c r="IXK295" s="1069"/>
      <c r="IXL295" s="1069"/>
      <c r="IXM295" s="1069"/>
      <c r="IXN295" s="1069"/>
      <c r="IXO295" s="1069"/>
      <c r="IXP295" s="1069"/>
      <c r="IXQ295" s="1069"/>
      <c r="IXR295" s="1069"/>
      <c r="IXS295" s="1069"/>
      <c r="IXT295" s="1069"/>
      <c r="IXU295" s="1069"/>
      <c r="IXV295" s="1069"/>
      <c r="IXW295" s="1069"/>
      <c r="IXX295" s="1069"/>
      <c r="IXY295" s="1069"/>
      <c r="IXZ295" s="1069"/>
      <c r="IYA295" s="1069"/>
      <c r="IYB295" s="1069"/>
      <c r="IYC295" s="1069"/>
      <c r="IYD295" s="1069"/>
      <c r="IYE295" s="1069"/>
      <c r="IYF295" s="1069"/>
      <c r="IYG295" s="1069"/>
      <c r="IYH295" s="1069"/>
      <c r="IYI295" s="1069"/>
      <c r="IYJ295" s="1069"/>
      <c r="IYK295" s="1069"/>
      <c r="IYL295" s="1069"/>
      <c r="IYM295" s="1069"/>
      <c r="IYN295" s="1069"/>
      <c r="IYO295" s="1069"/>
      <c r="IYP295" s="1069"/>
      <c r="IYQ295" s="1069"/>
      <c r="IYR295" s="1069"/>
      <c r="IYS295" s="1069"/>
      <c r="IYT295" s="1069"/>
      <c r="IYU295" s="1069"/>
      <c r="IYV295" s="1069"/>
      <c r="IYW295" s="1069"/>
      <c r="IYX295" s="1069"/>
      <c r="IYY295" s="1069"/>
      <c r="IYZ295" s="1069"/>
      <c r="IZA295" s="1069"/>
      <c r="IZB295" s="1069"/>
      <c r="IZC295" s="1069"/>
      <c r="IZD295" s="1069"/>
      <c r="IZE295" s="1069"/>
      <c r="IZF295" s="1069"/>
      <c r="IZG295" s="1069"/>
      <c r="IZH295" s="1069"/>
      <c r="IZI295" s="1069"/>
      <c r="IZJ295" s="1069"/>
      <c r="IZK295" s="1069"/>
      <c r="IZL295" s="1069"/>
      <c r="IZM295" s="1069"/>
      <c r="IZN295" s="1069"/>
      <c r="IZO295" s="1069"/>
      <c r="IZP295" s="1069"/>
      <c r="IZQ295" s="1069"/>
      <c r="IZR295" s="1069"/>
      <c r="IZS295" s="1069"/>
      <c r="IZT295" s="1069"/>
      <c r="IZU295" s="1069"/>
      <c r="IZV295" s="1069"/>
      <c r="IZW295" s="1069"/>
      <c r="IZX295" s="1069"/>
      <c r="IZY295" s="1069"/>
      <c r="IZZ295" s="1069"/>
      <c r="JAA295" s="1069"/>
      <c r="JAB295" s="1069"/>
      <c r="JAC295" s="1069"/>
      <c r="JAD295" s="1069"/>
      <c r="JAE295" s="1069"/>
      <c r="JAF295" s="1069"/>
      <c r="JAG295" s="1069"/>
      <c r="JAH295" s="1069"/>
      <c r="JAI295" s="1069"/>
      <c r="JAJ295" s="1069"/>
      <c r="JAK295" s="1069"/>
      <c r="JAL295" s="1069"/>
      <c r="JAM295" s="1069"/>
      <c r="JAN295" s="1069"/>
      <c r="JAO295" s="1069"/>
      <c r="JAP295" s="1069"/>
      <c r="JAQ295" s="1069"/>
      <c r="JAR295" s="1069"/>
      <c r="JAS295" s="1069"/>
      <c r="JAT295" s="1069"/>
      <c r="JAU295" s="1069"/>
      <c r="JAV295" s="1069"/>
      <c r="JAW295" s="1069"/>
      <c r="JAX295" s="1069"/>
      <c r="JAY295" s="1069"/>
      <c r="JAZ295" s="1069"/>
      <c r="JBA295" s="1069"/>
      <c r="JBB295" s="1069"/>
      <c r="JBC295" s="1069"/>
      <c r="JBD295" s="1069"/>
      <c r="JBE295" s="1069"/>
      <c r="JBF295" s="1069"/>
      <c r="JBG295" s="1069"/>
      <c r="JBH295" s="1069"/>
      <c r="JBI295" s="1069"/>
      <c r="JBJ295" s="1069"/>
      <c r="JBK295" s="1069"/>
      <c r="JBL295" s="1069"/>
      <c r="JBM295" s="1069"/>
      <c r="JBN295" s="1069"/>
      <c r="JBO295" s="1069"/>
      <c r="JBP295" s="1069"/>
      <c r="JBQ295" s="1069"/>
      <c r="JBR295" s="1069"/>
      <c r="JBS295" s="1069"/>
      <c r="JBT295" s="1069"/>
      <c r="JBU295" s="1069"/>
      <c r="JBV295" s="1069"/>
      <c r="JBW295" s="1069"/>
      <c r="JBX295" s="1069"/>
      <c r="JBY295" s="1069"/>
      <c r="JBZ295" s="1069"/>
      <c r="JCA295" s="1069"/>
      <c r="JCB295" s="1069"/>
      <c r="JCC295" s="1069"/>
      <c r="JCD295" s="1069"/>
      <c r="JCE295" s="1069"/>
      <c r="JCF295" s="1069"/>
      <c r="JCG295" s="1069"/>
      <c r="JCH295" s="1069"/>
      <c r="JCI295" s="1069"/>
      <c r="JCJ295" s="1069"/>
      <c r="JCK295" s="1069"/>
      <c r="JCL295" s="1069"/>
      <c r="JCM295" s="1069"/>
      <c r="JCN295" s="1069"/>
      <c r="JCO295" s="1069"/>
      <c r="JCP295" s="1069"/>
      <c r="JCQ295" s="1069"/>
      <c r="JCR295" s="1069"/>
      <c r="JCS295" s="1069"/>
      <c r="JCT295" s="1069"/>
      <c r="JCU295" s="1069"/>
      <c r="JCV295" s="1069"/>
      <c r="JCW295" s="1069"/>
      <c r="JCX295" s="1069"/>
      <c r="JCY295" s="1069"/>
      <c r="JCZ295" s="1069"/>
      <c r="JDA295" s="1069"/>
      <c r="JDB295" s="1069"/>
      <c r="JDC295" s="1069"/>
      <c r="JDD295" s="1069"/>
      <c r="JDE295" s="1069"/>
      <c r="JDF295" s="1069"/>
      <c r="JDG295" s="1069"/>
      <c r="JDH295" s="1069"/>
      <c r="JDI295" s="1069"/>
      <c r="JDJ295" s="1069"/>
      <c r="JDK295" s="1069"/>
      <c r="JDL295" s="1069"/>
      <c r="JDM295" s="1069"/>
      <c r="JDN295" s="1069"/>
      <c r="JDO295" s="1069"/>
      <c r="JDP295" s="1069"/>
      <c r="JDQ295" s="1069"/>
      <c r="JDR295" s="1069"/>
      <c r="JDS295" s="1069"/>
      <c r="JDT295" s="1069"/>
      <c r="JDU295" s="1069"/>
      <c r="JDV295" s="1069"/>
      <c r="JDW295" s="1069"/>
      <c r="JDX295" s="1069"/>
      <c r="JDY295" s="1069"/>
      <c r="JDZ295" s="1069"/>
      <c r="JEA295" s="1069"/>
      <c r="JEB295" s="1069"/>
      <c r="JEC295" s="1069"/>
      <c r="JED295" s="1069"/>
      <c r="JEE295" s="1069"/>
      <c r="JEF295" s="1069"/>
      <c r="JEG295" s="1069"/>
      <c r="JEH295" s="1069"/>
      <c r="JEI295" s="1069"/>
      <c r="JEJ295" s="1069"/>
      <c r="JEK295" s="1069"/>
      <c r="JEL295" s="1069"/>
      <c r="JEM295" s="1069"/>
      <c r="JEN295" s="1069"/>
      <c r="JEO295" s="1069"/>
      <c r="JEP295" s="1069"/>
      <c r="JEQ295" s="1069"/>
      <c r="JER295" s="1069"/>
      <c r="JES295" s="1069"/>
      <c r="JET295" s="1069"/>
      <c r="JEU295" s="1069"/>
      <c r="JEV295" s="1069"/>
      <c r="JEW295" s="1069"/>
      <c r="JEX295" s="1069"/>
      <c r="JEY295" s="1069"/>
      <c r="JEZ295" s="1069"/>
      <c r="JFA295" s="1069"/>
      <c r="JFB295" s="1069"/>
      <c r="JFC295" s="1069"/>
      <c r="JFD295" s="1069"/>
      <c r="JFE295" s="1069"/>
      <c r="JFF295" s="1069"/>
      <c r="JFG295" s="1069"/>
      <c r="JFH295" s="1069"/>
      <c r="JFI295" s="1069"/>
      <c r="JFJ295" s="1069"/>
      <c r="JFK295" s="1069"/>
      <c r="JFL295" s="1069"/>
      <c r="JFM295" s="1069"/>
      <c r="JFN295" s="1069"/>
      <c r="JFO295" s="1069"/>
      <c r="JFP295" s="1069"/>
      <c r="JFQ295" s="1069"/>
      <c r="JFR295" s="1069"/>
      <c r="JFS295" s="1069"/>
      <c r="JFT295" s="1069"/>
      <c r="JFU295" s="1069"/>
      <c r="JFV295" s="1069"/>
      <c r="JFW295" s="1069"/>
      <c r="JFX295" s="1069"/>
      <c r="JFY295" s="1069"/>
      <c r="JFZ295" s="1069"/>
      <c r="JGA295" s="1069"/>
      <c r="JGB295" s="1069"/>
      <c r="JGC295" s="1069"/>
      <c r="JGD295" s="1069"/>
      <c r="JGE295" s="1069"/>
      <c r="JGF295" s="1069"/>
      <c r="JGG295" s="1069"/>
      <c r="JGH295" s="1069"/>
      <c r="JGI295" s="1069"/>
      <c r="JGJ295" s="1069"/>
      <c r="JGK295" s="1069"/>
      <c r="JGL295" s="1069"/>
      <c r="JGM295" s="1069"/>
      <c r="JGN295" s="1069"/>
      <c r="JGO295" s="1069"/>
      <c r="JGP295" s="1069"/>
      <c r="JGQ295" s="1069"/>
      <c r="JGR295" s="1069"/>
      <c r="JGS295" s="1069"/>
      <c r="JGT295" s="1069"/>
      <c r="JGU295" s="1069"/>
      <c r="JGV295" s="1069"/>
      <c r="JGW295" s="1069"/>
      <c r="JGX295" s="1069"/>
      <c r="JGY295" s="1069"/>
      <c r="JGZ295" s="1069"/>
      <c r="JHA295" s="1069"/>
      <c r="JHB295" s="1069"/>
      <c r="JHC295" s="1069"/>
      <c r="JHD295" s="1069"/>
      <c r="JHE295" s="1069"/>
      <c r="JHF295" s="1069"/>
      <c r="JHG295" s="1069"/>
      <c r="JHH295" s="1069"/>
      <c r="JHI295" s="1069"/>
      <c r="JHJ295" s="1069"/>
      <c r="JHK295" s="1069"/>
      <c r="JHL295" s="1069"/>
      <c r="JHM295" s="1069"/>
      <c r="JHN295" s="1069"/>
      <c r="JHO295" s="1069"/>
      <c r="JHP295" s="1069"/>
      <c r="JHQ295" s="1069"/>
      <c r="JHR295" s="1069"/>
      <c r="JHS295" s="1069"/>
      <c r="JHT295" s="1069"/>
      <c r="JHU295" s="1069"/>
      <c r="JHV295" s="1069"/>
      <c r="JHW295" s="1069"/>
      <c r="JHX295" s="1069"/>
      <c r="JHY295" s="1069"/>
      <c r="JHZ295" s="1069"/>
      <c r="JIA295" s="1069"/>
      <c r="JIB295" s="1069"/>
      <c r="JIC295" s="1069"/>
      <c r="JID295" s="1069"/>
      <c r="JIE295" s="1069"/>
      <c r="JIF295" s="1069"/>
      <c r="JIG295" s="1069"/>
      <c r="JIH295" s="1069"/>
      <c r="JII295" s="1069"/>
      <c r="JIJ295" s="1069"/>
      <c r="JIK295" s="1069"/>
      <c r="JIL295" s="1069"/>
      <c r="JIM295" s="1069"/>
      <c r="JIN295" s="1069"/>
      <c r="JIO295" s="1069"/>
      <c r="JIP295" s="1069"/>
      <c r="JIQ295" s="1069"/>
      <c r="JIR295" s="1069"/>
      <c r="JIS295" s="1069"/>
      <c r="JIT295" s="1069"/>
      <c r="JIU295" s="1069"/>
      <c r="JIV295" s="1069"/>
      <c r="JIW295" s="1069"/>
      <c r="JIX295" s="1069"/>
      <c r="JIY295" s="1069"/>
      <c r="JIZ295" s="1069"/>
      <c r="JJA295" s="1069"/>
      <c r="JJB295" s="1069"/>
      <c r="JJC295" s="1069"/>
      <c r="JJD295" s="1069"/>
      <c r="JJE295" s="1069"/>
      <c r="JJF295" s="1069"/>
      <c r="JJG295" s="1069"/>
      <c r="JJH295" s="1069"/>
      <c r="JJI295" s="1069"/>
      <c r="JJJ295" s="1069"/>
      <c r="JJK295" s="1069"/>
      <c r="JJL295" s="1069"/>
      <c r="JJM295" s="1069"/>
      <c r="JJN295" s="1069"/>
      <c r="JJO295" s="1069"/>
      <c r="JJP295" s="1069"/>
      <c r="JJQ295" s="1069"/>
      <c r="JJR295" s="1069"/>
      <c r="JJS295" s="1069"/>
      <c r="JJT295" s="1069"/>
      <c r="JJU295" s="1069"/>
      <c r="JJV295" s="1069"/>
      <c r="JJW295" s="1069"/>
      <c r="JJX295" s="1069"/>
      <c r="JJY295" s="1069"/>
      <c r="JJZ295" s="1069"/>
      <c r="JKA295" s="1069"/>
      <c r="JKB295" s="1069"/>
      <c r="JKC295" s="1069"/>
      <c r="JKD295" s="1069"/>
      <c r="JKE295" s="1069"/>
      <c r="JKF295" s="1069"/>
      <c r="JKG295" s="1069"/>
      <c r="JKH295" s="1069"/>
      <c r="JKI295" s="1069"/>
      <c r="JKJ295" s="1069"/>
      <c r="JKK295" s="1069"/>
      <c r="JKL295" s="1069"/>
      <c r="JKM295" s="1069"/>
      <c r="JKN295" s="1069"/>
      <c r="JKO295" s="1069"/>
      <c r="JKP295" s="1069"/>
      <c r="JKQ295" s="1069"/>
      <c r="JKR295" s="1069"/>
      <c r="JKS295" s="1069"/>
      <c r="JKT295" s="1069"/>
      <c r="JKU295" s="1069"/>
      <c r="JKV295" s="1069"/>
      <c r="JKW295" s="1069"/>
      <c r="JKX295" s="1069"/>
      <c r="JKY295" s="1069"/>
      <c r="JKZ295" s="1069"/>
      <c r="JLA295" s="1069"/>
      <c r="JLB295" s="1069"/>
      <c r="JLC295" s="1069"/>
      <c r="JLD295" s="1069"/>
      <c r="JLE295" s="1069"/>
      <c r="JLF295" s="1069"/>
      <c r="JLG295" s="1069"/>
      <c r="JLH295" s="1069"/>
      <c r="JLI295" s="1069"/>
      <c r="JLJ295" s="1069"/>
      <c r="JLK295" s="1069"/>
      <c r="JLL295" s="1069"/>
      <c r="JLM295" s="1069"/>
      <c r="JLN295" s="1069"/>
      <c r="JLO295" s="1069"/>
      <c r="JLP295" s="1069"/>
      <c r="JLQ295" s="1069"/>
      <c r="JLR295" s="1069"/>
      <c r="JLS295" s="1069"/>
      <c r="JLT295" s="1069"/>
      <c r="JLU295" s="1069"/>
      <c r="JLV295" s="1069"/>
      <c r="JLW295" s="1069"/>
      <c r="JLX295" s="1069"/>
      <c r="JLY295" s="1069"/>
      <c r="JLZ295" s="1069"/>
      <c r="JMA295" s="1069"/>
      <c r="JMB295" s="1069"/>
      <c r="JMC295" s="1069"/>
      <c r="JMD295" s="1069"/>
      <c r="JME295" s="1069"/>
      <c r="JMF295" s="1069"/>
      <c r="JMG295" s="1069"/>
      <c r="JMH295" s="1069"/>
      <c r="JMI295" s="1069"/>
      <c r="JMJ295" s="1069"/>
      <c r="JMK295" s="1069"/>
      <c r="JML295" s="1069"/>
      <c r="JMM295" s="1069"/>
      <c r="JMN295" s="1069"/>
      <c r="JMO295" s="1069"/>
      <c r="JMP295" s="1069"/>
      <c r="JMQ295" s="1069"/>
      <c r="JMR295" s="1069"/>
      <c r="JMS295" s="1069"/>
      <c r="JMT295" s="1069"/>
      <c r="JMU295" s="1069"/>
      <c r="JMV295" s="1069"/>
      <c r="JMW295" s="1069"/>
      <c r="JMX295" s="1069"/>
      <c r="JMY295" s="1069"/>
      <c r="JMZ295" s="1069"/>
      <c r="JNA295" s="1069"/>
      <c r="JNB295" s="1069"/>
      <c r="JNC295" s="1069"/>
      <c r="JND295" s="1069"/>
      <c r="JNE295" s="1069"/>
      <c r="JNF295" s="1069"/>
      <c r="JNG295" s="1069"/>
      <c r="JNH295" s="1069"/>
      <c r="JNI295" s="1069"/>
      <c r="JNJ295" s="1069"/>
      <c r="JNK295" s="1069"/>
      <c r="JNL295" s="1069"/>
      <c r="JNM295" s="1069"/>
      <c r="JNN295" s="1069"/>
      <c r="JNO295" s="1069"/>
      <c r="JNP295" s="1069"/>
      <c r="JNQ295" s="1069"/>
      <c r="JNR295" s="1069"/>
      <c r="JNS295" s="1069"/>
      <c r="JNT295" s="1069"/>
      <c r="JNU295" s="1069"/>
      <c r="JNV295" s="1069"/>
      <c r="JNW295" s="1069"/>
      <c r="JNX295" s="1069"/>
      <c r="JNY295" s="1069"/>
      <c r="JNZ295" s="1069"/>
      <c r="JOA295" s="1069"/>
      <c r="JOB295" s="1069"/>
      <c r="JOC295" s="1069"/>
      <c r="JOD295" s="1069"/>
      <c r="JOE295" s="1069"/>
      <c r="JOF295" s="1069"/>
      <c r="JOG295" s="1069"/>
      <c r="JOH295" s="1069"/>
      <c r="JOI295" s="1069"/>
      <c r="JOJ295" s="1069"/>
      <c r="JOK295" s="1069"/>
      <c r="JOL295" s="1069"/>
      <c r="JOM295" s="1069"/>
      <c r="JON295" s="1069"/>
      <c r="JOO295" s="1069"/>
      <c r="JOP295" s="1069"/>
      <c r="JOQ295" s="1069"/>
      <c r="JOR295" s="1069"/>
      <c r="JOS295" s="1069"/>
      <c r="JOT295" s="1069"/>
      <c r="JOU295" s="1069"/>
      <c r="JOV295" s="1069"/>
      <c r="JOW295" s="1069"/>
      <c r="JOX295" s="1069"/>
      <c r="JOY295" s="1069"/>
      <c r="JOZ295" s="1069"/>
      <c r="JPA295" s="1069"/>
      <c r="JPB295" s="1069"/>
      <c r="JPC295" s="1069"/>
      <c r="JPD295" s="1069"/>
      <c r="JPE295" s="1069"/>
      <c r="JPF295" s="1069"/>
      <c r="JPG295" s="1069"/>
      <c r="JPH295" s="1069"/>
      <c r="JPI295" s="1069"/>
      <c r="JPJ295" s="1069"/>
      <c r="JPK295" s="1069"/>
      <c r="JPL295" s="1069"/>
      <c r="JPM295" s="1069"/>
      <c r="JPN295" s="1069"/>
      <c r="JPO295" s="1069"/>
      <c r="JPP295" s="1069"/>
      <c r="JPQ295" s="1069"/>
      <c r="JPR295" s="1069"/>
      <c r="JPS295" s="1069"/>
      <c r="JPT295" s="1069"/>
      <c r="JPU295" s="1069"/>
      <c r="JPV295" s="1069"/>
      <c r="JPW295" s="1069"/>
      <c r="JPX295" s="1069"/>
      <c r="JPY295" s="1069"/>
      <c r="JPZ295" s="1069"/>
      <c r="JQA295" s="1069"/>
      <c r="JQB295" s="1069"/>
      <c r="JQC295" s="1069"/>
      <c r="JQD295" s="1069"/>
      <c r="JQE295" s="1069"/>
      <c r="JQF295" s="1069"/>
      <c r="JQG295" s="1069"/>
      <c r="JQH295" s="1069"/>
      <c r="JQI295" s="1069"/>
      <c r="JQJ295" s="1069"/>
      <c r="JQK295" s="1069"/>
      <c r="JQL295" s="1069"/>
      <c r="JQM295" s="1069"/>
      <c r="JQN295" s="1069"/>
      <c r="JQO295" s="1069"/>
      <c r="JQP295" s="1069"/>
      <c r="JQQ295" s="1069"/>
      <c r="JQR295" s="1069"/>
      <c r="JQS295" s="1069"/>
      <c r="JQT295" s="1069"/>
      <c r="JQU295" s="1069"/>
      <c r="JQV295" s="1069"/>
      <c r="JQW295" s="1069"/>
      <c r="JQX295" s="1069"/>
      <c r="JQY295" s="1069"/>
      <c r="JQZ295" s="1069"/>
      <c r="JRA295" s="1069"/>
      <c r="JRB295" s="1069"/>
      <c r="JRC295" s="1069"/>
      <c r="JRD295" s="1069"/>
      <c r="JRE295" s="1069"/>
      <c r="JRF295" s="1069"/>
      <c r="JRG295" s="1069"/>
      <c r="JRH295" s="1069"/>
      <c r="JRI295" s="1069"/>
      <c r="JRJ295" s="1069"/>
      <c r="JRK295" s="1069"/>
      <c r="JRL295" s="1069"/>
      <c r="JRM295" s="1069"/>
      <c r="JRN295" s="1069"/>
      <c r="JRO295" s="1069"/>
      <c r="JRP295" s="1069"/>
      <c r="JRQ295" s="1069"/>
      <c r="JRR295" s="1069"/>
      <c r="JRS295" s="1069"/>
      <c r="JRT295" s="1069"/>
      <c r="JRU295" s="1069"/>
      <c r="JRV295" s="1069"/>
      <c r="JRW295" s="1069"/>
      <c r="JRX295" s="1069"/>
      <c r="JRY295" s="1069"/>
      <c r="JRZ295" s="1069"/>
      <c r="JSA295" s="1069"/>
      <c r="JSB295" s="1069"/>
      <c r="JSC295" s="1069"/>
      <c r="JSD295" s="1069"/>
      <c r="JSE295" s="1069"/>
      <c r="JSF295" s="1069"/>
      <c r="JSG295" s="1069"/>
      <c r="JSH295" s="1069"/>
      <c r="JSI295" s="1069"/>
      <c r="JSJ295" s="1069"/>
      <c r="JSK295" s="1069"/>
      <c r="JSL295" s="1069"/>
      <c r="JSM295" s="1069"/>
      <c r="JSN295" s="1069"/>
      <c r="JSO295" s="1069"/>
      <c r="JSP295" s="1069"/>
      <c r="JSQ295" s="1069"/>
      <c r="JSR295" s="1069"/>
      <c r="JSS295" s="1069"/>
      <c r="JST295" s="1069"/>
      <c r="JSU295" s="1069"/>
      <c r="JSV295" s="1069"/>
      <c r="JSW295" s="1069"/>
      <c r="JSX295" s="1069"/>
      <c r="JSY295" s="1069"/>
      <c r="JSZ295" s="1069"/>
      <c r="JTA295" s="1069"/>
      <c r="JTB295" s="1069"/>
      <c r="JTC295" s="1069"/>
      <c r="JTD295" s="1069"/>
      <c r="JTE295" s="1069"/>
      <c r="JTF295" s="1069"/>
      <c r="JTG295" s="1069"/>
      <c r="JTH295" s="1069"/>
      <c r="JTI295" s="1069"/>
      <c r="JTJ295" s="1069"/>
      <c r="JTK295" s="1069"/>
      <c r="JTL295" s="1069"/>
      <c r="JTM295" s="1069"/>
      <c r="JTN295" s="1069"/>
      <c r="JTO295" s="1069"/>
      <c r="JTP295" s="1069"/>
      <c r="JTQ295" s="1069"/>
      <c r="JTR295" s="1069"/>
      <c r="JTS295" s="1069"/>
      <c r="JTT295" s="1069"/>
      <c r="JTU295" s="1069"/>
      <c r="JTV295" s="1069"/>
      <c r="JTW295" s="1069"/>
      <c r="JTX295" s="1069"/>
      <c r="JTY295" s="1069"/>
      <c r="JTZ295" s="1069"/>
      <c r="JUA295" s="1069"/>
      <c r="JUB295" s="1069"/>
      <c r="JUC295" s="1069"/>
      <c r="JUD295" s="1069"/>
      <c r="JUE295" s="1069"/>
      <c r="JUF295" s="1069"/>
      <c r="JUG295" s="1069"/>
      <c r="JUH295" s="1069"/>
      <c r="JUI295" s="1069"/>
      <c r="JUJ295" s="1069"/>
      <c r="JUK295" s="1069"/>
      <c r="JUL295" s="1069"/>
      <c r="JUM295" s="1069"/>
      <c r="JUN295" s="1069"/>
      <c r="JUO295" s="1069"/>
      <c r="JUP295" s="1069"/>
      <c r="JUQ295" s="1069"/>
      <c r="JUR295" s="1069"/>
      <c r="JUS295" s="1069"/>
      <c r="JUT295" s="1069"/>
      <c r="JUU295" s="1069"/>
      <c r="JUV295" s="1069"/>
      <c r="JUW295" s="1069"/>
      <c r="JUX295" s="1069"/>
      <c r="JUY295" s="1069"/>
      <c r="JUZ295" s="1069"/>
      <c r="JVA295" s="1069"/>
      <c r="JVB295" s="1069"/>
      <c r="JVC295" s="1069"/>
      <c r="JVD295" s="1069"/>
      <c r="JVE295" s="1069"/>
      <c r="JVF295" s="1069"/>
      <c r="JVG295" s="1069"/>
      <c r="JVH295" s="1069"/>
      <c r="JVI295" s="1069"/>
      <c r="JVJ295" s="1069"/>
      <c r="JVK295" s="1069"/>
      <c r="JVL295" s="1069"/>
      <c r="JVM295" s="1069"/>
      <c r="JVN295" s="1069"/>
      <c r="JVO295" s="1069"/>
      <c r="JVP295" s="1069"/>
      <c r="JVQ295" s="1069"/>
      <c r="JVR295" s="1069"/>
      <c r="JVS295" s="1069"/>
      <c r="JVT295" s="1069"/>
      <c r="JVU295" s="1069"/>
      <c r="JVV295" s="1069"/>
      <c r="JVW295" s="1069"/>
      <c r="JVX295" s="1069"/>
      <c r="JVY295" s="1069"/>
      <c r="JVZ295" s="1069"/>
      <c r="JWA295" s="1069"/>
      <c r="JWB295" s="1069"/>
      <c r="JWC295" s="1069"/>
      <c r="JWD295" s="1069"/>
      <c r="JWE295" s="1069"/>
      <c r="JWF295" s="1069"/>
      <c r="JWG295" s="1069"/>
      <c r="JWH295" s="1069"/>
      <c r="JWI295" s="1069"/>
      <c r="JWJ295" s="1069"/>
      <c r="JWK295" s="1069"/>
      <c r="JWL295" s="1069"/>
      <c r="JWM295" s="1069"/>
      <c r="JWN295" s="1069"/>
      <c r="JWO295" s="1069"/>
      <c r="JWP295" s="1069"/>
      <c r="JWQ295" s="1069"/>
      <c r="JWR295" s="1069"/>
      <c r="JWS295" s="1069"/>
      <c r="JWT295" s="1069"/>
      <c r="JWU295" s="1069"/>
      <c r="JWV295" s="1069"/>
      <c r="JWW295" s="1069"/>
      <c r="JWX295" s="1069"/>
      <c r="JWY295" s="1069"/>
      <c r="JWZ295" s="1069"/>
      <c r="JXA295" s="1069"/>
      <c r="JXB295" s="1069"/>
      <c r="JXC295" s="1069"/>
      <c r="JXD295" s="1069"/>
      <c r="JXE295" s="1069"/>
      <c r="JXF295" s="1069"/>
      <c r="JXG295" s="1069"/>
      <c r="JXH295" s="1069"/>
      <c r="JXI295" s="1069"/>
      <c r="JXJ295" s="1069"/>
      <c r="JXK295" s="1069"/>
      <c r="JXL295" s="1069"/>
      <c r="JXM295" s="1069"/>
      <c r="JXN295" s="1069"/>
      <c r="JXO295" s="1069"/>
      <c r="JXP295" s="1069"/>
      <c r="JXQ295" s="1069"/>
      <c r="JXR295" s="1069"/>
      <c r="JXS295" s="1069"/>
      <c r="JXT295" s="1069"/>
      <c r="JXU295" s="1069"/>
      <c r="JXV295" s="1069"/>
      <c r="JXW295" s="1069"/>
      <c r="JXX295" s="1069"/>
      <c r="JXY295" s="1069"/>
      <c r="JXZ295" s="1069"/>
      <c r="JYA295" s="1069"/>
      <c r="JYB295" s="1069"/>
      <c r="JYC295" s="1069"/>
      <c r="JYD295" s="1069"/>
      <c r="JYE295" s="1069"/>
      <c r="JYF295" s="1069"/>
      <c r="JYG295" s="1069"/>
      <c r="JYH295" s="1069"/>
      <c r="JYI295" s="1069"/>
      <c r="JYJ295" s="1069"/>
      <c r="JYK295" s="1069"/>
      <c r="JYL295" s="1069"/>
      <c r="JYM295" s="1069"/>
      <c r="JYN295" s="1069"/>
      <c r="JYO295" s="1069"/>
      <c r="JYP295" s="1069"/>
      <c r="JYQ295" s="1069"/>
      <c r="JYR295" s="1069"/>
      <c r="JYS295" s="1069"/>
      <c r="JYT295" s="1069"/>
      <c r="JYU295" s="1069"/>
      <c r="JYV295" s="1069"/>
      <c r="JYW295" s="1069"/>
      <c r="JYX295" s="1069"/>
      <c r="JYY295" s="1069"/>
      <c r="JYZ295" s="1069"/>
      <c r="JZA295" s="1069"/>
      <c r="JZB295" s="1069"/>
      <c r="JZC295" s="1069"/>
      <c r="JZD295" s="1069"/>
      <c r="JZE295" s="1069"/>
      <c r="JZF295" s="1069"/>
      <c r="JZG295" s="1069"/>
      <c r="JZH295" s="1069"/>
      <c r="JZI295" s="1069"/>
      <c r="JZJ295" s="1069"/>
      <c r="JZK295" s="1069"/>
      <c r="JZL295" s="1069"/>
      <c r="JZM295" s="1069"/>
      <c r="JZN295" s="1069"/>
      <c r="JZO295" s="1069"/>
      <c r="JZP295" s="1069"/>
      <c r="JZQ295" s="1069"/>
      <c r="JZR295" s="1069"/>
      <c r="JZS295" s="1069"/>
      <c r="JZT295" s="1069"/>
      <c r="JZU295" s="1069"/>
      <c r="JZV295" s="1069"/>
      <c r="JZW295" s="1069"/>
      <c r="JZX295" s="1069"/>
      <c r="JZY295" s="1069"/>
      <c r="JZZ295" s="1069"/>
      <c r="KAA295" s="1069"/>
      <c r="KAB295" s="1069"/>
      <c r="KAC295" s="1069"/>
      <c r="KAD295" s="1069"/>
      <c r="KAE295" s="1069"/>
      <c r="KAF295" s="1069"/>
      <c r="KAG295" s="1069"/>
      <c r="KAH295" s="1069"/>
      <c r="KAI295" s="1069"/>
      <c r="KAJ295" s="1069"/>
      <c r="KAK295" s="1069"/>
      <c r="KAL295" s="1069"/>
      <c r="KAM295" s="1069"/>
      <c r="KAN295" s="1069"/>
      <c r="KAO295" s="1069"/>
      <c r="KAP295" s="1069"/>
      <c r="KAQ295" s="1069"/>
      <c r="KAR295" s="1069"/>
      <c r="KAS295" s="1069"/>
      <c r="KAT295" s="1069"/>
      <c r="KAU295" s="1069"/>
      <c r="KAV295" s="1069"/>
      <c r="KAW295" s="1069"/>
      <c r="KAX295" s="1069"/>
      <c r="KAY295" s="1069"/>
      <c r="KAZ295" s="1069"/>
      <c r="KBA295" s="1069"/>
      <c r="KBB295" s="1069"/>
      <c r="KBC295" s="1069"/>
      <c r="KBD295" s="1069"/>
      <c r="KBE295" s="1069"/>
      <c r="KBF295" s="1069"/>
      <c r="KBG295" s="1069"/>
      <c r="KBH295" s="1069"/>
      <c r="KBI295" s="1069"/>
      <c r="KBJ295" s="1069"/>
      <c r="KBK295" s="1069"/>
      <c r="KBL295" s="1069"/>
      <c r="KBM295" s="1069"/>
      <c r="KBN295" s="1069"/>
      <c r="KBO295" s="1069"/>
      <c r="KBP295" s="1069"/>
      <c r="KBQ295" s="1069"/>
      <c r="KBR295" s="1069"/>
      <c r="KBS295" s="1069"/>
      <c r="KBT295" s="1069"/>
      <c r="KBU295" s="1069"/>
      <c r="KBV295" s="1069"/>
      <c r="KBW295" s="1069"/>
      <c r="KBX295" s="1069"/>
      <c r="KBY295" s="1069"/>
      <c r="KBZ295" s="1069"/>
      <c r="KCA295" s="1069"/>
      <c r="KCB295" s="1069"/>
      <c r="KCC295" s="1069"/>
      <c r="KCD295" s="1069"/>
      <c r="KCE295" s="1069"/>
      <c r="KCF295" s="1069"/>
      <c r="KCG295" s="1069"/>
      <c r="KCH295" s="1069"/>
      <c r="KCI295" s="1069"/>
      <c r="KCJ295" s="1069"/>
      <c r="KCK295" s="1069"/>
      <c r="KCL295" s="1069"/>
      <c r="KCM295" s="1069"/>
      <c r="KCN295" s="1069"/>
      <c r="KCO295" s="1069"/>
      <c r="KCP295" s="1069"/>
      <c r="KCQ295" s="1069"/>
      <c r="KCR295" s="1069"/>
      <c r="KCS295" s="1069"/>
      <c r="KCT295" s="1069"/>
      <c r="KCU295" s="1069"/>
      <c r="KCV295" s="1069"/>
      <c r="KCW295" s="1069"/>
      <c r="KCX295" s="1069"/>
      <c r="KCY295" s="1069"/>
      <c r="KCZ295" s="1069"/>
      <c r="KDA295" s="1069"/>
      <c r="KDB295" s="1069"/>
      <c r="KDC295" s="1069"/>
      <c r="KDD295" s="1069"/>
      <c r="KDE295" s="1069"/>
      <c r="KDF295" s="1069"/>
      <c r="KDG295" s="1069"/>
      <c r="KDH295" s="1069"/>
      <c r="KDI295" s="1069"/>
      <c r="KDJ295" s="1069"/>
      <c r="KDK295" s="1069"/>
      <c r="KDL295" s="1069"/>
      <c r="KDM295" s="1069"/>
      <c r="KDN295" s="1069"/>
      <c r="KDO295" s="1069"/>
      <c r="KDP295" s="1069"/>
      <c r="KDQ295" s="1069"/>
      <c r="KDR295" s="1069"/>
      <c r="KDS295" s="1069"/>
      <c r="KDT295" s="1069"/>
      <c r="KDU295" s="1069"/>
      <c r="KDV295" s="1069"/>
      <c r="KDW295" s="1069"/>
      <c r="KDX295" s="1069"/>
      <c r="KDY295" s="1069"/>
      <c r="KDZ295" s="1069"/>
      <c r="KEA295" s="1069"/>
      <c r="KEB295" s="1069"/>
      <c r="KEC295" s="1069"/>
      <c r="KED295" s="1069"/>
      <c r="KEE295" s="1069"/>
      <c r="KEF295" s="1069"/>
      <c r="KEG295" s="1069"/>
      <c r="KEH295" s="1069"/>
      <c r="KEI295" s="1069"/>
      <c r="KEJ295" s="1069"/>
      <c r="KEK295" s="1069"/>
      <c r="KEL295" s="1069"/>
      <c r="KEM295" s="1069"/>
      <c r="KEN295" s="1069"/>
      <c r="KEO295" s="1069"/>
      <c r="KEP295" s="1069"/>
      <c r="KEQ295" s="1069"/>
      <c r="KER295" s="1069"/>
      <c r="KES295" s="1069"/>
      <c r="KET295" s="1069"/>
      <c r="KEU295" s="1069"/>
      <c r="KEV295" s="1069"/>
      <c r="KEW295" s="1069"/>
      <c r="KEX295" s="1069"/>
      <c r="KEY295" s="1069"/>
      <c r="KEZ295" s="1069"/>
      <c r="KFA295" s="1069"/>
      <c r="KFB295" s="1069"/>
      <c r="KFC295" s="1069"/>
      <c r="KFD295" s="1069"/>
      <c r="KFE295" s="1069"/>
      <c r="KFF295" s="1069"/>
      <c r="KFG295" s="1069"/>
      <c r="KFH295" s="1069"/>
      <c r="KFI295" s="1069"/>
      <c r="KFJ295" s="1069"/>
      <c r="KFK295" s="1069"/>
      <c r="KFL295" s="1069"/>
      <c r="KFM295" s="1069"/>
      <c r="KFN295" s="1069"/>
      <c r="KFO295" s="1069"/>
      <c r="KFP295" s="1069"/>
      <c r="KFQ295" s="1069"/>
      <c r="KFR295" s="1069"/>
      <c r="KFS295" s="1069"/>
      <c r="KFT295" s="1069"/>
      <c r="KFU295" s="1069"/>
      <c r="KFV295" s="1069"/>
      <c r="KFW295" s="1069"/>
      <c r="KFX295" s="1069"/>
      <c r="KFY295" s="1069"/>
      <c r="KFZ295" s="1069"/>
      <c r="KGA295" s="1069"/>
      <c r="KGB295" s="1069"/>
      <c r="KGC295" s="1069"/>
      <c r="KGD295" s="1069"/>
      <c r="KGE295" s="1069"/>
      <c r="KGF295" s="1069"/>
      <c r="KGG295" s="1069"/>
      <c r="KGH295" s="1069"/>
      <c r="KGI295" s="1069"/>
      <c r="KGJ295" s="1069"/>
      <c r="KGK295" s="1069"/>
      <c r="KGL295" s="1069"/>
      <c r="KGM295" s="1069"/>
      <c r="KGN295" s="1069"/>
      <c r="KGO295" s="1069"/>
      <c r="KGP295" s="1069"/>
      <c r="KGQ295" s="1069"/>
      <c r="KGR295" s="1069"/>
      <c r="KGS295" s="1069"/>
      <c r="KGT295" s="1069"/>
      <c r="KGU295" s="1069"/>
      <c r="KGV295" s="1069"/>
      <c r="KGW295" s="1069"/>
      <c r="KGX295" s="1069"/>
      <c r="KGY295" s="1069"/>
      <c r="KGZ295" s="1069"/>
      <c r="KHA295" s="1069"/>
      <c r="KHB295" s="1069"/>
      <c r="KHC295" s="1069"/>
      <c r="KHD295" s="1069"/>
      <c r="KHE295" s="1069"/>
      <c r="KHF295" s="1069"/>
      <c r="KHG295" s="1069"/>
      <c r="KHH295" s="1069"/>
      <c r="KHI295" s="1069"/>
      <c r="KHJ295" s="1069"/>
      <c r="KHK295" s="1069"/>
      <c r="KHL295" s="1069"/>
      <c r="KHM295" s="1069"/>
      <c r="KHN295" s="1069"/>
      <c r="KHO295" s="1069"/>
      <c r="KHP295" s="1069"/>
      <c r="KHQ295" s="1069"/>
      <c r="KHR295" s="1069"/>
      <c r="KHS295" s="1069"/>
      <c r="KHT295" s="1069"/>
      <c r="KHU295" s="1069"/>
      <c r="KHV295" s="1069"/>
      <c r="KHW295" s="1069"/>
      <c r="KHX295" s="1069"/>
      <c r="KHY295" s="1069"/>
      <c r="KHZ295" s="1069"/>
      <c r="KIA295" s="1069"/>
      <c r="KIB295" s="1069"/>
      <c r="KIC295" s="1069"/>
      <c r="KID295" s="1069"/>
      <c r="KIE295" s="1069"/>
      <c r="KIF295" s="1069"/>
      <c r="KIG295" s="1069"/>
      <c r="KIH295" s="1069"/>
      <c r="KII295" s="1069"/>
      <c r="KIJ295" s="1069"/>
      <c r="KIK295" s="1069"/>
      <c r="KIL295" s="1069"/>
      <c r="KIM295" s="1069"/>
      <c r="KIN295" s="1069"/>
      <c r="KIO295" s="1069"/>
      <c r="KIP295" s="1069"/>
      <c r="KIQ295" s="1069"/>
      <c r="KIR295" s="1069"/>
      <c r="KIS295" s="1069"/>
      <c r="KIT295" s="1069"/>
      <c r="KIU295" s="1069"/>
      <c r="KIV295" s="1069"/>
      <c r="KIW295" s="1069"/>
      <c r="KIX295" s="1069"/>
      <c r="KIY295" s="1069"/>
      <c r="KIZ295" s="1069"/>
      <c r="KJA295" s="1069"/>
      <c r="KJB295" s="1069"/>
      <c r="KJC295" s="1069"/>
      <c r="KJD295" s="1069"/>
      <c r="KJE295" s="1069"/>
      <c r="KJF295" s="1069"/>
      <c r="KJG295" s="1069"/>
      <c r="KJH295" s="1069"/>
      <c r="KJI295" s="1069"/>
      <c r="KJJ295" s="1069"/>
      <c r="KJK295" s="1069"/>
      <c r="KJL295" s="1069"/>
      <c r="KJM295" s="1069"/>
      <c r="KJN295" s="1069"/>
      <c r="KJO295" s="1069"/>
      <c r="KJP295" s="1069"/>
      <c r="KJQ295" s="1069"/>
      <c r="KJR295" s="1069"/>
      <c r="KJS295" s="1069"/>
      <c r="KJT295" s="1069"/>
      <c r="KJU295" s="1069"/>
      <c r="KJV295" s="1069"/>
      <c r="KJW295" s="1069"/>
      <c r="KJX295" s="1069"/>
      <c r="KJY295" s="1069"/>
      <c r="KJZ295" s="1069"/>
      <c r="KKA295" s="1069"/>
      <c r="KKB295" s="1069"/>
      <c r="KKC295" s="1069"/>
      <c r="KKD295" s="1069"/>
      <c r="KKE295" s="1069"/>
      <c r="KKF295" s="1069"/>
      <c r="KKG295" s="1069"/>
      <c r="KKH295" s="1069"/>
      <c r="KKI295" s="1069"/>
      <c r="KKJ295" s="1069"/>
      <c r="KKK295" s="1069"/>
      <c r="KKL295" s="1069"/>
      <c r="KKM295" s="1069"/>
      <c r="KKN295" s="1069"/>
      <c r="KKO295" s="1069"/>
      <c r="KKP295" s="1069"/>
      <c r="KKQ295" s="1069"/>
      <c r="KKR295" s="1069"/>
      <c r="KKS295" s="1069"/>
      <c r="KKT295" s="1069"/>
      <c r="KKU295" s="1069"/>
      <c r="KKV295" s="1069"/>
      <c r="KKW295" s="1069"/>
      <c r="KKX295" s="1069"/>
      <c r="KKY295" s="1069"/>
      <c r="KKZ295" s="1069"/>
      <c r="KLA295" s="1069"/>
      <c r="KLB295" s="1069"/>
      <c r="KLC295" s="1069"/>
      <c r="KLD295" s="1069"/>
      <c r="KLE295" s="1069"/>
      <c r="KLF295" s="1069"/>
      <c r="KLG295" s="1069"/>
      <c r="KLH295" s="1069"/>
      <c r="KLI295" s="1069"/>
      <c r="KLJ295" s="1069"/>
      <c r="KLK295" s="1069"/>
      <c r="KLL295" s="1069"/>
      <c r="KLM295" s="1069"/>
      <c r="KLN295" s="1069"/>
      <c r="KLO295" s="1069"/>
      <c r="KLP295" s="1069"/>
      <c r="KLQ295" s="1069"/>
      <c r="KLR295" s="1069"/>
      <c r="KLS295" s="1069"/>
      <c r="KLT295" s="1069"/>
      <c r="KLU295" s="1069"/>
      <c r="KLV295" s="1069"/>
      <c r="KLW295" s="1069"/>
      <c r="KLX295" s="1069"/>
      <c r="KLY295" s="1069"/>
      <c r="KLZ295" s="1069"/>
      <c r="KMA295" s="1069"/>
      <c r="KMB295" s="1069"/>
      <c r="KMC295" s="1069"/>
      <c r="KMD295" s="1069"/>
      <c r="KME295" s="1069"/>
      <c r="KMF295" s="1069"/>
      <c r="KMG295" s="1069"/>
      <c r="KMH295" s="1069"/>
      <c r="KMI295" s="1069"/>
      <c r="KMJ295" s="1069"/>
      <c r="KMK295" s="1069"/>
      <c r="KML295" s="1069"/>
      <c r="KMM295" s="1069"/>
      <c r="KMN295" s="1069"/>
      <c r="KMO295" s="1069"/>
      <c r="KMP295" s="1069"/>
      <c r="KMQ295" s="1069"/>
      <c r="KMR295" s="1069"/>
      <c r="KMS295" s="1069"/>
      <c r="KMT295" s="1069"/>
      <c r="KMU295" s="1069"/>
      <c r="KMV295" s="1069"/>
      <c r="KMW295" s="1069"/>
      <c r="KMX295" s="1069"/>
      <c r="KMY295" s="1069"/>
      <c r="KMZ295" s="1069"/>
      <c r="KNA295" s="1069"/>
      <c r="KNB295" s="1069"/>
      <c r="KNC295" s="1069"/>
      <c r="KND295" s="1069"/>
      <c r="KNE295" s="1069"/>
      <c r="KNF295" s="1069"/>
      <c r="KNG295" s="1069"/>
      <c r="KNH295" s="1069"/>
      <c r="KNI295" s="1069"/>
      <c r="KNJ295" s="1069"/>
      <c r="KNK295" s="1069"/>
      <c r="KNL295" s="1069"/>
      <c r="KNM295" s="1069"/>
      <c r="KNN295" s="1069"/>
      <c r="KNO295" s="1069"/>
      <c r="KNP295" s="1069"/>
      <c r="KNQ295" s="1069"/>
      <c r="KNR295" s="1069"/>
      <c r="KNS295" s="1069"/>
      <c r="KNT295" s="1069"/>
      <c r="KNU295" s="1069"/>
      <c r="KNV295" s="1069"/>
      <c r="KNW295" s="1069"/>
      <c r="KNX295" s="1069"/>
      <c r="KNY295" s="1069"/>
      <c r="KNZ295" s="1069"/>
      <c r="KOA295" s="1069"/>
      <c r="KOB295" s="1069"/>
      <c r="KOC295" s="1069"/>
      <c r="KOD295" s="1069"/>
      <c r="KOE295" s="1069"/>
      <c r="KOF295" s="1069"/>
      <c r="KOG295" s="1069"/>
      <c r="KOH295" s="1069"/>
      <c r="KOI295" s="1069"/>
      <c r="KOJ295" s="1069"/>
      <c r="KOK295" s="1069"/>
      <c r="KOL295" s="1069"/>
      <c r="KOM295" s="1069"/>
      <c r="KON295" s="1069"/>
      <c r="KOO295" s="1069"/>
      <c r="KOP295" s="1069"/>
      <c r="KOQ295" s="1069"/>
      <c r="KOR295" s="1069"/>
      <c r="KOS295" s="1069"/>
      <c r="KOT295" s="1069"/>
      <c r="KOU295" s="1069"/>
      <c r="KOV295" s="1069"/>
      <c r="KOW295" s="1069"/>
      <c r="KOX295" s="1069"/>
      <c r="KOY295" s="1069"/>
      <c r="KOZ295" s="1069"/>
      <c r="KPA295" s="1069"/>
      <c r="KPB295" s="1069"/>
      <c r="KPC295" s="1069"/>
      <c r="KPD295" s="1069"/>
      <c r="KPE295" s="1069"/>
      <c r="KPF295" s="1069"/>
      <c r="KPG295" s="1069"/>
      <c r="KPH295" s="1069"/>
      <c r="KPI295" s="1069"/>
      <c r="KPJ295" s="1069"/>
      <c r="KPK295" s="1069"/>
      <c r="KPL295" s="1069"/>
      <c r="KPM295" s="1069"/>
      <c r="KPN295" s="1069"/>
      <c r="KPO295" s="1069"/>
      <c r="KPP295" s="1069"/>
      <c r="KPQ295" s="1069"/>
      <c r="KPR295" s="1069"/>
      <c r="KPS295" s="1069"/>
      <c r="KPT295" s="1069"/>
      <c r="KPU295" s="1069"/>
      <c r="KPV295" s="1069"/>
      <c r="KPW295" s="1069"/>
      <c r="KPX295" s="1069"/>
      <c r="KPY295" s="1069"/>
      <c r="KPZ295" s="1069"/>
      <c r="KQA295" s="1069"/>
      <c r="KQB295" s="1069"/>
      <c r="KQC295" s="1069"/>
      <c r="KQD295" s="1069"/>
      <c r="KQE295" s="1069"/>
      <c r="KQF295" s="1069"/>
      <c r="KQG295" s="1069"/>
      <c r="KQH295" s="1069"/>
      <c r="KQI295" s="1069"/>
      <c r="KQJ295" s="1069"/>
      <c r="KQK295" s="1069"/>
      <c r="KQL295" s="1069"/>
      <c r="KQM295" s="1069"/>
      <c r="KQN295" s="1069"/>
      <c r="KQO295" s="1069"/>
      <c r="KQP295" s="1069"/>
      <c r="KQQ295" s="1069"/>
      <c r="KQR295" s="1069"/>
      <c r="KQS295" s="1069"/>
      <c r="KQT295" s="1069"/>
      <c r="KQU295" s="1069"/>
      <c r="KQV295" s="1069"/>
      <c r="KQW295" s="1069"/>
      <c r="KQX295" s="1069"/>
      <c r="KQY295" s="1069"/>
      <c r="KQZ295" s="1069"/>
      <c r="KRA295" s="1069"/>
      <c r="KRB295" s="1069"/>
      <c r="KRC295" s="1069"/>
      <c r="KRD295" s="1069"/>
      <c r="KRE295" s="1069"/>
      <c r="KRF295" s="1069"/>
      <c r="KRG295" s="1069"/>
      <c r="KRH295" s="1069"/>
      <c r="KRI295" s="1069"/>
      <c r="KRJ295" s="1069"/>
      <c r="KRK295" s="1069"/>
      <c r="KRL295" s="1069"/>
      <c r="KRM295" s="1069"/>
      <c r="KRN295" s="1069"/>
      <c r="KRO295" s="1069"/>
      <c r="KRP295" s="1069"/>
      <c r="KRQ295" s="1069"/>
      <c r="KRR295" s="1069"/>
      <c r="KRS295" s="1069"/>
      <c r="KRT295" s="1069"/>
      <c r="KRU295" s="1069"/>
      <c r="KRV295" s="1069"/>
      <c r="KRW295" s="1069"/>
      <c r="KRX295" s="1069"/>
      <c r="KRY295" s="1069"/>
      <c r="KRZ295" s="1069"/>
      <c r="KSA295" s="1069"/>
      <c r="KSB295" s="1069"/>
      <c r="KSC295" s="1069"/>
      <c r="KSD295" s="1069"/>
      <c r="KSE295" s="1069"/>
      <c r="KSF295" s="1069"/>
      <c r="KSG295" s="1069"/>
      <c r="KSH295" s="1069"/>
      <c r="KSI295" s="1069"/>
      <c r="KSJ295" s="1069"/>
      <c r="KSK295" s="1069"/>
      <c r="KSL295" s="1069"/>
      <c r="KSM295" s="1069"/>
      <c r="KSN295" s="1069"/>
      <c r="KSO295" s="1069"/>
      <c r="KSP295" s="1069"/>
      <c r="KSQ295" s="1069"/>
      <c r="KSR295" s="1069"/>
      <c r="KSS295" s="1069"/>
      <c r="KST295" s="1069"/>
      <c r="KSU295" s="1069"/>
      <c r="KSV295" s="1069"/>
      <c r="KSW295" s="1069"/>
      <c r="KSX295" s="1069"/>
      <c r="KSY295" s="1069"/>
      <c r="KSZ295" s="1069"/>
      <c r="KTA295" s="1069"/>
      <c r="KTB295" s="1069"/>
      <c r="KTC295" s="1069"/>
      <c r="KTD295" s="1069"/>
      <c r="KTE295" s="1069"/>
      <c r="KTF295" s="1069"/>
      <c r="KTG295" s="1069"/>
      <c r="KTH295" s="1069"/>
      <c r="KTI295" s="1069"/>
      <c r="KTJ295" s="1069"/>
      <c r="KTK295" s="1069"/>
      <c r="KTL295" s="1069"/>
      <c r="KTM295" s="1069"/>
      <c r="KTN295" s="1069"/>
      <c r="KTO295" s="1069"/>
      <c r="KTP295" s="1069"/>
      <c r="KTQ295" s="1069"/>
      <c r="KTR295" s="1069"/>
      <c r="KTS295" s="1069"/>
      <c r="KTT295" s="1069"/>
      <c r="KTU295" s="1069"/>
      <c r="KTV295" s="1069"/>
      <c r="KTW295" s="1069"/>
      <c r="KTX295" s="1069"/>
      <c r="KTY295" s="1069"/>
      <c r="KTZ295" s="1069"/>
      <c r="KUA295" s="1069"/>
      <c r="KUB295" s="1069"/>
      <c r="KUC295" s="1069"/>
      <c r="KUD295" s="1069"/>
      <c r="KUE295" s="1069"/>
      <c r="KUF295" s="1069"/>
      <c r="KUG295" s="1069"/>
      <c r="KUH295" s="1069"/>
      <c r="KUI295" s="1069"/>
      <c r="KUJ295" s="1069"/>
      <c r="KUK295" s="1069"/>
      <c r="KUL295" s="1069"/>
      <c r="KUM295" s="1069"/>
      <c r="KUN295" s="1069"/>
      <c r="KUO295" s="1069"/>
      <c r="KUP295" s="1069"/>
      <c r="KUQ295" s="1069"/>
      <c r="KUR295" s="1069"/>
      <c r="KUS295" s="1069"/>
      <c r="KUT295" s="1069"/>
      <c r="KUU295" s="1069"/>
      <c r="KUV295" s="1069"/>
      <c r="KUW295" s="1069"/>
      <c r="KUX295" s="1069"/>
      <c r="KUY295" s="1069"/>
      <c r="KUZ295" s="1069"/>
      <c r="KVA295" s="1069"/>
      <c r="KVB295" s="1069"/>
      <c r="KVC295" s="1069"/>
      <c r="KVD295" s="1069"/>
      <c r="KVE295" s="1069"/>
      <c r="KVF295" s="1069"/>
      <c r="KVG295" s="1069"/>
      <c r="KVH295" s="1069"/>
      <c r="KVI295" s="1069"/>
      <c r="KVJ295" s="1069"/>
      <c r="KVK295" s="1069"/>
      <c r="KVL295" s="1069"/>
      <c r="KVM295" s="1069"/>
      <c r="KVN295" s="1069"/>
      <c r="KVO295" s="1069"/>
      <c r="KVP295" s="1069"/>
      <c r="KVQ295" s="1069"/>
      <c r="KVR295" s="1069"/>
      <c r="KVS295" s="1069"/>
      <c r="KVT295" s="1069"/>
      <c r="KVU295" s="1069"/>
      <c r="KVV295" s="1069"/>
      <c r="KVW295" s="1069"/>
      <c r="KVX295" s="1069"/>
      <c r="KVY295" s="1069"/>
      <c r="KVZ295" s="1069"/>
      <c r="KWA295" s="1069"/>
      <c r="KWB295" s="1069"/>
      <c r="KWC295" s="1069"/>
      <c r="KWD295" s="1069"/>
      <c r="KWE295" s="1069"/>
      <c r="KWF295" s="1069"/>
      <c r="KWG295" s="1069"/>
      <c r="KWH295" s="1069"/>
      <c r="KWI295" s="1069"/>
      <c r="KWJ295" s="1069"/>
      <c r="KWK295" s="1069"/>
      <c r="KWL295" s="1069"/>
      <c r="KWM295" s="1069"/>
      <c r="KWN295" s="1069"/>
      <c r="KWO295" s="1069"/>
      <c r="KWP295" s="1069"/>
      <c r="KWQ295" s="1069"/>
      <c r="KWR295" s="1069"/>
      <c r="KWS295" s="1069"/>
      <c r="KWT295" s="1069"/>
      <c r="KWU295" s="1069"/>
      <c r="KWV295" s="1069"/>
      <c r="KWW295" s="1069"/>
      <c r="KWX295" s="1069"/>
      <c r="KWY295" s="1069"/>
      <c r="KWZ295" s="1069"/>
      <c r="KXA295" s="1069"/>
      <c r="KXB295" s="1069"/>
      <c r="KXC295" s="1069"/>
      <c r="KXD295" s="1069"/>
      <c r="KXE295" s="1069"/>
      <c r="KXF295" s="1069"/>
      <c r="KXG295" s="1069"/>
      <c r="KXH295" s="1069"/>
      <c r="KXI295" s="1069"/>
      <c r="KXJ295" s="1069"/>
      <c r="KXK295" s="1069"/>
      <c r="KXL295" s="1069"/>
      <c r="KXM295" s="1069"/>
      <c r="KXN295" s="1069"/>
      <c r="KXO295" s="1069"/>
      <c r="KXP295" s="1069"/>
      <c r="KXQ295" s="1069"/>
      <c r="KXR295" s="1069"/>
      <c r="KXS295" s="1069"/>
      <c r="KXT295" s="1069"/>
      <c r="KXU295" s="1069"/>
      <c r="KXV295" s="1069"/>
      <c r="KXW295" s="1069"/>
      <c r="KXX295" s="1069"/>
      <c r="KXY295" s="1069"/>
      <c r="KXZ295" s="1069"/>
      <c r="KYA295" s="1069"/>
      <c r="KYB295" s="1069"/>
      <c r="KYC295" s="1069"/>
      <c r="KYD295" s="1069"/>
      <c r="KYE295" s="1069"/>
      <c r="KYF295" s="1069"/>
      <c r="KYG295" s="1069"/>
      <c r="KYH295" s="1069"/>
      <c r="KYI295" s="1069"/>
      <c r="KYJ295" s="1069"/>
      <c r="KYK295" s="1069"/>
      <c r="KYL295" s="1069"/>
      <c r="KYM295" s="1069"/>
      <c r="KYN295" s="1069"/>
      <c r="KYO295" s="1069"/>
      <c r="KYP295" s="1069"/>
      <c r="KYQ295" s="1069"/>
      <c r="KYR295" s="1069"/>
      <c r="KYS295" s="1069"/>
      <c r="KYT295" s="1069"/>
      <c r="KYU295" s="1069"/>
      <c r="KYV295" s="1069"/>
      <c r="KYW295" s="1069"/>
      <c r="KYX295" s="1069"/>
      <c r="KYY295" s="1069"/>
      <c r="KYZ295" s="1069"/>
      <c r="KZA295" s="1069"/>
      <c r="KZB295" s="1069"/>
      <c r="KZC295" s="1069"/>
      <c r="KZD295" s="1069"/>
      <c r="KZE295" s="1069"/>
      <c r="KZF295" s="1069"/>
      <c r="KZG295" s="1069"/>
      <c r="KZH295" s="1069"/>
      <c r="KZI295" s="1069"/>
      <c r="KZJ295" s="1069"/>
      <c r="KZK295" s="1069"/>
      <c r="KZL295" s="1069"/>
      <c r="KZM295" s="1069"/>
      <c r="KZN295" s="1069"/>
      <c r="KZO295" s="1069"/>
      <c r="KZP295" s="1069"/>
      <c r="KZQ295" s="1069"/>
      <c r="KZR295" s="1069"/>
      <c r="KZS295" s="1069"/>
      <c r="KZT295" s="1069"/>
      <c r="KZU295" s="1069"/>
      <c r="KZV295" s="1069"/>
      <c r="KZW295" s="1069"/>
      <c r="KZX295" s="1069"/>
      <c r="KZY295" s="1069"/>
      <c r="KZZ295" s="1069"/>
      <c r="LAA295" s="1069"/>
      <c r="LAB295" s="1069"/>
      <c r="LAC295" s="1069"/>
      <c r="LAD295" s="1069"/>
      <c r="LAE295" s="1069"/>
      <c r="LAF295" s="1069"/>
      <c r="LAG295" s="1069"/>
      <c r="LAH295" s="1069"/>
      <c r="LAI295" s="1069"/>
      <c r="LAJ295" s="1069"/>
      <c r="LAK295" s="1069"/>
      <c r="LAL295" s="1069"/>
      <c r="LAM295" s="1069"/>
      <c r="LAN295" s="1069"/>
      <c r="LAO295" s="1069"/>
      <c r="LAP295" s="1069"/>
      <c r="LAQ295" s="1069"/>
      <c r="LAR295" s="1069"/>
      <c r="LAS295" s="1069"/>
      <c r="LAT295" s="1069"/>
      <c r="LAU295" s="1069"/>
      <c r="LAV295" s="1069"/>
      <c r="LAW295" s="1069"/>
      <c r="LAX295" s="1069"/>
      <c r="LAY295" s="1069"/>
      <c r="LAZ295" s="1069"/>
      <c r="LBA295" s="1069"/>
      <c r="LBB295" s="1069"/>
      <c r="LBC295" s="1069"/>
      <c r="LBD295" s="1069"/>
      <c r="LBE295" s="1069"/>
      <c r="LBF295" s="1069"/>
      <c r="LBG295" s="1069"/>
      <c r="LBH295" s="1069"/>
      <c r="LBI295" s="1069"/>
      <c r="LBJ295" s="1069"/>
      <c r="LBK295" s="1069"/>
      <c r="LBL295" s="1069"/>
      <c r="LBM295" s="1069"/>
      <c r="LBN295" s="1069"/>
      <c r="LBO295" s="1069"/>
      <c r="LBP295" s="1069"/>
      <c r="LBQ295" s="1069"/>
      <c r="LBR295" s="1069"/>
      <c r="LBS295" s="1069"/>
      <c r="LBT295" s="1069"/>
      <c r="LBU295" s="1069"/>
      <c r="LBV295" s="1069"/>
      <c r="LBW295" s="1069"/>
      <c r="LBX295" s="1069"/>
      <c r="LBY295" s="1069"/>
      <c r="LBZ295" s="1069"/>
      <c r="LCA295" s="1069"/>
      <c r="LCB295" s="1069"/>
      <c r="LCC295" s="1069"/>
      <c r="LCD295" s="1069"/>
      <c r="LCE295" s="1069"/>
      <c r="LCF295" s="1069"/>
      <c r="LCG295" s="1069"/>
      <c r="LCH295" s="1069"/>
      <c r="LCI295" s="1069"/>
      <c r="LCJ295" s="1069"/>
      <c r="LCK295" s="1069"/>
      <c r="LCL295" s="1069"/>
      <c r="LCM295" s="1069"/>
      <c r="LCN295" s="1069"/>
      <c r="LCO295" s="1069"/>
      <c r="LCP295" s="1069"/>
      <c r="LCQ295" s="1069"/>
      <c r="LCR295" s="1069"/>
      <c r="LCS295" s="1069"/>
      <c r="LCT295" s="1069"/>
      <c r="LCU295" s="1069"/>
      <c r="LCV295" s="1069"/>
      <c r="LCW295" s="1069"/>
      <c r="LCX295" s="1069"/>
      <c r="LCY295" s="1069"/>
      <c r="LCZ295" s="1069"/>
      <c r="LDA295" s="1069"/>
      <c r="LDB295" s="1069"/>
      <c r="LDC295" s="1069"/>
      <c r="LDD295" s="1069"/>
      <c r="LDE295" s="1069"/>
      <c r="LDF295" s="1069"/>
      <c r="LDG295" s="1069"/>
      <c r="LDH295" s="1069"/>
      <c r="LDI295" s="1069"/>
      <c r="LDJ295" s="1069"/>
      <c r="LDK295" s="1069"/>
      <c r="LDL295" s="1069"/>
      <c r="LDM295" s="1069"/>
      <c r="LDN295" s="1069"/>
      <c r="LDO295" s="1069"/>
      <c r="LDP295" s="1069"/>
      <c r="LDQ295" s="1069"/>
      <c r="LDR295" s="1069"/>
      <c r="LDS295" s="1069"/>
      <c r="LDT295" s="1069"/>
      <c r="LDU295" s="1069"/>
      <c r="LDV295" s="1069"/>
      <c r="LDW295" s="1069"/>
      <c r="LDX295" s="1069"/>
      <c r="LDY295" s="1069"/>
      <c r="LDZ295" s="1069"/>
      <c r="LEA295" s="1069"/>
      <c r="LEB295" s="1069"/>
      <c r="LEC295" s="1069"/>
      <c r="LED295" s="1069"/>
      <c r="LEE295" s="1069"/>
      <c r="LEF295" s="1069"/>
      <c r="LEG295" s="1069"/>
      <c r="LEH295" s="1069"/>
      <c r="LEI295" s="1069"/>
      <c r="LEJ295" s="1069"/>
      <c r="LEK295" s="1069"/>
      <c r="LEL295" s="1069"/>
      <c r="LEM295" s="1069"/>
      <c r="LEN295" s="1069"/>
      <c r="LEO295" s="1069"/>
      <c r="LEP295" s="1069"/>
      <c r="LEQ295" s="1069"/>
      <c r="LER295" s="1069"/>
      <c r="LES295" s="1069"/>
      <c r="LET295" s="1069"/>
      <c r="LEU295" s="1069"/>
      <c r="LEV295" s="1069"/>
      <c r="LEW295" s="1069"/>
      <c r="LEX295" s="1069"/>
      <c r="LEY295" s="1069"/>
      <c r="LEZ295" s="1069"/>
      <c r="LFA295" s="1069"/>
      <c r="LFB295" s="1069"/>
      <c r="LFC295" s="1069"/>
      <c r="LFD295" s="1069"/>
      <c r="LFE295" s="1069"/>
      <c r="LFF295" s="1069"/>
      <c r="LFG295" s="1069"/>
      <c r="LFH295" s="1069"/>
      <c r="LFI295" s="1069"/>
      <c r="LFJ295" s="1069"/>
      <c r="LFK295" s="1069"/>
      <c r="LFL295" s="1069"/>
      <c r="LFM295" s="1069"/>
      <c r="LFN295" s="1069"/>
      <c r="LFO295" s="1069"/>
      <c r="LFP295" s="1069"/>
      <c r="LFQ295" s="1069"/>
      <c r="LFR295" s="1069"/>
      <c r="LFS295" s="1069"/>
      <c r="LFT295" s="1069"/>
      <c r="LFU295" s="1069"/>
      <c r="LFV295" s="1069"/>
      <c r="LFW295" s="1069"/>
      <c r="LFX295" s="1069"/>
      <c r="LFY295" s="1069"/>
      <c r="LFZ295" s="1069"/>
      <c r="LGA295" s="1069"/>
      <c r="LGB295" s="1069"/>
      <c r="LGC295" s="1069"/>
      <c r="LGD295" s="1069"/>
      <c r="LGE295" s="1069"/>
      <c r="LGF295" s="1069"/>
      <c r="LGG295" s="1069"/>
      <c r="LGH295" s="1069"/>
      <c r="LGI295" s="1069"/>
      <c r="LGJ295" s="1069"/>
      <c r="LGK295" s="1069"/>
      <c r="LGL295" s="1069"/>
      <c r="LGM295" s="1069"/>
      <c r="LGN295" s="1069"/>
      <c r="LGO295" s="1069"/>
      <c r="LGP295" s="1069"/>
      <c r="LGQ295" s="1069"/>
      <c r="LGR295" s="1069"/>
      <c r="LGS295" s="1069"/>
      <c r="LGT295" s="1069"/>
      <c r="LGU295" s="1069"/>
      <c r="LGV295" s="1069"/>
      <c r="LGW295" s="1069"/>
      <c r="LGX295" s="1069"/>
      <c r="LGY295" s="1069"/>
      <c r="LGZ295" s="1069"/>
      <c r="LHA295" s="1069"/>
      <c r="LHB295" s="1069"/>
      <c r="LHC295" s="1069"/>
      <c r="LHD295" s="1069"/>
      <c r="LHE295" s="1069"/>
      <c r="LHF295" s="1069"/>
      <c r="LHG295" s="1069"/>
      <c r="LHH295" s="1069"/>
      <c r="LHI295" s="1069"/>
      <c r="LHJ295" s="1069"/>
      <c r="LHK295" s="1069"/>
      <c r="LHL295" s="1069"/>
      <c r="LHM295" s="1069"/>
      <c r="LHN295" s="1069"/>
      <c r="LHO295" s="1069"/>
      <c r="LHP295" s="1069"/>
      <c r="LHQ295" s="1069"/>
      <c r="LHR295" s="1069"/>
      <c r="LHS295" s="1069"/>
      <c r="LHT295" s="1069"/>
      <c r="LHU295" s="1069"/>
      <c r="LHV295" s="1069"/>
      <c r="LHW295" s="1069"/>
      <c r="LHX295" s="1069"/>
      <c r="LHY295" s="1069"/>
      <c r="LHZ295" s="1069"/>
      <c r="LIA295" s="1069"/>
      <c r="LIB295" s="1069"/>
      <c r="LIC295" s="1069"/>
      <c r="LID295" s="1069"/>
      <c r="LIE295" s="1069"/>
      <c r="LIF295" s="1069"/>
      <c r="LIG295" s="1069"/>
      <c r="LIH295" s="1069"/>
      <c r="LII295" s="1069"/>
      <c r="LIJ295" s="1069"/>
      <c r="LIK295" s="1069"/>
      <c r="LIL295" s="1069"/>
      <c r="LIM295" s="1069"/>
      <c r="LIN295" s="1069"/>
      <c r="LIO295" s="1069"/>
      <c r="LIP295" s="1069"/>
      <c r="LIQ295" s="1069"/>
      <c r="LIR295" s="1069"/>
      <c r="LIS295" s="1069"/>
      <c r="LIT295" s="1069"/>
      <c r="LIU295" s="1069"/>
      <c r="LIV295" s="1069"/>
      <c r="LIW295" s="1069"/>
      <c r="LIX295" s="1069"/>
      <c r="LIY295" s="1069"/>
      <c r="LIZ295" s="1069"/>
      <c r="LJA295" s="1069"/>
      <c r="LJB295" s="1069"/>
      <c r="LJC295" s="1069"/>
      <c r="LJD295" s="1069"/>
      <c r="LJE295" s="1069"/>
      <c r="LJF295" s="1069"/>
      <c r="LJG295" s="1069"/>
      <c r="LJH295" s="1069"/>
      <c r="LJI295" s="1069"/>
      <c r="LJJ295" s="1069"/>
      <c r="LJK295" s="1069"/>
      <c r="LJL295" s="1069"/>
      <c r="LJM295" s="1069"/>
      <c r="LJN295" s="1069"/>
      <c r="LJO295" s="1069"/>
      <c r="LJP295" s="1069"/>
      <c r="LJQ295" s="1069"/>
      <c r="LJR295" s="1069"/>
      <c r="LJS295" s="1069"/>
      <c r="LJT295" s="1069"/>
      <c r="LJU295" s="1069"/>
      <c r="LJV295" s="1069"/>
      <c r="LJW295" s="1069"/>
      <c r="LJX295" s="1069"/>
      <c r="LJY295" s="1069"/>
      <c r="LJZ295" s="1069"/>
      <c r="LKA295" s="1069"/>
      <c r="LKB295" s="1069"/>
      <c r="LKC295" s="1069"/>
      <c r="LKD295" s="1069"/>
      <c r="LKE295" s="1069"/>
      <c r="LKF295" s="1069"/>
      <c r="LKG295" s="1069"/>
      <c r="LKH295" s="1069"/>
      <c r="LKI295" s="1069"/>
      <c r="LKJ295" s="1069"/>
      <c r="LKK295" s="1069"/>
      <c r="LKL295" s="1069"/>
      <c r="LKM295" s="1069"/>
      <c r="LKN295" s="1069"/>
      <c r="LKO295" s="1069"/>
      <c r="LKP295" s="1069"/>
      <c r="LKQ295" s="1069"/>
      <c r="LKR295" s="1069"/>
      <c r="LKS295" s="1069"/>
      <c r="LKT295" s="1069"/>
      <c r="LKU295" s="1069"/>
      <c r="LKV295" s="1069"/>
      <c r="LKW295" s="1069"/>
      <c r="LKX295" s="1069"/>
      <c r="LKY295" s="1069"/>
      <c r="LKZ295" s="1069"/>
      <c r="LLA295" s="1069"/>
      <c r="LLB295" s="1069"/>
      <c r="LLC295" s="1069"/>
      <c r="LLD295" s="1069"/>
      <c r="LLE295" s="1069"/>
      <c r="LLF295" s="1069"/>
      <c r="LLG295" s="1069"/>
      <c r="LLH295" s="1069"/>
      <c r="LLI295" s="1069"/>
      <c r="LLJ295" s="1069"/>
      <c r="LLK295" s="1069"/>
      <c r="LLL295" s="1069"/>
      <c r="LLM295" s="1069"/>
      <c r="LLN295" s="1069"/>
      <c r="LLO295" s="1069"/>
      <c r="LLP295" s="1069"/>
      <c r="LLQ295" s="1069"/>
      <c r="LLR295" s="1069"/>
      <c r="LLS295" s="1069"/>
      <c r="LLT295" s="1069"/>
      <c r="LLU295" s="1069"/>
      <c r="LLV295" s="1069"/>
      <c r="LLW295" s="1069"/>
      <c r="LLX295" s="1069"/>
      <c r="LLY295" s="1069"/>
      <c r="LLZ295" s="1069"/>
      <c r="LMA295" s="1069"/>
      <c r="LMB295" s="1069"/>
      <c r="LMC295" s="1069"/>
      <c r="LMD295" s="1069"/>
      <c r="LME295" s="1069"/>
      <c r="LMF295" s="1069"/>
      <c r="LMG295" s="1069"/>
      <c r="LMH295" s="1069"/>
      <c r="LMI295" s="1069"/>
      <c r="LMJ295" s="1069"/>
      <c r="LMK295" s="1069"/>
      <c r="LML295" s="1069"/>
      <c r="LMM295" s="1069"/>
      <c r="LMN295" s="1069"/>
      <c r="LMO295" s="1069"/>
      <c r="LMP295" s="1069"/>
      <c r="LMQ295" s="1069"/>
      <c r="LMR295" s="1069"/>
      <c r="LMS295" s="1069"/>
      <c r="LMT295" s="1069"/>
      <c r="LMU295" s="1069"/>
      <c r="LMV295" s="1069"/>
      <c r="LMW295" s="1069"/>
      <c r="LMX295" s="1069"/>
      <c r="LMY295" s="1069"/>
      <c r="LMZ295" s="1069"/>
      <c r="LNA295" s="1069"/>
      <c r="LNB295" s="1069"/>
      <c r="LNC295" s="1069"/>
      <c r="LND295" s="1069"/>
      <c r="LNE295" s="1069"/>
      <c r="LNF295" s="1069"/>
      <c r="LNG295" s="1069"/>
      <c r="LNH295" s="1069"/>
      <c r="LNI295" s="1069"/>
      <c r="LNJ295" s="1069"/>
      <c r="LNK295" s="1069"/>
      <c r="LNL295" s="1069"/>
      <c r="LNM295" s="1069"/>
      <c r="LNN295" s="1069"/>
      <c r="LNO295" s="1069"/>
      <c r="LNP295" s="1069"/>
      <c r="LNQ295" s="1069"/>
      <c r="LNR295" s="1069"/>
      <c r="LNS295" s="1069"/>
      <c r="LNT295" s="1069"/>
      <c r="LNU295" s="1069"/>
      <c r="LNV295" s="1069"/>
      <c r="LNW295" s="1069"/>
      <c r="LNX295" s="1069"/>
      <c r="LNY295" s="1069"/>
      <c r="LNZ295" s="1069"/>
      <c r="LOA295" s="1069"/>
      <c r="LOB295" s="1069"/>
      <c r="LOC295" s="1069"/>
      <c r="LOD295" s="1069"/>
      <c r="LOE295" s="1069"/>
      <c r="LOF295" s="1069"/>
      <c r="LOG295" s="1069"/>
      <c r="LOH295" s="1069"/>
      <c r="LOI295" s="1069"/>
      <c r="LOJ295" s="1069"/>
      <c r="LOK295" s="1069"/>
      <c r="LOL295" s="1069"/>
      <c r="LOM295" s="1069"/>
      <c r="LON295" s="1069"/>
      <c r="LOO295" s="1069"/>
      <c r="LOP295" s="1069"/>
      <c r="LOQ295" s="1069"/>
      <c r="LOR295" s="1069"/>
      <c r="LOS295" s="1069"/>
      <c r="LOT295" s="1069"/>
      <c r="LOU295" s="1069"/>
      <c r="LOV295" s="1069"/>
      <c r="LOW295" s="1069"/>
      <c r="LOX295" s="1069"/>
      <c r="LOY295" s="1069"/>
      <c r="LOZ295" s="1069"/>
      <c r="LPA295" s="1069"/>
      <c r="LPB295" s="1069"/>
      <c r="LPC295" s="1069"/>
      <c r="LPD295" s="1069"/>
      <c r="LPE295" s="1069"/>
      <c r="LPF295" s="1069"/>
      <c r="LPG295" s="1069"/>
      <c r="LPH295" s="1069"/>
      <c r="LPI295" s="1069"/>
      <c r="LPJ295" s="1069"/>
      <c r="LPK295" s="1069"/>
      <c r="LPL295" s="1069"/>
      <c r="LPM295" s="1069"/>
      <c r="LPN295" s="1069"/>
      <c r="LPO295" s="1069"/>
      <c r="LPP295" s="1069"/>
      <c r="LPQ295" s="1069"/>
      <c r="LPR295" s="1069"/>
      <c r="LPS295" s="1069"/>
      <c r="LPT295" s="1069"/>
      <c r="LPU295" s="1069"/>
      <c r="LPV295" s="1069"/>
      <c r="LPW295" s="1069"/>
      <c r="LPX295" s="1069"/>
      <c r="LPY295" s="1069"/>
      <c r="LPZ295" s="1069"/>
      <c r="LQA295" s="1069"/>
      <c r="LQB295" s="1069"/>
      <c r="LQC295" s="1069"/>
      <c r="LQD295" s="1069"/>
      <c r="LQE295" s="1069"/>
      <c r="LQF295" s="1069"/>
      <c r="LQG295" s="1069"/>
      <c r="LQH295" s="1069"/>
      <c r="LQI295" s="1069"/>
      <c r="LQJ295" s="1069"/>
      <c r="LQK295" s="1069"/>
      <c r="LQL295" s="1069"/>
      <c r="LQM295" s="1069"/>
      <c r="LQN295" s="1069"/>
      <c r="LQO295" s="1069"/>
      <c r="LQP295" s="1069"/>
      <c r="LQQ295" s="1069"/>
      <c r="LQR295" s="1069"/>
      <c r="LQS295" s="1069"/>
      <c r="LQT295" s="1069"/>
      <c r="LQU295" s="1069"/>
      <c r="LQV295" s="1069"/>
      <c r="LQW295" s="1069"/>
      <c r="LQX295" s="1069"/>
      <c r="LQY295" s="1069"/>
      <c r="LQZ295" s="1069"/>
      <c r="LRA295" s="1069"/>
      <c r="LRB295" s="1069"/>
      <c r="LRC295" s="1069"/>
      <c r="LRD295" s="1069"/>
      <c r="LRE295" s="1069"/>
      <c r="LRF295" s="1069"/>
      <c r="LRG295" s="1069"/>
      <c r="LRH295" s="1069"/>
      <c r="LRI295" s="1069"/>
      <c r="LRJ295" s="1069"/>
      <c r="LRK295" s="1069"/>
      <c r="LRL295" s="1069"/>
      <c r="LRM295" s="1069"/>
      <c r="LRN295" s="1069"/>
      <c r="LRO295" s="1069"/>
      <c r="LRP295" s="1069"/>
      <c r="LRQ295" s="1069"/>
      <c r="LRR295" s="1069"/>
      <c r="LRS295" s="1069"/>
      <c r="LRT295" s="1069"/>
      <c r="LRU295" s="1069"/>
      <c r="LRV295" s="1069"/>
      <c r="LRW295" s="1069"/>
      <c r="LRX295" s="1069"/>
      <c r="LRY295" s="1069"/>
      <c r="LRZ295" s="1069"/>
      <c r="LSA295" s="1069"/>
      <c r="LSB295" s="1069"/>
      <c r="LSC295" s="1069"/>
      <c r="LSD295" s="1069"/>
      <c r="LSE295" s="1069"/>
      <c r="LSF295" s="1069"/>
      <c r="LSG295" s="1069"/>
      <c r="LSH295" s="1069"/>
      <c r="LSI295" s="1069"/>
      <c r="LSJ295" s="1069"/>
      <c r="LSK295" s="1069"/>
      <c r="LSL295" s="1069"/>
      <c r="LSM295" s="1069"/>
      <c r="LSN295" s="1069"/>
      <c r="LSO295" s="1069"/>
      <c r="LSP295" s="1069"/>
      <c r="LSQ295" s="1069"/>
      <c r="LSR295" s="1069"/>
      <c r="LSS295" s="1069"/>
      <c r="LST295" s="1069"/>
      <c r="LSU295" s="1069"/>
      <c r="LSV295" s="1069"/>
      <c r="LSW295" s="1069"/>
      <c r="LSX295" s="1069"/>
      <c r="LSY295" s="1069"/>
      <c r="LSZ295" s="1069"/>
      <c r="LTA295" s="1069"/>
      <c r="LTB295" s="1069"/>
      <c r="LTC295" s="1069"/>
      <c r="LTD295" s="1069"/>
      <c r="LTE295" s="1069"/>
      <c r="LTF295" s="1069"/>
      <c r="LTG295" s="1069"/>
      <c r="LTH295" s="1069"/>
      <c r="LTI295" s="1069"/>
      <c r="LTJ295" s="1069"/>
      <c r="LTK295" s="1069"/>
      <c r="LTL295" s="1069"/>
      <c r="LTM295" s="1069"/>
      <c r="LTN295" s="1069"/>
      <c r="LTO295" s="1069"/>
      <c r="LTP295" s="1069"/>
      <c r="LTQ295" s="1069"/>
      <c r="LTR295" s="1069"/>
      <c r="LTS295" s="1069"/>
      <c r="LTT295" s="1069"/>
      <c r="LTU295" s="1069"/>
      <c r="LTV295" s="1069"/>
      <c r="LTW295" s="1069"/>
      <c r="LTX295" s="1069"/>
      <c r="LTY295" s="1069"/>
      <c r="LTZ295" s="1069"/>
      <c r="LUA295" s="1069"/>
      <c r="LUB295" s="1069"/>
      <c r="LUC295" s="1069"/>
      <c r="LUD295" s="1069"/>
      <c r="LUE295" s="1069"/>
      <c r="LUF295" s="1069"/>
      <c r="LUG295" s="1069"/>
      <c r="LUH295" s="1069"/>
      <c r="LUI295" s="1069"/>
      <c r="LUJ295" s="1069"/>
      <c r="LUK295" s="1069"/>
      <c r="LUL295" s="1069"/>
      <c r="LUM295" s="1069"/>
      <c r="LUN295" s="1069"/>
      <c r="LUO295" s="1069"/>
      <c r="LUP295" s="1069"/>
      <c r="LUQ295" s="1069"/>
      <c r="LUR295" s="1069"/>
      <c r="LUS295" s="1069"/>
      <c r="LUT295" s="1069"/>
      <c r="LUU295" s="1069"/>
      <c r="LUV295" s="1069"/>
      <c r="LUW295" s="1069"/>
      <c r="LUX295" s="1069"/>
      <c r="LUY295" s="1069"/>
      <c r="LUZ295" s="1069"/>
      <c r="LVA295" s="1069"/>
      <c r="LVB295" s="1069"/>
      <c r="LVC295" s="1069"/>
      <c r="LVD295" s="1069"/>
      <c r="LVE295" s="1069"/>
      <c r="LVF295" s="1069"/>
      <c r="LVG295" s="1069"/>
      <c r="LVH295" s="1069"/>
      <c r="LVI295" s="1069"/>
      <c r="LVJ295" s="1069"/>
      <c r="LVK295" s="1069"/>
      <c r="LVL295" s="1069"/>
      <c r="LVM295" s="1069"/>
      <c r="LVN295" s="1069"/>
      <c r="LVO295" s="1069"/>
      <c r="LVP295" s="1069"/>
      <c r="LVQ295" s="1069"/>
      <c r="LVR295" s="1069"/>
      <c r="LVS295" s="1069"/>
      <c r="LVT295" s="1069"/>
      <c r="LVU295" s="1069"/>
      <c r="LVV295" s="1069"/>
      <c r="LVW295" s="1069"/>
      <c r="LVX295" s="1069"/>
      <c r="LVY295" s="1069"/>
      <c r="LVZ295" s="1069"/>
      <c r="LWA295" s="1069"/>
      <c r="LWB295" s="1069"/>
      <c r="LWC295" s="1069"/>
      <c r="LWD295" s="1069"/>
      <c r="LWE295" s="1069"/>
      <c r="LWF295" s="1069"/>
      <c r="LWG295" s="1069"/>
      <c r="LWH295" s="1069"/>
      <c r="LWI295" s="1069"/>
      <c r="LWJ295" s="1069"/>
      <c r="LWK295" s="1069"/>
      <c r="LWL295" s="1069"/>
      <c r="LWM295" s="1069"/>
      <c r="LWN295" s="1069"/>
      <c r="LWO295" s="1069"/>
      <c r="LWP295" s="1069"/>
      <c r="LWQ295" s="1069"/>
      <c r="LWR295" s="1069"/>
      <c r="LWS295" s="1069"/>
      <c r="LWT295" s="1069"/>
      <c r="LWU295" s="1069"/>
      <c r="LWV295" s="1069"/>
      <c r="LWW295" s="1069"/>
      <c r="LWX295" s="1069"/>
      <c r="LWY295" s="1069"/>
      <c r="LWZ295" s="1069"/>
      <c r="LXA295" s="1069"/>
      <c r="LXB295" s="1069"/>
      <c r="LXC295" s="1069"/>
      <c r="LXD295" s="1069"/>
      <c r="LXE295" s="1069"/>
      <c r="LXF295" s="1069"/>
      <c r="LXG295" s="1069"/>
      <c r="LXH295" s="1069"/>
      <c r="LXI295" s="1069"/>
      <c r="LXJ295" s="1069"/>
      <c r="LXK295" s="1069"/>
      <c r="LXL295" s="1069"/>
      <c r="LXM295" s="1069"/>
      <c r="LXN295" s="1069"/>
      <c r="LXO295" s="1069"/>
      <c r="LXP295" s="1069"/>
      <c r="LXQ295" s="1069"/>
      <c r="LXR295" s="1069"/>
      <c r="LXS295" s="1069"/>
      <c r="LXT295" s="1069"/>
      <c r="LXU295" s="1069"/>
      <c r="LXV295" s="1069"/>
      <c r="LXW295" s="1069"/>
      <c r="LXX295" s="1069"/>
      <c r="LXY295" s="1069"/>
      <c r="LXZ295" s="1069"/>
      <c r="LYA295" s="1069"/>
      <c r="LYB295" s="1069"/>
      <c r="LYC295" s="1069"/>
      <c r="LYD295" s="1069"/>
      <c r="LYE295" s="1069"/>
      <c r="LYF295" s="1069"/>
      <c r="LYG295" s="1069"/>
      <c r="LYH295" s="1069"/>
      <c r="LYI295" s="1069"/>
      <c r="LYJ295" s="1069"/>
      <c r="LYK295" s="1069"/>
      <c r="LYL295" s="1069"/>
      <c r="LYM295" s="1069"/>
      <c r="LYN295" s="1069"/>
      <c r="LYO295" s="1069"/>
      <c r="LYP295" s="1069"/>
      <c r="LYQ295" s="1069"/>
      <c r="LYR295" s="1069"/>
      <c r="LYS295" s="1069"/>
      <c r="LYT295" s="1069"/>
      <c r="LYU295" s="1069"/>
      <c r="LYV295" s="1069"/>
      <c r="LYW295" s="1069"/>
      <c r="LYX295" s="1069"/>
      <c r="LYY295" s="1069"/>
      <c r="LYZ295" s="1069"/>
      <c r="LZA295" s="1069"/>
      <c r="LZB295" s="1069"/>
      <c r="LZC295" s="1069"/>
      <c r="LZD295" s="1069"/>
      <c r="LZE295" s="1069"/>
      <c r="LZF295" s="1069"/>
      <c r="LZG295" s="1069"/>
      <c r="LZH295" s="1069"/>
      <c r="LZI295" s="1069"/>
      <c r="LZJ295" s="1069"/>
      <c r="LZK295" s="1069"/>
      <c r="LZL295" s="1069"/>
      <c r="LZM295" s="1069"/>
      <c r="LZN295" s="1069"/>
      <c r="LZO295" s="1069"/>
      <c r="LZP295" s="1069"/>
      <c r="LZQ295" s="1069"/>
      <c r="LZR295" s="1069"/>
      <c r="LZS295" s="1069"/>
      <c r="LZT295" s="1069"/>
      <c r="LZU295" s="1069"/>
      <c r="LZV295" s="1069"/>
      <c r="LZW295" s="1069"/>
      <c r="LZX295" s="1069"/>
      <c r="LZY295" s="1069"/>
      <c r="LZZ295" s="1069"/>
      <c r="MAA295" s="1069"/>
      <c r="MAB295" s="1069"/>
      <c r="MAC295" s="1069"/>
      <c r="MAD295" s="1069"/>
      <c r="MAE295" s="1069"/>
      <c r="MAF295" s="1069"/>
      <c r="MAG295" s="1069"/>
      <c r="MAH295" s="1069"/>
      <c r="MAI295" s="1069"/>
      <c r="MAJ295" s="1069"/>
      <c r="MAK295" s="1069"/>
      <c r="MAL295" s="1069"/>
      <c r="MAM295" s="1069"/>
      <c r="MAN295" s="1069"/>
      <c r="MAO295" s="1069"/>
      <c r="MAP295" s="1069"/>
      <c r="MAQ295" s="1069"/>
      <c r="MAR295" s="1069"/>
      <c r="MAS295" s="1069"/>
      <c r="MAT295" s="1069"/>
      <c r="MAU295" s="1069"/>
      <c r="MAV295" s="1069"/>
      <c r="MAW295" s="1069"/>
      <c r="MAX295" s="1069"/>
      <c r="MAY295" s="1069"/>
      <c r="MAZ295" s="1069"/>
      <c r="MBA295" s="1069"/>
      <c r="MBB295" s="1069"/>
      <c r="MBC295" s="1069"/>
      <c r="MBD295" s="1069"/>
      <c r="MBE295" s="1069"/>
      <c r="MBF295" s="1069"/>
      <c r="MBG295" s="1069"/>
      <c r="MBH295" s="1069"/>
      <c r="MBI295" s="1069"/>
      <c r="MBJ295" s="1069"/>
      <c r="MBK295" s="1069"/>
      <c r="MBL295" s="1069"/>
      <c r="MBM295" s="1069"/>
      <c r="MBN295" s="1069"/>
      <c r="MBO295" s="1069"/>
      <c r="MBP295" s="1069"/>
      <c r="MBQ295" s="1069"/>
      <c r="MBR295" s="1069"/>
      <c r="MBS295" s="1069"/>
      <c r="MBT295" s="1069"/>
      <c r="MBU295" s="1069"/>
      <c r="MBV295" s="1069"/>
      <c r="MBW295" s="1069"/>
      <c r="MBX295" s="1069"/>
      <c r="MBY295" s="1069"/>
      <c r="MBZ295" s="1069"/>
      <c r="MCA295" s="1069"/>
      <c r="MCB295" s="1069"/>
      <c r="MCC295" s="1069"/>
      <c r="MCD295" s="1069"/>
      <c r="MCE295" s="1069"/>
      <c r="MCF295" s="1069"/>
      <c r="MCG295" s="1069"/>
      <c r="MCH295" s="1069"/>
      <c r="MCI295" s="1069"/>
      <c r="MCJ295" s="1069"/>
      <c r="MCK295" s="1069"/>
      <c r="MCL295" s="1069"/>
      <c r="MCM295" s="1069"/>
      <c r="MCN295" s="1069"/>
      <c r="MCO295" s="1069"/>
      <c r="MCP295" s="1069"/>
      <c r="MCQ295" s="1069"/>
      <c r="MCR295" s="1069"/>
      <c r="MCS295" s="1069"/>
      <c r="MCT295" s="1069"/>
      <c r="MCU295" s="1069"/>
      <c r="MCV295" s="1069"/>
      <c r="MCW295" s="1069"/>
      <c r="MCX295" s="1069"/>
      <c r="MCY295" s="1069"/>
      <c r="MCZ295" s="1069"/>
      <c r="MDA295" s="1069"/>
      <c r="MDB295" s="1069"/>
      <c r="MDC295" s="1069"/>
      <c r="MDD295" s="1069"/>
      <c r="MDE295" s="1069"/>
      <c r="MDF295" s="1069"/>
      <c r="MDG295" s="1069"/>
      <c r="MDH295" s="1069"/>
      <c r="MDI295" s="1069"/>
      <c r="MDJ295" s="1069"/>
      <c r="MDK295" s="1069"/>
      <c r="MDL295" s="1069"/>
      <c r="MDM295" s="1069"/>
      <c r="MDN295" s="1069"/>
      <c r="MDO295" s="1069"/>
      <c r="MDP295" s="1069"/>
      <c r="MDQ295" s="1069"/>
      <c r="MDR295" s="1069"/>
      <c r="MDS295" s="1069"/>
      <c r="MDT295" s="1069"/>
      <c r="MDU295" s="1069"/>
      <c r="MDV295" s="1069"/>
      <c r="MDW295" s="1069"/>
      <c r="MDX295" s="1069"/>
      <c r="MDY295" s="1069"/>
      <c r="MDZ295" s="1069"/>
      <c r="MEA295" s="1069"/>
      <c r="MEB295" s="1069"/>
      <c r="MEC295" s="1069"/>
      <c r="MED295" s="1069"/>
      <c r="MEE295" s="1069"/>
      <c r="MEF295" s="1069"/>
      <c r="MEG295" s="1069"/>
      <c r="MEH295" s="1069"/>
      <c r="MEI295" s="1069"/>
      <c r="MEJ295" s="1069"/>
      <c r="MEK295" s="1069"/>
      <c r="MEL295" s="1069"/>
      <c r="MEM295" s="1069"/>
      <c r="MEN295" s="1069"/>
      <c r="MEO295" s="1069"/>
      <c r="MEP295" s="1069"/>
      <c r="MEQ295" s="1069"/>
      <c r="MER295" s="1069"/>
      <c r="MES295" s="1069"/>
      <c r="MET295" s="1069"/>
      <c r="MEU295" s="1069"/>
      <c r="MEV295" s="1069"/>
      <c r="MEW295" s="1069"/>
      <c r="MEX295" s="1069"/>
      <c r="MEY295" s="1069"/>
      <c r="MEZ295" s="1069"/>
      <c r="MFA295" s="1069"/>
      <c r="MFB295" s="1069"/>
      <c r="MFC295" s="1069"/>
      <c r="MFD295" s="1069"/>
      <c r="MFE295" s="1069"/>
      <c r="MFF295" s="1069"/>
      <c r="MFG295" s="1069"/>
      <c r="MFH295" s="1069"/>
      <c r="MFI295" s="1069"/>
      <c r="MFJ295" s="1069"/>
      <c r="MFK295" s="1069"/>
      <c r="MFL295" s="1069"/>
      <c r="MFM295" s="1069"/>
      <c r="MFN295" s="1069"/>
      <c r="MFO295" s="1069"/>
      <c r="MFP295" s="1069"/>
      <c r="MFQ295" s="1069"/>
      <c r="MFR295" s="1069"/>
      <c r="MFS295" s="1069"/>
      <c r="MFT295" s="1069"/>
      <c r="MFU295" s="1069"/>
      <c r="MFV295" s="1069"/>
      <c r="MFW295" s="1069"/>
      <c r="MFX295" s="1069"/>
      <c r="MFY295" s="1069"/>
      <c r="MFZ295" s="1069"/>
      <c r="MGA295" s="1069"/>
      <c r="MGB295" s="1069"/>
      <c r="MGC295" s="1069"/>
      <c r="MGD295" s="1069"/>
      <c r="MGE295" s="1069"/>
      <c r="MGF295" s="1069"/>
      <c r="MGG295" s="1069"/>
      <c r="MGH295" s="1069"/>
      <c r="MGI295" s="1069"/>
      <c r="MGJ295" s="1069"/>
      <c r="MGK295" s="1069"/>
      <c r="MGL295" s="1069"/>
      <c r="MGM295" s="1069"/>
      <c r="MGN295" s="1069"/>
      <c r="MGO295" s="1069"/>
      <c r="MGP295" s="1069"/>
      <c r="MGQ295" s="1069"/>
      <c r="MGR295" s="1069"/>
      <c r="MGS295" s="1069"/>
      <c r="MGT295" s="1069"/>
      <c r="MGU295" s="1069"/>
      <c r="MGV295" s="1069"/>
      <c r="MGW295" s="1069"/>
      <c r="MGX295" s="1069"/>
      <c r="MGY295" s="1069"/>
      <c r="MGZ295" s="1069"/>
      <c r="MHA295" s="1069"/>
      <c r="MHB295" s="1069"/>
      <c r="MHC295" s="1069"/>
      <c r="MHD295" s="1069"/>
      <c r="MHE295" s="1069"/>
      <c r="MHF295" s="1069"/>
      <c r="MHG295" s="1069"/>
      <c r="MHH295" s="1069"/>
      <c r="MHI295" s="1069"/>
      <c r="MHJ295" s="1069"/>
      <c r="MHK295" s="1069"/>
      <c r="MHL295" s="1069"/>
      <c r="MHM295" s="1069"/>
      <c r="MHN295" s="1069"/>
      <c r="MHO295" s="1069"/>
      <c r="MHP295" s="1069"/>
      <c r="MHQ295" s="1069"/>
      <c r="MHR295" s="1069"/>
      <c r="MHS295" s="1069"/>
      <c r="MHT295" s="1069"/>
      <c r="MHU295" s="1069"/>
      <c r="MHV295" s="1069"/>
      <c r="MHW295" s="1069"/>
      <c r="MHX295" s="1069"/>
      <c r="MHY295" s="1069"/>
      <c r="MHZ295" s="1069"/>
      <c r="MIA295" s="1069"/>
      <c r="MIB295" s="1069"/>
      <c r="MIC295" s="1069"/>
      <c r="MID295" s="1069"/>
      <c r="MIE295" s="1069"/>
      <c r="MIF295" s="1069"/>
      <c r="MIG295" s="1069"/>
      <c r="MIH295" s="1069"/>
      <c r="MII295" s="1069"/>
      <c r="MIJ295" s="1069"/>
      <c r="MIK295" s="1069"/>
      <c r="MIL295" s="1069"/>
      <c r="MIM295" s="1069"/>
      <c r="MIN295" s="1069"/>
      <c r="MIO295" s="1069"/>
      <c r="MIP295" s="1069"/>
      <c r="MIQ295" s="1069"/>
      <c r="MIR295" s="1069"/>
      <c r="MIS295" s="1069"/>
      <c r="MIT295" s="1069"/>
      <c r="MIU295" s="1069"/>
      <c r="MIV295" s="1069"/>
      <c r="MIW295" s="1069"/>
      <c r="MIX295" s="1069"/>
      <c r="MIY295" s="1069"/>
      <c r="MIZ295" s="1069"/>
      <c r="MJA295" s="1069"/>
      <c r="MJB295" s="1069"/>
      <c r="MJC295" s="1069"/>
      <c r="MJD295" s="1069"/>
      <c r="MJE295" s="1069"/>
      <c r="MJF295" s="1069"/>
      <c r="MJG295" s="1069"/>
      <c r="MJH295" s="1069"/>
      <c r="MJI295" s="1069"/>
      <c r="MJJ295" s="1069"/>
      <c r="MJK295" s="1069"/>
      <c r="MJL295" s="1069"/>
      <c r="MJM295" s="1069"/>
      <c r="MJN295" s="1069"/>
      <c r="MJO295" s="1069"/>
      <c r="MJP295" s="1069"/>
      <c r="MJQ295" s="1069"/>
      <c r="MJR295" s="1069"/>
      <c r="MJS295" s="1069"/>
      <c r="MJT295" s="1069"/>
      <c r="MJU295" s="1069"/>
      <c r="MJV295" s="1069"/>
      <c r="MJW295" s="1069"/>
      <c r="MJX295" s="1069"/>
      <c r="MJY295" s="1069"/>
      <c r="MJZ295" s="1069"/>
      <c r="MKA295" s="1069"/>
      <c r="MKB295" s="1069"/>
      <c r="MKC295" s="1069"/>
      <c r="MKD295" s="1069"/>
      <c r="MKE295" s="1069"/>
      <c r="MKF295" s="1069"/>
      <c r="MKG295" s="1069"/>
      <c r="MKH295" s="1069"/>
      <c r="MKI295" s="1069"/>
      <c r="MKJ295" s="1069"/>
      <c r="MKK295" s="1069"/>
      <c r="MKL295" s="1069"/>
      <c r="MKM295" s="1069"/>
      <c r="MKN295" s="1069"/>
      <c r="MKO295" s="1069"/>
      <c r="MKP295" s="1069"/>
      <c r="MKQ295" s="1069"/>
      <c r="MKR295" s="1069"/>
      <c r="MKS295" s="1069"/>
      <c r="MKT295" s="1069"/>
      <c r="MKU295" s="1069"/>
      <c r="MKV295" s="1069"/>
      <c r="MKW295" s="1069"/>
      <c r="MKX295" s="1069"/>
      <c r="MKY295" s="1069"/>
      <c r="MKZ295" s="1069"/>
      <c r="MLA295" s="1069"/>
      <c r="MLB295" s="1069"/>
      <c r="MLC295" s="1069"/>
      <c r="MLD295" s="1069"/>
      <c r="MLE295" s="1069"/>
      <c r="MLF295" s="1069"/>
      <c r="MLG295" s="1069"/>
      <c r="MLH295" s="1069"/>
      <c r="MLI295" s="1069"/>
      <c r="MLJ295" s="1069"/>
      <c r="MLK295" s="1069"/>
      <c r="MLL295" s="1069"/>
      <c r="MLM295" s="1069"/>
      <c r="MLN295" s="1069"/>
      <c r="MLO295" s="1069"/>
      <c r="MLP295" s="1069"/>
      <c r="MLQ295" s="1069"/>
      <c r="MLR295" s="1069"/>
      <c r="MLS295" s="1069"/>
      <c r="MLT295" s="1069"/>
      <c r="MLU295" s="1069"/>
      <c r="MLV295" s="1069"/>
      <c r="MLW295" s="1069"/>
      <c r="MLX295" s="1069"/>
      <c r="MLY295" s="1069"/>
      <c r="MLZ295" s="1069"/>
      <c r="MMA295" s="1069"/>
      <c r="MMB295" s="1069"/>
      <c r="MMC295" s="1069"/>
      <c r="MMD295" s="1069"/>
      <c r="MME295" s="1069"/>
      <c r="MMF295" s="1069"/>
      <c r="MMG295" s="1069"/>
      <c r="MMH295" s="1069"/>
      <c r="MMI295" s="1069"/>
      <c r="MMJ295" s="1069"/>
      <c r="MMK295" s="1069"/>
      <c r="MML295" s="1069"/>
      <c r="MMM295" s="1069"/>
      <c r="MMN295" s="1069"/>
      <c r="MMO295" s="1069"/>
      <c r="MMP295" s="1069"/>
      <c r="MMQ295" s="1069"/>
      <c r="MMR295" s="1069"/>
      <c r="MMS295" s="1069"/>
      <c r="MMT295" s="1069"/>
      <c r="MMU295" s="1069"/>
      <c r="MMV295" s="1069"/>
      <c r="MMW295" s="1069"/>
      <c r="MMX295" s="1069"/>
      <c r="MMY295" s="1069"/>
      <c r="MMZ295" s="1069"/>
      <c r="MNA295" s="1069"/>
      <c r="MNB295" s="1069"/>
      <c r="MNC295" s="1069"/>
      <c r="MND295" s="1069"/>
      <c r="MNE295" s="1069"/>
      <c r="MNF295" s="1069"/>
      <c r="MNG295" s="1069"/>
      <c r="MNH295" s="1069"/>
      <c r="MNI295" s="1069"/>
      <c r="MNJ295" s="1069"/>
      <c r="MNK295" s="1069"/>
      <c r="MNL295" s="1069"/>
      <c r="MNM295" s="1069"/>
      <c r="MNN295" s="1069"/>
      <c r="MNO295" s="1069"/>
      <c r="MNP295" s="1069"/>
      <c r="MNQ295" s="1069"/>
      <c r="MNR295" s="1069"/>
      <c r="MNS295" s="1069"/>
      <c r="MNT295" s="1069"/>
      <c r="MNU295" s="1069"/>
      <c r="MNV295" s="1069"/>
      <c r="MNW295" s="1069"/>
      <c r="MNX295" s="1069"/>
      <c r="MNY295" s="1069"/>
      <c r="MNZ295" s="1069"/>
      <c r="MOA295" s="1069"/>
      <c r="MOB295" s="1069"/>
      <c r="MOC295" s="1069"/>
      <c r="MOD295" s="1069"/>
      <c r="MOE295" s="1069"/>
      <c r="MOF295" s="1069"/>
      <c r="MOG295" s="1069"/>
      <c r="MOH295" s="1069"/>
      <c r="MOI295" s="1069"/>
      <c r="MOJ295" s="1069"/>
      <c r="MOK295" s="1069"/>
      <c r="MOL295" s="1069"/>
      <c r="MOM295" s="1069"/>
      <c r="MON295" s="1069"/>
      <c r="MOO295" s="1069"/>
      <c r="MOP295" s="1069"/>
      <c r="MOQ295" s="1069"/>
      <c r="MOR295" s="1069"/>
      <c r="MOS295" s="1069"/>
      <c r="MOT295" s="1069"/>
      <c r="MOU295" s="1069"/>
      <c r="MOV295" s="1069"/>
      <c r="MOW295" s="1069"/>
      <c r="MOX295" s="1069"/>
      <c r="MOY295" s="1069"/>
      <c r="MOZ295" s="1069"/>
      <c r="MPA295" s="1069"/>
      <c r="MPB295" s="1069"/>
      <c r="MPC295" s="1069"/>
      <c r="MPD295" s="1069"/>
      <c r="MPE295" s="1069"/>
      <c r="MPF295" s="1069"/>
      <c r="MPG295" s="1069"/>
      <c r="MPH295" s="1069"/>
      <c r="MPI295" s="1069"/>
      <c r="MPJ295" s="1069"/>
      <c r="MPK295" s="1069"/>
      <c r="MPL295" s="1069"/>
      <c r="MPM295" s="1069"/>
      <c r="MPN295" s="1069"/>
      <c r="MPO295" s="1069"/>
      <c r="MPP295" s="1069"/>
      <c r="MPQ295" s="1069"/>
      <c r="MPR295" s="1069"/>
      <c r="MPS295" s="1069"/>
      <c r="MPT295" s="1069"/>
      <c r="MPU295" s="1069"/>
      <c r="MPV295" s="1069"/>
      <c r="MPW295" s="1069"/>
      <c r="MPX295" s="1069"/>
      <c r="MPY295" s="1069"/>
      <c r="MPZ295" s="1069"/>
      <c r="MQA295" s="1069"/>
      <c r="MQB295" s="1069"/>
      <c r="MQC295" s="1069"/>
      <c r="MQD295" s="1069"/>
      <c r="MQE295" s="1069"/>
      <c r="MQF295" s="1069"/>
      <c r="MQG295" s="1069"/>
      <c r="MQH295" s="1069"/>
      <c r="MQI295" s="1069"/>
      <c r="MQJ295" s="1069"/>
      <c r="MQK295" s="1069"/>
      <c r="MQL295" s="1069"/>
      <c r="MQM295" s="1069"/>
      <c r="MQN295" s="1069"/>
      <c r="MQO295" s="1069"/>
      <c r="MQP295" s="1069"/>
      <c r="MQQ295" s="1069"/>
      <c r="MQR295" s="1069"/>
      <c r="MQS295" s="1069"/>
      <c r="MQT295" s="1069"/>
      <c r="MQU295" s="1069"/>
      <c r="MQV295" s="1069"/>
      <c r="MQW295" s="1069"/>
      <c r="MQX295" s="1069"/>
      <c r="MQY295" s="1069"/>
      <c r="MQZ295" s="1069"/>
      <c r="MRA295" s="1069"/>
      <c r="MRB295" s="1069"/>
      <c r="MRC295" s="1069"/>
      <c r="MRD295" s="1069"/>
      <c r="MRE295" s="1069"/>
      <c r="MRF295" s="1069"/>
      <c r="MRG295" s="1069"/>
      <c r="MRH295" s="1069"/>
      <c r="MRI295" s="1069"/>
      <c r="MRJ295" s="1069"/>
      <c r="MRK295" s="1069"/>
      <c r="MRL295" s="1069"/>
      <c r="MRM295" s="1069"/>
      <c r="MRN295" s="1069"/>
      <c r="MRO295" s="1069"/>
      <c r="MRP295" s="1069"/>
      <c r="MRQ295" s="1069"/>
      <c r="MRR295" s="1069"/>
      <c r="MRS295" s="1069"/>
      <c r="MRT295" s="1069"/>
      <c r="MRU295" s="1069"/>
      <c r="MRV295" s="1069"/>
      <c r="MRW295" s="1069"/>
      <c r="MRX295" s="1069"/>
      <c r="MRY295" s="1069"/>
      <c r="MRZ295" s="1069"/>
      <c r="MSA295" s="1069"/>
      <c r="MSB295" s="1069"/>
      <c r="MSC295" s="1069"/>
      <c r="MSD295" s="1069"/>
      <c r="MSE295" s="1069"/>
      <c r="MSF295" s="1069"/>
      <c r="MSG295" s="1069"/>
      <c r="MSH295" s="1069"/>
      <c r="MSI295" s="1069"/>
      <c r="MSJ295" s="1069"/>
      <c r="MSK295" s="1069"/>
      <c r="MSL295" s="1069"/>
      <c r="MSM295" s="1069"/>
      <c r="MSN295" s="1069"/>
      <c r="MSO295" s="1069"/>
      <c r="MSP295" s="1069"/>
      <c r="MSQ295" s="1069"/>
      <c r="MSR295" s="1069"/>
      <c r="MSS295" s="1069"/>
      <c r="MST295" s="1069"/>
      <c r="MSU295" s="1069"/>
      <c r="MSV295" s="1069"/>
      <c r="MSW295" s="1069"/>
      <c r="MSX295" s="1069"/>
      <c r="MSY295" s="1069"/>
      <c r="MSZ295" s="1069"/>
      <c r="MTA295" s="1069"/>
      <c r="MTB295" s="1069"/>
      <c r="MTC295" s="1069"/>
      <c r="MTD295" s="1069"/>
      <c r="MTE295" s="1069"/>
      <c r="MTF295" s="1069"/>
      <c r="MTG295" s="1069"/>
      <c r="MTH295" s="1069"/>
      <c r="MTI295" s="1069"/>
      <c r="MTJ295" s="1069"/>
      <c r="MTK295" s="1069"/>
      <c r="MTL295" s="1069"/>
      <c r="MTM295" s="1069"/>
      <c r="MTN295" s="1069"/>
      <c r="MTO295" s="1069"/>
      <c r="MTP295" s="1069"/>
      <c r="MTQ295" s="1069"/>
      <c r="MTR295" s="1069"/>
      <c r="MTS295" s="1069"/>
      <c r="MTT295" s="1069"/>
      <c r="MTU295" s="1069"/>
      <c r="MTV295" s="1069"/>
      <c r="MTW295" s="1069"/>
      <c r="MTX295" s="1069"/>
      <c r="MTY295" s="1069"/>
      <c r="MTZ295" s="1069"/>
      <c r="MUA295" s="1069"/>
      <c r="MUB295" s="1069"/>
      <c r="MUC295" s="1069"/>
      <c r="MUD295" s="1069"/>
      <c r="MUE295" s="1069"/>
      <c r="MUF295" s="1069"/>
      <c r="MUG295" s="1069"/>
      <c r="MUH295" s="1069"/>
      <c r="MUI295" s="1069"/>
      <c r="MUJ295" s="1069"/>
      <c r="MUK295" s="1069"/>
      <c r="MUL295" s="1069"/>
      <c r="MUM295" s="1069"/>
      <c r="MUN295" s="1069"/>
      <c r="MUO295" s="1069"/>
      <c r="MUP295" s="1069"/>
      <c r="MUQ295" s="1069"/>
      <c r="MUR295" s="1069"/>
      <c r="MUS295" s="1069"/>
      <c r="MUT295" s="1069"/>
      <c r="MUU295" s="1069"/>
      <c r="MUV295" s="1069"/>
      <c r="MUW295" s="1069"/>
      <c r="MUX295" s="1069"/>
      <c r="MUY295" s="1069"/>
      <c r="MUZ295" s="1069"/>
      <c r="MVA295" s="1069"/>
      <c r="MVB295" s="1069"/>
      <c r="MVC295" s="1069"/>
      <c r="MVD295" s="1069"/>
      <c r="MVE295" s="1069"/>
      <c r="MVF295" s="1069"/>
      <c r="MVG295" s="1069"/>
      <c r="MVH295" s="1069"/>
      <c r="MVI295" s="1069"/>
      <c r="MVJ295" s="1069"/>
      <c r="MVK295" s="1069"/>
      <c r="MVL295" s="1069"/>
      <c r="MVM295" s="1069"/>
      <c r="MVN295" s="1069"/>
      <c r="MVO295" s="1069"/>
      <c r="MVP295" s="1069"/>
      <c r="MVQ295" s="1069"/>
      <c r="MVR295" s="1069"/>
      <c r="MVS295" s="1069"/>
      <c r="MVT295" s="1069"/>
      <c r="MVU295" s="1069"/>
      <c r="MVV295" s="1069"/>
      <c r="MVW295" s="1069"/>
      <c r="MVX295" s="1069"/>
      <c r="MVY295" s="1069"/>
      <c r="MVZ295" s="1069"/>
      <c r="MWA295" s="1069"/>
      <c r="MWB295" s="1069"/>
      <c r="MWC295" s="1069"/>
      <c r="MWD295" s="1069"/>
      <c r="MWE295" s="1069"/>
      <c r="MWF295" s="1069"/>
      <c r="MWG295" s="1069"/>
      <c r="MWH295" s="1069"/>
      <c r="MWI295" s="1069"/>
      <c r="MWJ295" s="1069"/>
      <c r="MWK295" s="1069"/>
      <c r="MWL295" s="1069"/>
      <c r="MWM295" s="1069"/>
      <c r="MWN295" s="1069"/>
      <c r="MWO295" s="1069"/>
      <c r="MWP295" s="1069"/>
      <c r="MWQ295" s="1069"/>
      <c r="MWR295" s="1069"/>
      <c r="MWS295" s="1069"/>
      <c r="MWT295" s="1069"/>
      <c r="MWU295" s="1069"/>
      <c r="MWV295" s="1069"/>
      <c r="MWW295" s="1069"/>
      <c r="MWX295" s="1069"/>
      <c r="MWY295" s="1069"/>
      <c r="MWZ295" s="1069"/>
      <c r="MXA295" s="1069"/>
      <c r="MXB295" s="1069"/>
      <c r="MXC295" s="1069"/>
      <c r="MXD295" s="1069"/>
      <c r="MXE295" s="1069"/>
      <c r="MXF295" s="1069"/>
      <c r="MXG295" s="1069"/>
      <c r="MXH295" s="1069"/>
      <c r="MXI295" s="1069"/>
      <c r="MXJ295" s="1069"/>
      <c r="MXK295" s="1069"/>
      <c r="MXL295" s="1069"/>
      <c r="MXM295" s="1069"/>
      <c r="MXN295" s="1069"/>
      <c r="MXO295" s="1069"/>
      <c r="MXP295" s="1069"/>
      <c r="MXQ295" s="1069"/>
      <c r="MXR295" s="1069"/>
      <c r="MXS295" s="1069"/>
      <c r="MXT295" s="1069"/>
      <c r="MXU295" s="1069"/>
      <c r="MXV295" s="1069"/>
      <c r="MXW295" s="1069"/>
      <c r="MXX295" s="1069"/>
      <c r="MXY295" s="1069"/>
      <c r="MXZ295" s="1069"/>
      <c r="MYA295" s="1069"/>
      <c r="MYB295" s="1069"/>
      <c r="MYC295" s="1069"/>
      <c r="MYD295" s="1069"/>
      <c r="MYE295" s="1069"/>
      <c r="MYF295" s="1069"/>
      <c r="MYG295" s="1069"/>
      <c r="MYH295" s="1069"/>
      <c r="MYI295" s="1069"/>
      <c r="MYJ295" s="1069"/>
      <c r="MYK295" s="1069"/>
      <c r="MYL295" s="1069"/>
      <c r="MYM295" s="1069"/>
      <c r="MYN295" s="1069"/>
      <c r="MYO295" s="1069"/>
      <c r="MYP295" s="1069"/>
      <c r="MYQ295" s="1069"/>
      <c r="MYR295" s="1069"/>
      <c r="MYS295" s="1069"/>
      <c r="MYT295" s="1069"/>
      <c r="MYU295" s="1069"/>
      <c r="MYV295" s="1069"/>
      <c r="MYW295" s="1069"/>
      <c r="MYX295" s="1069"/>
      <c r="MYY295" s="1069"/>
      <c r="MYZ295" s="1069"/>
      <c r="MZA295" s="1069"/>
      <c r="MZB295" s="1069"/>
      <c r="MZC295" s="1069"/>
      <c r="MZD295" s="1069"/>
      <c r="MZE295" s="1069"/>
      <c r="MZF295" s="1069"/>
      <c r="MZG295" s="1069"/>
      <c r="MZH295" s="1069"/>
      <c r="MZI295" s="1069"/>
      <c r="MZJ295" s="1069"/>
      <c r="MZK295" s="1069"/>
      <c r="MZL295" s="1069"/>
      <c r="MZM295" s="1069"/>
      <c r="MZN295" s="1069"/>
      <c r="MZO295" s="1069"/>
      <c r="MZP295" s="1069"/>
      <c r="MZQ295" s="1069"/>
      <c r="MZR295" s="1069"/>
      <c r="MZS295" s="1069"/>
      <c r="MZT295" s="1069"/>
      <c r="MZU295" s="1069"/>
      <c r="MZV295" s="1069"/>
      <c r="MZW295" s="1069"/>
      <c r="MZX295" s="1069"/>
      <c r="MZY295" s="1069"/>
      <c r="MZZ295" s="1069"/>
      <c r="NAA295" s="1069"/>
      <c r="NAB295" s="1069"/>
      <c r="NAC295" s="1069"/>
      <c r="NAD295" s="1069"/>
      <c r="NAE295" s="1069"/>
      <c r="NAF295" s="1069"/>
      <c r="NAG295" s="1069"/>
      <c r="NAH295" s="1069"/>
      <c r="NAI295" s="1069"/>
      <c r="NAJ295" s="1069"/>
      <c r="NAK295" s="1069"/>
      <c r="NAL295" s="1069"/>
      <c r="NAM295" s="1069"/>
      <c r="NAN295" s="1069"/>
      <c r="NAO295" s="1069"/>
      <c r="NAP295" s="1069"/>
      <c r="NAQ295" s="1069"/>
      <c r="NAR295" s="1069"/>
      <c r="NAS295" s="1069"/>
      <c r="NAT295" s="1069"/>
      <c r="NAU295" s="1069"/>
      <c r="NAV295" s="1069"/>
      <c r="NAW295" s="1069"/>
      <c r="NAX295" s="1069"/>
      <c r="NAY295" s="1069"/>
      <c r="NAZ295" s="1069"/>
      <c r="NBA295" s="1069"/>
      <c r="NBB295" s="1069"/>
      <c r="NBC295" s="1069"/>
      <c r="NBD295" s="1069"/>
      <c r="NBE295" s="1069"/>
      <c r="NBF295" s="1069"/>
      <c r="NBG295" s="1069"/>
      <c r="NBH295" s="1069"/>
      <c r="NBI295" s="1069"/>
      <c r="NBJ295" s="1069"/>
      <c r="NBK295" s="1069"/>
      <c r="NBL295" s="1069"/>
      <c r="NBM295" s="1069"/>
      <c r="NBN295" s="1069"/>
      <c r="NBO295" s="1069"/>
      <c r="NBP295" s="1069"/>
      <c r="NBQ295" s="1069"/>
      <c r="NBR295" s="1069"/>
      <c r="NBS295" s="1069"/>
      <c r="NBT295" s="1069"/>
      <c r="NBU295" s="1069"/>
      <c r="NBV295" s="1069"/>
      <c r="NBW295" s="1069"/>
      <c r="NBX295" s="1069"/>
      <c r="NBY295" s="1069"/>
      <c r="NBZ295" s="1069"/>
      <c r="NCA295" s="1069"/>
      <c r="NCB295" s="1069"/>
      <c r="NCC295" s="1069"/>
      <c r="NCD295" s="1069"/>
      <c r="NCE295" s="1069"/>
      <c r="NCF295" s="1069"/>
      <c r="NCG295" s="1069"/>
      <c r="NCH295" s="1069"/>
      <c r="NCI295" s="1069"/>
      <c r="NCJ295" s="1069"/>
      <c r="NCK295" s="1069"/>
      <c r="NCL295" s="1069"/>
      <c r="NCM295" s="1069"/>
      <c r="NCN295" s="1069"/>
      <c r="NCO295" s="1069"/>
      <c r="NCP295" s="1069"/>
      <c r="NCQ295" s="1069"/>
      <c r="NCR295" s="1069"/>
      <c r="NCS295" s="1069"/>
      <c r="NCT295" s="1069"/>
      <c r="NCU295" s="1069"/>
      <c r="NCV295" s="1069"/>
      <c r="NCW295" s="1069"/>
      <c r="NCX295" s="1069"/>
      <c r="NCY295" s="1069"/>
      <c r="NCZ295" s="1069"/>
      <c r="NDA295" s="1069"/>
      <c r="NDB295" s="1069"/>
      <c r="NDC295" s="1069"/>
      <c r="NDD295" s="1069"/>
      <c r="NDE295" s="1069"/>
      <c r="NDF295" s="1069"/>
      <c r="NDG295" s="1069"/>
      <c r="NDH295" s="1069"/>
      <c r="NDI295" s="1069"/>
      <c r="NDJ295" s="1069"/>
      <c r="NDK295" s="1069"/>
      <c r="NDL295" s="1069"/>
      <c r="NDM295" s="1069"/>
      <c r="NDN295" s="1069"/>
      <c r="NDO295" s="1069"/>
      <c r="NDP295" s="1069"/>
      <c r="NDQ295" s="1069"/>
      <c r="NDR295" s="1069"/>
      <c r="NDS295" s="1069"/>
      <c r="NDT295" s="1069"/>
      <c r="NDU295" s="1069"/>
      <c r="NDV295" s="1069"/>
      <c r="NDW295" s="1069"/>
      <c r="NDX295" s="1069"/>
      <c r="NDY295" s="1069"/>
      <c r="NDZ295" s="1069"/>
      <c r="NEA295" s="1069"/>
      <c r="NEB295" s="1069"/>
      <c r="NEC295" s="1069"/>
      <c r="NED295" s="1069"/>
      <c r="NEE295" s="1069"/>
      <c r="NEF295" s="1069"/>
      <c r="NEG295" s="1069"/>
      <c r="NEH295" s="1069"/>
      <c r="NEI295" s="1069"/>
      <c r="NEJ295" s="1069"/>
      <c r="NEK295" s="1069"/>
      <c r="NEL295" s="1069"/>
      <c r="NEM295" s="1069"/>
      <c r="NEN295" s="1069"/>
      <c r="NEO295" s="1069"/>
      <c r="NEP295" s="1069"/>
      <c r="NEQ295" s="1069"/>
      <c r="NER295" s="1069"/>
      <c r="NES295" s="1069"/>
      <c r="NET295" s="1069"/>
      <c r="NEU295" s="1069"/>
      <c r="NEV295" s="1069"/>
      <c r="NEW295" s="1069"/>
      <c r="NEX295" s="1069"/>
      <c r="NEY295" s="1069"/>
      <c r="NEZ295" s="1069"/>
      <c r="NFA295" s="1069"/>
      <c r="NFB295" s="1069"/>
      <c r="NFC295" s="1069"/>
      <c r="NFD295" s="1069"/>
      <c r="NFE295" s="1069"/>
      <c r="NFF295" s="1069"/>
      <c r="NFG295" s="1069"/>
      <c r="NFH295" s="1069"/>
      <c r="NFI295" s="1069"/>
      <c r="NFJ295" s="1069"/>
      <c r="NFK295" s="1069"/>
      <c r="NFL295" s="1069"/>
      <c r="NFM295" s="1069"/>
      <c r="NFN295" s="1069"/>
      <c r="NFO295" s="1069"/>
      <c r="NFP295" s="1069"/>
      <c r="NFQ295" s="1069"/>
      <c r="NFR295" s="1069"/>
      <c r="NFS295" s="1069"/>
      <c r="NFT295" s="1069"/>
      <c r="NFU295" s="1069"/>
      <c r="NFV295" s="1069"/>
      <c r="NFW295" s="1069"/>
      <c r="NFX295" s="1069"/>
      <c r="NFY295" s="1069"/>
      <c r="NFZ295" s="1069"/>
      <c r="NGA295" s="1069"/>
      <c r="NGB295" s="1069"/>
      <c r="NGC295" s="1069"/>
      <c r="NGD295" s="1069"/>
      <c r="NGE295" s="1069"/>
      <c r="NGF295" s="1069"/>
      <c r="NGG295" s="1069"/>
      <c r="NGH295" s="1069"/>
      <c r="NGI295" s="1069"/>
      <c r="NGJ295" s="1069"/>
      <c r="NGK295" s="1069"/>
      <c r="NGL295" s="1069"/>
      <c r="NGM295" s="1069"/>
      <c r="NGN295" s="1069"/>
      <c r="NGO295" s="1069"/>
      <c r="NGP295" s="1069"/>
      <c r="NGQ295" s="1069"/>
      <c r="NGR295" s="1069"/>
      <c r="NGS295" s="1069"/>
      <c r="NGT295" s="1069"/>
      <c r="NGU295" s="1069"/>
      <c r="NGV295" s="1069"/>
      <c r="NGW295" s="1069"/>
      <c r="NGX295" s="1069"/>
      <c r="NGY295" s="1069"/>
      <c r="NGZ295" s="1069"/>
      <c r="NHA295" s="1069"/>
      <c r="NHB295" s="1069"/>
      <c r="NHC295" s="1069"/>
      <c r="NHD295" s="1069"/>
      <c r="NHE295" s="1069"/>
      <c r="NHF295" s="1069"/>
      <c r="NHG295" s="1069"/>
      <c r="NHH295" s="1069"/>
      <c r="NHI295" s="1069"/>
      <c r="NHJ295" s="1069"/>
      <c r="NHK295" s="1069"/>
      <c r="NHL295" s="1069"/>
      <c r="NHM295" s="1069"/>
      <c r="NHN295" s="1069"/>
      <c r="NHO295" s="1069"/>
      <c r="NHP295" s="1069"/>
      <c r="NHQ295" s="1069"/>
      <c r="NHR295" s="1069"/>
      <c r="NHS295" s="1069"/>
      <c r="NHT295" s="1069"/>
      <c r="NHU295" s="1069"/>
      <c r="NHV295" s="1069"/>
      <c r="NHW295" s="1069"/>
      <c r="NHX295" s="1069"/>
      <c r="NHY295" s="1069"/>
      <c r="NHZ295" s="1069"/>
      <c r="NIA295" s="1069"/>
      <c r="NIB295" s="1069"/>
      <c r="NIC295" s="1069"/>
      <c r="NID295" s="1069"/>
      <c r="NIE295" s="1069"/>
      <c r="NIF295" s="1069"/>
      <c r="NIG295" s="1069"/>
      <c r="NIH295" s="1069"/>
      <c r="NII295" s="1069"/>
      <c r="NIJ295" s="1069"/>
      <c r="NIK295" s="1069"/>
      <c r="NIL295" s="1069"/>
      <c r="NIM295" s="1069"/>
      <c r="NIN295" s="1069"/>
      <c r="NIO295" s="1069"/>
      <c r="NIP295" s="1069"/>
      <c r="NIQ295" s="1069"/>
      <c r="NIR295" s="1069"/>
      <c r="NIS295" s="1069"/>
      <c r="NIT295" s="1069"/>
      <c r="NIU295" s="1069"/>
      <c r="NIV295" s="1069"/>
      <c r="NIW295" s="1069"/>
      <c r="NIX295" s="1069"/>
      <c r="NIY295" s="1069"/>
      <c r="NIZ295" s="1069"/>
      <c r="NJA295" s="1069"/>
      <c r="NJB295" s="1069"/>
      <c r="NJC295" s="1069"/>
      <c r="NJD295" s="1069"/>
      <c r="NJE295" s="1069"/>
      <c r="NJF295" s="1069"/>
      <c r="NJG295" s="1069"/>
      <c r="NJH295" s="1069"/>
      <c r="NJI295" s="1069"/>
      <c r="NJJ295" s="1069"/>
      <c r="NJK295" s="1069"/>
      <c r="NJL295" s="1069"/>
      <c r="NJM295" s="1069"/>
      <c r="NJN295" s="1069"/>
      <c r="NJO295" s="1069"/>
      <c r="NJP295" s="1069"/>
      <c r="NJQ295" s="1069"/>
      <c r="NJR295" s="1069"/>
      <c r="NJS295" s="1069"/>
      <c r="NJT295" s="1069"/>
      <c r="NJU295" s="1069"/>
      <c r="NJV295" s="1069"/>
      <c r="NJW295" s="1069"/>
      <c r="NJX295" s="1069"/>
      <c r="NJY295" s="1069"/>
      <c r="NJZ295" s="1069"/>
      <c r="NKA295" s="1069"/>
      <c r="NKB295" s="1069"/>
      <c r="NKC295" s="1069"/>
      <c r="NKD295" s="1069"/>
      <c r="NKE295" s="1069"/>
      <c r="NKF295" s="1069"/>
      <c r="NKG295" s="1069"/>
      <c r="NKH295" s="1069"/>
      <c r="NKI295" s="1069"/>
      <c r="NKJ295" s="1069"/>
      <c r="NKK295" s="1069"/>
      <c r="NKL295" s="1069"/>
      <c r="NKM295" s="1069"/>
      <c r="NKN295" s="1069"/>
      <c r="NKO295" s="1069"/>
      <c r="NKP295" s="1069"/>
      <c r="NKQ295" s="1069"/>
      <c r="NKR295" s="1069"/>
      <c r="NKS295" s="1069"/>
      <c r="NKT295" s="1069"/>
      <c r="NKU295" s="1069"/>
      <c r="NKV295" s="1069"/>
      <c r="NKW295" s="1069"/>
      <c r="NKX295" s="1069"/>
      <c r="NKY295" s="1069"/>
      <c r="NKZ295" s="1069"/>
      <c r="NLA295" s="1069"/>
      <c r="NLB295" s="1069"/>
      <c r="NLC295" s="1069"/>
      <c r="NLD295" s="1069"/>
      <c r="NLE295" s="1069"/>
      <c r="NLF295" s="1069"/>
      <c r="NLG295" s="1069"/>
      <c r="NLH295" s="1069"/>
      <c r="NLI295" s="1069"/>
      <c r="NLJ295" s="1069"/>
      <c r="NLK295" s="1069"/>
      <c r="NLL295" s="1069"/>
      <c r="NLM295" s="1069"/>
      <c r="NLN295" s="1069"/>
      <c r="NLO295" s="1069"/>
      <c r="NLP295" s="1069"/>
      <c r="NLQ295" s="1069"/>
      <c r="NLR295" s="1069"/>
      <c r="NLS295" s="1069"/>
      <c r="NLT295" s="1069"/>
      <c r="NLU295" s="1069"/>
      <c r="NLV295" s="1069"/>
      <c r="NLW295" s="1069"/>
      <c r="NLX295" s="1069"/>
      <c r="NLY295" s="1069"/>
      <c r="NLZ295" s="1069"/>
      <c r="NMA295" s="1069"/>
      <c r="NMB295" s="1069"/>
      <c r="NMC295" s="1069"/>
      <c r="NMD295" s="1069"/>
      <c r="NME295" s="1069"/>
      <c r="NMF295" s="1069"/>
      <c r="NMG295" s="1069"/>
      <c r="NMH295" s="1069"/>
      <c r="NMI295" s="1069"/>
      <c r="NMJ295" s="1069"/>
      <c r="NMK295" s="1069"/>
      <c r="NML295" s="1069"/>
      <c r="NMM295" s="1069"/>
      <c r="NMN295" s="1069"/>
      <c r="NMO295" s="1069"/>
      <c r="NMP295" s="1069"/>
      <c r="NMQ295" s="1069"/>
      <c r="NMR295" s="1069"/>
      <c r="NMS295" s="1069"/>
      <c r="NMT295" s="1069"/>
      <c r="NMU295" s="1069"/>
      <c r="NMV295" s="1069"/>
      <c r="NMW295" s="1069"/>
      <c r="NMX295" s="1069"/>
      <c r="NMY295" s="1069"/>
      <c r="NMZ295" s="1069"/>
      <c r="NNA295" s="1069"/>
      <c r="NNB295" s="1069"/>
      <c r="NNC295" s="1069"/>
      <c r="NND295" s="1069"/>
      <c r="NNE295" s="1069"/>
      <c r="NNF295" s="1069"/>
      <c r="NNG295" s="1069"/>
      <c r="NNH295" s="1069"/>
      <c r="NNI295" s="1069"/>
      <c r="NNJ295" s="1069"/>
      <c r="NNK295" s="1069"/>
      <c r="NNL295" s="1069"/>
      <c r="NNM295" s="1069"/>
      <c r="NNN295" s="1069"/>
      <c r="NNO295" s="1069"/>
      <c r="NNP295" s="1069"/>
      <c r="NNQ295" s="1069"/>
      <c r="NNR295" s="1069"/>
      <c r="NNS295" s="1069"/>
      <c r="NNT295" s="1069"/>
      <c r="NNU295" s="1069"/>
      <c r="NNV295" s="1069"/>
      <c r="NNW295" s="1069"/>
      <c r="NNX295" s="1069"/>
      <c r="NNY295" s="1069"/>
      <c r="NNZ295" s="1069"/>
      <c r="NOA295" s="1069"/>
      <c r="NOB295" s="1069"/>
      <c r="NOC295" s="1069"/>
      <c r="NOD295" s="1069"/>
      <c r="NOE295" s="1069"/>
      <c r="NOF295" s="1069"/>
      <c r="NOG295" s="1069"/>
      <c r="NOH295" s="1069"/>
      <c r="NOI295" s="1069"/>
      <c r="NOJ295" s="1069"/>
      <c r="NOK295" s="1069"/>
      <c r="NOL295" s="1069"/>
      <c r="NOM295" s="1069"/>
      <c r="NON295" s="1069"/>
      <c r="NOO295" s="1069"/>
      <c r="NOP295" s="1069"/>
      <c r="NOQ295" s="1069"/>
      <c r="NOR295" s="1069"/>
      <c r="NOS295" s="1069"/>
      <c r="NOT295" s="1069"/>
      <c r="NOU295" s="1069"/>
      <c r="NOV295" s="1069"/>
      <c r="NOW295" s="1069"/>
      <c r="NOX295" s="1069"/>
      <c r="NOY295" s="1069"/>
      <c r="NOZ295" s="1069"/>
      <c r="NPA295" s="1069"/>
      <c r="NPB295" s="1069"/>
      <c r="NPC295" s="1069"/>
      <c r="NPD295" s="1069"/>
      <c r="NPE295" s="1069"/>
      <c r="NPF295" s="1069"/>
      <c r="NPG295" s="1069"/>
      <c r="NPH295" s="1069"/>
      <c r="NPI295" s="1069"/>
      <c r="NPJ295" s="1069"/>
      <c r="NPK295" s="1069"/>
      <c r="NPL295" s="1069"/>
      <c r="NPM295" s="1069"/>
      <c r="NPN295" s="1069"/>
      <c r="NPO295" s="1069"/>
      <c r="NPP295" s="1069"/>
      <c r="NPQ295" s="1069"/>
      <c r="NPR295" s="1069"/>
      <c r="NPS295" s="1069"/>
      <c r="NPT295" s="1069"/>
      <c r="NPU295" s="1069"/>
      <c r="NPV295" s="1069"/>
      <c r="NPW295" s="1069"/>
      <c r="NPX295" s="1069"/>
      <c r="NPY295" s="1069"/>
      <c r="NPZ295" s="1069"/>
      <c r="NQA295" s="1069"/>
      <c r="NQB295" s="1069"/>
      <c r="NQC295" s="1069"/>
      <c r="NQD295" s="1069"/>
      <c r="NQE295" s="1069"/>
      <c r="NQF295" s="1069"/>
      <c r="NQG295" s="1069"/>
      <c r="NQH295" s="1069"/>
      <c r="NQI295" s="1069"/>
      <c r="NQJ295" s="1069"/>
      <c r="NQK295" s="1069"/>
      <c r="NQL295" s="1069"/>
      <c r="NQM295" s="1069"/>
      <c r="NQN295" s="1069"/>
      <c r="NQO295" s="1069"/>
      <c r="NQP295" s="1069"/>
      <c r="NQQ295" s="1069"/>
      <c r="NQR295" s="1069"/>
      <c r="NQS295" s="1069"/>
      <c r="NQT295" s="1069"/>
      <c r="NQU295" s="1069"/>
      <c r="NQV295" s="1069"/>
      <c r="NQW295" s="1069"/>
      <c r="NQX295" s="1069"/>
      <c r="NQY295" s="1069"/>
      <c r="NQZ295" s="1069"/>
      <c r="NRA295" s="1069"/>
      <c r="NRB295" s="1069"/>
      <c r="NRC295" s="1069"/>
      <c r="NRD295" s="1069"/>
      <c r="NRE295" s="1069"/>
      <c r="NRF295" s="1069"/>
      <c r="NRG295" s="1069"/>
      <c r="NRH295" s="1069"/>
      <c r="NRI295" s="1069"/>
      <c r="NRJ295" s="1069"/>
      <c r="NRK295" s="1069"/>
      <c r="NRL295" s="1069"/>
      <c r="NRM295" s="1069"/>
      <c r="NRN295" s="1069"/>
      <c r="NRO295" s="1069"/>
      <c r="NRP295" s="1069"/>
      <c r="NRQ295" s="1069"/>
      <c r="NRR295" s="1069"/>
      <c r="NRS295" s="1069"/>
      <c r="NRT295" s="1069"/>
      <c r="NRU295" s="1069"/>
      <c r="NRV295" s="1069"/>
      <c r="NRW295" s="1069"/>
      <c r="NRX295" s="1069"/>
      <c r="NRY295" s="1069"/>
      <c r="NRZ295" s="1069"/>
      <c r="NSA295" s="1069"/>
      <c r="NSB295" s="1069"/>
      <c r="NSC295" s="1069"/>
      <c r="NSD295" s="1069"/>
      <c r="NSE295" s="1069"/>
      <c r="NSF295" s="1069"/>
      <c r="NSG295" s="1069"/>
      <c r="NSH295" s="1069"/>
      <c r="NSI295" s="1069"/>
      <c r="NSJ295" s="1069"/>
      <c r="NSK295" s="1069"/>
      <c r="NSL295" s="1069"/>
      <c r="NSM295" s="1069"/>
      <c r="NSN295" s="1069"/>
      <c r="NSO295" s="1069"/>
      <c r="NSP295" s="1069"/>
      <c r="NSQ295" s="1069"/>
      <c r="NSR295" s="1069"/>
      <c r="NSS295" s="1069"/>
      <c r="NST295" s="1069"/>
      <c r="NSU295" s="1069"/>
      <c r="NSV295" s="1069"/>
      <c r="NSW295" s="1069"/>
      <c r="NSX295" s="1069"/>
      <c r="NSY295" s="1069"/>
      <c r="NSZ295" s="1069"/>
      <c r="NTA295" s="1069"/>
      <c r="NTB295" s="1069"/>
      <c r="NTC295" s="1069"/>
      <c r="NTD295" s="1069"/>
      <c r="NTE295" s="1069"/>
      <c r="NTF295" s="1069"/>
      <c r="NTG295" s="1069"/>
      <c r="NTH295" s="1069"/>
      <c r="NTI295" s="1069"/>
      <c r="NTJ295" s="1069"/>
      <c r="NTK295" s="1069"/>
      <c r="NTL295" s="1069"/>
      <c r="NTM295" s="1069"/>
      <c r="NTN295" s="1069"/>
      <c r="NTO295" s="1069"/>
      <c r="NTP295" s="1069"/>
      <c r="NTQ295" s="1069"/>
      <c r="NTR295" s="1069"/>
      <c r="NTS295" s="1069"/>
      <c r="NTT295" s="1069"/>
      <c r="NTU295" s="1069"/>
      <c r="NTV295" s="1069"/>
      <c r="NTW295" s="1069"/>
      <c r="NTX295" s="1069"/>
      <c r="NTY295" s="1069"/>
      <c r="NTZ295" s="1069"/>
      <c r="NUA295" s="1069"/>
      <c r="NUB295" s="1069"/>
      <c r="NUC295" s="1069"/>
      <c r="NUD295" s="1069"/>
      <c r="NUE295" s="1069"/>
      <c r="NUF295" s="1069"/>
      <c r="NUG295" s="1069"/>
      <c r="NUH295" s="1069"/>
      <c r="NUI295" s="1069"/>
      <c r="NUJ295" s="1069"/>
      <c r="NUK295" s="1069"/>
      <c r="NUL295" s="1069"/>
      <c r="NUM295" s="1069"/>
      <c r="NUN295" s="1069"/>
      <c r="NUO295" s="1069"/>
      <c r="NUP295" s="1069"/>
      <c r="NUQ295" s="1069"/>
      <c r="NUR295" s="1069"/>
      <c r="NUS295" s="1069"/>
      <c r="NUT295" s="1069"/>
      <c r="NUU295" s="1069"/>
      <c r="NUV295" s="1069"/>
      <c r="NUW295" s="1069"/>
      <c r="NUX295" s="1069"/>
      <c r="NUY295" s="1069"/>
      <c r="NUZ295" s="1069"/>
      <c r="NVA295" s="1069"/>
      <c r="NVB295" s="1069"/>
      <c r="NVC295" s="1069"/>
      <c r="NVD295" s="1069"/>
      <c r="NVE295" s="1069"/>
      <c r="NVF295" s="1069"/>
      <c r="NVG295" s="1069"/>
      <c r="NVH295" s="1069"/>
      <c r="NVI295" s="1069"/>
      <c r="NVJ295" s="1069"/>
      <c r="NVK295" s="1069"/>
      <c r="NVL295" s="1069"/>
      <c r="NVM295" s="1069"/>
      <c r="NVN295" s="1069"/>
      <c r="NVO295" s="1069"/>
      <c r="NVP295" s="1069"/>
      <c r="NVQ295" s="1069"/>
      <c r="NVR295" s="1069"/>
      <c r="NVS295" s="1069"/>
      <c r="NVT295" s="1069"/>
      <c r="NVU295" s="1069"/>
      <c r="NVV295" s="1069"/>
      <c r="NVW295" s="1069"/>
      <c r="NVX295" s="1069"/>
      <c r="NVY295" s="1069"/>
      <c r="NVZ295" s="1069"/>
      <c r="NWA295" s="1069"/>
      <c r="NWB295" s="1069"/>
      <c r="NWC295" s="1069"/>
      <c r="NWD295" s="1069"/>
      <c r="NWE295" s="1069"/>
      <c r="NWF295" s="1069"/>
      <c r="NWG295" s="1069"/>
      <c r="NWH295" s="1069"/>
      <c r="NWI295" s="1069"/>
      <c r="NWJ295" s="1069"/>
      <c r="NWK295" s="1069"/>
      <c r="NWL295" s="1069"/>
      <c r="NWM295" s="1069"/>
      <c r="NWN295" s="1069"/>
      <c r="NWO295" s="1069"/>
      <c r="NWP295" s="1069"/>
      <c r="NWQ295" s="1069"/>
      <c r="NWR295" s="1069"/>
      <c r="NWS295" s="1069"/>
      <c r="NWT295" s="1069"/>
      <c r="NWU295" s="1069"/>
      <c r="NWV295" s="1069"/>
      <c r="NWW295" s="1069"/>
      <c r="NWX295" s="1069"/>
      <c r="NWY295" s="1069"/>
      <c r="NWZ295" s="1069"/>
      <c r="NXA295" s="1069"/>
      <c r="NXB295" s="1069"/>
      <c r="NXC295" s="1069"/>
      <c r="NXD295" s="1069"/>
      <c r="NXE295" s="1069"/>
      <c r="NXF295" s="1069"/>
      <c r="NXG295" s="1069"/>
      <c r="NXH295" s="1069"/>
      <c r="NXI295" s="1069"/>
      <c r="NXJ295" s="1069"/>
      <c r="NXK295" s="1069"/>
      <c r="NXL295" s="1069"/>
      <c r="NXM295" s="1069"/>
      <c r="NXN295" s="1069"/>
      <c r="NXO295" s="1069"/>
      <c r="NXP295" s="1069"/>
      <c r="NXQ295" s="1069"/>
      <c r="NXR295" s="1069"/>
      <c r="NXS295" s="1069"/>
      <c r="NXT295" s="1069"/>
      <c r="NXU295" s="1069"/>
      <c r="NXV295" s="1069"/>
      <c r="NXW295" s="1069"/>
      <c r="NXX295" s="1069"/>
      <c r="NXY295" s="1069"/>
      <c r="NXZ295" s="1069"/>
      <c r="NYA295" s="1069"/>
      <c r="NYB295" s="1069"/>
      <c r="NYC295" s="1069"/>
      <c r="NYD295" s="1069"/>
      <c r="NYE295" s="1069"/>
      <c r="NYF295" s="1069"/>
      <c r="NYG295" s="1069"/>
      <c r="NYH295" s="1069"/>
      <c r="NYI295" s="1069"/>
      <c r="NYJ295" s="1069"/>
      <c r="NYK295" s="1069"/>
      <c r="NYL295" s="1069"/>
      <c r="NYM295" s="1069"/>
      <c r="NYN295" s="1069"/>
      <c r="NYO295" s="1069"/>
      <c r="NYP295" s="1069"/>
      <c r="NYQ295" s="1069"/>
      <c r="NYR295" s="1069"/>
      <c r="NYS295" s="1069"/>
      <c r="NYT295" s="1069"/>
      <c r="NYU295" s="1069"/>
      <c r="NYV295" s="1069"/>
      <c r="NYW295" s="1069"/>
      <c r="NYX295" s="1069"/>
      <c r="NYY295" s="1069"/>
      <c r="NYZ295" s="1069"/>
      <c r="NZA295" s="1069"/>
      <c r="NZB295" s="1069"/>
      <c r="NZC295" s="1069"/>
      <c r="NZD295" s="1069"/>
      <c r="NZE295" s="1069"/>
      <c r="NZF295" s="1069"/>
      <c r="NZG295" s="1069"/>
      <c r="NZH295" s="1069"/>
      <c r="NZI295" s="1069"/>
      <c r="NZJ295" s="1069"/>
      <c r="NZK295" s="1069"/>
      <c r="NZL295" s="1069"/>
      <c r="NZM295" s="1069"/>
      <c r="NZN295" s="1069"/>
      <c r="NZO295" s="1069"/>
      <c r="NZP295" s="1069"/>
      <c r="NZQ295" s="1069"/>
      <c r="NZR295" s="1069"/>
      <c r="NZS295" s="1069"/>
      <c r="NZT295" s="1069"/>
      <c r="NZU295" s="1069"/>
      <c r="NZV295" s="1069"/>
      <c r="NZW295" s="1069"/>
      <c r="NZX295" s="1069"/>
      <c r="NZY295" s="1069"/>
      <c r="NZZ295" s="1069"/>
      <c r="OAA295" s="1069"/>
      <c r="OAB295" s="1069"/>
      <c r="OAC295" s="1069"/>
      <c r="OAD295" s="1069"/>
      <c r="OAE295" s="1069"/>
      <c r="OAF295" s="1069"/>
      <c r="OAG295" s="1069"/>
      <c r="OAH295" s="1069"/>
      <c r="OAI295" s="1069"/>
      <c r="OAJ295" s="1069"/>
      <c r="OAK295" s="1069"/>
      <c r="OAL295" s="1069"/>
      <c r="OAM295" s="1069"/>
      <c r="OAN295" s="1069"/>
      <c r="OAO295" s="1069"/>
      <c r="OAP295" s="1069"/>
      <c r="OAQ295" s="1069"/>
      <c r="OAR295" s="1069"/>
      <c r="OAS295" s="1069"/>
      <c r="OAT295" s="1069"/>
      <c r="OAU295" s="1069"/>
      <c r="OAV295" s="1069"/>
      <c r="OAW295" s="1069"/>
      <c r="OAX295" s="1069"/>
      <c r="OAY295" s="1069"/>
      <c r="OAZ295" s="1069"/>
      <c r="OBA295" s="1069"/>
      <c r="OBB295" s="1069"/>
      <c r="OBC295" s="1069"/>
      <c r="OBD295" s="1069"/>
      <c r="OBE295" s="1069"/>
      <c r="OBF295" s="1069"/>
      <c r="OBG295" s="1069"/>
      <c r="OBH295" s="1069"/>
      <c r="OBI295" s="1069"/>
      <c r="OBJ295" s="1069"/>
      <c r="OBK295" s="1069"/>
      <c r="OBL295" s="1069"/>
      <c r="OBM295" s="1069"/>
      <c r="OBN295" s="1069"/>
      <c r="OBO295" s="1069"/>
      <c r="OBP295" s="1069"/>
      <c r="OBQ295" s="1069"/>
      <c r="OBR295" s="1069"/>
      <c r="OBS295" s="1069"/>
      <c r="OBT295" s="1069"/>
      <c r="OBU295" s="1069"/>
      <c r="OBV295" s="1069"/>
      <c r="OBW295" s="1069"/>
      <c r="OBX295" s="1069"/>
      <c r="OBY295" s="1069"/>
      <c r="OBZ295" s="1069"/>
      <c r="OCA295" s="1069"/>
      <c r="OCB295" s="1069"/>
      <c r="OCC295" s="1069"/>
      <c r="OCD295" s="1069"/>
      <c r="OCE295" s="1069"/>
      <c r="OCF295" s="1069"/>
      <c r="OCG295" s="1069"/>
      <c r="OCH295" s="1069"/>
      <c r="OCI295" s="1069"/>
      <c r="OCJ295" s="1069"/>
      <c r="OCK295" s="1069"/>
      <c r="OCL295" s="1069"/>
      <c r="OCM295" s="1069"/>
      <c r="OCN295" s="1069"/>
      <c r="OCO295" s="1069"/>
      <c r="OCP295" s="1069"/>
      <c r="OCQ295" s="1069"/>
      <c r="OCR295" s="1069"/>
      <c r="OCS295" s="1069"/>
      <c r="OCT295" s="1069"/>
      <c r="OCU295" s="1069"/>
      <c r="OCV295" s="1069"/>
      <c r="OCW295" s="1069"/>
      <c r="OCX295" s="1069"/>
      <c r="OCY295" s="1069"/>
      <c r="OCZ295" s="1069"/>
      <c r="ODA295" s="1069"/>
      <c r="ODB295" s="1069"/>
      <c r="ODC295" s="1069"/>
      <c r="ODD295" s="1069"/>
      <c r="ODE295" s="1069"/>
      <c r="ODF295" s="1069"/>
      <c r="ODG295" s="1069"/>
      <c r="ODH295" s="1069"/>
      <c r="ODI295" s="1069"/>
      <c r="ODJ295" s="1069"/>
      <c r="ODK295" s="1069"/>
      <c r="ODL295" s="1069"/>
      <c r="ODM295" s="1069"/>
      <c r="ODN295" s="1069"/>
      <c r="ODO295" s="1069"/>
      <c r="ODP295" s="1069"/>
      <c r="ODQ295" s="1069"/>
      <c r="ODR295" s="1069"/>
      <c r="ODS295" s="1069"/>
      <c r="ODT295" s="1069"/>
      <c r="ODU295" s="1069"/>
      <c r="ODV295" s="1069"/>
      <c r="ODW295" s="1069"/>
      <c r="ODX295" s="1069"/>
      <c r="ODY295" s="1069"/>
      <c r="ODZ295" s="1069"/>
      <c r="OEA295" s="1069"/>
      <c r="OEB295" s="1069"/>
      <c r="OEC295" s="1069"/>
      <c r="OED295" s="1069"/>
      <c r="OEE295" s="1069"/>
      <c r="OEF295" s="1069"/>
      <c r="OEG295" s="1069"/>
      <c r="OEH295" s="1069"/>
      <c r="OEI295" s="1069"/>
      <c r="OEJ295" s="1069"/>
      <c r="OEK295" s="1069"/>
      <c r="OEL295" s="1069"/>
      <c r="OEM295" s="1069"/>
      <c r="OEN295" s="1069"/>
      <c r="OEO295" s="1069"/>
      <c r="OEP295" s="1069"/>
      <c r="OEQ295" s="1069"/>
      <c r="OER295" s="1069"/>
      <c r="OES295" s="1069"/>
      <c r="OET295" s="1069"/>
      <c r="OEU295" s="1069"/>
      <c r="OEV295" s="1069"/>
      <c r="OEW295" s="1069"/>
      <c r="OEX295" s="1069"/>
      <c r="OEY295" s="1069"/>
      <c r="OEZ295" s="1069"/>
      <c r="OFA295" s="1069"/>
      <c r="OFB295" s="1069"/>
      <c r="OFC295" s="1069"/>
      <c r="OFD295" s="1069"/>
      <c r="OFE295" s="1069"/>
      <c r="OFF295" s="1069"/>
      <c r="OFG295" s="1069"/>
      <c r="OFH295" s="1069"/>
      <c r="OFI295" s="1069"/>
      <c r="OFJ295" s="1069"/>
      <c r="OFK295" s="1069"/>
      <c r="OFL295" s="1069"/>
      <c r="OFM295" s="1069"/>
      <c r="OFN295" s="1069"/>
      <c r="OFO295" s="1069"/>
      <c r="OFP295" s="1069"/>
      <c r="OFQ295" s="1069"/>
      <c r="OFR295" s="1069"/>
      <c r="OFS295" s="1069"/>
      <c r="OFT295" s="1069"/>
      <c r="OFU295" s="1069"/>
      <c r="OFV295" s="1069"/>
      <c r="OFW295" s="1069"/>
      <c r="OFX295" s="1069"/>
      <c r="OFY295" s="1069"/>
      <c r="OFZ295" s="1069"/>
      <c r="OGA295" s="1069"/>
      <c r="OGB295" s="1069"/>
      <c r="OGC295" s="1069"/>
      <c r="OGD295" s="1069"/>
      <c r="OGE295" s="1069"/>
      <c r="OGF295" s="1069"/>
      <c r="OGG295" s="1069"/>
      <c r="OGH295" s="1069"/>
      <c r="OGI295" s="1069"/>
      <c r="OGJ295" s="1069"/>
      <c r="OGK295" s="1069"/>
      <c r="OGL295" s="1069"/>
      <c r="OGM295" s="1069"/>
      <c r="OGN295" s="1069"/>
      <c r="OGO295" s="1069"/>
      <c r="OGP295" s="1069"/>
      <c r="OGQ295" s="1069"/>
      <c r="OGR295" s="1069"/>
      <c r="OGS295" s="1069"/>
      <c r="OGT295" s="1069"/>
      <c r="OGU295" s="1069"/>
      <c r="OGV295" s="1069"/>
      <c r="OGW295" s="1069"/>
      <c r="OGX295" s="1069"/>
      <c r="OGY295" s="1069"/>
      <c r="OGZ295" s="1069"/>
      <c r="OHA295" s="1069"/>
      <c r="OHB295" s="1069"/>
      <c r="OHC295" s="1069"/>
      <c r="OHD295" s="1069"/>
      <c r="OHE295" s="1069"/>
      <c r="OHF295" s="1069"/>
      <c r="OHG295" s="1069"/>
      <c r="OHH295" s="1069"/>
      <c r="OHI295" s="1069"/>
      <c r="OHJ295" s="1069"/>
      <c r="OHK295" s="1069"/>
      <c r="OHL295" s="1069"/>
      <c r="OHM295" s="1069"/>
      <c r="OHN295" s="1069"/>
      <c r="OHO295" s="1069"/>
      <c r="OHP295" s="1069"/>
      <c r="OHQ295" s="1069"/>
      <c r="OHR295" s="1069"/>
      <c r="OHS295" s="1069"/>
      <c r="OHT295" s="1069"/>
      <c r="OHU295" s="1069"/>
      <c r="OHV295" s="1069"/>
      <c r="OHW295" s="1069"/>
      <c r="OHX295" s="1069"/>
      <c r="OHY295" s="1069"/>
      <c r="OHZ295" s="1069"/>
      <c r="OIA295" s="1069"/>
      <c r="OIB295" s="1069"/>
      <c r="OIC295" s="1069"/>
      <c r="OID295" s="1069"/>
      <c r="OIE295" s="1069"/>
      <c r="OIF295" s="1069"/>
      <c r="OIG295" s="1069"/>
      <c r="OIH295" s="1069"/>
      <c r="OII295" s="1069"/>
      <c r="OIJ295" s="1069"/>
      <c r="OIK295" s="1069"/>
      <c r="OIL295" s="1069"/>
      <c r="OIM295" s="1069"/>
      <c r="OIN295" s="1069"/>
      <c r="OIO295" s="1069"/>
      <c r="OIP295" s="1069"/>
      <c r="OIQ295" s="1069"/>
      <c r="OIR295" s="1069"/>
      <c r="OIS295" s="1069"/>
      <c r="OIT295" s="1069"/>
      <c r="OIU295" s="1069"/>
      <c r="OIV295" s="1069"/>
      <c r="OIW295" s="1069"/>
      <c r="OIX295" s="1069"/>
      <c r="OIY295" s="1069"/>
      <c r="OIZ295" s="1069"/>
      <c r="OJA295" s="1069"/>
      <c r="OJB295" s="1069"/>
      <c r="OJC295" s="1069"/>
      <c r="OJD295" s="1069"/>
      <c r="OJE295" s="1069"/>
      <c r="OJF295" s="1069"/>
      <c r="OJG295" s="1069"/>
      <c r="OJH295" s="1069"/>
      <c r="OJI295" s="1069"/>
      <c r="OJJ295" s="1069"/>
      <c r="OJK295" s="1069"/>
      <c r="OJL295" s="1069"/>
      <c r="OJM295" s="1069"/>
      <c r="OJN295" s="1069"/>
      <c r="OJO295" s="1069"/>
      <c r="OJP295" s="1069"/>
      <c r="OJQ295" s="1069"/>
      <c r="OJR295" s="1069"/>
      <c r="OJS295" s="1069"/>
      <c r="OJT295" s="1069"/>
      <c r="OJU295" s="1069"/>
      <c r="OJV295" s="1069"/>
      <c r="OJW295" s="1069"/>
      <c r="OJX295" s="1069"/>
      <c r="OJY295" s="1069"/>
      <c r="OJZ295" s="1069"/>
      <c r="OKA295" s="1069"/>
      <c r="OKB295" s="1069"/>
      <c r="OKC295" s="1069"/>
      <c r="OKD295" s="1069"/>
      <c r="OKE295" s="1069"/>
      <c r="OKF295" s="1069"/>
      <c r="OKG295" s="1069"/>
      <c r="OKH295" s="1069"/>
      <c r="OKI295" s="1069"/>
      <c r="OKJ295" s="1069"/>
      <c r="OKK295" s="1069"/>
      <c r="OKL295" s="1069"/>
      <c r="OKM295" s="1069"/>
      <c r="OKN295" s="1069"/>
      <c r="OKO295" s="1069"/>
      <c r="OKP295" s="1069"/>
      <c r="OKQ295" s="1069"/>
      <c r="OKR295" s="1069"/>
      <c r="OKS295" s="1069"/>
      <c r="OKT295" s="1069"/>
      <c r="OKU295" s="1069"/>
      <c r="OKV295" s="1069"/>
      <c r="OKW295" s="1069"/>
      <c r="OKX295" s="1069"/>
      <c r="OKY295" s="1069"/>
      <c r="OKZ295" s="1069"/>
      <c r="OLA295" s="1069"/>
      <c r="OLB295" s="1069"/>
      <c r="OLC295" s="1069"/>
      <c r="OLD295" s="1069"/>
      <c r="OLE295" s="1069"/>
      <c r="OLF295" s="1069"/>
      <c r="OLG295" s="1069"/>
      <c r="OLH295" s="1069"/>
      <c r="OLI295" s="1069"/>
      <c r="OLJ295" s="1069"/>
      <c r="OLK295" s="1069"/>
      <c r="OLL295" s="1069"/>
      <c r="OLM295" s="1069"/>
      <c r="OLN295" s="1069"/>
      <c r="OLO295" s="1069"/>
      <c r="OLP295" s="1069"/>
      <c r="OLQ295" s="1069"/>
      <c r="OLR295" s="1069"/>
      <c r="OLS295" s="1069"/>
      <c r="OLT295" s="1069"/>
      <c r="OLU295" s="1069"/>
      <c r="OLV295" s="1069"/>
      <c r="OLW295" s="1069"/>
      <c r="OLX295" s="1069"/>
      <c r="OLY295" s="1069"/>
      <c r="OLZ295" s="1069"/>
      <c r="OMA295" s="1069"/>
      <c r="OMB295" s="1069"/>
      <c r="OMC295" s="1069"/>
      <c r="OMD295" s="1069"/>
      <c r="OME295" s="1069"/>
      <c r="OMF295" s="1069"/>
      <c r="OMG295" s="1069"/>
      <c r="OMH295" s="1069"/>
      <c r="OMI295" s="1069"/>
      <c r="OMJ295" s="1069"/>
      <c r="OMK295" s="1069"/>
      <c r="OML295" s="1069"/>
      <c r="OMM295" s="1069"/>
      <c r="OMN295" s="1069"/>
      <c r="OMO295" s="1069"/>
      <c r="OMP295" s="1069"/>
      <c r="OMQ295" s="1069"/>
      <c r="OMR295" s="1069"/>
      <c r="OMS295" s="1069"/>
      <c r="OMT295" s="1069"/>
      <c r="OMU295" s="1069"/>
      <c r="OMV295" s="1069"/>
      <c r="OMW295" s="1069"/>
      <c r="OMX295" s="1069"/>
      <c r="OMY295" s="1069"/>
      <c r="OMZ295" s="1069"/>
      <c r="ONA295" s="1069"/>
      <c r="ONB295" s="1069"/>
      <c r="ONC295" s="1069"/>
      <c r="OND295" s="1069"/>
      <c r="ONE295" s="1069"/>
      <c r="ONF295" s="1069"/>
      <c r="ONG295" s="1069"/>
      <c r="ONH295" s="1069"/>
      <c r="ONI295" s="1069"/>
      <c r="ONJ295" s="1069"/>
      <c r="ONK295" s="1069"/>
      <c r="ONL295" s="1069"/>
      <c r="ONM295" s="1069"/>
      <c r="ONN295" s="1069"/>
      <c r="ONO295" s="1069"/>
      <c r="ONP295" s="1069"/>
      <c r="ONQ295" s="1069"/>
      <c r="ONR295" s="1069"/>
      <c r="ONS295" s="1069"/>
      <c r="ONT295" s="1069"/>
      <c r="ONU295" s="1069"/>
      <c r="ONV295" s="1069"/>
      <c r="ONW295" s="1069"/>
      <c r="ONX295" s="1069"/>
      <c r="ONY295" s="1069"/>
      <c r="ONZ295" s="1069"/>
      <c r="OOA295" s="1069"/>
      <c r="OOB295" s="1069"/>
      <c r="OOC295" s="1069"/>
      <c r="OOD295" s="1069"/>
      <c r="OOE295" s="1069"/>
      <c r="OOF295" s="1069"/>
      <c r="OOG295" s="1069"/>
      <c r="OOH295" s="1069"/>
      <c r="OOI295" s="1069"/>
      <c r="OOJ295" s="1069"/>
      <c r="OOK295" s="1069"/>
      <c r="OOL295" s="1069"/>
      <c r="OOM295" s="1069"/>
      <c r="OON295" s="1069"/>
      <c r="OOO295" s="1069"/>
      <c r="OOP295" s="1069"/>
      <c r="OOQ295" s="1069"/>
      <c r="OOR295" s="1069"/>
      <c r="OOS295" s="1069"/>
      <c r="OOT295" s="1069"/>
      <c r="OOU295" s="1069"/>
      <c r="OOV295" s="1069"/>
      <c r="OOW295" s="1069"/>
      <c r="OOX295" s="1069"/>
      <c r="OOY295" s="1069"/>
      <c r="OOZ295" s="1069"/>
      <c r="OPA295" s="1069"/>
      <c r="OPB295" s="1069"/>
      <c r="OPC295" s="1069"/>
      <c r="OPD295" s="1069"/>
      <c r="OPE295" s="1069"/>
      <c r="OPF295" s="1069"/>
      <c r="OPG295" s="1069"/>
      <c r="OPH295" s="1069"/>
      <c r="OPI295" s="1069"/>
      <c r="OPJ295" s="1069"/>
      <c r="OPK295" s="1069"/>
      <c r="OPL295" s="1069"/>
      <c r="OPM295" s="1069"/>
      <c r="OPN295" s="1069"/>
      <c r="OPO295" s="1069"/>
      <c r="OPP295" s="1069"/>
      <c r="OPQ295" s="1069"/>
      <c r="OPR295" s="1069"/>
      <c r="OPS295" s="1069"/>
      <c r="OPT295" s="1069"/>
      <c r="OPU295" s="1069"/>
      <c r="OPV295" s="1069"/>
      <c r="OPW295" s="1069"/>
      <c r="OPX295" s="1069"/>
      <c r="OPY295" s="1069"/>
      <c r="OPZ295" s="1069"/>
      <c r="OQA295" s="1069"/>
      <c r="OQB295" s="1069"/>
      <c r="OQC295" s="1069"/>
      <c r="OQD295" s="1069"/>
      <c r="OQE295" s="1069"/>
      <c r="OQF295" s="1069"/>
      <c r="OQG295" s="1069"/>
      <c r="OQH295" s="1069"/>
      <c r="OQI295" s="1069"/>
      <c r="OQJ295" s="1069"/>
      <c r="OQK295" s="1069"/>
      <c r="OQL295" s="1069"/>
      <c r="OQM295" s="1069"/>
      <c r="OQN295" s="1069"/>
      <c r="OQO295" s="1069"/>
      <c r="OQP295" s="1069"/>
      <c r="OQQ295" s="1069"/>
      <c r="OQR295" s="1069"/>
      <c r="OQS295" s="1069"/>
      <c r="OQT295" s="1069"/>
      <c r="OQU295" s="1069"/>
      <c r="OQV295" s="1069"/>
      <c r="OQW295" s="1069"/>
      <c r="OQX295" s="1069"/>
      <c r="OQY295" s="1069"/>
      <c r="OQZ295" s="1069"/>
      <c r="ORA295" s="1069"/>
      <c r="ORB295" s="1069"/>
      <c r="ORC295" s="1069"/>
      <c r="ORD295" s="1069"/>
      <c r="ORE295" s="1069"/>
      <c r="ORF295" s="1069"/>
      <c r="ORG295" s="1069"/>
      <c r="ORH295" s="1069"/>
      <c r="ORI295" s="1069"/>
      <c r="ORJ295" s="1069"/>
      <c r="ORK295" s="1069"/>
      <c r="ORL295" s="1069"/>
      <c r="ORM295" s="1069"/>
      <c r="ORN295" s="1069"/>
      <c r="ORO295" s="1069"/>
      <c r="ORP295" s="1069"/>
      <c r="ORQ295" s="1069"/>
      <c r="ORR295" s="1069"/>
      <c r="ORS295" s="1069"/>
      <c r="ORT295" s="1069"/>
      <c r="ORU295" s="1069"/>
      <c r="ORV295" s="1069"/>
      <c r="ORW295" s="1069"/>
      <c r="ORX295" s="1069"/>
      <c r="ORY295" s="1069"/>
      <c r="ORZ295" s="1069"/>
      <c r="OSA295" s="1069"/>
      <c r="OSB295" s="1069"/>
      <c r="OSC295" s="1069"/>
      <c r="OSD295" s="1069"/>
      <c r="OSE295" s="1069"/>
      <c r="OSF295" s="1069"/>
      <c r="OSG295" s="1069"/>
      <c r="OSH295" s="1069"/>
      <c r="OSI295" s="1069"/>
      <c r="OSJ295" s="1069"/>
      <c r="OSK295" s="1069"/>
      <c r="OSL295" s="1069"/>
      <c r="OSM295" s="1069"/>
      <c r="OSN295" s="1069"/>
      <c r="OSO295" s="1069"/>
      <c r="OSP295" s="1069"/>
      <c r="OSQ295" s="1069"/>
      <c r="OSR295" s="1069"/>
      <c r="OSS295" s="1069"/>
      <c r="OST295" s="1069"/>
      <c r="OSU295" s="1069"/>
      <c r="OSV295" s="1069"/>
      <c r="OSW295" s="1069"/>
      <c r="OSX295" s="1069"/>
      <c r="OSY295" s="1069"/>
      <c r="OSZ295" s="1069"/>
      <c r="OTA295" s="1069"/>
      <c r="OTB295" s="1069"/>
      <c r="OTC295" s="1069"/>
      <c r="OTD295" s="1069"/>
      <c r="OTE295" s="1069"/>
      <c r="OTF295" s="1069"/>
      <c r="OTG295" s="1069"/>
      <c r="OTH295" s="1069"/>
      <c r="OTI295" s="1069"/>
      <c r="OTJ295" s="1069"/>
      <c r="OTK295" s="1069"/>
      <c r="OTL295" s="1069"/>
      <c r="OTM295" s="1069"/>
      <c r="OTN295" s="1069"/>
      <c r="OTO295" s="1069"/>
      <c r="OTP295" s="1069"/>
      <c r="OTQ295" s="1069"/>
      <c r="OTR295" s="1069"/>
      <c r="OTS295" s="1069"/>
      <c r="OTT295" s="1069"/>
      <c r="OTU295" s="1069"/>
      <c r="OTV295" s="1069"/>
      <c r="OTW295" s="1069"/>
      <c r="OTX295" s="1069"/>
      <c r="OTY295" s="1069"/>
      <c r="OTZ295" s="1069"/>
      <c r="OUA295" s="1069"/>
      <c r="OUB295" s="1069"/>
      <c r="OUC295" s="1069"/>
      <c r="OUD295" s="1069"/>
      <c r="OUE295" s="1069"/>
      <c r="OUF295" s="1069"/>
      <c r="OUG295" s="1069"/>
      <c r="OUH295" s="1069"/>
      <c r="OUI295" s="1069"/>
      <c r="OUJ295" s="1069"/>
      <c r="OUK295" s="1069"/>
      <c r="OUL295" s="1069"/>
      <c r="OUM295" s="1069"/>
      <c r="OUN295" s="1069"/>
      <c r="OUO295" s="1069"/>
      <c r="OUP295" s="1069"/>
      <c r="OUQ295" s="1069"/>
      <c r="OUR295" s="1069"/>
      <c r="OUS295" s="1069"/>
      <c r="OUT295" s="1069"/>
      <c r="OUU295" s="1069"/>
      <c r="OUV295" s="1069"/>
      <c r="OUW295" s="1069"/>
      <c r="OUX295" s="1069"/>
      <c r="OUY295" s="1069"/>
      <c r="OUZ295" s="1069"/>
      <c r="OVA295" s="1069"/>
      <c r="OVB295" s="1069"/>
      <c r="OVC295" s="1069"/>
      <c r="OVD295" s="1069"/>
      <c r="OVE295" s="1069"/>
      <c r="OVF295" s="1069"/>
      <c r="OVG295" s="1069"/>
      <c r="OVH295" s="1069"/>
      <c r="OVI295" s="1069"/>
      <c r="OVJ295" s="1069"/>
      <c r="OVK295" s="1069"/>
      <c r="OVL295" s="1069"/>
      <c r="OVM295" s="1069"/>
      <c r="OVN295" s="1069"/>
      <c r="OVO295" s="1069"/>
      <c r="OVP295" s="1069"/>
      <c r="OVQ295" s="1069"/>
      <c r="OVR295" s="1069"/>
      <c r="OVS295" s="1069"/>
      <c r="OVT295" s="1069"/>
      <c r="OVU295" s="1069"/>
      <c r="OVV295" s="1069"/>
      <c r="OVW295" s="1069"/>
      <c r="OVX295" s="1069"/>
      <c r="OVY295" s="1069"/>
      <c r="OVZ295" s="1069"/>
      <c r="OWA295" s="1069"/>
      <c r="OWB295" s="1069"/>
      <c r="OWC295" s="1069"/>
      <c r="OWD295" s="1069"/>
      <c r="OWE295" s="1069"/>
      <c r="OWF295" s="1069"/>
      <c r="OWG295" s="1069"/>
      <c r="OWH295" s="1069"/>
      <c r="OWI295" s="1069"/>
      <c r="OWJ295" s="1069"/>
      <c r="OWK295" s="1069"/>
      <c r="OWL295" s="1069"/>
      <c r="OWM295" s="1069"/>
      <c r="OWN295" s="1069"/>
      <c r="OWO295" s="1069"/>
      <c r="OWP295" s="1069"/>
      <c r="OWQ295" s="1069"/>
      <c r="OWR295" s="1069"/>
      <c r="OWS295" s="1069"/>
      <c r="OWT295" s="1069"/>
      <c r="OWU295" s="1069"/>
      <c r="OWV295" s="1069"/>
      <c r="OWW295" s="1069"/>
      <c r="OWX295" s="1069"/>
      <c r="OWY295" s="1069"/>
      <c r="OWZ295" s="1069"/>
      <c r="OXA295" s="1069"/>
      <c r="OXB295" s="1069"/>
      <c r="OXC295" s="1069"/>
      <c r="OXD295" s="1069"/>
      <c r="OXE295" s="1069"/>
      <c r="OXF295" s="1069"/>
      <c r="OXG295" s="1069"/>
      <c r="OXH295" s="1069"/>
      <c r="OXI295" s="1069"/>
      <c r="OXJ295" s="1069"/>
      <c r="OXK295" s="1069"/>
      <c r="OXL295" s="1069"/>
      <c r="OXM295" s="1069"/>
      <c r="OXN295" s="1069"/>
      <c r="OXO295" s="1069"/>
      <c r="OXP295" s="1069"/>
      <c r="OXQ295" s="1069"/>
      <c r="OXR295" s="1069"/>
      <c r="OXS295" s="1069"/>
      <c r="OXT295" s="1069"/>
      <c r="OXU295" s="1069"/>
      <c r="OXV295" s="1069"/>
      <c r="OXW295" s="1069"/>
      <c r="OXX295" s="1069"/>
      <c r="OXY295" s="1069"/>
      <c r="OXZ295" s="1069"/>
      <c r="OYA295" s="1069"/>
      <c r="OYB295" s="1069"/>
      <c r="OYC295" s="1069"/>
      <c r="OYD295" s="1069"/>
      <c r="OYE295" s="1069"/>
      <c r="OYF295" s="1069"/>
      <c r="OYG295" s="1069"/>
      <c r="OYH295" s="1069"/>
      <c r="OYI295" s="1069"/>
      <c r="OYJ295" s="1069"/>
      <c r="OYK295" s="1069"/>
      <c r="OYL295" s="1069"/>
      <c r="OYM295" s="1069"/>
      <c r="OYN295" s="1069"/>
      <c r="OYO295" s="1069"/>
      <c r="OYP295" s="1069"/>
      <c r="OYQ295" s="1069"/>
      <c r="OYR295" s="1069"/>
      <c r="OYS295" s="1069"/>
      <c r="OYT295" s="1069"/>
      <c r="OYU295" s="1069"/>
      <c r="OYV295" s="1069"/>
      <c r="OYW295" s="1069"/>
      <c r="OYX295" s="1069"/>
      <c r="OYY295" s="1069"/>
      <c r="OYZ295" s="1069"/>
      <c r="OZA295" s="1069"/>
      <c r="OZB295" s="1069"/>
      <c r="OZC295" s="1069"/>
      <c r="OZD295" s="1069"/>
      <c r="OZE295" s="1069"/>
      <c r="OZF295" s="1069"/>
      <c r="OZG295" s="1069"/>
      <c r="OZH295" s="1069"/>
      <c r="OZI295" s="1069"/>
      <c r="OZJ295" s="1069"/>
      <c r="OZK295" s="1069"/>
      <c r="OZL295" s="1069"/>
      <c r="OZM295" s="1069"/>
      <c r="OZN295" s="1069"/>
      <c r="OZO295" s="1069"/>
      <c r="OZP295" s="1069"/>
      <c r="OZQ295" s="1069"/>
      <c r="OZR295" s="1069"/>
      <c r="OZS295" s="1069"/>
      <c r="OZT295" s="1069"/>
      <c r="OZU295" s="1069"/>
      <c r="OZV295" s="1069"/>
      <c r="OZW295" s="1069"/>
      <c r="OZX295" s="1069"/>
      <c r="OZY295" s="1069"/>
      <c r="OZZ295" s="1069"/>
      <c r="PAA295" s="1069"/>
      <c r="PAB295" s="1069"/>
      <c r="PAC295" s="1069"/>
      <c r="PAD295" s="1069"/>
      <c r="PAE295" s="1069"/>
      <c r="PAF295" s="1069"/>
      <c r="PAG295" s="1069"/>
      <c r="PAH295" s="1069"/>
      <c r="PAI295" s="1069"/>
      <c r="PAJ295" s="1069"/>
      <c r="PAK295" s="1069"/>
      <c r="PAL295" s="1069"/>
      <c r="PAM295" s="1069"/>
      <c r="PAN295" s="1069"/>
      <c r="PAO295" s="1069"/>
      <c r="PAP295" s="1069"/>
      <c r="PAQ295" s="1069"/>
      <c r="PAR295" s="1069"/>
      <c r="PAS295" s="1069"/>
      <c r="PAT295" s="1069"/>
      <c r="PAU295" s="1069"/>
      <c r="PAV295" s="1069"/>
      <c r="PAW295" s="1069"/>
      <c r="PAX295" s="1069"/>
      <c r="PAY295" s="1069"/>
      <c r="PAZ295" s="1069"/>
      <c r="PBA295" s="1069"/>
      <c r="PBB295" s="1069"/>
      <c r="PBC295" s="1069"/>
      <c r="PBD295" s="1069"/>
      <c r="PBE295" s="1069"/>
      <c r="PBF295" s="1069"/>
      <c r="PBG295" s="1069"/>
      <c r="PBH295" s="1069"/>
      <c r="PBI295" s="1069"/>
      <c r="PBJ295" s="1069"/>
      <c r="PBK295" s="1069"/>
      <c r="PBL295" s="1069"/>
      <c r="PBM295" s="1069"/>
      <c r="PBN295" s="1069"/>
      <c r="PBO295" s="1069"/>
      <c r="PBP295" s="1069"/>
      <c r="PBQ295" s="1069"/>
      <c r="PBR295" s="1069"/>
      <c r="PBS295" s="1069"/>
      <c r="PBT295" s="1069"/>
      <c r="PBU295" s="1069"/>
      <c r="PBV295" s="1069"/>
      <c r="PBW295" s="1069"/>
      <c r="PBX295" s="1069"/>
      <c r="PBY295" s="1069"/>
      <c r="PBZ295" s="1069"/>
      <c r="PCA295" s="1069"/>
      <c r="PCB295" s="1069"/>
      <c r="PCC295" s="1069"/>
      <c r="PCD295" s="1069"/>
      <c r="PCE295" s="1069"/>
      <c r="PCF295" s="1069"/>
      <c r="PCG295" s="1069"/>
      <c r="PCH295" s="1069"/>
      <c r="PCI295" s="1069"/>
      <c r="PCJ295" s="1069"/>
      <c r="PCK295" s="1069"/>
      <c r="PCL295" s="1069"/>
      <c r="PCM295" s="1069"/>
      <c r="PCN295" s="1069"/>
      <c r="PCO295" s="1069"/>
      <c r="PCP295" s="1069"/>
      <c r="PCQ295" s="1069"/>
      <c r="PCR295" s="1069"/>
      <c r="PCS295" s="1069"/>
      <c r="PCT295" s="1069"/>
      <c r="PCU295" s="1069"/>
      <c r="PCV295" s="1069"/>
      <c r="PCW295" s="1069"/>
      <c r="PCX295" s="1069"/>
      <c r="PCY295" s="1069"/>
      <c r="PCZ295" s="1069"/>
      <c r="PDA295" s="1069"/>
      <c r="PDB295" s="1069"/>
      <c r="PDC295" s="1069"/>
      <c r="PDD295" s="1069"/>
      <c r="PDE295" s="1069"/>
      <c r="PDF295" s="1069"/>
      <c r="PDG295" s="1069"/>
      <c r="PDH295" s="1069"/>
      <c r="PDI295" s="1069"/>
      <c r="PDJ295" s="1069"/>
      <c r="PDK295" s="1069"/>
      <c r="PDL295" s="1069"/>
      <c r="PDM295" s="1069"/>
      <c r="PDN295" s="1069"/>
      <c r="PDO295" s="1069"/>
      <c r="PDP295" s="1069"/>
      <c r="PDQ295" s="1069"/>
      <c r="PDR295" s="1069"/>
      <c r="PDS295" s="1069"/>
      <c r="PDT295" s="1069"/>
      <c r="PDU295" s="1069"/>
      <c r="PDV295" s="1069"/>
      <c r="PDW295" s="1069"/>
      <c r="PDX295" s="1069"/>
      <c r="PDY295" s="1069"/>
      <c r="PDZ295" s="1069"/>
      <c r="PEA295" s="1069"/>
      <c r="PEB295" s="1069"/>
      <c r="PEC295" s="1069"/>
      <c r="PED295" s="1069"/>
      <c r="PEE295" s="1069"/>
      <c r="PEF295" s="1069"/>
      <c r="PEG295" s="1069"/>
      <c r="PEH295" s="1069"/>
      <c r="PEI295" s="1069"/>
      <c r="PEJ295" s="1069"/>
      <c r="PEK295" s="1069"/>
      <c r="PEL295" s="1069"/>
      <c r="PEM295" s="1069"/>
      <c r="PEN295" s="1069"/>
      <c r="PEO295" s="1069"/>
      <c r="PEP295" s="1069"/>
      <c r="PEQ295" s="1069"/>
      <c r="PER295" s="1069"/>
      <c r="PES295" s="1069"/>
      <c r="PET295" s="1069"/>
      <c r="PEU295" s="1069"/>
      <c r="PEV295" s="1069"/>
      <c r="PEW295" s="1069"/>
      <c r="PEX295" s="1069"/>
      <c r="PEY295" s="1069"/>
      <c r="PEZ295" s="1069"/>
      <c r="PFA295" s="1069"/>
      <c r="PFB295" s="1069"/>
      <c r="PFC295" s="1069"/>
      <c r="PFD295" s="1069"/>
      <c r="PFE295" s="1069"/>
      <c r="PFF295" s="1069"/>
      <c r="PFG295" s="1069"/>
      <c r="PFH295" s="1069"/>
      <c r="PFI295" s="1069"/>
      <c r="PFJ295" s="1069"/>
      <c r="PFK295" s="1069"/>
      <c r="PFL295" s="1069"/>
      <c r="PFM295" s="1069"/>
      <c r="PFN295" s="1069"/>
      <c r="PFO295" s="1069"/>
      <c r="PFP295" s="1069"/>
      <c r="PFQ295" s="1069"/>
      <c r="PFR295" s="1069"/>
      <c r="PFS295" s="1069"/>
      <c r="PFT295" s="1069"/>
      <c r="PFU295" s="1069"/>
      <c r="PFV295" s="1069"/>
      <c r="PFW295" s="1069"/>
      <c r="PFX295" s="1069"/>
      <c r="PFY295" s="1069"/>
      <c r="PFZ295" s="1069"/>
      <c r="PGA295" s="1069"/>
      <c r="PGB295" s="1069"/>
      <c r="PGC295" s="1069"/>
      <c r="PGD295" s="1069"/>
      <c r="PGE295" s="1069"/>
      <c r="PGF295" s="1069"/>
      <c r="PGG295" s="1069"/>
      <c r="PGH295" s="1069"/>
      <c r="PGI295" s="1069"/>
      <c r="PGJ295" s="1069"/>
      <c r="PGK295" s="1069"/>
      <c r="PGL295" s="1069"/>
      <c r="PGM295" s="1069"/>
      <c r="PGN295" s="1069"/>
      <c r="PGO295" s="1069"/>
      <c r="PGP295" s="1069"/>
      <c r="PGQ295" s="1069"/>
      <c r="PGR295" s="1069"/>
      <c r="PGS295" s="1069"/>
      <c r="PGT295" s="1069"/>
      <c r="PGU295" s="1069"/>
      <c r="PGV295" s="1069"/>
      <c r="PGW295" s="1069"/>
      <c r="PGX295" s="1069"/>
      <c r="PGY295" s="1069"/>
      <c r="PGZ295" s="1069"/>
      <c r="PHA295" s="1069"/>
      <c r="PHB295" s="1069"/>
      <c r="PHC295" s="1069"/>
      <c r="PHD295" s="1069"/>
      <c r="PHE295" s="1069"/>
      <c r="PHF295" s="1069"/>
      <c r="PHG295" s="1069"/>
      <c r="PHH295" s="1069"/>
      <c r="PHI295" s="1069"/>
      <c r="PHJ295" s="1069"/>
      <c r="PHK295" s="1069"/>
      <c r="PHL295" s="1069"/>
      <c r="PHM295" s="1069"/>
      <c r="PHN295" s="1069"/>
      <c r="PHO295" s="1069"/>
      <c r="PHP295" s="1069"/>
      <c r="PHQ295" s="1069"/>
      <c r="PHR295" s="1069"/>
      <c r="PHS295" s="1069"/>
      <c r="PHT295" s="1069"/>
      <c r="PHU295" s="1069"/>
      <c r="PHV295" s="1069"/>
      <c r="PHW295" s="1069"/>
      <c r="PHX295" s="1069"/>
      <c r="PHY295" s="1069"/>
      <c r="PHZ295" s="1069"/>
      <c r="PIA295" s="1069"/>
      <c r="PIB295" s="1069"/>
      <c r="PIC295" s="1069"/>
      <c r="PID295" s="1069"/>
      <c r="PIE295" s="1069"/>
      <c r="PIF295" s="1069"/>
      <c r="PIG295" s="1069"/>
      <c r="PIH295" s="1069"/>
      <c r="PII295" s="1069"/>
      <c r="PIJ295" s="1069"/>
      <c r="PIK295" s="1069"/>
      <c r="PIL295" s="1069"/>
      <c r="PIM295" s="1069"/>
      <c r="PIN295" s="1069"/>
      <c r="PIO295" s="1069"/>
      <c r="PIP295" s="1069"/>
      <c r="PIQ295" s="1069"/>
      <c r="PIR295" s="1069"/>
      <c r="PIS295" s="1069"/>
      <c r="PIT295" s="1069"/>
      <c r="PIU295" s="1069"/>
      <c r="PIV295" s="1069"/>
      <c r="PIW295" s="1069"/>
      <c r="PIX295" s="1069"/>
      <c r="PIY295" s="1069"/>
      <c r="PIZ295" s="1069"/>
      <c r="PJA295" s="1069"/>
      <c r="PJB295" s="1069"/>
      <c r="PJC295" s="1069"/>
      <c r="PJD295" s="1069"/>
      <c r="PJE295" s="1069"/>
      <c r="PJF295" s="1069"/>
      <c r="PJG295" s="1069"/>
      <c r="PJH295" s="1069"/>
      <c r="PJI295" s="1069"/>
      <c r="PJJ295" s="1069"/>
      <c r="PJK295" s="1069"/>
      <c r="PJL295" s="1069"/>
      <c r="PJM295" s="1069"/>
      <c r="PJN295" s="1069"/>
      <c r="PJO295" s="1069"/>
      <c r="PJP295" s="1069"/>
      <c r="PJQ295" s="1069"/>
      <c r="PJR295" s="1069"/>
      <c r="PJS295" s="1069"/>
      <c r="PJT295" s="1069"/>
      <c r="PJU295" s="1069"/>
      <c r="PJV295" s="1069"/>
      <c r="PJW295" s="1069"/>
      <c r="PJX295" s="1069"/>
      <c r="PJY295" s="1069"/>
      <c r="PJZ295" s="1069"/>
      <c r="PKA295" s="1069"/>
      <c r="PKB295" s="1069"/>
      <c r="PKC295" s="1069"/>
      <c r="PKD295" s="1069"/>
      <c r="PKE295" s="1069"/>
      <c r="PKF295" s="1069"/>
      <c r="PKG295" s="1069"/>
      <c r="PKH295" s="1069"/>
      <c r="PKI295" s="1069"/>
      <c r="PKJ295" s="1069"/>
      <c r="PKK295" s="1069"/>
      <c r="PKL295" s="1069"/>
      <c r="PKM295" s="1069"/>
      <c r="PKN295" s="1069"/>
      <c r="PKO295" s="1069"/>
      <c r="PKP295" s="1069"/>
      <c r="PKQ295" s="1069"/>
      <c r="PKR295" s="1069"/>
      <c r="PKS295" s="1069"/>
      <c r="PKT295" s="1069"/>
      <c r="PKU295" s="1069"/>
      <c r="PKV295" s="1069"/>
      <c r="PKW295" s="1069"/>
      <c r="PKX295" s="1069"/>
      <c r="PKY295" s="1069"/>
      <c r="PKZ295" s="1069"/>
      <c r="PLA295" s="1069"/>
      <c r="PLB295" s="1069"/>
      <c r="PLC295" s="1069"/>
      <c r="PLD295" s="1069"/>
      <c r="PLE295" s="1069"/>
      <c r="PLF295" s="1069"/>
      <c r="PLG295" s="1069"/>
      <c r="PLH295" s="1069"/>
      <c r="PLI295" s="1069"/>
      <c r="PLJ295" s="1069"/>
      <c r="PLK295" s="1069"/>
      <c r="PLL295" s="1069"/>
      <c r="PLM295" s="1069"/>
      <c r="PLN295" s="1069"/>
      <c r="PLO295" s="1069"/>
      <c r="PLP295" s="1069"/>
      <c r="PLQ295" s="1069"/>
      <c r="PLR295" s="1069"/>
      <c r="PLS295" s="1069"/>
      <c r="PLT295" s="1069"/>
      <c r="PLU295" s="1069"/>
      <c r="PLV295" s="1069"/>
      <c r="PLW295" s="1069"/>
      <c r="PLX295" s="1069"/>
      <c r="PLY295" s="1069"/>
      <c r="PLZ295" s="1069"/>
      <c r="PMA295" s="1069"/>
      <c r="PMB295" s="1069"/>
      <c r="PMC295" s="1069"/>
      <c r="PMD295" s="1069"/>
      <c r="PME295" s="1069"/>
      <c r="PMF295" s="1069"/>
      <c r="PMG295" s="1069"/>
      <c r="PMH295" s="1069"/>
      <c r="PMI295" s="1069"/>
      <c r="PMJ295" s="1069"/>
      <c r="PMK295" s="1069"/>
      <c r="PML295" s="1069"/>
      <c r="PMM295" s="1069"/>
      <c r="PMN295" s="1069"/>
      <c r="PMO295" s="1069"/>
      <c r="PMP295" s="1069"/>
      <c r="PMQ295" s="1069"/>
      <c r="PMR295" s="1069"/>
      <c r="PMS295" s="1069"/>
      <c r="PMT295" s="1069"/>
      <c r="PMU295" s="1069"/>
      <c r="PMV295" s="1069"/>
      <c r="PMW295" s="1069"/>
      <c r="PMX295" s="1069"/>
      <c r="PMY295" s="1069"/>
      <c r="PMZ295" s="1069"/>
      <c r="PNA295" s="1069"/>
      <c r="PNB295" s="1069"/>
      <c r="PNC295" s="1069"/>
      <c r="PND295" s="1069"/>
      <c r="PNE295" s="1069"/>
      <c r="PNF295" s="1069"/>
      <c r="PNG295" s="1069"/>
      <c r="PNH295" s="1069"/>
      <c r="PNI295" s="1069"/>
      <c r="PNJ295" s="1069"/>
      <c r="PNK295" s="1069"/>
      <c r="PNL295" s="1069"/>
      <c r="PNM295" s="1069"/>
      <c r="PNN295" s="1069"/>
      <c r="PNO295" s="1069"/>
      <c r="PNP295" s="1069"/>
      <c r="PNQ295" s="1069"/>
      <c r="PNR295" s="1069"/>
      <c r="PNS295" s="1069"/>
      <c r="PNT295" s="1069"/>
      <c r="PNU295" s="1069"/>
      <c r="PNV295" s="1069"/>
      <c r="PNW295" s="1069"/>
      <c r="PNX295" s="1069"/>
      <c r="PNY295" s="1069"/>
      <c r="PNZ295" s="1069"/>
      <c r="POA295" s="1069"/>
      <c r="POB295" s="1069"/>
      <c r="POC295" s="1069"/>
      <c r="POD295" s="1069"/>
      <c r="POE295" s="1069"/>
      <c r="POF295" s="1069"/>
      <c r="POG295" s="1069"/>
      <c r="POH295" s="1069"/>
      <c r="POI295" s="1069"/>
      <c r="POJ295" s="1069"/>
      <c r="POK295" s="1069"/>
      <c r="POL295" s="1069"/>
      <c r="POM295" s="1069"/>
      <c r="PON295" s="1069"/>
      <c r="POO295" s="1069"/>
      <c r="POP295" s="1069"/>
      <c r="POQ295" s="1069"/>
      <c r="POR295" s="1069"/>
      <c r="POS295" s="1069"/>
      <c r="POT295" s="1069"/>
      <c r="POU295" s="1069"/>
      <c r="POV295" s="1069"/>
      <c r="POW295" s="1069"/>
      <c r="POX295" s="1069"/>
      <c r="POY295" s="1069"/>
      <c r="POZ295" s="1069"/>
      <c r="PPA295" s="1069"/>
      <c r="PPB295" s="1069"/>
      <c r="PPC295" s="1069"/>
      <c r="PPD295" s="1069"/>
      <c r="PPE295" s="1069"/>
      <c r="PPF295" s="1069"/>
      <c r="PPG295" s="1069"/>
      <c r="PPH295" s="1069"/>
      <c r="PPI295" s="1069"/>
      <c r="PPJ295" s="1069"/>
      <c r="PPK295" s="1069"/>
      <c r="PPL295" s="1069"/>
      <c r="PPM295" s="1069"/>
      <c r="PPN295" s="1069"/>
      <c r="PPO295" s="1069"/>
      <c r="PPP295" s="1069"/>
      <c r="PPQ295" s="1069"/>
      <c r="PPR295" s="1069"/>
      <c r="PPS295" s="1069"/>
      <c r="PPT295" s="1069"/>
      <c r="PPU295" s="1069"/>
      <c r="PPV295" s="1069"/>
      <c r="PPW295" s="1069"/>
      <c r="PPX295" s="1069"/>
      <c r="PPY295" s="1069"/>
      <c r="PPZ295" s="1069"/>
      <c r="PQA295" s="1069"/>
      <c r="PQB295" s="1069"/>
      <c r="PQC295" s="1069"/>
      <c r="PQD295" s="1069"/>
      <c r="PQE295" s="1069"/>
      <c r="PQF295" s="1069"/>
      <c r="PQG295" s="1069"/>
      <c r="PQH295" s="1069"/>
      <c r="PQI295" s="1069"/>
      <c r="PQJ295" s="1069"/>
      <c r="PQK295" s="1069"/>
      <c r="PQL295" s="1069"/>
      <c r="PQM295" s="1069"/>
      <c r="PQN295" s="1069"/>
      <c r="PQO295" s="1069"/>
      <c r="PQP295" s="1069"/>
      <c r="PQQ295" s="1069"/>
      <c r="PQR295" s="1069"/>
      <c r="PQS295" s="1069"/>
      <c r="PQT295" s="1069"/>
      <c r="PQU295" s="1069"/>
      <c r="PQV295" s="1069"/>
      <c r="PQW295" s="1069"/>
      <c r="PQX295" s="1069"/>
      <c r="PQY295" s="1069"/>
      <c r="PQZ295" s="1069"/>
      <c r="PRA295" s="1069"/>
      <c r="PRB295" s="1069"/>
      <c r="PRC295" s="1069"/>
      <c r="PRD295" s="1069"/>
      <c r="PRE295" s="1069"/>
      <c r="PRF295" s="1069"/>
      <c r="PRG295" s="1069"/>
      <c r="PRH295" s="1069"/>
      <c r="PRI295" s="1069"/>
      <c r="PRJ295" s="1069"/>
      <c r="PRK295" s="1069"/>
      <c r="PRL295" s="1069"/>
      <c r="PRM295" s="1069"/>
      <c r="PRN295" s="1069"/>
      <c r="PRO295" s="1069"/>
      <c r="PRP295" s="1069"/>
      <c r="PRQ295" s="1069"/>
      <c r="PRR295" s="1069"/>
      <c r="PRS295" s="1069"/>
      <c r="PRT295" s="1069"/>
      <c r="PRU295" s="1069"/>
      <c r="PRV295" s="1069"/>
      <c r="PRW295" s="1069"/>
      <c r="PRX295" s="1069"/>
      <c r="PRY295" s="1069"/>
      <c r="PRZ295" s="1069"/>
      <c r="PSA295" s="1069"/>
      <c r="PSB295" s="1069"/>
      <c r="PSC295" s="1069"/>
      <c r="PSD295" s="1069"/>
      <c r="PSE295" s="1069"/>
      <c r="PSF295" s="1069"/>
      <c r="PSG295" s="1069"/>
      <c r="PSH295" s="1069"/>
      <c r="PSI295" s="1069"/>
      <c r="PSJ295" s="1069"/>
      <c r="PSK295" s="1069"/>
      <c r="PSL295" s="1069"/>
      <c r="PSM295" s="1069"/>
      <c r="PSN295" s="1069"/>
      <c r="PSO295" s="1069"/>
      <c r="PSP295" s="1069"/>
      <c r="PSQ295" s="1069"/>
      <c r="PSR295" s="1069"/>
      <c r="PSS295" s="1069"/>
      <c r="PST295" s="1069"/>
      <c r="PSU295" s="1069"/>
      <c r="PSV295" s="1069"/>
      <c r="PSW295" s="1069"/>
      <c r="PSX295" s="1069"/>
      <c r="PSY295" s="1069"/>
      <c r="PSZ295" s="1069"/>
      <c r="PTA295" s="1069"/>
      <c r="PTB295" s="1069"/>
      <c r="PTC295" s="1069"/>
      <c r="PTD295" s="1069"/>
      <c r="PTE295" s="1069"/>
      <c r="PTF295" s="1069"/>
      <c r="PTG295" s="1069"/>
      <c r="PTH295" s="1069"/>
      <c r="PTI295" s="1069"/>
      <c r="PTJ295" s="1069"/>
      <c r="PTK295" s="1069"/>
      <c r="PTL295" s="1069"/>
      <c r="PTM295" s="1069"/>
      <c r="PTN295" s="1069"/>
      <c r="PTO295" s="1069"/>
      <c r="PTP295" s="1069"/>
      <c r="PTQ295" s="1069"/>
      <c r="PTR295" s="1069"/>
      <c r="PTS295" s="1069"/>
      <c r="PTT295" s="1069"/>
      <c r="PTU295" s="1069"/>
      <c r="PTV295" s="1069"/>
      <c r="PTW295" s="1069"/>
      <c r="PTX295" s="1069"/>
      <c r="PTY295" s="1069"/>
      <c r="PTZ295" s="1069"/>
      <c r="PUA295" s="1069"/>
      <c r="PUB295" s="1069"/>
      <c r="PUC295" s="1069"/>
      <c r="PUD295" s="1069"/>
      <c r="PUE295" s="1069"/>
      <c r="PUF295" s="1069"/>
      <c r="PUG295" s="1069"/>
      <c r="PUH295" s="1069"/>
      <c r="PUI295" s="1069"/>
      <c r="PUJ295" s="1069"/>
      <c r="PUK295" s="1069"/>
      <c r="PUL295" s="1069"/>
      <c r="PUM295" s="1069"/>
      <c r="PUN295" s="1069"/>
      <c r="PUO295" s="1069"/>
      <c r="PUP295" s="1069"/>
      <c r="PUQ295" s="1069"/>
      <c r="PUR295" s="1069"/>
      <c r="PUS295" s="1069"/>
      <c r="PUT295" s="1069"/>
      <c r="PUU295" s="1069"/>
      <c r="PUV295" s="1069"/>
      <c r="PUW295" s="1069"/>
      <c r="PUX295" s="1069"/>
      <c r="PUY295" s="1069"/>
      <c r="PUZ295" s="1069"/>
      <c r="PVA295" s="1069"/>
      <c r="PVB295" s="1069"/>
      <c r="PVC295" s="1069"/>
      <c r="PVD295" s="1069"/>
      <c r="PVE295" s="1069"/>
      <c r="PVF295" s="1069"/>
      <c r="PVG295" s="1069"/>
      <c r="PVH295" s="1069"/>
      <c r="PVI295" s="1069"/>
      <c r="PVJ295" s="1069"/>
      <c r="PVK295" s="1069"/>
      <c r="PVL295" s="1069"/>
      <c r="PVM295" s="1069"/>
      <c r="PVN295" s="1069"/>
      <c r="PVO295" s="1069"/>
      <c r="PVP295" s="1069"/>
      <c r="PVQ295" s="1069"/>
      <c r="PVR295" s="1069"/>
      <c r="PVS295" s="1069"/>
      <c r="PVT295" s="1069"/>
      <c r="PVU295" s="1069"/>
      <c r="PVV295" s="1069"/>
      <c r="PVW295" s="1069"/>
      <c r="PVX295" s="1069"/>
      <c r="PVY295" s="1069"/>
      <c r="PVZ295" s="1069"/>
      <c r="PWA295" s="1069"/>
      <c r="PWB295" s="1069"/>
      <c r="PWC295" s="1069"/>
      <c r="PWD295" s="1069"/>
      <c r="PWE295" s="1069"/>
      <c r="PWF295" s="1069"/>
      <c r="PWG295" s="1069"/>
      <c r="PWH295" s="1069"/>
      <c r="PWI295" s="1069"/>
      <c r="PWJ295" s="1069"/>
      <c r="PWK295" s="1069"/>
      <c r="PWL295" s="1069"/>
      <c r="PWM295" s="1069"/>
      <c r="PWN295" s="1069"/>
      <c r="PWO295" s="1069"/>
      <c r="PWP295" s="1069"/>
      <c r="PWQ295" s="1069"/>
      <c r="PWR295" s="1069"/>
      <c r="PWS295" s="1069"/>
      <c r="PWT295" s="1069"/>
      <c r="PWU295" s="1069"/>
      <c r="PWV295" s="1069"/>
      <c r="PWW295" s="1069"/>
      <c r="PWX295" s="1069"/>
      <c r="PWY295" s="1069"/>
      <c r="PWZ295" s="1069"/>
      <c r="PXA295" s="1069"/>
      <c r="PXB295" s="1069"/>
      <c r="PXC295" s="1069"/>
      <c r="PXD295" s="1069"/>
      <c r="PXE295" s="1069"/>
      <c r="PXF295" s="1069"/>
      <c r="PXG295" s="1069"/>
      <c r="PXH295" s="1069"/>
      <c r="PXI295" s="1069"/>
      <c r="PXJ295" s="1069"/>
      <c r="PXK295" s="1069"/>
      <c r="PXL295" s="1069"/>
      <c r="PXM295" s="1069"/>
      <c r="PXN295" s="1069"/>
      <c r="PXO295" s="1069"/>
      <c r="PXP295" s="1069"/>
      <c r="PXQ295" s="1069"/>
      <c r="PXR295" s="1069"/>
      <c r="PXS295" s="1069"/>
      <c r="PXT295" s="1069"/>
      <c r="PXU295" s="1069"/>
      <c r="PXV295" s="1069"/>
      <c r="PXW295" s="1069"/>
      <c r="PXX295" s="1069"/>
      <c r="PXY295" s="1069"/>
      <c r="PXZ295" s="1069"/>
      <c r="PYA295" s="1069"/>
      <c r="PYB295" s="1069"/>
      <c r="PYC295" s="1069"/>
      <c r="PYD295" s="1069"/>
      <c r="PYE295" s="1069"/>
      <c r="PYF295" s="1069"/>
      <c r="PYG295" s="1069"/>
      <c r="PYH295" s="1069"/>
      <c r="PYI295" s="1069"/>
      <c r="PYJ295" s="1069"/>
      <c r="PYK295" s="1069"/>
      <c r="PYL295" s="1069"/>
      <c r="PYM295" s="1069"/>
      <c r="PYN295" s="1069"/>
      <c r="PYO295" s="1069"/>
      <c r="PYP295" s="1069"/>
      <c r="PYQ295" s="1069"/>
      <c r="PYR295" s="1069"/>
      <c r="PYS295" s="1069"/>
      <c r="PYT295" s="1069"/>
      <c r="PYU295" s="1069"/>
      <c r="PYV295" s="1069"/>
      <c r="PYW295" s="1069"/>
      <c r="PYX295" s="1069"/>
      <c r="PYY295" s="1069"/>
      <c r="PYZ295" s="1069"/>
      <c r="PZA295" s="1069"/>
      <c r="PZB295" s="1069"/>
      <c r="PZC295" s="1069"/>
      <c r="PZD295" s="1069"/>
      <c r="PZE295" s="1069"/>
      <c r="PZF295" s="1069"/>
      <c r="PZG295" s="1069"/>
      <c r="PZH295" s="1069"/>
      <c r="PZI295" s="1069"/>
      <c r="PZJ295" s="1069"/>
      <c r="PZK295" s="1069"/>
      <c r="PZL295" s="1069"/>
      <c r="PZM295" s="1069"/>
      <c r="PZN295" s="1069"/>
      <c r="PZO295" s="1069"/>
      <c r="PZP295" s="1069"/>
      <c r="PZQ295" s="1069"/>
      <c r="PZR295" s="1069"/>
      <c r="PZS295" s="1069"/>
      <c r="PZT295" s="1069"/>
      <c r="PZU295" s="1069"/>
      <c r="PZV295" s="1069"/>
      <c r="PZW295" s="1069"/>
      <c r="PZX295" s="1069"/>
      <c r="PZY295" s="1069"/>
      <c r="PZZ295" s="1069"/>
      <c r="QAA295" s="1069"/>
      <c r="QAB295" s="1069"/>
      <c r="QAC295" s="1069"/>
      <c r="QAD295" s="1069"/>
      <c r="QAE295" s="1069"/>
      <c r="QAF295" s="1069"/>
      <c r="QAG295" s="1069"/>
      <c r="QAH295" s="1069"/>
      <c r="QAI295" s="1069"/>
      <c r="QAJ295" s="1069"/>
      <c r="QAK295" s="1069"/>
      <c r="QAL295" s="1069"/>
      <c r="QAM295" s="1069"/>
      <c r="QAN295" s="1069"/>
      <c r="QAO295" s="1069"/>
      <c r="QAP295" s="1069"/>
      <c r="QAQ295" s="1069"/>
      <c r="QAR295" s="1069"/>
      <c r="QAS295" s="1069"/>
      <c r="QAT295" s="1069"/>
      <c r="QAU295" s="1069"/>
      <c r="QAV295" s="1069"/>
      <c r="QAW295" s="1069"/>
      <c r="QAX295" s="1069"/>
      <c r="QAY295" s="1069"/>
      <c r="QAZ295" s="1069"/>
      <c r="QBA295" s="1069"/>
      <c r="QBB295" s="1069"/>
      <c r="QBC295" s="1069"/>
      <c r="QBD295" s="1069"/>
      <c r="QBE295" s="1069"/>
      <c r="QBF295" s="1069"/>
      <c r="QBG295" s="1069"/>
      <c r="QBH295" s="1069"/>
      <c r="QBI295" s="1069"/>
      <c r="QBJ295" s="1069"/>
      <c r="QBK295" s="1069"/>
      <c r="QBL295" s="1069"/>
      <c r="QBM295" s="1069"/>
      <c r="QBN295" s="1069"/>
      <c r="QBO295" s="1069"/>
      <c r="QBP295" s="1069"/>
      <c r="QBQ295" s="1069"/>
      <c r="QBR295" s="1069"/>
      <c r="QBS295" s="1069"/>
      <c r="QBT295" s="1069"/>
      <c r="QBU295" s="1069"/>
      <c r="QBV295" s="1069"/>
      <c r="QBW295" s="1069"/>
      <c r="QBX295" s="1069"/>
      <c r="QBY295" s="1069"/>
      <c r="QBZ295" s="1069"/>
      <c r="QCA295" s="1069"/>
      <c r="QCB295" s="1069"/>
      <c r="QCC295" s="1069"/>
      <c r="QCD295" s="1069"/>
      <c r="QCE295" s="1069"/>
      <c r="QCF295" s="1069"/>
      <c r="QCG295" s="1069"/>
      <c r="QCH295" s="1069"/>
      <c r="QCI295" s="1069"/>
      <c r="QCJ295" s="1069"/>
      <c r="QCK295" s="1069"/>
      <c r="QCL295" s="1069"/>
      <c r="QCM295" s="1069"/>
      <c r="QCN295" s="1069"/>
      <c r="QCO295" s="1069"/>
      <c r="QCP295" s="1069"/>
      <c r="QCQ295" s="1069"/>
      <c r="QCR295" s="1069"/>
      <c r="QCS295" s="1069"/>
      <c r="QCT295" s="1069"/>
      <c r="QCU295" s="1069"/>
      <c r="QCV295" s="1069"/>
      <c r="QCW295" s="1069"/>
      <c r="QCX295" s="1069"/>
      <c r="QCY295" s="1069"/>
      <c r="QCZ295" s="1069"/>
      <c r="QDA295" s="1069"/>
      <c r="QDB295" s="1069"/>
      <c r="QDC295" s="1069"/>
      <c r="QDD295" s="1069"/>
      <c r="QDE295" s="1069"/>
      <c r="QDF295" s="1069"/>
      <c r="QDG295" s="1069"/>
      <c r="QDH295" s="1069"/>
      <c r="QDI295" s="1069"/>
      <c r="QDJ295" s="1069"/>
      <c r="QDK295" s="1069"/>
      <c r="QDL295" s="1069"/>
      <c r="QDM295" s="1069"/>
      <c r="QDN295" s="1069"/>
      <c r="QDO295" s="1069"/>
      <c r="QDP295" s="1069"/>
      <c r="QDQ295" s="1069"/>
      <c r="QDR295" s="1069"/>
      <c r="QDS295" s="1069"/>
      <c r="QDT295" s="1069"/>
      <c r="QDU295" s="1069"/>
      <c r="QDV295" s="1069"/>
      <c r="QDW295" s="1069"/>
      <c r="QDX295" s="1069"/>
      <c r="QDY295" s="1069"/>
      <c r="QDZ295" s="1069"/>
      <c r="QEA295" s="1069"/>
      <c r="QEB295" s="1069"/>
      <c r="QEC295" s="1069"/>
      <c r="QED295" s="1069"/>
      <c r="QEE295" s="1069"/>
      <c r="QEF295" s="1069"/>
      <c r="QEG295" s="1069"/>
      <c r="QEH295" s="1069"/>
      <c r="QEI295" s="1069"/>
      <c r="QEJ295" s="1069"/>
      <c r="QEK295" s="1069"/>
      <c r="QEL295" s="1069"/>
      <c r="QEM295" s="1069"/>
      <c r="QEN295" s="1069"/>
      <c r="QEO295" s="1069"/>
      <c r="QEP295" s="1069"/>
      <c r="QEQ295" s="1069"/>
      <c r="QER295" s="1069"/>
      <c r="QES295" s="1069"/>
      <c r="QET295" s="1069"/>
      <c r="QEU295" s="1069"/>
      <c r="QEV295" s="1069"/>
      <c r="QEW295" s="1069"/>
      <c r="QEX295" s="1069"/>
      <c r="QEY295" s="1069"/>
      <c r="QEZ295" s="1069"/>
      <c r="QFA295" s="1069"/>
      <c r="QFB295" s="1069"/>
      <c r="QFC295" s="1069"/>
      <c r="QFD295" s="1069"/>
      <c r="QFE295" s="1069"/>
      <c r="QFF295" s="1069"/>
      <c r="QFG295" s="1069"/>
      <c r="QFH295" s="1069"/>
      <c r="QFI295" s="1069"/>
      <c r="QFJ295" s="1069"/>
      <c r="QFK295" s="1069"/>
      <c r="QFL295" s="1069"/>
      <c r="QFM295" s="1069"/>
      <c r="QFN295" s="1069"/>
      <c r="QFO295" s="1069"/>
      <c r="QFP295" s="1069"/>
      <c r="QFQ295" s="1069"/>
      <c r="QFR295" s="1069"/>
      <c r="QFS295" s="1069"/>
      <c r="QFT295" s="1069"/>
      <c r="QFU295" s="1069"/>
      <c r="QFV295" s="1069"/>
      <c r="QFW295" s="1069"/>
      <c r="QFX295" s="1069"/>
      <c r="QFY295" s="1069"/>
      <c r="QFZ295" s="1069"/>
      <c r="QGA295" s="1069"/>
      <c r="QGB295" s="1069"/>
      <c r="QGC295" s="1069"/>
      <c r="QGD295" s="1069"/>
      <c r="QGE295" s="1069"/>
      <c r="QGF295" s="1069"/>
      <c r="QGG295" s="1069"/>
      <c r="QGH295" s="1069"/>
      <c r="QGI295" s="1069"/>
      <c r="QGJ295" s="1069"/>
      <c r="QGK295" s="1069"/>
      <c r="QGL295" s="1069"/>
      <c r="QGM295" s="1069"/>
      <c r="QGN295" s="1069"/>
      <c r="QGO295" s="1069"/>
      <c r="QGP295" s="1069"/>
      <c r="QGQ295" s="1069"/>
      <c r="QGR295" s="1069"/>
      <c r="QGS295" s="1069"/>
      <c r="QGT295" s="1069"/>
      <c r="QGU295" s="1069"/>
      <c r="QGV295" s="1069"/>
      <c r="QGW295" s="1069"/>
      <c r="QGX295" s="1069"/>
      <c r="QGY295" s="1069"/>
      <c r="QGZ295" s="1069"/>
      <c r="QHA295" s="1069"/>
      <c r="QHB295" s="1069"/>
      <c r="QHC295" s="1069"/>
      <c r="QHD295" s="1069"/>
      <c r="QHE295" s="1069"/>
      <c r="QHF295" s="1069"/>
      <c r="QHG295" s="1069"/>
      <c r="QHH295" s="1069"/>
      <c r="QHI295" s="1069"/>
      <c r="QHJ295" s="1069"/>
      <c r="QHK295" s="1069"/>
      <c r="QHL295" s="1069"/>
      <c r="QHM295" s="1069"/>
      <c r="QHN295" s="1069"/>
      <c r="QHO295" s="1069"/>
      <c r="QHP295" s="1069"/>
      <c r="QHQ295" s="1069"/>
      <c r="QHR295" s="1069"/>
      <c r="QHS295" s="1069"/>
      <c r="QHT295" s="1069"/>
      <c r="QHU295" s="1069"/>
      <c r="QHV295" s="1069"/>
      <c r="QHW295" s="1069"/>
      <c r="QHX295" s="1069"/>
      <c r="QHY295" s="1069"/>
      <c r="QHZ295" s="1069"/>
      <c r="QIA295" s="1069"/>
      <c r="QIB295" s="1069"/>
      <c r="QIC295" s="1069"/>
      <c r="QID295" s="1069"/>
      <c r="QIE295" s="1069"/>
      <c r="QIF295" s="1069"/>
      <c r="QIG295" s="1069"/>
      <c r="QIH295" s="1069"/>
      <c r="QII295" s="1069"/>
      <c r="QIJ295" s="1069"/>
      <c r="QIK295" s="1069"/>
      <c r="QIL295" s="1069"/>
      <c r="QIM295" s="1069"/>
      <c r="QIN295" s="1069"/>
      <c r="QIO295" s="1069"/>
      <c r="QIP295" s="1069"/>
      <c r="QIQ295" s="1069"/>
      <c r="QIR295" s="1069"/>
      <c r="QIS295" s="1069"/>
      <c r="QIT295" s="1069"/>
      <c r="QIU295" s="1069"/>
      <c r="QIV295" s="1069"/>
      <c r="QIW295" s="1069"/>
      <c r="QIX295" s="1069"/>
      <c r="QIY295" s="1069"/>
      <c r="QIZ295" s="1069"/>
      <c r="QJA295" s="1069"/>
      <c r="QJB295" s="1069"/>
      <c r="QJC295" s="1069"/>
      <c r="QJD295" s="1069"/>
      <c r="QJE295" s="1069"/>
      <c r="QJF295" s="1069"/>
      <c r="QJG295" s="1069"/>
      <c r="QJH295" s="1069"/>
      <c r="QJI295" s="1069"/>
      <c r="QJJ295" s="1069"/>
      <c r="QJK295" s="1069"/>
      <c r="QJL295" s="1069"/>
      <c r="QJM295" s="1069"/>
      <c r="QJN295" s="1069"/>
      <c r="QJO295" s="1069"/>
      <c r="QJP295" s="1069"/>
      <c r="QJQ295" s="1069"/>
      <c r="QJR295" s="1069"/>
      <c r="QJS295" s="1069"/>
      <c r="QJT295" s="1069"/>
      <c r="QJU295" s="1069"/>
      <c r="QJV295" s="1069"/>
      <c r="QJW295" s="1069"/>
      <c r="QJX295" s="1069"/>
      <c r="QJY295" s="1069"/>
      <c r="QJZ295" s="1069"/>
      <c r="QKA295" s="1069"/>
      <c r="QKB295" s="1069"/>
      <c r="QKC295" s="1069"/>
      <c r="QKD295" s="1069"/>
      <c r="QKE295" s="1069"/>
      <c r="QKF295" s="1069"/>
      <c r="QKG295" s="1069"/>
      <c r="QKH295" s="1069"/>
      <c r="QKI295" s="1069"/>
      <c r="QKJ295" s="1069"/>
      <c r="QKK295" s="1069"/>
      <c r="QKL295" s="1069"/>
      <c r="QKM295" s="1069"/>
      <c r="QKN295" s="1069"/>
      <c r="QKO295" s="1069"/>
      <c r="QKP295" s="1069"/>
      <c r="QKQ295" s="1069"/>
      <c r="QKR295" s="1069"/>
      <c r="QKS295" s="1069"/>
      <c r="QKT295" s="1069"/>
      <c r="QKU295" s="1069"/>
      <c r="QKV295" s="1069"/>
      <c r="QKW295" s="1069"/>
      <c r="QKX295" s="1069"/>
      <c r="QKY295" s="1069"/>
      <c r="QKZ295" s="1069"/>
      <c r="QLA295" s="1069"/>
      <c r="QLB295" s="1069"/>
      <c r="QLC295" s="1069"/>
      <c r="QLD295" s="1069"/>
      <c r="QLE295" s="1069"/>
      <c r="QLF295" s="1069"/>
      <c r="QLG295" s="1069"/>
      <c r="QLH295" s="1069"/>
      <c r="QLI295" s="1069"/>
      <c r="QLJ295" s="1069"/>
      <c r="QLK295" s="1069"/>
      <c r="QLL295" s="1069"/>
      <c r="QLM295" s="1069"/>
      <c r="QLN295" s="1069"/>
      <c r="QLO295" s="1069"/>
      <c r="QLP295" s="1069"/>
      <c r="QLQ295" s="1069"/>
      <c r="QLR295" s="1069"/>
      <c r="QLS295" s="1069"/>
      <c r="QLT295" s="1069"/>
      <c r="QLU295" s="1069"/>
      <c r="QLV295" s="1069"/>
      <c r="QLW295" s="1069"/>
      <c r="QLX295" s="1069"/>
      <c r="QLY295" s="1069"/>
      <c r="QLZ295" s="1069"/>
      <c r="QMA295" s="1069"/>
      <c r="QMB295" s="1069"/>
      <c r="QMC295" s="1069"/>
      <c r="QMD295" s="1069"/>
      <c r="QME295" s="1069"/>
      <c r="QMF295" s="1069"/>
      <c r="QMG295" s="1069"/>
      <c r="QMH295" s="1069"/>
      <c r="QMI295" s="1069"/>
      <c r="QMJ295" s="1069"/>
      <c r="QMK295" s="1069"/>
      <c r="QML295" s="1069"/>
      <c r="QMM295" s="1069"/>
      <c r="QMN295" s="1069"/>
      <c r="QMO295" s="1069"/>
      <c r="QMP295" s="1069"/>
      <c r="QMQ295" s="1069"/>
      <c r="QMR295" s="1069"/>
      <c r="QMS295" s="1069"/>
      <c r="QMT295" s="1069"/>
      <c r="QMU295" s="1069"/>
      <c r="QMV295" s="1069"/>
      <c r="QMW295" s="1069"/>
      <c r="QMX295" s="1069"/>
      <c r="QMY295" s="1069"/>
      <c r="QMZ295" s="1069"/>
      <c r="QNA295" s="1069"/>
      <c r="QNB295" s="1069"/>
      <c r="QNC295" s="1069"/>
      <c r="QND295" s="1069"/>
      <c r="QNE295" s="1069"/>
      <c r="QNF295" s="1069"/>
      <c r="QNG295" s="1069"/>
      <c r="QNH295" s="1069"/>
      <c r="QNI295" s="1069"/>
      <c r="QNJ295" s="1069"/>
      <c r="QNK295" s="1069"/>
      <c r="QNL295" s="1069"/>
      <c r="QNM295" s="1069"/>
      <c r="QNN295" s="1069"/>
      <c r="QNO295" s="1069"/>
      <c r="QNP295" s="1069"/>
      <c r="QNQ295" s="1069"/>
      <c r="QNR295" s="1069"/>
      <c r="QNS295" s="1069"/>
      <c r="QNT295" s="1069"/>
      <c r="QNU295" s="1069"/>
      <c r="QNV295" s="1069"/>
      <c r="QNW295" s="1069"/>
      <c r="QNX295" s="1069"/>
      <c r="QNY295" s="1069"/>
      <c r="QNZ295" s="1069"/>
      <c r="QOA295" s="1069"/>
      <c r="QOB295" s="1069"/>
      <c r="QOC295" s="1069"/>
      <c r="QOD295" s="1069"/>
      <c r="QOE295" s="1069"/>
      <c r="QOF295" s="1069"/>
      <c r="QOG295" s="1069"/>
      <c r="QOH295" s="1069"/>
      <c r="QOI295" s="1069"/>
      <c r="QOJ295" s="1069"/>
      <c r="QOK295" s="1069"/>
      <c r="QOL295" s="1069"/>
      <c r="QOM295" s="1069"/>
      <c r="QON295" s="1069"/>
      <c r="QOO295" s="1069"/>
      <c r="QOP295" s="1069"/>
      <c r="QOQ295" s="1069"/>
      <c r="QOR295" s="1069"/>
      <c r="QOS295" s="1069"/>
      <c r="QOT295" s="1069"/>
      <c r="QOU295" s="1069"/>
      <c r="QOV295" s="1069"/>
      <c r="QOW295" s="1069"/>
      <c r="QOX295" s="1069"/>
      <c r="QOY295" s="1069"/>
      <c r="QOZ295" s="1069"/>
      <c r="QPA295" s="1069"/>
      <c r="QPB295" s="1069"/>
      <c r="QPC295" s="1069"/>
      <c r="QPD295" s="1069"/>
      <c r="QPE295" s="1069"/>
      <c r="QPF295" s="1069"/>
      <c r="QPG295" s="1069"/>
      <c r="QPH295" s="1069"/>
      <c r="QPI295" s="1069"/>
      <c r="QPJ295" s="1069"/>
      <c r="QPK295" s="1069"/>
      <c r="QPL295" s="1069"/>
      <c r="QPM295" s="1069"/>
      <c r="QPN295" s="1069"/>
      <c r="QPO295" s="1069"/>
      <c r="QPP295" s="1069"/>
      <c r="QPQ295" s="1069"/>
      <c r="QPR295" s="1069"/>
      <c r="QPS295" s="1069"/>
      <c r="QPT295" s="1069"/>
      <c r="QPU295" s="1069"/>
      <c r="QPV295" s="1069"/>
      <c r="QPW295" s="1069"/>
      <c r="QPX295" s="1069"/>
      <c r="QPY295" s="1069"/>
      <c r="QPZ295" s="1069"/>
      <c r="QQA295" s="1069"/>
      <c r="QQB295" s="1069"/>
      <c r="QQC295" s="1069"/>
      <c r="QQD295" s="1069"/>
      <c r="QQE295" s="1069"/>
      <c r="QQF295" s="1069"/>
      <c r="QQG295" s="1069"/>
      <c r="QQH295" s="1069"/>
      <c r="QQI295" s="1069"/>
      <c r="QQJ295" s="1069"/>
      <c r="QQK295" s="1069"/>
      <c r="QQL295" s="1069"/>
      <c r="QQM295" s="1069"/>
      <c r="QQN295" s="1069"/>
      <c r="QQO295" s="1069"/>
      <c r="QQP295" s="1069"/>
      <c r="QQQ295" s="1069"/>
      <c r="QQR295" s="1069"/>
      <c r="QQS295" s="1069"/>
      <c r="QQT295" s="1069"/>
      <c r="QQU295" s="1069"/>
      <c r="QQV295" s="1069"/>
      <c r="QQW295" s="1069"/>
      <c r="QQX295" s="1069"/>
      <c r="QQY295" s="1069"/>
      <c r="QQZ295" s="1069"/>
      <c r="QRA295" s="1069"/>
      <c r="QRB295" s="1069"/>
      <c r="QRC295" s="1069"/>
      <c r="QRD295" s="1069"/>
      <c r="QRE295" s="1069"/>
      <c r="QRF295" s="1069"/>
      <c r="QRG295" s="1069"/>
      <c r="QRH295" s="1069"/>
      <c r="QRI295" s="1069"/>
      <c r="QRJ295" s="1069"/>
      <c r="QRK295" s="1069"/>
      <c r="QRL295" s="1069"/>
      <c r="QRM295" s="1069"/>
      <c r="QRN295" s="1069"/>
      <c r="QRO295" s="1069"/>
      <c r="QRP295" s="1069"/>
      <c r="QRQ295" s="1069"/>
      <c r="QRR295" s="1069"/>
      <c r="QRS295" s="1069"/>
      <c r="QRT295" s="1069"/>
      <c r="QRU295" s="1069"/>
      <c r="QRV295" s="1069"/>
      <c r="QRW295" s="1069"/>
      <c r="QRX295" s="1069"/>
      <c r="QRY295" s="1069"/>
      <c r="QRZ295" s="1069"/>
      <c r="QSA295" s="1069"/>
      <c r="QSB295" s="1069"/>
      <c r="QSC295" s="1069"/>
      <c r="QSD295" s="1069"/>
      <c r="QSE295" s="1069"/>
      <c r="QSF295" s="1069"/>
      <c r="QSG295" s="1069"/>
      <c r="QSH295" s="1069"/>
      <c r="QSI295" s="1069"/>
      <c r="QSJ295" s="1069"/>
      <c r="QSK295" s="1069"/>
      <c r="QSL295" s="1069"/>
      <c r="QSM295" s="1069"/>
      <c r="QSN295" s="1069"/>
      <c r="QSO295" s="1069"/>
      <c r="QSP295" s="1069"/>
      <c r="QSQ295" s="1069"/>
      <c r="QSR295" s="1069"/>
      <c r="QSS295" s="1069"/>
      <c r="QST295" s="1069"/>
      <c r="QSU295" s="1069"/>
      <c r="QSV295" s="1069"/>
      <c r="QSW295" s="1069"/>
      <c r="QSX295" s="1069"/>
      <c r="QSY295" s="1069"/>
      <c r="QSZ295" s="1069"/>
      <c r="QTA295" s="1069"/>
      <c r="QTB295" s="1069"/>
      <c r="QTC295" s="1069"/>
      <c r="QTD295" s="1069"/>
      <c r="QTE295" s="1069"/>
      <c r="QTF295" s="1069"/>
      <c r="QTG295" s="1069"/>
      <c r="QTH295" s="1069"/>
      <c r="QTI295" s="1069"/>
      <c r="QTJ295" s="1069"/>
      <c r="QTK295" s="1069"/>
      <c r="QTL295" s="1069"/>
      <c r="QTM295" s="1069"/>
      <c r="QTN295" s="1069"/>
      <c r="QTO295" s="1069"/>
      <c r="QTP295" s="1069"/>
      <c r="QTQ295" s="1069"/>
      <c r="QTR295" s="1069"/>
      <c r="QTS295" s="1069"/>
      <c r="QTT295" s="1069"/>
      <c r="QTU295" s="1069"/>
      <c r="QTV295" s="1069"/>
      <c r="QTW295" s="1069"/>
      <c r="QTX295" s="1069"/>
      <c r="QTY295" s="1069"/>
      <c r="QTZ295" s="1069"/>
      <c r="QUA295" s="1069"/>
      <c r="QUB295" s="1069"/>
      <c r="QUC295" s="1069"/>
      <c r="QUD295" s="1069"/>
      <c r="QUE295" s="1069"/>
      <c r="QUF295" s="1069"/>
      <c r="QUG295" s="1069"/>
      <c r="QUH295" s="1069"/>
      <c r="QUI295" s="1069"/>
      <c r="QUJ295" s="1069"/>
      <c r="QUK295" s="1069"/>
      <c r="QUL295" s="1069"/>
      <c r="QUM295" s="1069"/>
      <c r="QUN295" s="1069"/>
      <c r="QUO295" s="1069"/>
      <c r="QUP295" s="1069"/>
      <c r="QUQ295" s="1069"/>
      <c r="QUR295" s="1069"/>
      <c r="QUS295" s="1069"/>
      <c r="QUT295" s="1069"/>
      <c r="QUU295" s="1069"/>
      <c r="QUV295" s="1069"/>
      <c r="QUW295" s="1069"/>
      <c r="QUX295" s="1069"/>
      <c r="QUY295" s="1069"/>
      <c r="QUZ295" s="1069"/>
      <c r="QVA295" s="1069"/>
      <c r="QVB295" s="1069"/>
      <c r="QVC295" s="1069"/>
      <c r="QVD295" s="1069"/>
      <c r="QVE295" s="1069"/>
      <c r="QVF295" s="1069"/>
      <c r="QVG295" s="1069"/>
      <c r="QVH295" s="1069"/>
      <c r="QVI295" s="1069"/>
      <c r="QVJ295" s="1069"/>
      <c r="QVK295" s="1069"/>
      <c r="QVL295" s="1069"/>
      <c r="QVM295" s="1069"/>
      <c r="QVN295" s="1069"/>
      <c r="QVO295" s="1069"/>
      <c r="QVP295" s="1069"/>
      <c r="QVQ295" s="1069"/>
      <c r="QVR295" s="1069"/>
      <c r="QVS295" s="1069"/>
      <c r="QVT295" s="1069"/>
      <c r="QVU295" s="1069"/>
      <c r="QVV295" s="1069"/>
      <c r="QVW295" s="1069"/>
      <c r="QVX295" s="1069"/>
      <c r="QVY295" s="1069"/>
      <c r="QVZ295" s="1069"/>
      <c r="QWA295" s="1069"/>
      <c r="QWB295" s="1069"/>
      <c r="QWC295" s="1069"/>
      <c r="QWD295" s="1069"/>
      <c r="QWE295" s="1069"/>
      <c r="QWF295" s="1069"/>
      <c r="QWG295" s="1069"/>
      <c r="QWH295" s="1069"/>
      <c r="QWI295" s="1069"/>
      <c r="QWJ295" s="1069"/>
      <c r="QWK295" s="1069"/>
      <c r="QWL295" s="1069"/>
      <c r="QWM295" s="1069"/>
      <c r="QWN295" s="1069"/>
      <c r="QWO295" s="1069"/>
      <c r="QWP295" s="1069"/>
      <c r="QWQ295" s="1069"/>
      <c r="QWR295" s="1069"/>
      <c r="QWS295" s="1069"/>
      <c r="QWT295" s="1069"/>
      <c r="QWU295" s="1069"/>
      <c r="QWV295" s="1069"/>
      <c r="QWW295" s="1069"/>
      <c r="QWX295" s="1069"/>
      <c r="QWY295" s="1069"/>
      <c r="QWZ295" s="1069"/>
      <c r="QXA295" s="1069"/>
      <c r="QXB295" s="1069"/>
      <c r="QXC295" s="1069"/>
      <c r="QXD295" s="1069"/>
      <c r="QXE295" s="1069"/>
      <c r="QXF295" s="1069"/>
      <c r="QXG295" s="1069"/>
      <c r="QXH295" s="1069"/>
      <c r="QXI295" s="1069"/>
      <c r="QXJ295" s="1069"/>
      <c r="QXK295" s="1069"/>
      <c r="QXL295" s="1069"/>
      <c r="QXM295" s="1069"/>
      <c r="QXN295" s="1069"/>
      <c r="QXO295" s="1069"/>
      <c r="QXP295" s="1069"/>
      <c r="QXQ295" s="1069"/>
      <c r="QXR295" s="1069"/>
      <c r="QXS295" s="1069"/>
      <c r="QXT295" s="1069"/>
      <c r="QXU295" s="1069"/>
      <c r="QXV295" s="1069"/>
      <c r="QXW295" s="1069"/>
      <c r="QXX295" s="1069"/>
      <c r="QXY295" s="1069"/>
      <c r="QXZ295" s="1069"/>
      <c r="QYA295" s="1069"/>
      <c r="QYB295" s="1069"/>
      <c r="QYC295" s="1069"/>
      <c r="QYD295" s="1069"/>
      <c r="QYE295" s="1069"/>
      <c r="QYF295" s="1069"/>
      <c r="QYG295" s="1069"/>
      <c r="QYH295" s="1069"/>
      <c r="QYI295" s="1069"/>
      <c r="QYJ295" s="1069"/>
      <c r="QYK295" s="1069"/>
      <c r="QYL295" s="1069"/>
      <c r="QYM295" s="1069"/>
      <c r="QYN295" s="1069"/>
      <c r="QYO295" s="1069"/>
      <c r="QYP295" s="1069"/>
      <c r="QYQ295" s="1069"/>
      <c r="QYR295" s="1069"/>
      <c r="QYS295" s="1069"/>
      <c r="QYT295" s="1069"/>
      <c r="QYU295" s="1069"/>
      <c r="QYV295" s="1069"/>
      <c r="QYW295" s="1069"/>
      <c r="QYX295" s="1069"/>
      <c r="QYY295" s="1069"/>
      <c r="QYZ295" s="1069"/>
      <c r="QZA295" s="1069"/>
      <c r="QZB295" s="1069"/>
      <c r="QZC295" s="1069"/>
      <c r="QZD295" s="1069"/>
      <c r="QZE295" s="1069"/>
      <c r="QZF295" s="1069"/>
      <c r="QZG295" s="1069"/>
      <c r="QZH295" s="1069"/>
      <c r="QZI295" s="1069"/>
      <c r="QZJ295" s="1069"/>
      <c r="QZK295" s="1069"/>
      <c r="QZL295" s="1069"/>
      <c r="QZM295" s="1069"/>
      <c r="QZN295" s="1069"/>
      <c r="QZO295" s="1069"/>
      <c r="QZP295" s="1069"/>
      <c r="QZQ295" s="1069"/>
      <c r="QZR295" s="1069"/>
      <c r="QZS295" s="1069"/>
      <c r="QZT295" s="1069"/>
      <c r="QZU295" s="1069"/>
      <c r="QZV295" s="1069"/>
      <c r="QZW295" s="1069"/>
      <c r="QZX295" s="1069"/>
      <c r="QZY295" s="1069"/>
      <c r="QZZ295" s="1069"/>
      <c r="RAA295" s="1069"/>
      <c r="RAB295" s="1069"/>
      <c r="RAC295" s="1069"/>
      <c r="RAD295" s="1069"/>
      <c r="RAE295" s="1069"/>
      <c r="RAF295" s="1069"/>
      <c r="RAG295" s="1069"/>
      <c r="RAH295" s="1069"/>
      <c r="RAI295" s="1069"/>
      <c r="RAJ295" s="1069"/>
      <c r="RAK295" s="1069"/>
      <c r="RAL295" s="1069"/>
      <c r="RAM295" s="1069"/>
      <c r="RAN295" s="1069"/>
      <c r="RAO295" s="1069"/>
      <c r="RAP295" s="1069"/>
      <c r="RAQ295" s="1069"/>
      <c r="RAR295" s="1069"/>
      <c r="RAS295" s="1069"/>
      <c r="RAT295" s="1069"/>
      <c r="RAU295" s="1069"/>
      <c r="RAV295" s="1069"/>
      <c r="RAW295" s="1069"/>
      <c r="RAX295" s="1069"/>
      <c r="RAY295" s="1069"/>
      <c r="RAZ295" s="1069"/>
      <c r="RBA295" s="1069"/>
      <c r="RBB295" s="1069"/>
      <c r="RBC295" s="1069"/>
      <c r="RBD295" s="1069"/>
      <c r="RBE295" s="1069"/>
      <c r="RBF295" s="1069"/>
      <c r="RBG295" s="1069"/>
      <c r="RBH295" s="1069"/>
      <c r="RBI295" s="1069"/>
      <c r="RBJ295" s="1069"/>
      <c r="RBK295" s="1069"/>
      <c r="RBL295" s="1069"/>
      <c r="RBM295" s="1069"/>
      <c r="RBN295" s="1069"/>
      <c r="RBO295" s="1069"/>
      <c r="RBP295" s="1069"/>
      <c r="RBQ295" s="1069"/>
      <c r="RBR295" s="1069"/>
      <c r="RBS295" s="1069"/>
      <c r="RBT295" s="1069"/>
      <c r="RBU295" s="1069"/>
      <c r="RBV295" s="1069"/>
      <c r="RBW295" s="1069"/>
      <c r="RBX295" s="1069"/>
      <c r="RBY295" s="1069"/>
      <c r="RBZ295" s="1069"/>
      <c r="RCA295" s="1069"/>
      <c r="RCB295" s="1069"/>
      <c r="RCC295" s="1069"/>
      <c r="RCD295" s="1069"/>
      <c r="RCE295" s="1069"/>
      <c r="RCF295" s="1069"/>
      <c r="RCG295" s="1069"/>
      <c r="RCH295" s="1069"/>
      <c r="RCI295" s="1069"/>
      <c r="RCJ295" s="1069"/>
      <c r="RCK295" s="1069"/>
      <c r="RCL295" s="1069"/>
      <c r="RCM295" s="1069"/>
      <c r="RCN295" s="1069"/>
      <c r="RCO295" s="1069"/>
      <c r="RCP295" s="1069"/>
      <c r="RCQ295" s="1069"/>
      <c r="RCR295" s="1069"/>
      <c r="RCS295" s="1069"/>
      <c r="RCT295" s="1069"/>
      <c r="RCU295" s="1069"/>
      <c r="RCV295" s="1069"/>
      <c r="RCW295" s="1069"/>
      <c r="RCX295" s="1069"/>
      <c r="RCY295" s="1069"/>
      <c r="RCZ295" s="1069"/>
      <c r="RDA295" s="1069"/>
      <c r="RDB295" s="1069"/>
      <c r="RDC295" s="1069"/>
      <c r="RDD295" s="1069"/>
      <c r="RDE295" s="1069"/>
      <c r="RDF295" s="1069"/>
      <c r="RDG295" s="1069"/>
      <c r="RDH295" s="1069"/>
      <c r="RDI295" s="1069"/>
      <c r="RDJ295" s="1069"/>
      <c r="RDK295" s="1069"/>
      <c r="RDL295" s="1069"/>
      <c r="RDM295" s="1069"/>
      <c r="RDN295" s="1069"/>
      <c r="RDO295" s="1069"/>
      <c r="RDP295" s="1069"/>
      <c r="RDQ295" s="1069"/>
      <c r="RDR295" s="1069"/>
      <c r="RDS295" s="1069"/>
      <c r="RDT295" s="1069"/>
      <c r="RDU295" s="1069"/>
      <c r="RDV295" s="1069"/>
      <c r="RDW295" s="1069"/>
      <c r="RDX295" s="1069"/>
      <c r="RDY295" s="1069"/>
      <c r="RDZ295" s="1069"/>
      <c r="REA295" s="1069"/>
      <c r="REB295" s="1069"/>
      <c r="REC295" s="1069"/>
      <c r="RED295" s="1069"/>
      <c r="REE295" s="1069"/>
      <c r="REF295" s="1069"/>
      <c r="REG295" s="1069"/>
      <c r="REH295" s="1069"/>
      <c r="REI295" s="1069"/>
      <c r="REJ295" s="1069"/>
      <c r="REK295" s="1069"/>
      <c r="REL295" s="1069"/>
      <c r="REM295" s="1069"/>
      <c r="REN295" s="1069"/>
      <c r="REO295" s="1069"/>
      <c r="REP295" s="1069"/>
      <c r="REQ295" s="1069"/>
      <c r="RER295" s="1069"/>
      <c r="RES295" s="1069"/>
      <c r="RET295" s="1069"/>
      <c r="REU295" s="1069"/>
      <c r="REV295" s="1069"/>
      <c r="REW295" s="1069"/>
      <c r="REX295" s="1069"/>
      <c r="REY295" s="1069"/>
      <c r="REZ295" s="1069"/>
      <c r="RFA295" s="1069"/>
      <c r="RFB295" s="1069"/>
      <c r="RFC295" s="1069"/>
      <c r="RFD295" s="1069"/>
      <c r="RFE295" s="1069"/>
      <c r="RFF295" s="1069"/>
      <c r="RFG295" s="1069"/>
      <c r="RFH295" s="1069"/>
      <c r="RFI295" s="1069"/>
      <c r="RFJ295" s="1069"/>
      <c r="RFK295" s="1069"/>
      <c r="RFL295" s="1069"/>
      <c r="RFM295" s="1069"/>
      <c r="RFN295" s="1069"/>
      <c r="RFO295" s="1069"/>
      <c r="RFP295" s="1069"/>
      <c r="RFQ295" s="1069"/>
      <c r="RFR295" s="1069"/>
      <c r="RFS295" s="1069"/>
      <c r="RFT295" s="1069"/>
      <c r="RFU295" s="1069"/>
      <c r="RFV295" s="1069"/>
      <c r="RFW295" s="1069"/>
      <c r="RFX295" s="1069"/>
      <c r="RFY295" s="1069"/>
      <c r="RFZ295" s="1069"/>
      <c r="RGA295" s="1069"/>
      <c r="RGB295" s="1069"/>
      <c r="RGC295" s="1069"/>
      <c r="RGD295" s="1069"/>
      <c r="RGE295" s="1069"/>
      <c r="RGF295" s="1069"/>
      <c r="RGG295" s="1069"/>
      <c r="RGH295" s="1069"/>
      <c r="RGI295" s="1069"/>
      <c r="RGJ295" s="1069"/>
      <c r="RGK295" s="1069"/>
      <c r="RGL295" s="1069"/>
      <c r="RGM295" s="1069"/>
      <c r="RGN295" s="1069"/>
      <c r="RGO295" s="1069"/>
      <c r="RGP295" s="1069"/>
      <c r="RGQ295" s="1069"/>
      <c r="RGR295" s="1069"/>
      <c r="RGS295" s="1069"/>
      <c r="RGT295" s="1069"/>
      <c r="RGU295" s="1069"/>
      <c r="RGV295" s="1069"/>
      <c r="RGW295" s="1069"/>
      <c r="RGX295" s="1069"/>
      <c r="RGY295" s="1069"/>
      <c r="RGZ295" s="1069"/>
      <c r="RHA295" s="1069"/>
      <c r="RHB295" s="1069"/>
      <c r="RHC295" s="1069"/>
      <c r="RHD295" s="1069"/>
      <c r="RHE295" s="1069"/>
      <c r="RHF295" s="1069"/>
      <c r="RHG295" s="1069"/>
      <c r="RHH295" s="1069"/>
      <c r="RHI295" s="1069"/>
      <c r="RHJ295" s="1069"/>
      <c r="RHK295" s="1069"/>
      <c r="RHL295" s="1069"/>
      <c r="RHM295" s="1069"/>
      <c r="RHN295" s="1069"/>
      <c r="RHO295" s="1069"/>
      <c r="RHP295" s="1069"/>
      <c r="RHQ295" s="1069"/>
      <c r="RHR295" s="1069"/>
      <c r="RHS295" s="1069"/>
      <c r="RHT295" s="1069"/>
      <c r="RHU295" s="1069"/>
      <c r="RHV295" s="1069"/>
      <c r="RHW295" s="1069"/>
      <c r="RHX295" s="1069"/>
      <c r="RHY295" s="1069"/>
      <c r="RHZ295" s="1069"/>
      <c r="RIA295" s="1069"/>
      <c r="RIB295" s="1069"/>
      <c r="RIC295" s="1069"/>
      <c r="RID295" s="1069"/>
      <c r="RIE295" s="1069"/>
      <c r="RIF295" s="1069"/>
      <c r="RIG295" s="1069"/>
      <c r="RIH295" s="1069"/>
      <c r="RII295" s="1069"/>
      <c r="RIJ295" s="1069"/>
      <c r="RIK295" s="1069"/>
      <c r="RIL295" s="1069"/>
      <c r="RIM295" s="1069"/>
      <c r="RIN295" s="1069"/>
      <c r="RIO295" s="1069"/>
      <c r="RIP295" s="1069"/>
      <c r="RIQ295" s="1069"/>
      <c r="RIR295" s="1069"/>
      <c r="RIS295" s="1069"/>
      <c r="RIT295" s="1069"/>
      <c r="RIU295" s="1069"/>
      <c r="RIV295" s="1069"/>
      <c r="RIW295" s="1069"/>
      <c r="RIX295" s="1069"/>
      <c r="RIY295" s="1069"/>
      <c r="RIZ295" s="1069"/>
      <c r="RJA295" s="1069"/>
      <c r="RJB295" s="1069"/>
      <c r="RJC295" s="1069"/>
      <c r="RJD295" s="1069"/>
      <c r="RJE295" s="1069"/>
      <c r="RJF295" s="1069"/>
      <c r="RJG295" s="1069"/>
      <c r="RJH295" s="1069"/>
      <c r="RJI295" s="1069"/>
      <c r="RJJ295" s="1069"/>
      <c r="RJK295" s="1069"/>
      <c r="RJL295" s="1069"/>
      <c r="RJM295" s="1069"/>
      <c r="RJN295" s="1069"/>
      <c r="RJO295" s="1069"/>
      <c r="RJP295" s="1069"/>
      <c r="RJQ295" s="1069"/>
      <c r="RJR295" s="1069"/>
      <c r="RJS295" s="1069"/>
      <c r="RJT295" s="1069"/>
      <c r="RJU295" s="1069"/>
      <c r="RJV295" s="1069"/>
      <c r="RJW295" s="1069"/>
      <c r="RJX295" s="1069"/>
      <c r="RJY295" s="1069"/>
      <c r="RJZ295" s="1069"/>
      <c r="RKA295" s="1069"/>
      <c r="RKB295" s="1069"/>
      <c r="RKC295" s="1069"/>
      <c r="RKD295" s="1069"/>
      <c r="RKE295" s="1069"/>
      <c r="RKF295" s="1069"/>
      <c r="RKG295" s="1069"/>
      <c r="RKH295" s="1069"/>
      <c r="RKI295" s="1069"/>
      <c r="RKJ295" s="1069"/>
      <c r="RKK295" s="1069"/>
      <c r="RKL295" s="1069"/>
      <c r="RKM295" s="1069"/>
      <c r="RKN295" s="1069"/>
      <c r="RKO295" s="1069"/>
      <c r="RKP295" s="1069"/>
      <c r="RKQ295" s="1069"/>
      <c r="RKR295" s="1069"/>
      <c r="RKS295" s="1069"/>
      <c r="RKT295" s="1069"/>
      <c r="RKU295" s="1069"/>
      <c r="RKV295" s="1069"/>
      <c r="RKW295" s="1069"/>
      <c r="RKX295" s="1069"/>
      <c r="RKY295" s="1069"/>
      <c r="RKZ295" s="1069"/>
      <c r="RLA295" s="1069"/>
      <c r="RLB295" s="1069"/>
      <c r="RLC295" s="1069"/>
      <c r="RLD295" s="1069"/>
      <c r="RLE295" s="1069"/>
      <c r="RLF295" s="1069"/>
      <c r="RLG295" s="1069"/>
      <c r="RLH295" s="1069"/>
      <c r="RLI295" s="1069"/>
      <c r="RLJ295" s="1069"/>
      <c r="RLK295" s="1069"/>
      <c r="RLL295" s="1069"/>
      <c r="RLM295" s="1069"/>
      <c r="RLN295" s="1069"/>
      <c r="RLO295" s="1069"/>
      <c r="RLP295" s="1069"/>
      <c r="RLQ295" s="1069"/>
      <c r="RLR295" s="1069"/>
      <c r="RLS295" s="1069"/>
      <c r="RLT295" s="1069"/>
      <c r="RLU295" s="1069"/>
      <c r="RLV295" s="1069"/>
      <c r="RLW295" s="1069"/>
      <c r="RLX295" s="1069"/>
      <c r="RLY295" s="1069"/>
      <c r="RLZ295" s="1069"/>
      <c r="RMA295" s="1069"/>
      <c r="RMB295" s="1069"/>
      <c r="RMC295" s="1069"/>
      <c r="RMD295" s="1069"/>
      <c r="RME295" s="1069"/>
      <c r="RMF295" s="1069"/>
      <c r="RMG295" s="1069"/>
      <c r="RMH295" s="1069"/>
      <c r="RMI295" s="1069"/>
      <c r="RMJ295" s="1069"/>
      <c r="RMK295" s="1069"/>
      <c r="RML295" s="1069"/>
      <c r="RMM295" s="1069"/>
      <c r="RMN295" s="1069"/>
      <c r="RMO295" s="1069"/>
      <c r="RMP295" s="1069"/>
      <c r="RMQ295" s="1069"/>
      <c r="RMR295" s="1069"/>
      <c r="RMS295" s="1069"/>
      <c r="RMT295" s="1069"/>
      <c r="RMU295" s="1069"/>
      <c r="RMV295" s="1069"/>
      <c r="RMW295" s="1069"/>
      <c r="RMX295" s="1069"/>
      <c r="RMY295" s="1069"/>
      <c r="RMZ295" s="1069"/>
      <c r="RNA295" s="1069"/>
      <c r="RNB295" s="1069"/>
      <c r="RNC295" s="1069"/>
      <c r="RND295" s="1069"/>
      <c r="RNE295" s="1069"/>
      <c r="RNF295" s="1069"/>
      <c r="RNG295" s="1069"/>
      <c r="RNH295" s="1069"/>
      <c r="RNI295" s="1069"/>
      <c r="RNJ295" s="1069"/>
      <c r="RNK295" s="1069"/>
      <c r="RNL295" s="1069"/>
      <c r="RNM295" s="1069"/>
      <c r="RNN295" s="1069"/>
      <c r="RNO295" s="1069"/>
      <c r="RNP295" s="1069"/>
      <c r="RNQ295" s="1069"/>
      <c r="RNR295" s="1069"/>
      <c r="RNS295" s="1069"/>
      <c r="RNT295" s="1069"/>
      <c r="RNU295" s="1069"/>
      <c r="RNV295" s="1069"/>
      <c r="RNW295" s="1069"/>
      <c r="RNX295" s="1069"/>
      <c r="RNY295" s="1069"/>
      <c r="RNZ295" s="1069"/>
      <c r="ROA295" s="1069"/>
      <c r="ROB295" s="1069"/>
      <c r="ROC295" s="1069"/>
      <c r="ROD295" s="1069"/>
      <c r="ROE295" s="1069"/>
      <c r="ROF295" s="1069"/>
      <c r="ROG295" s="1069"/>
      <c r="ROH295" s="1069"/>
      <c r="ROI295" s="1069"/>
      <c r="ROJ295" s="1069"/>
      <c r="ROK295" s="1069"/>
      <c r="ROL295" s="1069"/>
      <c r="ROM295" s="1069"/>
      <c r="RON295" s="1069"/>
      <c r="ROO295" s="1069"/>
      <c r="ROP295" s="1069"/>
      <c r="ROQ295" s="1069"/>
      <c r="ROR295" s="1069"/>
      <c r="ROS295" s="1069"/>
      <c r="ROT295" s="1069"/>
      <c r="ROU295" s="1069"/>
      <c r="ROV295" s="1069"/>
      <c r="ROW295" s="1069"/>
      <c r="ROX295" s="1069"/>
      <c r="ROY295" s="1069"/>
      <c r="ROZ295" s="1069"/>
      <c r="RPA295" s="1069"/>
      <c r="RPB295" s="1069"/>
      <c r="RPC295" s="1069"/>
      <c r="RPD295" s="1069"/>
      <c r="RPE295" s="1069"/>
      <c r="RPF295" s="1069"/>
      <c r="RPG295" s="1069"/>
      <c r="RPH295" s="1069"/>
      <c r="RPI295" s="1069"/>
      <c r="RPJ295" s="1069"/>
      <c r="RPK295" s="1069"/>
      <c r="RPL295" s="1069"/>
      <c r="RPM295" s="1069"/>
      <c r="RPN295" s="1069"/>
      <c r="RPO295" s="1069"/>
      <c r="RPP295" s="1069"/>
      <c r="RPQ295" s="1069"/>
      <c r="RPR295" s="1069"/>
      <c r="RPS295" s="1069"/>
      <c r="RPT295" s="1069"/>
      <c r="RPU295" s="1069"/>
      <c r="RPV295" s="1069"/>
      <c r="RPW295" s="1069"/>
      <c r="RPX295" s="1069"/>
      <c r="RPY295" s="1069"/>
      <c r="RPZ295" s="1069"/>
      <c r="RQA295" s="1069"/>
      <c r="RQB295" s="1069"/>
      <c r="RQC295" s="1069"/>
      <c r="RQD295" s="1069"/>
      <c r="RQE295" s="1069"/>
      <c r="RQF295" s="1069"/>
      <c r="RQG295" s="1069"/>
      <c r="RQH295" s="1069"/>
      <c r="RQI295" s="1069"/>
      <c r="RQJ295" s="1069"/>
      <c r="RQK295" s="1069"/>
      <c r="RQL295" s="1069"/>
      <c r="RQM295" s="1069"/>
      <c r="RQN295" s="1069"/>
      <c r="RQO295" s="1069"/>
      <c r="RQP295" s="1069"/>
      <c r="RQQ295" s="1069"/>
      <c r="RQR295" s="1069"/>
      <c r="RQS295" s="1069"/>
      <c r="RQT295" s="1069"/>
      <c r="RQU295" s="1069"/>
      <c r="RQV295" s="1069"/>
      <c r="RQW295" s="1069"/>
      <c r="RQX295" s="1069"/>
      <c r="RQY295" s="1069"/>
      <c r="RQZ295" s="1069"/>
      <c r="RRA295" s="1069"/>
      <c r="RRB295" s="1069"/>
      <c r="RRC295" s="1069"/>
      <c r="RRD295" s="1069"/>
      <c r="RRE295" s="1069"/>
      <c r="RRF295" s="1069"/>
      <c r="RRG295" s="1069"/>
      <c r="RRH295" s="1069"/>
      <c r="RRI295" s="1069"/>
      <c r="RRJ295" s="1069"/>
      <c r="RRK295" s="1069"/>
      <c r="RRL295" s="1069"/>
      <c r="RRM295" s="1069"/>
      <c r="RRN295" s="1069"/>
      <c r="RRO295" s="1069"/>
      <c r="RRP295" s="1069"/>
      <c r="RRQ295" s="1069"/>
      <c r="RRR295" s="1069"/>
      <c r="RRS295" s="1069"/>
      <c r="RRT295" s="1069"/>
      <c r="RRU295" s="1069"/>
      <c r="RRV295" s="1069"/>
      <c r="RRW295" s="1069"/>
      <c r="RRX295" s="1069"/>
      <c r="RRY295" s="1069"/>
      <c r="RRZ295" s="1069"/>
      <c r="RSA295" s="1069"/>
      <c r="RSB295" s="1069"/>
      <c r="RSC295" s="1069"/>
      <c r="RSD295" s="1069"/>
      <c r="RSE295" s="1069"/>
      <c r="RSF295" s="1069"/>
      <c r="RSG295" s="1069"/>
      <c r="RSH295" s="1069"/>
      <c r="RSI295" s="1069"/>
      <c r="RSJ295" s="1069"/>
      <c r="RSK295" s="1069"/>
      <c r="RSL295" s="1069"/>
      <c r="RSM295" s="1069"/>
      <c r="RSN295" s="1069"/>
      <c r="RSO295" s="1069"/>
      <c r="RSP295" s="1069"/>
      <c r="RSQ295" s="1069"/>
      <c r="RSR295" s="1069"/>
      <c r="RSS295" s="1069"/>
      <c r="RST295" s="1069"/>
      <c r="RSU295" s="1069"/>
      <c r="RSV295" s="1069"/>
      <c r="RSW295" s="1069"/>
      <c r="RSX295" s="1069"/>
      <c r="RSY295" s="1069"/>
      <c r="RSZ295" s="1069"/>
      <c r="RTA295" s="1069"/>
      <c r="RTB295" s="1069"/>
      <c r="RTC295" s="1069"/>
      <c r="RTD295" s="1069"/>
      <c r="RTE295" s="1069"/>
      <c r="RTF295" s="1069"/>
      <c r="RTG295" s="1069"/>
      <c r="RTH295" s="1069"/>
      <c r="RTI295" s="1069"/>
      <c r="RTJ295" s="1069"/>
      <c r="RTK295" s="1069"/>
      <c r="RTL295" s="1069"/>
      <c r="RTM295" s="1069"/>
      <c r="RTN295" s="1069"/>
      <c r="RTO295" s="1069"/>
      <c r="RTP295" s="1069"/>
      <c r="RTQ295" s="1069"/>
      <c r="RTR295" s="1069"/>
      <c r="RTS295" s="1069"/>
      <c r="RTT295" s="1069"/>
      <c r="RTU295" s="1069"/>
      <c r="RTV295" s="1069"/>
      <c r="RTW295" s="1069"/>
      <c r="RTX295" s="1069"/>
      <c r="RTY295" s="1069"/>
      <c r="RTZ295" s="1069"/>
      <c r="RUA295" s="1069"/>
      <c r="RUB295" s="1069"/>
      <c r="RUC295" s="1069"/>
      <c r="RUD295" s="1069"/>
      <c r="RUE295" s="1069"/>
      <c r="RUF295" s="1069"/>
      <c r="RUG295" s="1069"/>
      <c r="RUH295" s="1069"/>
      <c r="RUI295" s="1069"/>
      <c r="RUJ295" s="1069"/>
      <c r="RUK295" s="1069"/>
      <c r="RUL295" s="1069"/>
      <c r="RUM295" s="1069"/>
      <c r="RUN295" s="1069"/>
      <c r="RUO295" s="1069"/>
      <c r="RUP295" s="1069"/>
      <c r="RUQ295" s="1069"/>
      <c r="RUR295" s="1069"/>
      <c r="RUS295" s="1069"/>
      <c r="RUT295" s="1069"/>
      <c r="RUU295" s="1069"/>
      <c r="RUV295" s="1069"/>
      <c r="RUW295" s="1069"/>
      <c r="RUX295" s="1069"/>
      <c r="RUY295" s="1069"/>
      <c r="RUZ295" s="1069"/>
      <c r="RVA295" s="1069"/>
      <c r="RVB295" s="1069"/>
      <c r="RVC295" s="1069"/>
      <c r="RVD295" s="1069"/>
      <c r="RVE295" s="1069"/>
      <c r="RVF295" s="1069"/>
      <c r="RVG295" s="1069"/>
      <c r="RVH295" s="1069"/>
      <c r="RVI295" s="1069"/>
      <c r="RVJ295" s="1069"/>
      <c r="RVK295" s="1069"/>
      <c r="RVL295" s="1069"/>
      <c r="RVM295" s="1069"/>
      <c r="RVN295" s="1069"/>
      <c r="RVO295" s="1069"/>
      <c r="RVP295" s="1069"/>
      <c r="RVQ295" s="1069"/>
      <c r="RVR295" s="1069"/>
      <c r="RVS295" s="1069"/>
      <c r="RVT295" s="1069"/>
      <c r="RVU295" s="1069"/>
      <c r="RVV295" s="1069"/>
      <c r="RVW295" s="1069"/>
      <c r="RVX295" s="1069"/>
      <c r="RVY295" s="1069"/>
      <c r="RVZ295" s="1069"/>
      <c r="RWA295" s="1069"/>
      <c r="RWB295" s="1069"/>
      <c r="RWC295" s="1069"/>
      <c r="RWD295" s="1069"/>
      <c r="RWE295" s="1069"/>
      <c r="RWF295" s="1069"/>
      <c r="RWG295" s="1069"/>
      <c r="RWH295" s="1069"/>
      <c r="RWI295" s="1069"/>
      <c r="RWJ295" s="1069"/>
      <c r="RWK295" s="1069"/>
      <c r="RWL295" s="1069"/>
      <c r="RWM295" s="1069"/>
      <c r="RWN295" s="1069"/>
      <c r="RWO295" s="1069"/>
      <c r="RWP295" s="1069"/>
      <c r="RWQ295" s="1069"/>
      <c r="RWR295" s="1069"/>
      <c r="RWS295" s="1069"/>
      <c r="RWT295" s="1069"/>
      <c r="RWU295" s="1069"/>
      <c r="RWV295" s="1069"/>
      <c r="RWW295" s="1069"/>
      <c r="RWX295" s="1069"/>
      <c r="RWY295" s="1069"/>
      <c r="RWZ295" s="1069"/>
      <c r="RXA295" s="1069"/>
      <c r="RXB295" s="1069"/>
      <c r="RXC295" s="1069"/>
      <c r="RXD295" s="1069"/>
      <c r="RXE295" s="1069"/>
      <c r="RXF295" s="1069"/>
      <c r="RXG295" s="1069"/>
      <c r="RXH295" s="1069"/>
      <c r="RXI295" s="1069"/>
      <c r="RXJ295" s="1069"/>
      <c r="RXK295" s="1069"/>
      <c r="RXL295" s="1069"/>
      <c r="RXM295" s="1069"/>
      <c r="RXN295" s="1069"/>
      <c r="RXO295" s="1069"/>
      <c r="RXP295" s="1069"/>
      <c r="RXQ295" s="1069"/>
      <c r="RXR295" s="1069"/>
      <c r="RXS295" s="1069"/>
      <c r="RXT295" s="1069"/>
      <c r="RXU295" s="1069"/>
      <c r="RXV295" s="1069"/>
      <c r="RXW295" s="1069"/>
      <c r="RXX295" s="1069"/>
      <c r="RXY295" s="1069"/>
      <c r="RXZ295" s="1069"/>
      <c r="RYA295" s="1069"/>
      <c r="RYB295" s="1069"/>
      <c r="RYC295" s="1069"/>
      <c r="RYD295" s="1069"/>
      <c r="RYE295" s="1069"/>
      <c r="RYF295" s="1069"/>
      <c r="RYG295" s="1069"/>
      <c r="RYH295" s="1069"/>
      <c r="RYI295" s="1069"/>
      <c r="RYJ295" s="1069"/>
      <c r="RYK295" s="1069"/>
      <c r="RYL295" s="1069"/>
      <c r="RYM295" s="1069"/>
      <c r="RYN295" s="1069"/>
      <c r="RYO295" s="1069"/>
      <c r="RYP295" s="1069"/>
      <c r="RYQ295" s="1069"/>
      <c r="RYR295" s="1069"/>
      <c r="RYS295" s="1069"/>
      <c r="RYT295" s="1069"/>
      <c r="RYU295" s="1069"/>
      <c r="RYV295" s="1069"/>
      <c r="RYW295" s="1069"/>
      <c r="RYX295" s="1069"/>
      <c r="RYY295" s="1069"/>
      <c r="RYZ295" s="1069"/>
      <c r="RZA295" s="1069"/>
      <c r="RZB295" s="1069"/>
      <c r="RZC295" s="1069"/>
      <c r="RZD295" s="1069"/>
      <c r="RZE295" s="1069"/>
      <c r="RZF295" s="1069"/>
      <c r="RZG295" s="1069"/>
      <c r="RZH295" s="1069"/>
      <c r="RZI295" s="1069"/>
      <c r="RZJ295" s="1069"/>
      <c r="RZK295" s="1069"/>
      <c r="RZL295" s="1069"/>
      <c r="RZM295" s="1069"/>
      <c r="RZN295" s="1069"/>
      <c r="RZO295" s="1069"/>
      <c r="RZP295" s="1069"/>
      <c r="RZQ295" s="1069"/>
      <c r="RZR295" s="1069"/>
      <c r="RZS295" s="1069"/>
      <c r="RZT295" s="1069"/>
      <c r="RZU295" s="1069"/>
      <c r="RZV295" s="1069"/>
      <c r="RZW295" s="1069"/>
      <c r="RZX295" s="1069"/>
      <c r="RZY295" s="1069"/>
      <c r="RZZ295" s="1069"/>
      <c r="SAA295" s="1069"/>
      <c r="SAB295" s="1069"/>
      <c r="SAC295" s="1069"/>
      <c r="SAD295" s="1069"/>
      <c r="SAE295" s="1069"/>
      <c r="SAF295" s="1069"/>
      <c r="SAG295" s="1069"/>
      <c r="SAH295" s="1069"/>
      <c r="SAI295" s="1069"/>
      <c r="SAJ295" s="1069"/>
      <c r="SAK295" s="1069"/>
      <c r="SAL295" s="1069"/>
      <c r="SAM295" s="1069"/>
      <c r="SAN295" s="1069"/>
      <c r="SAO295" s="1069"/>
      <c r="SAP295" s="1069"/>
      <c r="SAQ295" s="1069"/>
      <c r="SAR295" s="1069"/>
      <c r="SAS295" s="1069"/>
      <c r="SAT295" s="1069"/>
      <c r="SAU295" s="1069"/>
      <c r="SAV295" s="1069"/>
      <c r="SAW295" s="1069"/>
      <c r="SAX295" s="1069"/>
      <c r="SAY295" s="1069"/>
      <c r="SAZ295" s="1069"/>
      <c r="SBA295" s="1069"/>
      <c r="SBB295" s="1069"/>
      <c r="SBC295" s="1069"/>
      <c r="SBD295" s="1069"/>
      <c r="SBE295" s="1069"/>
      <c r="SBF295" s="1069"/>
      <c r="SBG295" s="1069"/>
      <c r="SBH295" s="1069"/>
      <c r="SBI295" s="1069"/>
      <c r="SBJ295" s="1069"/>
      <c r="SBK295" s="1069"/>
      <c r="SBL295" s="1069"/>
      <c r="SBM295" s="1069"/>
      <c r="SBN295" s="1069"/>
      <c r="SBO295" s="1069"/>
      <c r="SBP295" s="1069"/>
      <c r="SBQ295" s="1069"/>
      <c r="SBR295" s="1069"/>
      <c r="SBS295" s="1069"/>
      <c r="SBT295" s="1069"/>
      <c r="SBU295" s="1069"/>
      <c r="SBV295" s="1069"/>
      <c r="SBW295" s="1069"/>
      <c r="SBX295" s="1069"/>
      <c r="SBY295" s="1069"/>
      <c r="SBZ295" s="1069"/>
      <c r="SCA295" s="1069"/>
      <c r="SCB295" s="1069"/>
      <c r="SCC295" s="1069"/>
      <c r="SCD295" s="1069"/>
      <c r="SCE295" s="1069"/>
      <c r="SCF295" s="1069"/>
      <c r="SCG295" s="1069"/>
      <c r="SCH295" s="1069"/>
      <c r="SCI295" s="1069"/>
      <c r="SCJ295" s="1069"/>
      <c r="SCK295" s="1069"/>
      <c r="SCL295" s="1069"/>
      <c r="SCM295" s="1069"/>
      <c r="SCN295" s="1069"/>
      <c r="SCO295" s="1069"/>
      <c r="SCP295" s="1069"/>
      <c r="SCQ295" s="1069"/>
      <c r="SCR295" s="1069"/>
      <c r="SCS295" s="1069"/>
      <c r="SCT295" s="1069"/>
      <c r="SCU295" s="1069"/>
      <c r="SCV295" s="1069"/>
      <c r="SCW295" s="1069"/>
      <c r="SCX295" s="1069"/>
      <c r="SCY295" s="1069"/>
      <c r="SCZ295" s="1069"/>
      <c r="SDA295" s="1069"/>
      <c r="SDB295" s="1069"/>
      <c r="SDC295" s="1069"/>
      <c r="SDD295" s="1069"/>
      <c r="SDE295" s="1069"/>
      <c r="SDF295" s="1069"/>
      <c r="SDG295" s="1069"/>
      <c r="SDH295" s="1069"/>
      <c r="SDI295" s="1069"/>
      <c r="SDJ295" s="1069"/>
      <c r="SDK295" s="1069"/>
      <c r="SDL295" s="1069"/>
      <c r="SDM295" s="1069"/>
      <c r="SDN295" s="1069"/>
      <c r="SDO295" s="1069"/>
      <c r="SDP295" s="1069"/>
      <c r="SDQ295" s="1069"/>
      <c r="SDR295" s="1069"/>
      <c r="SDS295" s="1069"/>
      <c r="SDT295" s="1069"/>
      <c r="SDU295" s="1069"/>
      <c r="SDV295" s="1069"/>
      <c r="SDW295" s="1069"/>
      <c r="SDX295" s="1069"/>
      <c r="SDY295" s="1069"/>
      <c r="SDZ295" s="1069"/>
      <c r="SEA295" s="1069"/>
      <c r="SEB295" s="1069"/>
      <c r="SEC295" s="1069"/>
      <c r="SED295" s="1069"/>
      <c r="SEE295" s="1069"/>
      <c r="SEF295" s="1069"/>
      <c r="SEG295" s="1069"/>
      <c r="SEH295" s="1069"/>
      <c r="SEI295" s="1069"/>
      <c r="SEJ295" s="1069"/>
      <c r="SEK295" s="1069"/>
      <c r="SEL295" s="1069"/>
      <c r="SEM295" s="1069"/>
      <c r="SEN295" s="1069"/>
      <c r="SEO295" s="1069"/>
      <c r="SEP295" s="1069"/>
      <c r="SEQ295" s="1069"/>
      <c r="SER295" s="1069"/>
      <c r="SES295" s="1069"/>
      <c r="SET295" s="1069"/>
      <c r="SEU295" s="1069"/>
      <c r="SEV295" s="1069"/>
      <c r="SEW295" s="1069"/>
      <c r="SEX295" s="1069"/>
      <c r="SEY295" s="1069"/>
      <c r="SEZ295" s="1069"/>
      <c r="SFA295" s="1069"/>
      <c r="SFB295" s="1069"/>
      <c r="SFC295" s="1069"/>
      <c r="SFD295" s="1069"/>
      <c r="SFE295" s="1069"/>
      <c r="SFF295" s="1069"/>
      <c r="SFG295" s="1069"/>
      <c r="SFH295" s="1069"/>
      <c r="SFI295" s="1069"/>
      <c r="SFJ295" s="1069"/>
      <c r="SFK295" s="1069"/>
      <c r="SFL295" s="1069"/>
      <c r="SFM295" s="1069"/>
      <c r="SFN295" s="1069"/>
      <c r="SFO295" s="1069"/>
      <c r="SFP295" s="1069"/>
      <c r="SFQ295" s="1069"/>
      <c r="SFR295" s="1069"/>
      <c r="SFS295" s="1069"/>
      <c r="SFT295" s="1069"/>
      <c r="SFU295" s="1069"/>
      <c r="SFV295" s="1069"/>
      <c r="SFW295" s="1069"/>
      <c r="SFX295" s="1069"/>
      <c r="SFY295" s="1069"/>
      <c r="SFZ295" s="1069"/>
      <c r="SGA295" s="1069"/>
      <c r="SGB295" s="1069"/>
      <c r="SGC295" s="1069"/>
      <c r="SGD295" s="1069"/>
      <c r="SGE295" s="1069"/>
      <c r="SGF295" s="1069"/>
      <c r="SGG295" s="1069"/>
      <c r="SGH295" s="1069"/>
      <c r="SGI295" s="1069"/>
      <c r="SGJ295" s="1069"/>
      <c r="SGK295" s="1069"/>
      <c r="SGL295" s="1069"/>
      <c r="SGM295" s="1069"/>
      <c r="SGN295" s="1069"/>
      <c r="SGO295" s="1069"/>
      <c r="SGP295" s="1069"/>
      <c r="SGQ295" s="1069"/>
      <c r="SGR295" s="1069"/>
      <c r="SGS295" s="1069"/>
      <c r="SGT295" s="1069"/>
      <c r="SGU295" s="1069"/>
      <c r="SGV295" s="1069"/>
      <c r="SGW295" s="1069"/>
      <c r="SGX295" s="1069"/>
      <c r="SGY295" s="1069"/>
      <c r="SGZ295" s="1069"/>
      <c r="SHA295" s="1069"/>
      <c r="SHB295" s="1069"/>
      <c r="SHC295" s="1069"/>
      <c r="SHD295" s="1069"/>
      <c r="SHE295" s="1069"/>
      <c r="SHF295" s="1069"/>
      <c r="SHG295" s="1069"/>
      <c r="SHH295" s="1069"/>
      <c r="SHI295" s="1069"/>
      <c r="SHJ295" s="1069"/>
      <c r="SHK295" s="1069"/>
      <c r="SHL295" s="1069"/>
      <c r="SHM295" s="1069"/>
      <c r="SHN295" s="1069"/>
      <c r="SHO295" s="1069"/>
      <c r="SHP295" s="1069"/>
      <c r="SHQ295" s="1069"/>
      <c r="SHR295" s="1069"/>
      <c r="SHS295" s="1069"/>
      <c r="SHT295" s="1069"/>
      <c r="SHU295" s="1069"/>
      <c r="SHV295" s="1069"/>
      <c r="SHW295" s="1069"/>
      <c r="SHX295" s="1069"/>
      <c r="SHY295" s="1069"/>
      <c r="SHZ295" s="1069"/>
      <c r="SIA295" s="1069"/>
      <c r="SIB295" s="1069"/>
      <c r="SIC295" s="1069"/>
      <c r="SID295" s="1069"/>
      <c r="SIE295" s="1069"/>
      <c r="SIF295" s="1069"/>
      <c r="SIG295" s="1069"/>
      <c r="SIH295" s="1069"/>
      <c r="SII295" s="1069"/>
      <c r="SIJ295" s="1069"/>
      <c r="SIK295" s="1069"/>
      <c r="SIL295" s="1069"/>
      <c r="SIM295" s="1069"/>
      <c r="SIN295" s="1069"/>
      <c r="SIO295" s="1069"/>
      <c r="SIP295" s="1069"/>
      <c r="SIQ295" s="1069"/>
      <c r="SIR295" s="1069"/>
      <c r="SIS295" s="1069"/>
      <c r="SIT295" s="1069"/>
      <c r="SIU295" s="1069"/>
      <c r="SIV295" s="1069"/>
      <c r="SIW295" s="1069"/>
      <c r="SIX295" s="1069"/>
      <c r="SIY295" s="1069"/>
      <c r="SIZ295" s="1069"/>
      <c r="SJA295" s="1069"/>
      <c r="SJB295" s="1069"/>
      <c r="SJC295" s="1069"/>
      <c r="SJD295" s="1069"/>
      <c r="SJE295" s="1069"/>
      <c r="SJF295" s="1069"/>
      <c r="SJG295" s="1069"/>
      <c r="SJH295" s="1069"/>
      <c r="SJI295" s="1069"/>
      <c r="SJJ295" s="1069"/>
      <c r="SJK295" s="1069"/>
      <c r="SJL295" s="1069"/>
      <c r="SJM295" s="1069"/>
      <c r="SJN295" s="1069"/>
      <c r="SJO295" s="1069"/>
      <c r="SJP295" s="1069"/>
      <c r="SJQ295" s="1069"/>
      <c r="SJR295" s="1069"/>
      <c r="SJS295" s="1069"/>
      <c r="SJT295" s="1069"/>
      <c r="SJU295" s="1069"/>
      <c r="SJV295" s="1069"/>
      <c r="SJW295" s="1069"/>
      <c r="SJX295" s="1069"/>
      <c r="SJY295" s="1069"/>
      <c r="SJZ295" s="1069"/>
      <c r="SKA295" s="1069"/>
      <c r="SKB295" s="1069"/>
      <c r="SKC295" s="1069"/>
      <c r="SKD295" s="1069"/>
      <c r="SKE295" s="1069"/>
      <c r="SKF295" s="1069"/>
      <c r="SKG295" s="1069"/>
      <c r="SKH295" s="1069"/>
      <c r="SKI295" s="1069"/>
      <c r="SKJ295" s="1069"/>
      <c r="SKK295" s="1069"/>
      <c r="SKL295" s="1069"/>
      <c r="SKM295" s="1069"/>
      <c r="SKN295" s="1069"/>
      <c r="SKO295" s="1069"/>
      <c r="SKP295" s="1069"/>
      <c r="SKQ295" s="1069"/>
      <c r="SKR295" s="1069"/>
      <c r="SKS295" s="1069"/>
      <c r="SKT295" s="1069"/>
      <c r="SKU295" s="1069"/>
      <c r="SKV295" s="1069"/>
      <c r="SKW295" s="1069"/>
      <c r="SKX295" s="1069"/>
      <c r="SKY295" s="1069"/>
      <c r="SKZ295" s="1069"/>
      <c r="SLA295" s="1069"/>
      <c r="SLB295" s="1069"/>
      <c r="SLC295" s="1069"/>
      <c r="SLD295" s="1069"/>
      <c r="SLE295" s="1069"/>
      <c r="SLF295" s="1069"/>
      <c r="SLG295" s="1069"/>
      <c r="SLH295" s="1069"/>
      <c r="SLI295" s="1069"/>
      <c r="SLJ295" s="1069"/>
      <c r="SLK295" s="1069"/>
      <c r="SLL295" s="1069"/>
      <c r="SLM295" s="1069"/>
      <c r="SLN295" s="1069"/>
      <c r="SLO295" s="1069"/>
      <c r="SLP295" s="1069"/>
      <c r="SLQ295" s="1069"/>
      <c r="SLR295" s="1069"/>
      <c r="SLS295" s="1069"/>
      <c r="SLT295" s="1069"/>
      <c r="SLU295" s="1069"/>
      <c r="SLV295" s="1069"/>
      <c r="SLW295" s="1069"/>
      <c r="SLX295" s="1069"/>
      <c r="SLY295" s="1069"/>
      <c r="SLZ295" s="1069"/>
      <c r="SMA295" s="1069"/>
      <c r="SMB295" s="1069"/>
      <c r="SMC295" s="1069"/>
      <c r="SMD295" s="1069"/>
      <c r="SME295" s="1069"/>
      <c r="SMF295" s="1069"/>
      <c r="SMG295" s="1069"/>
      <c r="SMH295" s="1069"/>
      <c r="SMI295" s="1069"/>
      <c r="SMJ295" s="1069"/>
      <c r="SMK295" s="1069"/>
      <c r="SML295" s="1069"/>
      <c r="SMM295" s="1069"/>
      <c r="SMN295" s="1069"/>
      <c r="SMO295" s="1069"/>
      <c r="SMP295" s="1069"/>
      <c r="SMQ295" s="1069"/>
      <c r="SMR295" s="1069"/>
      <c r="SMS295" s="1069"/>
      <c r="SMT295" s="1069"/>
      <c r="SMU295" s="1069"/>
      <c r="SMV295" s="1069"/>
      <c r="SMW295" s="1069"/>
      <c r="SMX295" s="1069"/>
      <c r="SMY295" s="1069"/>
      <c r="SMZ295" s="1069"/>
      <c r="SNA295" s="1069"/>
      <c r="SNB295" s="1069"/>
      <c r="SNC295" s="1069"/>
      <c r="SND295" s="1069"/>
      <c r="SNE295" s="1069"/>
      <c r="SNF295" s="1069"/>
      <c r="SNG295" s="1069"/>
      <c r="SNH295" s="1069"/>
      <c r="SNI295" s="1069"/>
      <c r="SNJ295" s="1069"/>
      <c r="SNK295" s="1069"/>
      <c r="SNL295" s="1069"/>
      <c r="SNM295" s="1069"/>
      <c r="SNN295" s="1069"/>
      <c r="SNO295" s="1069"/>
      <c r="SNP295" s="1069"/>
      <c r="SNQ295" s="1069"/>
      <c r="SNR295" s="1069"/>
      <c r="SNS295" s="1069"/>
      <c r="SNT295" s="1069"/>
      <c r="SNU295" s="1069"/>
      <c r="SNV295" s="1069"/>
      <c r="SNW295" s="1069"/>
      <c r="SNX295" s="1069"/>
      <c r="SNY295" s="1069"/>
      <c r="SNZ295" s="1069"/>
      <c r="SOA295" s="1069"/>
      <c r="SOB295" s="1069"/>
      <c r="SOC295" s="1069"/>
      <c r="SOD295" s="1069"/>
      <c r="SOE295" s="1069"/>
      <c r="SOF295" s="1069"/>
      <c r="SOG295" s="1069"/>
      <c r="SOH295" s="1069"/>
      <c r="SOI295" s="1069"/>
      <c r="SOJ295" s="1069"/>
      <c r="SOK295" s="1069"/>
      <c r="SOL295" s="1069"/>
      <c r="SOM295" s="1069"/>
      <c r="SON295" s="1069"/>
      <c r="SOO295" s="1069"/>
      <c r="SOP295" s="1069"/>
      <c r="SOQ295" s="1069"/>
      <c r="SOR295" s="1069"/>
      <c r="SOS295" s="1069"/>
      <c r="SOT295" s="1069"/>
      <c r="SOU295" s="1069"/>
      <c r="SOV295" s="1069"/>
      <c r="SOW295" s="1069"/>
      <c r="SOX295" s="1069"/>
      <c r="SOY295" s="1069"/>
      <c r="SOZ295" s="1069"/>
      <c r="SPA295" s="1069"/>
      <c r="SPB295" s="1069"/>
      <c r="SPC295" s="1069"/>
      <c r="SPD295" s="1069"/>
      <c r="SPE295" s="1069"/>
      <c r="SPF295" s="1069"/>
      <c r="SPG295" s="1069"/>
      <c r="SPH295" s="1069"/>
      <c r="SPI295" s="1069"/>
      <c r="SPJ295" s="1069"/>
      <c r="SPK295" s="1069"/>
      <c r="SPL295" s="1069"/>
      <c r="SPM295" s="1069"/>
      <c r="SPN295" s="1069"/>
      <c r="SPO295" s="1069"/>
      <c r="SPP295" s="1069"/>
      <c r="SPQ295" s="1069"/>
      <c r="SPR295" s="1069"/>
      <c r="SPS295" s="1069"/>
      <c r="SPT295" s="1069"/>
      <c r="SPU295" s="1069"/>
      <c r="SPV295" s="1069"/>
      <c r="SPW295" s="1069"/>
      <c r="SPX295" s="1069"/>
      <c r="SPY295" s="1069"/>
      <c r="SPZ295" s="1069"/>
      <c r="SQA295" s="1069"/>
      <c r="SQB295" s="1069"/>
      <c r="SQC295" s="1069"/>
      <c r="SQD295" s="1069"/>
      <c r="SQE295" s="1069"/>
      <c r="SQF295" s="1069"/>
      <c r="SQG295" s="1069"/>
      <c r="SQH295" s="1069"/>
      <c r="SQI295" s="1069"/>
      <c r="SQJ295" s="1069"/>
      <c r="SQK295" s="1069"/>
      <c r="SQL295" s="1069"/>
      <c r="SQM295" s="1069"/>
      <c r="SQN295" s="1069"/>
      <c r="SQO295" s="1069"/>
      <c r="SQP295" s="1069"/>
      <c r="SQQ295" s="1069"/>
      <c r="SQR295" s="1069"/>
      <c r="SQS295" s="1069"/>
      <c r="SQT295" s="1069"/>
      <c r="SQU295" s="1069"/>
      <c r="SQV295" s="1069"/>
      <c r="SQW295" s="1069"/>
      <c r="SQX295" s="1069"/>
      <c r="SQY295" s="1069"/>
      <c r="SQZ295" s="1069"/>
      <c r="SRA295" s="1069"/>
      <c r="SRB295" s="1069"/>
      <c r="SRC295" s="1069"/>
      <c r="SRD295" s="1069"/>
      <c r="SRE295" s="1069"/>
      <c r="SRF295" s="1069"/>
      <c r="SRG295" s="1069"/>
      <c r="SRH295" s="1069"/>
      <c r="SRI295" s="1069"/>
      <c r="SRJ295" s="1069"/>
      <c r="SRK295" s="1069"/>
      <c r="SRL295" s="1069"/>
      <c r="SRM295" s="1069"/>
      <c r="SRN295" s="1069"/>
      <c r="SRO295" s="1069"/>
      <c r="SRP295" s="1069"/>
      <c r="SRQ295" s="1069"/>
      <c r="SRR295" s="1069"/>
      <c r="SRS295" s="1069"/>
      <c r="SRT295" s="1069"/>
      <c r="SRU295" s="1069"/>
      <c r="SRV295" s="1069"/>
      <c r="SRW295" s="1069"/>
      <c r="SRX295" s="1069"/>
      <c r="SRY295" s="1069"/>
      <c r="SRZ295" s="1069"/>
      <c r="SSA295" s="1069"/>
      <c r="SSB295" s="1069"/>
      <c r="SSC295" s="1069"/>
      <c r="SSD295" s="1069"/>
      <c r="SSE295" s="1069"/>
      <c r="SSF295" s="1069"/>
      <c r="SSG295" s="1069"/>
      <c r="SSH295" s="1069"/>
      <c r="SSI295" s="1069"/>
      <c r="SSJ295" s="1069"/>
      <c r="SSK295" s="1069"/>
      <c r="SSL295" s="1069"/>
      <c r="SSM295" s="1069"/>
      <c r="SSN295" s="1069"/>
      <c r="SSO295" s="1069"/>
      <c r="SSP295" s="1069"/>
      <c r="SSQ295" s="1069"/>
      <c r="SSR295" s="1069"/>
      <c r="SSS295" s="1069"/>
      <c r="SST295" s="1069"/>
      <c r="SSU295" s="1069"/>
      <c r="SSV295" s="1069"/>
      <c r="SSW295" s="1069"/>
      <c r="SSX295" s="1069"/>
      <c r="SSY295" s="1069"/>
      <c r="SSZ295" s="1069"/>
      <c r="STA295" s="1069"/>
      <c r="STB295" s="1069"/>
      <c r="STC295" s="1069"/>
      <c r="STD295" s="1069"/>
      <c r="STE295" s="1069"/>
      <c r="STF295" s="1069"/>
      <c r="STG295" s="1069"/>
      <c r="STH295" s="1069"/>
      <c r="STI295" s="1069"/>
      <c r="STJ295" s="1069"/>
      <c r="STK295" s="1069"/>
      <c r="STL295" s="1069"/>
      <c r="STM295" s="1069"/>
      <c r="STN295" s="1069"/>
      <c r="STO295" s="1069"/>
      <c r="STP295" s="1069"/>
      <c r="STQ295" s="1069"/>
      <c r="STR295" s="1069"/>
      <c r="STS295" s="1069"/>
      <c r="STT295" s="1069"/>
      <c r="STU295" s="1069"/>
      <c r="STV295" s="1069"/>
      <c r="STW295" s="1069"/>
      <c r="STX295" s="1069"/>
      <c r="STY295" s="1069"/>
      <c r="STZ295" s="1069"/>
      <c r="SUA295" s="1069"/>
      <c r="SUB295" s="1069"/>
      <c r="SUC295" s="1069"/>
      <c r="SUD295" s="1069"/>
      <c r="SUE295" s="1069"/>
      <c r="SUF295" s="1069"/>
      <c r="SUG295" s="1069"/>
      <c r="SUH295" s="1069"/>
      <c r="SUI295" s="1069"/>
      <c r="SUJ295" s="1069"/>
      <c r="SUK295" s="1069"/>
      <c r="SUL295" s="1069"/>
      <c r="SUM295" s="1069"/>
      <c r="SUN295" s="1069"/>
      <c r="SUO295" s="1069"/>
      <c r="SUP295" s="1069"/>
      <c r="SUQ295" s="1069"/>
      <c r="SUR295" s="1069"/>
      <c r="SUS295" s="1069"/>
      <c r="SUT295" s="1069"/>
      <c r="SUU295" s="1069"/>
      <c r="SUV295" s="1069"/>
      <c r="SUW295" s="1069"/>
      <c r="SUX295" s="1069"/>
      <c r="SUY295" s="1069"/>
      <c r="SUZ295" s="1069"/>
      <c r="SVA295" s="1069"/>
      <c r="SVB295" s="1069"/>
      <c r="SVC295" s="1069"/>
      <c r="SVD295" s="1069"/>
      <c r="SVE295" s="1069"/>
      <c r="SVF295" s="1069"/>
      <c r="SVG295" s="1069"/>
      <c r="SVH295" s="1069"/>
      <c r="SVI295" s="1069"/>
      <c r="SVJ295" s="1069"/>
      <c r="SVK295" s="1069"/>
      <c r="SVL295" s="1069"/>
      <c r="SVM295" s="1069"/>
      <c r="SVN295" s="1069"/>
      <c r="SVO295" s="1069"/>
      <c r="SVP295" s="1069"/>
      <c r="SVQ295" s="1069"/>
      <c r="SVR295" s="1069"/>
      <c r="SVS295" s="1069"/>
      <c r="SVT295" s="1069"/>
      <c r="SVU295" s="1069"/>
      <c r="SVV295" s="1069"/>
      <c r="SVW295" s="1069"/>
      <c r="SVX295" s="1069"/>
      <c r="SVY295" s="1069"/>
      <c r="SVZ295" s="1069"/>
      <c r="SWA295" s="1069"/>
      <c r="SWB295" s="1069"/>
      <c r="SWC295" s="1069"/>
      <c r="SWD295" s="1069"/>
      <c r="SWE295" s="1069"/>
      <c r="SWF295" s="1069"/>
      <c r="SWG295" s="1069"/>
      <c r="SWH295" s="1069"/>
      <c r="SWI295" s="1069"/>
      <c r="SWJ295" s="1069"/>
      <c r="SWK295" s="1069"/>
      <c r="SWL295" s="1069"/>
      <c r="SWM295" s="1069"/>
      <c r="SWN295" s="1069"/>
      <c r="SWO295" s="1069"/>
      <c r="SWP295" s="1069"/>
      <c r="SWQ295" s="1069"/>
      <c r="SWR295" s="1069"/>
      <c r="SWS295" s="1069"/>
      <c r="SWT295" s="1069"/>
      <c r="SWU295" s="1069"/>
      <c r="SWV295" s="1069"/>
      <c r="SWW295" s="1069"/>
      <c r="SWX295" s="1069"/>
      <c r="SWY295" s="1069"/>
      <c r="SWZ295" s="1069"/>
      <c r="SXA295" s="1069"/>
      <c r="SXB295" s="1069"/>
      <c r="SXC295" s="1069"/>
      <c r="SXD295" s="1069"/>
      <c r="SXE295" s="1069"/>
      <c r="SXF295" s="1069"/>
      <c r="SXG295" s="1069"/>
      <c r="SXH295" s="1069"/>
      <c r="SXI295" s="1069"/>
      <c r="SXJ295" s="1069"/>
      <c r="SXK295" s="1069"/>
      <c r="SXL295" s="1069"/>
      <c r="SXM295" s="1069"/>
      <c r="SXN295" s="1069"/>
      <c r="SXO295" s="1069"/>
      <c r="SXP295" s="1069"/>
      <c r="SXQ295" s="1069"/>
      <c r="SXR295" s="1069"/>
      <c r="SXS295" s="1069"/>
      <c r="SXT295" s="1069"/>
      <c r="SXU295" s="1069"/>
      <c r="SXV295" s="1069"/>
      <c r="SXW295" s="1069"/>
      <c r="SXX295" s="1069"/>
      <c r="SXY295" s="1069"/>
      <c r="SXZ295" s="1069"/>
      <c r="SYA295" s="1069"/>
      <c r="SYB295" s="1069"/>
      <c r="SYC295" s="1069"/>
      <c r="SYD295" s="1069"/>
      <c r="SYE295" s="1069"/>
      <c r="SYF295" s="1069"/>
      <c r="SYG295" s="1069"/>
      <c r="SYH295" s="1069"/>
      <c r="SYI295" s="1069"/>
      <c r="SYJ295" s="1069"/>
      <c r="SYK295" s="1069"/>
      <c r="SYL295" s="1069"/>
      <c r="SYM295" s="1069"/>
      <c r="SYN295" s="1069"/>
      <c r="SYO295" s="1069"/>
      <c r="SYP295" s="1069"/>
      <c r="SYQ295" s="1069"/>
      <c r="SYR295" s="1069"/>
      <c r="SYS295" s="1069"/>
      <c r="SYT295" s="1069"/>
      <c r="SYU295" s="1069"/>
      <c r="SYV295" s="1069"/>
      <c r="SYW295" s="1069"/>
      <c r="SYX295" s="1069"/>
      <c r="SYY295" s="1069"/>
      <c r="SYZ295" s="1069"/>
      <c r="SZA295" s="1069"/>
      <c r="SZB295" s="1069"/>
      <c r="SZC295" s="1069"/>
      <c r="SZD295" s="1069"/>
      <c r="SZE295" s="1069"/>
      <c r="SZF295" s="1069"/>
      <c r="SZG295" s="1069"/>
      <c r="SZH295" s="1069"/>
      <c r="SZI295" s="1069"/>
      <c r="SZJ295" s="1069"/>
      <c r="SZK295" s="1069"/>
      <c r="SZL295" s="1069"/>
      <c r="SZM295" s="1069"/>
      <c r="SZN295" s="1069"/>
      <c r="SZO295" s="1069"/>
      <c r="SZP295" s="1069"/>
      <c r="SZQ295" s="1069"/>
      <c r="SZR295" s="1069"/>
      <c r="SZS295" s="1069"/>
      <c r="SZT295" s="1069"/>
      <c r="SZU295" s="1069"/>
      <c r="SZV295" s="1069"/>
      <c r="SZW295" s="1069"/>
      <c r="SZX295" s="1069"/>
      <c r="SZY295" s="1069"/>
      <c r="SZZ295" s="1069"/>
      <c r="TAA295" s="1069"/>
      <c r="TAB295" s="1069"/>
      <c r="TAC295" s="1069"/>
      <c r="TAD295" s="1069"/>
      <c r="TAE295" s="1069"/>
      <c r="TAF295" s="1069"/>
      <c r="TAG295" s="1069"/>
      <c r="TAH295" s="1069"/>
      <c r="TAI295" s="1069"/>
      <c r="TAJ295" s="1069"/>
      <c r="TAK295" s="1069"/>
      <c r="TAL295" s="1069"/>
      <c r="TAM295" s="1069"/>
      <c r="TAN295" s="1069"/>
      <c r="TAO295" s="1069"/>
      <c r="TAP295" s="1069"/>
      <c r="TAQ295" s="1069"/>
      <c r="TAR295" s="1069"/>
      <c r="TAS295" s="1069"/>
      <c r="TAT295" s="1069"/>
      <c r="TAU295" s="1069"/>
      <c r="TAV295" s="1069"/>
      <c r="TAW295" s="1069"/>
      <c r="TAX295" s="1069"/>
      <c r="TAY295" s="1069"/>
      <c r="TAZ295" s="1069"/>
      <c r="TBA295" s="1069"/>
      <c r="TBB295" s="1069"/>
      <c r="TBC295" s="1069"/>
      <c r="TBD295" s="1069"/>
      <c r="TBE295" s="1069"/>
      <c r="TBF295" s="1069"/>
      <c r="TBG295" s="1069"/>
      <c r="TBH295" s="1069"/>
      <c r="TBI295" s="1069"/>
      <c r="TBJ295" s="1069"/>
      <c r="TBK295" s="1069"/>
      <c r="TBL295" s="1069"/>
      <c r="TBM295" s="1069"/>
      <c r="TBN295" s="1069"/>
      <c r="TBO295" s="1069"/>
      <c r="TBP295" s="1069"/>
      <c r="TBQ295" s="1069"/>
      <c r="TBR295" s="1069"/>
      <c r="TBS295" s="1069"/>
      <c r="TBT295" s="1069"/>
      <c r="TBU295" s="1069"/>
      <c r="TBV295" s="1069"/>
      <c r="TBW295" s="1069"/>
      <c r="TBX295" s="1069"/>
      <c r="TBY295" s="1069"/>
      <c r="TBZ295" s="1069"/>
      <c r="TCA295" s="1069"/>
      <c r="TCB295" s="1069"/>
      <c r="TCC295" s="1069"/>
      <c r="TCD295" s="1069"/>
      <c r="TCE295" s="1069"/>
      <c r="TCF295" s="1069"/>
      <c r="TCG295" s="1069"/>
      <c r="TCH295" s="1069"/>
      <c r="TCI295" s="1069"/>
      <c r="TCJ295" s="1069"/>
      <c r="TCK295" s="1069"/>
      <c r="TCL295" s="1069"/>
      <c r="TCM295" s="1069"/>
      <c r="TCN295" s="1069"/>
      <c r="TCO295" s="1069"/>
      <c r="TCP295" s="1069"/>
      <c r="TCQ295" s="1069"/>
      <c r="TCR295" s="1069"/>
      <c r="TCS295" s="1069"/>
      <c r="TCT295" s="1069"/>
      <c r="TCU295" s="1069"/>
      <c r="TCV295" s="1069"/>
      <c r="TCW295" s="1069"/>
      <c r="TCX295" s="1069"/>
      <c r="TCY295" s="1069"/>
      <c r="TCZ295" s="1069"/>
      <c r="TDA295" s="1069"/>
      <c r="TDB295" s="1069"/>
      <c r="TDC295" s="1069"/>
      <c r="TDD295" s="1069"/>
      <c r="TDE295" s="1069"/>
      <c r="TDF295" s="1069"/>
      <c r="TDG295" s="1069"/>
      <c r="TDH295" s="1069"/>
      <c r="TDI295" s="1069"/>
      <c r="TDJ295" s="1069"/>
      <c r="TDK295" s="1069"/>
      <c r="TDL295" s="1069"/>
      <c r="TDM295" s="1069"/>
      <c r="TDN295" s="1069"/>
      <c r="TDO295" s="1069"/>
      <c r="TDP295" s="1069"/>
      <c r="TDQ295" s="1069"/>
      <c r="TDR295" s="1069"/>
      <c r="TDS295" s="1069"/>
      <c r="TDT295" s="1069"/>
      <c r="TDU295" s="1069"/>
      <c r="TDV295" s="1069"/>
      <c r="TDW295" s="1069"/>
      <c r="TDX295" s="1069"/>
      <c r="TDY295" s="1069"/>
      <c r="TDZ295" s="1069"/>
      <c r="TEA295" s="1069"/>
      <c r="TEB295" s="1069"/>
      <c r="TEC295" s="1069"/>
      <c r="TED295" s="1069"/>
      <c r="TEE295" s="1069"/>
      <c r="TEF295" s="1069"/>
      <c r="TEG295" s="1069"/>
      <c r="TEH295" s="1069"/>
      <c r="TEI295" s="1069"/>
      <c r="TEJ295" s="1069"/>
      <c r="TEK295" s="1069"/>
      <c r="TEL295" s="1069"/>
      <c r="TEM295" s="1069"/>
      <c r="TEN295" s="1069"/>
      <c r="TEO295" s="1069"/>
      <c r="TEP295" s="1069"/>
      <c r="TEQ295" s="1069"/>
      <c r="TER295" s="1069"/>
      <c r="TES295" s="1069"/>
      <c r="TET295" s="1069"/>
      <c r="TEU295" s="1069"/>
      <c r="TEV295" s="1069"/>
      <c r="TEW295" s="1069"/>
      <c r="TEX295" s="1069"/>
      <c r="TEY295" s="1069"/>
      <c r="TEZ295" s="1069"/>
      <c r="TFA295" s="1069"/>
      <c r="TFB295" s="1069"/>
      <c r="TFC295" s="1069"/>
      <c r="TFD295" s="1069"/>
      <c r="TFE295" s="1069"/>
      <c r="TFF295" s="1069"/>
      <c r="TFG295" s="1069"/>
      <c r="TFH295" s="1069"/>
      <c r="TFI295" s="1069"/>
      <c r="TFJ295" s="1069"/>
      <c r="TFK295" s="1069"/>
      <c r="TFL295" s="1069"/>
      <c r="TFM295" s="1069"/>
      <c r="TFN295" s="1069"/>
      <c r="TFO295" s="1069"/>
      <c r="TFP295" s="1069"/>
      <c r="TFQ295" s="1069"/>
      <c r="TFR295" s="1069"/>
      <c r="TFS295" s="1069"/>
      <c r="TFT295" s="1069"/>
      <c r="TFU295" s="1069"/>
      <c r="TFV295" s="1069"/>
      <c r="TFW295" s="1069"/>
      <c r="TFX295" s="1069"/>
      <c r="TFY295" s="1069"/>
      <c r="TFZ295" s="1069"/>
      <c r="TGA295" s="1069"/>
      <c r="TGB295" s="1069"/>
      <c r="TGC295" s="1069"/>
      <c r="TGD295" s="1069"/>
      <c r="TGE295" s="1069"/>
      <c r="TGF295" s="1069"/>
      <c r="TGG295" s="1069"/>
      <c r="TGH295" s="1069"/>
      <c r="TGI295" s="1069"/>
      <c r="TGJ295" s="1069"/>
      <c r="TGK295" s="1069"/>
      <c r="TGL295" s="1069"/>
      <c r="TGM295" s="1069"/>
      <c r="TGN295" s="1069"/>
      <c r="TGO295" s="1069"/>
      <c r="TGP295" s="1069"/>
      <c r="TGQ295" s="1069"/>
      <c r="TGR295" s="1069"/>
      <c r="TGS295" s="1069"/>
      <c r="TGT295" s="1069"/>
      <c r="TGU295" s="1069"/>
      <c r="TGV295" s="1069"/>
      <c r="TGW295" s="1069"/>
      <c r="TGX295" s="1069"/>
      <c r="TGY295" s="1069"/>
      <c r="TGZ295" s="1069"/>
      <c r="THA295" s="1069"/>
      <c r="THB295" s="1069"/>
      <c r="THC295" s="1069"/>
      <c r="THD295" s="1069"/>
      <c r="THE295" s="1069"/>
      <c r="THF295" s="1069"/>
      <c r="THG295" s="1069"/>
      <c r="THH295" s="1069"/>
      <c r="THI295" s="1069"/>
      <c r="THJ295" s="1069"/>
      <c r="THK295" s="1069"/>
      <c r="THL295" s="1069"/>
      <c r="THM295" s="1069"/>
      <c r="THN295" s="1069"/>
      <c r="THO295" s="1069"/>
      <c r="THP295" s="1069"/>
      <c r="THQ295" s="1069"/>
      <c r="THR295" s="1069"/>
      <c r="THS295" s="1069"/>
      <c r="THT295" s="1069"/>
      <c r="THU295" s="1069"/>
      <c r="THV295" s="1069"/>
      <c r="THW295" s="1069"/>
      <c r="THX295" s="1069"/>
      <c r="THY295" s="1069"/>
      <c r="THZ295" s="1069"/>
      <c r="TIA295" s="1069"/>
      <c r="TIB295" s="1069"/>
      <c r="TIC295" s="1069"/>
      <c r="TID295" s="1069"/>
      <c r="TIE295" s="1069"/>
      <c r="TIF295" s="1069"/>
      <c r="TIG295" s="1069"/>
      <c r="TIH295" s="1069"/>
      <c r="TII295" s="1069"/>
      <c r="TIJ295" s="1069"/>
      <c r="TIK295" s="1069"/>
      <c r="TIL295" s="1069"/>
      <c r="TIM295" s="1069"/>
      <c r="TIN295" s="1069"/>
      <c r="TIO295" s="1069"/>
      <c r="TIP295" s="1069"/>
      <c r="TIQ295" s="1069"/>
      <c r="TIR295" s="1069"/>
      <c r="TIS295" s="1069"/>
      <c r="TIT295" s="1069"/>
      <c r="TIU295" s="1069"/>
      <c r="TIV295" s="1069"/>
      <c r="TIW295" s="1069"/>
      <c r="TIX295" s="1069"/>
      <c r="TIY295" s="1069"/>
      <c r="TIZ295" s="1069"/>
      <c r="TJA295" s="1069"/>
      <c r="TJB295" s="1069"/>
      <c r="TJC295" s="1069"/>
      <c r="TJD295" s="1069"/>
      <c r="TJE295" s="1069"/>
      <c r="TJF295" s="1069"/>
      <c r="TJG295" s="1069"/>
      <c r="TJH295" s="1069"/>
      <c r="TJI295" s="1069"/>
      <c r="TJJ295" s="1069"/>
      <c r="TJK295" s="1069"/>
      <c r="TJL295" s="1069"/>
      <c r="TJM295" s="1069"/>
      <c r="TJN295" s="1069"/>
      <c r="TJO295" s="1069"/>
      <c r="TJP295" s="1069"/>
      <c r="TJQ295" s="1069"/>
      <c r="TJR295" s="1069"/>
      <c r="TJS295" s="1069"/>
      <c r="TJT295" s="1069"/>
      <c r="TJU295" s="1069"/>
      <c r="TJV295" s="1069"/>
      <c r="TJW295" s="1069"/>
      <c r="TJX295" s="1069"/>
      <c r="TJY295" s="1069"/>
      <c r="TJZ295" s="1069"/>
      <c r="TKA295" s="1069"/>
      <c r="TKB295" s="1069"/>
      <c r="TKC295" s="1069"/>
      <c r="TKD295" s="1069"/>
      <c r="TKE295" s="1069"/>
      <c r="TKF295" s="1069"/>
      <c r="TKG295" s="1069"/>
      <c r="TKH295" s="1069"/>
      <c r="TKI295" s="1069"/>
      <c r="TKJ295" s="1069"/>
      <c r="TKK295" s="1069"/>
      <c r="TKL295" s="1069"/>
      <c r="TKM295" s="1069"/>
      <c r="TKN295" s="1069"/>
      <c r="TKO295" s="1069"/>
      <c r="TKP295" s="1069"/>
      <c r="TKQ295" s="1069"/>
      <c r="TKR295" s="1069"/>
      <c r="TKS295" s="1069"/>
      <c r="TKT295" s="1069"/>
      <c r="TKU295" s="1069"/>
      <c r="TKV295" s="1069"/>
      <c r="TKW295" s="1069"/>
      <c r="TKX295" s="1069"/>
      <c r="TKY295" s="1069"/>
      <c r="TKZ295" s="1069"/>
      <c r="TLA295" s="1069"/>
      <c r="TLB295" s="1069"/>
      <c r="TLC295" s="1069"/>
      <c r="TLD295" s="1069"/>
      <c r="TLE295" s="1069"/>
      <c r="TLF295" s="1069"/>
      <c r="TLG295" s="1069"/>
      <c r="TLH295" s="1069"/>
      <c r="TLI295" s="1069"/>
      <c r="TLJ295" s="1069"/>
      <c r="TLK295" s="1069"/>
      <c r="TLL295" s="1069"/>
      <c r="TLM295" s="1069"/>
      <c r="TLN295" s="1069"/>
      <c r="TLO295" s="1069"/>
      <c r="TLP295" s="1069"/>
      <c r="TLQ295" s="1069"/>
      <c r="TLR295" s="1069"/>
      <c r="TLS295" s="1069"/>
      <c r="TLT295" s="1069"/>
      <c r="TLU295" s="1069"/>
      <c r="TLV295" s="1069"/>
      <c r="TLW295" s="1069"/>
      <c r="TLX295" s="1069"/>
      <c r="TLY295" s="1069"/>
      <c r="TLZ295" s="1069"/>
      <c r="TMA295" s="1069"/>
      <c r="TMB295" s="1069"/>
      <c r="TMC295" s="1069"/>
      <c r="TMD295" s="1069"/>
      <c r="TME295" s="1069"/>
      <c r="TMF295" s="1069"/>
      <c r="TMG295" s="1069"/>
      <c r="TMH295" s="1069"/>
      <c r="TMI295" s="1069"/>
      <c r="TMJ295" s="1069"/>
      <c r="TMK295" s="1069"/>
      <c r="TML295" s="1069"/>
      <c r="TMM295" s="1069"/>
      <c r="TMN295" s="1069"/>
      <c r="TMO295" s="1069"/>
      <c r="TMP295" s="1069"/>
      <c r="TMQ295" s="1069"/>
      <c r="TMR295" s="1069"/>
      <c r="TMS295" s="1069"/>
      <c r="TMT295" s="1069"/>
      <c r="TMU295" s="1069"/>
      <c r="TMV295" s="1069"/>
      <c r="TMW295" s="1069"/>
      <c r="TMX295" s="1069"/>
      <c r="TMY295" s="1069"/>
      <c r="TMZ295" s="1069"/>
      <c r="TNA295" s="1069"/>
      <c r="TNB295" s="1069"/>
      <c r="TNC295" s="1069"/>
      <c r="TND295" s="1069"/>
      <c r="TNE295" s="1069"/>
      <c r="TNF295" s="1069"/>
      <c r="TNG295" s="1069"/>
      <c r="TNH295" s="1069"/>
      <c r="TNI295" s="1069"/>
      <c r="TNJ295" s="1069"/>
      <c r="TNK295" s="1069"/>
      <c r="TNL295" s="1069"/>
      <c r="TNM295" s="1069"/>
      <c r="TNN295" s="1069"/>
      <c r="TNO295" s="1069"/>
      <c r="TNP295" s="1069"/>
      <c r="TNQ295" s="1069"/>
      <c r="TNR295" s="1069"/>
      <c r="TNS295" s="1069"/>
      <c r="TNT295" s="1069"/>
      <c r="TNU295" s="1069"/>
      <c r="TNV295" s="1069"/>
      <c r="TNW295" s="1069"/>
      <c r="TNX295" s="1069"/>
      <c r="TNY295" s="1069"/>
      <c r="TNZ295" s="1069"/>
      <c r="TOA295" s="1069"/>
      <c r="TOB295" s="1069"/>
      <c r="TOC295" s="1069"/>
      <c r="TOD295" s="1069"/>
      <c r="TOE295" s="1069"/>
      <c r="TOF295" s="1069"/>
      <c r="TOG295" s="1069"/>
      <c r="TOH295" s="1069"/>
      <c r="TOI295" s="1069"/>
      <c r="TOJ295" s="1069"/>
      <c r="TOK295" s="1069"/>
      <c r="TOL295" s="1069"/>
      <c r="TOM295" s="1069"/>
      <c r="TON295" s="1069"/>
      <c r="TOO295" s="1069"/>
      <c r="TOP295" s="1069"/>
      <c r="TOQ295" s="1069"/>
      <c r="TOR295" s="1069"/>
      <c r="TOS295" s="1069"/>
      <c r="TOT295" s="1069"/>
      <c r="TOU295" s="1069"/>
      <c r="TOV295" s="1069"/>
      <c r="TOW295" s="1069"/>
      <c r="TOX295" s="1069"/>
      <c r="TOY295" s="1069"/>
      <c r="TOZ295" s="1069"/>
      <c r="TPA295" s="1069"/>
      <c r="TPB295" s="1069"/>
      <c r="TPC295" s="1069"/>
      <c r="TPD295" s="1069"/>
      <c r="TPE295" s="1069"/>
      <c r="TPF295" s="1069"/>
      <c r="TPG295" s="1069"/>
      <c r="TPH295" s="1069"/>
      <c r="TPI295" s="1069"/>
      <c r="TPJ295" s="1069"/>
      <c r="TPK295" s="1069"/>
      <c r="TPL295" s="1069"/>
      <c r="TPM295" s="1069"/>
      <c r="TPN295" s="1069"/>
      <c r="TPO295" s="1069"/>
      <c r="TPP295" s="1069"/>
      <c r="TPQ295" s="1069"/>
      <c r="TPR295" s="1069"/>
      <c r="TPS295" s="1069"/>
      <c r="TPT295" s="1069"/>
      <c r="TPU295" s="1069"/>
      <c r="TPV295" s="1069"/>
      <c r="TPW295" s="1069"/>
      <c r="TPX295" s="1069"/>
      <c r="TPY295" s="1069"/>
      <c r="TPZ295" s="1069"/>
      <c r="TQA295" s="1069"/>
      <c r="TQB295" s="1069"/>
      <c r="TQC295" s="1069"/>
      <c r="TQD295" s="1069"/>
      <c r="TQE295" s="1069"/>
      <c r="TQF295" s="1069"/>
      <c r="TQG295" s="1069"/>
      <c r="TQH295" s="1069"/>
      <c r="TQI295" s="1069"/>
      <c r="TQJ295" s="1069"/>
      <c r="TQK295" s="1069"/>
      <c r="TQL295" s="1069"/>
      <c r="TQM295" s="1069"/>
      <c r="TQN295" s="1069"/>
      <c r="TQO295" s="1069"/>
      <c r="TQP295" s="1069"/>
      <c r="TQQ295" s="1069"/>
      <c r="TQR295" s="1069"/>
      <c r="TQS295" s="1069"/>
      <c r="TQT295" s="1069"/>
      <c r="TQU295" s="1069"/>
      <c r="TQV295" s="1069"/>
      <c r="TQW295" s="1069"/>
      <c r="TQX295" s="1069"/>
      <c r="TQY295" s="1069"/>
      <c r="TQZ295" s="1069"/>
      <c r="TRA295" s="1069"/>
      <c r="TRB295" s="1069"/>
      <c r="TRC295" s="1069"/>
      <c r="TRD295" s="1069"/>
      <c r="TRE295" s="1069"/>
      <c r="TRF295" s="1069"/>
      <c r="TRG295" s="1069"/>
      <c r="TRH295" s="1069"/>
      <c r="TRI295" s="1069"/>
      <c r="TRJ295" s="1069"/>
      <c r="TRK295" s="1069"/>
      <c r="TRL295" s="1069"/>
      <c r="TRM295" s="1069"/>
      <c r="TRN295" s="1069"/>
      <c r="TRO295" s="1069"/>
      <c r="TRP295" s="1069"/>
      <c r="TRQ295" s="1069"/>
      <c r="TRR295" s="1069"/>
      <c r="TRS295" s="1069"/>
      <c r="TRT295" s="1069"/>
      <c r="TRU295" s="1069"/>
      <c r="TRV295" s="1069"/>
      <c r="TRW295" s="1069"/>
      <c r="TRX295" s="1069"/>
      <c r="TRY295" s="1069"/>
      <c r="TRZ295" s="1069"/>
      <c r="TSA295" s="1069"/>
      <c r="TSB295" s="1069"/>
      <c r="TSC295" s="1069"/>
      <c r="TSD295" s="1069"/>
      <c r="TSE295" s="1069"/>
      <c r="TSF295" s="1069"/>
      <c r="TSG295" s="1069"/>
      <c r="TSH295" s="1069"/>
      <c r="TSI295" s="1069"/>
      <c r="TSJ295" s="1069"/>
      <c r="TSK295" s="1069"/>
      <c r="TSL295" s="1069"/>
      <c r="TSM295" s="1069"/>
      <c r="TSN295" s="1069"/>
      <c r="TSO295" s="1069"/>
      <c r="TSP295" s="1069"/>
      <c r="TSQ295" s="1069"/>
      <c r="TSR295" s="1069"/>
      <c r="TSS295" s="1069"/>
      <c r="TST295" s="1069"/>
      <c r="TSU295" s="1069"/>
      <c r="TSV295" s="1069"/>
      <c r="TSW295" s="1069"/>
      <c r="TSX295" s="1069"/>
      <c r="TSY295" s="1069"/>
      <c r="TSZ295" s="1069"/>
      <c r="TTA295" s="1069"/>
      <c r="TTB295" s="1069"/>
      <c r="TTC295" s="1069"/>
      <c r="TTD295" s="1069"/>
      <c r="TTE295" s="1069"/>
      <c r="TTF295" s="1069"/>
      <c r="TTG295" s="1069"/>
      <c r="TTH295" s="1069"/>
      <c r="TTI295" s="1069"/>
      <c r="TTJ295" s="1069"/>
      <c r="TTK295" s="1069"/>
      <c r="TTL295" s="1069"/>
      <c r="TTM295" s="1069"/>
      <c r="TTN295" s="1069"/>
      <c r="TTO295" s="1069"/>
      <c r="TTP295" s="1069"/>
      <c r="TTQ295" s="1069"/>
      <c r="TTR295" s="1069"/>
      <c r="TTS295" s="1069"/>
      <c r="TTT295" s="1069"/>
      <c r="TTU295" s="1069"/>
      <c r="TTV295" s="1069"/>
      <c r="TTW295" s="1069"/>
      <c r="TTX295" s="1069"/>
      <c r="TTY295" s="1069"/>
      <c r="TTZ295" s="1069"/>
      <c r="TUA295" s="1069"/>
      <c r="TUB295" s="1069"/>
      <c r="TUC295" s="1069"/>
      <c r="TUD295" s="1069"/>
      <c r="TUE295" s="1069"/>
      <c r="TUF295" s="1069"/>
      <c r="TUG295" s="1069"/>
      <c r="TUH295" s="1069"/>
      <c r="TUI295" s="1069"/>
      <c r="TUJ295" s="1069"/>
      <c r="TUK295" s="1069"/>
      <c r="TUL295" s="1069"/>
      <c r="TUM295" s="1069"/>
      <c r="TUN295" s="1069"/>
      <c r="TUO295" s="1069"/>
      <c r="TUP295" s="1069"/>
      <c r="TUQ295" s="1069"/>
      <c r="TUR295" s="1069"/>
      <c r="TUS295" s="1069"/>
      <c r="TUT295" s="1069"/>
      <c r="TUU295" s="1069"/>
      <c r="TUV295" s="1069"/>
      <c r="TUW295" s="1069"/>
      <c r="TUX295" s="1069"/>
      <c r="TUY295" s="1069"/>
      <c r="TUZ295" s="1069"/>
      <c r="TVA295" s="1069"/>
      <c r="TVB295" s="1069"/>
      <c r="TVC295" s="1069"/>
      <c r="TVD295" s="1069"/>
      <c r="TVE295" s="1069"/>
      <c r="TVF295" s="1069"/>
      <c r="TVG295" s="1069"/>
      <c r="TVH295" s="1069"/>
      <c r="TVI295" s="1069"/>
      <c r="TVJ295" s="1069"/>
      <c r="TVK295" s="1069"/>
      <c r="TVL295" s="1069"/>
      <c r="TVM295" s="1069"/>
      <c r="TVN295" s="1069"/>
      <c r="TVO295" s="1069"/>
      <c r="TVP295" s="1069"/>
      <c r="TVQ295" s="1069"/>
      <c r="TVR295" s="1069"/>
      <c r="TVS295" s="1069"/>
      <c r="TVT295" s="1069"/>
      <c r="TVU295" s="1069"/>
      <c r="TVV295" s="1069"/>
      <c r="TVW295" s="1069"/>
      <c r="TVX295" s="1069"/>
      <c r="TVY295" s="1069"/>
      <c r="TVZ295" s="1069"/>
      <c r="TWA295" s="1069"/>
      <c r="TWB295" s="1069"/>
      <c r="TWC295" s="1069"/>
      <c r="TWD295" s="1069"/>
      <c r="TWE295" s="1069"/>
      <c r="TWF295" s="1069"/>
      <c r="TWG295" s="1069"/>
      <c r="TWH295" s="1069"/>
      <c r="TWI295" s="1069"/>
      <c r="TWJ295" s="1069"/>
      <c r="TWK295" s="1069"/>
      <c r="TWL295" s="1069"/>
      <c r="TWM295" s="1069"/>
      <c r="TWN295" s="1069"/>
      <c r="TWO295" s="1069"/>
      <c r="TWP295" s="1069"/>
      <c r="TWQ295" s="1069"/>
      <c r="TWR295" s="1069"/>
      <c r="TWS295" s="1069"/>
      <c r="TWT295" s="1069"/>
      <c r="TWU295" s="1069"/>
      <c r="TWV295" s="1069"/>
      <c r="TWW295" s="1069"/>
      <c r="TWX295" s="1069"/>
      <c r="TWY295" s="1069"/>
      <c r="TWZ295" s="1069"/>
      <c r="TXA295" s="1069"/>
      <c r="TXB295" s="1069"/>
      <c r="TXC295" s="1069"/>
      <c r="TXD295" s="1069"/>
      <c r="TXE295" s="1069"/>
      <c r="TXF295" s="1069"/>
      <c r="TXG295" s="1069"/>
      <c r="TXH295" s="1069"/>
      <c r="TXI295" s="1069"/>
      <c r="TXJ295" s="1069"/>
      <c r="TXK295" s="1069"/>
      <c r="TXL295" s="1069"/>
      <c r="TXM295" s="1069"/>
      <c r="TXN295" s="1069"/>
      <c r="TXO295" s="1069"/>
      <c r="TXP295" s="1069"/>
      <c r="TXQ295" s="1069"/>
      <c r="TXR295" s="1069"/>
      <c r="TXS295" s="1069"/>
      <c r="TXT295" s="1069"/>
      <c r="TXU295" s="1069"/>
      <c r="TXV295" s="1069"/>
      <c r="TXW295" s="1069"/>
      <c r="TXX295" s="1069"/>
      <c r="TXY295" s="1069"/>
      <c r="TXZ295" s="1069"/>
      <c r="TYA295" s="1069"/>
      <c r="TYB295" s="1069"/>
      <c r="TYC295" s="1069"/>
      <c r="TYD295" s="1069"/>
      <c r="TYE295" s="1069"/>
      <c r="TYF295" s="1069"/>
      <c r="TYG295" s="1069"/>
      <c r="TYH295" s="1069"/>
      <c r="TYI295" s="1069"/>
      <c r="TYJ295" s="1069"/>
      <c r="TYK295" s="1069"/>
      <c r="TYL295" s="1069"/>
      <c r="TYM295" s="1069"/>
      <c r="TYN295" s="1069"/>
      <c r="TYO295" s="1069"/>
      <c r="TYP295" s="1069"/>
      <c r="TYQ295" s="1069"/>
      <c r="TYR295" s="1069"/>
      <c r="TYS295" s="1069"/>
      <c r="TYT295" s="1069"/>
      <c r="TYU295" s="1069"/>
      <c r="TYV295" s="1069"/>
      <c r="TYW295" s="1069"/>
      <c r="TYX295" s="1069"/>
      <c r="TYY295" s="1069"/>
      <c r="TYZ295" s="1069"/>
      <c r="TZA295" s="1069"/>
      <c r="TZB295" s="1069"/>
      <c r="TZC295" s="1069"/>
      <c r="TZD295" s="1069"/>
      <c r="TZE295" s="1069"/>
      <c r="TZF295" s="1069"/>
      <c r="TZG295" s="1069"/>
      <c r="TZH295" s="1069"/>
      <c r="TZI295" s="1069"/>
      <c r="TZJ295" s="1069"/>
      <c r="TZK295" s="1069"/>
      <c r="TZL295" s="1069"/>
      <c r="TZM295" s="1069"/>
      <c r="TZN295" s="1069"/>
      <c r="TZO295" s="1069"/>
      <c r="TZP295" s="1069"/>
      <c r="TZQ295" s="1069"/>
      <c r="TZR295" s="1069"/>
      <c r="TZS295" s="1069"/>
      <c r="TZT295" s="1069"/>
      <c r="TZU295" s="1069"/>
      <c r="TZV295" s="1069"/>
      <c r="TZW295" s="1069"/>
      <c r="TZX295" s="1069"/>
      <c r="TZY295" s="1069"/>
      <c r="TZZ295" s="1069"/>
      <c r="UAA295" s="1069"/>
      <c r="UAB295" s="1069"/>
      <c r="UAC295" s="1069"/>
      <c r="UAD295" s="1069"/>
      <c r="UAE295" s="1069"/>
      <c r="UAF295" s="1069"/>
      <c r="UAG295" s="1069"/>
      <c r="UAH295" s="1069"/>
      <c r="UAI295" s="1069"/>
      <c r="UAJ295" s="1069"/>
      <c r="UAK295" s="1069"/>
      <c r="UAL295" s="1069"/>
      <c r="UAM295" s="1069"/>
      <c r="UAN295" s="1069"/>
      <c r="UAO295" s="1069"/>
      <c r="UAP295" s="1069"/>
      <c r="UAQ295" s="1069"/>
      <c r="UAR295" s="1069"/>
      <c r="UAS295" s="1069"/>
      <c r="UAT295" s="1069"/>
      <c r="UAU295" s="1069"/>
      <c r="UAV295" s="1069"/>
      <c r="UAW295" s="1069"/>
      <c r="UAX295" s="1069"/>
      <c r="UAY295" s="1069"/>
      <c r="UAZ295" s="1069"/>
      <c r="UBA295" s="1069"/>
      <c r="UBB295" s="1069"/>
      <c r="UBC295" s="1069"/>
      <c r="UBD295" s="1069"/>
      <c r="UBE295" s="1069"/>
      <c r="UBF295" s="1069"/>
      <c r="UBG295" s="1069"/>
      <c r="UBH295" s="1069"/>
      <c r="UBI295" s="1069"/>
      <c r="UBJ295" s="1069"/>
      <c r="UBK295" s="1069"/>
      <c r="UBL295" s="1069"/>
      <c r="UBM295" s="1069"/>
      <c r="UBN295" s="1069"/>
      <c r="UBO295" s="1069"/>
      <c r="UBP295" s="1069"/>
      <c r="UBQ295" s="1069"/>
      <c r="UBR295" s="1069"/>
      <c r="UBS295" s="1069"/>
      <c r="UBT295" s="1069"/>
      <c r="UBU295" s="1069"/>
      <c r="UBV295" s="1069"/>
      <c r="UBW295" s="1069"/>
      <c r="UBX295" s="1069"/>
      <c r="UBY295" s="1069"/>
      <c r="UBZ295" s="1069"/>
      <c r="UCA295" s="1069"/>
      <c r="UCB295" s="1069"/>
      <c r="UCC295" s="1069"/>
      <c r="UCD295" s="1069"/>
      <c r="UCE295" s="1069"/>
      <c r="UCF295" s="1069"/>
      <c r="UCG295" s="1069"/>
      <c r="UCH295" s="1069"/>
      <c r="UCI295" s="1069"/>
      <c r="UCJ295" s="1069"/>
      <c r="UCK295" s="1069"/>
      <c r="UCL295" s="1069"/>
      <c r="UCM295" s="1069"/>
      <c r="UCN295" s="1069"/>
      <c r="UCO295" s="1069"/>
      <c r="UCP295" s="1069"/>
      <c r="UCQ295" s="1069"/>
      <c r="UCR295" s="1069"/>
      <c r="UCS295" s="1069"/>
      <c r="UCT295" s="1069"/>
      <c r="UCU295" s="1069"/>
      <c r="UCV295" s="1069"/>
      <c r="UCW295" s="1069"/>
      <c r="UCX295" s="1069"/>
      <c r="UCY295" s="1069"/>
      <c r="UCZ295" s="1069"/>
      <c r="UDA295" s="1069"/>
      <c r="UDB295" s="1069"/>
      <c r="UDC295" s="1069"/>
      <c r="UDD295" s="1069"/>
      <c r="UDE295" s="1069"/>
      <c r="UDF295" s="1069"/>
      <c r="UDG295" s="1069"/>
      <c r="UDH295" s="1069"/>
      <c r="UDI295" s="1069"/>
      <c r="UDJ295" s="1069"/>
      <c r="UDK295" s="1069"/>
      <c r="UDL295" s="1069"/>
      <c r="UDM295" s="1069"/>
      <c r="UDN295" s="1069"/>
      <c r="UDO295" s="1069"/>
      <c r="UDP295" s="1069"/>
      <c r="UDQ295" s="1069"/>
      <c r="UDR295" s="1069"/>
      <c r="UDS295" s="1069"/>
      <c r="UDT295" s="1069"/>
      <c r="UDU295" s="1069"/>
      <c r="UDV295" s="1069"/>
      <c r="UDW295" s="1069"/>
      <c r="UDX295" s="1069"/>
      <c r="UDY295" s="1069"/>
      <c r="UDZ295" s="1069"/>
      <c r="UEA295" s="1069"/>
      <c r="UEB295" s="1069"/>
      <c r="UEC295" s="1069"/>
      <c r="UED295" s="1069"/>
      <c r="UEE295" s="1069"/>
      <c r="UEF295" s="1069"/>
      <c r="UEG295" s="1069"/>
      <c r="UEH295" s="1069"/>
      <c r="UEI295" s="1069"/>
      <c r="UEJ295" s="1069"/>
      <c r="UEK295" s="1069"/>
      <c r="UEL295" s="1069"/>
      <c r="UEM295" s="1069"/>
      <c r="UEN295" s="1069"/>
      <c r="UEO295" s="1069"/>
      <c r="UEP295" s="1069"/>
      <c r="UEQ295" s="1069"/>
      <c r="UER295" s="1069"/>
      <c r="UES295" s="1069"/>
      <c r="UET295" s="1069"/>
      <c r="UEU295" s="1069"/>
      <c r="UEV295" s="1069"/>
      <c r="UEW295" s="1069"/>
      <c r="UEX295" s="1069"/>
      <c r="UEY295" s="1069"/>
      <c r="UEZ295" s="1069"/>
      <c r="UFA295" s="1069"/>
      <c r="UFB295" s="1069"/>
      <c r="UFC295" s="1069"/>
      <c r="UFD295" s="1069"/>
      <c r="UFE295" s="1069"/>
      <c r="UFF295" s="1069"/>
      <c r="UFG295" s="1069"/>
      <c r="UFH295" s="1069"/>
      <c r="UFI295" s="1069"/>
      <c r="UFJ295" s="1069"/>
      <c r="UFK295" s="1069"/>
      <c r="UFL295" s="1069"/>
      <c r="UFM295" s="1069"/>
      <c r="UFN295" s="1069"/>
      <c r="UFO295" s="1069"/>
      <c r="UFP295" s="1069"/>
      <c r="UFQ295" s="1069"/>
      <c r="UFR295" s="1069"/>
      <c r="UFS295" s="1069"/>
      <c r="UFT295" s="1069"/>
      <c r="UFU295" s="1069"/>
      <c r="UFV295" s="1069"/>
      <c r="UFW295" s="1069"/>
      <c r="UFX295" s="1069"/>
      <c r="UFY295" s="1069"/>
      <c r="UFZ295" s="1069"/>
      <c r="UGA295" s="1069"/>
      <c r="UGB295" s="1069"/>
      <c r="UGC295" s="1069"/>
      <c r="UGD295" s="1069"/>
      <c r="UGE295" s="1069"/>
      <c r="UGF295" s="1069"/>
      <c r="UGG295" s="1069"/>
      <c r="UGH295" s="1069"/>
      <c r="UGI295" s="1069"/>
      <c r="UGJ295" s="1069"/>
      <c r="UGK295" s="1069"/>
      <c r="UGL295" s="1069"/>
      <c r="UGM295" s="1069"/>
      <c r="UGN295" s="1069"/>
      <c r="UGO295" s="1069"/>
      <c r="UGP295" s="1069"/>
      <c r="UGQ295" s="1069"/>
      <c r="UGR295" s="1069"/>
      <c r="UGS295" s="1069"/>
      <c r="UGT295" s="1069"/>
      <c r="UGU295" s="1069"/>
      <c r="UGV295" s="1069"/>
      <c r="UGW295" s="1069"/>
      <c r="UGX295" s="1069"/>
      <c r="UGY295" s="1069"/>
      <c r="UGZ295" s="1069"/>
      <c r="UHA295" s="1069"/>
      <c r="UHB295" s="1069"/>
      <c r="UHC295" s="1069"/>
      <c r="UHD295" s="1069"/>
      <c r="UHE295" s="1069"/>
      <c r="UHF295" s="1069"/>
      <c r="UHG295" s="1069"/>
      <c r="UHH295" s="1069"/>
      <c r="UHI295" s="1069"/>
      <c r="UHJ295" s="1069"/>
      <c r="UHK295" s="1069"/>
      <c r="UHL295" s="1069"/>
      <c r="UHM295" s="1069"/>
      <c r="UHN295" s="1069"/>
      <c r="UHO295" s="1069"/>
      <c r="UHP295" s="1069"/>
      <c r="UHQ295" s="1069"/>
      <c r="UHR295" s="1069"/>
      <c r="UHS295" s="1069"/>
      <c r="UHT295" s="1069"/>
      <c r="UHU295" s="1069"/>
      <c r="UHV295" s="1069"/>
      <c r="UHW295" s="1069"/>
      <c r="UHX295" s="1069"/>
      <c r="UHY295" s="1069"/>
      <c r="UHZ295" s="1069"/>
      <c r="UIA295" s="1069"/>
      <c r="UIB295" s="1069"/>
      <c r="UIC295" s="1069"/>
      <c r="UID295" s="1069"/>
      <c r="UIE295" s="1069"/>
      <c r="UIF295" s="1069"/>
      <c r="UIG295" s="1069"/>
      <c r="UIH295" s="1069"/>
      <c r="UII295" s="1069"/>
      <c r="UIJ295" s="1069"/>
      <c r="UIK295" s="1069"/>
      <c r="UIL295" s="1069"/>
      <c r="UIM295" s="1069"/>
      <c r="UIN295" s="1069"/>
      <c r="UIO295" s="1069"/>
      <c r="UIP295" s="1069"/>
      <c r="UIQ295" s="1069"/>
      <c r="UIR295" s="1069"/>
      <c r="UIS295" s="1069"/>
      <c r="UIT295" s="1069"/>
      <c r="UIU295" s="1069"/>
      <c r="UIV295" s="1069"/>
      <c r="UIW295" s="1069"/>
      <c r="UIX295" s="1069"/>
      <c r="UIY295" s="1069"/>
      <c r="UIZ295" s="1069"/>
      <c r="UJA295" s="1069"/>
      <c r="UJB295" s="1069"/>
      <c r="UJC295" s="1069"/>
      <c r="UJD295" s="1069"/>
      <c r="UJE295" s="1069"/>
      <c r="UJF295" s="1069"/>
      <c r="UJG295" s="1069"/>
      <c r="UJH295" s="1069"/>
      <c r="UJI295" s="1069"/>
      <c r="UJJ295" s="1069"/>
      <c r="UJK295" s="1069"/>
      <c r="UJL295" s="1069"/>
      <c r="UJM295" s="1069"/>
      <c r="UJN295" s="1069"/>
      <c r="UJO295" s="1069"/>
      <c r="UJP295" s="1069"/>
      <c r="UJQ295" s="1069"/>
      <c r="UJR295" s="1069"/>
      <c r="UJS295" s="1069"/>
      <c r="UJT295" s="1069"/>
      <c r="UJU295" s="1069"/>
      <c r="UJV295" s="1069"/>
      <c r="UJW295" s="1069"/>
      <c r="UJX295" s="1069"/>
      <c r="UJY295" s="1069"/>
      <c r="UJZ295" s="1069"/>
      <c r="UKA295" s="1069"/>
      <c r="UKB295" s="1069"/>
      <c r="UKC295" s="1069"/>
      <c r="UKD295" s="1069"/>
      <c r="UKE295" s="1069"/>
      <c r="UKF295" s="1069"/>
      <c r="UKG295" s="1069"/>
      <c r="UKH295" s="1069"/>
      <c r="UKI295" s="1069"/>
      <c r="UKJ295" s="1069"/>
      <c r="UKK295" s="1069"/>
      <c r="UKL295" s="1069"/>
      <c r="UKM295" s="1069"/>
      <c r="UKN295" s="1069"/>
      <c r="UKO295" s="1069"/>
      <c r="UKP295" s="1069"/>
      <c r="UKQ295" s="1069"/>
      <c r="UKR295" s="1069"/>
      <c r="UKS295" s="1069"/>
      <c r="UKT295" s="1069"/>
      <c r="UKU295" s="1069"/>
      <c r="UKV295" s="1069"/>
      <c r="UKW295" s="1069"/>
      <c r="UKX295" s="1069"/>
      <c r="UKY295" s="1069"/>
      <c r="UKZ295" s="1069"/>
      <c r="ULA295" s="1069"/>
      <c r="ULB295" s="1069"/>
      <c r="ULC295" s="1069"/>
      <c r="ULD295" s="1069"/>
      <c r="ULE295" s="1069"/>
      <c r="ULF295" s="1069"/>
      <c r="ULG295" s="1069"/>
      <c r="ULH295" s="1069"/>
      <c r="ULI295" s="1069"/>
      <c r="ULJ295" s="1069"/>
      <c r="ULK295" s="1069"/>
      <c r="ULL295" s="1069"/>
      <c r="ULM295" s="1069"/>
      <c r="ULN295" s="1069"/>
      <c r="ULO295" s="1069"/>
      <c r="ULP295" s="1069"/>
      <c r="ULQ295" s="1069"/>
      <c r="ULR295" s="1069"/>
      <c r="ULS295" s="1069"/>
      <c r="ULT295" s="1069"/>
      <c r="ULU295" s="1069"/>
      <c r="ULV295" s="1069"/>
      <c r="ULW295" s="1069"/>
      <c r="ULX295" s="1069"/>
      <c r="ULY295" s="1069"/>
      <c r="ULZ295" s="1069"/>
      <c r="UMA295" s="1069"/>
      <c r="UMB295" s="1069"/>
      <c r="UMC295" s="1069"/>
      <c r="UMD295" s="1069"/>
      <c r="UME295" s="1069"/>
      <c r="UMF295" s="1069"/>
      <c r="UMG295" s="1069"/>
      <c r="UMH295" s="1069"/>
      <c r="UMI295" s="1069"/>
      <c r="UMJ295" s="1069"/>
      <c r="UMK295" s="1069"/>
      <c r="UML295" s="1069"/>
      <c r="UMM295" s="1069"/>
      <c r="UMN295" s="1069"/>
      <c r="UMO295" s="1069"/>
      <c r="UMP295" s="1069"/>
      <c r="UMQ295" s="1069"/>
      <c r="UMR295" s="1069"/>
      <c r="UMS295" s="1069"/>
      <c r="UMT295" s="1069"/>
      <c r="UMU295" s="1069"/>
      <c r="UMV295" s="1069"/>
      <c r="UMW295" s="1069"/>
      <c r="UMX295" s="1069"/>
      <c r="UMY295" s="1069"/>
      <c r="UMZ295" s="1069"/>
      <c r="UNA295" s="1069"/>
      <c r="UNB295" s="1069"/>
      <c r="UNC295" s="1069"/>
      <c r="UND295" s="1069"/>
      <c r="UNE295" s="1069"/>
      <c r="UNF295" s="1069"/>
      <c r="UNG295" s="1069"/>
      <c r="UNH295" s="1069"/>
      <c r="UNI295" s="1069"/>
      <c r="UNJ295" s="1069"/>
      <c r="UNK295" s="1069"/>
      <c r="UNL295" s="1069"/>
      <c r="UNM295" s="1069"/>
      <c r="UNN295" s="1069"/>
      <c r="UNO295" s="1069"/>
      <c r="UNP295" s="1069"/>
      <c r="UNQ295" s="1069"/>
      <c r="UNR295" s="1069"/>
      <c r="UNS295" s="1069"/>
      <c r="UNT295" s="1069"/>
      <c r="UNU295" s="1069"/>
      <c r="UNV295" s="1069"/>
      <c r="UNW295" s="1069"/>
      <c r="UNX295" s="1069"/>
      <c r="UNY295" s="1069"/>
      <c r="UNZ295" s="1069"/>
      <c r="UOA295" s="1069"/>
      <c r="UOB295" s="1069"/>
      <c r="UOC295" s="1069"/>
      <c r="UOD295" s="1069"/>
      <c r="UOE295" s="1069"/>
      <c r="UOF295" s="1069"/>
      <c r="UOG295" s="1069"/>
      <c r="UOH295" s="1069"/>
      <c r="UOI295" s="1069"/>
      <c r="UOJ295" s="1069"/>
      <c r="UOK295" s="1069"/>
      <c r="UOL295" s="1069"/>
      <c r="UOM295" s="1069"/>
      <c r="UON295" s="1069"/>
      <c r="UOO295" s="1069"/>
      <c r="UOP295" s="1069"/>
      <c r="UOQ295" s="1069"/>
      <c r="UOR295" s="1069"/>
      <c r="UOS295" s="1069"/>
      <c r="UOT295" s="1069"/>
      <c r="UOU295" s="1069"/>
      <c r="UOV295" s="1069"/>
      <c r="UOW295" s="1069"/>
      <c r="UOX295" s="1069"/>
      <c r="UOY295" s="1069"/>
      <c r="UOZ295" s="1069"/>
      <c r="UPA295" s="1069"/>
      <c r="UPB295" s="1069"/>
      <c r="UPC295" s="1069"/>
      <c r="UPD295" s="1069"/>
      <c r="UPE295" s="1069"/>
      <c r="UPF295" s="1069"/>
      <c r="UPG295" s="1069"/>
      <c r="UPH295" s="1069"/>
      <c r="UPI295" s="1069"/>
      <c r="UPJ295" s="1069"/>
      <c r="UPK295" s="1069"/>
      <c r="UPL295" s="1069"/>
      <c r="UPM295" s="1069"/>
      <c r="UPN295" s="1069"/>
      <c r="UPO295" s="1069"/>
      <c r="UPP295" s="1069"/>
      <c r="UPQ295" s="1069"/>
      <c r="UPR295" s="1069"/>
      <c r="UPS295" s="1069"/>
      <c r="UPT295" s="1069"/>
      <c r="UPU295" s="1069"/>
      <c r="UPV295" s="1069"/>
      <c r="UPW295" s="1069"/>
      <c r="UPX295" s="1069"/>
      <c r="UPY295" s="1069"/>
      <c r="UPZ295" s="1069"/>
      <c r="UQA295" s="1069"/>
      <c r="UQB295" s="1069"/>
      <c r="UQC295" s="1069"/>
      <c r="UQD295" s="1069"/>
      <c r="UQE295" s="1069"/>
      <c r="UQF295" s="1069"/>
      <c r="UQG295" s="1069"/>
      <c r="UQH295" s="1069"/>
      <c r="UQI295" s="1069"/>
      <c r="UQJ295" s="1069"/>
      <c r="UQK295" s="1069"/>
      <c r="UQL295" s="1069"/>
      <c r="UQM295" s="1069"/>
      <c r="UQN295" s="1069"/>
      <c r="UQO295" s="1069"/>
      <c r="UQP295" s="1069"/>
      <c r="UQQ295" s="1069"/>
      <c r="UQR295" s="1069"/>
      <c r="UQS295" s="1069"/>
      <c r="UQT295" s="1069"/>
      <c r="UQU295" s="1069"/>
      <c r="UQV295" s="1069"/>
      <c r="UQW295" s="1069"/>
      <c r="UQX295" s="1069"/>
      <c r="UQY295" s="1069"/>
      <c r="UQZ295" s="1069"/>
      <c r="URA295" s="1069"/>
      <c r="URB295" s="1069"/>
      <c r="URC295" s="1069"/>
      <c r="URD295" s="1069"/>
      <c r="URE295" s="1069"/>
      <c r="URF295" s="1069"/>
      <c r="URG295" s="1069"/>
      <c r="URH295" s="1069"/>
      <c r="URI295" s="1069"/>
      <c r="URJ295" s="1069"/>
      <c r="URK295" s="1069"/>
      <c r="URL295" s="1069"/>
      <c r="URM295" s="1069"/>
      <c r="URN295" s="1069"/>
      <c r="URO295" s="1069"/>
      <c r="URP295" s="1069"/>
      <c r="URQ295" s="1069"/>
      <c r="URR295" s="1069"/>
      <c r="URS295" s="1069"/>
      <c r="URT295" s="1069"/>
      <c r="URU295" s="1069"/>
      <c r="URV295" s="1069"/>
      <c r="URW295" s="1069"/>
      <c r="URX295" s="1069"/>
      <c r="URY295" s="1069"/>
      <c r="URZ295" s="1069"/>
      <c r="USA295" s="1069"/>
      <c r="USB295" s="1069"/>
      <c r="USC295" s="1069"/>
      <c r="USD295" s="1069"/>
      <c r="USE295" s="1069"/>
      <c r="USF295" s="1069"/>
      <c r="USG295" s="1069"/>
      <c r="USH295" s="1069"/>
      <c r="USI295" s="1069"/>
      <c r="USJ295" s="1069"/>
      <c r="USK295" s="1069"/>
      <c r="USL295" s="1069"/>
      <c r="USM295" s="1069"/>
      <c r="USN295" s="1069"/>
      <c r="USO295" s="1069"/>
      <c r="USP295" s="1069"/>
      <c r="USQ295" s="1069"/>
      <c r="USR295" s="1069"/>
      <c r="USS295" s="1069"/>
      <c r="UST295" s="1069"/>
      <c r="USU295" s="1069"/>
      <c r="USV295" s="1069"/>
      <c r="USW295" s="1069"/>
      <c r="USX295" s="1069"/>
      <c r="USY295" s="1069"/>
      <c r="USZ295" s="1069"/>
      <c r="UTA295" s="1069"/>
      <c r="UTB295" s="1069"/>
      <c r="UTC295" s="1069"/>
      <c r="UTD295" s="1069"/>
      <c r="UTE295" s="1069"/>
      <c r="UTF295" s="1069"/>
      <c r="UTG295" s="1069"/>
      <c r="UTH295" s="1069"/>
      <c r="UTI295" s="1069"/>
      <c r="UTJ295" s="1069"/>
      <c r="UTK295" s="1069"/>
      <c r="UTL295" s="1069"/>
      <c r="UTM295" s="1069"/>
      <c r="UTN295" s="1069"/>
      <c r="UTO295" s="1069"/>
      <c r="UTP295" s="1069"/>
      <c r="UTQ295" s="1069"/>
      <c r="UTR295" s="1069"/>
      <c r="UTS295" s="1069"/>
      <c r="UTT295" s="1069"/>
      <c r="UTU295" s="1069"/>
      <c r="UTV295" s="1069"/>
      <c r="UTW295" s="1069"/>
      <c r="UTX295" s="1069"/>
      <c r="UTY295" s="1069"/>
      <c r="UTZ295" s="1069"/>
      <c r="UUA295" s="1069"/>
      <c r="UUB295" s="1069"/>
      <c r="UUC295" s="1069"/>
      <c r="UUD295" s="1069"/>
      <c r="UUE295" s="1069"/>
      <c r="UUF295" s="1069"/>
      <c r="UUG295" s="1069"/>
      <c r="UUH295" s="1069"/>
      <c r="UUI295" s="1069"/>
      <c r="UUJ295" s="1069"/>
      <c r="UUK295" s="1069"/>
      <c r="UUL295" s="1069"/>
      <c r="UUM295" s="1069"/>
      <c r="UUN295" s="1069"/>
      <c r="UUO295" s="1069"/>
      <c r="UUP295" s="1069"/>
      <c r="UUQ295" s="1069"/>
      <c r="UUR295" s="1069"/>
      <c r="UUS295" s="1069"/>
      <c r="UUT295" s="1069"/>
      <c r="UUU295" s="1069"/>
      <c r="UUV295" s="1069"/>
      <c r="UUW295" s="1069"/>
      <c r="UUX295" s="1069"/>
      <c r="UUY295" s="1069"/>
      <c r="UUZ295" s="1069"/>
      <c r="UVA295" s="1069"/>
      <c r="UVB295" s="1069"/>
      <c r="UVC295" s="1069"/>
      <c r="UVD295" s="1069"/>
      <c r="UVE295" s="1069"/>
      <c r="UVF295" s="1069"/>
      <c r="UVG295" s="1069"/>
      <c r="UVH295" s="1069"/>
      <c r="UVI295" s="1069"/>
      <c r="UVJ295" s="1069"/>
      <c r="UVK295" s="1069"/>
      <c r="UVL295" s="1069"/>
      <c r="UVM295" s="1069"/>
      <c r="UVN295" s="1069"/>
      <c r="UVO295" s="1069"/>
      <c r="UVP295" s="1069"/>
      <c r="UVQ295" s="1069"/>
      <c r="UVR295" s="1069"/>
      <c r="UVS295" s="1069"/>
      <c r="UVT295" s="1069"/>
      <c r="UVU295" s="1069"/>
      <c r="UVV295" s="1069"/>
      <c r="UVW295" s="1069"/>
      <c r="UVX295" s="1069"/>
      <c r="UVY295" s="1069"/>
      <c r="UVZ295" s="1069"/>
      <c r="UWA295" s="1069"/>
      <c r="UWB295" s="1069"/>
      <c r="UWC295" s="1069"/>
      <c r="UWD295" s="1069"/>
      <c r="UWE295" s="1069"/>
      <c r="UWF295" s="1069"/>
      <c r="UWG295" s="1069"/>
      <c r="UWH295" s="1069"/>
      <c r="UWI295" s="1069"/>
      <c r="UWJ295" s="1069"/>
      <c r="UWK295" s="1069"/>
      <c r="UWL295" s="1069"/>
      <c r="UWM295" s="1069"/>
      <c r="UWN295" s="1069"/>
      <c r="UWO295" s="1069"/>
      <c r="UWP295" s="1069"/>
      <c r="UWQ295" s="1069"/>
      <c r="UWR295" s="1069"/>
      <c r="UWS295" s="1069"/>
      <c r="UWT295" s="1069"/>
      <c r="UWU295" s="1069"/>
      <c r="UWV295" s="1069"/>
      <c r="UWW295" s="1069"/>
      <c r="UWX295" s="1069"/>
      <c r="UWY295" s="1069"/>
      <c r="UWZ295" s="1069"/>
      <c r="UXA295" s="1069"/>
      <c r="UXB295" s="1069"/>
      <c r="UXC295" s="1069"/>
      <c r="UXD295" s="1069"/>
      <c r="UXE295" s="1069"/>
      <c r="UXF295" s="1069"/>
      <c r="UXG295" s="1069"/>
      <c r="UXH295" s="1069"/>
      <c r="UXI295" s="1069"/>
      <c r="UXJ295" s="1069"/>
      <c r="UXK295" s="1069"/>
      <c r="UXL295" s="1069"/>
      <c r="UXM295" s="1069"/>
      <c r="UXN295" s="1069"/>
      <c r="UXO295" s="1069"/>
      <c r="UXP295" s="1069"/>
      <c r="UXQ295" s="1069"/>
      <c r="UXR295" s="1069"/>
      <c r="UXS295" s="1069"/>
      <c r="UXT295" s="1069"/>
      <c r="UXU295" s="1069"/>
      <c r="UXV295" s="1069"/>
      <c r="UXW295" s="1069"/>
      <c r="UXX295" s="1069"/>
      <c r="UXY295" s="1069"/>
      <c r="UXZ295" s="1069"/>
      <c r="UYA295" s="1069"/>
      <c r="UYB295" s="1069"/>
      <c r="UYC295" s="1069"/>
      <c r="UYD295" s="1069"/>
      <c r="UYE295" s="1069"/>
      <c r="UYF295" s="1069"/>
      <c r="UYG295" s="1069"/>
      <c r="UYH295" s="1069"/>
      <c r="UYI295" s="1069"/>
      <c r="UYJ295" s="1069"/>
      <c r="UYK295" s="1069"/>
      <c r="UYL295" s="1069"/>
      <c r="UYM295" s="1069"/>
      <c r="UYN295" s="1069"/>
      <c r="UYO295" s="1069"/>
      <c r="UYP295" s="1069"/>
      <c r="UYQ295" s="1069"/>
      <c r="UYR295" s="1069"/>
      <c r="UYS295" s="1069"/>
      <c r="UYT295" s="1069"/>
      <c r="UYU295" s="1069"/>
      <c r="UYV295" s="1069"/>
      <c r="UYW295" s="1069"/>
      <c r="UYX295" s="1069"/>
      <c r="UYY295" s="1069"/>
      <c r="UYZ295" s="1069"/>
      <c r="UZA295" s="1069"/>
      <c r="UZB295" s="1069"/>
      <c r="UZC295" s="1069"/>
      <c r="UZD295" s="1069"/>
      <c r="UZE295" s="1069"/>
      <c r="UZF295" s="1069"/>
      <c r="UZG295" s="1069"/>
      <c r="UZH295" s="1069"/>
      <c r="UZI295" s="1069"/>
      <c r="UZJ295" s="1069"/>
      <c r="UZK295" s="1069"/>
      <c r="UZL295" s="1069"/>
      <c r="UZM295" s="1069"/>
      <c r="UZN295" s="1069"/>
      <c r="UZO295" s="1069"/>
      <c r="UZP295" s="1069"/>
      <c r="UZQ295" s="1069"/>
      <c r="UZR295" s="1069"/>
      <c r="UZS295" s="1069"/>
      <c r="UZT295" s="1069"/>
      <c r="UZU295" s="1069"/>
      <c r="UZV295" s="1069"/>
      <c r="UZW295" s="1069"/>
      <c r="UZX295" s="1069"/>
      <c r="UZY295" s="1069"/>
      <c r="UZZ295" s="1069"/>
      <c r="VAA295" s="1069"/>
      <c r="VAB295" s="1069"/>
      <c r="VAC295" s="1069"/>
      <c r="VAD295" s="1069"/>
      <c r="VAE295" s="1069"/>
      <c r="VAF295" s="1069"/>
      <c r="VAG295" s="1069"/>
      <c r="VAH295" s="1069"/>
      <c r="VAI295" s="1069"/>
      <c r="VAJ295" s="1069"/>
      <c r="VAK295" s="1069"/>
      <c r="VAL295" s="1069"/>
      <c r="VAM295" s="1069"/>
      <c r="VAN295" s="1069"/>
      <c r="VAO295" s="1069"/>
      <c r="VAP295" s="1069"/>
      <c r="VAQ295" s="1069"/>
      <c r="VAR295" s="1069"/>
      <c r="VAS295" s="1069"/>
      <c r="VAT295" s="1069"/>
      <c r="VAU295" s="1069"/>
      <c r="VAV295" s="1069"/>
      <c r="VAW295" s="1069"/>
      <c r="VAX295" s="1069"/>
      <c r="VAY295" s="1069"/>
      <c r="VAZ295" s="1069"/>
      <c r="VBA295" s="1069"/>
      <c r="VBB295" s="1069"/>
      <c r="VBC295" s="1069"/>
      <c r="VBD295" s="1069"/>
      <c r="VBE295" s="1069"/>
      <c r="VBF295" s="1069"/>
      <c r="VBG295" s="1069"/>
      <c r="VBH295" s="1069"/>
      <c r="VBI295" s="1069"/>
      <c r="VBJ295" s="1069"/>
      <c r="VBK295" s="1069"/>
      <c r="VBL295" s="1069"/>
      <c r="VBM295" s="1069"/>
      <c r="VBN295" s="1069"/>
      <c r="VBO295" s="1069"/>
      <c r="VBP295" s="1069"/>
      <c r="VBQ295" s="1069"/>
      <c r="VBR295" s="1069"/>
      <c r="VBS295" s="1069"/>
      <c r="VBT295" s="1069"/>
      <c r="VBU295" s="1069"/>
      <c r="VBV295" s="1069"/>
      <c r="VBW295" s="1069"/>
      <c r="VBX295" s="1069"/>
      <c r="VBY295" s="1069"/>
      <c r="VBZ295" s="1069"/>
      <c r="VCA295" s="1069"/>
      <c r="VCB295" s="1069"/>
      <c r="VCC295" s="1069"/>
      <c r="VCD295" s="1069"/>
      <c r="VCE295" s="1069"/>
      <c r="VCF295" s="1069"/>
      <c r="VCG295" s="1069"/>
      <c r="VCH295" s="1069"/>
      <c r="VCI295" s="1069"/>
      <c r="VCJ295" s="1069"/>
      <c r="VCK295" s="1069"/>
      <c r="VCL295" s="1069"/>
      <c r="VCM295" s="1069"/>
      <c r="VCN295" s="1069"/>
      <c r="VCO295" s="1069"/>
      <c r="VCP295" s="1069"/>
      <c r="VCQ295" s="1069"/>
      <c r="VCR295" s="1069"/>
      <c r="VCS295" s="1069"/>
      <c r="VCT295" s="1069"/>
      <c r="VCU295" s="1069"/>
      <c r="VCV295" s="1069"/>
      <c r="VCW295" s="1069"/>
      <c r="VCX295" s="1069"/>
      <c r="VCY295" s="1069"/>
      <c r="VCZ295" s="1069"/>
      <c r="VDA295" s="1069"/>
      <c r="VDB295" s="1069"/>
      <c r="VDC295" s="1069"/>
      <c r="VDD295" s="1069"/>
      <c r="VDE295" s="1069"/>
      <c r="VDF295" s="1069"/>
      <c r="VDG295" s="1069"/>
      <c r="VDH295" s="1069"/>
      <c r="VDI295" s="1069"/>
      <c r="VDJ295" s="1069"/>
      <c r="VDK295" s="1069"/>
      <c r="VDL295" s="1069"/>
      <c r="VDM295" s="1069"/>
      <c r="VDN295" s="1069"/>
      <c r="VDO295" s="1069"/>
      <c r="VDP295" s="1069"/>
      <c r="VDQ295" s="1069"/>
      <c r="VDR295" s="1069"/>
      <c r="VDS295" s="1069"/>
      <c r="VDT295" s="1069"/>
      <c r="VDU295" s="1069"/>
      <c r="VDV295" s="1069"/>
      <c r="VDW295" s="1069"/>
      <c r="VDX295" s="1069"/>
      <c r="VDY295" s="1069"/>
      <c r="VDZ295" s="1069"/>
      <c r="VEA295" s="1069"/>
      <c r="VEB295" s="1069"/>
      <c r="VEC295" s="1069"/>
      <c r="VED295" s="1069"/>
      <c r="VEE295" s="1069"/>
      <c r="VEF295" s="1069"/>
      <c r="VEG295" s="1069"/>
      <c r="VEH295" s="1069"/>
      <c r="VEI295" s="1069"/>
      <c r="VEJ295" s="1069"/>
      <c r="VEK295" s="1069"/>
      <c r="VEL295" s="1069"/>
      <c r="VEM295" s="1069"/>
      <c r="VEN295" s="1069"/>
      <c r="VEO295" s="1069"/>
      <c r="VEP295" s="1069"/>
      <c r="VEQ295" s="1069"/>
      <c r="VER295" s="1069"/>
      <c r="VES295" s="1069"/>
      <c r="VET295" s="1069"/>
      <c r="VEU295" s="1069"/>
      <c r="VEV295" s="1069"/>
      <c r="VEW295" s="1069"/>
      <c r="VEX295" s="1069"/>
      <c r="VEY295" s="1069"/>
      <c r="VEZ295" s="1069"/>
      <c r="VFA295" s="1069"/>
      <c r="VFB295" s="1069"/>
      <c r="VFC295" s="1069"/>
      <c r="VFD295" s="1069"/>
      <c r="VFE295" s="1069"/>
      <c r="VFF295" s="1069"/>
      <c r="VFG295" s="1069"/>
      <c r="VFH295" s="1069"/>
      <c r="VFI295" s="1069"/>
      <c r="VFJ295" s="1069"/>
      <c r="VFK295" s="1069"/>
      <c r="VFL295" s="1069"/>
      <c r="VFM295" s="1069"/>
      <c r="VFN295" s="1069"/>
      <c r="VFO295" s="1069"/>
      <c r="VFP295" s="1069"/>
      <c r="VFQ295" s="1069"/>
      <c r="VFR295" s="1069"/>
      <c r="VFS295" s="1069"/>
      <c r="VFT295" s="1069"/>
      <c r="VFU295" s="1069"/>
      <c r="VFV295" s="1069"/>
      <c r="VFW295" s="1069"/>
      <c r="VFX295" s="1069"/>
      <c r="VFY295" s="1069"/>
      <c r="VFZ295" s="1069"/>
      <c r="VGA295" s="1069"/>
      <c r="VGB295" s="1069"/>
      <c r="VGC295" s="1069"/>
      <c r="VGD295" s="1069"/>
      <c r="VGE295" s="1069"/>
      <c r="VGF295" s="1069"/>
      <c r="VGG295" s="1069"/>
      <c r="VGH295" s="1069"/>
      <c r="VGI295" s="1069"/>
      <c r="VGJ295" s="1069"/>
      <c r="VGK295" s="1069"/>
      <c r="VGL295" s="1069"/>
      <c r="VGM295" s="1069"/>
      <c r="VGN295" s="1069"/>
      <c r="VGO295" s="1069"/>
      <c r="VGP295" s="1069"/>
      <c r="VGQ295" s="1069"/>
      <c r="VGR295" s="1069"/>
      <c r="VGS295" s="1069"/>
      <c r="VGT295" s="1069"/>
      <c r="VGU295" s="1069"/>
      <c r="VGV295" s="1069"/>
      <c r="VGW295" s="1069"/>
      <c r="VGX295" s="1069"/>
      <c r="VGY295" s="1069"/>
      <c r="VGZ295" s="1069"/>
      <c r="VHA295" s="1069"/>
      <c r="VHB295" s="1069"/>
      <c r="VHC295" s="1069"/>
      <c r="VHD295" s="1069"/>
      <c r="VHE295" s="1069"/>
      <c r="VHF295" s="1069"/>
      <c r="VHG295" s="1069"/>
      <c r="VHH295" s="1069"/>
      <c r="VHI295" s="1069"/>
      <c r="VHJ295" s="1069"/>
      <c r="VHK295" s="1069"/>
      <c r="VHL295" s="1069"/>
      <c r="VHM295" s="1069"/>
      <c r="VHN295" s="1069"/>
      <c r="VHO295" s="1069"/>
      <c r="VHP295" s="1069"/>
      <c r="VHQ295" s="1069"/>
      <c r="VHR295" s="1069"/>
      <c r="VHS295" s="1069"/>
      <c r="VHT295" s="1069"/>
      <c r="VHU295" s="1069"/>
      <c r="VHV295" s="1069"/>
      <c r="VHW295" s="1069"/>
      <c r="VHX295" s="1069"/>
      <c r="VHY295" s="1069"/>
      <c r="VHZ295" s="1069"/>
      <c r="VIA295" s="1069"/>
      <c r="VIB295" s="1069"/>
      <c r="VIC295" s="1069"/>
      <c r="VID295" s="1069"/>
      <c r="VIE295" s="1069"/>
      <c r="VIF295" s="1069"/>
      <c r="VIG295" s="1069"/>
      <c r="VIH295" s="1069"/>
      <c r="VII295" s="1069"/>
      <c r="VIJ295" s="1069"/>
      <c r="VIK295" s="1069"/>
      <c r="VIL295" s="1069"/>
      <c r="VIM295" s="1069"/>
      <c r="VIN295" s="1069"/>
      <c r="VIO295" s="1069"/>
      <c r="VIP295" s="1069"/>
      <c r="VIQ295" s="1069"/>
      <c r="VIR295" s="1069"/>
      <c r="VIS295" s="1069"/>
      <c r="VIT295" s="1069"/>
      <c r="VIU295" s="1069"/>
      <c r="VIV295" s="1069"/>
      <c r="VIW295" s="1069"/>
      <c r="VIX295" s="1069"/>
      <c r="VIY295" s="1069"/>
      <c r="VIZ295" s="1069"/>
      <c r="VJA295" s="1069"/>
      <c r="VJB295" s="1069"/>
      <c r="VJC295" s="1069"/>
      <c r="VJD295" s="1069"/>
      <c r="VJE295" s="1069"/>
      <c r="VJF295" s="1069"/>
      <c r="VJG295" s="1069"/>
      <c r="VJH295" s="1069"/>
      <c r="VJI295" s="1069"/>
      <c r="VJJ295" s="1069"/>
      <c r="VJK295" s="1069"/>
      <c r="VJL295" s="1069"/>
      <c r="VJM295" s="1069"/>
      <c r="VJN295" s="1069"/>
      <c r="VJO295" s="1069"/>
      <c r="VJP295" s="1069"/>
      <c r="VJQ295" s="1069"/>
      <c r="VJR295" s="1069"/>
      <c r="VJS295" s="1069"/>
      <c r="VJT295" s="1069"/>
      <c r="VJU295" s="1069"/>
      <c r="VJV295" s="1069"/>
      <c r="VJW295" s="1069"/>
      <c r="VJX295" s="1069"/>
      <c r="VJY295" s="1069"/>
      <c r="VJZ295" s="1069"/>
      <c r="VKA295" s="1069"/>
      <c r="VKB295" s="1069"/>
      <c r="VKC295" s="1069"/>
      <c r="VKD295" s="1069"/>
      <c r="VKE295" s="1069"/>
      <c r="VKF295" s="1069"/>
      <c r="VKG295" s="1069"/>
      <c r="VKH295" s="1069"/>
      <c r="VKI295" s="1069"/>
      <c r="VKJ295" s="1069"/>
      <c r="VKK295" s="1069"/>
      <c r="VKL295" s="1069"/>
      <c r="VKM295" s="1069"/>
      <c r="VKN295" s="1069"/>
      <c r="VKO295" s="1069"/>
      <c r="VKP295" s="1069"/>
      <c r="VKQ295" s="1069"/>
      <c r="VKR295" s="1069"/>
      <c r="VKS295" s="1069"/>
      <c r="VKT295" s="1069"/>
      <c r="VKU295" s="1069"/>
      <c r="VKV295" s="1069"/>
      <c r="VKW295" s="1069"/>
      <c r="VKX295" s="1069"/>
      <c r="VKY295" s="1069"/>
      <c r="VKZ295" s="1069"/>
      <c r="VLA295" s="1069"/>
      <c r="VLB295" s="1069"/>
      <c r="VLC295" s="1069"/>
      <c r="VLD295" s="1069"/>
      <c r="VLE295" s="1069"/>
      <c r="VLF295" s="1069"/>
      <c r="VLG295" s="1069"/>
      <c r="VLH295" s="1069"/>
      <c r="VLI295" s="1069"/>
      <c r="VLJ295" s="1069"/>
      <c r="VLK295" s="1069"/>
      <c r="VLL295" s="1069"/>
      <c r="VLM295" s="1069"/>
      <c r="VLN295" s="1069"/>
      <c r="VLO295" s="1069"/>
      <c r="VLP295" s="1069"/>
      <c r="VLQ295" s="1069"/>
      <c r="VLR295" s="1069"/>
      <c r="VLS295" s="1069"/>
      <c r="VLT295" s="1069"/>
      <c r="VLU295" s="1069"/>
      <c r="VLV295" s="1069"/>
      <c r="VLW295" s="1069"/>
      <c r="VLX295" s="1069"/>
      <c r="VLY295" s="1069"/>
      <c r="VLZ295" s="1069"/>
      <c r="VMA295" s="1069"/>
      <c r="VMB295" s="1069"/>
      <c r="VMC295" s="1069"/>
      <c r="VMD295" s="1069"/>
      <c r="VME295" s="1069"/>
      <c r="VMF295" s="1069"/>
      <c r="VMG295" s="1069"/>
      <c r="VMH295" s="1069"/>
      <c r="VMI295" s="1069"/>
      <c r="VMJ295" s="1069"/>
      <c r="VMK295" s="1069"/>
      <c r="VML295" s="1069"/>
      <c r="VMM295" s="1069"/>
      <c r="VMN295" s="1069"/>
      <c r="VMO295" s="1069"/>
      <c r="VMP295" s="1069"/>
      <c r="VMQ295" s="1069"/>
      <c r="VMR295" s="1069"/>
      <c r="VMS295" s="1069"/>
      <c r="VMT295" s="1069"/>
      <c r="VMU295" s="1069"/>
      <c r="VMV295" s="1069"/>
      <c r="VMW295" s="1069"/>
      <c r="VMX295" s="1069"/>
      <c r="VMY295" s="1069"/>
      <c r="VMZ295" s="1069"/>
      <c r="VNA295" s="1069"/>
      <c r="VNB295" s="1069"/>
      <c r="VNC295" s="1069"/>
      <c r="VND295" s="1069"/>
      <c r="VNE295" s="1069"/>
      <c r="VNF295" s="1069"/>
      <c r="VNG295" s="1069"/>
      <c r="VNH295" s="1069"/>
      <c r="VNI295" s="1069"/>
      <c r="VNJ295" s="1069"/>
      <c r="VNK295" s="1069"/>
      <c r="VNL295" s="1069"/>
      <c r="VNM295" s="1069"/>
      <c r="VNN295" s="1069"/>
      <c r="VNO295" s="1069"/>
      <c r="VNP295" s="1069"/>
      <c r="VNQ295" s="1069"/>
      <c r="VNR295" s="1069"/>
      <c r="VNS295" s="1069"/>
      <c r="VNT295" s="1069"/>
      <c r="VNU295" s="1069"/>
      <c r="VNV295" s="1069"/>
      <c r="VNW295" s="1069"/>
      <c r="VNX295" s="1069"/>
      <c r="VNY295" s="1069"/>
      <c r="VNZ295" s="1069"/>
      <c r="VOA295" s="1069"/>
      <c r="VOB295" s="1069"/>
      <c r="VOC295" s="1069"/>
      <c r="VOD295" s="1069"/>
      <c r="VOE295" s="1069"/>
      <c r="VOF295" s="1069"/>
      <c r="VOG295" s="1069"/>
      <c r="VOH295" s="1069"/>
      <c r="VOI295" s="1069"/>
      <c r="VOJ295" s="1069"/>
      <c r="VOK295" s="1069"/>
      <c r="VOL295" s="1069"/>
      <c r="VOM295" s="1069"/>
      <c r="VON295" s="1069"/>
      <c r="VOO295" s="1069"/>
      <c r="VOP295" s="1069"/>
      <c r="VOQ295" s="1069"/>
      <c r="VOR295" s="1069"/>
      <c r="VOS295" s="1069"/>
      <c r="VOT295" s="1069"/>
      <c r="VOU295" s="1069"/>
      <c r="VOV295" s="1069"/>
      <c r="VOW295" s="1069"/>
      <c r="VOX295" s="1069"/>
      <c r="VOY295" s="1069"/>
      <c r="VOZ295" s="1069"/>
      <c r="VPA295" s="1069"/>
      <c r="VPB295" s="1069"/>
      <c r="VPC295" s="1069"/>
      <c r="VPD295" s="1069"/>
      <c r="VPE295" s="1069"/>
      <c r="VPF295" s="1069"/>
      <c r="VPG295" s="1069"/>
      <c r="VPH295" s="1069"/>
      <c r="VPI295" s="1069"/>
      <c r="VPJ295" s="1069"/>
      <c r="VPK295" s="1069"/>
      <c r="VPL295" s="1069"/>
      <c r="VPM295" s="1069"/>
      <c r="VPN295" s="1069"/>
      <c r="VPO295" s="1069"/>
      <c r="VPP295" s="1069"/>
      <c r="VPQ295" s="1069"/>
      <c r="VPR295" s="1069"/>
      <c r="VPS295" s="1069"/>
      <c r="VPT295" s="1069"/>
      <c r="VPU295" s="1069"/>
      <c r="VPV295" s="1069"/>
      <c r="VPW295" s="1069"/>
      <c r="VPX295" s="1069"/>
      <c r="VPY295" s="1069"/>
      <c r="VPZ295" s="1069"/>
      <c r="VQA295" s="1069"/>
      <c r="VQB295" s="1069"/>
      <c r="VQC295" s="1069"/>
      <c r="VQD295" s="1069"/>
      <c r="VQE295" s="1069"/>
      <c r="VQF295" s="1069"/>
      <c r="VQG295" s="1069"/>
      <c r="VQH295" s="1069"/>
      <c r="VQI295" s="1069"/>
      <c r="VQJ295" s="1069"/>
      <c r="VQK295" s="1069"/>
      <c r="VQL295" s="1069"/>
      <c r="VQM295" s="1069"/>
      <c r="VQN295" s="1069"/>
      <c r="VQO295" s="1069"/>
      <c r="VQP295" s="1069"/>
      <c r="VQQ295" s="1069"/>
      <c r="VQR295" s="1069"/>
      <c r="VQS295" s="1069"/>
      <c r="VQT295" s="1069"/>
      <c r="VQU295" s="1069"/>
      <c r="VQV295" s="1069"/>
      <c r="VQW295" s="1069"/>
      <c r="VQX295" s="1069"/>
      <c r="VQY295" s="1069"/>
      <c r="VQZ295" s="1069"/>
      <c r="VRA295" s="1069"/>
      <c r="VRB295" s="1069"/>
      <c r="VRC295" s="1069"/>
      <c r="VRD295" s="1069"/>
      <c r="VRE295" s="1069"/>
      <c r="VRF295" s="1069"/>
      <c r="VRG295" s="1069"/>
      <c r="VRH295" s="1069"/>
      <c r="VRI295" s="1069"/>
      <c r="VRJ295" s="1069"/>
      <c r="VRK295" s="1069"/>
      <c r="VRL295" s="1069"/>
      <c r="VRM295" s="1069"/>
      <c r="VRN295" s="1069"/>
      <c r="VRO295" s="1069"/>
      <c r="VRP295" s="1069"/>
      <c r="VRQ295" s="1069"/>
      <c r="VRR295" s="1069"/>
      <c r="VRS295" s="1069"/>
      <c r="VRT295" s="1069"/>
      <c r="VRU295" s="1069"/>
      <c r="VRV295" s="1069"/>
      <c r="VRW295" s="1069"/>
      <c r="VRX295" s="1069"/>
      <c r="VRY295" s="1069"/>
      <c r="VRZ295" s="1069"/>
      <c r="VSA295" s="1069"/>
      <c r="VSB295" s="1069"/>
      <c r="VSC295" s="1069"/>
      <c r="VSD295" s="1069"/>
      <c r="VSE295" s="1069"/>
      <c r="VSF295" s="1069"/>
      <c r="VSG295" s="1069"/>
      <c r="VSH295" s="1069"/>
      <c r="VSI295" s="1069"/>
      <c r="VSJ295" s="1069"/>
      <c r="VSK295" s="1069"/>
      <c r="VSL295" s="1069"/>
      <c r="VSM295" s="1069"/>
      <c r="VSN295" s="1069"/>
      <c r="VSO295" s="1069"/>
      <c r="VSP295" s="1069"/>
      <c r="VSQ295" s="1069"/>
      <c r="VSR295" s="1069"/>
      <c r="VSS295" s="1069"/>
      <c r="VST295" s="1069"/>
      <c r="VSU295" s="1069"/>
      <c r="VSV295" s="1069"/>
      <c r="VSW295" s="1069"/>
      <c r="VSX295" s="1069"/>
      <c r="VSY295" s="1069"/>
      <c r="VSZ295" s="1069"/>
      <c r="VTA295" s="1069"/>
      <c r="VTB295" s="1069"/>
      <c r="VTC295" s="1069"/>
      <c r="VTD295" s="1069"/>
      <c r="VTE295" s="1069"/>
      <c r="VTF295" s="1069"/>
      <c r="VTG295" s="1069"/>
      <c r="VTH295" s="1069"/>
      <c r="VTI295" s="1069"/>
      <c r="VTJ295" s="1069"/>
      <c r="VTK295" s="1069"/>
      <c r="VTL295" s="1069"/>
      <c r="VTM295" s="1069"/>
      <c r="VTN295" s="1069"/>
      <c r="VTO295" s="1069"/>
      <c r="VTP295" s="1069"/>
      <c r="VTQ295" s="1069"/>
      <c r="VTR295" s="1069"/>
      <c r="VTS295" s="1069"/>
      <c r="VTT295" s="1069"/>
      <c r="VTU295" s="1069"/>
      <c r="VTV295" s="1069"/>
      <c r="VTW295" s="1069"/>
      <c r="VTX295" s="1069"/>
      <c r="VTY295" s="1069"/>
      <c r="VTZ295" s="1069"/>
      <c r="VUA295" s="1069"/>
      <c r="VUB295" s="1069"/>
      <c r="VUC295" s="1069"/>
      <c r="VUD295" s="1069"/>
      <c r="VUE295" s="1069"/>
      <c r="VUF295" s="1069"/>
      <c r="VUG295" s="1069"/>
      <c r="VUH295" s="1069"/>
      <c r="VUI295" s="1069"/>
      <c r="VUJ295" s="1069"/>
      <c r="VUK295" s="1069"/>
      <c r="VUL295" s="1069"/>
      <c r="VUM295" s="1069"/>
      <c r="VUN295" s="1069"/>
      <c r="VUO295" s="1069"/>
      <c r="VUP295" s="1069"/>
      <c r="VUQ295" s="1069"/>
      <c r="VUR295" s="1069"/>
      <c r="VUS295" s="1069"/>
      <c r="VUT295" s="1069"/>
      <c r="VUU295" s="1069"/>
      <c r="VUV295" s="1069"/>
      <c r="VUW295" s="1069"/>
      <c r="VUX295" s="1069"/>
      <c r="VUY295" s="1069"/>
      <c r="VUZ295" s="1069"/>
      <c r="VVA295" s="1069"/>
      <c r="VVB295" s="1069"/>
      <c r="VVC295" s="1069"/>
      <c r="VVD295" s="1069"/>
      <c r="VVE295" s="1069"/>
      <c r="VVF295" s="1069"/>
      <c r="VVG295" s="1069"/>
      <c r="VVH295" s="1069"/>
      <c r="VVI295" s="1069"/>
      <c r="VVJ295" s="1069"/>
      <c r="VVK295" s="1069"/>
      <c r="VVL295" s="1069"/>
      <c r="VVM295" s="1069"/>
      <c r="VVN295" s="1069"/>
      <c r="VVO295" s="1069"/>
      <c r="VVP295" s="1069"/>
      <c r="VVQ295" s="1069"/>
      <c r="VVR295" s="1069"/>
      <c r="VVS295" s="1069"/>
      <c r="VVT295" s="1069"/>
      <c r="VVU295" s="1069"/>
      <c r="VVV295" s="1069"/>
      <c r="VVW295" s="1069"/>
      <c r="VVX295" s="1069"/>
      <c r="VVY295" s="1069"/>
      <c r="VVZ295" s="1069"/>
      <c r="VWA295" s="1069"/>
      <c r="VWB295" s="1069"/>
      <c r="VWC295" s="1069"/>
      <c r="VWD295" s="1069"/>
      <c r="VWE295" s="1069"/>
      <c r="VWF295" s="1069"/>
      <c r="VWG295" s="1069"/>
      <c r="VWH295" s="1069"/>
      <c r="VWI295" s="1069"/>
      <c r="VWJ295" s="1069"/>
      <c r="VWK295" s="1069"/>
      <c r="VWL295" s="1069"/>
      <c r="VWM295" s="1069"/>
      <c r="VWN295" s="1069"/>
      <c r="VWO295" s="1069"/>
      <c r="VWP295" s="1069"/>
      <c r="VWQ295" s="1069"/>
      <c r="VWR295" s="1069"/>
      <c r="VWS295" s="1069"/>
      <c r="VWT295" s="1069"/>
      <c r="VWU295" s="1069"/>
      <c r="VWV295" s="1069"/>
      <c r="VWW295" s="1069"/>
      <c r="VWX295" s="1069"/>
      <c r="VWY295" s="1069"/>
      <c r="VWZ295" s="1069"/>
      <c r="VXA295" s="1069"/>
      <c r="VXB295" s="1069"/>
      <c r="VXC295" s="1069"/>
      <c r="VXD295" s="1069"/>
      <c r="VXE295" s="1069"/>
      <c r="VXF295" s="1069"/>
      <c r="VXG295" s="1069"/>
      <c r="VXH295" s="1069"/>
      <c r="VXI295" s="1069"/>
      <c r="VXJ295" s="1069"/>
      <c r="VXK295" s="1069"/>
      <c r="VXL295" s="1069"/>
      <c r="VXM295" s="1069"/>
      <c r="VXN295" s="1069"/>
      <c r="VXO295" s="1069"/>
      <c r="VXP295" s="1069"/>
      <c r="VXQ295" s="1069"/>
      <c r="VXR295" s="1069"/>
      <c r="VXS295" s="1069"/>
      <c r="VXT295" s="1069"/>
      <c r="VXU295" s="1069"/>
      <c r="VXV295" s="1069"/>
      <c r="VXW295" s="1069"/>
      <c r="VXX295" s="1069"/>
      <c r="VXY295" s="1069"/>
      <c r="VXZ295" s="1069"/>
      <c r="VYA295" s="1069"/>
      <c r="VYB295" s="1069"/>
      <c r="VYC295" s="1069"/>
      <c r="VYD295" s="1069"/>
      <c r="VYE295" s="1069"/>
      <c r="VYF295" s="1069"/>
      <c r="VYG295" s="1069"/>
      <c r="VYH295" s="1069"/>
      <c r="VYI295" s="1069"/>
      <c r="VYJ295" s="1069"/>
      <c r="VYK295" s="1069"/>
      <c r="VYL295" s="1069"/>
      <c r="VYM295" s="1069"/>
      <c r="VYN295" s="1069"/>
      <c r="VYO295" s="1069"/>
      <c r="VYP295" s="1069"/>
      <c r="VYQ295" s="1069"/>
      <c r="VYR295" s="1069"/>
      <c r="VYS295" s="1069"/>
      <c r="VYT295" s="1069"/>
      <c r="VYU295" s="1069"/>
      <c r="VYV295" s="1069"/>
      <c r="VYW295" s="1069"/>
      <c r="VYX295" s="1069"/>
      <c r="VYY295" s="1069"/>
      <c r="VYZ295" s="1069"/>
      <c r="VZA295" s="1069"/>
      <c r="VZB295" s="1069"/>
      <c r="VZC295" s="1069"/>
      <c r="VZD295" s="1069"/>
      <c r="VZE295" s="1069"/>
      <c r="VZF295" s="1069"/>
      <c r="VZG295" s="1069"/>
      <c r="VZH295" s="1069"/>
      <c r="VZI295" s="1069"/>
      <c r="VZJ295" s="1069"/>
      <c r="VZK295" s="1069"/>
      <c r="VZL295" s="1069"/>
      <c r="VZM295" s="1069"/>
      <c r="VZN295" s="1069"/>
      <c r="VZO295" s="1069"/>
      <c r="VZP295" s="1069"/>
      <c r="VZQ295" s="1069"/>
      <c r="VZR295" s="1069"/>
      <c r="VZS295" s="1069"/>
      <c r="VZT295" s="1069"/>
      <c r="VZU295" s="1069"/>
      <c r="VZV295" s="1069"/>
      <c r="VZW295" s="1069"/>
      <c r="VZX295" s="1069"/>
      <c r="VZY295" s="1069"/>
      <c r="VZZ295" s="1069"/>
      <c r="WAA295" s="1069"/>
      <c r="WAB295" s="1069"/>
      <c r="WAC295" s="1069"/>
      <c r="WAD295" s="1069"/>
      <c r="WAE295" s="1069"/>
      <c r="WAF295" s="1069"/>
      <c r="WAG295" s="1069"/>
      <c r="WAH295" s="1069"/>
      <c r="WAI295" s="1069"/>
      <c r="WAJ295" s="1069"/>
      <c r="WAK295" s="1069"/>
      <c r="WAL295" s="1069"/>
      <c r="WAM295" s="1069"/>
      <c r="WAN295" s="1069"/>
      <c r="WAO295" s="1069"/>
      <c r="WAP295" s="1069"/>
      <c r="WAQ295" s="1069"/>
      <c r="WAR295" s="1069"/>
      <c r="WAS295" s="1069"/>
      <c r="WAT295" s="1069"/>
      <c r="WAU295" s="1069"/>
      <c r="WAV295" s="1069"/>
      <c r="WAW295" s="1069"/>
      <c r="WAX295" s="1069"/>
      <c r="WAY295" s="1069"/>
      <c r="WAZ295" s="1069"/>
      <c r="WBA295" s="1069"/>
      <c r="WBB295" s="1069"/>
      <c r="WBC295" s="1069"/>
      <c r="WBD295" s="1069"/>
      <c r="WBE295" s="1069"/>
      <c r="WBF295" s="1069"/>
      <c r="WBG295" s="1069"/>
      <c r="WBH295" s="1069"/>
      <c r="WBI295" s="1069"/>
      <c r="WBJ295" s="1069"/>
      <c r="WBK295" s="1069"/>
      <c r="WBL295" s="1069"/>
      <c r="WBM295" s="1069"/>
      <c r="WBN295" s="1069"/>
      <c r="WBO295" s="1069"/>
      <c r="WBP295" s="1069"/>
      <c r="WBQ295" s="1069"/>
      <c r="WBR295" s="1069"/>
      <c r="WBS295" s="1069"/>
      <c r="WBT295" s="1069"/>
      <c r="WBU295" s="1069"/>
      <c r="WBV295" s="1069"/>
      <c r="WBW295" s="1069"/>
      <c r="WBX295" s="1069"/>
      <c r="WBY295" s="1069"/>
      <c r="WBZ295" s="1069"/>
      <c r="WCA295" s="1069"/>
      <c r="WCB295" s="1069"/>
      <c r="WCC295" s="1069"/>
      <c r="WCD295" s="1069"/>
      <c r="WCE295" s="1069"/>
      <c r="WCF295" s="1069"/>
      <c r="WCG295" s="1069"/>
      <c r="WCH295" s="1069"/>
      <c r="WCI295" s="1069"/>
      <c r="WCJ295" s="1069"/>
      <c r="WCK295" s="1069"/>
      <c r="WCL295" s="1069"/>
      <c r="WCM295" s="1069"/>
      <c r="WCN295" s="1069"/>
      <c r="WCO295" s="1069"/>
      <c r="WCP295" s="1069"/>
      <c r="WCQ295" s="1069"/>
      <c r="WCR295" s="1069"/>
      <c r="WCS295" s="1069"/>
      <c r="WCT295" s="1069"/>
      <c r="WCU295" s="1069"/>
      <c r="WCV295" s="1069"/>
      <c r="WCW295" s="1069"/>
      <c r="WCX295" s="1069"/>
      <c r="WCY295" s="1069"/>
      <c r="WCZ295" s="1069"/>
      <c r="WDA295" s="1069"/>
      <c r="WDB295" s="1069"/>
      <c r="WDC295" s="1069"/>
      <c r="WDD295" s="1069"/>
      <c r="WDE295" s="1069"/>
      <c r="WDF295" s="1069"/>
      <c r="WDG295" s="1069"/>
      <c r="WDH295" s="1069"/>
      <c r="WDI295" s="1069"/>
      <c r="WDJ295" s="1069"/>
      <c r="WDK295" s="1069"/>
      <c r="WDL295" s="1069"/>
      <c r="WDM295" s="1069"/>
      <c r="WDN295" s="1069"/>
      <c r="WDO295" s="1069"/>
      <c r="WDP295" s="1069"/>
      <c r="WDQ295" s="1069"/>
      <c r="WDR295" s="1069"/>
      <c r="WDS295" s="1069"/>
      <c r="WDT295" s="1069"/>
      <c r="WDU295" s="1069"/>
      <c r="WDV295" s="1069"/>
      <c r="WDW295" s="1069"/>
      <c r="WDX295" s="1069"/>
      <c r="WDY295" s="1069"/>
      <c r="WDZ295" s="1069"/>
      <c r="WEA295" s="1069"/>
      <c r="WEB295" s="1069"/>
      <c r="WEC295" s="1069"/>
      <c r="WED295" s="1069"/>
      <c r="WEE295" s="1069"/>
      <c r="WEF295" s="1069"/>
      <c r="WEG295" s="1069"/>
      <c r="WEH295" s="1069"/>
      <c r="WEI295" s="1069"/>
      <c r="WEJ295" s="1069"/>
      <c r="WEK295" s="1069"/>
      <c r="WEL295" s="1069"/>
      <c r="WEM295" s="1069"/>
      <c r="WEN295" s="1069"/>
      <c r="WEO295" s="1069"/>
      <c r="WEP295" s="1069"/>
      <c r="WEQ295" s="1069"/>
      <c r="WER295" s="1069"/>
      <c r="WES295" s="1069"/>
      <c r="WET295" s="1069"/>
      <c r="WEU295" s="1069"/>
      <c r="WEV295" s="1069"/>
      <c r="WEW295" s="1069"/>
      <c r="WEX295" s="1069"/>
      <c r="WEY295" s="1069"/>
      <c r="WEZ295" s="1069"/>
      <c r="WFA295" s="1069"/>
      <c r="WFB295" s="1069"/>
      <c r="WFC295" s="1069"/>
      <c r="WFD295" s="1069"/>
      <c r="WFE295" s="1069"/>
      <c r="WFF295" s="1069"/>
      <c r="WFG295" s="1069"/>
      <c r="WFH295" s="1069"/>
      <c r="WFI295" s="1069"/>
      <c r="WFJ295" s="1069"/>
      <c r="WFK295" s="1069"/>
      <c r="WFL295" s="1069"/>
      <c r="WFM295" s="1069"/>
      <c r="WFN295" s="1069"/>
      <c r="WFO295" s="1069"/>
      <c r="WFP295" s="1069"/>
      <c r="WFQ295" s="1069"/>
      <c r="WFR295" s="1069"/>
      <c r="WFS295" s="1069"/>
      <c r="WFT295" s="1069"/>
      <c r="WFU295" s="1069"/>
      <c r="WFV295" s="1069"/>
      <c r="WFW295" s="1069"/>
      <c r="WFX295" s="1069"/>
      <c r="WFY295" s="1069"/>
      <c r="WFZ295" s="1069"/>
      <c r="WGA295" s="1069"/>
      <c r="WGB295" s="1069"/>
      <c r="WGC295" s="1069"/>
      <c r="WGD295" s="1069"/>
      <c r="WGE295" s="1069"/>
      <c r="WGF295" s="1069"/>
      <c r="WGG295" s="1069"/>
      <c r="WGH295" s="1069"/>
      <c r="WGI295" s="1069"/>
      <c r="WGJ295" s="1069"/>
      <c r="WGK295" s="1069"/>
      <c r="WGL295" s="1069"/>
      <c r="WGM295" s="1069"/>
      <c r="WGN295" s="1069"/>
      <c r="WGO295" s="1069"/>
      <c r="WGP295" s="1069"/>
      <c r="WGQ295" s="1069"/>
      <c r="WGR295" s="1069"/>
      <c r="WGS295" s="1069"/>
      <c r="WGT295" s="1069"/>
      <c r="WGU295" s="1069"/>
      <c r="WGV295" s="1069"/>
      <c r="WGW295" s="1069"/>
      <c r="WGX295" s="1069"/>
      <c r="WGY295" s="1069"/>
      <c r="WGZ295" s="1069"/>
      <c r="WHA295" s="1069"/>
      <c r="WHB295" s="1069"/>
      <c r="WHC295" s="1069"/>
      <c r="WHD295" s="1069"/>
      <c r="WHE295" s="1069"/>
      <c r="WHF295" s="1069"/>
      <c r="WHG295" s="1069"/>
      <c r="WHH295" s="1069"/>
      <c r="WHI295" s="1069"/>
      <c r="WHJ295" s="1069"/>
      <c r="WHK295" s="1069"/>
      <c r="WHL295" s="1069"/>
      <c r="WHM295" s="1069"/>
      <c r="WHN295" s="1069"/>
      <c r="WHO295" s="1069"/>
      <c r="WHP295" s="1069"/>
      <c r="WHQ295" s="1069"/>
      <c r="WHR295" s="1069"/>
      <c r="WHS295" s="1069"/>
      <c r="WHT295" s="1069"/>
      <c r="WHU295" s="1069"/>
      <c r="WHV295" s="1069"/>
      <c r="WHW295" s="1069"/>
      <c r="WHX295" s="1069"/>
      <c r="WHY295" s="1069"/>
      <c r="WHZ295" s="1069"/>
      <c r="WIA295" s="1069"/>
      <c r="WIB295" s="1069"/>
      <c r="WIC295" s="1069"/>
      <c r="WID295" s="1069"/>
      <c r="WIE295" s="1069"/>
      <c r="WIF295" s="1069"/>
      <c r="WIG295" s="1069"/>
      <c r="WIH295" s="1069"/>
      <c r="WII295" s="1069"/>
      <c r="WIJ295" s="1069"/>
      <c r="WIK295" s="1069"/>
      <c r="WIL295" s="1069"/>
      <c r="WIM295" s="1069"/>
      <c r="WIN295" s="1069"/>
      <c r="WIO295" s="1069"/>
      <c r="WIP295" s="1069"/>
      <c r="WIQ295" s="1069"/>
      <c r="WIR295" s="1069"/>
      <c r="WIS295" s="1069"/>
      <c r="WIT295" s="1069"/>
      <c r="WIU295" s="1069"/>
      <c r="WIV295" s="1069"/>
      <c r="WIW295" s="1069"/>
      <c r="WIX295" s="1069"/>
      <c r="WIY295" s="1069"/>
      <c r="WIZ295" s="1069"/>
      <c r="WJA295" s="1069"/>
      <c r="WJB295" s="1069"/>
      <c r="WJC295" s="1069"/>
      <c r="WJD295" s="1069"/>
      <c r="WJE295" s="1069"/>
      <c r="WJF295" s="1069"/>
      <c r="WJG295" s="1069"/>
      <c r="WJH295" s="1069"/>
      <c r="WJI295" s="1069"/>
      <c r="WJJ295" s="1069"/>
      <c r="WJK295" s="1069"/>
      <c r="WJL295" s="1069"/>
      <c r="WJM295" s="1069"/>
      <c r="WJN295" s="1069"/>
      <c r="WJO295" s="1069"/>
      <c r="WJP295" s="1069"/>
      <c r="WJQ295" s="1069"/>
      <c r="WJR295" s="1069"/>
      <c r="WJS295" s="1069"/>
      <c r="WJT295" s="1069"/>
      <c r="WJU295" s="1069"/>
      <c r="WJV295" s="1069"/>
      <c r="WJW295" s="1069"/>
      <c r="WJX295" s="1069"/>
      <c r="WJY295" s="1069"/>
      <c r="WJZ295" s="1069"/>
      <c r="WKA295" s="1069"/>
      <c r="WKB295" s="1069"/>
      <c r="WKC295" s="1069"/>
      <c r="WKD295" s="1069"/>
      <c r="WKE295" s="1069"/>
      <c r="WKF295" s="1069"/>
      <c r="WKG295" s="1069"/>
      <c r="WKH295" s="1069"/>
      <c r="WKI295" s="1069"/>
      <c r="WKJ295" s="1069"/>
      <c r="WKK295" s="1069"/>
      <c r="WKL295" s="1069"/>
      <c r="WKM295" s="1069"/>
      <c r="WKN295" s="1069"/>
      <c r="WKO295" s="1069"/>
      <c r="WKP295" s="1069"/>
      <c r="WKQ295" s="1069"/>
      <c r="WKR295" s="1069"/>
      <c r="WKS295" s="1069"/>
      <c r="WKT295" s="1069"/>
      <c r="WKU295" s="1069"/>
      <c r="WKV295" s="1069"/>
      <c r="WKW295" s="1069"/>
      <c r="WKX295" s="1069"/>
      <c r="WKY295" s="1069"/>
      <c r="WKZ295" s="1069"/>
      <c r="WLA295" s="1069"/>
      <c r="WLB295" s="1069"/>
      <c r="WLC295" s="1069"/>
      <c r="WLD295" s="1069"/>
      <c r="WLE295" s="1069"/>
      <c r="WLF295" s="1069"/>
      <c r="WLG295" s="1069"/>
      <c r="WLH295" s="1069"/>
      <c r="WLI295" s="1069"/>
      <c r="WLJ295" s="1069"/>
      <c r="WLK295" s="1069"/>
      <c r="WLL295" s="1069"/>
      <c r="WLM295" s="1069"/>
      <c r="WLN295" s="1069"/>
      <c r="WLO295" s="1069"/>
      <c r="WLP295" s="1069"/>
      <c r="WLQ295" s="1069"/>
      <c r="WLR295" s="1069"/>
      <c r="WLS295" s="1069"/>
      <c r="WLT295" s="1069"/>
      <c r="WLU295" s="1069"/>
      <c r="WLV295" s="1069"/>
      <c r="WLW295" s="1069"/>
      <c r="WLX295" s="1069"/>
      <c r="WLY295" s="1069"/>
      <c r="WLZ295" s="1069"/>
      <c r="WMA295" s="1069"/>
      <c r="WMB295" s="1069"/>
      <c r="WMC295" s="1069"/>
      <c r="WMD295" s="1069"/>
      <c r="WME295" s="1069"/>
      <c r="WMF295" s="1069"/>
      <c r="WMG295" s="1069"/>
      <c r="WMH295" s="1069"/>
      <c r="WMI295" s="1069"/>
      <c r="WMJ295" s="1069"/>
      <c r="WMK295" s="1069"/>
      <c r="WML295" s="1069"/>
      <c r="WMM295" s="1069"/>
      <c r="WMN295" s="1069"/>
      <c r="WMO295" s="1069"/>
      <c r="WMP295" s="1069"/>
      <c r="WMQ295" s="1069"/>
      <c r="WMR295" s="1069"/>
      <c r="WMS295" s="1069"/>
      <c r="WMT295" s="1069"/>
      <c r="WMU295" s="1069"/>
      <c r="WMV295" s="1069"/>
      <c r="WMW295" s="1069"/>
      <c r="WMX295" s="1069"/>
      <c r="WMY295" s="1069"/>
      <c r="WMZ295" s="1069"/>
      <c r="WNA295" s="1069"/>
      <c r="WNB295" s="1069"/>
      <c r="WNC295" s="1069"/>
      <c r="WND295" s="1069"/>
      <c r="WNE295" s="1069"/>
      <c r="WNF295" s="1069"/>
      <c r="WNG295" s="1069"/>
      <c r="WNH295" s="1069"/>
      <c r="WNI295" s="1069"/>
      <c r="WNJ295" s="1069"/>
      <c r="WNK295" s="1069"/>
      <c r="WNL295" s="1069"/>
      <c r="WNM295" s="1069"/>
      <c r="WNN295" s="1069"/>
      <c r="WNO295" s="1069"/>
      <c r="WNP295" s="1069"/>
      <c r="WNQ295" s="1069"/>
      <c r="WNR295" s="1069"/>
      <c r="WNS295" s="1069"/>
      <c r="WNT295" s="1069"/>
      <c r="WNU295" s="1069"/>
      <c r="WNV295" s="1069"/>
      <c r="WNW295" s="1069"/>
      <c r="WNX295" s="1069"/>
      <c r="WNY295" s="1069"/>
      <c r="WNZ295" s="1069"/>
      <c r="WOA295" s="1069"/>
      <c r="WOB295" s="1069"/>
      <c r="WOC295" s="1069"/>
      <c r="WOD295" s="1069"/>
      <c r="WOE295" s="1069"/>
      <c r="WOF295" s="1069"/>
      <c r="WOG295" s="1069"/>
      <c r="WOH295" s="1069"/>
      <c r="WOI295" s="1069"/>
      <c r="WOJ295" s="1069"/>
      <c r="WOK295" s="1069"/>
      <c r="WOL295" s="1069"/>
      <c r="WOM295" s="1069"/>
      <c r="WON295" s="1069"/>
      <c r="WOO295" s="1069"/>
      <c r="WOP295" s="1069"/>
      <c r="WOQ295" s="1069"/>
      <c r="WOR295" s="1069"/>
      <c r="WOS295" s="1069"/>
      <c r="WOT295" s="1069"/>
      <c r="WOU295" s="1069"/>
      <c r="WOV295" s="1069"/>
      <c r="WOW295" s="1069"/>
      <c r="WOX295" s="1069"/>
      <c r="WOY295" s="1069"/>
      <c r="WOZ295" s="1069"/>
      <c r="WPA295" s="1069"/>
      <c r="WPB295" s="1069"/>
      <c r="WPC295" s="1069"/>
      <c r="WPD295" s="1069"/>
      <c r="WPE295" s="1069"/>
      <c r="WPF295" s="1069"/>
      <c r="WPG295" s="1069"/>
      <c r="WPH295" s="1069"/>
      <c r="WPI295" s="1069"/>
      <c r="WPJ295" s="1069"/>
      <c r="WPK295" s="1069"/>
      <c r="WPL295" s="1069"/>
      <c r="WPM295" s="1069"/>
      <c r="WPN295" s="1069"/>
      <c r="WPO295" s="1069"/>
      <c r="WPP295" s="1069"/>
      <c r="WPQ295" s="1069"/>
      <c r="WPR295" s="1069"/>
      <c r="WPS295" s="1069"/>
      <c r="WPT295" s="1069"/>
      <c r="WPU295" s="1069"/>
      <c r="WPV295" s="1069"/>
      <c r="WPW295" s="1069"/>
      <c r="WPX295" s="1069"/>
      <c r="WPY295" s="1069"/>
      <c r="WPZ295" s="1069"/>
      <c r="WQA295" s="1069"/>
      <c r="WQB295" s="1069"/>
      <c r="WQC295" s="1069"/>
      <c r="WQD295" s="1069"/>
      <c r="WQE295" s="1069"/>
      <c r="WQF295" s="1069"/>
      <c r="WQG295" s="1069"/>
      <c r="WQH295" s="1069"/>
      <c r="WQI295" s="1069"/>
      <c r="WQJ295" s="1069"/>
      <c r="WQK295" s="1069"/>
      <c r="WQL295" s="1069"/>
      <c r="WQM295" s="1069"/>
      <c r="WQN295" s="1069"/>
      <c r="WQO295" s="1069"/>
      <c r="WQP295" s="1069"/>
      <c r="WQQ295" s="1069"/>
      <c r="WQR295" s="1069"/>
      <c r="WQS295" s="1069"/>
      <c r="WQT295" s="1069"/>
      <c r="WQU295" s="1069"/>
      <c r="WQV295" s="1069"/>
      <c r="WQW295" s="1069"/>
      <c r="WQX295" s="1069"/>
      <c r="WQY295" s="1069"/>
      <c r="WQZ295" s="1069"/>
      <c r="WRA295" s="1069"/>
      <c r="WRB295" s="1069"/>
      <c r="WRC295" s="1069"/>
      <c r="WRD295" s="1069"/>
      <c r="WRE295" s="1069"/>
      <c r="WRF295" s="1069"/>
      <c r="WRG295" s="1069"/>
      <c r="WRH295" s="1069"/>
      <c r="WRI295" s="1069"/>
      <c r="WRJ295" s="1069"/>
      <c r="WRK295" s="1069"/>
      <c r="WRL295" s="1069"/>
      <c r="WRM295" s="1069"/>
      <c r="WRN295" s="1069"/>
      <c r="WRO295" s="1069"/>
      <c r="WRP295" s="1069"/>
      <c r="WRQ295" s="1069"/>
      <c r="WRR295" s="1069"/>
      <c r="WRS295" s="1069"/>
      <c r="WRT295" s="1069"/>
      <c r="WRU295" s="1069"/>
      <c r="WRV295" s="1069"/>
      <c r="WRW295" s="1069"/>
      <c r="WRX295" s="1069"/>
      <c r="WRY295" s="1069"/>
      <c r="WRZ295" s="1069"/>
      <c r="WSA295" s="1069"/>
      <c r="WSB295" s="1069"/>
      <c r="WSC295" s="1069"/>
      <c r="WSD295" s="1069"/>
      <c r="WSE295" s="1069"/>
      <c r="WSF295" s="1069"/>
      <c r="WSG295" s="1069"/>
      <c r="WSH295" s="1069"/>
      <c r="WSI295" s="1069"/>
      <c r="WSJ295" s="1069"/>
      <c r="WSK295" s="1069"/>
      <c r="WSL295" s="1069"/>
      <c r="WSM295" s="1069"/>
      <c r="WSN295" s="1069"/>
      <c r="WSO295" s="1069"/>
      <c r="WSP295" s="1069"/>
      <c r="WSQ295" s="1069"/>
      <c r="WSR295" s="1069"/>
      <c r="WSS295" s="1069"/>
      <c r="WST295" s="1069"/>
      <c r="WSU295" s="1069"/>
      <c r="WSV295" s="1069"/>
      <c r="WSW295" s="1069"/>
      <c r="WSX295" s="1069"/>
      <c r="WSY295" s="1069"/>
      <c r="WSZ295" s="1069"/>
      <c r="WTA295" s="1069"/>
      <c r="WTB295" s="1069"/>
      <c r="WTC295" s="1069"/>
      <c r="WTD295" s="1069"/>
      <c r="WTE295" s="1069"/>
      <c r="WTF295" s="1069"/>
      <c r="WTG295" s="1069"/>
      <c r="WTH295" s="1069"/>
      <c r="WTI295" s="1069"/>
      <c r="WTJ295" s="1069"/>
      <c r="WTK295" s="1069"/>
      <c r="WTL295" s="1069"/>
      <c r="WTM295" s="1069"/>
      <c r="WTN295" s="1069"/>
      <c r="WTO295" s="1069"/>
      <c r="WTP295" s="1069"/>
      <c r="WTQ295" s="1069"/>
      <c r="WTR295" s="1069"/>
      <c r="WTS295" s="1069"/>
      <c r="WTT295" s="1069"/>
      <c r="WTU295" s="1069"/>
      <c r="WTV295" s="1069"/>
      <c r="WTW295" s="1069"/>
      <c r="WTX295" s="1069"/>
      <c r="WTY295" s="1069"/>
      <c r="WTZ295" s="1069"/>
      <c r="WUA295" s="1069"/>
      <c r="WUB295" s="1069"/>
      <c r="WUC295" s="1069"/>
      <c r="WUD295" s="1069"/>
      <c r="WUE295" s="1069"/>
      <c r="WUF295" s="1069"/>
      <c r="WUG295" s="1069"/>
      <c r="WUH295" s="1069"/>
      <c r="WUI295" s="1069"/>
      <c r="WUJ295" s="1069"/>
      <c r="WUK295" s="1069"/>
      <c r="WUL295" s="1069"/>
      <c r="WUM295" s="1069"/>
      <c r="WUN295" s="1069"/>
      <c r="WUO295" s="1069"/>
      <c r="WUP295" s="1069"/>
      <c r="WUQ295" s="1069"/>
      <c r="WUR295" s="1069"/>
      <c r="WUS295" s="1069"/>
      <c r="WUT295" s="1069"/>
      <c r="WUU295" s="1069"/>
      <c r="WUV295" s="1069"/>
      <c r="WUW295" s="1069"/>
      <c r="WUX295" s="1069"/>
      <c r="WUY295" s="1069"/>
      <c r="WUZ295" s="1069"/>
      <c r="WVA295" s="1069"/>
      <c r="WVB295" s="1069"/>
      <c r="WVC295" s="1069"/>
      <c r="WVD295" s="1069"/>
      <c r="WVE295" s="1069"/>
      <c r="WVF295" s="1069"/>
      <c r="WVG295" s="1069"/>
      <c r="WVH295" s="1069"/>
      <c r="WVI295" s="1069"/>
      <c r="WVJ295" s="1069"/>
      <c r="WVK295" s="1069"/>
      <c r="WVL295" s="1069"/>
      <c r="WVM295" s="1069"/>
      <c r="WVN295" s="1069"/>
      <c r="WVO295" s="1069"/>
      <c r="WVP295" s="1069"/>
      <c r="WVQ295" s="1069"/>
      <c r="WVR295" s="1069"/>
      <c r="WVS295" s="1069"/>
      <c r="WVT295" s="1069"/>
      <c r="WVU295" s="1069"/>
      <c r="WVV295" s="1069"/>
      <c r="WVW295" s="1069"/>
      <c r="WVX295" s="1069"/>
      <c r="WVY295" s="1069"/>
      <c r="WVZ295" s="1069"/>
      <c r="WWA295" s="1069"/>
      <c r="WWB295" s="1069"/>
      <c r="WWC295" s="1069"/>
      <c r="WWD295" s="1069"/>
      <c r="WWE295" s="1069"/>
      <c r="WWF295" s="1069"/>
      <c r="WWG295" s="1069"/>
      <c r="WWH295" s="1069"/>
      <c r="WWI295" s="1069"/>
      <c r="WWJ295" s="1069"/>
      <c r="WWK295" s="1069"/>
      <c r="WWL295" s="1069"/>
      <c r="WWM295" s="1069"/>
      <c r="WWN295" s="1069"/>
      <c r="WWO295" s="1069"/>
      <c r="WWP295" s="1069"/>
      <c r="WWQ295" s="1069"/>
      <c r="WWR295" s="1069"/>
      <c r="WWS295" s="1069"/>
      <c r="WWT295" s="1069"/>
      <c r="WWU295" s="1069"/>
      <c r="WWV295" s="1069"/>
      <c r="WWW295" s="1069"/>
      <c r="WWX295" s="1069"/>
      <c r="WWY295" s="1069"/>
      <c r="WWZ295" s="1069"/>
      <c r="WXA295" s="1069"/>
      <c r="WXB295" s="1069"/>
      <c r="WXC295" s="1069"/>
      <c r="WXD295" s="1069"/>
      <c r="WXE295" s="1069"/>
      <c r="WXF295" s="1069"/>
      <c r="WXG295" s="1069"/>
      <c r="WXH295" s="1069"/>
      <c r="WXI295" s="1069"/>
      <c r="WXJ295" s="1069"/>
      <c r="WXK295" s="1069"/>
      <c r="WXL295" s="1069"/>
      <c r="WXM295" s="1069"/>
      <c r="WXN295" s="1069"/>
      <c r="WXO295" s="1069"/>
      <c r="WXP295" s="1069"/>
      <c r="WXQ295" s="1069"/>
      <c r="WXR295" s="1069"/>
      <c r="WXS295" s="1069"/>
      <c r="WXT295" s="1069"/>
      <c r="WXU295" s="1069"/>
      <c r="WXV295" s="1069"/>
      <c r="WXW295" s="1069"/>
      <c r="WXX295" s="1069"/>
      <c r="WXY295" s="1069"/>
      <c r="WXZ295" s="1069"/>
      <c r="WYA295" s="1069"/>
      <c r="WYB295" s="1069"/>
      <c r="WYC295" s="1069"/>
      <c r="WYD295" s="1069"/>
      <c r="WYE295" s="1069"/>
      <c r="WYF295" s="1069"/>
      <c r="WYG295" s="1069"/>
      <c r="WYH295" s="1069"/>
      <c r="WYI295" s="1069"/>
      <c r="WYJ295" s="1069"/>
      <c r="WYK295" s="1069"/>
      <c r="WYL295" s="1069"/>
      <c r="WYM295" s="1069"/>
      <c r="WYN295" s="1069"/>
      <c r="WYO295" s="1069"/>
      <c r="WYP295" s="1069"/>
      <c r="WYQ295" s="1069"/>
      <c r="WYR295" s="1069"/>
      <c r="WYS295" s="1069"/>
      <c r="WYT295" s="1069"/>
      <c r="WYU295" s="1069"/>
      <c r="WYV295" s="1069"/>
      <c r="WYW295" s="1069"/>
      <c r="WYX295" s="1069"/>
      <c r="WYY295" s="1069"/>
      <c r="WYZ295" s="1069"/>
      <c r="WZA295" s="1069"/>
      <c r="WZB295" s="1069"/>
      <c r="WZC295" s="1069"/>
      <c r="WZD295" s="1069"/>
      <c r="WZE295" s="1069"/>
      <c r="WZF295" s="1069"/>
      <c r="WZG295" s="1069"/>
      <c r="WZH295" s="1069"/>
      <c r="WZI295" s="1069"/>
      <c r="WZJ295" s="1069"/>
      <c r="WZK295" s="1069"/>
      <c r="WZL295" s="1069"/>
      <c r="WZM295" s="1069"/>
      <c r="WZN295" s="1069"/>
      <c r="WZO295" s="1069"/>
      <c r="WZP295" s="1069"/>
      <c r="WZQ295" s="1069"/>
      <c r="WZR295" s="1069"/>
      <c r="WZS295" s="1069"/>
      <c r="WZT295" s="1069"/>
      <c r="WZU295" s="1069"/>
      <c r="WZV295" s="1069"/>
      <c r="WZW295" s="1069"/>
      <c r="WZX295" s="1069"/>
      <c r="WZY295" s="1069"/>
      <c r="WZZ295" s="1069"/>
      <c r="XAA295" s="1069"/>
      <c r="XAB295" s="1069"/>
      <c r="XAC295" s="1069"/>
      <c r="XAD295" s="1069"/>
      <c r="XAE295" s="1069"/>
      <c r="XAF295" s="1069"/>
      <c r="XAG295" s="1069"/>
      <c r="XAH295" s="1069"/>
      <c r="XAI295" s="1069"/>
      <c r="XAJ295" s="1069"/>
      <c r="XAK295" s="1069"/>
      <c r="XAL295" s="1069"/>
      <c r="XAM295" s="1069"/>
      <c r="XAN295" s="1069"/>
      <c r="XAO295" s="1069"/>
      <c r="XAP295" s="1069"/>
      <c r="XAQ295" s="1069"/>
      <c r="XAR295" s="1069"/>
      <c r="XAS295" s="1069"/>
      <c r="XAT295" s="1069"/>
      <c r="XAU295" s="1069"/>
      <c r="XAV295" s="1069"/>
      <c r="XAW295" s="1069"/>
      <c r="XAX295" s="1069"/>
      <c r="XAY295" s="1069"/>
      <c r="XAZ295" s="1069"/>
      <c r="XBA295" s="1069"/>
      <c r="XBB295" s="1069"/>
      <c r="XBC295" s="1069"/>
      <c r="XBD295" s="1069"/>
      <c r="XBE295" s="1069"/>
      <c r="XBF295" s="1069"/>
      <c r="XBG295" s="1069"/>
      <c r="XBH295" s="1069"/>
      <c r="XBI295" s="1069"/>
      <c r="XBJ295" s="1069"/>
      <c r="XBK295" s="1069"/>
      <c r="XBL295" s="1069"/>
      <c r="XBM295" s="1069"/>
      <c r="XBN295" s="1069"/>
      <c r="XBO295" s="1069"/>
      <c r="XBP295" s="1069"/>
      <c r="XBQ295" s="1069"/>
      <c r="XBR295" s="1069"/>
      <c r="XBS295" s="1069"/>
      <c r="XBT295" s="1069"/>
      <c r="XBU295" s="1069"/>
      <c r="XBV295" s="1069"/>
      <c r="XBW295" s="1069"/>
      <c r="XBX295" s="1069"/>
      <c r="XBY295" s="1069"/>
      <c r="XBZ295" s="1069"/>
      <c r="XCA295" s="1069"/>
      <c r="XCB295" s="1069"/>
      <c r="XCC295" s="1069"/>
      <c r="XCD295" s="1069"/>
      <c r="XCE295" s="1069"/>
      <c r="XCF295" s="1069"/>
      <c r="XCG295" s="1069"/>
      <c r="XCH295" s="1069"/>
      <c r="XCI295" s="1069"/>
      <c r="XCJ295" s="1069"/>
      <c r="XCK295" s="1069"/>
      <c r="XCL295" s="1069"/>
      <c r="XCM295" s="1069"/>
      <c r="XCN295" s="1069"/>
      <c r="XCO295" s="1069"/>
      <c r="XCP295" s="1069"/>
      <c r="XCQ295" s="1069"/>
      <c r="XCR295" s="1069"/>
      <c r="XCS295" s="1069"/>
      <c r="XCT295" s="1069"/>
      <c r="XCU295" s="1069"/>
      <c r="XCV295" s="1069"/>
      <c r="XCW295" s="1069"/>
      <c r="XCX295" s="1069"/>
      <c r="XCY295" s="1069"/>
      <c r="XCZ295" s="1069"/>
      <c r="XDA295" s="1069"/>
      <c r="XDB295" s="1069"/>
      <c r="XDC295" s="1069"/>
      <c r="XDD295" s="1069"/>
      <c r="XDE295" s="1069"/>
      <c r="XDF295" s="1069"/>
      <c r="XDG295" s="1069"/>
      <c r="XDH295" s="1069"/>
      <c r="XDI295" s="1069"/>
      <c r="XDJ295" s="1069"/>
      <c r="XDK295" s="1069"/>
      <c r="XDL295" s="1069"/>
      <c r="XDM295" s="1069"/>
      <c r="XDN295" s="1069"/>
      <c r="XDO295" s="1069"/>
      <c r="XDP295" s="1069"/>
      <c r="XDQ295" s="1069"/>
      <c r="XDR295" s="1069"/>
      <c r="XDS295" s="1069"/>
      <c r="XDT295" s="1069"/>
      <c r="XDU295" s="1069"/>
      <c r="XDV295" s="1069"/>
      <c r="XDW295" s="1069"/>
      <c r="XDX295" s="1069"/>
      <c r="XDY295" s="1069"/>
      <c r="XDZ295" s="1069"/>
      <c r="XEA295" s="1069"/>
      <c r="XEB295" s="1069"/>
      <c r="XEC295" s="1069"/>
    </row>
    <row r="296" spans="1:16357" collapsed="1" x14ac:dyDescent="0.2">
      <c r="A296" s="276"/>
      <c r="B296" s="361"/>
      <c r="C296" s="366"/>
      <c r="D296" s="368"/>
      <c r="E296" s="367"/>
      <c r="F296" s="369"/>
      <c r="G296" s="361"/>
      <c r="H296" s="366"/>
      <c r="I296" s="367"/>
      <c r="J296" s="367"/>
      <c r="K296" s="367"/>
      <c r="L296" s="361"/>
      <c r="M296" s="367"/>
      <c r="N296" s="367"/>
      <c r="O296" s="367"/>
      <c r="P296" s="367"/>
      <c r="Q296" s="361"/>
      <c r="R296" s="367"/>
      <c r="S296" s="367"/>
      <c r="T296" s="367"/>
      <c r="U296" s="369"/>
      <c r="V296" s="361"/>
      <c r="W296" s="367"/>
      <c r="X296" s="367"/>
      <c r="Y296" s="367"/>
      <c r="Z296" s="369"/>
      <c r="AA296" s="362"/>
      <c r="AB296" s="366"/>
      <c r="AC296" s="367"/>
      <c r="AD296" s="367"/>
      <c r="AE296" s="367"/>
      <c r="AF296" s="361"/>
      <c r="AG296" s="370"/>
      <c r="AH296" s="370"/>
      <c r="AI296" s="370"/>
      <c r="AJ296" s="370"/>
      <c r="AK296" s="361"/>
      <c r="AL296" s="370"/>
      <c r="AM296" s="370"/>
      <c r="AN296" s="370"/>
      <c r="AO296" s="370"/>
      <c r="AP296" s="361"/>
      <c r="AQ296" s="370"/>
      <c r="AR296" s="370"/>
      <c r="AS296" s="370"/>
      <c r="AT296" s="370"/>
      <c r="AU296" s="363"/>
      <c r="AV296" s="45"/>
      <c r="AW296" s="370"/>
      <c r="AX296" s="370"/>
      <c r="AY296" s="370"/>
      <c r="AZ296" s="370"/>
      <c r="BA296" s="361"/>
      <c r="BB296" s="370"/>
      <c r="BC296" s="370"/>
      <c r="BD296" s="370"/>
      <c r="BE296" s="370"/>
      <c r="BF296" s="361"/>
      <c r="BG296" s="370"/>
      <c r="BH296" s="370"/>
      <c r="BI296" s="370"/>
      <c r="BJ296" s="370"/>
      <c r="BK296" s="361"/>
      <c r="BL296" s="370"/>
      <c r="BM296" s="370"/>
      <c r="BN296" s="370"/>
      <c r="BO296" s="370"/>
      <c r="BP296" s="361"/>
      <c r="BQ296" s="370"/>
      <c r="BR296" s="370"/>
      <c r="BS296" s="370"/>
      <c r="BT296" s="370"/>
      <c r="BU296" s="361"/>
      <c r="BV296" s="1302"/>
      <c r="BW296" s="1302"/>
      <c r="BX296" s="1302"/>
      <c r="BY296" s="1302"/>
      <c r="BZ296" s="361"/>
      <c r="CA296" s="370"/>
      <c r="CB296" s="370"/>
      <c r="CC296" s="370"/>
      <c r="CD296" s="370"/>
      <c r="CE296" s="361"/>
      <c r="CF296" s="370"/>
      <c r="CG296" s="370"/>
      <c r="CH296" s="370"/>
      <c r="CI296" s="370"/>
      <c r="CJ296" s="361"/>
      <c r="CK296" s="367"/>
      <c r="CL296" s="370"/>
      <c r="CM296" s="370"/>
      <c r="CN296" s="367"/>
      <c r="CO296" s="361"/>
      <c r="CP296" s="370"/>
      <c r="CQ296" s="370"/>
      <c r="CR296" s="370"/>
      <c r="CS296" s="370"/>
      <c r="CT296" s="361"/>
      <c r="CU296" s="370"/>
      <c r="CV296" s="370"/>
      <c r="CW296" s="370"/>
      <c r="CX296" s="370"/>
      <c r="CY296" s="361"/>
      <c r="CZ296" s="370"/>
      <c r="DA296" s="370"/>
      <c r="DB296" s="370"/>
      <c r="DC296" s="370"/>
      <c r="DD296" s="361"/>
      <c r="DE296" s="370"/>
      <c r="DF296" s="370"/>
      <c r="DG296" s="370"/>
      <c r="DH296" s="370"/>
      <c r="DI296" s="361"/>
      <c r="DJ296" s="370"/>
      <c r="DK296" s="370"/>
      <c r="DL296" s="370"/>
      <c r="DM296" s="370"/>
      <c r="DN296" s="361"/>
      <c r="DO296" s="370"/>
      <c r="DP296" s="370"/>
      <c r="DQ296" s="370"/>
      <c r="DR296" s="370"/>
      <c r="DS296" s="361"/>
      <c r="DT296" s="370"/>
      <c r="DU296" s="370"/>
      <c r="DV296" s="370"/>
      <c r="DW296" s="370"/>
      <c r="DX296" s="361"/>
      <c r="DY296" s="370"/>
      <c r="DZ296" s="370"/>
      <c r="EA296" s="370"/>
      <c r="EB296" s="370"/>
      <c r="EC296" s="361"/>
      <c r="ED296" s="38"/>
      <c r="EE296" s="21"/>
      <c r="EF296" s="284"/>
      <c r="EG296" s="16"/>
      <c r="EH296" s="16"/>
      <c r="EI296" s="16"/>
      <c r="EJ296" s="16"/>
      <c r="EK296" s="16"/>
      <c r="EL296" s="16"/>
      <c r="EM296" s="16"/>
      <c r="EN296" s="16"/>
      <c r="EO296" s="16"/>
      <c r="EP296" s="16"/>
      <c r="EQ296" s="16"/>
      <c r="ER296" s="16"/>
      <c r="ES296" s="16"/>
      <c r="ET296" s="16"/>
      <c r="EU296" s="16"/>
      <c r="EX296" s="16"/>
      <c r="EY296" s="228"/>
      <c r="EZ296" s="477"/>
      <c r="FA296" s="477"/>
      <c r="FB296" s="228"/>
      <c r="FC296" s="477"/>
      <c r="FD296" s="16"/>
    </row>
    <row r="297" spans="1:16357" x14ac:dyDescent="0.2">
      <c r="A297" s="23"/>
      <c r="B297" s="16"/>
      <c r="C297" s="16"/>
      <c r="D297" s="16"/>
      <c r="E297" s="16"/>
      <c r="F297" s="16"/>
      <c r="G297" s="16"/>
      <c r="H297" s="16"/>
      <c r="I297" s="16"/>
      <c r="J297" s="16"/>
      <c r="K297" s="16"/>
      <c r="L297" s="16"/>
      <c r="M297" s="16"/>
      <c r="N297" s="16"/>
      <c r="O297" s="16"/>
      <c r="P297" s="16"/>
      <c r="Q297" s="16"/>
      <c r="R297" s="16"/>
      <c r="S297" s="16"/>
      <c r="T297" s="16"/>
      <c r="U297" s="16"/>
      <c r="V297" s="16"/>
      <c r="W297" s="16"/>
      <c r="X297" s="16"/>
      <c r="Y297" s="16"/>
      <c r="Z297" s="16"/>
      <c r="AA297" s="16"/>
      <c r="AB297" s="16"/>
      <c r="AC297" s="16"/>
      <c r="AD297" s="16"/>
      <c r="AE297" s="16"/>
      <c r="AF297" s="16"/>
      <c r="AG297" s="16"/>
      <c r="AH297" s="16"/>
      <c r="AI297" s="16"/>
      <c r="AJ297" s="16"/>
      <c r="AK297" s="16"/>
      <c r="AL297" s="16"/>
      <c r="AM297" s="16"/>
      <c r="AN297" s="16"/>
      <c r="AO297" s="16"/>
      <c r="AP297" s="16"/>
      <c r="AQ297" s="16"/>
      <c r="AR297" s="16"/>
      <c r="AS297" s="16"/>
      <c r="AT297" s="16"/>
      <c r="AU297" s="16"/>
      <c r="AV297" s="45"/>
      <c r="AW297" s="16"/>
      <c r="AX297" s="16"/>
      <c r="AY297" s="21"/>
      <c r="AZ297" s="21"/>
      <c r="BA297" s="16"/>
      <c r="BB297" s="16"/>
      <c r="BC297" s="21"/>
      <c r="BD297" s="16"/>
      <c r="BE297" s="16"/>
      <c r="BF297" s="16"/>
      <c r="BG297" s="16"/>
      <c r="BH297" s="16"/>
      <c r="BI297" s="16"/>
      <c r="BJ297" s="16"/>
      <c r="BK297" s="15"/>
      <c r="BL297" s="15"/>
      <c r="BM297" s="15"/>
      <c r="BN297" s="15"/>
      <c r="BO297" s="15"/>
      <c r="BP297" s="16"/>
      <c r="BQ297" s="16"/>
      <c r="BR297" s="16"/>
      <c r="BS297" s="16"/>
      <c r="BT297" s="16"/>
      <c r="BU297" s="16"/>
      <c r="BV297" s="1310"/>
      <c r="BW297" s="1310"/>
      <c r="BX297" s="1310"/>
      <c r="BY297" s="1310"/>
      <c r="BZ297" s="16"/>
      <c r="CA297" s="16"/>
      <c r="CB297" s="16"/>
      <c r="CC297" s="16"/>
      <c r="CD297" s="16"/>
      <c r="CE297" s="16"/>
      <c r="CF297" s="16"/>
      <c r="CG297" s="16"/>
      <c r="CH297" s="16"/>
      <c r="CI297" s="16"/>
      <c r="CJ297" s="16"/>
      <c r="CK297" s="16"/>
      <c r="CL297" s="16"/>
      <c r="CM297" s="16"/>
      <c r="CN297" s="16"/>
      <c r="CO297" s="16"/>
      <c r="CP297" s="16"/>
      <c r="CQ297" s="16"/>
      <c r="CR297" s="16"/>
      <c r="CS297" s="16"/>
      <c r="CT297" s="16"/>
      <c r="CU297" s="16"/>
      <c r="CV297" s="16"/>
      <c r="CW297" s="16"/>
      <c r="CX297" s="16"/>
      <c r="CY297" s="16"/>
      <c r="CZ297" s="16"/>
      <c r="DA297" s="16"/>
      <c r="DB297" s="16"/>
      <c r="DC297" s="16"/>
      <c r="DD297" s="16"/>
      <c r="DE297" s="16"/>
      <c r="DF297" s="16"/>
      <c r="DG297" s="16"/>
      <c r="DH297" s="16"/>
      <c r="DI297" s="16"/>
      <c r="DJ297" s="16"/>
      <c r="DK297" s="16"/>
      <c r="DL297" s="16"/>
      <c r="DM297" s="16"/>
      <c r="DN297" s="16"/>
      <c r="DO297" s="16"/>
      <c r="DP297" s="16"/>
      <c r="DQ297" s="16"/>
      <c r="DR297" s="16"/>
      <c r="DS297" s="16"/>
      <c r="DT297" s="16"/>
      <c r="DU297" s="16"/>
      <c r="DV297" s="16"/>
      <c r="DW297" s="16"/>
      <c r="DX297" s="16"/>
      <c r="DY297" s="16"/>
      <c r="DZ297" s="16"/>
      <c r="EA297" s="16"/>
      <c r="EB297" s="16"/>
      <c r="EC297" s="16"/>
      <c r="ED297" s="16"/>
      <c r="EE297" s="16"/>
      <c r="EF297" s="16"/>
      <c r="EG297" s="16"/>
      <c r="EH297" s="16"/>
      <c r="EI297" s="16"/>
      <c r="EJ297" s="16"/>
      <c r="EK297" s="16"/>
      <c r="EL297" s="16"/>
      <c r="EM297" s="16"/>
      <c r="EN297" s="16"/>
      <c r="EO297" s="16"/>
      <c r="EP297" s="16"/>
      <c r="EQ297" s="16"/>
      <c r="ER297" s="16"/>
      <c r="ES297" s="16"/>
      <c r="ET297" s="16"/>
      <c r="EU297" s="16"/>
      <c r="EX297" s="16"/>
      <c r="EY297" s="228"/>
      <c r="EZ297" s="945"/>
      <c r="FA297" s="477"/>
      <c r="FB297" s="228"/>
      <c r="FC297" s="477"/>
      <c r="FD297" s="16"/>
    </row>
    <row r="298" spans="1:16357" ht="11.25" customHeight="1" x14ac:dyDescent="0.2">
      <c r="A298" s="7" t="s">
        <v>36</v>
      </c>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610"/>
      <c r="AH298" s="8"/>
      <c r="AI298" s="8"/>
      <c r="AJ298" s="8"/>
      <c r="AK298" s="8"/>
      <c r="AL298" s="8"/>
      <c r="AM298" s="8"/>
      <c r="AN298" s="8"/>
      <c r="AO298" s="8"/>
      <c r="AP298" s="8"/>
      <c r="AQ298" s="8"/>
      <c r="AR298" s="8"/>
      <c r="AS298" s="8"/>
      <c r="AT298" s="8"/>
      <c r="AU298" s="8"/>
      <c r="AV298" s="45"/>
      <c r="AW298" s="8"/>
      <c r="AX298" s="8"/>
      <c r="AY298" s="8"/>
      <c r="AZ298" s="8"/>
      <c r="BA298" s="8"/>
      <c r="BB298" s="8"/>
      <c r="BC298" s="8"/>
      <c r="BD298" s="8"/>
      <c r="BE298" s="8"/>
      <c r="BF298" s="8"/>
      <c r="BG298" s="8"/>
      <c r="BH298" s="8"/>
      <c r="BI298" s="8"/>
      <c r="BJ298" s="8"/>
      <c r="BK298" s="8"/>
      <c r="BL298" s="8"/>
      <c r="BM298" s="8"/>
      <c r="BN298" s="8"/>
      <c r="BO298" s="8"/>
      <c r="BP298" s="8"/>
      <c r="BQ298" s="8"/>
      <c r="BR298" s="8"/>
      <c r="BS298" s="8"/>
      <c r="BT298" s="8"/>
      <c r="BU298" s="8"/>
      <c r="BV298" s="1293"/>
      <c r="BW298" s="1293"/>
      <c r="BX298" s="1293"/>
      <c r="BY298" s="1293"/>
      <c r="BZ298" s="8"/>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c r="CY298" s="8"/>
      <c r="CZ298" s="8"/>
      <c r="DA298" s="8"/>
      <c r="DB298" s="8"/>
      <c r="DC298" s="8"/>
      <c r="DD298" s="8"/>
      <c r="DE298" s="8"/>
      <c r="DF298" s="8"/>
      <c r="DG298" s="8"/>
      <c r="DH298" s="8"/>
      <c r="DI298" s="8"/>
      <c r="DJ298" s="8"/>
      <c r="DK298" s="8"/>
      <c r="DL298" s="8"/>
      <c r="DM298" s="8"/>
      <c r="DN298" s="8"/>
      <c r="DO298" s="8"/>
      <c r="DP298" s="8"/>
      <c r="DQ298" s="8"/>
      <c r="DR298" s="8"/>
      <c r="DS298" s="8"/>
      <c r="DT298" s="8"/>
      <c r="DU298" s="8"/>
      <c r="DV298" s="8"/>
      <c r="DW298" s="8"/>
      <c r="DX298" s="9"/>
      <c r="DY298" s="8"/>
      <c r="DZ298" s="8"/>
      <c r="EA298" s="8"/>
      <c r="EB298" s="8"/>
      <c r="EC298" s="9"/>
      <c r="ED298" s="295"/>
      <c r="EE298" s="245"/>
      <c r="EF298" s="22"/>
      <c r="EG298" s="22"/>
      <c r="EH298" s="22"/>
      <c r="EI298" s="22"/>
      <c r="EJ298" s="22"/>
      <c r="EK298" s="22"/>
      <c r="EL298" s="22"/>
      <c r="EM298" s="22"/>
      <c r="EN298" s="22"/>
      <c r="EO298" s="22"/>
      <c r="EP298" s="22"/>
      <c r="EQ298" s="22"/>
      <c r="ER298" s="22"/>
      <c r="ES298" s="295"/>
      <c r="ET298" s="295"/>
      <c r="EU298" s="295"/>
      <c r="EX298" s="747" t="s">
        <v>77</v>
      </c>
      <c r="EY298" s="980"/>
      <c r="EZ298" s="974"/>
      <c r="FA298" s="974"/>
      <c r="FB298" s="974"/>
      <c r="FC298" s="981"/>
      <c r="FD298" s="295"/>
    </row>
    <row r="299" spans="1:16357" x14ac:dyDescent="0.2">
      <c r="A299" s="23"/>
      <c r="B299" s="16"/>
      <c r="C299" s="16"/>
      <c r="D299" s="16"/>
      <c r="E299" s="16"/>
      <c r="F299" s="16"/>
      <c r="G299" s="16"/>
      <c r="H299" s="16"/>
      <c r="I299" s="16"/>
      <c r="J299" s="16"/>
      <c r="K299" s="16"/>
      <c r="L299" s="16"/>
      <c r="M299" s="16"/>
      <c r="N299" s="16"/>
      <c r="O299" s="16"/>
      <c r="P299" s="16"/>
      <c r="Q299" s="16"/>
      <c r="R299" s="16"/>
      <c r="S299" s="16"/>
      <c r="T299" s="16"/>
      <c r="U299" s="16"/>
      <c r="V299" s="16"/>
      <c r="W299" s="16"/>
      <c r="X299" s="16"/>
      <c r="Y299" s="16"/>
      <c r="Z299" s="16"/>
      <c r="AA299" s="16"/>
      <c r="AB299" s="16"/>
      <c r="AC299" s="16"/>
      <c r="AD299" s="16"/>
      <c r="AE299" s="16"/>
      <c r="AF299" s="16"/>
      <c r="AG299" s="16"/>
      <c r="AH299" s="16"/>
      <c r="AI299" s="16"/>
      <c r="AJ299" s="16"/>
      <c r="AK299" s="16"/>
      <c r="AL299" s="16"/>
      <c r="AM299" s="16"/>
      <c r="AN299" s="16"/>
      <c r="AO299" s="16"/>
      <c r="AP299" s="16"/>
      <c r="AQ299" s="16"/>
      <c r="AR299" s="16"/>
      <c r="AS299" s="16"/>
      <c r="AT299" s="16"/>
      <c r="AU299" s="16"/>
      <c r="AV299" s="45"/>
      <c r="AW299" s="16"/>
      <c r="AX299" s="16"/>
      <c r="AY299" s="21"/>
      <c r="AZ299" s="21"/>
      <c r="BA299" s="16"/>
      <c r="BB299" s="16"/>
      <c r="BC299" s="21"/>
      <c r="BD299" s="16"/>
      <c r="BE299" s="16"/>
      <c r="BF299" s="16"/>
      <c r="BG299" s="16"/>
      <c r="BH299" s="16"/>
      <c r="BI299" s="16"/>
      <c r="BJ299" s="16"/>
      <c r="BK299" s="16"/>
      <c r="BL299" s="16"/>
      <c r="BM299" s="16"/>
      <c r="BN299" s="16"/>
      <c r="BO299" s="16"/>
      <c r="BP299" s="16"/>
      <c r="BQ299" s="16"/>
      <c r="BR299" s="16"/>
      <c r="BS299" s="16"/>
      <c r="BT299" s="16"/>
      <c r="BU299" s="16"/>
      <c r="BV299" s="1310"/>
      <c r="BW299" s="1310"/>
      <c r="BX299" s="1310"/>
      <c r="BY299" s="1310"/>
      <c r="BZ299" s="16"/>
      <c r="CA299" s="16"/>
      <c r="CB299" s="16"/>
      <c r="CC299" s="16"/>
      <c r="CD299" s="16"/>
      <c r="CE299" s="16"/>
      <c r="CF299" s="16"/>
      <c r="CG299" s="16"/>
      <c r="CH299" s="16"/>
      <c r="CI299" s="16"/>
      <c r="CJ299" s="16"/>
      <c r="CK299" s="16"/>
      <c r="CL299" s="16"/>
      <c r="CM299" s="16"/>
      <c r="CN299" s="16"/>
      <c r="CO299" s="16"/>
      <c r="CP299" s="16"/>
      <c r="CQ299" s="16"/>
      <c r="CR299" s="16"/>
      <c r="CS299" s="16"/>
      <c r="CT299" s="16"/>
      <c r="CU299" s="16"/>
      <c r="CV299" s="16"/>
      <c r="CW299" s="16"/>
      <c r="CX299" s="16"/>
      <c r="CY299" s="16"/>
      <c r="CZ299" s="16"/>
      <c r="DA299" s="16"/>
      <c r="DB299" s="16"/>
      <c r="DC299" s="16"/>
      <c r="DD299" s="16"/>
      <c r="DE299" s="16"/>
      <c r="DF299" s="16"/>
      <c r="DG299" s="16"/>
      <c r="DH299" s="16"/>
      <c r="DI299" s="16"/>
      <c r="DJ299" s="16"/>
      <c r="DK299" s="16"/>
      <c r="DL299" s="16"/>
      <c r="DM299" s="16"/>
      <c r="DN299" s="16"/>
      <c r="DO299" s="16"/>
      <c r="DP299" s="16"/>
      <c r="DQ299" s="16"/>
      <c r="DR299" s="16"/>
      <c r="DS299" s="16"/>
      <c r="DT299" s="16"/>
      <c r="DU299" s="16"/>
      <c r="DV299" s="16"/>
      <c r="DW299" s="16"/>
      <c r="DX299" s="16"/>
      <c r="DY299" s="16"/>
      <c r="DZ299" s="16"/>
      <c r="EA299" s="16"/>
      <c r="EB299" s="16"/>
      <c r="EC299" s="16"/>
      <c r="ED299" s="16"/>
      <c r="EE299" s="16"/>
      <c r="EF299" s="16"/>
      <c r="EG299" s="16"/>
      <c r="EH299" s="16"/>
      <c r="EI299" s="16"/>
      <c r="EJ299" s="16"/>
      <c r="EK299" s="16"/>
      <c r="EL299" s="16"/>
      <c r="EM299" s="16"/>
      <c r="EN299" s="16"/>
      <c r="EO299" s="16"/>
      <c r="EP299" s="16"/>
      <c r="EQ299" s="16"/>
      <c r="ER299" s="16"/>
      <c r="ES299" s="16"/>
      <c r="ET299" s="16"/>
      <c r="EU299" s="16"/>
      <c r="EX299" s="16"/>
      <c r="EY299" s="228"/>
      <c r="EZ299" s="945"/>
      <c r="FA299" s="477"/>
      <c r="FB299" s="228"/>
      <c r="FC299" s="477"/>
      <c r="FD299" s="16"/>
    </row>
    <row r="300" spans="1:16357" x14ac:dyDescent="0.2">
      <c r="A300" s="821" t="s">
        <v>120</v>
      </c>
      <c r="B300" s="875"/>
      <c r="C300" s="807"/>
      <c r="D300" s="807"/>
      <c r="E300" s="807"/>
      <c r="F300" s="807"/>
      <c r="G300" s="875"/>
      <c r="H300" s="807"/>
      <c r="I300" s="807"/>
      <c r="J300" s="807"/>
      <c r="K300" s="807"/>
      <c r="L300" s="875"/>
      <c r="M300" s="807"/>
      <c r="N300" s="807"/>
      <c r="O300" s="807"/>
      <c r="P300" s="807"/>
      <c r="Q300" s="875"/>
      <c r="R300" s="807"/>
      <c r="S300" s="807"/>
      <c r="T300" s="807"/>
      <c r="U300" s="807"/>
      <c r="V300" s="875"/>
      <c r="W300" s="807"/>
      <c r="X300" s="807"/>
      <c r="Y300" s="807"/>
      <c r="Z300" s="807"/>
      <c r="AA300" s="875"/>
      <c r="AB300" s="807"/>
      <c r="AC300" s="807"/>
      <c r="AD300" s="807"/>
      <c r="AE300" s="807"/>
      <c r="AF300" s="875"/>
      <c r="AG300" s="807"/>
      <c r="AH300" s="807"/>
      <c r="AI300" s="807"/>
      <c r="AJ300" s="807"/>
      <c r="AK300" s="875"/>
      <c r="AL300" s="807"/>
      <c r="AM300" s="807"/>
      <c r="AN300" s="807"/>
      <c r="AO300" s="807"/>
      <c r="AP300" s="875"/>
      <c r="AQ300" s="807"/>
      <c r="AR300" s="807"/>
      <c r="AS300" s="807"/>
      <c r="AT300" s="807"/>
      <c r="AU300" s="817"/>
      <c r="AV300" s="45"/>
      <c r="AW300" s="807"/>
      <c r="AX300" s="807"/>
      <c r="AY300" s="807"/>
      <c r="AZ300" s="807"/>
      <c r="BA300" s="361"/>
      <c r="BB300" s="807"/>
      <c r="BC300" s="807"/>
      <c r="BD300" s="807"/>
      <c r="BE300" s="807"/>
      <c r="BF300" s="361"/>
      <c r="BG300" s="360"/>
      <c r="BH300" s="360"/>
      <c r="BI300" s="360"/>
      <c r="BJ300" s="360"/>
      <c r="BK300" s="361"/>
      <c r="BL300" s="829"/>
      <c r="BM300" s="829"/>
      <c r="BN300" s="829"/>
      <c r="BO300" s="829"/>
      <c r="BP300" s="830"/>
      <c r="BQ300" s="829"/>
      <c r="BR300" s="829"/>
      <c r="BS300" s="829"/>
      <c r="BT300" s="829"/>
      <c r="BU300" s="830"/>
      <c r="BV300" s="1311"/>
      <c r="BW300" s="1311"/>
      <c r="BX300" s="1311"/>
      <c r="BY300" s="1311"/>
      <c r="BZ300" s="830"/>
      <c r="CA300" s="829"/>
      <c r="CB300" s="829"/>
      <c r="CC300" s="829"/>
      <c r="CD300" s="829"/>
      <c r="CE300" s="830"/>
      <c r="CF300" s="829"/>
      <c r="CG300" s="829"/>
      <c r="CH300" s="829"/>
      <c r="CI300" s="829"/>
      <c r="CJ300" s="830"/>
      <c r="CK300" s="829"/>
      <c r="CL300" s="829"/>
      <c r="CM300" s="829"/>
      <c r="CN300" s="829"/>
      <c r="CO300" s="830"/>
      <c r="CP300" s="829"/>
      <c r="CQ300" s="829"/>
      <c r="CR300" s="829"/>
      <c r="CS300" s="829"/>
      <c r="CT300" s="830"/>
      <c r="CU300" s="829"/>
      <c r="CV300" s="829"/>
      <c r="CW300" s="829"/>
      <c r="CX300" s="829"/>
      <c r="CY300" s="830"/>
      <c r="CZ300" s="829"/>
      <c r="DA300" s="829"/>
      <c r="DB300" s="829"/>
      <c r="DC300" s="829"/>
      <c r="DD300" s="830"/>
      <c r="DE300" s="829"/>
      <c r="DF300" s="829"/>
      <c r="DG300" s="829"/>
      <c r="DH300" s="829"/>
      <c r="DI300" s="830"/>
      <c r="DJ300" s="829"/>
      <c r="DK300" s="829"/>
      <c r="DL300" s="829"/>
      <c r="DM300" s="829"/>
      <c r="DN300" s="830"/>
      <c r="DO300" s="829"/>
      <c r="DP300" s="829"/>
      <c r="DQ300" s="829"/>
      <c r="DR300" s="829"/>
      <c r="DS300" s="830"/>
      <c r="DT300" s="829"/>
      <c r="DU300" s="829"/>
      <c r="DV300" s="829"/>
      <c r="DW300" s="829"/>
      <c r="DX300" s="830"/>
      <c r="DY300" s="829"/>
      <c r="DZ300" s="829"/>
      <c r="EA300" s="829"/>
      <c r="EB300" s="829"/>
      <c r="EC300" s="830"/>
      <c r="ED300" s="16"/>
      <c r="EE300" s="16"/>
      <c r="EF300" s="16"/>
      <c r="EG300" s="16"/>
      <c r="EH300" s="16"/>
      <c r="EI300" s="16"/>
      <c r="EJ300" s="16"/>
      <c r="EK300" s="16"/>
      <c r="EL300" s="16"/>
      <c r="EM300" s="16"/>
      <c r="EN300" s="16"/>
      <c r="EO300" s="16"/>
      <c r="EP300" s="16"/>
      <c r="EQ300" s="16"/>
      <c r="ER300" s="16"/>
      <c r="ES300" s="16"/>
      <c r="ET300" s="16"/>
      <c r="EU300" s="16"/>
      <c r="EX300" s="16"/>
      <c r="EY300" s="228"/>
      <c r="EZ300" s="945"/>
      <c r="FA300" s="477"/>
      <c r="FB300" s="228"/>
      <c r="FC300" s="477"/>
      <c r="FD300" s="16"/>
    </row>
    <row r="301" spans="1:16357" ht="9" customHeight="1" x14ac:dyDescent="0.2">
      <c r="A301" s="45"/>
      <c r="B301" s="45"/>
      <c r="C301" s="21"/>
      <c r="D301" s="21"/>
      <c r="E301" s="21"/>
      <c r="F301" s="21"/>
      <c r="G301" s="45"/>
      <c r="H301" s="21"/>
      <c r="I301" s="21"/>
      <c r="J301" s="21"/>
      <c r="K301" s="21"/>
      <c r="L301" s="45"/>
      <c r="M301" s="21"/>
      <c r="N301" s="21"/>
      <c r="O301" s="21"/>
      <c r="P301" s="21"/>
      <c r="Q301" s="45"/>
      <c r="R301" s="21"/>
      <c r="S301" s="21"/>
      <c r="T301" s="21"/>
      <c r="U301" s="21"/>
      <c r="V301" s="45"/>
      <c r="W301" s="21"/>
      <c r="X301" s="21"/>
      <c r="Y301" s="21"/>
      <c r="Z301" s="21"/>
      <c r="AA301" s="45"/>
      <c r="AB301" s="21"/>
      <c r="AC301" s="21"/>
      <c r="AD301" s="21"/>
      <c r="AE301" s="21"/>
      <c r="AF301" s="45"/>
      <c r="AG301" s="21"/>
      <c r="AH301" s="21"/>
      <c r="AI301" s="21"/>
      <c r="AJ301" s="21"/>
      <c r="AK301" s="45"/>
      <c r="AL301" s="21"/>
      <c r="AM301" s="21"/>
      <c r="AN301" s="21"/>
      <c r="AO301" s="21"/>
      <c r="AP301" s="45"/>
      <c r="AQ301" s="21"/>
      <c r="AR301" s="21"/>
      <c r="AS301" s="21"/>
      <c r="AT301" s="21"/>
      <c r="AU301" s="19"/>
      <c r="AV301" s="45"/>
      <c r="AW301" s="21"/>
      <c r="AX301" s="21"/>
      <c r="AY301" s="21"/>
      <c r="AZ301" s="21"/>
      <c r="BA301" s="85"/>
      <c r="BB301" s="21"/>
      <c r="BC301" s="21"/>
      <c r="BD301" s="21"/>
      <c r="BE301" s="21"/>
      <c r="BF301" s="85"/>
      <c r="BG301" s="38"/>
      <c r="BH301" s="38"/>
      <c r="BI301" s="38"/>
      <c r="BJ301" s="38"/>
      <c r="BK301" s="85"/>
      <c r="BL301" s="831"/>
      <c r="BM301" s="831"/>
      <c r="BN301" s="831"/>
      <c r="BO301" s="831"/>
      <c r="BP301" s="98"/>
      <c r="BQ301" s="24"/>
      <c r="BR301" s="24"/>
      <c r="BS301" s="24"/>
      <c r="BT301" s="24"/>
      <c r="BU301" s="98"/>
      <c r="BV301" s="1312"/>
      <c r="BW301" s="1312"/>
      <c r="BX301" s="1312"/>
      <c r="BY301" s="1312"/>
      <c r="BZ301" s="98"/>
      <c r="CA301" s="24"/>
      <c r="CB301" s="24"/>
      <c r="CC301" s="24"/>
      <c r="CD301" s="24"/>
      <c r="CE301" s="98"/>
      <c r="CF301" s="24"/>
      <c r="CG301" s="24"/>
      <c r="CH301" s="24"/>
      <c r="CI301" s="24"/>
      <c r="CJ301" s="98"/>
      <c r="CK301" s="24"/>
      <c r="CL301" s="24"/>
      <c r="CM301" s="24"/>
      <c r="CN301" s="24"/>
      <c r="CO301" s="98"/>
      <c r="CP301" s="24"/>
      <c r="CQ301" s="24"/>
      <c r="CR301" s="24"/>
      <c r="CS301" s="24"/>
      <c r="CT301" s="98"/>
      <c r="CU301" s="24"/>
      <c r="CV301" s="24"/>
      <c r="CW301" s="24"/>
      <c r="CX301" s="24"/>
      <c r="CY301" s="98"/>
      <c r="CZ301" s="24"/>
      <c r="DA301" s="24"/>
      <c r="DB301" s="24"/>
      <c r="DC301" s="24"/>
      <c r="DD301" s="98"/>
      <c r="DE301" s="24"/>
      <c r="DF301" s="24"/>
      <c r="DG301" s="24"/>
      <c r="DH301" s="24"/>
      <c r="DI301" s="98"/>
      <c r="DJ301" s="24"/>
      <c r="DK301" s="24"/>
      <c r="DL301" s="24"/>
      <c r="DM301" s="24"/>
      <c r="DN301" s="98"/>
      <c r="DO301" s="24"/>
      <c r="DP301" s="24"/>
      <c r="DQ301" s="24"/>
      <c r="DR301" s="24"/>
      <c r="DS301" s="98"/>
      <c r="DT301" s="24"/>
      <c r="DU301" s="24"/>
      <c r="DV301" s="24"/>
      <c r="DW301" s="24"/>
      <c r="DX301" s="98"/>
      <c r="DY301" s="24"/>
      <c r="DZ301" s="24"/>
      <c r="EA301" s="24"/>
      <c r="EB301" s="24"/>
      <c r="EC301" s="98"/>
      <c r="ED301" s="16"/>
      <c r="EE301" s="21"/>
      <c r="EF301" s="284"/>
      <c r="EG301" s="16"/>
      <c r="EH301" s="16"/>
      <c r="EI301" s="16"/>
      <c r="EJ301" s="16"/>
      <c r="EK301" s="16"/>
      <c r="EL301" s="16"/>
      <c r="EM301" s="16"/>
      <c r="EN301" s="16"/>
      <c r="EO301" s="16"/>
      <c r="EP301" s="16"/>
      <c r="EQ301" s="16"/>
      <c r="ER301" s="16"/>
      <c r="ES301" s="16"/>
      <c r="ET301" s="16"/>
      <c r="EU301" s="16"/>
      <c r="EX301" s="16"/>
      <c r="EY301" s="228"/>
      <c r="EZ301" s="477"/>
      <c r="FA301" s="477"/>
      <c r="FB301" s="228"/>
      <c r="FC301" s="477"/>
      <c r="FD301" s="16"/>
    </row>
    <row r="302" spans="1:16357" x14ac:dyDescent="0.2">
      <c r="A302" s="45" t="s">
        <v>121</v>
      </c>
      <c r="B302" s="45"/>
      <c r="C302" s="21"/>
      <c r="D302" s="21"/>
      <c r="E302" s="21"/>
      <c r="F302" s="21"/>
      <c r="G302" s="45"/>
      <c r="H302" s="21"/>
      <c r="I302" s="21"/>
      <c r="J302" s="21"/>
      <c r="K302" s="21"/>
      <c r="L302" s="45"/>
      <c r="M302" s="21"/>
      <c r="N302" s="21"/>
      <c r="O302" s="21"/>
      <c r="P302" s="21"/>
      <c r="Q302" s="45"/>
      <c r="R302" s="21"/>
      <c r="S302" s="21"/>
      <c r="T302" s="21"/>
      <c r="U302" s="21"/>
      <c r="V302" s="45"/>
      <c r="W302" s="21"/>
      <c r="X302" s="21"/>
      <c r="Y302" s="21"/>
      <c r="Z302" s="21"/>
      <c r="AA302" s="45"/>
      <c r="AB302" s="21"/>
      <c r="AC302" s="21"/>
      <c r="AD302" s="21"/>
      <c r="AE302" s="21"/>
      <c r="AF302" s="45"/>
      <c r="AG302" s="21"/>
      <c r="AH302" s="21"/>
      <c r="AI302" s="21"/>
      <c r="AJ302" s="21"/>
      <c r="AK302" s="45"/>
      <c r="AL302" s="21"/>
      <c r="AM302" s="21"/>
      <c r="AN302" s="21"/>
      <c r="AO302" s="21"/>
      <c r="AP302" s="45"/>
      <c r="AQ302" s="21"/>
      <c r="AR302" s="21"/>
      <c r="AS302" s="21"/>
      <c r="AT302" s="21"/>
      <c r="AU302" s="19"/>
      <c r="AV302" s="45"/>
      <c r="AW302" s="38"/>
      <c r="AX302" s="38"/>
      <c r="AY302" s="38"/>
      <c r="AZ302" s="38"/>
      <c r="BA302" s="40"/>
      <c r="BB302" s="38">
        <v>0.8</v>
      </c>
      <c r="BC302" s="38">
        <v>1.9</v>
      </c>
      <c r="BD302" s="38">
        <v>-2.7</v>
      </c>
      <c r="BE302" s="38">
        <v>6.2</v>
      </c>
      <c r="BF302" s="40">
        <v>6.2</v>
      </c>
      <c r="BG302" s="38">
        <v>9.8000000000000007</v>
      </c>
      <c r="BH302" s="38">
        <v>-8.6999999999999993</v>
      </c>
      <c r="BI302" s="38">
        <v>14.1</v>
      </c>
      <c r="BJ302" s="38">
        <v>15.6</v>
      </c>
      <c r="BK302" s="40">
        <v>30.8</v>
      </c>
      <c r="BL302" s="38">
        <v>4.5999999999999996</v>
      </c>
      <c r="BM302" s="38">
        <v>-4.3</v>
      </c>
      <c r="BN302" s="38">
        <v>0.3</v>
      </c>
      <c r="BO302" s="38">
        <v>0.1</v>
      </c>
      <c r="BP302" s="40">
        <v>0.7</v>
      </c>
      <c r="BQ302" s="38">
        <v>2.8</v>
      </c>
      <c r="BR302" s="38">
        <v>5.0999999999999996</v>
      </c>
      <c r="BS302" s="38">
        <v>8.4</v>
      </c>
      <c r="BT302" s="41">
        <v>9.1</v>
      </c>
      <c r="BU302" s="40">
        <f>SUM(BQ302:BT302)</f>
        <v>25.4</v>
      </c>
      <c r="BV302" s="1070">
        <v>2.8</v>
      </c>
      <c r="BW302" s="1070">
        <v>5.0999999999999996</v>
      </c>
      <c r="BX302" s="1070">
        <v>8.4</v>
      </c>
      <c r="BY302" s="1070">
        <v>9.1</v>
      </c>
      <c r="BZ302" s="40">
        <f>SUM(BV302:BY302)</f>
        <v>25.4</v>
      </c>
      <c r="CA302" s="38">
        <v>0.5</v>
      </c>
      <c r="CB302" s="1348">
        <v>-5.0999999999999996</v>
      </c>
      <c r="CC302" s="38">
        <v>0.5</v>
      </c>
      <c r="CD302" s="38">
        <v>28.6</v>
      </c>
      <c r="CE302" s="40">
        <f>SUM(CA302:CD302)</f>
        <v>24.5</v>
      </c>
      <c r="CF302" s="38">
        <v>15.3</v>
      </c>
      <c r="CG302" s="38">
        <v>1</v>
      </c>
      <c r="CH302" s="38">
        <v>3.3</v>
      </c>
      <c r="CI302" s="38">
        <v>-1.9</v>
      </c>
      <c r="CJ302" s="40">
        <f>SUM(CF302:CI302)</f>
        <v>17.700000000000003</v>
      </c>
      <c r="CK302" s="38">
        <v>2.9</v>
      </c>
      <c r="CL302" s="38">
        <v>8.6</v>
      </c>
      <c r="CM302" s="38">
        <v>3.4</v>
      </c>
      <c r="CN302" s="38">
        <v>13.7</v>
      </c>
      <c r="CO302" s="40">
        <f>SUM(CK302:CN302)</f>
        <v>28.6</v>
      </c>
      <c r="CP302" s="38">
        <v>1.7</v>
      </c>
      <c r="CQ302" s="41">
        <f t="shared" ref="CQ302:CR302" si="1614">CL302*1.1</f>
        <v>9.4600000000000009</v>
      </c>
      <c r="CR302" s="41">
        <f t="shared" si="1614"/>
        <v>3.74</v>
      </c>
      <c r="CS302" s="41">
        <v>5</v>
      </c>
      <c r="CT302" s="40">
        <f>SUM(CP302:CS302)</f>
        <v>19.899999999999999</v>
      </c>
      <c r="CU302" s="41">
        <f t="shared" ref="CU302:CU303" si="1615">CP302*1.05</f>
        <v>1.7849999999999999</v>
      </c>
      <c r="CV302" s="41">
        <f t="shared" ref="CV302:CV303" si="1616">CQ302*1.05</f>
        <v>9.9330000000000016</v>
      </c>
      <c r="CW302" s="41">
        <f t="shared" ref="CW302:CW303" si="1617">CR302*1.05</f>
        <v>3.9270000000000005</v>
      </c>
      <c r="CX302" s="41">
        <f t="shared" ref="CX302:CX303" si="1618">CS302*1.05</f>
        <v>5.25</v>
      </c>
      <c r="CY302" s="40">
        <f>SUM(CU302:CX302)</f>
        <v>20.895000000000003</v>
      </c>
      <c r="CZ302" s="41">
        <f t="shared" ref="CZ302:CZ303" si="1619">CU302*1.05</f>
        <v>1.87425</v>
      </c>
      <c r="DA302" s="41">
        <f t="shared" ref="DA302:DA303" si="1620">CV302*1.05</f>
        <v>10.429650000000002</v>
      </c>
      <c r="DB302" s="41">
        <f t="shared" ref="DB302:DB303" si="1621">CW302*1.05</f>
        <v>4.1233500000000003</v>
      </c>
      <c r="DC302" s="41">
        <f t="shared" ref="DC302:DC303" si="1622">CX302*1.05</f>
        <v>5.5125000000000002</v>
      </c>
      <c r="DD302" s="40">
        <f>SUM(CZ302:DC302)</f>
        <v>21.93975</v>
      </c>
      <c r="DE302" s="41">
        <f t="shared" ref="DE302:DH303" si="1623">CZ302*1.05</f>
        <v>1.9679625000000001</v>
      </c>
      <c r="DF302" s="41">
        <f t="shared" si="1623"/>
        <v>10.951132500000003</v>
      </c>
      <c r="DG302" s="41">
        <f t="shared" si="1623"/>
        <v>4.3295175000000006</v>
      </c>
      <c r="DH302" s="41">
        <f t="shared" si="1623"/>
        <v>5.7881250000000009</v>
      </c>
      <c r="DI302" s="40">
        <f>SUM(DE302:DH302)</f>
        <v>23.036737500000005</v>
      </c>
      <c r="DJ302" s="41">
        <f t="shared" ref="DJ302:DM303" si="1624">DE302*1.05</f>
        <v>2.0663606250000002</v>
      </c>
      <c r="DK302" s="41">
        <f t="shared" si="1624"/>
        <v>11.498689125000004</v>
      </c>
      <c r="DL302" s="41">
        <f t="shared" si="1624"/>
        <v>4.545993375000001</v>
      </c>
      <c r="DM302" s="41">
        <f t="shared" si="1624"/>
        <v>6.0775312500000007</v>
      </c>
      <c r="DN302" s="40">
        <f>SUM(DJ302:DM302)</f>
        <v>24.188574375000005</v>
      </c>
      <c r="DO302" s="41">
        <f t="shared" ref="DO302:DR303" si="1625">DJ302*1.05</f>
        <v>2.1696786562500003</v>
      </c>
      <c r="DP302" s="41">
        <f t="shared" si="1625"/>
        <v>12.073623581250004</v>
      </c>
      <c r="DQ302" s="41">
        <f t="shared" si="1625"/>
        <v>4.7732930437500016</v>
      </c>
      <c r="DR302" s="41">
        <f t="shared" si="1625"/>
        <v>6.3814078125000009</v>
      </c>
      <c r="DS302" s="40">
        <f>SUM(DO302:DR302)</f>
        <v>25.398003093750006</v>
      </c>
      <c r="DT302" s="41">
        <f t="shared" ref="DT302:DW303" si="1626">DO302*1.05</f>
        <v>2.2781625890625006</v>
      </c>
      <c r="DU302" s="41">
        <f t="shared" si="1626"/>
        <v>12.677304760312506</v>
      </c>
      <c r="DV302" s="41">
        <f t="shared" si="1626"/>
        <v>5.0119576959375021</v>
      </c>
      <c r="DW302" s="41">
        <f t="shared" si="1626"/>
        <v>6.7004782031250016</v>
      </c>
      <c r="DX302" s="40">
        <f>SUM(DT302:DW302)</f>
        <v>26.667903248437511</v>
      </c>
      <c r="DY302" s="41">
        <f t="shared" ref="DY302:DY303" si="1627">DT302*1.05</f>
        <v>2.3920707185156256</v>
      </c>
      <c r="DZ302" s="41">
        <f t="shared" ref="DZ302:DZ303" si="1628">DU302*1.05</f>
        <v>13.311169998328131</v>
      </c>
      <c r="EA302" s="41">
        <f t="shared" ref="EA302:EA303" si="1629">DV302*1.05</f>
        <v>5.2625555807343778</v>
      </c>
      <c r="EB302" s="41">
        <f t="shared" ref="EB302:EB303" si="1630">DW302*1.05</f>
        <v>7.0355021132812521</v>
      </c>
      <c r="EC302" s="40">
        <f>SUM(DY302:EB302)</f>
        <v>28.001298410859384</v>
      </c>
      <c r="ED302" s="16"/>
      <c r="EE302" s="21"/>
      <c r="EF302" s="284"/>
      <c r="EG302" s="16"/>
      <c r="EH302" s="16"/>
      <c r="EI302" s="16"/>
      <c r="EJ302" s="16"/>
      <c r="EK302" s="16"/>
      <c r="EL302" s="16"/>
      <c r="EM302" s="16"/>
      <c r="EN302" s="16"/>
      <c r="EO302" s="16"/>
      <c r="EP302" s="16"/>
      <c r="EQ302" s="16"/>
      <c r="ER302" s="16"/>
      <c r="ES302" s="16"/>
      <c r="ET302" s="16"/>
      <c r="EU302" s="16"/>
      <c r="EX302" s="16"/>
      <c r="EY302" s="228"/>
      <c r="EZ302" s="477"/>
      <c r="FA302" s="477"/>
      <c r="FB302" s="228"/>
      <c r="FC302" s="477"/>
      <c r="FD302" s="16"/>
    </row>
    <row r="303" spans="1:16357" x14ac:dyDescent="0.2">
      <c r="A303" s="45" t="s">
        <v>122</v>
      </c>
      <c r="B303" s="45"/>
      <c r="C303" s="21"/>
      <c r="D303" s="21"/>
      <c r="E303" s="21"/>
      <c r="F303" s="21"/>
      <c r="G303" s="45"/>
      <c r="H303" s="21"/>
      <c r="I303" s="21"/>
      <c r="J303" s="21"/>
      <c r="K303" s="21"/>
      <c r="L303" s="45"/>
      <c r="M303" s="21"/>
      <c r="N303" s="21"/>
      <c r="O303" s="21"/>
      <c r="P303" s="21"/>
      <c r="Q303" s="45"/>
      <c r="R303" s="21"/>
      <c r="S303" s="21"/>
      <c r="T303" s="21"/>
      <c r="U303" s="21"/>
      <c r="V303" s="45"/>
      <c r="W303" s="21"/>
      <c r="X303" s="21"/>
      <c r="Y303" s="21"/>
      <c r="Z303" s="21"/>
      <c r="AA303" s="45"/>
      <c r="AB303" s="21"/>
      <c r="AC303" s="21"/>
      <c r="AD303" s="21"/>
      <c r="AE303" s="21"/>
      <c r="AF303" s="45"/>
      <c r="AG303" s="21"/>
      <c r="AH303" s="21"/>
      <c r="AI303" s="21"/>
      <c r="AJ303" s="21"/>
      <c r="AK303" s="45"/>
      <c r="AL303" s="21"/>
      <c r="AM303" s="21"/>
      <c r="AN303" s="21"/>
      <c r="AO303" s="21"/>
      <c r="AP303" s="45"/>
      <c r="AQ303" s="21"/>
      <c r="AR303" s="21"/>
      <c r="AS303" s="21"/>
      <c r="AT303" s="21"/>
      <c r="AU303" s="19"/>
      <c r="AV303" s="45"/>
      <c r="AW303" s="38"/>
      <c r="AX303" s="38"/>
      <c r="AY303" s="38"/>
      <c r="AZ303" s="38"/>
      <c r="BA303" s="40"/>
      <c r="BB303" s="38">
        <v>0.4</v>
      </c>
      <c r="BC303" s="38">
        <v>0.2</v>
      </c>
      <c r="BD303" s="38">
        <v>0.1</v>
      </c>
      <c r="BE303" s="38">
        <v>0.6</v>
      </c>
      <c r="BF303" s="40">
        <v>1.3</v>
      </c>
      <c r="BG303" s="38">
        <v>0.4</v>
      </c>
      <c r="BH303" s="38">
        <v>0.1</v>
      </c>
      <c r="BI303" s="38">
        <v>0.8</v>
      </c>
      <c r="BJ303" s="38">
        <v>0.4</v>
      </c>
      <c r="BK303" s="40">
        <v>1.7</v>
      </c>
      <c r="BL303" s="38">
        <v>0.1</v>
      </c>
      <c r="BM303" s="38">
        <v>0.4</v>
      </c>
      <c r="BN303" s="38">
        <v>0.1</v>
      </c>
      <c r="BO303" s="38">
        <v>7</v>
      </c>
      <c r="BP303" s="40">
        <v>7.6</v>
      </c>
      <c r="BQ303" s="38">
        <v>0.1</v>
      </c>
      <c r="BR303" s="38">
        <v>2.1</v>
      </c>
      <c r="BS303" s="38">
        <v>1.6</v>
      </c>
      <c r="BT303" s="41">
        <v>0.2</v>
      </c>
      <c r="BU303" s="40">
        <f>SUM(BQ303:BT303)</f>
        <v>4</v>
      </c>
      <c r="BV303" s="1070">
        <v>0.1</v>
      </c>
      <c r="BW303" s="1070">
        <v>2.1</v>
      </c>
      <c r="BX303" s="1070">
        <v>1.6</v>
      </c>
      <c r="BY303" s="1070">
        <v>0.2</v>
      </c>
      <c r="BZ303" s="40">
        <f>SUM(BV303:BY303)</f>
        <v>4</v>
      </c>
      <c r="CA303" s="38">
        <v>1.6</v>
      </c>
      <c r="CB303" s="1348">
        <v>0.5</v>
      </c>
      <c r="CC303" s="38">
        <v>0.1</v>
      </c>
      <c r="CD303" s="38">
        <v>-0.5</v>
      </c>
      <c r="CE303" s="40">
        <f>SUM(CA303:CD303)</f>
        <v>1.7000000000000002</v>
      </c>
      <c r="CF303" s="38">
        <v>0.7</v>
      </c>
      <c r="CG303" s="38">
        <v>0.9</v>
      </c>
      <c r="CH303" s="38">
        <v>0.4</v>
      </c>
      <c r="CI303" s="38">
        <v>0.4</v>
      </c>
      <c r="CJ303" s="40">
        <f>SUM(CF303:CI303)</f>
        <v>2.4</v>
      </c>
      <c r="CK303" s="38">
        <v>0</v>
      </c>
      <c r="CL303" s="38">
        <v>1.1000000000000001</v>
      </c>
      <c r="CM303" s="38">
        <v>0.6</v>
      </c>
      <c r="CN303" s="38">
        <v>0.4</v>
      </c>
      <c r="CO303" s="40">
        <f>SUM(CK303:CN303)</f>
        <v>2.1</v>
      </c>
      <c r="CP303" s="38">
        <v>-6.1</v>
      </c>
      <c r="CQ303" s="41">
        <f t="shared" ref="CQ303" si="1631">CL303*1.05</f>
        <v>1.1550000000000002</v>
      </c>
      <c r="CR303" s="41">
        <f t="shared" ref="CR303" si="1632">CM303*1.05</f>
        <v>0.63</v>
      </c>
      <c r="CS303" s="41">
        <f t="shared" ref="CS303" si="1633">CN303*1.05</f>
        <v>0.42000000000000004</v>
      </c>
      <c r="CT303" s="40">
        <f>SUM(CP303:CS303)</f>
        <v>-3.8949999999999996</v>
      </c>
      <c r="CU303" s="41">
        <f t="shared" si="1615"/>
        <v>-6.4050000000000002</v>
      </c>
      <c r="CV303" s="41">
        <f t="shared" si="1616"/>
        <v>1.2127500000000002</v>
      </c>
      <c r="CW303" s="41">
        <f t="shared" si="1617"/>
        <v>0.66150000000000009</v>
      </c>
      <c r="CX303" s="41">
        <f t="shared" si="1618"/>
        <v>0.44100000000000006</v>
      </c>
      <c r="CY303" s="40">
        <f>SUM(CU303:CX303)</f>
        <v>-4.0897499999999996</v>
      </c>
      <c r="CZ303" s="41">
        <f t="shared" si="1619"/>
        <v>-6.7252500000000008</v>
      </c>
      <c r="DA303" s="41">
        <f t="shared" si="1620"/>
        <v>1.2733875000000003</v>
      </c>
      <c r="DB303" s="41">
        <f t="shared" si="1621"/>
        <v>0.69457500000000016</v>
      </c>
      <c r="DC303" s="41">
        <f t="shared" si="1622"/>
        <v>0.46305000000000007</v>
      </c>
      <c r="DD303" s="40">
        <f>SUM(CZ303:DC303)</f>
        <v>-4.2942375000000004</v>
      </c>
      <c r="DE303" s="41">
        <f t="shared" si="1623"/>
        <v>-7.061512500000001</v>
      </c>
      <c r="DF303" s="41">
        <f t="shared" si="1623"/>
        <v>1.3370568750000005</v>
      </c>
      <c r="DG303" s="41">
        <f t="shared" si="1623"/>
        <v>0.72930375000000025</v>
      </c>
      <c r="DH303" s="41">
        <f t="shared" si="1623"/>
        <v>0.48620250000000009</v>
      </c>
      <c r="DI303" s="40">
        <f>SUM(DE303:DH303)</f>
        <v>-4.5089493750000003</v>
      </c>
      <c r="DJ303" s="41">
        <f t="shared" si="1624"/>
        <v>-7.4145881250000016</v>
      </c>
      <c r="DK303" s="41">
        <f t="shared" si="1624"/>
        <v>1.4039097187500005</v>
      </c>
      <c r="DL303" s="41">
        <f t="shared" si="1624"/>
        <v>0.7657689375000003</v>
      </c>
      <c r="DM303" s="41">
        <f t="shared" si="1624"/>
        <v>0.51051262500000016</v>
      </c>
      <c r="DN303" s="40">
        <f>SUM(DJ303:DM303)</f>
        <v>-4.7343968437499999</v>
      </c>
      <c r="DO303" s="41">
        <f t="shared" si="1625"/>
        <v>-7.7853175312500023</v>
      </c>
      <c r="DP303" s="41">
        <f t="shared" si="1625"/>
        <v>1.4741052046875005</v>
      </c>
      <c r="DQ303" s="41">
        <f t="shared" si="1625"/>
        <v>0.80405738437500041</v>
      </c>
      <c r="DR303" s="41">
        <f t="shared" si="1625"/>
        <v>0.53603825625000023</v>
      </c>
      <c r="DS303" s="40">
        <f>SUM(DO303:DR303)</f>
        <v>-4.9711166859375009</v>
      </c>
      <c r="DT303" s="41">
        <f t="shared" si="1626"/>
        <v>-8.1745834078125021</v>
      </c>
      <c r="DU303" s="41">
        <f t="shared" si="1626"/>
        <v>1.5478104649218756</v>
      </c>
      <c r="DV303" s="41">
        <f t="shared" si="1626"/>
        <v>0.84426025359375045</v>
      </c>
      <c r="DW303" s="41">
        <f t="shared" si="1626"/>
        <v>0.56284016906250023</v>
      </c>
      <c r="DX303" s="40">
        <f>SUM(DT303:DW303)</f>
        <v>-5.2196725202343757</v>
      </c>
      <c r="DY303" s="41">
        <f t="shared" si="1627"/>
        <v>-8.5833125782031274</v>
      </c>
      <c r="DZ303" s="41">
        <f t="shared" si="1628"/>
        <v>1.6252009881679694</v>
      </c>
      <c r="EA303" s="41">
        <f t="shared" si="1629"/>
        <v>0.88647326627343803</v>
      </c>
      <c r="EB303" s="41">
        <f t="shared" si="1630"/>
        <v>0.59098217751562532</v>
      </c>
      <c r="EC303" s="40">
        <f>SUM(DY303:EB303)</f>
        <v>-5.4806561462460941</v>
      </c>
      <c r="ED303" s="16"/>
      <c r="EE303" s="21"/>
      <c r="EF303" s="284"/>
      <c r="EG303" s="16"/>
      <c r="EH303" s="16"/>
      <c r="EI303" s="16"/>
      <c r="EJ303" s="16"/>
      <c r="EK303" s="16"/>
      <c r="EL303" s="16"/>
      <c r="EM303" s="16"/>
      <c r="EN303" s="16"/>
      <c r="EO303" s="16"/>
      <c r="EP303" s="16"/>
      <c r="EQ303" s="16"/>
      <c r="ER303" s="16"/>
      <c r="ES303" s="16"/>
      <c r="ET303" s="16"/>
      <c r="EU303" s="16"/>
      <c r="EX303" s="16"/>
      <c r="EY303" s="228"/>
      <c r="EZ303" s="477"/>
      <c r="FA303" s="477"/>
      <c r="FB303" s="228"/>
      <c r="FC303" s="477"/>
      <c r="FD303" s="16"/>
    </row>
    <row r="304" spans="1:16357" x14ac:dyDescent="0.2">
      <c r="A304" s="45" t="s">
        <v>609</v>
      </c>
      <c r="B304" s="45"/>
      <c r="C304" s="21"/>
      <c r="D304" s="21"/>
      <c r="E304" s="21"/>
      <c r="F304" s="21"/>
      <c r="G304" s="45"/>
      <c r="H304" s="21"/>
      <c r="I304" s="21"/>
      <c r="J304" s="21"/>
      <c r="K304" s="21"/>
      <c r="L304" s="45"/>
      <c r="M304" s="21"/>
      <c r="N304" s="21"/>
      <c r="O304" s="21"/>
      <c r="P304" s="21"/>
      <c r="Q304" s="45"/>
      <c r="R304" s="21"/>
      <c r="S304" s="21"/>
      <c r="T304" s="21"/>
      <c r="U304" s="21"/>
      <c r="V304" s="45"/>
      <c r="W304" s="21"/>
      <c r="X304" s="21"/>
      <c r="Y304" s="21"/>
      <c r="Z304" s="21"/>
      <c r="AA304" s="45"/>
      <c r="AB304" s="21"/>
      <c r="AC304" s="21"/>
      <c r="AD304" s="21"/>
      <c r="AE304" s="21"/>
      <c r="AF304" s="45"/>
      <c r="AG304" s="21"/>
      <c r="AH304" s="21"/>
      <c r="AI304" s="21"/>
      <c r="AJ304" s="21"/>
      <c r="AK304" s="45"/>
      <c r="AL304" s="21"/>
      <c r="AM304" s="21"/>
      <c r="AN304" s="21"/>
      <c r="AO304" s="21"/>
      <c r="AP304" s="45"/>
      <c r="AQ304" s="21"/>
      <c r="AR304" s="21"/>
      <c r="AS304" s="21"/>
      <c r="AT304" s="21"/>
      <c r="AU304" s="19"/>
      <c r="AV304" s="45"/>
      <c r="AW304" s="38"/>
      <c r="AX304" s="38"/>
      <c r="AY304" s="38"/>
      <c r="AZ304" s="38"/>
      <c r="BA304" s="40"/>
      <c r="BB304" s="38"/>
      <c r="BC304" s="38"/>
      <c r="BD304" s="38"/>
      <c r="BE304" s="38"/>
      <c r="BF304" s="40"/>
      <c r="BG304" s="38"/>
      <c r="BH304" s="38"/>
      <c r="BI304" s="38"/>
      <c r="BJ304" s="38"/>
      <c r="BK304" s="40"/>
      <c r="BL304" s="38"/>
      <c r="BM304" s="38"/>
      <c r="BN304" s="38"/>
      <c r="BO304" s="38"/>
      <c r="BP304" s="40"/>
      <c r="BQ304" s="38">
        <v>0</v>
      </c>
      <c r="BR304" s="38">
        <v>0</v>
      </c>
      <c r="BS304" s="38">
        <v>147.9</v>
      </c>
      <c r="BT304" s="41">
        <v>143</v>
      </c>
      <c r="BU304" s="40">
        <f t="shared" ref="BU304" si="1634">SUM(BQ304:BT304)</f>
        <v>290.89999999999998</v>
      </c>
      <c r="BV304" s="1070">
        <v>0</v>
      </c>
      <c r="BW304" s="1070">
        <v>0</v>
      </c>
      <c r="BX304" s="1070">
        <v>147.9</v>
      </c>
      <c r="BY304" s="1070">
        <v>143</v>
      </c>
      <c r="BZ304" s="40">
        <f t="shared" ref="BZ304" si="1635">SUM(BV304:BY304)</f>
        <v>290.89999999999998</v>
      </c>
      <c r="CA304" s="38">
        <v>12.9</v>
      </c>
      <c r="CB304" s="1348">
        <v>26.6</v>
      </c>
      <c r="CC304" s="38">
        <v>-1.5</v>
      </c>
      <c r="CD304" s="38"/>
      <c r="CE304" s="40">
        <f>SUM(CA304:CD304)</f>
        <v>38</v>
      </c>
      <c r="CF304" s="38"/>
      <c r="CG304" s="38"/>
      <c r="CH304" s="38"/>
      <c r="CI304" s="38"/>
      <c r="CJ304" s="40"/>
      <c r="CK304" s="38"/>
      <c r="CL304" s="38"/>
      <c r="CM304" s="38"/>
      <c r="CN304" s="38"/>
      <c r="CO304" s="40"/>
      <c r="CP304" s="38"/>
      <c r="CQ304" s="41"/>
      <c r="CR304" s="41"/>
      <c r="CS304" s="41"/>
      <c r="CT304" s="40"/>
      <c r="CU304" s="41"/>
      <c r="CV304" s="41"/>
      <c r="CW304" s="41"/>
      <c r="CX304" s="41"/>
      <c r="CY304" s="40"/>
      <c r="CZ304" s="41"/>
      <c r="DA304" s="41"/>
      <c r="DB304" s="41"/>
      <c r="DC304" s="41"/>
      <c r="DD304" s="40"/>
      <c r="DE304" s="41"/>
      <c r="DF304" s="41"/>
      <c r="DG304" s="41"/>
      <c r="DH304" s="41"/>
      <c r="DI304" s="40"/>
      <c r="DJ304" s="41"/>
      <c r="DK304" s="41"/>
      <c r="DL304" s="41"/>
      <c r="DM304" s="41"/>
      <c r="DN304" s="40"/>
      <c r="DO304" s="41"/>
      <c r="DP304" s="41"/>
      <c r="DQ304" s="41"/>
      <c r="DR304" s="41"/>
      <c r="DS304" s="40"/>
      <c r="DT304" s="41"/>
      <c r="DU304" s="41"/>
      <c r="DV304" s="41"/>
      <c r="DW304" s="41"/>
      <c r="DX304" s="40"/>
      <c r="DY304" s="41"/>
      <c r="DZ304" s="41"/>
      <c r="EA304" s="41"/>
      <c r="EB304" s="41"/>
      <c r="EC304" s="40"/>
      <c r="ED304" s="16"/>
      <c r="EE304" s="21"/>
      <c r="EF304" s="284"/>
      <c r="EG304" s="16"/>
      <c r="EH304" s="16"/>
      <c r="EI304" s="16"/>
      <c r="EJ304" s="16"/>
      <c r="EK304" s="16"/>
      <c r="EL304" s="16"/>
      <c r="EM304" s="16"/>
      <c r="EN304" s="16"/>
      <c r="EO304" s="16"/>
      <c r="EP304" s="16"/>
      <c r="EQ304" s="16"/>
      <c r="ER304" s="16"/>
      <c r="ES304" s="16"/>
      <c r="ET304" s="16"/>
      <c r="EU304" s="16"/>
      <c r="EX304" s="16"/>
      <c r="EY304" s="228"/>
      <c r="EZ304" s="477"/>
      <c r="FA304" s="477"/>
      <c r="FB304" s="228"/>
      <c r="FC304" s="477"/>
      <c r="FD304" s="16"/>
    </row>
    <row r="305" spans="1:160" x14ac:dyDescent="0.2">
      <c r="A305" s="45" t="s">
        <v>123</v>
      </c>
      <c r="B305" s="45"/>
      <c r="C305" s="21"/>
      <c r="D305" s="21"/>
      <c r="E305" s="21"/>
      <c r="F305" s="21"/>
      <c r="G305" s="45"/>
      <c r="H305" s="21"/>
      <c r="I305" s="21"/>
      <c r="J305" s="21"/>
      <c r="K305" s="21"/>
      <c r="L305" s="45"/>
      <c r="M305" s="21"/>
      <c r="N305" s="21"/>
      <c r="O305" s="21"/>
      <c r="P305" s="21"/>
      <c r="Q305" s="45"/>
      <c r="R305" s="21"/>
      <c r="S305" s="21"/>
      <c r="T305" s="21"/>
      <c r="U305" s="21"/>
      <c r="V305" s="45"/>
      <c r="W305" s="21"/>
      <c r="X305" s="21"/>
      <c r="Y305" s="21"/>
      <c r="Z305" s="21"/>
      <c r="AA305" s="45"/>
      <c r="AB305" s="21"/>
      <c r="AC305" s="21"/>
      <c r="AD305" s="21"/>
      <c r="AE305" s="21"/>
      <c r="AF305" s="45"/>
      <c r="AG305" s="21"/>
      <c r="AH305" s="21"/>
      <c r="AI305" s="21"/>
      <c r="AJ305" s="21"/>
      <c r="AK305" s="45"/>
      <c r="AL305" s="21"/>
      <c r="AM305" s="21"/>
      <c r="AN305" s="21"/>
      <c r="AO305" s="21"/>
      <c r="AP305" s="45"/>
      <c r="AQ305" s="21"/>
      <c r="AR305" s="21"/>
      <c r="AS305" s="21"/>
      <c r="AT305" s="21"/>
      <c r="AU305" s="19"/>
      <c r="AV305" s="45"/>
      <c r="AW305" s="38"/>
      <c r="AX305" s="38"/>
      <c r="AY305" s="38"/>
      <c r="AZ305" s="38"/>
      <c r="BA305" s="40"/>
      <c r="BB305" s="38">
        <v>5.5</v>
      </c>
      <c r="BC305" s="38">
        <v>1.3</v>
      </c>
      <c r="BD305" s="38">
        <v>-0.1</v>
      </c>
      <c r="BE305" s="38">
        <v>-11.3</v>
      </c>
      <c r="BF305" s="40">
        <v>-4.5999999999999996</v>
      </c>
      <c r="BG305" s="38">
        <v>0.6</v>
      </c>
      <c r="BH305" s="38">
        <v>-7.4</v>
      </c>
      <c r="BI305" s="38">
        <v>1.5</v>
      </c>
      <c r="BJ305" s="38">
        <v>1.1000000000000001</v>
      </c>
      <c r="BK305" s="40">
        <v>-4.2</v>
      </c>
      <c r="BL305" s="38">
        <v>3.3</v>
      </c>
      <c r="BM305" s="38">
        <v>2.2999999999999998</v>
      </c>
      <c r="BN305" s="38">
        <v>0.5</v>
      </c>
      <c r="BO305" s="38">
        <v>1.3</v>
      </c>
      <c r="BP305" s="40">
        <v>7.4</v>
      </c>
      <c r="BQ305" s="38">
        <v>0.4</v>
      </c>
      <c r="BR305" s="38">
        <v>-2.9</v>
      </c>
      <c r="BS305" s="38">
        <v>-18.899999999999999</v>
      </c>
      <c r="BT305" s="41">
        <v>17.100000000000001</v>
      </c>
      <c r="BU305" s="40">
        <f>SUM(BQ305:BT305)</f>
        <v>-4.2999999999999972</v>
      </c>
      <c r="BV305" s="1070">
        <v>0.4</v>
      </c>
      <c r="BW305" s="1070">
        <v>-2.9</v>
      </c>
      <c r="BX305" s="1070">
        <v>-18.899999999999999</v>
      </c>
      <c r="BY305" s="1070">
        <v>17.100000000000001</v>
      </c>
      <c r="BZ305" s="40">
        <f>SUM(BV305:BY305)</f>
        <v>-4.2999999999999972</v>
      </c>
      <c r="CA305" s="38">
        <v>22.5</v>
      </c>
      <c r="CB305" s="1348">
        <v>9.6</v>
      </c>
      <c r="CC305" s="38">
        <v>10.9</v>
      </c>
      <c r="CD305" s="38">
        <v>1.6</v>
      </c>
      <c r="CE305" s="40">
        <f>SUM(CA305:CD305)</f>
        <v>44.6</v>
      </c>
      <c r="CF305" s="38">
        <v>24.1</v>
      </c>
      <c r="CG305" s="38">
        <v>-12.1</v>
      </c>
      <c r="CH305" s="38">
        <v>4.0999999999999996</v>
      </c>
      <c r="CI305" s="38">
        <v>-36.200000000000003</v>
      </c>
      <c r="CJ305" s="40">
        <f>SUM(CF305:CI305)</f>
        <v>-20.100000000000001</v>
      </c>
      <c r="CK305" s="38">
        <v>10.4</v>
      </c>
      <c r="CL305" s="38">
        <v>36.799999999999997</v>
      </c>
      <c r="CM305" s="38">
        <v>17.7</v>
      </c>
      <c r="CN305" s="38">
        <v>12.4</v>
      </c>
      <c r="CO305" s="40">
        <f>SUM(CK305:CN305)</f>
        <v>77.3</v>
      </c>
      <c r="CP305" s="38">
        <v>16.399999999999999</v>
      </c>
      <c r="CQ305" s="41">
        <f>CO305/4</f>
        <v>19.324999999999999</v>
      </c>
      <c r="CR305" s="41">
        <f>CQ305</f>
        <v>19.324999999999999</v>
      </c>
      <c r="CS305" s="41">
        <f>CR305</f>
        <v>19.324999999999999</v>
      </c>
      <c r="CT305" s="40">
        <f>SUM(CP305:CS305)</f>
        <v>74.375</v>
      </c>
      <c r="CU305" s="41">
        <f>CT305/4</f>
        <v>18.59375</v>
      </c>
      <c r="CV305" s="41">
        <f>CT305/4</f>
        <v>18.59375</v>
      </c>
      <c r="CW305" s="41">
        <f>CV305</f>
        <v>18.59375</v>
      </c>
      <c r="CX305" s="41">
        <f>CW305</f>
        <v>18.59375</v>
      </c>
      <c r="CY305" s="40">
        <f>SUM(CU305:CX305)</f>
        <v>74.375</v>
      </c>
      <c r="CZ305" s="41">
        <f>CY305/4</f>
        <v>18.59375</v>
      </c>
      <c r="DA305" s="41">
        <f>CY305/4</f>
        <v>18.59375</v>
      </c>
      <c r="DB305" s="41">
        <f>DA305</f>
        <v>18.59375</v>
      </c>
      <c r="DC305" s="41">
        <f>DB305</f>
        <v>18.59375</v>
      </c>
      <c r="DD305" s="40">
        <f>SUM(CZ305:DC305)</f>
        <v>74.375</v>
      </c>
      <c r="DE305" s="41">
        <v>0</v>
      </c>
      <c r="DF305" s="41">
        <v>0</v>
      </c>
      <c r="DG305" s="41">
        <v>0</v>
      </c>
      <c r="DH305" s="41">
        <v>0</v>
      </c>
      <c r="DI305" s="40">
        <f>SUM(DE305:DH305)</f>
        <v>0</v>
      </c>
      <c r="DJ305" s="41">
        <v>0</v>
      </c>
      <c r="DK305" s="41">
        <v>0</v>
      </c>
      <c r="DL305" s="41">
        <v>0</v>
      </c>
      <c r="DM305" s="41">
        <v>0</v>
      </c>
      <c r="DN305" s="40">
        <f>SUM(DJ305:DM305)</f>
        <v>0</v>
      </c>
      <c r="DO305" s="41">
        <v>0</v>
      </c>
      <c r="DP305" s="41">
        <v>0</v>
      </c>
      <c r="DQ305" s="41">
        <v>0</v>
      </c>
      <c r="DR305" s="41">
        <v>0</v>
      </c>
      <c r="DS305" s="40">
        <f>SUM(DO305:DR305)</f>
        <v>0</v>
      </c>
      <c r="DT305" s="41">
        <v>0</v>
      </c>
      <c r="DU305" s="41">
        <v>0</v>
      </c>
      <c r="DV305" s="41">
        <v>0</v>
      </c>
      <c r="DW305" s="41">
        <v>0</v>
      </c>
      <c r="DX305" s="40">
        <f>SUM(DT305:DW305)</f>
        <v>0</v>
      </c>
      <c r="DY305" s="41">
        <v>0</v>
      </c>
      <c r="DZ305" s="41">
        <v>0</v>
      </c>
      <c r="EA305" s="41">
        <v>0</v>
      </c>
      <c r="EB305" s="41">
        <v>0</v>
      </c>
      <c r="EC305" s="40">
        <f>SUM(DY305:EB305)</f>
        <v>0</v>
      </c>
      <c r="ED305" s="16"/>
      <c r="EE305" s="21"/>
      <c r="EF305" s="284"/>
      <c r="EG305" s="16"/>
      <c r="EH305" s="16"/>
      <c r="EI305" s="16"/>
      <c r="EJ305" s="16"/>
      <c r="EK305" s="16"/>
      <c r="EL305" s="16"/>
      <c r="EM305" s="16"/>
      <c r="EN305" s="16"/>
      <c r="EO305" s="16"/>
      <c r="EP305" s="16"/>
      <c r="EQ305" s="16"/>
      <c r="ER305" s="16"/>
      <c r="ES305" s="16"/>
      <c r="ET305" s="16"/>
      <c r="EU305" s="16"/>
      <c r="EX305" s="16"/>
      <c r="EY305" s="228"/>
      <c r="EZ305" s="477"/>
      <c r="FA305" s="477"/>
      <c r="FB305" s="228"/>
      <c r="FC305" s="477"/>
      <c r="FD305" s="16"/>
    </row>
    <row r="306" spans="1:160" x14ac:dyDescent="0.2">
      <c r="A306" s="45" t="s">
        <v>367</v>
      </c>
      <c r="B306" s="45"/>
      <c r="C306" s="21"/>
      <c r="D306" s="21"/>
      <c r="E306" s="21"/>
      <c r="F306" s="21"/>
      <c r="G306" s="45"/>
      <c r="H306" s="21"/>
      <c r="I306" s="21"/>
      <c r="J306" s="21"/>
      <c r="K306" s="21"/>
      <c r="L306" s="45"/>
      <c r="M306" s="21"/>
      <c r="N306" s="21"/>
      <c r="O306" s="21"/>
      <c r="P306" s="21"/>
      <c r="Q306" s="45"/>
      <c r="R306" s="21"/>
      <c r="S306" s="21"/>
      <c r="T306" s="21"/>
      <c r="U306" s="21"/>
      <c r="V306" s="45"/>
      <c r="W306" s="21"/>
      <c r="X306" s="21"/>
      <c r="Y306" s="21"/>
      <c r="Z306" s="21"/>
      <c r="AA306" s="45"/>
      <c r="AB306" s="21"/>
      <c r="AC306" s="21"/>
      <c r="AD306" s="21"/>
      <c r="AE306" s="21"/>
      <c r="AF306" s="45"/>
      <c r="AG306" s="21"/>
      <c r="AH306" s="21"/>
      <c r="AI306" s="21"/>
      <c r="AJ306" s="21"/>
      <c r="AK306" s="45"/>
      <c r="AL306" s="21"/>
      <c r="AM306" s="21"/>
      <c r="AN306" s="21"/>
      <c r="AO306" s="21"/>
      <c r="AP306" s="45"/>
      <c r="AQ306" s="21"/>
      <c r="AR306" s="21"/>
      <c r="AS306" s="21"/>
      <c r="AT306" s="21"/>
      <c r="AU306" s="19"/>
      <c r="AV306" s="45"/>
      <c r="AW306" s="38"/>
      <c r="AX306" s="38"/>
      <c r="AY306" s="38"/>
      <c r="AZ306" s="38"/>
      <c r="BA306" s="40"/>
      <c r="BB306" s="38"/>
      <c r="BC306" s="38"/>
      <c r="BD306" s="38"/>
      <c r="BE306" s="38"/>
      <c r="BF306" s="40">
        <v>0</v>
      </c>
      <c r="BG306" s="38">
        <v>0</v>
      </c>
      <c r="BH306" s="38">
        <v>0</v>
      </c>
      <c r="BI306" s="38">
        <v>8.6999999999999993</v>
      </c>
      <c r="BJ306" s="39"/>
      <c r="BK306" s="39">
        <v>8.6999999999999993</v>
      </c>
      <c r="BL306" s="38">
        <v>0</v>
      </c>
      <c r="BM306" s="38">
        <v>0</v>
      </c>
      <c r="BN306" s="38">
        <v>0</v>
      </c>
      <c r="BO306" s="38"/>
      <c r="BP306" s="40"/>
      <c r="BQ306" s="38">
        <v>0</v>
      </c>
      <c r="BR306" s="38">
        <v>0</v>
      </c>
      <c r="BS306" s="38">
        <v>0</v>
      </c>
      <c r="BT306" s="41">
        <v>0</v>
      </c>
      <c r="BU306" s="40">
        <f t="shared" ref="BU306" si="1636">SUM(BQ306:BT306)</f>
        <v>0</v>
      </c>
      <c r="BV306" s="1070">
        <v>0</v>
      </c>
      <c r="BW306" s="1070">
        <v>0</v>
      </c>
      <c r="BX306" s="1070">
        <v>0</v>
      </c>
      <c r="BY306" s="1070">
        <v>0</v>
      </c>
      <c r="BZ306" s="40">
        <f t="shared" ref="BZ306:BZ307" si="1637">SUM(BV306:BY306)</f>
        <v>0</v>
      </c>
      <c r="CA306" s="38"/>
      <c r="CB306" s="1348"/>
      <c r="CC306" s="38"/>
      <c r="CD306" s="38"/>
      <c r="CE306" s="40"/>
      <c r="CF306" s="38"/>
      <c r="CG306" s="38"/>
      <c r="CH306" s="38"/>
      <c r="CI306" s="38"/>
      <c r="CJ306" s="40"/>
      <c r="CK306" s="38"/>
      <c r="CL306" s="38"/>
      <c r="CM306" s="38"/>
      <c r="CN306" s="38"/>
      <c r="CO306" s="40"/>
      <c r="CP306" s="38"/>
      <c r="CQ306" s="41"/>
      <c r="CR306" s="41"/>
      <c r="CS306" s="41"/>
      <c r="CT306" s="40"/>
      <c r="CU306" s="41"/>
      <c r="CV306" s="41"/>
      <c r="CW306" s="41"/>
      <c r="CX306" s="41"/>
      <c r="CY306" s="40"/>
      <c r="CZ306" s="41"/>
      <c r="DA306" s="41"/>
      <c r="DB306" s="41"/>
      <c r="DC306" s="41"/>
      <c r="DD306" s="40"/>
      <c r="DE306" s="41"/>
      <c r="DF306" s="41"/>
      <c r="DG306" s="41"/>
      <c r="DH306" s="41"/>
      <c r="DI306" s="40"/>
      <c r="DJ306" s="41"/>
      <c r="DK306" s="41"/>
      <c r="DL306" s="41"/>
      <c r="DM306" s="41"/>
      <c r="DN306" s="40"/>
      <c r="DO306" s="41"/>
      <c r="DP306" s="41"/>
      <c r="DQ306" s="41"/>
      <c r="DR306" s="41"/>
      <c r="DS306" s="40"/>
      <c r="DT306" s="41"/>
      <c r="DU306" s="41"/>
      <c r="DV306" s="41"/>
      <c r="DW306" s="41"/>
      <c r="DX306" s="40"/>
      <c r="DY306" s="41"/>
      <c r="DZ306" s="41"/>
      <c r="EA306" s="41"/>
      <c r="EB306" s="41"/>
      <c r="EC306" s="40"/>
      <c r="ED306" s="16"/>
      <c r="EE306" s="21"/>
      <c r="EF306" s="373"/>
      <c r="EG306" s="16"/>
      <c r="EH306" s="16"/>
      <c r="EI306" s="16"/>
      <c r="EJ306" s="16"/>
      <c r="EK306" s="16"/>
      <c r="EL306" s="16"/>
      <c r="EM306" s="16"/>
      <c r="EN306" s="16"/>
      <c r="EO306" s="16"/>
      <c r="EP306" s="16"/>
      <c r="EQ306" s="16"/>
      <c r="ER306" s="16"/>
      <c r="ES306" s="16"/>
      <c r="ET306" s="16"/>
      <c r="EU306" s="16"/>
      <c r="EX306" s="16"/>
      <c r="EY306" s="228"/>
      <c r="EZ306" s="477"/>
      <c r="FA306" s="477"/>
      <c r="FB306" s="228"/>
      <c r="FC306" s="477"/>
      <c r="FD306" s="16"/>
    </row>
    <row r="307" spans="1:160" ht="15" x14ac:dyDescent="0.35">
      <c r="A307" s="45" t="s">
        <v>368</v>
      </c>
      <c r="B307" s="45"/>
      <c r="C307" s="21"/>
      <c r="D307" s="21"/>
      <c r="E307" s="21"/>
      <c r="F307" s="21"/>
      <c r="G307" s="45"/>
      <c r="H307" s="21"/>
      <c r="I307" s="21"/>
      <c r="J307" s="21"/>
      <c r="K307" s="21"/>
      <c r="L307" s="45"/>
      <c r="M307" s="21"/>
      <c r="N307" s="21"/>
      <c r="O307" s="21"/>
      <c r="P307" s="21"/>
      <c r="Q307" s="45"/>
      <c r="R307" s="21"/>
      <c r="S307" s="21"/>
      <c r="T307" s="21"/>
      <c r="U307" s="21"/>
      <c r="V307" s="45"/>
      <c r="W307" s="21"/>
      <c r="X307" s="21"/>
      <c r="Y307" s="21"/>
      <c r="Z307" s="21"/>
      <c r="AA307" s="45"/>
      <c r="AB307" s="21"/>
      <c r="AC307" s="21"/>
      <c r="AD307" s="21"/>
      <c r="AE307" s="21"/>
      <c r="AF307" s="45"/>
      <c r="AG307" s="21"/>
      <c r="AH307" s="21"/>
      <c r="AI307" s="21"/>
      <c r="AJ307" s="21"/>
      <c r="AK307" s="45"/>
      <c r="AL307" s="21"/>
      <c r="AM307" s="21"/>
      <c r="AN307" s="21"/>
      <c r="AO307" s="21"/>
      <c r="AP307" s="45"/>
      <c r="AQ307" s="21"/>
      <c r="AR307" s="21"/>
      <c r="AS307" s="21"/>
      <c r="AT307" s="21"/>
      <c r="AU307" s="19"/>
      <c r="AV307" s="45"/>
      <c r="AW307" s="38"/>
      <c r="AX307" s="38"/>
      <c r="AY307" s="38"/>
      <c r="AZ307" s="38"/>
      <c r="BA307" s="40"/>
      <c r="BB307" s="38">
        <v>0.7</v>
      </c>
      <c r="BC307" s="38">
        <v>1</v>
      </c>
      <c r="BD307" s="38">
        <v>-0.2</v>
      </c>
      <c r="BE307" s="38">
        <v>5.7</v>
      </c>
      <c r="BF307" s="40">
        <v>7.2</v>
      </c>
      <c r="BG307" s="38">
        <v>1</v>
      </c>
      <c r="BH307" s="38">
        <v>-1.7</v>
      </c>
      <c r="BI307" s="38">
        <v>5.6</v>
      </c>
      <c r="BJ307" s="38">
        <v>7.3</v>
      </c>
      <c r="BK307" s="40">
        <v>12.2</v>
      </c>
      <c r="BL307" s="38">
        <v>1</v>
      </c>
      <c r="BM307" s="38">
        <v>0.3</v>
      </c>
      <c r="BN307" s="38">
        <v>2.8</v>
      </c>
      <c r="BO307" s="38">
        <v>1.5</v>
      </c>
      <c r="BP307" s="40">
        <v>5.6</v>
      </c>
      <c r="BQ307" s="38">
        <v>1.2</v>
      </c>
      <c r="BR307" s="38">
        <v>1.1000000000000001</v>
      </c>
      <c r="BS307" s="38">
        <f>6.9</f>
        <v>6.9</v>
      </c>
      <c r="BT307" s="41">
        <v>1.7</v>
      </c>
      <c r="BU307" s="40">
        <f t="shared" ref="BU307" si="1638">SUM(BQ307:BT307)</f>
        <v>10.899999999999999</v>
      </c>
      <c r="BV307" s="1070">
        <v>1.2</v>
      </c>
      <c r="BW307" s="1070">
        <v>1.1000000000000001</v>
      </c>
      <c r="BX307" s="1070">
        <f>6.9</f>
        <v>6.9</v>
      </c>
      <c r="BY307" s="1070">
        <v>1.7</v>
      </c>
      <c r="BZ307" s="40">
        <f t="shared" si="1637"/>
        <v>10.899999999999999</v>
      </c>
      <c r="CA307" s="38">
        <v>0.1</v>
      </c>
      <c r="CB307" s="1348">
        <v>2.6</v>
      </c>
      <c r="CC307" s="38">
        <v>-0.6</v>
      </c>
      <c r="CD307" s="38">
        <v>-6.4</v>
      </c>
      <c r="CE307" s="40">
        <f>SUM(CA307:CD307)</f>
        <v>-4.3000000000000007</v>
      </c>
      <c r="CF307" s="38">
        <v>0.7</v>
      </c>
      <c r="CG307" s="38">
        <v>-1.1000000000000001</v>
      </c>
      <c r="CH307" s="38">
        <v>0.9</v>
      </c>
      <c r="CI307" s="38">
        <v>0.4</v>
      </c>
      <c r="CJ307" s="40">
        <f t="shared" ref="CJ307" si="1639">SUM(CF307:CI307)</f>
        <v>0.89999999999999991</v>
      </c>
      <c r="CK307" s="38">
        <v>0.5</v>
      </c>
      <c r="CL307" s="38">
        <v>0.3</v>
      </c>
      <c r="CM307" s="38">
        <v>-0.2</v>
      </c>
      <c r="CN307" s="38">
        <v>0.6</v>
      </c>
      <c r="CO307" s="40">
        <f t="shared" ref="CO307" si="1640">SUM(CK307:CN307)</f>
        <v>1.2000000000000002</v>
      </c>
      <c r="CP307" s="38">
        <v>0.7</v>
      </c>
      <c r="CQ307" s="41">
        <f>CL307*1.05</f>
        <v>0.315</v>
      </c>
      <c r="CR307" s="41">
        <f>CM307*1.05</f>
        <v>-0.21000000000000002</v>
      </c>
      <c r="CS307" s="41">
        <f>CN307*1.05</f>
        <v>0.63</v>
      </c>
      <c r="CT307" s="40">
        <f t="shared" ref="CT307" si="1641">SUM(CP307:CS307)</f>
        <v>1.4350000000000001</v>
      </c>
      <c r="CU307" s="41">
        <f>CP307*1.05</f>
        <v>0.73499999999999999</v>
      </c>
      <c r="CV307" s="41">
        <f>CQ307*1.05</f>
        <v>0.33075000000000004</v>
      </c>
      <c r="CW307" s="41">
        <f>CR307*1.05</f>
        <v>-0.22050000000000003</v>
      </c>
      <c r="CX307" s="41">
        <f>CS307*1.05</f>
        <v>0.66150000000000009</v>
      </c>
      <c r="CY307" s="40">
        <f t="shared" ref="CY307" si="1642">SUM(CU307:CX307)</f>
        <v>1.50675</v>
      </c>
      <c r="CZ307" s="41">
        <f>CU307*1.05</f>
        <v>0.77175000000000005</v>
      </c>
      <c r="DA307" s="41">
        <f>CV307*1.05</f>
        <v>0.34728750000000008</v>
      </c>
      <c r="DB307" s="41">
        <f>CW307*1.05</f>
        <v>-0.23152500000000004</v>
      </c>
      <c r="DC307" s="41">
        <f>CX307*1.05</f>
        <v>0.69457500000000016</v>
      </c>
      <c r="DD307" s="40">
        <f t="shared" ref="DD307" si="1643">SUM(CZ307:DC307)</f>
        <v>1.5820875000000003</v>
      </c>
      <c r="DE307" s="41">
        <f>CZ307*1.05</f>
        <v>0.81033750000000004</v>
      </c>
      <c r="DF307" s="41">
        <f>DA307*1.05</f>
        <v>0.36465187500000013</v>
      </c>
      <c r="DG307" s="41">
        <f>DB307*1.05</f>
        <v>-0.24310125000000005</v>
      </c>
      <c r="DH307" s="41">
        <f>DC307*1.05</f>
        <v>0.72930375000000025</v>
      </c>
      <c r="DI307" s="40">
        <f t="shared" ref="DI307" si="1644">SUM(DE307:DH307)</f>
        <v>1.6611918750000005</v>
      </c>
      <c r="DJ307" s="41">
        <f>DE307*1.05</f>
        <v>0.85085437500000005</v>
      </c>
      <c r="DK307" s="41">
        <f>DF307*1.05</f>
        <v>0.38288446875000015</v>
      </c>
      <c r="DL307" s="41">
        <f>DG307*1.05</f>
        <v>-0.25525631250000008</v>
      </c>
      <c r="DM307" s="41">
        <f>DH307*1.05</f>
        <v>0.7657689375000003</v>
      </c>
      <c r="DN307" s="40">
        <f t="shared" ref="DN307" si="1645">SUM(DJ307:DM307)</f>
        <v>1.7442514687500006</v>
      </c>
      <c r="DO307" s="41">
        <f>DJ307*1.05</f>
        <v>0.89339709375000009</v>
      </c>
      <c r="DP307" s="41">
        <f>DK307*1.05</f>
        <v>0.4020286921875002</v>
      </c>
      <c r="DQ307" s="41">
        <f>DL307*1.05</f>
        <v>-0.26801912812500012</v>
      </c>
      <c r="DR307" s="41">
        <f>DM307*1.05</f>
        <v>0.80405738437500041</v>
      </c>
      <c r="DS307" s="40">
        <f t="shared" ref="DS307" si="1646">SUM(DO307:DR307)</f>
        <v>1.8314640421875006</v>
      </c>
      <c r="DT307" s="41">
        <f>DO307*1.05</f>
        <v>0.93806694843750016</v>
      </c>
      <c r="DU307" s="41">
        <f>DP307*1.05</f>
        <v>0.42213012679687523</v>
      </c>
      <c r="DV307" s="41">
        <f>DQ307*1.05</f>
        <v>-0.28142008453125011</v>
      </c>
      <c r="DW307" s="41">
        <f>DR307*1.05</f>
        <v>0.84426025359375045</v>
      </c>
      <c r="DX307" s="40">
        <f t="shared" ref="DX307" si="1647">SUM(DT307:DW307)</f>
        <v>1.9230372442968757</v>
      </c>
      <c r="DY307" s="41">
        <f>DT307*1.05</f>
        <v>0.98497029585937523</v>
      </c>
      <c r="DZ307" s="41">
        <f>DU307*1.05</f>
        <v>0.44323663313671902</v>
      </c>
      <c r="EA307" s="41">
        <f>DV307*1.05</f>
        <v>-0.29549108875781266</v>
      </c>
      <c r="EB307" s="41">
        <f>DW307*1.05</f>
        <v>0.88647326627343803</v>
      </c>
      <c r="EC307" s="40">
        <f t="shared" ref="EC307" si="1648">SUM(DY307:EB307)</f>
        <v>2.0191891065117193</v>
      </c>
      <c r="ED307" s="833"/>
      <c r="EE307" s="21"/>
      <c r="EF307" s="284"/>
      <c r="EG307" s="16"/>
      <c r="EH307" s="16"/>
      <c r="EI307" s="16"/>
      <c r="EJ307" s="16"/>
      <c r="EK307" s="16"/>
      <c r="EL307" s="16"/>
      <c r="EM307" s="16"/>
      <c r="EN307" s="16"/>
      <c r="EO307" s="16"/>
      <c r="EP307" s="16"/>
      <c r="EQ307" s="16"/>
      <c r="ER307" s="16"/>
      <c r="ES307" s="16"/>
      <c r="ET307" s="16"/>
      <c r="EU307" s="16"/>
      <c r="EX307" s="16"/>
      <c r="EY307" s="228"/>
      <c r="EZ307" s="477"/>
      <c r="FA307" s="477"/>
      <c r="FB307" s="228"/>
      <c r="FC307" s="477"/>
      <c r="FD307" s="16"/>
    </row>
    <row r="308" spans="1:160" ht="12" customHeight="1" x14ac:dyDescent="0.2">
      <c r="A308" s="821" t="s">
        <v>124</v>
      </c>
      <c r="B308" s="821"/>
      <c r="C308" s="291"/>
      <c r="D308" s="291"/>
      <c r="E308" s="291"/>
      <c r="F308" s="291"/>
      <c r="G308" s="821"/>
      <c r="H308" s="291"/>
      <c r="I308" s="291"/>
      <c r="J308" s="291"/>
      <c r="K308" s="291"/>
      <c r="L308" s="821"/>
      <c r="M308" s="291"/>
      <c r="N308" s="291"/>
      <c r="O308" s="291"/>
      <c r="P308" s="291"/>
      <c r="Q308" s="821"/>
      <c r="R308" s="291"/>
      <c r="S308" s="291"/>
      <c r="T308" s="291"/>
      <c r="U308" s="291"/>
      <c r="V308" s="821"/>
      <c r="W308" s="291"/>
      <c r="X308" s="291"/>
      <c r="Y308" s="291"/>
      <c r="Z308" s="291"/>
      <c r="AA308" s="821"/>
      <c r="AB308" s="291"/>
      <c r="AC308" s="291"/>
      <c r="AD308" s="291"/>
      <c r="AE308" s="291"/>
      <c r="AF308" s="821"/>
      <c r="AG308" s="291"/>
      <c r="AH308" s="291"/>
      <c r="AI308" s="291"/>
      <c r="AJ308" s="291"/>
      <c r="AK308" s="821"/>
      <c r="AL308" s="291"/>
      <c r="AM308" s="291"/>
      <c r="AN308" s="291"/>
      <c r="AO308" s="291"/>
      <c r="AP308" s="821"/>
      <c r="AQ308" s="291"/>
      <c r="AR308" s="291"/>
      <c r="AS308" s="291"/>
      <c r="AT308" s="291"/>
      <c r="AU308" s="27"/>
      <c r="AV308" s="45"/>
      <c r="AW308" s="335"/>
      <c r="AX308" s="335"/>
      <c r="AY308" s="335"/>
      <c r="AZ308" s="335"/>
      <c r="BA308" s="798"/>
      <c r="BB308" s="335">
        <f t="shared" ref="BB308:BP308" si="1649">SUM(BB302:BB306,BB307)</f>
        <v>7.4</v>
      </c>
      <c r="BC308" s="335">
        <f t="shared" si="1649"/>
        <v>4.4000000000000004</v>
      </c>
      <c r="BD308" s="335">
        <f t="shared" si="1649"/>
        <v>-2.9000000000000004</v>
      </c>
      <c r="BE308" s="335">
        <f t="shared" si="1649"/>
        <v>1.1999999999999993</v>
      </c>
      <c r="BF308" s="798">
        <f t="shared" si="1649"/>
        <v>10.100000000000001</v>
      </c>
      <c r="BG308" s="335">
        <f t="shared" si="1649"/>
        <v>11.8</v>
      </c>
      <c r="BH308" s="335">
        <f t="shared" si="1649"/>
        <v>-17.7</v>
      </c>
      <c r="BI308" s="335">
        <f t="shared" si="1649"/>
        <v>30.699999999999996</v>
      </c>
      <c r="BJ308" s="879">
        <f t="shared" si="1649"/>
        <v>24.400000000000002</v>
      </c>
      <c r="BK308" s="798">
        <f t="shared" si="1649"/>
        <v>49.2</v>
      </c>
      <c r="BL308" s="335">
        <f t="shared" si="1649"/>
        <v>9</v>
      </c>
      <c r="BM308" s="335">
        <f t="shared" si="1649"/>
        <v>-1.3</v>
      </c>
      <c r="BN308" s="335">
        <f t="shared" si="1649"/>
        <v>3.6999999999999997</v>
      </c>
      <c r="BO308" s="879">
        <f t="shared" si="1649"/>
        <v>9.9</v>
      </c>
      <c r="BP308" s="798">
        <f t="shared" si="1649"/>
        <v>21.299999999999997</v>
      </c>
      <c r="BQ308" s="335">
        <f t="shared" ref="BQ308:DA308" si="1650">SUM(BQ302:BQ307)</f>
        <v>4.5</v>
      </c>
      <c r="BR308" s="335">
        <f t="shared" si="1650"/>
        <v>5.3999999999999986</v>
      </c>
      <c r="BS308" s="335">
        <f t="shared" si="1650"/>
        <v>145.9</v>
      </c>
      <c r="BT308" s="335">
        <f t="shared" si="1650"/>
        <v>171.1</v>
      </c>
      <c r="BU308" s="798">
        <f t="shared" si="1650"/>
        <v>326.89999999999992</v>
      </c>
      <c r="BV308" s="1093">
        <f t="shared" ref="BV308:BZ308" si="1651">SUM(BV302:BV307)</f>
        <v>4.5</v>
      </c>
      <c r="BW308" s="1093">
        <f t="shared" si="1651"/>
        <v>5.3999999999999986</v>
      </c>
      <c r="BX308" s="1093">
        <f t="shared" si="1651"/>
        <v>145.9</v>
      </c>
      <c r="BY308" s="1093">
        <f t="shared" si="1651"/>
        <v>171.1</v>
      </c>
      <c r="BZ308" s="798">
        <f t="shared" si="1651"/>
        <v>326.89999999999992</v>
      </c>
      <c r="CA308" s="335">
        <f>SUM(CA302:CA307)</f>
        <v>37.6</v>
      </c>
      <c r="CB308" s="1349">
        <f t="shared" si="1650"/>
        <v>34.200000000000003</v>
      </c>
      <c r="CC308" s="335">
        <f t="shared" si="1650"/>
        <v>9.4</v>
      </c>
      <c r="CD308" s="335">
        <f t="shared" si="1650"/>
        <v>23.300000000000004</v>
      </c>
      <c r="CE308" s="798">
        <f t="shared" si="1650"/>
        <v>104.50000000000001</v>
      </c>
      <c r="CF308" s="335">
        <f t="shared" si="1650"/>
        <v>40.800000000000004</v>
      </c>
      <c r="CG308" s="335">
        <f t="shared" si="1650"/>
        <v>-11.299999999999999</v>
      </c>
      <c r="CH308" s="335">
        <f t="shared" si="1650"/>
        <v>8.6999999999999993</v>
      </c>
      <c r="CI308" s="335">
        <f t="shared" si="1650"/>
        <v>-37.300000000000004</v>
      </c>
      <c r="CJ308" s="798">
        <f t="shared" si="1650"/>
        <v>0.89999999999999991</v>
      </c>
      <c r="CK308" s="335">
        <f t="shared" si="1650"/>
        <v>13.8</v>
      </c>
      <c r="CL308" s="335">
        <f t="shared" si="1650"/>
        <v>46.8</v>
      </c>
      <c r="CM308" s="335">
        <f t="shared" si="1650"/>
        <v>21.5</v>
      </c>
      <c r="CN308" s="335">
        <f t="shared" si="1650"/>
        <v>27.1</v>
      </c>
      <c r="CO308" s="798">
        <f t="shared" si="1650"/>
        <v>109.2</v>
      </c>
      <c r="CP308" s="335">
        <f t="shared" si="1650"/>
        <v>12.7</v>
      </c>
      <c r="CQ308" s="335">
        <f t="shared" si="1650"/>
        <v>30.255000000000003</v>
      </c>
      <c r="CR308" s="335">
        <f t="shared" si="1650"/>
        <v>23.484999999999999</v>
      </c>
      <c r="CS308" s="335">
        <f t="shared" si="1650"/>
        <v>25.374999999999996</v>
      </c>
      <c r="CT308" s="798">
        <f t="shared" si="1650"/>
        <v>91.814999999999998</v>
      </c>
      <c r="CU308" s="335">
        <f t="shared" si="1650"/>
        <v>14.708749999999998</v>
      </c>
      <c r="CV308" s="335">
        <f t="shared" si="1650"/>
        <v>30.070249999999998</v>
      </c>
      <c r="CW308" s="335">
        <f t="shared" si="1650"/>
        <v>22.961749999999999</v>
      </c>
      <c r="CX308" s="335">
        <f t="shared" si="1650"/>
        <v>24.946249999999999</v>
      </c>
      <c r="CY308" s="798">
        <f t="shared" si="1650"/>
        <v>92.686999999999998</v>
      </c>
      <c r="CZ308" s="335">
        <f t="shared" si="1650"/>
        <v>14.5145</v>
      </c>
      <c r="DA308" s="335">
        <f t="shared" si="1650"/>
        <v>30.644075000000001</v>
      </c>
      <c r="DB308" s="335">
        <f t="shared" ref="DB308:DX308" si="1652">SUM(DB302:DB307)</f>
        <v>23.180150000000001</v>
      </c>
      <c r="DC308" s="335">
        <f t="shared" si="1652"/>
        <v>25.263874999999999</v>
      </c>
      <c r="DD308" s="798">
        <f t="shared" si="1652"/>
        <v>93.602599999999995</v>
      </c>
      <c r="DE308" s="335">
        <f t="shared" si="1652"/>
        <v>-4.2832125000000003</v>
      </c>
      <c r="DF308" s="335">
        <f t="shared" si="1652"/>
        <v>12.652841250000003</v>
      </c>
      <c r="DG308" s="335">
        <f t="shared" si="1652"/>
        <v>4.8157200000000007</v>
      </c>
      <c r="DH308" s="335">
        <f t="shared" si="1652"/>
        <v>7.0036312500000015</v>
      </c>
      <c r="DI308" s="798">
        <f t="shared" si="1652"/>
        <v>20.188980000000004</v>
      </c>
      <c r="DJ308" s="335">
        <f t="shared" si="1652"/>
        <v>-4.497373125000002</v>
      </c>
      <c r="DK308" s="335">
        <f t="shared" si="1652"/>
        <v>13.285483312500004</v>
      </c>
      <c r="DL308" s="335">
        <f t="shared" si="1652"/>
        <v>5.0565060000000006</v>
      </c>
      <c r="DM308" s="335">
        <f t="shared" si="1652"/>
        <v>7.3538128125000011</v>
      </c>
      <c r="DN308" s="798">
        <f t="shared" si="1652"/>
        <v>21.198429000000004</v>
      </c>
      <c r="DO308" s="335">
        <f t="shared" si="1652"/>
        <v>-4.7222417812500019</v>
      </c>
      <c r="DP308" s="335">
        <f t="shared" si="1652"/>
        <v>13.949757478125004</v>
      </c>
      <c r="DQ308" s="335">
        <f t="shared" si="1652"/>
        <v>5.309331300000002</v>
      </c>
      <c r="DR308" s="335">
        <f t="shared" si="1652"/>
        <v>7.7215034531250017</v>
      </c>
      <c r="DS308" s="798">
        <f t="shared" si="1652"/>
        <v>22.258350450000005</v>
      </c>
      <c r="DT308" s="335">
        <f t="shared" si="1652"/>
        <v>-4.9583538703125019</v>
      </c>
      <c r="DU308" s="335">
        <f t="shared" si="1652"/>
        <v>14.647245352031256</v>
      </c>
      <c r="DV308" s="335">
        <f t="shared" si="1652"/>
        <v>5.5747978650000025</v>
      </c>
      <c r="DW308" s="335">
        <f t="shared" si="1652"/>
        <v>8.1075786257812528</v>
      </c>
      <c r="DX308" s="798">
        <f t="shared" si="1652"/>
        <v>23.371267972500011</v>
      </c>
      <c r="DY308" s="335">
        <f t="shared" ref="DY308:EC308" si="1653">SUM(DY302:DY307)</f>
        <v>-5.2062715638281265</v>
      </c>
      <c r="DZ308" s="335">
        <f t="shared" si="1653"/>
        <v>15.37960761963282</v>
      </c>
      <c r="EA308" s="335">
        <f t="shared" si="1653"/>
        <v>5.8535377582500034</v>
      </c>
      <c r="EB308" s="335">
        <f t="shared" si="1653"/>
        <v>8.5129575570703153</v>
      </c>
      <c r="EC308" s="798">
        <f t="shared" si="1653"/>
        <v>24.539831371125011</v>
      </c>
      <c r="ED308" s="25"/>
      <c r="EE308" s="37"/>
      <c r="EF308" s="286"/>
      <c r="EG308" s="25"/>
      <c r="EH308" s="25"/>
      <c r="EI308" s="25"/>
      <c r="EJ308" s="25"/>
      <c r="EK308" s="25"/>
      <c r="EL308" s="25"/>
      <c r="EM308" s="25"/>
      <c r="EN308" s="25"/>
      <c r="EO308" s="25"/>
      <c r="EP308" s="25"/>
      <c r="EQ308" s="25"/>
      <c r="ER308" s="25"/>
      <c r="ES308" s="25"/>
      <c r="ET308" s="25"/>
      <c r="EU308" s="25"/>
      <c r="EX308" s="25"/>
      <c r="EY308" s="294"/>
      <c r="EZ308" s="985"/>
      <c r="FA308" s="985"/>
      <c r="FB308" s="294"/>
      <c r="FC308" s="985"/>
      <c r="FD308" s="25"/>
    </row>
    <row r="309" spans="1:160" x14ac:dyDescent="0.2">
      <c r="A309" s="45"/>
      <c r="B309" s="45"/>
      <c r="C309" s="21"/>
      <c r="D309" s="21"/>
      <c r="E309" s="21"/>
      <c r="F309" s="21"/>
      <c r="G309" s="45"/>
      <c r="H309" s="21"/>
      <c r="I309" s="21"/>
      <c r="J309" s="21"/>
      <c r="K309" s="21"/>
      <c r="L309" s="45"/>
      <c r="M309" s="21"/>
      <c r="N309" s="21"/>
      <c r="O309" s="21"/>
      <c r="P309" s="21"/>
      <c r="Q309" s="45"/>
      <c r="R309" s="21"/>
      <c r="S309" s="21"/>
      <c r="T309" s="21"/>
      <c r="U309" s="21"/>
      <c r="V309" s="45"/>
      <c r="W309" s="21"/>
      <c r="X309" s="21"/>
      <c r="Y309" s="21"/>
      <c r="Z309" s="21"/>
      <c r="AA309" s="45"/>
      <c r="AB309" s="21"/>
      <c r="AC309" s="21"/>
      <c r="AD309" s="21"/>
      <c r="AE309" s="21"/>
      <c r="AF309" s="45"/>
      <c r="AG309" s="21"/>
      <c r="AH309" s="21"/>
      <c r="AI309" s="21"/>
      <c r="AJ309" s="21"/>
      <c r="AK309" s="45"/>
      <c r="AL309" s="21"/>
      <c r="AM309" s="21"/>
      <c r="AN309" s="21"/>
      <c r="AO309" s="21"/>
      <c r="AP309" s="45"/>
      <c r="AQ309" s="21"/>
      <c r="AR309" s="21"/>
      <c r="AS309" s="21"/>
      <c r="AT309" s="21"/>
      <c r="AU309" s="19"/>
      <c r="AV309" s="45"/>
      <c r="AW309" s="38"/>
      <c r="AX309" s="38"/>
      <c r="AY309" s="38"/>
      <c r="AZ309" s="38"/>
      <c r="BA309" s="40"/>
      <c r="BB309" s="38"/>
      <c r="BC309" s="38"/>
      <c r="BD309" s="38"/>
      <c r="BE309" s="38"/>
      <c r="BF309" s="40"/>
      <c r="BG309" s="38"/>
      <c r="BH309" s="38"/>
      <c r="BI309" s="38"/>
      <c r="BJ309" s="39"/>
      <c r="BK309" s="39"/>
      <c r="BL309" s="38"/>
      <c r="BM309" s="38"/>
      <c r="BN309" s="38"/>
      <c r="BO309" s="38"/>
      <c r="BP309" s="40"/>
      <c r="BQ309" s="38"/>
      <c r="BR309" s="38"/>
      <c r="BS309" s="38"/>
      <c r="BT309" s="41"/>
      <c r="BU309" s="40"/>
      <c r="BV309" s="1070"/>
      <c r="BW309" s="1070"/>
      <c r="BX309" s="1070"/>
      <c r="BY309" s="1070"/>
      <c r="BZ309" s="40"/>
      <c r="CA309" s="41"/>
      <c r="CB309" s="41"/>
      <c r="CC309" s="38"/>
      <c r="CD309" s="41"/>
      <c r="CE309" s="40"/>
      <c r="CF309" s="41"/>
      <c r="CG309" s="41"/>
      <c r="CH309" s="41"/>
      <c r="CI309" s="41"/>
      <c r="CJ309" s="40"/>
      <c r="CK309" s="38"/>
      <c r="CL309" s="41"/>
      <c r="CM309" s="41"/>
      <c r="CN309" s="38"/>
      <c r="CO309" s="40"/>
      <c r="CP309" s="41"/>
      <c r="CQ309" s="41"/>
      <c r="CR309" s="41"/>
      <c r="CS309" s="41"/>
      <c r="CT309" s="40"/>
      <c r="CU309" s="41"/>
      <c r="CV309" s="41"/>
      <c r="CW309" s="41"/>
      <c r="CX309" s="41"/>
      <c r="CY309" s="40"/>
      <c r="CZ309" s="41"/>
      <c r="DA309" s="41"/>
      <c r="DB309" s="41"/>
      <c r="DC309" s="41"/>
      <c r="DD309" s="40"/>
      <c r="DE309" s="41"/>
      <c r="DF309" s="41"/>
      <c r="DG309" s="41"/>
      <c r="DH309" s="41"/>
      <c r="DI309" s="40"/>
      <c r="DJ309" s="41"/>
      <c r="DK309" s="41"/>
      <c r="DL309" s="41"/>
      <c r="DM309" s="41"/>
      <c r="DN309" s="40"/>
      <c r="DO309" s="41"/>
      <c r="DP309" s="41"/>
      <c r="DQ309" s="41"/>
      <c r="DR309" s="41"/>
      <c r="DS309" s="40"/>
      <c r="DT309" s="41"/>
      <c r="DU309" s="41"/>
      <c r="DV309" s="41"/>
      <c r="DW309" s="41"/>
      <c r="DX309" s="40"/>
      <c r="DY309" s="41"/>
      <c r="DZ309" s="41"/>
      <c r="EA309" s="41"/>
      <c r="EB309" s="41"/>
      <c r="EC309" s="40"/>
      <c r="ED309" s="16"/>
      <c r="EE309" s="21"/>
      <c r="EF309" s="373"/>
      <c r="EG309" s="16"/>
      <c r="EH309" s="16"/>
      <c r="EI309" s="16"/>
      <c r="EJ309" s="16"/>
      <c r="EK309" s="16"/>
      <c r="EL309" s="16"/>
      <c r="EM309" s="16"/>
      <c r="EN309" s="16"/>
      <c r="EO309" s="16"/>
      <c r="EP309" s="16"/>
      <c r="EQ309" s="16"/>
      <c r="ER309" s="16"/>
      <c r="ES309" s="16"/>
      <c r="ET309" s="16"/>
      <c r="EU309" s="16"/>
      <c r="EX309" s="16"/>
      <c r="EY309" s="228"/>
      <c r="EZ309" s="477"/>
      <c r="FA309" s="477"/>
      <c r="FB309" s="228"/>
      <c r="FC309" s="477"/>
      <c r="FD309" s="16"/>
    </row>
    <row r="310" spans="1:160" hidden="1" outlineLevel="1" x14ac:dyDescent="0.2">
      <c r="A310" s="49" t="s">
        <v>376</v>
      </c>
      <c r="B310" s="45"/>
      <c r="C310" s="21"/>
      <c r="D310" s="21"/>
      <c r="E310" s="21"/>
      <c r="F310" s="21"/>
      <c r="G310" s="45"/>
      <c r="H310" s="21"/>
      <c r="I310" s="21"/>
      <c r="J310" s="21"/>
      <c r="K310" s="21"/>
      <c r="L310" s="45"/>
      <c r="M310" s="21"/>
      <c r="N310" s="21"/>
      <c r="O310" s="21"/>
      <c r="P310" s="21"/>
      <c r="Q310" s="45"/>
      <c r="R310" s="21"/>
      <c r="S310" s="21"/>
      <c r="T310" s="21"/>
      <c r="U310" s="21"/>
      <c r="V310" s="45"/>
      <c r="W310" s="21"/>
      <c r="X310" s="21"/>
      <c r="Y310" s="21"/>
      <c r="Z310" s="21"/>
      <c r="AA310" s="45"/>
      <c r="AB310" s="21"/>
      <c r="AC310" s="21"/>
      <c r="AD310" s="21"/>
      <c r="AE310" s="21"/>
      <c r="AF310" s="45"/>
      <c r="AG310" s="21"/>
      <c r="AH310" s="21"/>
      <c r="AI310" s="21"/>
      <c r="AJ310" s="21"/>
      <c r="AK310" s="45"/>
      <c r="AL310" s="21"/>
      <c r="AM310" s="21"/>
      <c r="AN310" s="21"/>
      <c r="AO310" s="21"/>
      <c r="AP310" s="45"/>
      <c r="AQ310" s="21"/>
      <c r="AR310" s="21"/>
      <c r="AS310" s="21"/>
      <c r="AT310" s="21"/>
      <c r="AU310" s="19"/>
      <c r="AV310" s="45"/>
      <c r="AW310" s="38"/>
      <c r="AX310" s="38"/>
      <c r="AY310" s="38"/>
      <c r="AZ310" s="38"/>
      <c r="BA310" s="40"/>
      <c r="BB310" s="38"/>
      <c r="BC310" s="38"/>
      <c r="BD310" s="38"/>
      <c r="BE310" s="38"/>
      <c r="BF310" s="40"/>
      <c r="BG310" s="46"/>
      <c r="BH310" s="46"/>
      <c r="BI310" s="46"/>
      <c r="BJ310" s="38"/>
      <c r="BK310" s="40"/>
      <c r="BL310" s="46"/>
      <c r="BM310" s="46"/>
      <c r="BN310" s="46"/>
      <c r="BO310" s="38"/>
      <c r="BP310" s="40"/>
      <c r="BQ310" s="38"/>
      <c r="BR310" s="38"/>
      <c r="BS310" s="38"/>
      <c r="BT310" s="41"/>
      <c r="BU310" s="40"/>
      <c r="BV310" s="1070"/>
      <c r="BW310" s="1070"/>
      <c r="BX310" s="1070"/>
      <c r="BY310" s="1070"/>
      <c r="BZ310" s="40"/>
      <c r="CA310" s="41"/>
      <c r="CB310" s="41"/>
      <c r="CC310" s="38"/>
      <c r="CD310" s="41"/>
      <c r="CE310" s="40"/>
      <c r="CF310" s="41"/>
      <c r="CG310" s="41"/>
      <c r="CH310" s="41"/>
      <c r="CI310" s="41"/>
      <c r="CJ310" s="40"/>
      <c r="CK310" s="38"/>
      <c r="CL310" s="41"/>
      <c r="CM310" s="41"/>
      <c r="CN310" s="38"/>
      <c r="CO310" s="40"/>
      <c r="CP310" s="41"/>
      <c r="CQ310" s="41"/>
      <c r="CR310" s="41"/>
      <c r="CS310" s="41"/>
      <c r="CT310" s="40"/>
      <c r="CU310" s="41"/>
      <c r="CV310" s="41"/>
      <c r="CW310" s="41"/>
      <c r="CX310" s="41"/>
      <c r="CY310" s="40"/>
      <c r="CZ310" s="41"/>
      <c r="DA310" s="41"/>
      <c r="DB310" s="41"/>
      <c r="DC310" s="41"/>
      <c r="DD310" s="40"/>
      <c r="DE310" s="41"/>
      <c r="DF310" s="41"/>
      <c r="DG310" s="41"/>
      <c r="DH310" s="41"/>
      <c r="DI310" s="40"/>
      <c r="DJ310" s="41"/>
      <c r="DK310" s="41"/>
      <c r="DL310" s="41"/>
      <c r="DM310" s="41"/>
      <c r="DN310" s="40"/>
      <c r="DO310" s="41"/>
      <c r="DP310" s="41"/>
      <c r="DQ310" s="41"/>
      <c r="DR310" s="41"/>
      <c r="DS310" s="40"/>
      <c r="DT310" s="41"/>
      <c r="DU310" s="41"/>
      <c r="DV310" s="41"/>
      <c r="DW310" s="41"/>
      <c r="DX310" s="40"/>
      <c r="DY310" s="41"/>
      <c r="DZ310" s="41"/>
      <c r="EA310" s="41"/>
      <c r="EB310" s="41"/>
      <c r="EC310" s="40"/>
      <c r="ED310" s="16"/>
      <c r="EE310" s="21"/>
      <c r="EF310" s="284"/>
      <c r="EG310" s="16"/>
      <c r="EH310" s="16"/>
      <c r="EI310" s="16"/>
      <c r="EJ310" s="16"/>
      <c r="EK310" s="16"/>
      <c r="EL310" s="16"/>
      <c r="EM310" s="16"/>
      <c r="EN310" s="16"/>
      <c r="EO310" s="16"/>
      <c r="EP310" s="16"/>
      <c r="EQ310" s="16"/>
      <c r="ER310" s="16"/>
      <c r="ES310" s="16"/>
      <c r="ET310" s="16"/>
      <c r="EU310" s="16"/>
      <c r="EX310" s="16"/>
      <c r="EY310" s="228"/>
      <c r="EZ310" s="477"/>
      <c r="FA310" s="477"/>
      <c r="FB310" s="228"/>
      <c r="FC310" s="477"/>
      <c r="FD310" s="16"/>
    </row>
    <row r="311" spans="1:160" hidden="1" outlineLevel="1" x14ac:dyDescent="0.2">
      <c r="A311" s="281" t="s">
        <v>534</v>
      </c>
      <c r="B311" s="45"/>
      <c r="C311" s="21"/>
      <c r="D311" s="21"/>
      <c r="E311" s="21"/>
      <c r="F311" s="21"/>
      <c r="G311" s="45"/>
      <c r="H311" s="21"/>
      <c r="I311" s="21"/>
      <c r="J311" s="21"/>
      <c r="K311" s="21"/>
      <c r="L311" s="45"/>
      <c r="M311" s="21"/>
      <c r="N311" s="21"/>
      <c r="O311" s="21"/>
      <c r="P311" s="21"/>
      <c r="Q311" s="45"/>
      <c r="R311" s="21"/>
      <c r="S311" s="21"/>
      <c r="T311" s="21"/>
      <c r="U311" s="21"/>
      <c r="V311" s="45"/>
      <c r="W311" s="21"/>
      <c r="X311" s="21"/>
      <c r="Y311" s="21"/>
      <c r="Z311" s="21"/>
      <c r="AA311" s="45"/>
      <c r="AB311" s="21"/>
      <c r="AC311" s="21"/>
      <c r="AD311" s="21"/>
      <c r="AE311" s="21"/>
      <c r="AF311" s="45"/>
      <c r="AG311" s="21"/>
      <c r="AH311" s="21"/>
      <c r="AI311" s="21"/>
      <c r="AJ311" s="21"/>
      <c r="AK311" s="45"/>
      <c r="AL311" s="21"/>
      <c r="AM311" s="21"/>
      <c r="AN311" s="21"/>
      <c r="AO311" s="21"/>
      <c r="AP311" s="45"/>
      <c r="AQ311" s="21"/>
      <c r="AR311" s="21"/>
      <c r="AS311" s="21"/>
      <c r="AT311" s="21"/>
      <c r="AU311" s="19"/>
      <c r="AV311" s="45"/>
      <c r="AW311" s="38"/>
      <c r="AX311" s="38"/>
      <c r="AY311" s="38"/>
      <c r="AZ311" s="38"/>
      <c r="BA311" s="40"/>
      <c r="BB311" s="38"/>
      <c r="BC311" s="38"/>
      <c r="BD311" s="38"/>
      <c r="BE311" s="38"/>
      <c r="BF311" s="40"/>
      <c r="BG311" s="46"/>
      <c r="BH311" s="46"/>
      <c r="BI311" s="46"/>
      <c r="BJ311" s="38"/>
      <c r="BK311" s="40"/>
      <c r="BL311" s="46"/>
      <c r="BM311" s="46"/>
      <c r="BN311" s="46"/>
      <c r="BO311" s="38"/>
      <c r="BP311" s="40"/>
      <c r="BQ311" s="38"/>
      <c r="BR311" s="38"/>
      <c r="BS311" s="38"/>
      <c r="BT311" s="41"/>
      <c r="BU311" s="40"/>
      <c r="BV311" s="1070"/>
      <c r="BW311" s="1070"/>
      <c r="BX311" s="1070"/>
      <c r="BY311" s="1070"/>
      <c r="BZ311" s="40"/>
      <c r="CA311" s="41"/>
      <c r="CB311" s="41"/>
      <c r="CC311" s="38"/>
      <c r="CD311" s="41"/>
      <c r="CE311" s="40">
        <f t="shared" ref="CE311:CE318" si="1654">SUM(CA311:CD311)</f>
        <v>0</v>
      </c>
      <c r="CF311" s="41"/>
      <c r="CG311" s="41"/>
      <c r="CH311" s="41"/>
      <c r="CI311" s="41"/>
      <c r="CJ311" s="40">
        <f t="shared" ref="CJ311:CJ317" si="1655">SUM(CF311:CI311)</f>
        <v>0</v>
      </c>
      <c r="CK311" s="38"/>
      <c r="CL311" s="41"/>
      <c r="CM311" s="41"/>
      <c r="CN311" s="38"/>
      <c r="CO311" s="40">
        <f t="shared" ref="CO311:CO317" si="1656">SUM(CK311:CN311)</f>
        <v>0</v>
      </c>
      <c r="CP311" s="41"/>
      <c r="CQ311" s="41"/>
      <c r="CR311" s="41"/>
      <c r="CS311" s="41"/>
      <c r="CT311" s="40">
        <f t="shared" ref="CT311:CT317" si="1657">SUM(CP311:CS311)</f>
        <v>0</v>
      </c>
      <c r="CU311" s="41"/>
      <c r="CV311" s="41"/>
      <c r="CW311" s="41"/>
      <c r="CX311" s="41"/>
      <c r="CY311" s="40">
        <f t="shared" ref="CY311:CY317" si="1658">SUM(CU311:CX311)</f>
        <v>0</v>
      </c>
      <c r="CZ311" s="41"/>
      <c r="DA311" s="41"/>
      <c r="DB311" s="41"/>
      <c r="DC311" s="41"/>
      <c r="DD311" s="40">
        <f t="shared" ref="DD311:DD317" si="1659">SUM(CZ311:DC311)</f>
        <v>0</v>
      </c>
      <c r="DE311" s="41"/>
      <c r="DF311" s="41"/>
      <c r="DG311" s="41"/>
      <c r="DH311" s="41"/>
      <c r="DI311" s="40">
        <f t="shared" ref="DI311:DI317" si="1660">SUM(DE311:DH311)</f>
        <v>0</v>
      </c>
      <c r="DJ311" s="41"/>
      <c r="DK311" s="41"/>
      <c r="DL311" s="41"/>
      <c r="DM311" s="41"/>
      <c r="DN311" s="40">
        <f t="shared" ref="DN311:DN317" si="1661">SUM(DJ311:DM311)</f>
        <v>0</v>
      </c>
      <c r="DO311" s="41"/>
      <c r="DP311" s="41"/>
      <c r="DQ311" s="41"/>
      <c r="DR311" s="41"/>
      <c r="DS311" s="40">
        <f t="shared" ref="DS311:DS317" si="1662">SUM(DO311:DR311)</f>
        <v>0</v>
      </c>
      <c r="DT311" s="41"/>
      <c r="DU311" s="41"/>
      <c r="DV311" s="41"/>
      <c r="DW311" s="41"/>
      <c r="DX311" s="40">
        <f t="shared" ref="DX311:DX317" si="1663">SUM(DT311:DW311)</f>
        <v>0</v>
      </c>
      <c r="DY311" s="41"/>
      <c r="DZ311" s="41"/>
      <c r="EA311" s="41"/>
      <c r="EB311" s="41"/>
      <c r="EC311" s="40">
        <f t="shared" ref="EC311:EC317" si="1664">SUM(DY311:EB311)</f>
        <v>0</v>
      </c>
      <c r="ED311" s="16"/>
      <c r="EE311" s="21"/>
      <c r="EF311" s="284"/>
      <c r="EG311" s="16"/>
      <c r="EH311" s="16"/>
      <c r="EI311" s="16"/>
      <c r="EJ311" s="16"/>
      <c r="EK311" s="16"/>
      <c r="EL311" s="16"/>
      <c r="EM311" s="16"/>
      <c r="EN311" s="16"/>
      <c r="EO311" s="16"/>
      <c r="EP311" s="16"/>
      <c r="EQ311" s="16"/>
      <c r="ER311" s="16"/>
      <c r="ES311" s="16"/>
      <c r="ET311" s="16"/>
      <c r="EU311" s="16"/>
      <c r="EX311" s="16"/>
      <c r="EY311" s="228"/>
      <c r="EZ311" s="477"/>
      <c r="FA311" s="477"/>
      <c r="FB311" s="228"/>
      <c r="FC311" s="477"/>
      <c r="FD311" s="16"/>
    </row>
    <row r="312" spans="1:160" hidden="1" outlineLevel="1" x14ac:dyDescent="0.2">
      <c r="A312" s="281" t="s">
        <v>688</v>
      </c>
      <c r="B312" s="281"/>
      <c r="C312" s="61"/>
      <c r="D312" s="61"/>
      <c r="E312" s="61"/>
      <c r="F312" s="61"/>
      <c r="G312" s="281"/>
      <c r="H312" s="61"/>
      <c r="I312" s="61"/>
      <c r="J312" s="61"/>
      <c r="K312" s="61"/>
      <c r="L312" s="281"/>
      <c r="M312" s="61"/>
      <c r="N312" s="61"/>
      <c r="O312" s="61"/>
      <c r="P312" s="61"/>
      <c r="Q312" s="281"/>
      <c r="R312" s="61"/>
      <c r="S312" s="61"/>
      <c r="T312" s="61"/>
      <c r="U312" s="61"/>
      <c r="V312" s="281"/>
      <c r="W312" s="61"/>
      <c r="X312" s="61"/>
      <c r="Y312" s="61"/>
      <c r="Z312" s="61"/>
      <c r="AA312" s="281"/>
      <c r="AB312" s="61"/>
      <c r="AC312" s="61"/>
      <c r="AD312" s="61"/>
      <c r="AE312" s="61"/>
      <c r="AF312" s="281"/>
      <c r="AG312" s="61"/>
      <c r="AH312" s="61"/>
      <c r="AI312" s="61"/>
      <c r="AJ312" s="61"/>
      <c r="AK312" s="281"/>
      <c r="AL312" s="61"/>
      <c r="AM312" s="61"/>
      <c r="AN312" s="61"/>
      <c r="AO312" s="61"/>
      <c r="AP312" s="281"/>
      <c r="AQ312" s="61"/>
      <c r="AR312" s="61"/>
      <c r="AS312" s="61"/>
      <c r="AT312" s="61"/>
      <c r="AU312" s="166"/>
      <c r="AV312" s="45"/>
      <c r="AW312" s="440"/>
      <c r="AX312" s="440"/>
      <c r="AY312" s="440"/>
      <c r="AZ312" s="440"/>
      <c r="BA312" s="759"/>
      <c r="BB312" s="440"/>
      <c r="BC312" s="440"/>
      <c r="BD312" s="440"/>
      <c r="BE312" s="440"/>
      <c r="BF312" s="759"/>
      <c r="BG312" s="852"/>
      <c r="BH312" s="852"/>
      <c r="BI312" s="852"/>
      <c r="BJ312" s="440"/>
      <c r="BK312" s="759"/>
      <c r="BL312" s="852"/>
      <c r="BM312" s="852"/>
      <c r="BN312" s="852"/>
      <c r="BO312" s="440"/>
      <c r="BP312" s="759">
        <v>5.5</v>
      </c>
      <c r="BQ312" s="440"/>
      <c r="BR312" s="440"/>
      <c r="BS312" s="440"/>
      <c r="BT312" s="816"/>
      <c r="BU312" s="759">
        <v>-0.4</v>
      </c>
      <c r="BV312" s="1300"/>
      <c r="BW312" s="1300"/>
      <c r="BX312" s="1300"/>
      <c r="BY312" s="1300"/>
      <c r="BZ312" s="759">
        <v>-0.4</v>
      </c>
      <c r="CA312" s="816"/>
      <c r="CB312" s="816"/>
      <c r="CC312" s="440"/>
      <c r="CD312" s="816"/>
      <c r="CE312" s="759">
        <f t="shared" si="1654"/>
        <v>0</v>
      </c>
      <c r="CF312" s="816"/>
      <c r="CG312" s="816"/>
      <c r="CH312" s="816"/>
      <c r="CI312" s="816"/>
      <c r="CJ312" s="759">
        <f t="shared" si="1655"/>
        <v>0</v>
      </c>
      <c r="CK312" s="440"/>
      <c r="CL312" s="816"/>
      <c r="CM312" s="816"/>
      <c r="CN312" s="440"/>
      <c r="CO312" s="759">
        <f t="shared" si="1656"/>
        <v>0</v>
      </c>
      <c r="CP312" s="816"/>
      <c r="CQ312" s="816"/>
      <c r="CR312" s="816"/>
      <c r="CS312" s="816"/>
      <c r="CT312" s="759">
        <f t="shared" si="1657"/>
        <v>0</v>
      </c>
      <c r="CU312" s="816"/>
      <c r="CV312" s="816"/>
      <c r="CW312" s="816"/>
      <c r="CX312" s="816"/>
      <c r="CY312" s="759">
        <f t="shared" si="1658"/>
        <v>0</v>
      </c>
      <c r="CZ312" s="816"/>
      <c r="DA312" s="816"/>
      <c r="DB312" s="816"/>
      <c r="DC312" s="816"/>
      <c r="DD312" s="759">
        <f t="shared" si="1659"/>
        <v>0</v>
      </c>
      <c r="DE312" s="816"/>
      <c r="DF312" s="816"/>
      <c r="DG312" s="816"/>
      <c r="DH312" s="816"/>
      <c r="DI312" s="759">
        <f t="shared" si="1660"/>
        <v>0</v>
      </c>
      <c r="DJ312" s="816"/>
      <c r="DK312" s="816"/>
      <c r="DL312" s="816"/>
      <c r="DM312" s="816"/>
      <c r="DN312" s="759">
        <f t="shared" si="1661"/>
        <v>0</v>
      </c>
      <c r="DO312" s="816"/>
      <c r="DP312" s="816"/>
      <c r="DQ312" s="816"/>
      <c r="DR312" s="816"/>
      <c r="DS312" s="759">
        <f t="shared" si="1662"/>
        <v>0</v>
      </c>
      <c r="DT312" s="816"/>
      <c r="DU312" s="816"/>
      <c r="DV312" s="816"/>
      <c r="DW312" s="816"/>
      <c r="DX312" s="759">
        <f t="shared" si="1663"/>
        <v>0</v>
      </c>
      <c r="DY312" s="816"/>
      <c r="DZ312" s="816"/>
      <c r="EA312" s="816"/>
      <c r="EB312" s="816"/>
      <c r="EC312" s="759">
        <f t="shared" si="1664"/>
        <v>0</v>
      </c>
      <c r="ED312" s="118"/>
      <c r="EE312" s="61"/>
      <c r="EF312" s="285"/>
      <c r="EG312" s="118"/>
      <c r="EH312" s="118"/>
      <c r="EI312" s="118"/>
      <c r="EJ312" s="118"/>
      <c r="EK312" s="118"/>
      <c r="EL312" s="118"/>
      <c r="EM312" s="118"/>
      <c r="EN312" s="118"/>
      <c r="EO312" s="118"/>
      <c r="EP312" s="118"/>
      <c r="EQ312" s="118"/>
      <c r="ER312" s="118"/>
      <c r="ES312" s="118"/>
      <c r="ET312" s="118"/>
      <c r="EU312" s="118"/>
      <c r="EX312" s="118"/>
      <c r="EY312" s="986"/>
      <c r="EZ312" s="987"/>
      <c r="FA312" s="987"/>
      <c r="FB312" s="986"/>
      <c r="FC312" s="987"/>
      <c r="FD312" s="118"/>
    </row>
    <row r="313" spans="1:160" hidden="1" outlineLevel="1" x14ac:dyDescent="0.2">
      <c r="A313" s="281" t="s">
        <v>689</v>
      </c>
      <c r="B313" s="281"/>
      <c r="C313" s="61"/>
      <c r="D313" s="61"/>
      <c r="E313" s="61"/>
      <c r="F313" s="61"/>
      <c r="G313" s="281"/>
      <c r="H313" s="61"/>
      <c r="I313" s="61"/>
      <c r="J313" s="61"/>
      <c r="K313" s="61"/>
      <c r="L313" s="281"/>
      <c r="M313" s="61"/>
      <c r="N313" s="61"/>
      <c r="O313" s="61"/>
      <c r="P313" s="61"/>
      <c r="Q313" s="281"/>
      <c r="R313" s="61"/>
      <c r="S313" s="61"/>
      <c r="T313" s="61"/>
      <c r="U313" s="61"/>
      <c r="V313" s="281"/>
      <c r="W313" s="61"/>
      <c r="X313" s="61"/>
      <c r="Y313" s="61"/>
      <c r="Z313" s="61"/>
      <c r="AA313" s="281"/>
      <c r="AB313" s="61"/>
      <c r="AC313" s="61"/>
      <c r="AD313" s="61"/>
      <c r="AE313" s="61"/>
      <c r="AF313" s="281"/>
      <c r="AG313" s="61"/>
      <c r="AH313" s="61"/>
      <c r="AI313" s="61"/>
      <c r="AJ313" s="61"/>
      <c r="AK313" s="281"/>
      <c r="AL313" s="61"/>
      <c r="AM313" s="61"/>
      <c r="AN313" s="61"/>
      <c r="AO313" s="61"/>
      <c r="AP313" s="281"/>
      <c r="AQ313" s="61"/>
      <c r="AR313" s="61"/>
      <c r="AS313" s="61"/>
      <c r="AT313" s="61"/>
      <c r="AU313" s="166"/>
      <c r="AV313" s="45"/>
      <c r="AW313" s="440"/>
      <c r="AX313" s="440"/>
      <c r="AY313" s="440"/>
      <c r="AZ313" s="440"/>
      <c r="BA313" s="759"/>
      <c r="BB313" s="440"/>
      <c r="BC313" s="440"/>
      <c r="BD313" s="440"/>
      <c r="BE313" s="440"/>
      <c r="BF313" s="759"/>
      <c r="BG313" s="852"/>
      <c r="BH313" s="852"/>
      <c r="BI313" s="852"/>
      <c r="BJ313" s="440"/>
      <c r="BK313" s="759"/>
      <c r="BL313" s="852"/>
      <c r="BM313" s="852"/>
      <c r="BN313" s="852"/>
      <c r="BO313" s="440"/>
      <c r="BP313" s="759">
        <v>0.3</v>
      </c>
      <c r="BQ313" s="440"/>
      <c r="BR313" s="440"/>
      <c r="BS313" s="440"/>
      <c r="BT313" s="816"/>
      <c r="BU313" s="759">
        <v>0</v>
      </c>
      <c r="BV313" s="1300"/>
      <c r="BW313" s="1300"/>
      <c r="BX313" s="1300"/>
      <c r="BY313" s="1300"/>
      <c r="BZ313" s="759">
        <v>0</v>
      </c>
      <c r="CA313" s="816"/>
      <c r="CB313" s="816"/>
      <c r="CC313" s="440"/>
      <c r="CD313" s="816"/>
      <c r="CE313" s="759">
        <f t="shared" si="1654"/>
        <v>0</v>
      </c>
      <c r="CF313" s="816"/>
      <c r="CG313" s="816"/>
      <c r="CH313" s="816"/>
      <c r="CI313" s="816"/>
      <c r="CJ313" s="759">
        <f t="shared" si="1655"/>
        <v>0</v>
      </c>
      <c r="CK313" s="440"/>
      <c r="CL313" s="816"/>
      <c r="CM313" s="816"/>
      <c r="CN313" s="440"/>
      <c r="CO313" s="759">
        <f t="shared" si="1656"/>
        <v>0</v>
      </c>
      <c r="CP313" s="816"/>
      <c r="CQ313" s="816"/>
      <c r="CR313" s="816"/>
      <c r="CS313" s="816"/>
      <c r="CT313" s="759">
        <f t="shared" si="1657"/>
        <v>0</v>
      </c>
      <c r="CU313" s="816"/>
      <c r="CV313" s="816"/>
      <c r="CW313" s="816"/>
      <c r="CX313" s="816"/>
      <c r="CY313" s="759">
        <f t="shared" si="1658"/>
        <v>0</v>
      </c>
      <c r="CZ313" s="816"/>
      <c r="DA313" s="816"/>
      <c r="DB313" s="816"/>
      <c r="DC313" s="816"/>
      <c r="DD313" s="759">
        <f t="shared" si="1659"/>
        <v>0</v>
      </c>
      <c r="DE313" s="816"/>
      <c r="DF313" s="816"/>
      <c r="DG313" s="816"/>
      <c r="DH313" s="816"/>
      <c r="DI313" s="759">
        <f t="shared" si="1660"/>
        <v>0</v>
      </c>
      <c r="DJ313" s="816"/>
      <c r="DK313" s="816"/>
      <c r="DL313" s="816"/>
      <c r="DM313" s="816"/>
      <c r="DN313" s="759">
        <f t="shared" si="1661"/>
        <v>0</v>
      </c>
      <c r="DO313" s="816"/>
      <c r="DP313" s="816"/>
      <c r="DQ313" s="816"/>
      <c r="DR313" s="816"/>
      <c r="DS313" s="759">
        <f t="shared" si="1662"/>
        <v>0</v>
      </c>
      <c r="DT313" s="816"/>
      <c r="DU313" s="816"/>
      <c r="DV313" s="816"/>
      <c r="DW313" s="816"/>
      <c r="DX313" s="759">
        <f t="shared" si="1663"/>
        <v>0</v>
      </c>
      <c r="DY313" s="816"/>
      <c r="DZ313" s="816"/>
      <c r="EA313" s="816"/>
      <c r="EB313" s="816"/>
      <c r="EC313" s="759">
        <f t="shared" si="1664"/>
        <v>0</v>
      </c>
      <c r="ED313" s="118"/>
      <c r="EE313" s="61"/>
      <c r="EF313" s="285"/>
      <c r="EG313" s="118"/>
      <c r="EH313" s="118"/>
      <c r="EI313" s="118"/>
      <c r="EJ313" s="118"/>
      <c r="EK313" s="118"/>
      <c r="EL313" s="118"/>
      <c r="EM313" s="118"/>
      <c r="EN313" s="118"/>
      <c r="EO313" s="118"/>
      <c r="EP313" s="118"/>
      <c r="EQ313" s="118"/>
      <c r="ER313" s="118"/>
      <c r="ES313" s="118"/>
      <c r="ET313" s="118"/>
      <c r="EU313" s="118"/>
      <c r="EX313" s="118"/>
      <c r="EY313" s="986"/>
      <c r="EZ313" s="987"/>
      <c r="FA313" s="987"/>
      <c r="FB313" s="986"/>
      <c r="FC313" s="987"/>
      <c r="FD313" s="118"/>
    </row>
    <row r="314" spans="1:160" hidden="1" outlineLevel="1" x14ac:dyDescent="0.2">
      <c r="A314" s="281" t="s">
        <v>690</v>
      </c>
      <c r="B314" s="281"/>
      <c r="C314" s="61"/>
      <c r="D314" s="61"/>
      <c r="E314" s="61"/>
      <c r="F314" s="61"/>
      <c r="G314" s="281"/>
      <c r="H314" s="61"/>
      <c r="I314" s="61"/>
      <c r="J314" s="61"/>
      <c r="K314" s="61"/>
      <c r="L314" s="281"/>
      <c r="M314" s="61"/>
      <c r="N314" s="61"/>
      <c r="O314" s="61"/>
      <c r="P314" s="61"/>
      <c r="Q314" s="281"/>
      <c r="R314" s="61"/>
      <c r="S314" s="61"/>
      <c r="T314" s="61"/>
      <c r="U314" s="61"/>
      <c r="V314" s="281"/>
      <c r="W314" s="61"/>
      <c r="X314" s="61"/>
      <c r="Y314" s="61"/>
      <c r="Z314" s="61"/>
      <c r="AA314" s="281"/>
      <c r="AB314" s="61"/>
      <c r="AC314" s="61"/>
      <c r="AD314" s="61"/>
      <c r="AE314" s="61"/>
      <c r="AF314" s="281"/>
      <c r="AG314" s="61"/>
      <c r="AH314" s="61"/>
      <c r="AI314" s="61"/>
      <c r="AJ314" s="61"/>
      <c r="AK314" s="281"/>
      <c r="AL314" s="61"/>
      <c r="AM314" s="61"/>
      <c r="AN314" s="61"/>
      <c r="AO314" s="61"/>
      <c r="AP314" s="281"/>
      <c r="AQ314" s="61"/>
      <c r="AR314" s="61"/>
      <c r="AS314" s="61"/>
      <c r="AT314" s="61"/>
      <c r="AU314" s="166"/>
      <c r="AV314" s="45"/>
      <c r="AW314" s="440"/>
      <c r="AX314" s="440"/>
      <c r="AY314" s="440"/>
      <c r="AZ314" s="440"/>
      <c r="BA314" s="759"/>
      <c r="BB314" s="440"/>
      <c r="BC314" s="440"/>
      <c r="BD314" s="440"/>
      <c r="BE314" s="440"/>
      <c r="BF314" s="759"/>
      <c r="BG314" s="852"/>
      <c r="BH314" s="852"/>
      <c r="BI314" s="852"/>
      <c r="BJ314" s="440"/>
      <c r="BK314" s="759"/>
      <c r="BL314" s="852"/>
      <c r="BM314" s="852"/>
      <c r="BN314" s="852"/>
      <c r="BO314" s="440"/>
      <c r="BP314" s="759">
        <v>0</v>
      </c>
      <c r="BQ314" s="440"/>
      <c r="BR314" s="440"/>
      <c r="BS314" s="440"/>
      <c r="BT314" s="816"/>
      <c r="BU314" s="759">
        <v>0</v>
      </c>
      <c r="BV314" s="1300"/>
      <c r="BW314" s="1300"/>
      <c r="BX314" s="1300"/>
      <c r="BY314" s="1300"/>
      <c r="BZ314" s="759">
        <v>0</v>
      </c>
      <c r="CA314" s="816"/>
      <c r="CB314" s="816"/>
      <c r="CC314" s="440"/>
      <c r="CD314" s="816"/>
      <c r="CE314" s="759">
        <f t="shared" si="1654"/>
        <v>0</v>
      </c>
      <c r="CF314" s="816"/>
      <c r="CG314" s="816"/>
      <c r="CH314" s="816"/>
      <c r="CI314" s="816"/>
      <c r="CJ314" s="759">
        <f t="shared" si="1655"/>
        <v>0</v>
      </c>
      <c r="CK314" s="440"/>
      <c r="CL314" s="816"/>
      <c r="CM314" s="816"/>
      <c r="CN314" s="440"/>
      <c r="CO314" s="759">
        <f t="shared" si="1656"/>
        <v>0</v>
      </c>
      <c r="CP314" s="816"/>
      <c r="CQ314" s="816"/>
      <c r="CR314" s="816"/>
      <c r="CS314" s="816"/>
      <c r="CT314" s="759">
        <f t="shared" si="1657"/>
        <v>0</v>
      </c>
      <c r="CU314" s="816"/>
      <c r="CV314" s="816"/>
      <c r="CW314" s="816"/>
      <c r="CX314" s="816"/>
      <c r="CY314" s="759">
        <f t="shared" si="1658"/>
        <v>0</v>
      </c>
      <c r="CZ314" s="816"/>
      <c r="DA314" s="816"/>
      <c r="DB314" s="816"/>
      <c r="DC314" s="816"/>
      <c r="DD314" s="759">
        <f t="shared" si="1659"/>
        <v>0</v>
      </c>
      <c r="DE314" s="816"/>
      <c r="DF314" s="816"/>
      <c r="DG314" s="816"/>
      <c r="DH314" s="816"/>
      <c r="DI314" s="759">
        <f t="shared" si="1660"/>
        <v>0</v>
      </c>
      <c r="DJ314" s="816"/>
      <c r="DK314" s="816"/>
      <c r="DL314" s="816"/>
      <c r="DM314" s="816"/>
      <c r="DN314" s="759">
        <f t="shared" si="1661"/>
        <v>0</v>
      </c>
      <c r="DO314" s="816"/>
      <c r="DP314" s="816"/>
      <c r="DQ314" s="816"/>
      <c r="DR314" s="816"/>
      <c r="DS314" s="759">
        <f t="shared" si="1662"/>
        <v>0</v>
      </c>
      <c r="DT314" s="816"/>
      <c r="DU314" s="816"/>
      <c r="DV314" s="816"/>
      <c r="DW314" s="816"/>
      <c r="DX314" s="759">
        <f t="shared" si="1663"/>
        <v>0</v>
      </c>
      <c r="DY314" s="816"/>
      <c r="DZ314" s="816"/>
      <c r="EA314" s="816"/>
      <c r="EB314" s="816"/>
      <c r="EC314" s="759">
        <f t="shared" si="1664"/>
        <v>0</v>
      </c>
      <c r="ED314" s="118"/>
      <c r="EE314" s="61"/>
      <c r="EF314" s="285"/>
      <c r="EG314" s="118"/>
      <c r="EH314" s="118"/>
      <c r="EI314" s="118"/>
      <c r="EJ314" s="118"/>
      <c r="EK314" s="118"/>
      <c r="EL314" s="118"/>
      <c r="EM314" s="118"/>
      <c r="EN314" s="118"/>
      <c r="EO314" s="118"/>
      <c r="EP314" s="118"/>
      <c r="EQ314" s="118"/>
      <c r="ER314" s="118"/>
      <c r="ES314" s="118"/>
      <c r="ET314" s="118"/>
      <c r="EU314" s="118"/>
      <c r="EX314" s="118"/>
      <c r="EY314" s="986"/>
      <c r="EZ314" s="987"/>
      <c r="FA314" s="987"/>
      <c r="FB314" s="986"/>
      <c r="FC314" s="987"/>
      <c r="FD314" s="118"/>
    </row>
    <row r="315" spans="1:160" hidden="1" outlineLevel="1" x14ac:dyDescent="0.2">
      <c r="A315" s="281" t="s">
        <v>691</v>
      </c>
      <c r="B315" s="281"/>
      <c r="C315" s="61"/>
      <c r="D315" s="61"/>
      <c r="E315" s="61"/>
      <c r="F315" s="61"/>
      <c r="G315" s="281"/>
      <c r="H315" s="61"/>
      <c r="I315" s="61"/>
      <c r="J315" s="61"/>
      <c r="K315" s="61"/>
      <c r="L315" s="281"/>
      <c r="M315" s="61"/>
      <c r="N315" s="61"/>
      <c r="O315" s="61"/>
      <c r="P315" s="61"/>
      <c r="Q315" s="281"/>
      <c r="R315" s="61"/>
      <c r="S315" s="61"/>
      <c r="T315" s="61"/>
      <c r="U315" s="61"/>
      <c r="V315" s="281"/>
      <c r="W315" s="61"/>
      <c r="X315" s="61"/>
      <c r="Y315" s="61"/>
      <c r="Z315" s="61"/>
      <c r="AA315" s="281"/>
      <c r="AB315" s="61"/>
      <c r="AC315" s="61"/>
      <c r="AD315" s="61"/>
      <c r="AE315" s="61"/>
      <c r="AF315" s="281"/>
      <c r="AG315" s="61"/>
      <c r="AH315" s="61"/>
      <c r="AI315" s="61"/>
      <c r="AJ315" s="61"/>
      <c r="AK315" s="281"/>
      <c r="AL315" s="61"/>
      <c r="AM315" s="61"/>
      <c r="AN315" s="61"/>
      <c r="AO315" s="61"/>
      <c r="AP315" s="281"/>
      <c r="AQ315" s="61"/>
      <c r="AR315" s="61"/>
      <c r="AS315" s="61"/>
      <c r="AT315" s="61"/>
      <c r="AU315" s="166"/>
      <c r="AV315" s="45"/>
      <c r="AW315" s="440"/>
      <c r="AX315" s="440"/>
      <c r="AY315" s="440"/>
      <c r="AZ315" s="440"/>
      <c r="BA315" s="759"/>
      <c r="BB315" s="440"/>
      <c r="BC315" s="440"/>
      <c r="BD315" s="440"/>
      <c r="BE315" s="440"/>
      <c r="BF315" s="759"/>
      <c r="BG315" s="852"/>
      <c r="BH315" s="852"/>
      <c r="BI315" s="852"/>
      <c r="BJ315" s="440"/>
      <c r="BK315" s="759"/>
      <c r="BL315" s="852"/>
      <c r="BM315" s="852"/>
      <c r="BN315" s="852"/>
      <c r="BO315" s="440"/>
      <c r="BP315" s="759">
        <v>6.9</v>
      </c>
      <c r="BQ315" s="440"/>
      <c r="BR315" s="440"/>
      <c r="BS315" s="440"/>
      <c r="BT315" s="816"/>
      <c r="BU315" s="759">
        <v>10.199999999999999</v>
      </c>
      <c r="BV315" s="1300"/>
      <c r="BW315" s="1300"/>
      <c r="BX315" s="1300"/>
      <c r="BY315" s="1300"/>
      <c r="BZ315" s="759">
        <v>10.199999999999999</v>
      </c>
      <c r="CA315" s="816"/>
      <c r="CB315" s="816"/>
      <c r="CC315" s="440"/>
      <c r="CD315" s="816"/>
      <c r="CE315" s="759">
        <f t="shared" si="1654"/>
        <v>0</v>
      </c>
      <c r="CF315" s="816"/>
      <c r="CG315" s="816"/>
      <c r="CH315" s="816"/>
      <c r="CI315" s="816"/>
      <c r="CJ315" s="759">
        <f t="shared" si="1655"/>
        <v>0</v>
      </c>
      <c r="CK315" s="440"/>
      <c r="CL315" s="816"/>
      <c r="CM315" s="816"/>
      <c r="CN315" s="440"/>
      <c r="CO315" s="759">
        <f t="shared" si="1656"/>
        <v>0</v>
      </c>
      <c r="CP315" s="816"/>
      <c r="CQ315" s="816"/>
      <c r="CR315" s="816"/>
      <c r="CS315" s="816"/>
      <c r="CT315" s="759">
        <f t="shared" si="1657"/>
        <v>0</v>
      </c>
      <c r="CU315" s="816"/>
      <c r="CV315" s="816"/>
      <c r="CW315" s="816"/>
      <c r="CX315" s="816"/>
      <c r="CY315" s="759">
        <f t="shared" si="1658"/>
        <v>0</v>
      </c>
      <c r="CZ315" s="816"/>
      <c r="DA315" s="816"/>
      <c r="DB315" s="816"/>
      <c r="DC315" s="816"/>
      <c r="DD315" s="759">
        <f t="shared" si="1659"/>
        <v>0</v>
      </c>
      <c r="DE315" s="816"/>
      <c r="DF315" s="816"/>
      <c r="DG315" s="816"/>
      <c r="DH315" s="816"/>
      <c r="DI315" s="759">
        <f t="shared" si="1660"/>
        <v>0</v>
      </c>
      <c r="DJ315" s="816"/>
      <c r="DK315" s="816"/>
      <c r="DL315" s="816"/>
      <c r="DM315" s="816"/>
      <c r="DN315" s="759">
        <f t="shared" si="1661"/>
        <v>0</v>
      </c>
      <c r="DO315" s="816"/>
      <c r="DP315" s="816"/>
      <c r="DQ315" s="816"/>
      <c r="DR315" s="816"/>
      <c r="DS315" s="759">
        <f t="shared" si="1662"/>
        <v>0</v>
      </c>
      <c r="DT315" s="816"/>
      <c r="DU315" s="816"/>
      <c r="DV315" s="816"/>
      <c r="DW315" s="816"/>
      <c r="DX315" s="759">
        <f t="shared" si="1663"/>
        <v>0</v>
      </c>
      <c r="DY315" s="816"/>
      <c r="DZ315" s="816"/>
      <c r="EA315" s="816"/>
      <c r="EB315" s="816"/>
      <c r="EC315" s="759">
        <f t="shared" si="1664"/>
        <v>0</v>
      </c>
      <c r="ED315" s="118"/>
      <c r="EE315" s="61"/>
      <c r="EF315" s="285"/>
      <c r="EG315" s="118"/>
      <c r="EH315" s="118"/>
      <c r="EI315" s="118"/>
      <c r="EJ315" s="118"/>
      <c r="EK315" s="118"/>
      <c r="EL315" s="118"/>
      <c r="EM315" s="118"/>
      <c r="EN315" s="118"/>
      <c r="EO315" s="118"/>
      <c r="EP315" s="118"/>
      <c r="EQ315" s="118"/>
      <c r="ER315" s="118"/>
      <c r="ES315" s="118"/>
      <c r="ET315" s="118"/>
      <c r="EU315" s="118"/>
      <c r="EX315" s="118"/>
      <c r="EY315" s="986"/>
      <c r="EZ315" s="987"/>
      <c r="FA315" s="987"/>
      <c r="FB315" s="986"/>
      <c r="FC315" s="987"/>
      <c r="FD315" s="118"/>
    </row>
    <row r="316" spans="1:160" hidden="1" outlineLevel="1" x14ac:dyDescent="0.2">
      <c r="A316" s="281" t="s">
        <v>687</v>
      </c>
      <c r="B316" s="281"/>
      <c r="C316" s="61"/>
      <c r="D316" s="61"/>
      <c r="E316" s="61"/>
      <c r="F316" s="61"/>
      <c r="G316" s="281"/>
      <c r="H316" s="61"/>
      <c r="I316" s="61"/>
      <c r="J316" s="61"/>
      <c r="K316" s="61"/>
      <c r="L316" s="281"/>
      <c r="M316" s="61"/>
      <c r="N316" s="61"/>
      <c r="O316" s="61"/>
      <c r="P316" s="61"/>
      <c r="Q316" s="281"/>
      <c r="R316" s="61"/>
      <c r="S316" s="61"/>
      <c r="T316" s="61"/>
      <c r="U316" s="61"/>
      <c r="V316" s="281"/>
      <c r="W316" s="61"/>
      <c r="X316" s="61"/>
      <c r="Y316" s="61"/>
      <c r="Z316" s="61"/>
      <c r="AA316" s="281"/>
      <c r="AB316" s="61"/>
      <c r="AC316" s="61"/>
      <c r="AD316" s="61"/>
      <c r="AE316" s="61"/>
      <c r="AF316" s="281"/>
      <c r="AG316" s="61"/>
      <c r="AH316" s="61"/>
      <c r="AI316" s="61"/>
      <c r="AJ316" s="61"/>
      <c r="AK316" s="281"/>
      <c r="AL316" s="61"/>
      <c r="AM316" s="61"/>
      <c r="AN316" s="61"/>
      <c r="AO316" s="61"/>
      <c r="AP316" s="281"/>
      <c r="AQ316" s="61"/>
      <c r="AR316" s="61"/>
      <c r="AS316" s="61"/>
      <c r="AT316" s="61"/>
      <c r="AU316" s="166"/>
      <c r="AV316" s="45"/>
      <c r="AW316" s="440"/>
      <c r="AX316" s="440"/>
      <c r="AY316" s="440"/>
      <c r="AZ316" s="440"/>
      <c r="BA316" s="759"/>
      <c r="BB316" s="440">
        <f>BB318</f>
        <v>0.4</v>
      </c>
      <c r="BC316" s="440">
        <f t="shared" ref="BC316:BE316" si="1665">BC318</f>
        <v>0.3</v>
      </c>
      <c r="BD316" s="440">
        <f t="shared" si="1665"/>
        <v>0.2</v>
      </c>
      <c r="BE316" s="440">
        <f t="shared" si="1665"/>
        <v>0.3</v>
      </c>
      <c r="BF316" s="759">
        <f>SUM(BB316:BE316)</f>
        <v>1.2</v>
      </c>
      <c r="BG316" s="440">
        <f>BG318</f>
        <v>1.2</v>
      </c>
      <c r="BH316" s="440">
        <f t="shared" ref="BH316:BJ316" si="1666">BH318</f>
        <v>0.6</v>
      </c>
      <c r="BI316" s="440">
        <f t="shared" si="1666"/>
        <v>-0.4</v>
      </c>
      <c r="BJ316" s="440">
        <f t="shared" si="1666"/>
        <v>2.7</v>
      </c>
      <c r="BK316" s="759">
        <f>SUM(BG316:BJ316)</f>
        <v>4.0999999999999996</v>
      </c>
      <c r="BL316" s="440">
        <f>BL318</f>
        <v>5.2</v>
      </c>
      <c r="BM316" s="440">
        <f t="shared" ref="BM316:BO316" si="1667">BM318</f>
        <v>1.6</v>
      </c>
      <c r="BN316" s="440">
        <f t="shared" si="1667"/>
        <v>2.9</v>
      </c>
      <c r="BO316" s="440">
        <f t="shared" si="1667"/>
        <v>3</v>
      </c>
      <c r="BP316" s="759">
        <f>SUM(BL316:BO316)</f>
        <v>12.700000000000001</v>
      </c>
      <c r="BQ316" s="440">
        <f>BQ318</f>
        <v>4</v>
      </c>
      <c r="BR316" s="440">
        <f t="shared" ref="BR316:BS316" si="1668">BR318</f>
        <v>5.9</v>
      </c>
      <c r="BS316" s="440">
        <f t="shared" si="1668"/>
        <v>-4.0999999999999996</v>
      </c>
      <c r="BT316" s="440">
        <f>BU316-SUM(BQ316:BS316)</f>
        <v>3.9999999999999982</v>
      </c>
      <c r="BU316" s="759">
        <f>SUM(BU312:BU315)</f>
        <v>9.7999999999999989</v>
      </c>
      <c r="BV316" s="1300">
        <f>BV318</f>
        <v>4</v>
      </c>
      <c r="BW316" s="1300">
        <f t="shared" ref="BW316:BX316" si="1669">BW318</f>
        <v>5.9</v>
      </c>
      <c r="BX316" s="1300">
        <f t="shared" si="1669"/>
        <v>-4.0999999999999996</v>
      </c>
      <c r="BY316" s="1300">
        <f>BZ316-SUM(BV316:BX316)</f>
        <v>3.9999999999999982</v>
      </c>
      <c r="BZ316" s="759">
        <f>SUM(BZ312:BZ315)</f>
        <v>9.7999999999999989</v>
      </c>
      <c r="CA316" s="816">
        <v>0</v>
      </c>
      <c r="CB316" s="816"/>
      <c r="CC316" s="440">
        <v>0</v>
      </c>
      <c r="CD316" s="816">
        <v>4</v>
      </c>
      <c r="CE316" s="759">
        <f t="shared" si="1654"/>
        <v>4</v>
      </c>
      <c r="CF316" s="816">
        <v>3</v>
      </c>
      <c r="CG316" s="816">
        <v>3</v>
      </c>
      <c r="CH316" s="816">
        <v>3</v>
      </c>
      <c r="CI316" s="816">
        <v>3</v>
      </c>
      <c r="CJ316" s="759">
        <f t="shared" si="1655"/>
        <v>12</v>
      </c>
      <c r="CK316" s="440">
        <v>2</v>
      </c>
      <c r="CL316" s="440">
        <v>2</v>
      </c>
      <c r="CM316" s="440">
        <v>2</v>
      </c>
      <c r="CN316" s="440">
        <v>2</v>
      </c>
      <c r="CO316" s="759">
        <f t="shared" si="1656"/>
        <v>8</v>
      </c>
      <c r="CP316" s="440">
        <v>1</v>
      </c>
      <c r="CQ316" s="816">
        <v>1</v>
      </c>
      <c r="CR316" s="816">
        <v>1</v>
      </c>
      <c r="CS316" s="816">
        <v>1</v>
      </c>
      <c r="CT316" s="759">
        <f t="shared" si="1657"/>
        <v>4</v>
      </c>
      <c r="CU316" s="816">
        <v>0</v>
      </c>
      <c r="CV316" s="816">
        <v>0</v>
      </c>
      <c r="CW316" s="816">
        <v>0</v>
      </c>
      <c r="CX316" s="816">
        <v>0</v>
      </c>
      <c r="CY316" s="759">
        <f t="shared" si="1658"/>
        <v>0</v>
      </c>
      <c r="CZ316" s="816">
        <v>-1.5</v>
      </c>
      <c r="DA316" s="816">
        <v>-1.5</v>
      </c>
      <c r="DB316" s="816">
        <v>-1.5</v>
      </c>
      <c r="DC316" s="816">
        <v>-1.5</v>
      </c>
      <c r="DD316" s="759">
        <f t="shared" si="1659"/>
        <v>-6</v>
      </c>
      <c r="DE316" s="816">
        <v>-3</v>
      </c>
      <c r="DF316" s="816">
        <v>-3</v>
      </c>
      <c r="DG316" s="816">
        <v>-3</v>
      </c>
      <c r="DH316" s="816">
        <v>-3</v>
      </c>
      <c r="DI316" s="759">
        <f t="shared" si="1660"/>
        <v>-12</v>
      </c>
      <c r="DJ316" s="816">
        <v>-4.5</v>
      </c>
      <c r="DK316" s="816">
        <v>-4.5</v>
      </c>
      <c r="DL316" s="816">
        <v>-4.5</v>
      </c>
      <c r="DM316" s="816">
        <v>-4.5</v>
      </c>
      <c r="DN316" s="759">
        <f t="shared" si="1661"/>
        <v>-18</v>
      </c>
      <c r="DO316" s="816">
        <v>-6</v>
      </c>
      <c r="DP316" s="816">
        <v>-6</v>
      </c>
      <c r="DQ316" s="816">
        <v>-6</v>
      </c>
      <c r="DR316" s="816">
        <v>-6</v>
      </c>
      <c r="DS316" s="759">
        <f t="shared" si="1662"/>
        <v>-24</v>
      </c>
      <c r="DT316" s="816">
        <v>-7.5</v>
      </c>
      <c r="DU316" s="816">
        <v>-7.5</v>
      </c>
      <c r="DV316" s="816">
        <v>-7.5</v>
      </c>
      <c r="DW316" s="816">
        <v>-7.5</v>
      </c>
      <c r="DX316" s="759">
        <f t="shared" si="1663"/>
        <v>-30</v>
      </c>
      <c r="DY316" s="816">
        <v>-9</v>
      </c>
      <c r="DZ316" s="816">
        <v>-9</v>
      </c>
      <c r="EA316" s="816">
        <v>-9</v>
      </c>
      <c r="EB316" s="816">
        <v>-9</v>
      </c>
      <c r="EC316" s="759">
        <f t="shared" si="1664"/>
        <v>-36</v>
      </c>
      <c r="ED316" s="118"/>
      <c r="EE316" s="61"/>
      <c r="EF316" s="285"/>
      <c r="EG316" s="118"/>
      <c r="EH316" s="118"/>
      <c r="EI316" s="118"/>
      <c r="EJ316" s="118"/>
      <c r="EK316" s="118"/>
      <c r="EL316" s="118"/>
      <c r="EM316" s="118"/>
      <c r="EN316" s="118"/>
      <c r="EO316" s="118"/>
      <c r="EP316" s="118"/>
      <c r="EQ316" s="118"/>
      <c r="ER316" s="118"/>
      <c r="ES316" s="118"/>
      <c r="ET316" s="118"/>
      <c r="EU316" s="118"/>
      <c r="EX316" s="118"/>
      <c r="EY316" s="986"/>
      <c r="EZ316" s="987"/>
      <c r="FA316" s="987"/>
      <c r="FB316" s="986"/>
      <c r="FC316" s="987"/>
      <c r="FD316" s="118"/>
    </row>
    <row r="317" spans="1:160" hidden="1" outlineLevel="1" x14ac:dyDescent="0.2">
      <c r="A317" s="281" t="s">
        <v>646</v>
      </c>
      <c r="B317" s="281"/>
      <c r="C317" s="61"/>
      <c r="D317" s="61"/>
      <c r="E317" s="61"/>
      <c r="F317" s="61"/>
      <c r="G317" s="281"/>
      <c r="H317" s="61"/>
      <c r="I317" s="61"/>
      <c r="J317" s="61"/>
      <c r="K317" s="61"/>
      <c r="L317" s="281"/>
      <c r="M317" s="61"/>
      <c r="N317" s="61"/>
      <c r="O317" s="61"/>
      <c r="P317" s="61"/>
      <c r="Q317" s="281"/>
      <c r="R317" s="61"/>
      <c r="S317" s="61"/>
      <c r="T317" s="61"/>
      <c r="U317" s="61"/>
      <c r="V317" s="281"/>
      <c r="W317" s="61"/>
      <c r="X317" s="61"/>
      <c r="Y317" s="61"/>
      <c r="Z317" s="61"/>
      <c r="AA317" s="281"/>
      <c r="AB317" s="61"/>
      <c r="AC317" s="61"/>
      <c r="AD317" s="61"/>
      <c r="AE317" s="61"/>
      <c r="AF317" s="281"/>
      <c r="AG317" s="61"/>
      <c r="AH317" s="61"/>
      <c r="AI317" s="61"/>
      <c r="AJ317" s="61"/>
      <c r="AK317" s="281"/>
      <c r="AL317" s="61"/>
      <c r="AM317" s="61"/>
      <c r="AN317" s="61"/>
      <c r="AO317" s="61"/>
      <c r="AP317" s="281"/>
      <c r="AQ317" s="61"/>
      <c r="AR317" s="61"/>
      <c r="AS317" s="61"/>
      <c r="AT317" s="61"/>
      <c r="AU317" s="166"/>
      <c r="AV317" s="45"/>
      <c r="AW317" s="440"/>
      <c r="AX317" s="440"/>
      <c r="AY317" s="440"/>
      <c r="AZ317" s="440"/>
      <c r="BA317" s="759"/>
      <c r="BB317" s="440"/>
      <c r="BC317" s="440"/>
      <c r="BD317" s="440"/>
      <c r="BE317" s="440"/>
      <c r="BF317" s="759"/>
      <c r="BG317" s="852"/>
      <c r="BH317" s="852"/>
      <c r="BI317" s="852"/>
      <c r="BJ317" s="440"/>
      <c r="BK317" s="759"/>
      <c r="BL317" s="852"/>
      <c r="BM317" s="852"/>
      <c r="BN317" s="852"/>
      <c r="BO317" s="440"/>
      <c r="BP317" s="759"/>
      <c r="BQ317" s="440"/>
      <c r="BR317" s="440"/>
      <c r="BS317" s="440"/>
      <c r="BT317" s="1101">
        <f>BU317</f>
        <v>-0.6</v>
      </c>
      <c r="BU317" s="759">
        <v>-0.6</v>
      </c>
      <c r="BV317" s="1300"/>
      <c r="BW317" s="1300"/>
      <c r="BX317" s="1300"/>
      <c r="BY317" s="1300">
        <f>BZ317</f>
        <v>-0.6</v>
      </c>
      <c r="BZ317" s="759">
        <v>-0.6</v>
      </c>
      <c r="CA317" s="816">
        <v>-2.6</v>
      </c>
      <c r="CB317" s="816">
        <v>0</v>
      </c>
      <c r="CC317" s="440">
        <v>-3</v>
      </c>
      <c r="CD317" s="816">
        <v>-3</v>
      </c>
      <c r="CE317" s="759">
        <f t="shared" si="1654"/>
        <v>-8.6</v>
      </c>
      <c r="CF317" s="816">
        <v>-4</v>
      </c>
      <c r="CG317" s="816">
        <v>-4</v>
      </c>
      <c r="CH317" s="816">
        <v>-4</v>
      </c>
      <c r="CI317" s="816">
        <v>-4</v>
      </c>
      <c r="CJ317" s="759">
        <f t="shared" si="1655"/>
        <v>-16</v>
      </c>
      <c r="CK317" s="440">
        <v>-4</v>
      </c>
      <c r="CL317" s="440">
        <v>-4</v>
      </c>
      <c r="CM317" s="440">
        <v>-4</v>
      </c>
      <c r="CN317" s="440">
        <v>-4</v>
      </c>
      <c r="CO317" s="759">
        <f t="shared" si="1656"/>
        <v>-16</v>
      </c>
      <c r="CP317" s="440">
        <v>-4</v>
      </c>
      <c r="CQ317" s="816">
        <v>-4</v>
      </c>
      <c r="CR317" s="816">
        <v>-4</v>
      </c>
      <c r="CS317" s="816">
        <v>-4</v>
      </c>
      <c r="CT317" s="759">
        <f t="shared" si="1657"/>
        <v>-16</v>
      </c>
      <c r="CU317" s="816">
        <v>-4</v>
      </c>
      <c r="CV317" s="816">
        <v>-4</v>
      </c>
      <c r="CW317" s="816">
        <v>-4</v>
      </c>
      <c r="CX317" s="816">
        <v>-4</v>
      </c>
      <c r="CY317" s="759">
        <f t="shared" si="1658"/>
        <v>-16</v>
      </c>
      <c r="CZ317" s="816">
        <v>-4</v>
      </c>
      <c r="DA317" s="816">
        <v>-4</v>
      </c>
      <c r="DB317" s="816">
        <v>-4</v>
      </c>
      <c r="DC317" s="816">
        <v>-4</v>
      </c>
      <c r="DD317" s="759">
        <f t="shared" si="1659"/>
        <v>-16</v>
      </c>
      <c r="DE317" s="816">
        <v>-4</v>
      </c>
      <c r="DF317" s="816">
        <v>-4</v>
      </c>
      <c r="DG317" s="816">
        <v>-4</v>
      </c>
      <c r="DH317" s="816">
        <v>-4</v>
      </c>
      <c r="DI317" s="759">
        <f t="shared" si="1660"/>
        <v>-16</v>
      </c>
      <c r="DJ317" s="816">
        <v>-4</v>
      </c>
      <c r="DK317" s="816">
        <v>-4</v>
      </c>
      <c r="DL317" s="816">
        <v>-4</v>
      </c>
      <c r="DM317" s="816">
        <v>-4</v>
      </c>
      <c r="DN317" s="759">
        <f t="shared" si="1661"/>
        <v>-16</v>
      </c>
      <c r="DO317" s="816">
        <v>-4</v>
      </c>
      <c r="DP317" s="816">
        <v>-4</v>
      </c>
      <c r="DQ317" s="816">
        <v>-4</v>
      </c>
      <c r="DR317" s="816">
        <v>-4</v>
      </c>
      <c r="DS317" s="759">
        <f t="shared" si="1662"/>
        <v>-16</v>
      </c>
      <c r="DT317" s="816">
        <v>-4</v>
      </c>
      <c r="DU317" s="816">
        <v>-4</v>
      </c>
      <c r="DV317" s="816">
        <v>-4</v>
      </c>
      <c r="DW317" s="816">
        <v>-4</v>
      </c>
      <c r="DX317" s="759">
        <f t="shared" si="1663"/>
        <v>-16</v>
      </c>
      <c r="DY317" s="816">
        <v>-4</v>
      </c>
      <c r="DZ317" s="816">
        <v>-4</v>
      </c>
      <c r="EA317" s="816">
        <v>-4</v>
      </c>
      <c r="EB317" s="816">
        <v>-4</v>
      </c>
      <c r="EC317" s="759">
        <f t="shared" si="1664"/>
        <v>-16</v>
      </c>
      <c r="ED317" s="118"/>
      <c r="EE317" s="61"/>
      <c r="EF317" s="285"/>
      <c r="EG317" s="118"/>
      <c r="EH317" s="118"/>
      <c r="EI317" s="118"/>
      <c r="EJ317" s="118"/>
      <c r="EK317" s="118"/>
      <c r="EL317" s="118"/>
      <c r="EM317" s="118"/>
      <c r="EN317" s="118"/>
      <c r="EO317" s="118"/>
      <c r="EP317" s="118"/>
      <c r="EQ317" s="118"/>
      <c r="ER317" s="118"/>
      <c r="ES317" s="118"/>
      <c r="ET317" s="118"/>
      <c r="EU317" s="118"/>
      <c r="EX317" s="118"/>
      <c r="EY317" s="986"/>
      <c r="EZ317" s="987"/>
      <c r="FA317" s="987"/>
      <c r="FB317" s="986"/>
      <c r="FC317" s="987"/>
      <c r="FD317" s="118"/>
    </row>
    <row r="318" spans="1:160" collapsed="1" x14ac:dyDescent="0.2">
      <c r="A318" s="49" t="s">
        <v>376</v>
      </c>
      <c r="B318" s="49"/>
      <c r="C318" s="37"/>
      <c r="D318" s="37"/>
      <c r="E318" s="37"/>
      <c r="F318" s="37"/>
      <c r="G318" s="49"/>
      <c r="H318" s="37"/>
      <c r="I318" s="37"/>
      <c r="J318" s="37"/>
      <c r="K318" s="37"/>
      <c r="L318" s="49"/>
      <c r="M318" s="37"/>
      <c r="N318" s="37"/>
      <c r="O318" s="37"/>
      <c r="P318" s="37"/>
      <c r="Q318" s="49"/>
      <c r="R318" s="37"/>
      <c r="S318" s="37"/>
      <c r="T318" s="37"/>
      <c r="U318" s="37"/>
      <c r="V318" s="49"/>
      <c r="W318" s="37"/>
      <c r="X318" s="37"/>
      <c r="Y318" s="37"/>
      <c r="Z318" s="37"/>
      <c r="AA318" s="49"/>
      <c r="AB318" s="37"/>
      <c r="AC318" s="37"/>
      <c r="AD318" s="37"/>
      <c r="AE318" s="37"/>
      <c r="AF318" s="49"/>
      <c r="AG318" s="37"/>
      <c r="AH318" s="37"/>
      <c r="AI318" s="37"/>
      <c r="AJ318" s="37"/>
      <c r="AK318" s="49"/>
      <c r="AL318" s="37"/>
      <c r="AM318" s="37"/>
      <c r="AN318" s="37"/>
      <c r="AO318" s="37"/>
      <c r="AP318" s="49"/>
      <c r="AQ318" s="37"/>
      <c r="AR318" s="37"/>
      <c r="AS318" s="37"/>
      <c r="AT318" s="37"/>
      <c r="AU318" s="32"/>
      <c r="AV318" s="49"/>
      <c r="AW318" s="46"/>
      <c r="AX318" s="46"/>
      <c r="AY318" s="46"/>
      <c r="AZ318" s="46"/>
      <c r="BA318" s="48"/>
      <c r="BB318" s="46">
        <v>0.4</v>
      </c>
      <c r="BC318" s="46">
        <v>0.3</v>
      </c>
      <c r="BD318" s="46">
        <v>0.2</v>
      </c>
      <c r="BE318" s="46">
        <v>0.3</v>
      </c>
      <c r="BF318" s="48">
        <v>1.2</v>
      </c>
      <c r="BG318" s="46">
        <v>1.2</v>
      </c>
      <c r="BH318" s="46">
        <v>0.6</v>
      </c>
      <c r="BI318" s="46">
        <v>-0.4</v>
      </c>
      <c r="BJ318" s="46">
        <v>2.7</v>
      </c>
      <c r="BK318" s="48">
        <v>4.0999999999999996</v>
      </c>
      <c r="BL318" s="46">
        <v>5.2</v>
      </c>
      <c r="BM318" s="46">
        <v>1.6</v>
      </c>
      <c r="BN318" s="46">
        <v>2.9</v>
      </c>
      <c r="BO318" s="46">
        <v>3</v>
      </c>
      <c r="BP318" s="48">
        <v>12.7</v>
      </c>
      <c r="BQ318" s="46">
        <v>4</v>
      </c>
      <c r="BR318" s="46">
        <v>5.9</v>
      </c>
      <c r="BS318" s="46">
        <v>-4.0999999999999996</v>
      </c>
      <c r="BT318" s="46">
        <f>BU318-SUM(BQ318:BS318)</f>
        <v>3.3999999999999986</v>
      </c>
      <c r="BU318" s="48">
        <f>SUM(BU316:BU317)</f>
        <v>9.1999999999999993</v>
      </c>
      <c r="BV318" s="1071">
        <v>4</v>
      </c>
      <c r="BW318" s="1071">
        <v>5.9</v>
      </c>
      <c r="BX318" s="1071">
        <v>-4.0999999999999996</v>
      </c>
      <c r="BY318" s="1071">
        <f>BZ318-SUM(BV318:BX318)</f>
        <v>3.3999999999999986</v>
      </c>
      <c r="BZ318" s="48">
        <f>SUM(BZ316:BZ317)</f>
        <v>9.1999999999999993</v>
      </c>
      <c r="CA318" s="1102">
        <v>-2.8</v>
      </c>
      <c r="CB318" s="1102">
        <f t="shared" ref="CB318:CD318" si="1670">CB316+CB317</f>
        <v>0</v>
      </c>
      <c r="CC318" s="46">
        <f t="shared" si="1670"/>
        <v>-3</v>
      </c>
      <c r="CD318" s="1102">
        <f t="shared" si="1670"/>
        <v>1</v>
      </c>
      <c r="CE318" s="1103">
        <f t="shared" si="1654"/>
        <v>-4.8</v>
      </c>
      <c r="CF318" s="1102">
        <f>CF316+CF317</f>
        <v>-1</v>
      </c>
      <c r="CG318" s="1102">
        <f t="shared" ref="CG318" si="1671">CG316+CG317</f>
        <v>-1</v>
      </c>
      <c r="CH318" s="1102">
        <f t="shared" ref="CH318" si="1672">CH316+CH317</f>
        <v>-1</v>
      </c>
      <c r="CI318" s="1102">
        <f t="shared" ref="CI318" si="1673">CI316+CI317</f>
        <v>-1</v>
      </c>
      <c r="CJ318" s="1103">
        <f>SUM(CF318:CI318)</f>
        <v>-4</v>
      </c>
      <c r="CK318" s="46">
        <f>CK37</f>
        <v>-5.7</v>
      </c>
      <c r="CL318" s="46">
        <f t="shared" ref="CL318:CN318" si="1674">CL37</f>
        <v>0.9</v>
      </c>
      <c r="CM318" s="46">
        <f t="shared" si="1674"/>
        <v>-4.0999999999999996</v>
      </c>
      <c r="CN318" s="46">
        <f t="shared" si="1674"/>
        <v>-3.5</v>
      </c>
      <c r="CO318" s="48">
        <f>SUM(CK318:CN318)</f>
        <v>-12.399999999999999</v>
      </c>
      <c r="CP318" s="46">
        <f t="shared" ref="CP318" si="1675">CP37</f>
        <v>-14.3</v>
      </c>
      <c r="CQ318" s="1102">
        <f t="shared" ref="CQ318" si="1676">CQ316+CQ317</f>
        <v>-3</v>
      </c>
      <c r="CR318" s="1102">
        <v>-5</v>
      </c>
      <c r="CS318" s="1102">
        <v>-4</v>
      </c>
      <c r="CT318" s="1103">
        <f>SUM(CP318:CS318)</f>
        <v>-26.3</v>
      </c>
      <c r="CU318" s="1102">
        <v>-7</v>
      </c>
      <c r="CV318" s="1102">
        <v>-6</v>
      </c>
      <c r="CW318" s="1102">
        <v>-6</v>
      </c>
      <c r="CX318" s="1102">
        <v>-5</v>
      </c>
      <c r="CY318" s="1103">
        <f>SUM(CU318:CX318)</f>
        <v>-24</v>
      </c>
      <c r="CZ318" s="1102">
        <v>-8</v>
      </c>
      <c r="DA318" s="1102">
        <v>-7</v>
      </c>
      <c r="DB318" s="1102">
        <v>-7</v>
      </c>
      <c r="DC318" s="1102">
        <v>-6</v>
      </c>
      <c r="DD318" s="1103">
        <f>SUM(CZ318:DC318)</f>
        <v>-28</v>
      </c>
      <c r="DE318" s="1102">
        <f>DE316+DE317</f>
        <v>-7</v>
      </c>
      <c r="DF318" s="1102">
        <f t="shared" ref="DF318" si="1677">DF316+DF317</f>
        <v>-7</v>
      </c>
      <c r="DG318" s="1102">
        <f t="shared" ref="DG318" si="1678">DG316+DG317</f>
        <v>-7</v>
      </c>
      <c r="DH318" s="1102">
        <f t="shared" ref="DH318" si="1679">DH316+DH317</f>
        <v>-7</v>
      </c>
      <c r="DI318" s="1103">
        <f>SUM(DE318:DH318)</f>
        <v>-28</v>
      </c>
      <c r="DJ318" s="1102">
        <f>DJ316+DJ317</f>
        <v>-8.5</v>
      </c>
      <c r="DK318" s="1102">
        <f t="shared" ref="DK318" si="1680">DK316+DK317</f>
        <v>-8.5</v>
      </c>
      <c r="DL318" s="1102">
        <f t="shared" ref="DL318" si="1681">DL316+DL317</f>
        <v>-8.5</v>
      </c>
      <c r="DM318" s="1102">
        <f t="shared" ref="DM318" si="1682">DM316+DM317</f>
        <v>-8.5</v>
      </c>
      <c r="DN318" s="1103">
        <f>SUM(DJ318:DM318)</f>
        <v>-34</v>
      </c>
      <c r="DO318" s="1102">
        <f>DO316+DO317</f>
        <v>-10</v>
      </c>
      <c r="DP318" s="1102">
        <f t="shared" ref="DP318" si="1683">DP316+DP317</f>
        <v>-10</v>
      </c>
      <c r="DQ318" s="1102">
        <f t="shared" ref="DQ318" si="1684">DQ316+DQ317</f>
        <v>-10</v>
      </c>
      <c r="DR318" s="1102">
        <f t="shared" ref="DR318" si="1685">DR316+DR317</f>
        <v>-10</v>
      </c>
      <c r="DS318" s="1103">
        <f>SUM(DO318:DR318)</f>
        <v>-40</v>
      </c>
      <c r="DT318" s="1102">
        <f>DT316+DT317</f>
        <v>-11.5</v>
      </c>
      <c r="DU318" s="1102">
        <f t="shared" ref="DU318" si="1686">DU316+DU317</f>
        <v>-11.5</v>
      </c>
      <c r="DV318" s="1102">
        <f t="shared" ref="DV318" si="1687">DV316+DV317</f>
        <v>-11.5</v>
      </c>
      <c r="DW318" s="1102">
        <f t="shared" ref="DW318" si="1688">DW316+DW317</f>
        <v>-11.5</v>
      </c>
      <c r="DX318" s="1103">
        <f>SUM(DT318:DW318)</f>
        <v>-46</v>
      </c>
      <c r="DY318" s="1102">
        <f>DY316+DY317</f>
        <v>-13</v>
      </c>
      <c r="DZ318" s="1102">
        <f t="shared" ref="DZ318:EB318" si="1689">DZ316+DZ317</f>
        <v>-13</v>
      </c>
      <c r="EA318" s="1102">
        <f t="shared" si="1689"/>
        <v>-13</v>
      </c>
      <c r="EB318" s="1102">
        <f t="shared" si="1689"/>
        <v>-13</v>
      </c>
      <c r="EC318" s="1103">
        <f>SUM(DY318:EB318)</f>
        <v>-52</v>
      </c>
      <c r="ED318" s="25"/>
      <c r="EE318" s="37"/>
      <c r="EF318" s="286"/>
      <c r="EG318" s="25"/>
      <c r="EH318" s="25"/>
      <c r="EI318" s="25"/>
      <c r="EJ318" s="25"/>
      <c r="EK318" s="25"/>
      <c r="EL318" s="25"/>
      <c r="EM318" s="25"/>
      <c r="EN318" s="25"/>
      <c r="EO318" s="25"/>
      <c r="EP318" s="25"/>
      <c r="EQ318" s="25"/>
      <c r="ER318" s="25"/>
      <c r="ES318" s="25"/>
      <c r="ET318" s="25"/>
      <c r="EU318" s="25"/>
      <c r="EX318" s="25"/>
      <c r="EY318" s="294"/>
      <c r="EZ318" s="985"/>
      <c r="FA318" s="985"/>
      <c r="FB318" s="294"/>
      <c r="FC318" s="985"/>
      <c r="FD318" s="25"/>
    </row>
    <row r="319" spans="1:160" x14ac:dyDescent="0.2">
      <c r="A319" s="876"/>
      <c r="B319" s="432"/>
      <c r="C319" s="746"/>
      <c r="D319" s="877"/>
      <c r="E319" s="621"/>
      <c r="F319" s="622"/>
      <c r="G319" s="432"/>
      <c r="H319" s="746"/>
      <c r="I319" s="621"/>
      <c r="J319" s="621"/>
      <c r="K319" s="621"/>
      <c r="L319" s="432"/>
      <c r="M319" s="621"/>
      <c r="N319" s="621"/>
      <c r="O319" s="621"/>
      <c r="P319" s="621"/>
      <c r="Q319" s="432"/>
      <c r="R319" s="621"/>
      <c r="S319" s="621"/>
      <c r="T319" s="621"/>
      <c r="U319" s="622"/>
      <c r="V319" s="432"/>
      <c r="W319" s="621"/>
      <c r="X319" s="621"/>
      <c r="Y319" s="621"/>
      <c r="Z319" s="622"/>
      <c r="AA319" s="314"/>
      <c r="AB319" s="746"/>
      <c r="AC319" s="621"/>
      <c r="AD319" s="621"/>
      <c r="AE319" s="621"/>
      <c r="AF319" s="432"/>
      <c r="AG319" s="878"/>
      <c r="AH319" s="878"/>
      <c r="AI319" s="878"/>
      <c r="AJ319" s="878"/>
      <c r="AK319" s="432"/>
      <c r="AL319" s="878"/>
      <c r="AM319" s="878"/>
      <c r="AN319" s="878"/>
      <c r="AO319" s="878"/>
      <c r="AP319" s="432"/>
      <c r="AQ319" s="878"/>
      <c r="AR319" s="878"/>
      <c r="AS319" s="878"/>
      <c r="AT319" s="878"/>
      <c r="AU319" s="313"/>
      <c r="AV319" s="45"/>
      <c r="AW319" s="878"/>
      <c r="AX319" s="878"/>
      <c r="AY319" s="878"/>
      <c r="AZ319" s="878"/>
      <c r="BA319" s="432"/>
      <c r="BB319" s="878"/>
      <c r="BC319" s="878"/>
      <c r="BD319" s="878"/>
      <c r="BE319" s="878"/>
      <c r="BF319" s="432"/>
      <c r="BG319" s="878"/>
      <c r="BH319" s="878"/>
      <c r="BI319" s="878"/>
      <c r="BJ319" s="878"/>
      <c r="BK319" s="432"/>
      <c r="BL319" s="878"/>
      <c r="BM319" s="878"/>
      <c r="BN319" s="878"/>
      <c r="BO319" s="878"/>
      <c r="BP319" s="432"/>
      <c r="BQ319" s="878"/>
      <c r="BR319" s="878"/>
      <c r="BS319" s="878"/>
      <c r="BT319" s="878"/>
      <c r="BU319" s="432"/>
      <c r="BV319" s="1313"/>
      <c r="BW319" s="1313"/>
      <c r="BX319" s="1313"/>
      <c r="BY319" s="1313"/>
      <c r="BZ319" s="432"/>
      <c r="CA319" s="878"/>
      <c r="CB319" s="878"/>
      <c r="CC319" s="878"/>
      <c r="CD319" s="878"/>
      <c r="CE319" s="432"/>
      <c r="CF319" s="878"/>
      <c r="CG319" s="878"/>
      <c r="CH319" s="878"/>
      <c r="CI319" s="878"/>
      <c r="CJ319" s="432"/>
      <c r="CK319" s="621"/>
      <c r="CL319" s="878"/>
      <c r="CM319" s="878"/>
      <c r="CN319" s="621"/>
      <c r="CO319" s="432"/>
      <c r="CP319" s="878"/>
      <c r="CQ319" s="878"/>
      <c r="CR319" s="878"/>
      <c r="CS319" s="878"/>
      <c r="CT319" s="432"/>
      <c r="CU319" s="878"/>
      <c r="CV319" s="878"/>
      <c r="CW319" s="878"/>
      <c r="CX319" s="878"/>
      <c r="CY319" s="432"/>
      <c r="CZ319" s="878"/>
      <c r="DA319" s="878"/>
      <c r="DB319" s="878"/>
      <c r="DC319" s="878"/>
      <c r="DD319" s="432"/>
      <c r="DE319" s="878"/>
      <c r="DF319" s="878"/>
      <c r="DG319" s="878"/>
      <c r="DH319" s="878"/>
      <c r="DI319" s="432"/>
      <c r="DJ319" s="878"/>
      <c r="DK319" s="878"/>
      <c r="DL319" s="878"/>
      <c r="DM319" s="878"/>
      <c r="DN319" s="432"/>
      <c r="DO319" s="878"/>
      <c r="DP319" s="878"/>
      <c r="DQ319" s="878"/>
      <c r="DR319" s="878"/>
      <c r="DS319" s="432"/>
      <c r="DT319" s="878"/>
      <c r="DU319" s="878"/>
      <c r="DV319" s="878"/>
      <c r="DW319" s="878"/>
      <c r="DX319" s="432"/>
      <c r="DY319" s="878"/>
      <c r="DZ319" s="878"/>
      <c r="EA319" s="878"/>
      <c r="EB319" s="878"/>
      <c r="EC319" s="432"/>
      <c r="ED319" s="38"/>
      <c r="EE319" s="21"/>
      <c r="EF319" s="284"/>
      <c r="EG319" s="16"/>
      <c r="EH319" s="16"/>
      <c r="EI319" s="16"/>
      <c r="EJ319" s="16"/>
      <c r="EK319" s="16"/>
      <c r="EL319" s="16"/>
      <c r="EM319" s="16"/>
      <c r="EN319" s="16"/>
      <c r="EO319" s="16"/>
      <c r="EP319" s="16"/>
      <c r="EQ319" s="16"/>
      <c r="ER319" s="16"/>
      <c r="ES319" s="16"/>
      <c r="ET319" s="16"/>
      <c r="EU319" s="16"/>
      <c r="EX319" s="16"/>
      <c r="EY319" s="228"/>
      <c r="EZ319" s="477"/>
      <c r="FA319" s="477"/>
      <c r="FB319" s="228"/>
      <c r="FC319" s="477"/>
      <c r="FD319" s="16"/>
    </row>
    <row r="320" spans="1:160" x14ac:dyDescent="0.2">
      <c r="A320" s="1697" t="s">
        <v>158</v>
      </c>
      <c r="B320" s="1698"/>
      <c r="C320" s="1699"/>
      <c r="D320" s="1700"/>
      <c r="E320" s="1701"/>
      <c r="F320" s="1702"/>
      <c r="G320" s="1698"/>
      <c r="H320" s="1699"/>
      <c r="I320" s="1701"/>
      <c r="J320" s="1701"/>
      <c r="K320" s="1701"/>
      <c r="L320" s="1698"/>
      <c r="M320" s="1701"/>
      <c r="N320" s="1701"/>
      <c r="O320" s="1701"/>
      <c r="P320" s="1701"/>
      <c r="Q320" s="1698"/>
      <c r="R320" s="1701"/>
      <c r="S320" s="1701"/>
      <c r="T320" s="1701"/>
      <c r="U320" s="1702"/>
      <c r="V320" s="1698"/>
      <c r="W320" s="1701"/>
      <c r="X320" s="1701"/>
      <c r="Y320" s="1701"/>
      <c r="Z320" s="1702"/>
      <c r="AA320" s="1703"/>
      <c r="AB320" s="1699"/>
      <c r="AC320" s="1701"/>
      <c r="AD320" s="1701"/>
      <c r="AE320" s="1701"/>
      <c r="AF320" s="1698"/>
      <c r="AG320" s="1704"/>
      <c r="AH320" s="1704"/>
      <c r="AI320" s="1704"/>
      <c r="AJ320" s="1704"/>
      <c r="AK320" s="1698"/>
      <c r="AL320" s="1704"/>
      <c r="AM320" s="1704"/>
      <c r="AN320" s="1704"/>
      <c r="AO320" s="1704"/>
      <c r="AP320" s="1698"/>
      <c r="AQ320" s="1704"/>
      <c r="AR320" s="1704"/>
      <c r="AS320" s="1704"/>
      <c r="AT320" s="1704"/>
      <c r="AU320" s="1705"/>
      <c r="AV320" s="1654"/>
      <c r="AW320" s="1704"/>
      <c r="AX320" s="1704"/>
      <c r="AY320" s="1704"/>
      <c r="AZ320" s="1704"/>
      <c r="BA320" s="1698"/>
      <c r="BB320" s="1704"/>
      <c r="BC320" s="1704"/>
      <c r="BD320" s="1704"/>
      <c r="BE320" s="1704"/>
      <c r="BF320" s="1698"/>
      <c r="BG320" s="1704"/>
      <c r="BH320" s="1704"/>
      <c r="BI320" s="1704"/>
      <c r="BJ320" s="1704"/>
      <c r="BK320" s="1698"/>
      <c r="BL320" s="1704"/>
      <c r="BM320" s="1704"/>
      <c r="BN320" s="1704"/>
      <c r="BO320" s="1704"/>
      <c r="BP320" s="1698"/>
      <c r="BQ320" s="1704"/>
      <c r="BR320" s="1704"/>
      <c r="BS320" s="1704"/>
      <c r="BT320" s="1704"/>
      <c r="BU320" s="1698"/>
      <c r="BV320" s="1706"/>
      <c r="BW320" s="1706"/>
      <c r="BX320" s="1706"/>
      <c r="BY320" s="1706"/>
      <c r="BZ320" s="1698"/>
      <c r="CA320" s="1704"/>
      <c r="CB320" s="1704"/>
      <c r="CC320" s="1704"/>
      <c r="CD320" s="1704"/>
      <c r="CE320" s="1698"/>
      <c r="CF320" s="1704"/>
      <c r="CG320" s="1704"/>
      <c r="CH320" s="1704"/>
      <c r="CI320" s="1704"/>
      <c r="CJ320" s="1698"/>
      <c r="CK320" s="1701"/>
      <c r="CL320" s="1704"/>
      <c r="CM320" s="1704"/>
      <c r="CN320" s="1701"/>
      <c r="CO320" s="1698"/>
      <c r="CP320" s="1704"/>
      <c r="CQ320" s="1704"/>
      <c r="CR320" s="1704"/>
      <c r="CS320" s="1704"/>
      <c r="CT320" s="1698"/>
      <c r="CU320" s="1704"/>
      <c r="CV320" s="1704"/>
      <c r="CW320" s="1704"/>
      <c r="CX320" s="1704"/>
      <c r="CY320" s="1698"/>
      <c r="CZ320" s="1704"/>
      <c r="DA320" s="1704"/>
      <c r="DB320" s="1704"/>
      <c r="DC320" s="1704"/>
      <c r="DD320" s="1698"/>
      <c r="DE320" s="1704"/>
      <c r="DF320" s="1704"/>
      <c r="DG320" s="1704"/>
      <c r="DH320" s="1704"/>
      <c r="DI320" s="1698"/>
      <c r="DJ320" s="1704"/>
      <c r="DK320" s="1704"/>
      <c r="DL320" s="1704"/>
      <c r="DM320" s="1704"/>
      <c r="DN320" s="1698"/>
      <c r="DO320" s="1704"/>
      <c r="DP320" s="1704"/>
      <c r="DQ320" s="1704"/>
      <c r="DR320" s="1704"/>
      <c r="DS320" s="1698"/>
      <c r="DT320" s="1704"/>
      <c r="DU320" s="1704"/>
      <c r="DV320" s="1704"/>
      <c r="DW320" s="1704"/>
      <c r="DX320" s="1698"/>
      <c r="DY320" s="1704"/>
      <c r="DZ320" s="1704"/>
      <c r="EA320" s="1704"/>
      <c r="EB320" s="1704"/>
      <c r="EC320" s="1698"/>
      <c r="ED320" s="38"/>
      <c r="EE320" s="21"/>
      <c r="EF320" s="284"/>
      <c r="EG320" s="16"/>
      <c r="EH320" s="16"/>
      <c r="EI320" s="16"/>
      <c r="EJ320" s="16"/>
      <c r="EK320" s="16"/>
      <c r="EL320" s="16"/>
      <c r="EM320" s="16"/>
      <c r="EN320" s="16"/>
      <c r="EO320" s="16"/>
      <c r="EP320" s="16"/>
      <c r="EQ320" s="16"/>
      <c r="ER320" s="16"/>
      <c r="ES320" s="16"/>
      <c r="ET320" s="16"/>
      <c r="EU320" s="16"/>
      <c r="EX320" s="16"/>
      <c r="EY320" s="228"/>
      <c r="EZ320" s="477"/>
      <c r="FA320" s="477"/>
      <c r="FB320" s="228"/>
      <c r="FC320" s="477"/>
      <c r="FD320" s="16"/>
    </row>
    <row r="321" spans="1:166" s="1066" customFormat="1" hidden="1" outlineLevel="1" x14ac:dyDescent="0.2">
      <c r="A321" s="1707" t="s">
        <v>682</v>
      </c>
      <c r="B321" s="1708"/>
      <c r="C321" s="1709"/>
      <c r="D321" s="1676"/>
      <c r="E321" s="1676"/>
      <c r="F321" s="1710"/>
      <c r="G321" s="1708"/>
      <c r="H321" s="1709"/>
      <c r="I321" s="1676"/>
      <c r="J321" s="1676"/>
      <c r="K321" s="1676"/>
      <c r="L321" s="1708"/>
      <c r="M321" s="1676"/>
      <c r="N321" s="1676"/>
      <c r="O321" s="1676"/>
      <c r="P321" s="1676"/>
      <c r="Q321" s="1708"/>
      <c r="R321" s="1676"/>
      <c r="S321" s="1676"/>
      <c r="T321" s="1676"/>
      <c r="U321" s="1710"/>
      <c r="V321" s="1708"/>
      <c r="W321" s="1676"/>
      <c r="X321" s="1676"/>
      <c r="Y321" s="1676"/>
      <c r="Z321" s="1710"/>
      <c r="AA321" s="1711"/>
      <c r="AB321" s="1709"/>
      <c r="AC321" s="1676"/>
      <c r="AD321" s="1676"/>
      <c r="AE321" s="1676"/>
      <c r="AF321" s="1708"/>
      <c r="AG321" s="1653"/>
      <c r="AH321" s="1653"/>
      <c r="AI321" s="1653"/>
      <c r="AJ321" s="1653"/>
      <c r="AK321" s="1708"/>
      <c r="AL321" s="1653"/>
      <c r="AM321" s="1653"/>
      <c r="AN321" s="1653"/>
      <c r="AO321" s="1653"/>
      <c r="AP321" s="1708"/>
      <c r="AQ321" s="1653"/>
      <c r="AR321" s="1653"/>
      <c r="AS321" s="1653"/>
      <c r="AT321" s="1653"/>
      <c r="AU321" s="1712"/>
      <c r="AV321" s="1654"/>
      <c r="AW321" s="1653"/>
      <c r="AX321" s="1653"/>
      <c r="AY321" s="1653"/>
      <c r="AZ321" s="1653"/>
      <c r="BA321" s="1708"/>
      <c r="BB321" s="1653"/>
      <c r="BC321" s="1653"/>
      <c r="BD321" s="1653"/>
      <c r="BE321" s="1653"/>
      <c r="BF321" s="1708"/>
      <c r="BG321" s="1653"/>
      <c r="BH321" s="1653"/>
      <c r="BI321" s="1653"/>
      <c r="BJ321" s="1653"/>
      <c r="BK321" s="1708"/>
      <c r="BL321" s="1676">
        <v>55.267317668599325</v>
      </c>
      <c r="BM321" s="1676">
        <v>50.886848724398135</v>
      </c>
      <c r="BN321" s="1676">
        <v>53.724754634678291</v>
      </c>
      <c r="BO321" s="1676">
        <v>51.816214177978878</v>
      </c>
      <c r="BP321" s="1708">
        <f>SUM(BL321:BO321)</f>
        <v>211.69513520565462</v>
      </c>
      <c r="BQ321" s="1676">
        <v>48.015359070153593</v>
      </c>
      <c r="BR321" s="1676">
        <v>46.90700612557427</v>
      </c>
      <c r="BS321" s="1676">
        <v>47.040659734671927</v>
      </c>
      <c r="BT321" s="1676">
        <v>71.16149999999999</v>
      </c>
      <c r="BU321" s="1708">
        <f>SUM(BQ321:BT321)</f>
        <v>213.12452493039979</v>
      </c>
      <c r="BV321" s="1713">
        <v>37.6</v>
      </c>
      <c r="BW321" s="1713">
        <v>39.200000000000003</v>
      </c>
      <c r="BX321" s="1713">
        <v>42</v>
      </c>
      <c r="BY321" s="1713">
        <v>41.565106844327438</v>
      </c>
      <c r="BZ321" s="1708">
        <f>SUM(BV321:BY321)</f>
        <v>160.36510684432744</v>
      </c>
      <c r="CA321" s="1676">
        <v>37.6</v>
      </c>
      <c r="CB321" s="1676">
        <v>39.200000000000003</v>
      </c>
      <c r="CC321" s="1676">
        <v>42</v>
      </c>
      <c r="CD321" s="1676">
        <v>40.200000000000003</v>
      </c>
      <c r="CE321" s="1708">
        <f>SUM(CA321:CD321)</f>
        <v>159</v>
      </c>
      <c r="CF321" s="1676">
        <v>42</v>
      </c>
      <c r="CG321" s="1676">
        <v>37.4</v>
      </c>
      <c r="CH321" s="1676">
        <v>43.5</v>
      </c>
      <c r="CI321" s="1676">
        <v>36.700000000000003</v>
      </c>
      <c r="CJ321" s="1708">
        <f>SUM(CF321:CI321)</f>
        <v>159.60000000000002</v>
      </c>
      <c r="CK321" s="1676">
        <v>38.200000000000003</v>
      </c>
      <c r="CL321" s="1676">
        <v>34.1</v>
      </c>
      <c r="CM321" s="1676">
        <v>38</v>
      </c>
      <c r="CN321" s="1676">
        <v>32.6</v>
      </c>
      <c r="CO321" s="1714">
        <f>SUM(CK321:CN321)</f>
        <v>142.9</v>
      </c>
      <c r="CP321" s="1676">
        <v>140.30000000000001</v>
      </c>
      <c r="CQ321" s="1676">
        <v>141.60478578090047</v>
      </c>
      <c r="CR321" s="1676">
        <v>142.88730172901001</v>
      </c>
      <c r="CS321" s="1676">
        <v>143.67069187086571</v>
      </c>
      <c r="CT321" s="1708">
        <f>SUM(CP321:CS321)</f>
        <v>568.46277938077628</v>
      </c>
      <c r="CU321" s="1676">
        <v>144.47218956686734</v>
      </c>
      <c r="CV321" s="1676">
        <v>145.36898596281665</v>
      </c>
      <c r="CW321" s="1676">
        <v>146.23397541765812</v>
      </c>
      <c r="CX321" s="1676">
        <v>146.68400337718577</v>
      </c>
      <c r="CY321" s="1708">
        <f>SUM(CU321:CX321)</f>
        <v>582.7591543245278</v>
      </c>
      <c r="CZ321" s="1676">
        <v>147.65212401577332</v>
      </c>
      <c r="DA321" s="1676">
        <v>146.39271436337117</v>
      </c>
      <c r="DB321" s="1676">
        <v>146.45022837070204</v>
      </c>
      <c r="DC321" s="1676">
        <v>145.94596080741834</v>
      </c>
      <c r="DD321" s="1708">
        <f>SUM(CZ321:DC321)</f>
        <v>586.44102755726487</v>
      </c>
      <c r="DE321" s="1676">
        <v>148.50858393556999</v>
      </c>
      <c r="DF321" s="1676">
        <v>148.39587725416317</v>
      </c>
      <c r="DG321" s="1676">
        <v>147.73320573846439</v>
      </c>
      <c r="DH321" s="1676">
        <v>146.40299788659416</v>
      </c>
      <c r="DI321" s="1708">
        <f>SUM(DE321:DH321)</f>
        <v>591.04066481479174</v>
      </c>
      <c r="DJ321" s="1676">
        <v>149.91407620910317</v>
      </c>
      <c r="DK321" s="1676">
        <v>149.35835259265193</v>
      </c>
      <c r="DL321" s="1676">
        <v>147.85570503884315</v>
      </c>
      <c r="DM321" s="1676">
        <v>145.64971195174641</v>
      </c>
      <c r="DN321" s="1708">
        <f>SUM(DJ321:DM321)</f>
        <v>592.77784579234469</v>
      </c>
      <c r="DO321" s="1676">
        <v>150.31559429006253</v>
      </c>
      <c r="DP321" s="1676">
        <v>149.24219206004818</v>
      </c>
      <c r="DQ321" s="1676">
        <v>146.78667997838531</v>
      </c>
      <c r="DR321" s="1676">
        <v>143.67175148645401</v>
      </c>
      <c r="DS321" s="1708">
        <f>SUM(DO321:DR321)</f>
        <v>590.0162178149501</v>
      </c>
      <c r="DT321" s="1676">
        <v>151.34688938418259</v>
      </c>
      <c r="DU321" s="1676">
        <v>148.03178412719518</v>
      </c>
      <c r="DV321" s="1676">
        <v>144.47102582319218</v>
      </c>
      <c r="DW321" s="1676">
        <v>140.33543708247845</v>
      </c>
      <c r="DX321" s="1708">
        <f>SUM(DT321:DW321)</f>
        <v>584.1851364170484</v>
      </c>
      <c r="DY321" s="1676">
        <v>147.86620778319502</v>
      </c>
      <c r="DZ321" s="1676">
        <v>145.56962911636765</v>
      </c>
      <c r="EA321" s="1676">
        <v>140.73627259246555</v>
      </c>
      <c r="EB321" s="1676">
        <v>135.45976310699837</v>
      </c>
      <c r="EC321" s="1708">
        <f>SUM(DY321:EB321)</f>
        <v>569.63187259902656</v>
      </c>
      <c r="ED321" s="38"/>
      <c r="EE321" s="21"/>
      <c r="EF321" s="398"/>
      <c r="EG321" s="16"/>
      <c r="EH321" s="16"/>
      <c r="EI321" s="16"/>
      <c r="EJ321" s="16"/>
      <c r="EK321" s="16"/>
      <c r="EL321" s="16"/>
      <c r="EM321" s="16"/>
      <c r="EN321" s="16"/>
      <c r="EO321" s="16"/>
      <c r="EP321" s="16"/>
      <c r="EQ321" s="16"/>
      <c r="ER321" s="16"/>
      <c r="ES321" s="16"/>
      <c r="ET321" s="16"/>
      <c r="EU321" s="16"/>
      <c r="EX321" s="16"/>
      <c r="EY321" s="228"/>
      <c r="EZ321" s="477"/>
      <c r="FA321" s="477"/>
      <c r="FB321" s="228"/>
      <c r="FC321" s="477"/>
      <c r="FD321" s="16"/>
      <c r="FE321"/>
      <c r="FF321"/>
      <c r="FG321"/>
      <c r="FH321"/>
      <c r="FI321"/>
      <c r="FJ321"/>
    </row>
    <row r="322" spans="1:166" s="1072" customFormat="1" hidden="1" outlineLevel="1" x14ac:dyDescent="0.2">
      <c r="A322" s="1715" t="s">
        <v>37</v>
      </c>
      <c r="B322" s="1716"/>
      <c r="C322" s="1717"/>
      <c r="D322" s="1686"/>
      <c r="E322" s="1686"/>
      <c r="F322" s="1718"/>
      <c r="G322" s="1716"/>
      <c r="H322" s="1717"/>
      <c r="I322" s="1686"/>
      <c r="J322" s="1686"/>
      <c r="K322" s="1686"/>
      <c r="L322" s="1716"/>
      <c r="M322" s="1686"/>
      <c r="N322" s="1686"/>
      <c r="O322" s="1686"/>
      <c r="P322" s="1686"/>
      <c r="Q322" s="1716"/>
      <c r="R322" s="1686"/>
      <c r="S322" s="1686"/>
      <c r="T322" s="1686"/>
      <c r="U322" s="1718"/>
      <c r="V322" s="1716"/>
      <c r="W322" s="1686"/>
      <c r="X322" s="1686"/>
      <c r="Y322" s="1686"/>
      <c r="Z322" s="1718"/>
      <c r="AA322" s="1719"/>
      <c r="AB322" s="1717"/>
      <c r="AC322" s="1686"/>
      <c r="AD322" s="1686"/>
      <c r="AE322" s="1686"/>
      <c r="AF322" s="1716"/>
      <c r="AG322" s="1720"/>
      <c r="AH322" s="1720"/>
      <c r="AI322" s="1720"/>
      <c r="AJ322" s="1720"/>
      <c r="AK322" s="1716"/>
      <c r="AL322" s="1720"/>
      <c r="AM322" s="1720"/>
      <c r="AN322" s="1720"/>
      <c r="AO322" s="1720"/>
      <c r="AP322" s="1716"/>
      <c r="AQ322" s="1720"/>
      <c r="AR322" s="1720"/>
      <c r="AS322" s="1720"/>
      <c r="AT322" s="1720"/>
      <c r="AU322" s="1721"/>
      <c r="AV322" s="1722"/>
      <c r="AW322" s="1720"/>
      <c r="AX322" s="1720"/>
      <c r="AY322" s="1720"/>
      <c r="AZ322" s="1720"/>
      <c r="BA322" s="1716"/>
      <c r="BB322" s="1720"/>
      <c r="BC322" s="1720"/>
      <c r="BD322" s="1720"/>
      <c r="BE322" s="1720"/>
      <c r="BF322" s="1716"/>
      <c r="BG322" s="1720"/>
      <c r="BH322" s="1720"/>
      <c r="BI322" s="1720"/>
      <c r="BJ322" s="1720"/>
      <c r="BK322" s="1716"/>
      <c r="BL322" s="1686"/>
      <c r="BM322" s="1686"/>
      <c r="BN322" s="1686"/>
      <c r="BO322" s="1686"/>
      <c r="BP322" s="1716"/>
      <c r="BQ322" s="1060">
        <f>BQ321/BL321-1</f>
        <v>-0.13121604058895742</v>
      </c>
      <c r="BR322" s="1060">
        <f t="shared" ref="BR322" si="1690">BR321/BM321-1</f>
        <v>-7.8209649420002192E-2</v>
      </c>
      <c r="BS322" s="1060">
        <f t="shared" ref="BS322" si="1691">BS321/BN321-1</f>
        <v>-0.12441368872612613</v>
      </c>
      <c r="BT322" s="1060">
        <f t="shared" ref="BT322" si="1692">BT321/BO321-1</f>
        <v>0.37334425389654524</v>
      </c>
      <c r="BU322" s="1670">
        <f t="shared" ref="BU322" si="1693">BU321/BP321-1</f>
        <v>6.7521141822959319E-3</v>
      </c>
      <c r="BV322" s="1723">
        <f>BV321/BQ321-1</f>
        <v>-0.21691723798078999</v>
      </c>
      <c r="BW322" s="1723">
        <f t="shared" ref="BW322" si="1694">BW321/BR321-1</f>
        <v>-0.16430394438182472</v>
      </c>
      <c r="BX322" s="1723">
        <f t="shared" ref="BX322" si="1695">BX321/BS321-1</f>
        <v>-0.10715537926345542</v>
      </c>
      <c r="BY322" s="1723">
        <f t="shared" ref="BY322" si="1696">BY321/BT321-1</f>
        <v>-0.41590457137177483</v>
      </c>
      <c r="BZ322" s="1670">
        <f t="shared" ref="BZ322" si="1697">BZ321/BU321-1</f>
        <v>-0.24755207362128795</v>
      </c>
      <c r="CA322" s="1060">
        <f t="shared" ref="CA322:CE322" si="1698">CA321/BQ321-1</f>
        <v>-0.21691723798078999</v>
      </c>
      <c r="CB322" s="1060">
        <f t="shared" si="1698"/>
        <v>-0.16430394438182472</v>
      </c>
      <c r="CC322" s="1060">
        <f t="shared" si="1698"/>
        <v>-0.10715537926345542</v>
      </c>
      <c r="CD322" s="1060">
        <f t="shared" si="1698"/>
        <v>-0.43508779325899527</v>
      </c>
      <c r="CE322" s="1670">
        <f t="shared" si="1698"/>
        <v>-0.2539572813033848</v>
      </c>
      <c r="CF322" s="1060">
        <f>CF321/CA321-1</f>
        <v>0.11702127659574457</v>
      </c>
      <c r="CG322" s="1060">
        <f t="shared" ref="CG322:CI322" si="1699">CG321/CB321-1</f>
        <v>-4.5918367346938882E-2</v>
      </c>
      <c r="CH322" s="1060">
        <f t="shared" si="1699"/>
        <v>3.5714285714285809E-2</v>
      </c>
      <c r="CI322" s="1060">
        <f t="shared" si="1699"/>
        <v>-8.7064676616915415E-2</v>
      </c>
      <c r="CJ322" s="1670">
        <f>CJ321/CE321-1</f>
        <v>3.7735849056605986E-3</v>
      </c>
      <c r="CK322" s="1060">
        <f>CK321/CF321-1</f>
        <v>-9.0476190476190377E-2</v>
      </c>
      <c r="CL322" s="1060">
        <f t="shared" ref="CL322" si="1700">CL321/CG321-1</f>
        <v>-8.8235294117646967E-2</v>
      </c>
      <c r="CM322" s="1060">
        <f t="shared" ref="CM322" si="1701">CM321/CH321-1</f>
        <v>-0.12643678160919536</v>
      </c>
      <c r="CN322" s="1060">
        <f t="shared" ref="CN322" si="1702">CN321/CI321-1</f>
        <v>-0.11171662125340598</v>
      </c>
      <c r="CO322" s="1670">
        <f>CO321/CJ321-1</f>
        <v>-0.10463659147869686</v>
      </c>
      <c r="CP322" s="1060">
        <f>CP321/CK321-1</f>
        <v>2.6727748691099475</v>
      </c>
      <c r="CQ322" s="1060">
        <f t="shared" ref="CQ322" si="1703">CQ321/CL321-1</f>
        <v>3.1526330141026531</v>
      </c>
      <c r="CR322" s="1060">
        <f t="shared" ref="CR322" si="1704">CR321/CM321-1</f>
        <v>2.7601921507634213</v>
      </c>
      <c r="CS322" s="1060">
        <f t="shared" ref="CS322" si="1705">CS321/CN321-1</f>
        <v>3.4070764377566167</v>
      </c>
      <c r="CT322" s="1670">
        <f>CT321/CO321-1</f>
        <v>2.978046041852878</v>
      </c>
      <c r="CU322" s="1060">
        <f>CU321/CP321-1</f>
        <v>2.9737630555005889E-2</v>
      </c>
      <c r="CV322" s="1060">
        <f t="shared" ref="CV322" si="1706">CV321/CQ321-1</f>
        <v>2.6582436187858605E-2</v>
      </c>
      <c r="CW322" s="1060">
        <f t="shared" ref="CW322" si="1707">CW321/CR321-1</f>
        <v>2.3421771201160846E-2</v>
      </c>
      <c r="CX322" s="1060">
        <f t="shared" ref="CX322" si="1708">CX321/CS321-1</f>
        <v>2.0973738394943542E-2</v>
      </c>
      <c r="CY322" s="1670">
        <f>CY321/CT321-1</f>
        <v>2.5149183838077294E-2</v>
      </c>
      <c r="CZ322" s="1060">
        <f>CZ321/CU321-1</f>
        <v>2.2010702948709548E-2</v>
      </c>
      <c r="DA322" s="1060">
        <f t="shared" ref="DA322" si="1709">DA321/CV321-1</f>
        <v>7.0422751715168985E-3</v>
      </c>
      <c r="DB322" s="1060">
        <f t="shared" ref="DB322" si="1710">DB321/CW321-1</f>
        <v>1.4788147038078403E-3</v>
      </c>
      <c r="DC322" s="1060">
        <f t="shared" ref="DC322" si="1711">DC321/CX321-1</f>
        <v>-5.0315136809404581E-3</v>
      </c>
      <c r="DD322" s="1670">
        <f>DD321/CY321-1</f>
        <v>6.3180015370238873E-3</v>
      </c>
      <c r="DE322" s="1060">
        <f>DE321/CZ321-1</f>
        <v>5.8005255630808605E-3</v>
      </c>
      <c r="DF322" s="1060">
        <f t="shared" ref="DF322" si="1712">DF321/DA321-1</f>
        <v>1.3683487593650456E-2</v>
      </c>
      <c r="DG322" s="1060">
        <f t="shared" ref="DG322" si="1713">DG321/DB321-1</f>
        <v>8.7605009704376791E-3</v>
      </c>
      <c r="DH322" s="1060">
        <f t="shared" ref="DH322" si="1714">DH321/DC321-1</f>
        <v>3.1315500384343498E-3</v>
      </c>
      <c r="DI322" s="1670">
        <f>DI321/DD321-1</f>
        <v>7.843307410953182E-3</v>
      </c>
      <c r="DJ322" s="1060">
        <f>DJ321/DE321-1</f>
        <v>9.4640473721232521E-3</v>
      </c>
      <c r="DK322" s="1060">
        <f t="shared" ref="DK322" si="1715">DK321/DF321-1</f>
        <v>6.4858630596609235E-3</v>
      </c>
      <c r="DL322" s="1060">
        <f t="shared" ref="DL322" si="1716">DL321/DG321-1</f>
        <v>8.2919273135950711E-4</v>
      </c>
      <c r="DM322" s="1060">
        <f t="shared" ref="DM322" si="1717">DM321/DH321-1</f>
        <v>-5.1452903678328443E-3</v>
      </c>
      <c r="DN322" s="1670">
        <f>DN321/DI321-1</f>
        <v>2.9391902807522907E-3</v>
      </c>
      <c r="DO322" s="1060">
        <f>DO321/DJ321-1</f>
        <v>2.6783214165915226E-3</v>
      </c>
      <c r="DP322" s="1060">
        <f t="shared" ref="DP322" si="1718">DP321/DK321-1</f>
        <v>-7.7773040869399956E-4</v>
      </c>
      <c r="DQ322" s="1060">
        <f t="shared" ref="DQ322" si="1719">DQ321/DL321-1</f>
        <v>-7.230191490933735E-3</v>
      </c>
      <c r="DR322" s="1060">
        <f t="shared" ref="DR322" si="1720">DR321/DM321-1</f>
        <v>-1.3580256622462095E-2</v>
      </c>
      <c r="DS322" s="1670">
        <f>DS321/DN321-1</f>
        <v>-4.6587908050160776E-3</v>
      </c>
      <c r="DT322" s="1060">
        <f>DT321/DO321-1</f>
        <v>6.860865627354551E-3</v>
      </c>
      <c r="DU322" s="1060">
        <f t="shared" ref="DU322" si="1721">DU321/DP321-1</f>
        <v>-8.1103601879956022E-3</v>
      </c>
      <c r="DV322" s="1060">
        <f t="shared" ref="DV322" si="1722">DV321/DQ321-1</f>
        <v>-1.5775642282624847E-2</v>
      </c>
      <c r="DW322" s="1060">
        <f t="shared" ref="DW322" si="1723">DW321/DR321-1</f>
        <v>-2.3221784167433368E-2</v>
      </c>
      <c r="DX322" s="1670">
        <f>DX321/DS321-1</f>
        <v>-9.8829171501358948E-3</v>
      </c>
      <c r="DY322" s="1060">
        <f>DY321/DT321-1</f>
        <v>-2.2998038579782887E-2</v>
      </c>
      <c r="DZ322" s="1060">
        <f t="shared" ref="DZ322" si="1724">DZ321/DU321-1</f>
        <v>-1.6632610525804004E-2</v>
      </c>
      <c r="EA322" s="1060">
        <f t="shared" ref="EA322" si="1725">EA321/DV321-1</f>
        <v>-2.5851226634863944E-2</v>
      </c>
      <c r="EB322" s="1060">
        <f t="shared" ref="EB322" si="1726">EB321/DW321-1</f>
        <v>-3.474299917999002E-2</v>
      </c>
      <c r="EC322" s="1670">
        <f>EC321/DX321-1</f>
        <v>-2.4912074804368634E-2</v>
      </c>
      <c r="ED322" s="440"/>
      <c r="EE322" s="61"/>
      <c r="EF322" s="285"/>
      <c r="EG322" s="118"/>
      <c r="EH322" s="118"/>
      <c r="EI322" s="118"/>
      <c r="EJ322" s="118"/>
      <c r="EK322" s="118"/>
      <c r="EL322" s="118"/>
      <c r="EM322" s="118"/>
      <c r="EN322" s="118"/>
      <c r="EO322" s="118"/>
      <c r="EP322" s="118"/>
      <c r="EQ322" s="118"/>
      <c r="ER322" s="118"/>
      <c r="ES322" s="118"/>
      <c r="ET322" s="118"/>
      <c r="EU322" s="118"/>
      <c r="EX322" s="118"/>
      <c r="EY322" s="986"/>
      <c r="EZ322" s="987"/>
      <c r="FA322" s="987"/>
      <c r="FB322" s="986"/>
      <c r="FC322" s="987"/>
      <c r="FD322" s="118"/>
      <c r="FE322"/>
      <c r="FF322"/>
      <c r="FG322"/>
      <c r="FH322"/>
      <c r="FI322"/>
      <c r="FJ322"/>
    </row>
    <row r="323" spans="1:166" s="1066" customFormat="1" hidden="1" outlineLevel="1" x14ac:dyDescent="0.2">
      <c r="A323" s="1707" t="s">
        <v>683</v>
      </c>
      <c r="B323" s="1708"/>
      <c r="C323" s="1709"/>
      <c r="D323" s="1676"/>
      <c r="E323" s="1676"/>
      <c r="F323" s="1710"/>
      <c r="G323" s="1708"/>
      <c r="H323" s="1709"/>
      <c r="I323" s="1676"/>
      <c r="J323" s="1676"/>
      <c r="K323" s="1676"/>
      <c r="L323" s="1708"/>
      <c r="M323" s="1676"/>
      <c r="N323" s="1676"/>
      <c r="O323" s="1676"/>
      <c r="P323" s="1676"/>
      <c r="Q323" s="1708"/>
      <c r="R323" s="1676"/>
      <c r="S323" s="1676"/>
      <c r="T323" s="1676"/>
      <c r="U323" s="1710"/>
      <c r="V323" s="1708"/>
      <c r="W323" s="1676"/>
      <c r="X323" s="1676"/>
      <c r="Y323" s="1676"/>
      <c r="Z323" s="1710"/>
      <c r="AA323" s="1711"/>
      <c r="AB323" s="1709"/>
      <c r="AC323" s="1676"/>
      <c r="AD323" s="1676"/>
      <c r="AE323" s="1676"/>
      <c r="AF323" s="1708"/>
      <c r="AG323" s="1653"/>
      <c r="AH323" s="1653"/>
      <c r="AI323" s="1653"/>
      <c r="AJ323" s="1653"/>
      <c r="AK323" s="1708"/>
      <c r="AL323" s="1653"/>
      <c r="AM323" s="1653"/>
      <c r="AN323" s="1653"/>
      <c r="AO323" s="1653"/>
      <c r="AP323" s="1708"/>
      <c r="AQ323" s="1653"/>
      <c r="AR323" s="1653"/>
      <c r="AS323" s="1653"/>
      <c r="AT323" s="1653"/>
      <c r="AU323" s="1712"/>
      <c r="AV323" s="1654"/>
      <c r="AW323" s="1653"/>
      <c r="AX323" s="1653"/>
      <c r="AY323" s="1653"/>
      <c r="AZ323" s="1653"/>
      <c r="BA323" s="1708"/>
      <c r="BB323" s="1653"/>
      <c r="BC323" s="1653"/>
      <c r="BD323" s="1653"/>
      <c r="BE323" s="1653"/>
      <c r="BF323" s="1708"/>
      <c r="BG323" s="1653"/>
      <c r="BH323" s="1653"/>
      <c r="BI323" s="1653"/>
      <c r="BJ323" s="1653"/>
      <c r="BK323" s="1708"/>
      <c r="BL323" s="1676">
        <v>41.559797402033702</v>
      </c>
      <c r="BM323" s="1676">
        <v>40.586255139230502</v>
      </c>
      <c r="BN323" s="1676">
        <v>40.771597601057181</v>
      </c>
      <c r="BO323" s="1676">
        <v>45.253066142033006</v>
      </c>
      <c r="BP323" s="1708">
        <f t="shared" ref="BP323" si="1727">SUM(BL323:BO323)</f>
        <v>168.1707162843544</v>
      </c>
      <c r="BQ323" s="1676">
        <v>38.393861100437178</v>
      </c>
      <c r="BR323" s="1676">
        <v>40.170951842180806</v>
      </c>
      <c r="BS323" s="1676">
        <v>41.528886305631033</v>
      </c>
      <c r="BT323" s="1676">
        <v>54.1</v>
      </c>
      <c r="BU323" s="1708">
        <f t="shared" ref="BU323" si="1728">SUM(BQ323:BT323)</f>
        <v>174.193699248249</v>
      </c>
      <c r="BV323" s="1713">
        <v>27.1</v>
      </c>
      <c r="BW323" s="1713">
        <v>23.1</v>
      </c>
      <c r="BX323" s="1713">
        <v>18.5</v>
      </c>
      <c r="BY323" s="1713">
        <v>17.933211747500863</v>
      </c>
      <c r="BZ323" s="1708">
        <f t="shared" ref="BZ323" si="1729">SUM(BV323:BY323)</f>
        <v>86.633211747500866</v>
      </c>
      <c r="CA323" s="1676">
        <v>27.1</v>
      </c>
      <c r="CB323" s="1676">
        <v>23</v>
      </c>
      <c r="CC323" s="1676">
        <v>18.5</v>
      </c>
      <c r="CD323" s="1676">
        <v>24.6</v>
      </c>
      <c r="CE323" s="1708">
        <f>SUM(CA323:CD323)</f>
        <v>93.199999999999989</v>
      </c>
      <c r="CF323" s="1676">
        <v>16.2</v>
      </c>
      <c r="CG323" s="1676">
        <v>15.1</v>
      </c>
      <c r="CH323" s="1676">
        <v>17</v>
      </c>
      <c r="CI323" s="1676">
        <v>30.6</v>
      </c>
      <c r="CJ323" s="1708">
        <f>SUM(CF323:CI323)</f>
        <v>78.900000000000006</v>
      </c>
      <c r="CK323" s="1676">
        <v>25.1</v>
      </c>
      <c r="CL323" s="1676">
        <v>22.2</v>
      </c>
      <c r="CM323" s="1676">
        <v>24.1</v>
      </c>
      <c r="CN323" s="1676">
        <v>19.600000000000001</v>
      </c>
      <c r="CO323" s="1708">
        <f>SUM(CK323:CN323)</f>
        <v>91</v>
      </c>
      <c r="CP323" s="1676">
        <v>82.3</v>
      </c>
      <c r="CQ323" s="1676">
        <v>82.402336970119606</v>
      </c>
      <c r="CR323" s="1676">
        <v>83.129312936884489</v>
      </c>
      <c r="CS323" s="1676">
        <v>83.877576950209729</v>
      </c>
      <c r="CT323" s="1708">
        <f>SUM(CP323:CS323)</f>
        <v>331.70922685721382</v>
      </c>
      <c r="CU323" s="1676">
        <v>82.247387027195757</v>
      </c>
      <c r="CV323" s="1676">
        <v>81.955646317537017</v>
      </c>
      <c r="CW323" s="1676">
        <v>82.501643283458819</v>
      </c>
      <c r="CX323" s="1676">
        <v>83.583330732667477</v>
      </c>
      <c r="CY323" s="1708">
        <f>SUM(CU323:CX323)</f>
        <v>330.28800736085907</v>
      </c>
      <c r="CZ323" s="1676">
        <v>83.340677239558502</v>
      </c>
      <c r="DA323" s="1676">
        <v>81.721882118315875</v>
      </c>
      <c r="DB323" s="1676">
        <v>82.269965596234215</v>
      </c>
      <c r="DC323" s="1676">
        <v>83.591474709546659</v>
      </c>
      <c r="DD323" s="1708">
        <f>SUM(CZ323:DC323)</f>
        <v>330.92399966365525</v>
      </c>
      <c r="DE323" s="1676">
        <v>85.669324454635856</v>
      </c>
      <c r="DF323" s="1676">
        <v>80.905415530368643</v>
      </c>
      <c r="DG323" s="1676">
        <v>83.498502095001513</v>
      </c>
      <c r="DH323" s="1676">
        <v>84.877433217579863</v>
      </c>
      <c r="DI323" s="1708">
        <f>SUM(DE323:DH323)</f>
        <v>334.95067529758592</v>
      </c>
      <c r="DJ323" s="1676">
        <v>85.481625963560234</v>
      </c>
      <c r="DK323" s="1676">
        <v>80.196015314822787</v>
      </c>
      <c r="DL323" s="1676">
        <v>82.731323431979334</v>
      </c>
      <c r="DM323" s="1676">
        <v>84.151802784443561</v>
      </c>
      <c r="DN323" s="1708">
        <f>SUM(DJ323:DM323)</f>
        <v>332.56076749480587</v>
      </c>
      <c r="DO323" s="1676">
        <v>86.415039693524875</v>
      </c>
      <c r="DP323" s="1676">
        <v>80.420110149374977</v>
      </c>
      <c r="DQ323" s="1676">
        <v>82.788186009063679</v>
      </c>
      <c r="DR323" s="1676">
        <v>84.186740440556122</v>
      </c>
      <c r="DS323" s="1708">
        <f>SUM(DO323:DR323)</f>
        <v>333.81007629251962</v>
      </c>
      <c r="DT323" s="1676">
        <v>88.010837323623875</v>
      </c>
      <c r="DU323" s="1676">
        <v>80.286572503665994</v>
      </c>
      <c r="DV323" s="1676">
        <v>82.459701146567767</v>
      </c>
      <c r="DW323" s="1676">
        <v>83.832278465226125</v>
      </c>
      <c r="DX323" s="1708">
        <f>SUM(DT323:DW323)</f>
        <v>334.58938943908379</v>
      </c>
      <c r="DY323" s="1676">
        <v>87.348158859769356</v>
      </c>
      <c r="DZ323" s="1676">
        <v>79.773688022312527</v>
      </c>
      <c r="EA323" s="1676">
        <v>81.722561982774963</v>
      </c>
      <c r="EB323" s="1676">
        <v>83.064758439025027</v>
      </c>
      <c r="EC323" s="1708">
        <f>SUM(DY323:EB323)</f>
        <v>331.90916730388187</v>
      </c>
      <c r="ED323" s="38"/>
      <c r="EE323" s="21"/>
      <c r="EF323" s="398"/>
      <c r="EG323" s="16"/>
      <c r="EH323" s="16"/>
      <c r="EI323" s="16"/>
      <c r="EJ323" s="16"/>
      <c r="EK323" s="16"/>
      <c r="EL323" s="16"/>
      <c r="EM323" s="16"/>
      <c r="EN323" s="16"/>
      <c r="EO323" s="16"/>
      <c r="EP323" s="16"/>
      <c r="EQ323" s="16"/>
      <c r="ER323" s="16"/>
      <c r="ES323" s="16"/>
      <c r="ET323" s="16"/>
      <c r="EU323" s="16"/>
      <c r="EX323" s="16"/>
      <c r="EY323" s="228"/>
      <c r="EZ323" s="477"/>
      <c r="FA323" s="477"/>
      <c r="FB323" s="228"/>
      <c r="FC323" s="477"/>
      <c r="FD323" s="16"/>
      <c r="FE323"/>
      <c r="FF323"/>
      <c r="FG323"/>
      <c r="FH323"/>
      <c r="FI323"/>
      <c r="FJ323"/>
    </row>
    <row r="324" spans="1:166" s="1072" customFormat="1" hidden="1" outlineLevel="1" x14ac:dyDescent="0.2">
      <c r="A324" s="1715" t="s">
        <v>37</v>
      </c>
      <c r="B324" s="1716"/>
      <c r="C324" s="1717"/>
      <c r="D324" s="1686"/>
      <c r="E324" s="1686"/>
      <c r="F324" s="1718"/>
      <c r="G324" s="1716"/>
      <c r="H324" s="1717"/>
      <c r="I324" s="1686"/>
      <c r="J324" s="1686"/>
      <c r="K324" s="1686"/>
      <c r="L324" s="1716"/>
      <c r="M324" s="1686"/>
      <c r="N324" s="1686"/>
      <c r="O324" s="1686"/>
      <c r="P324" s="1686"/>
      <c r="Q324" s="1716"/>
      <c r="R324" s="1686"/>
      <c r="S324" s="1686"/>
      <c r="T324" s="1686"/>
      <c r="U324" s="1718"/>
      <c r="V324" s="1716"/>
      <c r="W324" s="1686"/>
      <c r="X324" s="1686"/>
      <c r="Y324" s="1686"/>
      <c r="Z324" s="1718"/>
      <c r="AA324" s="1719"/>
      <c r="AB324" s="1717"/>
      <c r="AC324" s="1686"/>
      <c r="AD324" s="1686"/>
      <c r="AE324" s="1686"/>
      <c r="AF324" s="1716"/>
      <c r="AG324" s="1720"/>
      <c r="AH324" s="1720"/>
      <c r="AI324" s="1720"/>
      <c r="AJ324" s="1720"/>
      <c r="AK324" s="1716"/>
      <c r="AL324" s="1720"/>
      <c r="AM324" s="1720"/>
      <c r="AN324" s="1720"/>
      <c r="AO324" s="1720"/>
      <c r="AP324" s="1716"/>
      <c r="AQ324" s="1720"/>
      <c r="AR324" s="1720"/>
      <c r="AS324" s="1720"/>
      <c r="AT324" s="1720"/>
      <c r="AU324" s="1721"/>
      <c r="AV324" s="1722"/>
      <c r="AW324" s="1720"/>
      <c r="AX324" s="1720"/>
      <c r="AY324" s="1720"/>
      <c r="AZ324" s="1720"/>
      <c r="BA324" s="1716"/>
      <c r="BB324" s="1720"/>
      <c r="BC324" s="1720"/>
      <c r="BD324" s="1720"/>
      <c r="BE324" s="1720"/>
      <c r="BF324" s="1716"/>
      <c r="BG324" s="1720"/>
      <c r="BH324" s="1720"/>
      <c r="BI324" s="1720"/>
      <c r="BJ324" s="1720"/>
      <c r="BK324" s="1716"/>
      <c r="BL324" s="1686"/>
      <c r="BM324" s="1686"/>
      <c r="BN324" s="1686"/>
      <c r="BO324" s="1686"/>
      <c r="BP324" s="1716"/>
      <c r="BQ324" s="1060">
        <f>BQ323/BL323-1</f>
        <v>-7.6177856955616519E-2</v>
      </c>
      <c r="BR324" s="1060">
        <f t="shared" ref="BR324" si="1730">BR323/BM323-1</f>
        <v>-1.0232609429596473E-2</v>
      </c>
      <c r="BS324" s="1060">
        <f t="shared" ref="BS324" si="1731">BS323/BN323-1</f>
        <v>1.8573927663659173E-2</v>
      </c>
      <c r="BT324" s="1060">
        <f t="shared" ref="BT324" si="1732">BT323/BO323-1</f>
        <v>0.1954991034242779</v>
      </c>
      <c r="BU324" s="1670">
        <f t="shared" ref="BU324" si="1733">BU323/BP323-1</f>
        <v>3.5814695310630196E-2</v>
      </c>
      <c r="BV324" s="1723">
        <f>BV323/BQ323-1</f>
        <v>-0.29415799236478923</v>
      </c>
      <c r="BW324" s="1723">
        <f t="shared" ref="BW324" si="1734">BW323/BR323-1</f>
        <v>-0.4249576138809773</v>
      </c>
      <c r="BX324" s="1723">
        <f t="shared" ref="BX324" si="1735">BX323/BS323-1</f>
        <v>-0.55452694146793124</v>
      </c>
      <c r="BY324" s="1723">
        <f t="shared" ref="BY324" si="1736">BY323/BT323-1</f>
        <v>-0.66851734292974374</v>
      </c>
      <c r="BZ324" s="1670">
        <f t="shared" ref="BZ324" si="1737">BZ323/BU323-1</f>
        <v>-0.50266162254217295</v>
      </c>
      <c r="CA324" s="1060">
        <f t="shared" ref="CA324:CE324" si="1738">CA323/BQ323-1</f>
        <v>-0.29415799236478923</v>
      </c>
      <c r="CB324" s="1060">
        <f t="shared" si="1738"/>
        <v>-0.42744697485984751</v>
      </c>
      <c r="CC324" s="1060">
        <f t="shared" si="1738"/>
        <v>-0.55452694146793124</v>
      </c>
      <c r="CD324" s="1060">
        <f t="shared" si="1738"/>
        <v>-0.54528650646950094</v>
      </c>
      <c r="CE324" s="1670">
        <f t="shared" si="1738"/>
        <v>-0.46496342633393595</v>
      </c>
      <c r="CF324" s="1060">
        <f>CF323/CA323-1</f>
        <v>-0.40221402214022151</v>
      </c>
      <c r="CG324" s="1060">
        <f t="shared" ref="CG324" si="1739">CG323/CB323-1</f>
        <v>-0.34347826086956523</v>
      </c>
      <c r="CH324" s="1060">
        <f t="shared" ref="CH324" si="1740">CH323/CC323-1</f>
        <v>-8.108108108108103E-2</v>
      </c>
      <c r="CI324" s="1060">
        <f t="shared" ref="CI324" si="1741">CI323/CD323-1</f>
        <v>0.24390243902439024</v>
      </c>
      <c r="CJ324" s="1670">
        <f>CJ323/CE323-1</f>
        <v>-0.15343347639484961</v>
      </c>
      <c r="CK324" s="1060">
        <f>CK323/CF323-1</f>
        <v>0.54938271604938294</v>
      </c>
      <c r="CL324" s="1060">
        <f t="shared" ref="CL324" si="1742">CL323/CG323-1</f>
        <v>0.4701986754966887</v>
      </c>
      <c r="CM324" s="1060">
        <f t="shared" ref="CM324" si="1743">CM323/CH323-1</f>
        <v>0.41764705882352948</v>
      </c>
      <c r="CN324" s="1060">
        <f t="shared" ref="CN324" si="1744">CN323/CI323-1</f>
        <v>-0.35947712418300648</v>
      </c>
      <c r="CO324" s="1670">
        <f>CO323/CJ323-1</f>
        <v>0.15335868187579216</v>
      </c>
      <c r="CP324" s="1060">
        <f>CP323/CK323-1</f>
        <v>2.2788844621513942</v>
      </c>
      <c r="CQ324" s="1060">
        <f t="shared" ref="CQ324" si="1745">CQ323/CL323-1</f>
        <v>2.7118169806360184</v>
      </c>
      <c r="CR324" s="1060">
        <f t="shared" ref="CR324" si="1746">CR323/CM323-1</f>
        <v>2.4493490845180284</v>
      </c>
      <c r="CS324" s="1060">
        <f t="shared" ref="CS324" si="1747">CS323/CN323-1</f>
        <v>3.2794682117453942</v>
      </c>
      <c r="CT324" s="1670">
        <f>CT323/CO323-1</f>
        <v>2.6451563390902617</v>
      </c>
      <c r="CU324" s="1060">
        <f>CU323/CP323-1</f>
        <v>-6.3928278012448381E-4</v>
      </c>
      <c r="CV324" s="1060">
        <f t="shared" ref="CV324" si="1748">CV323/CQ323-1</f>
        <v>-5.420849323054644E-3</v>
      </c>
      <c r="CW324" s="1060">
        <f t="shared" ref="CW324" si="1749">CW323/CR323-1</f>
        <v>-7.5505213654565306E-3</v>
      </c>
      <c r="CX324" s="1060">
        <f t="shared" ref="CX324" si="1750">CX323/CS323-1</f>
        <v>-3.5080438448635842E-3</v>
      </c>
      <c r="CY324" s="1670">
        <f>CY323/CT323-1</f>
        <v>-4.2845341078393551E-3</v>
      </c>
      <c r="CZ324" s="1060">
        <f>CZ323/CU323-1</f>
        <v>1.329270450867015E-2</v>
      </c>
      <c r="DA324" s="1060">
        <f t="shared" ref="DA324" si="1751">DA323/CV323-1</f>
        <v>-2.8523257362332854E-3</v>
      </c>
      <c r="DB324" s="1060">
        <f t="shared" ref="DB324" si="1752">DB323/CW323-1</f>
        <v>-2.8081584560516459E-3</v>
      </c>
      <c r="DC324" s="1060">
        <f t="shared" ref="DC324" si="1753">DC323/CX323-1</f>
        <v>9.7435419333047335E-5</v>
      </c>
      <c r="DD324" s="1670">
        <f>DD323/CY323-1</f>
        <v>1.9255688629993273E-3</v>
      </c>
      <c r="DE324" s="1060">
        <f>DE323/CZ323-1</f>
        <v>2.7941304201113848E-2</v>
      </c>
      <c r="DF324" s="1060">
        <f t="shared" ref="DF324" si="1754">DF323/DA323-1</f>
        <v>-9.9907952042166404E-3</v>
      </c>
      <c r="DG324" s="1060">
        <f t="shared" ref="DG324" si="1755">DG323/DB323-1</f>
        <v>1.4932989091021698E-2</v>
      </c>
      <c r="DH324" s="1060">
        <f t="shared" ref="DH324" si="1756">DH323/DC323-1</f>
        <v>1.538384760529099E-2</v>
      </c>
      <c r="DI324" s="1670">
        <f>DI323/DD323-1</f>
        <v>1.2167977052203183E-2</v>
      </c>
      <c r="DJ324" s="1060">
        <f>DJ323/DE323-1</f>
        <v>-2.190964995586131E-3</v>
      </c>
      <c r="DK324" s="1060">
        <f t="shared" ref="DK324" si="1757">DK323/DF323-1</f>
        <v>-8.7682661401025097E-3</v>
      </c>
      <c r="DL324" s="1060">
        <f t="shared" ref="DL324" si="1758">DL323/DG323-1</f>
        <v>-9.187933241596502E-3</v>
      </c>
      <c r="DM324" s="1060">
        <f t="shared" ref="DM324" si="1759">DM323/DH323-1</f>
        <v>-8.5491561847326203E-3</v>
      </c>
      <c r="DN324" s="1670">
        <f>DN323/DI323-1</f>
        <v>-7.1351037004381279E-3</v>
      </c>
      <c r="DO324" s="1060">
        <f>DO323/DJ323-1</f>
        <v>1.0919466253046517E-2</v>
      </c>
      <c r="DP324" s="1060">
        <f t="shared" ref="DP324" si="1760">DP323/DK323-1</f>
        <v>2.7943387669882025E-3</v>
      </c>
      <c r="DQ324" s="1060">
        <f t="shared" ref="DQ324" si="1761">DQ323/DL323-1</f>
        <v>6.8731617875172901E-4</v>
      </c>
      <c r="DR324" s="1060">
        <f t="shared" ref="DR324" si="1762">DR323/DM323-1</f>
        <v>4.1517418470582435E-4</v>
      </c>
      <c r="DS324" s="1670">
        <f>DS323/DN323-1</f>
        <v>3.7566331324192515E-3</v>
      </c>
      <c r="DT324" s="1060">
        <f>DT323/DO323-1</f>
        <v>1.8466665475808108E-2</v>
      </c>
      <c r="DU324" s="1060">
        <f t="shared" ref="DU324" si="1763">DU323/DP323-1</f>
        <v>-1.6605006566261515E-3</v>
      </c>
      <c r="DV324" s="1060">
        <f t="shared" ref="DV324" si="1764">DV323/DQ323-1</f>
        <v>-3.9677746104975764E-3</v>
      </c>
      <c r="DW324" s="1060">
        <f t="shared" ref="DW324" si="1765">DW323/DR323-1</f>
        <v>-4.210425222250791E-3</v>
      </c>
      <c r="DX324" s="1670">
        <f>DX323/DS323-1</f>
        <v>2.3346004267446041E-3</v>
      </c>
      <c r="DY324" s="1060">
        <f>DY323/DT323-1</f>
        <v>-7.5295098195440335E-3</v>
      </c>
      <c r="DZ324" s="1060">
        <f t="shared" ref="DZ324" si="1766">DZ323/DU323-1</f>
        <v>-6.3881725842767079E-3</v>
      </c>
      <c r="EA324" s="1060">
        <f t="shared" ref="EA324" si="1767">EA323/DV323-1</f>
        <v>-8.9393867979533637E-3</v>
      </c>
      <c r="EB324" s="1060">
        <f t="shared" ref="EB324" si="1768">EB323/DW323-1</f>
        <v>-9.1554236655928545E-3</v>
      </c>
      <c r="EC324" s="1670">
        <f>EC323/DX323-1</f>
        <v>-8.0104815627749515E-3</v>
      </c>
      <c r="ED324" s="440"/>
      <c r="EE324" s="61"/>
      <c r="EF324" s="285"/>
      <c r="EG324" s="118"/>
      <c r="EH324" s="118"/>
      <c r="EI324" s="118"/>
      <c r="EJ324" s="118"/>
      <c r="EK324" s="118"/>
      <c r="EL324" s="118"/>
      <c r="EM324" s="118"/>
      <c r="EN324" s="118"/>
      <c r="EO324" s="118"/>
      <c r="EP324" s="118"/>
      <c r="EQ324" s="118"/>
      <c r="ER324" s="118"/>
      <c r="ES324" s="118"/>
      <c r="ET324" s="118"/>
      <c r="EU324" s="118"/>
      <c r="EX324" s="118"/>
      <c r="EY324" s="986"/>
      <c r="EZ324" s="987"/>
      <c r="FA324" s="987"/>
      <c r="FB324" s="986"/>
      <c r="FC324" s="987"/>
      <c r="FD324" s="118"/>
      <c r="FE324"/>
      <c r="FF324"/>
      <c r="FG324"/>
      <c r="FH324"/>
      <c r="FI324"/>
      <c r="FJ324"/>
    </row>
    <row r="325" spans="1:166" s="1066" customFormat="1" hidden="1" outlineLevel="1" x14ac:dyDescent="0.2">
      <c r="A325" s="1707" t="s">
        <v>801</v>
      </c>
      <c r="B325" s="1708"/>
      <c r="C325" s="1709"/>
      <c r="D325" s="1676"/>
      <c r="E325" s="1676"/>
      <c r="F325" s="1710"/>
      <c r="G325" s="1708"/>
      <c r="H325" s="1709"/>
      <c r="I325" s="1676"/>
      <c r="J325" s="1676"/>
      <c r="K325" s="1676"/>
      <c r="L325" s="1708"/>
      <c r="M325" s="1676"/>
      <c r="N325" s="1676"/>
      <c r="O325" s="1676"/>
      <c r="P325" s="1676"/>
      <c r="Q325" s="1708"/>
      <c r="R325" s="1676"/>
      <c r="S325" s="1676"/>
      <c r="T325" s="1676"/>
      <c r="U325" s="1710"/>
      <c r="V325" s="1708"/>
      <c r="W325" s="1676"/>
      <c r="X325" s="1676"/>
      <c r="Y325" s="1676"/>
      <c r="Z325" s="1710"/>
      <c r="AA325" s="1711"/>
      <c r="AB325" s="1709"/>
      <c r="AC325" s="1676"/>
      <c r="AD325" s="1676"/>
      <c r="AE325" s="1676"/>
      <c r="AF325" s="1708"/>
      <c r="AG325" s="1653"/>
      <c r="AH325" s="1653"/>
      <c r="AI325" s="1653"/>
      <c r="AJ325" s="1653"/>
      <c r="AK325" s="1708"/>
      <c r="AL325" s="1653"/>
      <c r="AM325" s="1653"/>
      <c r="AN325" s="1653"/>
      <c r="AO325" s="1653"/>
      <c r="AP325" s="1708"/>
      <c r="AQ325" s="1653"/>
      <c r="AR325" s="1653"/>
      <c r="AS325" s="1653"/>
      <c r="AT325" s="1653"/>
      <c r="AU325" s="1712"/>
      <c r="AV325" s="1654"/>
      <c r="AW325" s="1653"/>
      <c r="AX325" s="1653"/>
      <c r="AY325" s="1653"/>
      <c r="AZ325" s="1653"/>
      <c r="BA325" s="1708"/>
      <c r="BB325" s="1653"/>
      <c r="BC325" s="1653"/>
      <c r="BD325" s="1653"/>
      <c r="BE325" s="1653"/>
      <c r="BF325" s="1708"/>
      <c r="BG325" s="1653"/>
      <c r="BH325" s="1653"/>
      <c r="BI325" s="1653"/>
      <c r="BJ325" s="1653"/>
      <c r="BK325" s="1708"/>
      <c r="BL325" s="1676">
        <v>3.6892126386639301E-2</v>
      </c>
      <c r="BM325" s="1676">
        <v>1.4800381610788227E-2</v>
      </c>
      <c r="BN325" s="1676">
        <v>3.126576210186327E-2</v>
      </c>
      <c r="BO325" s="1676">
        <v>0.12474630188993374</v>
      </c>
      <c r="BP325" s="1708"/>
      <c r="BQ325" s="1676"/>
      <c r="BR325" s="1676"/>
      <c r="BS325" s="1676"/>
      <c r="BT325" s="1676"/>
      <c r="BU325" s="1708"/>
      <c r="BV325" s="1676">
        <v>24.4</v>
      </c>
      <c r="BW325" s="1676">
        <v>17.399999999999999</v>
      </c>
      <c r="BX325" s="1676">
        <v>17.100000000000001</v>
      </c>
      <c r="BY325" s="1676">
        <v>20</v>
      </c>
      <c r="BZ325" s="1708">
        <f>SUM(BV325:BY325)</f>
        <v>78.900000000000006</v>
      </c>
      <c r="CA325" s="1676">
        <v>25.3</v>
      </c>
      <c r="CB325" s="1676">
        <v>19</v>
      </c>
      <c r="CC325" s="1676">
        <v>19.600000000000001</v>
      </c>
      <c r="CD325" s="1676">
        <v>20.5</v>
      </c>
      <c r="CE325" s="1708">
        <f>SUM(CA325:CD325)</f>
        <v>84.4</v>
      </c>
      <c r="CF325" s="1676">
        <v>28.7</v>
      </c>
      <c r="CG325" s="1676">
        <v>20.8</v>
      </c>
      <c r="CH325" s="1676">
        <v>18.399999999999999</v>
      </c>
      <c r="CI325" s="1676">
        <v>21.6</v>
      </c>
      <c r="CJ325" s="1708">
        <f>SUM(CF325:CI325)</f>
        <v>89.5</v>
      </c>
      <c r="CK325" s="1676">
        <v>22.415328467153284</v>
      </c>
      <c r="CL325" s="1676">
        <v>14.4</v>
      </c>
      <c r="CM325" s="1676">
        <v>12.8</v>
      </c>
      <c r="CN325" s="1676">
        <v>13</v>
      </c>
      <c r="CO325" s="1708">
        <f>SUM(CK325:CN325)</f>
        <v>62.61532846715329</v>
      </c>
      <c r="CP325" s="1676">
        <v>45.4</v>
      </c>
      <c r="CQ325" s="1676">
        <v>46.04015242373832</v>
      </c>
      <c r="CR325" s="1676">
        <v>46.411097710481762</v>
      </c>
      <c r="CS325" s="1676">
        <v>45.989436423283124</v>
      </c>
      <c r="CT325" s="1708">
        <f>SUM(CP325:CS325)</f>
        <v>183.8406865575032</v>
      </c>
      <c r="CU325" s="1676">
        <v>46.079703537094417</v>
      </c>
      <c r="CV325" s="1676">
        <v>46.548382636852033</v>
      </c>
      <c r="CW325" s="1676">
        <v>47.060230775279734</v>
      </c>
      <c r="CX325" s="1676">
        <v>46.828533492989003</v>
      </c>
      <c r="CY325" s="1708">
        <f>SUM(CU325:CX325)</f>
        <v>186.5168504422152</v>
      </c>
      <c r="CZ325" s="1676">
        <v>47.398790132618835</v>
      </c>
      <c r="DA325" s="1676">
        <v>47.126329928174272</v>
      </c>
      <c r="DB325" s="1676">
        <v>47.803958888349406</v>
      </c>
      <c r="DC325" s="1676">
        <v>47.765743693417939</v>
      </c>
      <c r="DD325" s="1708">
        <f>SUM(CZ325:DC325)</f>
        <v>190.09482264256044</v>
      </c>
      <c r="DE325" s="1676">
        <v>47.676490575730597</v>
      </c>
      <c r="DF325" s="1676">
        <v>47.666251255083189</v>
      </c>
      <c r="DG325" s="1676">
        <v>48.479071668157921</v>
      </c>
      <c r="DH325" s="1676">
        <v>48.605074790240486</v>
      </c>
      <c r="DI325" s="1708">
        <f>SUM(DE325:DH325)</f>
        <v>192.4268882892122</v>
      </c>
      <c r="DJ325" s="1676">
        <v>48.488823459078382</v>
      </c>
      <c r="DK325" s="1676">
        <v>48.239888252534712</v>
      </c>
      <c r="DL325" s="1676">
        <v>49.235589944387378</v>
      </c>
      <c r="DM325" s="1676">
        <v>49.49683672283907</v>
      </c>
      <c r="DN325" s="1708">
        <f>SUM(DJ325:DM325)</f>
        <v>195.46113837883956</v>
      </c>
      <c r="DO325" s="1676">
        <v>49.288671408647915</v>
      </c>
      <c r="DP325" s="1676">
        <v>48.76384444852458</v>
      </c>
      <c r="DQ325" s="1676">
        <v>49.886321905101916</v>
      </c>
      <c r="DR325" s="1676">
        <v>50.236770722069004</v>
      </c>
      <c r="DS325" s="1708">
        <f>SUM(DO325:DR325)</f>
        <v>198.1756084843434</v>
      </c>
      <c r="DT325" s="1676">
        <v>50.437438481410453</v>
      </c>
      <c r="DU325" s="1676">
        <v>48.964568409975641</v>
      </c>
      <c r="DV325" s="1676">
        <v>50.162365861184981</v>
      </c>
      <c r="DW325" s="1676">
        <v>50.608717813985926</v>
      </c>
      <c r="DX325" s="1708">
        <f>SUM(DT325:DW325)</f>
        <v>200.17309056655699</v>
      </c>
      <c r="DY325" s="1676">
        <v>50.113175729052706</v>
      </c>
      <c r="DZ325" s="1676">
        <v>48.790739249968361</v>
      </c>
      <c r="EA325" s="1676">
        <v>50.059344784546539</v>
      </c>
      <c r="EB325" s="1676">
        <v>50.604902347834226</v>
      </c>
      <c r="EC325" s="1708">
        <f>SUM(DY325:EB325)</f>
        <v>199.56816211140182</v>
      </c>
      <c r="ED325" s="38"/>
      <c r="EE325" s="21"/>
      <c r="EF325" s="398"/>
      <c r="EG325" s="16"/>
      <c r="EH325" s="16"/>
      <c r="EI325" s="16"/>
      <c r="EJ325" s="16"/>
      <c r="EK325" s="16"/>
      <c r="EL325" s="16"/>
      <c r="EM325" s="16"/>
      <c r="EN325" s="16"/>
      <c r="EO325" s="16"/>
      <c r="EP325" s="16"/>
      <c r="EQ325" s="16"/>
      <c r="ER325" s="16"/>
      <c r="ES325" s="16"/>
      <c r="ET325" s="16"/>
      <c r="EU325" s="16"/>
      <c r="EX325" s="16"/>
      <c r="EY325" s="228"/>
      <c r="EZ325" s="477"/>
      <c r="FA325" s="477"/>
      <c r="FB325" s="228"/>
      <c r="FC325" s="477"/>
      <c r="FD325" s="16"/>
      <c r="FE325"/>
      <c r="FF325"/>
      <c r="FG325"/>
      <c r="FH325"/>
      <c r="FI325"/>
      <c r="FJ325"/>
    </row>
    <row r="326" spans="1:166" s="1072" customFormat="1" hidden="1" outlineLevel="1" x14ac:dyDescent="0.2">
      <c r="A326" s="1715" t="s">
        <v>37</v>
      </c>
      <c r="B326" s="1716"/>
      <c r="C326" s="1717"/>
      <c r="D326" s="1686"/>
      <c r="E326" s="1686"/>
      <c r="F326" s="1718"/>
      <c r="G326" s="1716"/>
      <c r="H326" s="1717"/>
      <c r="I326" s="1686"/>
      <c r="J326" s="1686"/>
      <c r="K326" s="1686"/>
      <c r="L326" s="1716"/>
      <c r="M326" s="1686"/>
      <c r="N326" s="1686"/>
      <c r="O326" s="1686"/>
      <c r="P326" s="1686"/>
      <c r="Q326" s="1716"/>
      <c r="R326" s="1686"/>
      <c r="S326" s="1686"/>
      <c r="T326" s="1686"/>
      <c r="U326" s="1718"/>
      <c r="V326" s="1716"/>
      <c r="W326" s="1686"/>
      <c r="X326" s="1686"/>
      <c r="Y326" s="1686"/>
      <c r="Z326" s="1718"/>
      <c r="AA326" s="1719"/>
      <c r="AB326" s="1717"/>
      <c r="AC326" s="1686"/>
      <c r="AD326" s="1686"/>
      <c r="AE326" s="1686"/>
      <c r="AF326" s="1716"/>
      <c r="AG326" s="1720"/>
      <c r="AH326" s="1720"/>
      <c r="AI326" s="1720"/>
      <c r="AJ326" s="1720"/>
      <c r="AK326" s="1716"/>
      <c r="AL326" s="1720"/>
      <c r="AM326" s="1720"/>
      <c r="AN326" s="1720"/>
      <c r="AO326" s="1720"/>
      <c r="AP326" s="1716"/>
      <c r="AQ326" s="1720"/>
      <c r="AR326" s="1720"/>
      <c r="AS326" s="1720"/>
      <c r="AT326" s="1720"/>
      <c r="AU326" s="1721"/>
      <c r="AV326" s="1722"/>
      <c r="AW326" s="1720"/>
      <c r="AX326" s="1720"/>
      <c r="AY326" s="1720"/>
      <c r="AZ326" s="1720"/>
      <c r="BA326" s="1716"/>
      <c r="BB326" s="1720"/>
      <c r="BC326" s="1720"/>
      <c r="BD326" s="1720"/>
      <c r="BE326" s="1720"/>
      <c r="BF326" s="1716"/>
      <c r="BG326" s="1720"/>
      <c r="BH326" s="1720"/>
      <c r="BI326" s="1720"/>
      <c r="BJ326" s="1720"/>
      <c r="BK326" s="1716"/>
      <c r="BL326" s="1686"/>
      <c r="BM326" s="1686"/>
      <c r="BN326" s="1686"/>
      <c r="BO326" s="1686"/>
      <c r="BP326" s="1716"/>
      <c r="BQ326" s="1060"/>
      <c r="BR326" s="1060"/>
      <c r="BS326" s="1060"/>
      <c r="BT326" s="1060"/>
      <c r="BU326" s="1670"/>
      <c r="BV326" s="1723"/>
      <c r="BW326" s="1723"/>
      <c r="BX326" s="1723"/>
      <c r="BY326" s="1723"/>
      <c r="BZ326" s="1670"/>
      <c r="CA326" s="1060">
        <f>CA325/BV325-1</f>
        <v>3.688524590163933E-2</v>
      </c>
      <c r="CB326" s="1060">
        <f t="shared" ref="CB326" si="1769">CB325/BW325-1</f>
        <v>9.1954022988505857E-2</v>
      </c>
      <c r="CC326" s="1060">
        <f t="shared" ref="CC326" si="1770">CC325/BX325-1</f>
        <v>0.14619883040935666</v>
      </c>
      <c r="CD326" s="1060">
        <f t="shared" ref="CD326" si="1771">CD325/BY325-1</f>
        <v>2.4999999999999911E-2</v>
      </c>
      <c r="CE326" s="1670">
        <f t="shared" ref="CE326" si="1772">CE325/BZ325-1</f>
        <v>6.9708491761723668E-2</v>
      </c>
      <c r="CF326" s="1060">
        <f>CF325/CA325-1</f>
        <v>0.13438735177865602</v>
      </c>
      <c r="CG326" s="1060">
        <f t="shared" ref="CG326" si="1773">CG325/CB325-1</f>
        <v>9.473684210526323E-2</v>
      </c>
      <c r="CH326" s="1060">
        <f t="shared" ref="CH326" si="1774">CH325/CC325-1</f>
        <v>-6.1224489795918546E-2</v>
      </c>
      <c r="CI326" s="1060">
        <f t="shared" ref="CI326" si="1775">CI325/CD325-1</f>
        <v>5.3658536585365901E-2</v>
      </c>
      <c r="CJ326" s="1670">
        <f>CJ325/CE325-1</f>
        <v>6.0426540284360009E-2</v>
      </c>
      <c r="CK326" s="1060">
        <f>CK325/CF325-1</f>
        <v>-0.21897810218978109</v>
      </c>
      <c r="CL326" s="1060">
        <f t="shared" ref="CL326" si="1776">CL325/CG325-1</f>
        <v>-0.30769230769230771</v>
      </c>
      <c r="CM326" s="1060">
        <f t="shared" ref="CM326" si="1777">CM325/CH325-1</f>
        <v>-0.30434782608695643</v>
      </c>
      <c r="CN326" s="1060">
        <f t="shared" ref="CN326" si="1778">CN325/CI325-1</f>
        <v>-0.39814814814814814</v>
      </c>
      <c r="CO326" s="1670">
        <f>CO325/CJ325-1</f>
        <v>-0.30038739142845483</v>
      </c>
      <c r="CP326" s="1060">
        <f>CP325/CK325-1</f>
        <v>1.0253997199518059</v>
      </c>
      <c r="CQ326" s="1060">
        <f t="shared" ref="CQ326" si="1779">CQ325/CL325-1</f>
        <v>2.1972328072040499</v>
      </c>
      <c r="CR326" s="1060">
        <f t="shared" ref="CR326" si="1780">CR325/CM325-1</f>
        <v>2.6258670086313876</v>
      </c>
      <c r="CS326" s="1060">
        <f t="shared" ref="CS326" si="1781">CS325/CN325-1</f>
        <v>2.5376489556371635</v>
      </c>
      <c r="CT326" s="1670">
        <f>CT325/CO325-1</f>
        <v>1.9360332534858813</v>
      </c>
      <c r="CU326" s="1060">
        <f>CU325/CP325-1</f>
        <v>1.4971443548335239E-2</v>
      </c>
      <c r="CV326" s="1060">
        <f t="shared" ref="CV326" si="1782">CV325/CQ325-1</f>
        <v>1.1038847318230571E-2</v>
      </c>
      <c r="CW326" s="1060">
        <f t="shared" ref="CW326" si="1783">CW325/CR325-1</f>
        <v>1.3986591501182533E-2</v>
      </c>
      <c r="CX326" s="1060">
        <f t="shared" ref="CX326" si="1784">CX325/CS325-1</f>
        <v>1.824543058068584E-2</v>
      </c>
      <c r="CY326" s="1670">
        <f>CY325/CT325-1</f>
        <v>1.4556972859622874E-2</v>
      </c>
      <c r="CZ326" s="1060">
        <f>CZ325/CU325-1</f>
        <v>2.8626195358712359E-2</v>
      </c>
      <c r="DA326" s="1060">
        <f t="shared" ref="DA326" si="1785">DA325/CV325-1</f>
        <v>1.2416055265144221E-2</v>
      </c>
      <c r="DB326" s="1060">
        <f t="shared" ref="DB326" si="1786">DB325/CW325-1</f>
        <v>1.5803749807796308E-2</v>
      </c>
      <c r="DC326" s="1060">
        <f t="shared" ref="DC326" si="1787">DC325/CX325-1</f>
        <v>2.0013656856652462E-2</v>
      </c>
      <c r="DD326" s="1670">
        <f>DD325/CY325-1</f>
        <v>1.918310432468795E-2</v>
      </c>
      <c r="DE326" s="1060">
        <f>DE325/CZ325-1</f>
        <v>5.8588086812927376E-3</v>
      </c>
      <c r="DF326" s="1060">
        <f t="shared" ref="DF326" si="1788">DF325/DA325-1</f>
        <v>1.1456893157854919E-2</v>
      </c>
      <c r="DG326" s="1060">
        <f t="shared" ref="DG326" si="1789">DG325/DB325-1</f>
        <v>1.412252866724506E-2</v>
      </c>
      <c r="DH326" s="1060">
        <f t="shared" ref="DH326" si="1790">DH325/DC325-1</f>
        <v>1.7571820972991814E-2</v>
      </c>
      <c r="DI326" s="1670">
        <f>DI325/DD325-1</f>
        <v>1.2267907217214491E-2</v>
      </c>
      <c r="DJ326" s="1060">
        <f>DJ325/DE325-1</f>
        <v>1.7038437048076283E-2</v>
      </c>
      <c r="DK326" s="1060">
        <f t="shared" ref="DK326" si="1791">DK325/DF325-1</f>
        <v>1.2034447483225241E-2</v>
      </c>
      <c r="DL326" s="1060">
        <f t="shared" ref="DL326" si="1792">DL325/DG325-1</f>
        <v>1.5605048739544047E-2</v>
      </c>
      <c r="DM326" s="1060">
        <f t="shared" ref="DM326" si="1793">DM325/DH325-1</f>
        <v>1.8347095163356197E-2</v>
      </c>
      <c r="DN326" s="1670">
        <f>DN325/DI325-1</f>
        <v>1.5768326955778456E-2</v>
      </c>
      <c r="DO326" s="1060">
        <f>DO325/DJ325-1</f>
        <v>1.6495511594430745E-2</v>
      </c>
      <c r="DP326" s="1060">
        <f t="shared" ref="DP326" si="1794">DP325/DK325-1</f>
        <v>1.0861472009366491E-2</v>
      </c>
      <c r="DQ326" s="1060">
        <f t="shared" ref="DQ326" si="1795">DQ325/DL325-1</f>
        <v>1.3216698763019785E-2</v>
      </c>
      <c r="DR326" s="1060">
        <f t="shared" ref="DR326" si="1796">DR325/DM325-1</f>
        <v>1.4949116917778893E-2</v>
      </c>
      <c r="DS326" s="1670">
        <f>DS325/DN325-1</f>
        <v>1.3887518143083311E-2</v>
      </c>
      <c r="DT326" s="1060">
        <f>DT325/DO325-1</f>
        <v>2.3306919012651361E-2</v>
      </c>
      <c r="DU326" s="1060">
        <f t="shared" ref="DU326" si="1797">DU325/DP325-1</f>
        <v>4.1162456266741199E-3</v>
      </c>
      <c r="DV326" s="1060">
        <f t="shared" ref="DV326" si="1798">DV325/DQ325-1</f>
        <v>5.5334597849923117E-3</v>
      </c>
      <c r="DW326" s="1060">
        <f t="shared" ref="DW326" si="1799">DW325/DR325-1</f>
        <v>7.4038813914749646E-3</v>
      </c>
      <c r="DX326" s="1670">
        <f>DX325/DS325-1</f>
        <v>1.0079353849297812E-2</v>
      </c>
      <c r="DY326" s="1060">
        <f>DY325/DT325-1</f>
        <v>-6.4290091273619954E-3</v>
      </c>
      <c r="DZ326" s="1060">
        <f t="shared" ref="DZ326" si="1800">DZ325/DU325-1</f>
        <v>-3.5501009332263855E-3</v>
      </c>
      <c r="EA326" s="1060">
        <f t="shared" ref="EA326" si="1801">EA325/DV325-1</f>
        <v>-2.053752347397908E-3</v>
      </c>
      <c r="EB326" s="1060">
        <f t="shared" ref="EB326" si="1802">EB325/DW325-1</f>
        <v>-7.5391480292452684E-5</v>
      </c>
      <c r="EC326" s="1670">
        <f>EC325/DX325-1</f>
        <v>-3.0220268540742667E-3</v>
      </c>
      <c r="ED326" s="440"/>
      <c r="EE326" s="61"/>
      <c r="EF326" s="285"/>
      <c r="EG326" s="118"/>
      <c r="EH326" s="118"/>
      <c r="EI326" s="118"/>
      <c r="EJ326" s="118"/>
      <c r="EK326" s="118"/>
      <c r="EL326" s="118"/>
      <c r="EM326" s="118"/>
      <c r="EN326" s="118"/>
      <c r="EO326" s="118"/>
      <c r="EP326" s="118"/>
      <c r="EQ326" s="118"/>
      <c r="ER326" s="118"/>
      <c r="ES326" s="118"/>
      <c r="ET326" s="118"/>
      <c r="EU326" s="118"/>
      <c r="EX326" s="118"/>
      <c r="EY326" s="986"/>
      <c r="EZ326" s="987"/>
      <c r="FA326" s="987"/>
      <c r="FB326" s="986"/>
      <c r="FC326" s="987"/>
      <c r="FD326" s="118"/>
      <c r="FE326"/>
      <c r="FF326"/>
      <c r="FG326"/>
      <c r="FH326"/>
      <c r="FI326"/>
      <c r="FJ326"/>
    </row>
    <row r="327" spans="1:166" s="1433" customFormat="1" ht="12" hidden="1" customHeight="1" outlineLevel="2" collapsed="1" x14ac:dyDescent="0.2">
      <c r="A327" s="1724" t="s">
        <v>755</v>
      </c>
      <c r="B327" s="1725"/>
      <c r="C327" s="1726"/>
      <c r="D327" s="1727"/>
      <c r="E327" s="1727"/>
      <c r="F327" s="1728"/>
      <c r="G327" s="1725"/>
      <c r="H327" s="1726"/>
      <c r="I327" s="1727"/>
      <c r="J327" s="1727"/>
      <c r="K327" s="1727"/>
      <c r="L327" s="1725"/>
      <c r="M327" s="1727"/>
      <c r="N327" s="1727"/>
      <c r="O327" s="1727"/>
      <c r="P327" s="1727"/>
      <c r="Q327" s="1725"/>
      <c r="R327" s="1727"/>
      <c r="S327" s="1727"/>
      <c r="T327" s="1727"/>
      <c r="U327" s="1728"/>
      <c r="V327" s="1725"/>
      <c r="W327" s="1727"/>
      <c r="X327" s="1727"/>
      <c r="Y327" s="1727"/>
      <c r="Z327" s="1728"/>
      <c r="AA327" s="1729"/>
      <c r="AB327" s="1726"/>
      <c r="AC327" s="1727"/>
      <c r="AD327" s="1727"/>
      <c r="AE327" s="1727"/>
      <c r="AF327" s="1725"/>
      <c r="AG327" s="1730"/>
      <c r="AH327" s="1730"/>
      <c r="AI327" s="1730"/>
      <c r="AJ327" s="1730"/>
      <c r="AK327" s="1725"/>
      <c r="AL327" s="1730"/>
      <c r="AM327" s="1730"/>
      <c r="AN327" s="1730"/>
      <c r="AO327" s="1730"/>
      <c r="AP327" s="1725"/>
      <c r="AQ327" s="1730"/>
      <c r="AR327" s="1730"/>
      <c r="AS327" s="1730"/>
      <c r="AT327" s="1730"/>
      <c r="AU327" s="1731"/>
      <c r="AV327" s="1655"/>
      <c r="AW327" s="1730"/>
      <c r="AX327" s="1730"/>
      <c r="AY327" s="1730"/>
      <c r="AZ327" s="1730"/>
      <c r="BA327" s="1725"/>
      <c r="BB327" s="1730"/>
      <c r="BC327" s="1730"/>
      <c r="BD327" s="1730"/>
      <c r="BE327" s="1730"/>
      <c r="BF327" s="1725"/>
      <c r="BG327" s="1730"/>
      <c r="BH327" s="1730"/>
      <c r="BI327" s="1730"/>
      <c r="BJ327" s="1730"/>
      <c r="BK327" s="1725"/>
      <c r="BL327" s="1730"/>
      <c r="BM327" s="1730"/>
      <c r="BN327" s="1730"/>
      <c r="BO327" s="1730"/>
      <c r="BP327" s="1725"/>
      <c r="BQ327" s="1730">
        <f>BQ321+BQ323</f>
        <v>86.409220170590771</v>
      </c>
      <c r="BR327" s="1730">
        <f t="shared" ref="BR327:BT327" si="1803">BR321+BR323</f>
        <v>87.077957967755083</v>
      </c>
      <c r="BS327" s="1730">
        <f t="shared" si="1803"/>
        <v>88.569546040302953</v>
      </c>
      <c r="BT327" s="1730">
        <f t="shared" si="1803"/>
        <v>125.26149999999998</v>
      </c>
      <c r="BU327" s="1725">
        <f>SUM(BQ327:BT327)</f>
        <v>387.31822417864873</v>
      </c>
      <c r="BV327" s="1732">
        <f>BV321+BV323</f>
        <v>64.7</v>
      </c>
      <c r="BW327" s="1732">
        <f t="shared" ref="BW327:BY327" si="1804">BW321+BW323</f>
        <v>62.300000000000004</v>
      </c>
      <c r="BX327" s="1732">
        <f t="shared" si="1804"/>
        <v>60.5</v>
      </c>
      <c r="BY327" s="1732">
        <f t="shared" si="1804"/>
        <v>59.498318591828301</v>
      </c>
      <c r="BZ327" s="1725">
        <f>SUM(BV327:BY327)</f>
        <v>246.99831859182831</v>
      </c>
      <c r="CA327" s="1727">
        <f t="shared" ref="CA327:CC327" si="1805">CA321+CA323-CA329</f>
        <v>59.900000000000006</v>
      </c>
      <c r="CB327" s="1727">
        <f>CB321+CB323-CB329</f>
        <v>58.7</v>
      </c>
      <c r="CC327" s="1727">
        <f t="shared" si="1805"/>
        <v>57.5</v>
      </c>
      <c r="CD327" s="1727">
        <f>CD321+CD323-CD329</f>
        <v>62.400000000000013</v>
      </c>
      <c r="CE327" s="1725">
        <f>SUM(CA327:CD327)</f>
        <v>238.50000000000003</v>
      </c>
      <c r="CF327" s="1727">
        <f>CF321+CF323-CF329</f>
        <v>56.800000000000004</v>
      </c>
      <c r="CG327" s="1727">
        <f>CG321+CG323-CG329</f>
        <v>51.1</v>
      </c>
      <c r="CH327" s="1727">
        <f>CH321+CH323-CH329</f>
        <v>59</v>
      </c>
      <c r="CI327" s="1727">
        <f>CI321+CI323-CI329</f>
        <v>67.300000000000011</v>
      </c>
      <c r="CJ327" s="1725">
        <f>SUM(CF327:CI327)</f>
        <v>234.20000000000002</v>
      </c>
      <c r="CK327" s="1727">
        <f>CK321+CK323-CK329</f>
        <v>63.300000000000004</v>
      </c>
      <c r="CL327" s="1727">
        <f>CL321+CL323+CL325-CL329</f>
        <v>70.7</v>
      </c>
      <c r="CM327" s="1727">
        <f t="shared" ref="CM327:CN327" si="1806">CM321+CM323+CM325-CM329</f>
        <v>74.900000000000006</v>
      </c>
      <c r="CN327" s="1727">
        <f t="shared" si="1806"/>
        <v>65.2</v>
      </c>
      <c r="CO327" s="1725">
        <f>SUM(CK327:CN327)</f>
        <v>274.10000000000002</v>
      </c>
      <c r="CP327" s="1727">
        <f t="shared" ref="CP327:EB327" si="1807">CP321+CP323+CP325-CP329</f>
        <v>268</v>
      </c>
      <c r="CQ327" s="1730">
        <f t="shared" si="1807"/>
        <v>270.0472751747584</v>
      </c>
      <c r="CR327" s="1730">
        <f t="shared" si="1807"/>
        <v>272.42771237637629</v>
      </c>
      <c r="CS327" s="1730">
        <f t="shared" si="1807"/>
        <v>273.53770524435856</v>
      </c>
      <c r="CT327" s="1725">
        <f>SUM(CP327:CS327)</f>
        <v>1084.0126927954934</v>
      </c>
      <c r="CU327" s="1730">
        <f t="shared" si="1807"/>
        <v>272.7992801311575</v>
      </c>
      <c r="CV327" s="1730">
        <f t="shared" si="1807"/>
        <v>273.87301491720569</v>
      </c>
      <c r="CW327" s="1730">
        <f>CW321+CW323+CW325-CW329</f>
        <v>275.79584947639671</v>
      </c>
      <c r="CX327" s="1730">
        <f t="shared" si="1807"/>
        <v>277.09586760284225</v>
      </c>
      <c r="CY327" s="1725">
        <f>SUM(CU327:CX327)</f>
        <v>1099.5640121276022</v>
      </c>
      <c r="CZ327" s="1730">
        <f>CZ321+CZ323+CZ325-CZ329</f>
        <v>278.39159138795065</v>
      </c>
      <c r="DA327" s="1730">
        <f t="shared" si="1807"/>
        <v>275.24092640986134</v>
      </c>
      <c r="DB327" s="1730">
        <f t="shared" si="1807"/>
        <v>276.52415285528565</v>
      </c>
      <c r="DC327" s="1730">
        <f t="shared" si="1807"/>
        <v>277.30317921038295</v>
      </c>
      <c r="DD327" s="1725">
        <f>SUM(CZ327:DC327)</f>
        <v>1107.4598498634805</v>
      </c>
      <c r="DE327" s="1730">
        <f t="shared" si="1807"/>
        <v>281.85439896593647</v>
      </c>
      <c r="DF327" s="1730">
        <f t="shared" si="1807"/>
        <v>276.96754403961501</v>
      </c>
      <c r="DG327" s="1730">
        <f t="shared" si="1807"/>
        <v>279.71077950162385</v>
      </c>
      <c r="DH327" s="1730">
        <f t="shared" si="1807"/>
        <v>279.88550589441451</v>
      </c>
      <c r="DI327" s="1725">
        <f>SUM(DE327:DH327)</f>
        <v>1118.4182284015899</v>
      </c>
      <c r="DJ327" s="1730">
        <f t="shared" si="1807"/>
        <v>283.88452563174178</v>
      </c>
      <c r="DK327" s="1730">
        <f t="shared" si="1807"/>
        <v>277.79425616000947</v>
      </c>
      <c r="DL327" s="1730">
        <f t="shared" si="1807"/>
        <v>279.82261841520983</v>
      </c>
      <c r="DM327" s="1730">
        <f t="shared" si="1807"/>
        <v>279.29835145902905</v>
      </c>
      <c r="DN327" s="1725">
        <f>SUM(DJ327:DM327)</f>
        <v>1120.7997516659902</v>
      </c>
      <c r="DO327" s="1730">
        <f t="shared" si="1807"/>
        <v>286.01930539223531</v>
      </c>
      <c r="DP327" s="1730">
        <f t="shared" si="1807"/>
        <v>278.42614665794775</v>
      </c>
      <c r="DQ327" s="1730">
        <f t="shared" si="1807"/>
        <v>279.46118789255092</v>
      </c>
      <c r="DR327" s="1730">
        <f t="shared" si="1807"/>
        <v>278.09526264907913</v>
      </c>
      <c r="DS327" s="1725">
        <f>SUM(DO327:DR327)</f>
        <v>1122.0019025918132</v>
      </c>
      <c r="DT327" s="1730">
        <f t="shared" si="1807"/>
        <v>289.79516518921696</v>
      </c>
      <c r="DU327" s="1730">
        <f t="shared" si="1807"/>
        <v>277.2829250408368</v>
      </c>
      <c r="DV327" s="1730">
        <f t="shared" si="1807"/>
        <v>277.0930928309449</v>
      </c>
      <c r="DW327" s="1730">
        <f t="shared" si="1807"/>
        <v>274.77643336169052</v>
      </c>
      <c r="DX327" s="1725">
        <f>SUM(DT327:DW327)</f>
        <v>1118.9476164226892</v>
      </c>
      <c r="DY327" s="1730">
        <f t="shared" si="1807"/>
        <v>285.32754237201709</v>
      </c>
      <c r="DZ327" s="1730">
        <f t="shared" si="1807"/>
        <v>274.1340563886485</v>
      </c>
      <c r="EA327" s="1730">
        <f t="shared" si="1807"/>
        <v>272.51817935978704</v>
      </c>
      <c r="EB327" s="1730">
        <f t="shared" si="1807"/>
        <v>269.12942389385762</v>
      </c>
      <c r="EC327" s="1725">
        <f>SUM(DY327:EB327)</f>
        <v>1101.1092020143101</v>
      </c>
      <c r="ED327" s="1431"/>
      <c r="EE327" s="1434"/>
      <c r="EF327" s="1435"/>
      <c r="EG327" s="1432"/>
      <c r="EH327" s="1432"/>
      <c r="EI327" s="1432"/>
      <c r="EJ327" s="1432"/>
      <c r="EK327" s="1432"/>
      <c r="EL327" s="1432"/>
      <c r="EM327" s="1432"/>
      <c r="EN327" s="1432"/>
      <c r="EO327" s="1432"/>
      <c r="EP327" s="1432"/>
      <c r="EQ327" s="1432"/>
      <c r="ER327" s="1432"/>
      <c r="ES327" s="1432"/>
      <c r="ET327" s="1432"/>
      <c r="EU327" s="1432"/>
      <c r="EX327" s="1432"/>
      <c r="EY327" s="1436"/>
      <c r="EZ327" s="1437"/>
      <c r="FA327" s="1437"/>
      <c r="FB327" s="1436"/>
      <c r="FC327" s="1437"/>
      <c r="FD327" s="1432"/>
      <c r="FE327"/>
      <c r="FF327"/>
      <c r="FG327"/>
      <c r="FH327"/>
      <c r="FI327"/>
      <c r="FJ327"/>
    </row>
    <row r="328" spans="1:166" ht="12" hidden="1" customHeight="1" outlineLevel="2" x14ac:dyDescent="0.2">
      <c r="A328" s="1715" t="s">
        <v>37</v>
      </c>
      <c r="B328" s="1716"/>
      <c r="C328" s="1717"/>
      <c r="D328" s="1686"/>
      <c r="E328" s="1686"/>
      <c r="F328" s="1718"/>
      <c r="G328" s="1716"/>
      <c r="H328" s="1717"/>
      <c r="I328" s="1686"/>
      <c r="J328" s="1686"/>
      <c r="K328" s="1686"/>
      <c r="L328" s="1716"/>
      <c r="M328" s="1686"/>
      <c r="N328" s="1686"/>
      <c r="O328" s="1686"/>
      <c r="P328" s="1686"/>
      <c r="Q328" s="1716"/>
      <c r="R328" s="1686"/>
      <c r="S328" s="1686"/>
      <c r="T328" s="1686"/>
      <c r="U328" s="1718"/>
      <c r="V328" s="1716"/>
      <c r="W328" s="1686"/>
      <c r="X328" s="1686"/>
      <c r="Y328" s="1686"/>
      <c r="Z328" s="1718"/>
      <c r="AA328" s="1719"/>
      <c r="AB328" s="1717"/>
      <c r="AC328" s="1686"/>
      <c r="AD328" s="1686"/>
      <c r="AE328" s="1686"/>
      <c r="AF328" s="1716"/>
      <c r="AG328" s="1720"/>
      <c r="AH328" s="1720"/>
      <c r="AI328" s="1720"/>
      <c r="AJ328" s="1720"/>
      <c r="AK328" s="1716"/>
      <c r="AL328" s="1720"/>
      <c r="AM328" s="1720"/>
      <c r="AN328" s="1720"/>
      <c r="AO328" s="1720"/>
      <c r="AP328" s="1716"/>
      <c r="AQ328" s="1720"/>
      <c r="AR328" s="1720"/>
      <c r="AS328" s="1720"/>
      <c r="AT328" s="1720"/>
      <c r="AU328" s="1721"/>
      <c r="AV328" s="1722"/>
      <c r="AW328" s="1720"/>
      <c r="AX328" s="1720"/>
      <c r="AY328" s="1720"/>
      <c r="AZ328" s="1720"/>
      <c r="BA328" s="1716"/>
      <c r="BB328" s="1720"/>
      <c r="BC328" s="1720"/>
      <c r="BD328" s="1720"/>
      <c r="BE328" s="1720"/>
      <c r="BF328" s="1716"/>
      <c r="BG328" s="1720"/>
      <c r="BH328" s="1720"/>
      <c r="BI328" s="1720"/>
      <c r="BJ328" s="1720"/>
      <c r="BK328" s="1716"/>
      <c r="BL328" s="1686"/>
      <c r="BM328" s="1686"/>
      <c r="BN328" s="1686"/>
      <c r="BO328" s="1686"/>
      <c r="BP328" s="1716"/>
      <c r="BQ328" s="1060"/>
      <c r="BR328" s="1060"/>
      <c r="BS328" s="1060"/>
      <c r="BT328" s="1060"/>
      <c r="BU328" s="1670"/>
      <c r="BV328" s="1723"/>
      <c r="BW328" s="1723"/>
      <c r="BX328" s="1723"/>
      <c r="BY328" s="1723"/>
      <c r="BZ328" s="1670"/>
      <c r="CA328" s="1060">
        <f t="shared" ref="CA328" si="1808">CA327/BQ327-1</f>
        <v>-0.30678693915135147</v>
      </c>
      <c r="CB328" s="1060">
        <f t="shared" ref="CB328" si="1809">CB327/BR327-1</f>
        <v>-0.32589140386437887</v>
      </c>
      <c r="CC328" s="1733">
        <f t="shared" ref="CC328" si="1810">CC327/BS327-1</f>
        <v>-0.35079265311086694</v>
      </c>
      <c r="CD328" s="1733">
        <f t="shared" ref="CD328" si="1811">CD327/BT327-1</f>
        <v>-0.50184214623008649</v>
      </c>
      <c r="CE328" s="1670">
        <f t="shared" ref="CE328" si="1812">CE327/BU327-1</f>
        <v>-0.3842272707261174</v>
      </c>
      <c r="CF328" s="1060">
        <f>CF327/CA327-1</f>
        <v>-5.175292153589317E-2</v>
      </c>
      <c r="CG328" s="1060">
        <f>CG327/CB327-1</f>
        <v>-0.12947189097103917</v>
      </c>
      <c r="CH328" s="1060">
        <f>CH327/CC327-1</f>
        <v>2.6086956521739202E-2</v>
      </c>
      <c r="CI328" s="1060">
        <f>CI327/CD327-1</f>
        <v>7.8525641025640969E-2</v>
      </c>
      <c r="CJ328" s="1670">
        <f t="shared" ref="CJ328" si="1813">CJ327/CE327-1</f>
        <v>-1.8029350104821873E-2</v>
      </c>
      <c r="CK328" s="1060">
        <f t="shared" ref="CK328" si="1814">CK327/CF327-1</f>
        <v>0.11443661971830976</v>
      </c>
      <c r="CL328" s="1060">
        <f t="shared" ref="CL328" si="1815">CL327/CG327-1</f>
        <v>0.38356164383561642</v>
      </c>
      <c r="CM328" s="1060">
        <f t="shared" ref="CM328" si="1816">CM327/CH327-1</f>
        <v>0.26949152542372889</v>
      </c>
      <c r="CN328" s="1060">
        <f>CN327/CI327-1</f>
        <v>-3.1203566121842607E-2</v>
      </c>
      <c r="CO328" s="1670">
        <f t="shared" ref="CO328" si="1817">CO327/CJ327-1</f>
        <v>0.1703672075149445</v>
      </c>
      <c r="CP328" s="1060">
        <f t="shared" ref="CP328" si="1818">CP327/CK327-1</f>
        <v>3.2338072669826223</v>
      </c>
      <c r="CQ328" s="1733">
        <f t="shared" ref="CQ328" si="1819">CQ327/CL327-1</f>
        <v>2.8196219968141216</v>
      </c>
      <c r="CR328" s="1733">
        <f t="shared" ref="CR328" si="1820">CR327/CM327-1</f>
        <v>2.6372191238501506</v>
      </c>
      <c r="CS328" s="1733">
        <f t="shared" ref="CS328" si="1821">CS327/CN327-1</f>
        <v>3.1953635773674627</v>
      </c>
      <c r="CT328" s="1670">
        <f t="shared" ref="CT328" si="1822">CT327/CO327-1</f>
        <v>2.9548073432889215</v>
      </c>
      <c r="CU328" s="1733">
        <f t="shared" ref="CU328" si="1823">CU327/CP327-1</f>
        <v>1.7907761683423562E-2</v>
      </c>
      <c r="CV328" s="1733">
        <f t="shared" ref="CV328" si="1824">CV327/CQ327-1</f>
        <v>1.4166925920550355E-2</v>
      </c>
      <c r="CW328" s="1733">
        <f t="shared" ref="CW328" si="1825">CW327/CR327-1</f>
        <v>1.2363415860450866E-2</v>
      </c>
      <c r="CX328" s="1733">
        <f t="shared" ref="CX328" si="1826">CX327/CS327-1</f>
        <v>1.3007941100131371E-2</v>
      </c>
      <c r="CY328" s="1670">
        <f t="shared" ref="CY328" si="1827">CY327/CT327-1</f>
        <v>1.4346067564951159E-2</v>
      </c>
      <c r="CZ328" s="1733">
        <f t="shared" ref="CZ328" si="1828">CZ327/CU327-1</f>
        <v>2.0499728789989735E-2</v>
      </c>
      <c r="DA328" s="1733">
        <f t="shared" ref="DA328" si="1829">DA327/CV327-1</f>
        <v>4.9946924967003703E-3</v>
      </c>
      <c r="DB328" s="1733">
        <f t="shared" ref="DB328" si="1830">DB327/CW327-1</f>
        <v>2.640733645091542E-3</v>
      </c>
      <c r="DC328" s="1733">
        <f t="shared" ref="DC328" si="1831">DC327/CX327-1</f>
        <v>7.4815842377651265E-4</v>
      </c>
      <c r="DD328" s="1670">
        <f t="shared" ref="DD328" si="1832">DD327/CY327-1</f>
        <v>7.1808804660677961E-3</v>
      </c>
      <c r="DE328" s="1733">
        <f t="shared" ref="DE328" si="1833">DE327/CZ327-1</f>
        <v>1.2438621298587416E-2</v>
      </c>
      <c r="DF328" s="1733">
        <f t="shared" ref="DF328" si="1834">DF327/DA327-1</f>
        <v>6.2731137126843528E-3</v>
      </c>
      <c r="DG328" s="1733">
        <f t="shared" ref="DG328" si="1835">DG327/DB327-1</f>
        <v>1.1523863696658143E-2</v>
      </c>
      <c r="DH328" s="1733">
        <f t="shared" ref="DH328" si="1836">DH327/DC327-1</f>
        <v>9.3122866149053518E-3</v>
      </c>
      <c r="DI328" s="1670">
        <f t="shared" ref="DI328" si="1837">DI327/DD327-1</f>
        <v>9.8950571792379982E-3</v>
      </c>
      <c r="DJ328" s="1733">
        <f t="shared" ref="DJ328" si="1838">DJ327/DE327-1</f>
        <v>7.2027496226896304E-3</v>
      </c>
      <c r="DK328" s="1733">
        <f t="shared" ref="DK328" si="1839">DK327/DF327-1</f>
        <v>2.9848700260570737E-3</v>
      </c>
      <c r="DL328" s="1733">
        <f t="shared" ref="DL328" si="1840">DL327/DG327-1</f>
        <v>3.998376958702643E-4</v>
      </c>
      <c r="DM328" s="1733">
        <f t="shared" ref="DM328" si="1841">DM327/DH327-1</f>
        <v>-2.097837948089265E-3</v>
      </c>
      <c r="DN328" s="1670">
        <f t="shared" ref="DN328" si="1842">DN327/DI327-1</f>
        <v>2.1293673546469716E-3</v>
      </c>
      <c r="DO328" s="1733">
        <f t="shared" ref="DO328" si="1843">DO327/DJ327-1</f>
        <v>7.5198877280926446E-3</v>
      </c>
      <c r="DP328" s="1733">
        <f t="shared" ref="DP328" si="1844">DP327/DK327-1</f>
        <v>2.2746708541530047E-3</v>
      </c>
      <c r="DQ328" s="1733">
        <f t="shared" ref="DQ328" si="1845">DQ327/DL327-1</f>
        <v>-1.2916415574476536E-3</v>
      </c>
      <c r="DR328" s="1733">
        <f t="shared" ref="DR328" si="1846">DR327/DM327-1</f>
        <v>-4.3075399609954212E-3</v>
      </c>
      <c r="DS328" s="1670">
        <f t="shared" ref="DS328" si="1847">DS327/DN327-1</f>
        <v>1.0725831479139192E-3</v>
      </c>
      <c r="DT328" s="1733">
        <f t="shared" ref="DT328" si="1848">DT327/DO327-1</f>
        <v>1.3201415868776989E-2</v>
      </c>
      <c r="DU328" s="1733">
        <f t="shared" ref="DU328" si="1849">DU327/DP327-1</f>
        <v>-4.1060138598096874E-3</v>
      </c>
      <c r="DV328" s="1733">
        <f t="shared" ref="DV328" si="1850">DV327/DQ327-1</f>
        <v>-8.473788719872366E-3</v>
      </c>
      <c r="DW328" s="1733">
        <f t="shared" ref="DW328" si="1851">DW327/DR327-1</f>
        <v>-1.1934145356429671E-2</v>
      </c>
      <c r="DX328" s="1670">
        <f t="shared" ref="DX328" si="1852">DX327/DS327-1</f>
        <v>-2.7221755703520367E-3</v>
      </c>
      <c r="DY328" s="1733">
        <f t="shared" ref="DY328" si="1853">DY327/DT327-1</f>
        <v>-1.5416484999957847E-2</v>
      </c>
      <c r="DZ328" s="1733">
        <f t="shared" ref="DZ328" si="1854">DZ327/DU327-1</f>
        <v>-1.1356157800645472E-2</v>
      </c>
      <c r="EA328" s="1733">
        <f t="shared" ref="EA328" si="1855">EA327/DV327-1</f>
        <v>-1.65103843781087E-2</v>
      </c>
      <c r="EB328" s="1733">
        <f t="shared" ref="EB328" si="1856">EB327/DW327-1</f>
        <v>-2.0551287454844025E-2</v>
      </c>
      <c r="EC328" s="1670">
        <f t="shared" ref="EC328" si="1857">EC327/DX327-1</f>
        <v>-1.5942135401663449E-2</v>
      </c>
      <c r="ED328" s="38"/>
      <c r="EE328" s="21"/>
      <c r="EF328" s="284"/>
      <c r="EG328" s="16"/>
      <c r="EH328" s="16"/>
      <c r="EI328" s="16"/>
      <c r="EJ328" s="16"/>
      <c r="EK328" s="16"/>
      <c r="EL328" s="16"/>
      <c r="EM328" s="16"/>
      <c r="EN328" s="16"/>
      <c r="EO328" s="16"/>
      <c r="EP328" s="16"/>
      <c r="EQ328" s="16"/>
      <c r="ER328" s="16"/>
      <c r="ES328" s="16"/>
      <c r="ET328" s="16"/>
      <c r="EU328" s="16"/>
      <c r="EX328" s="16"/>
      <c r="EY328" s="228"/>
      <c r="EZ328" s="477"/>
      <c r="FA328" s="477"/>
      <c r="FB328" s="228"/>
      <c r="FC328" s="477"/>
      <c r="FD328" s="16"/>
    </row>
    <row r="329" spans="1:166" s="1678" customFormat="1" collapsed="1" x14ac:dyDescent="0.2">
      <c r="A329" s="1707" t="s">
        <v>756</v>
      </c>
      <c r="B329" s="1708"/>
      <c r="C329" s="1734"/>
      <c r="D329" s="1653"/>
      <c r="E329" s="1653"/>
      <c r="F329" s="1710"/>
      <c r="G329" s="1708"/>
      <c r="H329" s="1734"/>
      <c r="I329" s="1653"/>
      <c r="J329" s="1653"/>
      <c r="K329" s="1710"/>
      <c r="L329" s="1708"/>
      <c r="M329" s="1734"/>
      <c r="N329" s="1653"/>
      <c r="O329" s="1653"/>
      <c r="P329" s="1710"/>
      <c r="Q329" s="1708"/>
      <c r="R329" s="1676"/>
      <c r="S329" s="1676"/>
      <c r="T329" s="1676"/>
      <c r="U329" s="1710"/>
      <c r="V329" s="1708"/>
      <c r="W329" s="1676"/>
      <c r="X329" s="1676"/>
      <c r="Y329" s="1676"/>
      <c r="Z329" s="1710"/>
      <c r="AA329" s="1711"/>
      <c r="AB329" s="1709"/>
      <c r="AC329" s="1676"/>
      <c r="AD329" s="1676"/>
      <c r="AE329" s="1676"/>
      <c r="AF329" s="1708"/>
      <c r="AG329" s="1676"/>
      <c r="AH329" s="1676"/>
      <c r="AI329" s="1676"/>
      <c r="AJ329" s="1676"/>
      <c r="AK329" s="1708"/>
      <c r="AL329" s="1676"/>
      <c r="AM329" s="1676"/>
      <c r="AN329" s="1676"/>
      <c r="AO329" s="1676"/>
      <c r="AP329" s="1708"/>
      <c r="AQ329" s="1676"/>
      <c r="AR329" s="1676"/>
      <c r="AS329" s="1676"/>
      <c r="AT329" s="1676"/>
      <c r="AU329" s="1712"/>
      <c r="AV329" s="1654"/>
      <c r="AW329" s="1676">
        <f>AW32</f>
        <v>21.6</v>
      </c>
      <c r="AX329" s="1676">
        <f>AX32</f>
        <v>22.7</v>
      </c>
      <c r="AY329" s="1676">
        <f>AY32</f>
        <v>20.8</v>
      </c>
      <c r="AZ329" s="1676">
        <f>AZ32</f>
        <v>21.2</v>
      </c>
      <c r="BA329" s="1708">
        <f>SUM(AW329:AZ329)</f>
        <v>86.3</v>
      </c>
      <c r="BB329" s="1676">
        <v>19</v>
      </c>
      <c r="BC329" s="1676">
        <f>39.4-BB329</f>
        <v>20.399999999999999</v>
      </c>
      <c r="BD329" s="1676">
        <v>18.7</v>
      </c>
      <c r="BE329" s="1676">
        <v>20.100000000000001</v>
      </c>
      <c r="BF329" s="1708">
        <f>SUM(BB329:BE329)</f>
        <v>78.199999999999989</v>
      </c>
      <c r="BG329" s="1676">
        <v>16.7</v>
      </c>
      <c r="BH329" s="1676">
        <f>30.1-BG329</f>
        <v>13.400000000000002</v>
      </c>
      <c r="BI329" s="1676">
        <v>10.4</v>
      </c>
      <c r="BJ329" s="1676">
        <v>7.8</v>
      </c>
      <c r="BK329" s="1708">
        <f>SUM(BG329:BJ329)</f>
        <v>48.3</v>
      </c>
      <c r="BL329" s="1676">
        <v>3.7</v>
      </c>
      <c r="BM329" s="1676">
        <v>1</v>
      </c>
      <c r="BN329" s="1676">
        <v>1.3</v>
      </c>
      <c r="BO329" s="1676">
        <v>0.2</v>
      </c>
      <c r="BP329" s="1708">
        <f>SUM(BL329:BO329)</f>
        <v>6.2</v>
      </c>
      <c r="BQ329" s="1676">
        <v>0.2</v>
      </c>
      <c r="BR329" s="1676">
        <v>0.1</v>
      </c>
      <c r="BS329" s="1676">
        <v>0.6</v>
      </c>
      <c r="BT329" s="1676">
        <v>1.5</v>
      </c>
      <c r="BU329" s="1708">
        <f>SUM(BQ329:BT329)</f>
        <v>2.4</v>
      </c>
      <c r="BV329" s="1713">
        <v>0.2</v>
      </c>
      <c r="BW329" s="1713">
        <v>0.1</v>
      </c>
      <c r="BX329" s="1713">
        <v>0.6</v>
      </c>
      <c r="BY329" s="1713">
        <v>1.5</v>
      </c>
      <c r="BZ329" s="1708">
        <f>SUM(BV329:BY329)</f>
        <v>2.4</v>
      </c>
      <c r="CA329" s="1676">
        <v>4.8</v>
      </c>
      <c r="CB329" s="1676">
        <v>3.5</v>
      </c>
      <c r="CC329" s="1676">
        <f>CC32</f>
        <v>3</v>
      </c>
      <c r="CD329" s="1676">
        <f>CD32</f>
        <v>2.4</v>
      </c>
      <c r="CE329" s="1708">
        <f>SUM(CA329:CD329)</f>
        <v>13.700000000000001</v>
      </c>
      <c r="CF329" s="1676">
        <f>CF32</f>
        <v>1.4</v>
      </c>
      <c r="CG329" s="1676">
        <f>CG32</f>
        <v>1.4</v>
      </c>
      <c r="CH329" s="1676">
        <f>CH32</f>
        <v>1.5</v>
      </c>
      <c r="CI329" s="1676">
        <v>0</v>
      </c>
      <c r="CJ329" s="1708">
        <f>SUM(CF329:CI329)</f>
        <v>4.3</v>
      </c>
      <c r="CK329" s="1676">
        <v>0</v>
      </c>
      <c r="CL329" s="1676">
        <v>0</v>
      </c>
      <c r="CM329" s="1676">
        <v>0</v>
      </c>
      <c r="CN329" s="1676">
        <v>0</v>
      </c>
      <c r="CO329" s="1708">
        <f>SUM(CK329:CN329)</f>
        <v>0</v>
      </c>
      <c r="CP329" s="1676">
        <v>0</v>
      </c>
      <c r="CQ329" s="1676">
        <f>CQ330*CQ20</f>
        <v>0</v>
      </c>
      <c r="CR329" s="1676">
        <f>CR330*CR20</f>
        <v>0</v>
      </c>
      <c r="CS329" s="1676">
        <f>CS330*CS20</f>
        <v>0</v>
      </c>
      <c r="CT329" s="1708">
        <f>SUM(CP329:CS329)</f>
        <v>0</v>
      </c>
      <c r="CU329" s="1676">
        <f>CU330*CU20</f>
        <v>0</v>
      </c>
      <c r="CV329" s="1676">
        <f>CV330*CV20</f>
        <v>0</v>
      </c>
      <c r="CW329" s="1676">
        <f>CW330*CW20</f>
        <v>0</v>
      </c>
      <c r="CX329" s="1676">
        <f>CX330*CX20</f>
        <v>0</v>
      </c>
      <c r="CY329" s="1708">
        <f>SUM(CU329:CX329)</f>
        <v>0</v>
      </c>
      <c r="CZ329" s="1676">
        <f>CZ330*CZ20</f>
        <v>0</v>
      </c>
      <c r="DA329" s="1676">
        <f>DA330*DA20</f>
        <v>0</v>
      </c>
      <c r="DB329" s="1676">
        <f>DB330*DB20</f>
        <v>0</v>
      </c>
      <c r="DC329" s="1676">
        <f>DC330*DC20</f>
        <v>0</v>
      </c>
      <c r="DD329" s="1708">
        <f>SUM(CZ329:DC329)</f>
        <v>0</v>
      </c>
      <c r="DE329" s="1676">
        <f>DE330*DE20</f>
        <v>0</v>
      </c>
      <c r="DF329" s="1676">
        <f>DF330*DF20</f>
        <v>0</v>
      </c>
      <c r="DG329" s="1676">
        <f>DG330*DG20</f>
        <v>0</v>
      </c>
      <c r="DH329" s="1676">
        <f>DH330*DH20</f>
        <v>0</v>
      </c>
      <c r="DI329" s="1708">
        <f>SUM(DE329:DH329)</f>
        <v>0</v>
      </c>
      <c r="DJ329" s="1676">
        <f>DJ330*DJ20</f>
        <v>0</v>
      </c>
      <c r="DK329" s="1676">
        <f>DK330*DK20</f>
        <v>0</v>
      </c>
      <c r="DL329" s="1676">
        <f>DL330*DL20</f>
        <v>0</v>
      </c>
      <c r="DM329" s="1676">
        <f>DM330*DM20</f>
        <v>0</v>
      </c>
      <c r="DN329" s="1708">
        <f>SUM(DJ329:DM329)</f>
        <v>0</v>
      </c>
      <c r="DO329" s="1676">
        <f>DO330*DO20</f>
        <v>0</v>
      </c>
      <c r="DP329" s="1676">
        <f>DP330*DP20</f>
        <v>0</v>
      </c>
      <c r="DQ329" s="1676">
        <f>DQ330*DQ20</f>
        <v>0</v>
      </c>
      <c r="DR329" s="1676">
        <f>DR330*DR20</f>
        <v>0</v>
      </c>
      <c r="DS329" s="1708">
        <f>SUM(DO329:DR329)</f>
        <v>0</v>
      </c>
      <c r="DT329" s="1676">
        <f>DT330*DT20</f>
        <v>0</v>
      </c>
      <c r="DU329" s="1676">
        <f>DU330*DU20</f>
        <v>0</v>
      </c>
      <c r="DV329" s="1676">
        <f>DV330*DV20</f>
        <v>0</v>
      </c>
      <c r="DW329" s="1676">
        <f>DW330*DW20</f>
        <v>0</v>
      </c>
      <c r="DX329" s="1708">
        <f>SUM(DT329:DW329)</f>
        <v>0</v>
      </c>
      <c r="DY329" s="1676">
        <f>DY330*DY20</f>
        <v>0</v>
      </c>
      <c r="DZ329" s="1676">
        <f>DZ330*DZ20</f>
        <v>0</v>
      </c>
      <c r="EA329" s="1676">
        <f>EA330*EA20</f>
        <v>0</v>
      </c>
      <c r="EB329" s="1676">
        <f>EB330*EB20</f>
        <v>0</v>
      </c>
      <c r="EC329" s="1708">
        <f>SUM(DY329:EB329)</f>
        <v>0</v>
      </c>
      <c r="ED329" s="1676"/>
      <c r="EE329" s="1677"/>
      <c r="EF329" s="389"/>
      <c r="EG329" s="1200"/>
      <c r="EH329" s="1200"/>
      <c r="EI329" s="1200"/>
      <c r="EJ329" s="1200"/>
      <c r="EK329" s="1200"/>
      <c r="EL329" s="1200"/>
      <c r="EM329" s="1200"/>
      <c r="EN329" s="1200"/>
      <c r="EO329" s="1200"/>
      <c r="EP329" s="1200"/>
      <c r="EQ329" s="1200"/>
      <c r="ER329" s="1200"/>
      <c r="ES329" s="1200"/>
      <c r="ET329" s="1200"/>
      <c r="EU329" s="1200"/>
      <c r="EX329" s="1200"/>
      <c r="EY329" s="1679"/>
      <c r="EZ329" s="1680"/>
      <c r="FA329" s="1680"/>
      <c r="FB329" s="1679"/>
      <c r="FC329" s="1680"/>
      <c r="FD329" s="1200"/>
      <c r="FE329"/>
      <c r="FF329"/>
      <c r="FG329"/>
      <c r="FH329"/>
      <c r="FI329"/>
      <c r="FJ329"/>
    </row>
    <row r="330" spans="1:166" s="1678" customFormat="1" x14ac:dyDescent="0.2">
      <c r="A330" s="1735" t="s">
        <v>222</v>
      </c>
      <c r="B330" s="1670"/>
      <c r="C330" s="1736"/>
      <c r="D330" s="1733"/>
      <c r="E330" s="1733"/>
      <c r="F330" s="1737"/>
      <c r="G330" s="1670"/>
      <c r="H330" s="1736"/>
      <c r="I330" s="1733"/>
      <c r="J330" s="1733"/>
      <c r="K330" s="1737"/>
      <c r="L330" s="1670"/>
      <c r="M330" s="1736"/>
      <c r="N330" s="1733"/>
      <c r="O330" s="1733"/>
      <c r="P330" s="1737"/>
      <c r="Q330" s="1670"/>
      <c r="R330" s="1060"/>
      <c r="S330" s="1060"/>
      <c r="T330" s="1060"/>
      <c r="U330" s="1737"/>
      <c r="V330" s="1670"/>
      <c r="W330" s="1060"/>
      <c r="X330" s="1060"/>
      <c r="Y330" s="1060"/>
      <c r="Z330" s="1737"/>
      <c r="AA330" s="1737"/>
      <c r="AB330" s="1738"/>
      <c r="AC330" s="1060"/>
      <c r="AD330" s="1060"/>
      <c r="AE330" s="1060"/>
      <c r="AF330" s="1670"/>
      <c r="AG330" s="1060"/>
      <c r="AH330" s="1060"/>
      <c r="AI330" s="1060"/>
      <c r="AJ330" s="1060"/>
      <c r="AK330" s="1670"/>
      <c r="AL330" s="1060"/>
      <c r="AM330" s="1060"/>
      <c r="AN330" s="1060"/>
      <c r="AO330" s="1060"/>
      <c r="AP330" s="1670"/>
      <c r="AQ330" s="1060"/>
      <c r="AR330" s="1060"/>
      <c r="AS330" s="1060"/>
      <c r="AT330" s="1060"/>
      <c r="AU330" s="1738"/>
      <c r="AV330" s="1654"/>
      <c r="AW330" s="1060">
        <f t="shared" ref="AW330:BE330" si="1858">AW329/AW15</f>
        <v>4.9180327868852465E-2</v>
      </c>
      <c r="AX330" s="1060">
        <f t="shared" si="1858"/>
        <v>4.9988989209425232E-2</v>
      </c>
      <c r="AY330" s="1060">
        <f t="shared" si="1858"/>
        <v>4.8394602140530478E-2</v>
      </c>
      <c r="AZ330" s="1060">
        <f t="shared" si="1858"/>
        <v>5.0912584053794431E-2</v>
      </c>
      <c r="BA330" s="1670">
        <f t="shared" si="1858"/>
        <v>4.961195745903995E-2</v>
      </c>
      <c r="BB330" s="1060">
        <f t="shared" si="1858"/>
        <v>4.8407643312101914E-2</v>
      </c>
      <c r="BC330" s="1060">
        <f t="shared" si="1858"/>
        <v>4.8687350835322191E-2</v>
      </c>
      <c r="BD330" s="1060">
        <f t="shared" si="1858"/>
        <v>4.422894985808893E-2</v>
      </c>
      <c r="BE330" s="1060">
        <f t="shared" si="1858"/>
        <v>4.9703264094955499E-2</v>
      </c>
      <c r="BF330" s="1670">
        <f t="shared" ref="BF330:CP330" si="1859">BF329/BF20</f>
        <v>3.3480327096801814E-2</v>
      </c>
      <c r="BG330" s="1060">
        <f t="shared" si="1859"/>
        <v>2.9303386559045446E-2</v>
      </c>
      <c r="BH330" s="1060">
        <f t="shared" si="1859"/>
        <v>2.4778106508875745E-2</v>
      </c>
      <c r="BI330" s="1060">
        <f t="shared" si="1859"/>
        <v>2.2822032038621903E-2</v>
      </c>
      <c r="BJ330" s="1060">
        <f t="shared" si="1859"/>
        <v>1.9283065512978988E-2</v>
      </c>
      <c r="BK330" s="1670">
        <f t="shared" si="1859"/>
        <v>2.4506570602262922E-2</v>
      </c>
      <c r="BL330" s="1060">
        <f t="shared" si="1859"/>
        <v>1.1290814769606349E-2</v>
      </c>
      <c r="BM330" s="1060">
        <f t="shared" si="1859"/>
        <v>3.5932446999640674E-3</v>
      </c>
      <c r="BN330" s="1060">
        <f t="shared" si="1859"/>
        <v>4.7255543438749544E-3</v>
      </c>
      <c r="BO330" s="1060">
        <f t="shared" si="1859"/>
        <v>7.5414781297134241E-4</v>
      </c>
      <c r="BP330" s="1670">
        <f t="shared" si="1859"/>
        <v>5.4087062723545323E-3</v>
      </c>
      <c r="BQ330" s="1060">
        <f t="shared" si="1859"/>
        <v>8.3022000830220008E-4</v>
      </c>
      <c r="BR330" s="1060">
        <f t="shared" si="1859"/>
        <v>3.8284839203675346E-4</v>
      </c>
      <c r="BS330" s="1060">
        <f t="shared" si="1859"/>
        <v>2.1513087128002869E-3</v>
      </c>
      <c r="BT330" s="1060">
        <f t="shared" si="1859"/>
        <v>3.6031707902954594E-3</v>
      </c>
      <c r="BU330" s="1670">
        <f t="shared" si="1859"/>
        <v>2.004510147832623E-3</v>
      </c>
      <c r="BV330" s="1723">
        <f t="shared" si="1859"/>
        <v>2.1468441391155006E-4</v>
      </c>
      <c r="BW330" s="1723">
        <f t="shared" si="1859"/>
        <v>9.4455464248606778E-5</v>
      </c>
      <c r="BX330" s="1723">
        <f t="shared" si="1859"/>
        <v>5.4015124234785738E-4</v>
      </c>
      <c r="BY330" s="1723">
        <f t="shared" si="1859"/>
        <v>1.3753896937465616E-3</v>
      </c>
      <c r="BZ330" s="1670">
        <f t="shared" si="1859"/>
        <v>5.7256005916453943E-4</v>
      </c>
      <c r="CA330" s="1060">
        <f t="shared" si="1859"/>
        <v>5.1430408228865321E-3</v>
      </c>
      <c r="CB330" s="1060">
        <f t="shared" si="1859"/>
        <v>3.3582805603530998E-3</v>
      </c>
      <c r="CC330" s="1060">
        <f t="shared" si="1859"/>
        <v>2.942041776993233E-3</v>
      </c>
      <c r="CD330" s="1060">
        <f t="shared" si="1859"/>
        <v>2.2705771050141911E-3</v>
      </c>
      <c r="CE330" s="1670">
        <f t="shared" si="1859"/>
        <v>3.3808795222348359E-3</v>
      </c>
      <c r="CF330" s="1060">
        <f t="shared" si="1859"/>
        <v>1.5242242787152965E-3</v>
      </c>
      <c r="CG330" s="1060">
        <f t="shared" si="1859"/>
        <v>1.3458950201884251E-3</v>
      </c>
      <c r="CH330" s="1060">
        <f t="shared" si="1859"/>
        <v>1.3944408292274799E-3</v>
      </c>
      <c r="CI330" s="1060">
        <f t="shared" si="1859"/>
        <v>0</v>
      </c>
      <c r="CJ330" s="1670">
        <f t="shared" si="1859"/>
        <v>1.0371992725132543E-3</v>
      </c>
      <c r="CK330" s="1060">
        <f t="shared" si="1859"/>
        <v>0</v>
      </c>
      <c r="CL330" s="1060">
        <f t="shared" si="1859"/>
        <v>0</v>
      </c>
      <c r="CM330" s="1060">
        <f t="shared" si="1859"/>
        <v>0</v>
      </c>
      <c r="CN330" s="1060">
        <f t="shared" si="1859"/>
        <v>0</v>
      </c>
      <c r="CO330" s="1670">
        <f>CO329/CO20</f>
        <v>0</v>
      </c>
      <c r="CP330" s="1060">
        <f t="shared" si="1859"/>
        <v>0</v>
      </c>
      <c r="CQ330" s="1723">
        <f t="shared" ref="CQ330:CS330" si="1860">CP330</f>
        <v>0</v>
      </c>
      <c r="CR330" s="1723">
        <f t="shared" si="1860"/>
        <v>0</v>
      </c>
      <c r="CS330" s="1723">
        <f t="shared" si="1860"/>
        <v>0</v>
      </c>
      <c r="CT330" s="1670">
        <f>CT329/CT20</f>
        <v>0</v>
      </c>
      <c r="CU330" s="1723">
        <f t="shared" ref="CU330:CX330" si="1861">CT330</f>
        <v>0</v>
      </c>
      <c r="CV330" s="1723">
        <f t="shared" si="1861"/>
        <v>0</v>
      </c>
      <c r="CW330" s="1723">
        <f t="shared" si="1861"/>
        <v>0</v>
      </c>
      <c r="CX330" s="1723">
        <f t="shared" si="1861"/>
        <v>0</v>
      </c>
      <c r="CY330" s="1670">
        <f>CY329/CY20</f>
        <v>0</v>
      </c>
      <c r="CZ330" s="1723">
        <f t="shared" ref="CZ330:DC330" si="1862">CY330</f>
        <v>0</v>
      </c>
      <c r="DA330" s="1723">
        <f t="shared" si="1862"/>
        <v>0</v>
      </c>
      <c r="DB330" s="1723">
        <f t="shared" si="1862"/>
        <v>0</v>
      </c>
      <c r="DC330" s="1723">
        <f t="shared" si="1862"/>
        <v>0</v>
      </c>
      <c r="DD330" s="1670">
        <f>DD329/DD20</f>
        <v>0</v>
      </c>
      <c r="DE330" s="1723">
        <f t="shared" ref="DE330:DH330" si="1863">DD330</f>
        <v>0</v>
      </c>
      <c r="DF330" s="1723">
        <f t="shared" si="1863"/>
        <v>0</v>
      </c>
      <c r="DG330" s="1723">
        <f t="shared" si="1863"/>
        <v>0</v>
      </c>
      <c r="DH330" s="1723">
        <f t="shared" si="1863"/>
        <v>0</v>
      </c>
      <c r="DI330" s="1670">
        <f>DI329/DI20</f>
        <v>0</v>
      </c>
      <c r="DJ330" s="1723">
        <f t="shared" ref="DJ330:DM330" si="1864">DI330</f>
        <v>0</v>
      </c>
      <c r="DK330" s="1723">
        <f t="shared" si="1864"/>
        <v>0</v>
      </c>
      <c r="DL330" s="1723">
        <f t="shared" si="1864"/>
        <v>0</v>
      </c>
      <c r="DM330" s="1723">
        <f t="shared" si="1864"/>
        <v>0</v>
      </c>
      <c r="DN330" s="1670">
        <f>DN329/DN20</f>
        <v>0</v>
      </c>
      <c r="DO330" s="1723">
        <f t="shared" ref="DO330:DR330" si="1865">DN330</f>
        <v>0</v>
      </c>
      <c r="DP330" s="1723">
        <f t="shared" si="1865"/>
        <v>0</v>
      </c>
      <c r="DQ330" s="1723">
        <f t="shared" si="1865"/>
        <v>0</v>
      </c>
      <c r="DR330" s="1723">
        <f t="shared" si="1865"/>
        <v>0</v>
      </c>
      <c r="DS330" s="1670">
        <f>DS329/DS20</f>
        <v>0</v>
      </c>
      <c r="DT330" s="1723">
        <f t="shared" ref="DT330:DW330" si="1866">DS330</f>
        <v>0</v>
      </c>
      <c r="DU330" s="1723">
        <f t="shared" si="1866"/>
        <v>0</v>
      </c>
      <c r="DV330" s="1723">
        <f t="shared" si="1866"/>
        <v>0</v>
      </c>
      <c r="DW330" s="1723">
        <f t="shared" si="1866"/>
        <v>0</v>
      </c>
      <c r="DX330" s="1670">
        <f>DX329/DX20</f>
        <v>0</v>
      </c>
      <c r="DY330" s="1723">
        <f t="shared" ref="DY330" si="1867">DX330</f>
        <v>0</v>
      </c>
      <c r="DZ330" s="1723">
        <f t="shared" ref="DZ330" si="1868">DY330</f>
        <v>0</v>
      </c>
      <c r="EA330" s="1723">
        <f t="shared" ref="EA330" si="1869">DZ330</f>
        <v>0</v>
      </c>
      <c r="EB330" s="1723">
        <f t="shared" ref="EB330" si="1870">EA330</f>
        <v>0</v>
      </c>
      <c r="EC330" s="1670">
        <f>EC329/EC20</f>
        <v>0</v>
      </c>
      <c r="ED330" s="1060"/>
      <c r="EE330" s="1060"/>
      <c r="EF330" s="1681"/>
      <c r="EG330" s="1682"/>
      <c r="EH330" s="1682"/>
      <c r="EI330" s="1682"/>
      <c r="EJ330" s="1682"/>
      <c r="EK330" s="1682"/>
      <c r="EL330" s="1682"/>
      <c r="EM330" s="1682"/>
      <c r="EN330" s="1682"/>
      <c r="EO330" s="1682"/>
      <c r="EP330" s="1682"/>
      <c r="EQ330" s="1682"/>
      <c r="ER330" s="1682"/>
      <c r="ES330" s="1682"/>
      <c r="ET330" s="1682"/>
      <c r="EU330" s="1682"/>
      <c r="EX330" s="1682"/>
      <c r="EY330" s="1683"/>
      <c r="EZ330" s="1684"/>
      <c r="FA330" s="1684"/>
      <c r="FB330" s="1683"/>
      <c r="FC330" s="1684"/>
      <c r="FD330" s="1682"/>
      <c r="FE330"/>
      <c r="FF330"/>
      <c r="FG330"/>
      <c r="FH330"/>
      <c r="FI330"/>
      <c r="FJ330"/>
    </row>
    <row r="331" spans="1:166" s="1678" customFormat="1" x14ac:dyDescent="0.2">
      <c r="A331" s="1707" t="s">
        <v>614</v>
      </c>
      <c r="B331" s="1670"/>
      <c r="C331" s="1736"/>
      <c r="D331" s="1733"/>
      <c r="E331" s="1733"/>
      <c r="F331" s="1737"/>
      <c r="G331" s="1670"/>
      <c r="H331" s="1736"/>
      <c r="I331" s="1733"/>
      <c r="J331" s="1733"/>
      <c r="K331" s="1737"/>
      <c r="L331" s="1670"/>
      <c r="M331" s="1736"/>
      <c r="N331" s="1733"/>
      <c r="O331" s="1733"/>
      <c r="P331" s="1737"/>
      <c r="Q331" s="1670"/>
      <c r="R331" s="1060"/>
      <c r="S331" s="1060"/>
      <c r="T331" s="1060"/>
      <c r="U331" s="1737"/>
      <c r="V331" s="1670"/>
      <c r="W331" s="1060"/>
      <c r="X331" s="1060"/>
      <c r="Y331" s="1060"/>
      <c r="Z331" s="1737"/>
      <c r="AA331" s="1737"/>
      <c r="AB331" s="1738"/>
      <c r="AC331" s="1060"/>
      <c r="AD331" s="1060"/>
      <c r="AE331" s="1060"/>
      <c r="AF331" s="1670"/>
      <c r="AG331" s="1060"/>
      <c r="AH331" s="1060"/>
      <c r="AI331" s="1060"/>
      <c r="AJ331" s="1060"/>
      <c r="AK331" s="1670"/>
      <c r="AL331" s="1060"/>
      <c r="AM331" s="1060"/>
      <c r="AN331" s="1060"/>
      <c r="AO331" s="1060"/>
      <c r="AP331" s="1670"/>
      <c r="AQ331" s="1060"/>
      <c r="AR331" s="1060"/>
      <c r="AS331" s="1060"/>
      <c r="AT331" s="1060"/>
      <c r="AU331" s="1738"/>
      <c r="AV331" s="1654"/>
      <c r="AW331" s="1060"/>
      <c r="AX331" s="1060"/>
      <c r="AY331" s="1060"/>
      <c r="AZ331" s="1060"/>
      <c r="BA331" s="1670"/>
      <c r="BB331" s="1060"/>
      <c r="BC331" s="1060"/>
      <c r="BD331" s="1060"/>
      <c r="BE331" s="1060"/>
      <c r="BF331" s="1670"/>
      <c r="BG331" s="1060"/>
      <c r="BH331" s="1060"/>
      <c r="BI331" s="1060"/>
      <c r="BJ331" s="1060"/>
      <c r="BK331" s="1670"/>
      <c r="BL331" s="1060"/>
      <c r="BM331" s="1060"/>
      <c r="BN331" s="1060"/>
      <c r="BO331" s="1060"/>
      <c r="BP331" s="1670"/>
      <c r="BQ331" s="1676">
        <f t="shared" ref="BQ331:BR331" si="1871">BQ333</f>
        <v>41.3</v>
      </c>
      <c r="BR331" s="1676">
        <f t="shared" si="1871"/>
        <v>39.299999999999997</v>
      </c>
      <c r="BS331" s="1676">
        <f>BS333</f>
        <v>39</v>
      </c>
      <c r="BT331" s="1676">
        <v>47.1</v>
      </c>
      <c r="BU331" s="1708">
        <f>SUM(BQ331:BT331)</f>
        <v>166.7</v>
      </c>
      <c r="BV331" s="1713">
        <f t="shared" ref="BV331:BW331" si="1872">BV333</f>
        <v>41.3</v>
      </c>
      <c r="BW331" s="1713">
        <f t="shared" si="1872"/>
        <v>39.299999999999997</v>
      </c>
      <c r="BX331" s="1713">
        <f>BX333</f>
        <v>39</v>
      </c>
      <c r="BY331" s="1713">
        <v>47.1</v>
      </c>
      <c r="BZ331" s="1708">
        <f>SUM(BV331:BY331)</f>
        <v>166.7</v>
      </c>
      <c r="CA331" s="1676">
        <f>CA327</f>
        <v>59.900000000000006</v>
      </c>
      <c r="CB331" s="1676">
        <f>CB327</f>
        <v>58.7</v>
      </c>
      <c r="CC331" s="1676">
        <f>CC327</f>
        <v>57.5</v>
      </c>
      <c r="CD331" s="1676">
        <f>CD327</f>
        <v>62.400000000000013</v>
      </c>
      <c r="CE331" s="1708">
        <f>SUM(CA331:CD331)</f>
        <v>238.50000000000003</v>
      </c>
      <c r="CF331" s="1676">
        <f>CF327</f>
        <v>56.800000000000004</v>
      </c>
      <c r="CG331" s="1676">
        <f>CG327</f>
        <v>51.1</v>
      </c>
      <c r="CH331" s="1676">
        <f>CH327</f>
        <v>59</v>
      </c>
      <c r="CI331" s="1676">
        <f>CI327</f>
        <v>67.300000000000011</v>
      </c>
      <c r="CJ331" s="1708">
        <f>SUM(CF331:CI331)</f>
        <v>234.20000000000002</v>
      </c>
      <c r="CK331" s="1676">
        <f>CK327</f>
        <v>63.300000000000004</v>
      </c>
      <c r="CL331" s="1676">
        <f>CL327</f>
        <v>70.7</v>
      </c>
      <c r="CM331" s="1676">
        <f>CM327</f>
        <v>74.900000000000006</v>
      </c>
      <c r="CN331" s="1676">
        <f>CN327</f>
        <v>65.2</v>
      </c>
      <c r="CO331" s="1708">
        <f>SUM(CK331:CN331)</f>
        <v>274.10000000000002</v>
      </c>
      <c r="CP331" s="1676">
        <f>CP327</f>
        <v>268</v>
      </c>
      <c r="CQ331" s="1676">
        <f>CQ327</f>
        <v>270.0472751747584</v>
      </c>
      <c r="CR331" s="1676">
        <f>CR327</f>
        <v>272.42771237637629</v>
      </c>
      <c r="CS331" s="1676">
        <f>CS327</f>
        <v>273.53770524435856</v>
      </c>
      <c r="CT331" s="1708">
        <f>SUM(CP331:CS331)</f>
        <v>1084.0126927954934</v>
      </c>
      <c r="CU331" s="1676">
        <f>CU327</f>
        <v>272.7992801311575</v>
      </c>
      <c r="CV331" s="1676">
        <f>CV327</f>
        <v>273.87301491720569</v>
      </c>
      <c r="CW331" s="1676">
        <f>CW327</f>
        <v>275.79584947639671</v>
      </c>
      <c r="CX331" s="1676">
        <f>CX327</f>
        <v>277.09586760284225</v>
      </c>
      <c r="CY331" s="1708">
        <f>SUM(CU331:CX331)</f>
        <v>1099.5640121276022</v>
      </c>
      <c r="CZ331" s="1676">
        <f>CZ327</f>
        <v>278.39159138795065</v>
      </c>
      <c r="DA331" s="1676">
        <f>DA327</f>
        <v>275.24092640986134</v>
      </c>
      <c r="DB331" s="1676">
        <f>DB327</f>
        <v>276.52415285528565</v>
      </c>
      <c r="DC331" s="1676">
        <f>DC327</f>
        <v>277.30317921038295</v>
      </c>
      <c r="DD331" s="1708">
        <f>SUM(CZ331:DC331)</f>
        <v>1107.4598498634805</v>
      </c>
      <c r="DE331" s="1676">
        <f>DE327</f>
        <v>281.85439896593647</v>
      </c>
      <c r="DF331" s="1676">
        <f>DF327</f>
        <v>276.96754403961501</v>
      </c>
      <c r="DG331" s="1676">
        <f>DG327</f>
        <v>279.71077950162385</v>
      </c>
      <c r="DH331" s="1676">
        <f>DH327</f>
        <v>279.88550589441451</v>
      </c>
      <c r="DI331" s="1708">
        <f>SUM(DE331:DH331)</f>
        <v>1118.4182284015899</v>
      </c>
      <c r="DJ331" s="1676">
        <f>DJ327</f>
        <v>283.88452563174178</v>
      </c>
      <c r="DK331" s="1676">
        <f>DK327</f>
        <v>277.79425616000947</v>
      </c>
      <c r="DL331" s="1676">
        <f>DL327</f>
        <v>279.82261841520983</v>
      </c>
      <c r="DM331" s="1676">
        <f>DM327</f>
        <v>279.29835145902905</v>
      </c>
      <c r="DN331" s="1708">
        <f>SUM(DJ331:DM331)</f>
        <v>1120.7997516659902</v>
      </c>
      <c r="DO331" s="1676">
        <f>DO327</f>
        <v>286.01930539223531</v>
      </c>
      <c r="DP331" s="1676">
        <f>DP327</f>
        <v>278.42614665794775</v>
      </c>
      <c r="DQ331" s="1676">
        <f>DQ327</f>
        <v>279.46118789255092</v>
      </c>
      <c r="DR331" s="1676">
        <f>DR327</f>
        <v>278.09526264907913</v>
      </c>
      <c r="DS331" s="1708">
        <f>SUM(DO331:DR331)</f>
        <v>1122.0019025918132</v>
      </c>
      <c r="DT331" s="1676">
        <f>DT327</f>
        <v>289.79516518921696</v>
      </c>
      <c r="DU331" s="1676">
        <f>DU327</f>
        <v>277.2829250408368</v>
      </c>
      <c r="DV331" s="1676">
        <f>DV327</f>
        <v>277.0930928309449</v>
      </c>
      <c r="DW331" s="1676">
        <f>DW327</f>
        <v>274.77643336169052</v>
      </c>
      <c r="DX331" s="1708">
        <f>SUM(DT331:DW331)</f>
        <v>1118.9476164226892</v>
      </c>
      <c r="DY331" s="1676">
        <f>DY327</f>
        <v>285.32754237201709</v>
      </c>
      <c r="DZ331" s="1676">
        <f>DZ327</f>
        <v>274.1340563886485</v>
      </c>
      <c r="EA331" s="1676">
        <f>EA327</f>
        <v>272.51817935978704</v>
      </c>
      <c r="EB331" s="1676">
        <f>EB327</f>
        <v>269.12942389385762</v>
      </c>
      <c r="EC331" s="1708">
        <f>SUM(DY331:EB331)</f>
        <v>1101.1092020143101</v>
      </c>
      <c r="ED331" s="1060"/>
      <c r="EE331" s="1060"/>
      <c r="EF331" s="1681"/>
      <c r="EG331" s="1682"/>
      <c r="EH331" s="1682"/>
      <c r="EI331" s="1682"/>
      <c r="EJ331" s="1682"/>
      <c r="EK331" s="1682"/>
      <c r="EL331" s="1682"/>
      <c r="EM331" s="1682"/>
      <c r="EN331" s="1682"/>
      <c r="EO331" s="1682"/>
      <c r="EP331" s="1682"/>
      <c r="EQ331" s="1682"/>
      <c r="ER331" s="1682"/>
      <c r="ES331" s="1682"/>
      <c r="ET331" s="1682"/>
      <c r="EU331" s="1682"/>
      <c r="EX331" s="1682"/>
      <c r="EY331" s="1683"/>
      <c r="EZ331" s="1684"/>
      <c r="FA331" s="1684"/>
      <c r="FB331" s="1683"/>
      <c r="FC331" s="1684"/>
      <c r="FD331" s="1682"/>
      <c r="FE331"/>
      <c r="FF331"/>
      <c r="FG331"/>
      <c r="FH331"/>
      <c r="FI331"/>
      <c r="FJ331"/>
    </row>
    <row r="332" spans="1:166" s="1678" customFormat="1" hidden="1" outlineLevel="1" x14ac:dyDescent="0.2">
      <c r="A332" s="1739" t="s">
        <v>613</v>
      </c>
      <c r="B332" s="1670"/>
      <c r="C332" s="1736"/>
      <c r="D332" s="1733"/>
      <c r="E332" s="1733"/>
      <c r="F332" s="1737"/>
      <c r="G332" s="1670"/>
      <c r="H332" s="1736"/>
      <c r="I332" s="1733"/>
      <c r="J332" s="1733"/>
      <c r="K332" s="1737"/>
      <c r="L332" s="1670"/>
      <c r="M332" s="1736"/>
      <c r="N332" s="1733"/>
      <c r="O332" s="1733"/>
      <c r="P332" s="1737"/>
      <c r="Q332" s="1670"/>
      <c r="R332" s="1060"/>
      <c r="S332" s="1060"/>
      <c r="T332" s="1060"/>
      <c r="U332" s="1737"/>
      <c r="V332" s="1670"/>
      <c r="W332" s="1060"/>
      <c r="X332" s="1060"/>
      <c r="Y332" s="1060"/>
      <c r="Z332" s="1737"/>
      <c r="AA332" s="1737"/>
      <c r="AB332" s="1738"/>
      <c r="AC332" s="1060"/>
      <c r="AD332" s="1060"/>
      <c r="AE332" s="1060"/>
      <c r="AF332" s="1670"/>
      <c r="AG332" s="1060"/>
      <c r="AH332" s="1060"/>
      <c r="AI332" s="1060"/>
      <c r="AJ332" s="1060"/>
      <c r="AK332" s="1670"/>
      <c r="AL332" s="1060"/>
      <c r="AM332" s="1060"/>
      <c r="AN332" s="1060"/>
      <c r="AO332" s="1060"/>
      <c r="AP332" s="1670"/>
      <c r="AQ332" s="1060"/>
      <c r="AR332" s="1060"/>
      <c r="AS332" s="1060"/>
      <c r="AT332" s="1060"/>
      <c r="AU332" s="1738"/>
      <c r="AV332" s="1654"/>
      <c r="AW332" s="1060"/>
      <c r="AX332" s="1060"/>
      <c r="AY332" s="1060"/>
      <c r="AZ332" s="1060"/>
      <c r="BA332" s="1670"/>
      <c r="BB332" s="1060"/>
      <c r="BC332" s="1060"/>
      <c r="BD332" s="1060"/>
      <c r="BE332" s="1060"/>
      <c r="BF332" s="1670"/>
      <c r="BG332" s="1060"/>
      <c r="BH332" s="1060"/>
      <c r="BI332" s="1060"/>
      <c r="BJ332" s="1060"/>
      <c r="BK332" s="1670"/>
      <c r="BL332" s="1060"/>
      <c r="BM332" s="1060"/>
      <c r="BN332" s="1060"/>
      <c r="BO332" s="1060"/>
      <c r="BP332" s="1670"/>
      <c r="BQ332" s="1676">
        <f t="shared" ref="BQ332:BR332" si="1873">BQ331-BQ333</f>
        <v>0</v>
      </c>
      <c r="BR332" s="1676">
        <f t="shared" si="1873"/>
        <v>0</v>
      </c>
      <c r="BS332" s="1676">
        <f>BS331-BS333</f>
        <v>0</v>
      </c>
      <c r="BT332" s="1676">
        <f>BT331-BT333</f>
        <v>5.6000000000000014</v>
      </c>
      <c r="BU332" s="1708">
        <f t="shared" ref="BU332" si="1874">SUM(BQ332:BT332)</f>
        <v>5.6000000000000014</v>
      </c>
      <c r="BV332" s="1713">
        <f t="shared" ref="BV332:BW332" si="1875">BV331-BV333</f>
        <v>0</v>
      </c>
      <c r="BW332" s="1713">
        <f t="shared" si="1875"/>
        <v>0</v>
      </c>
      <c r="BX332" s="1713">
        <f>BX331-BX333</f>
        <v>0</v>
      </c>
      <c r="BY332" s="1713">
        <f>BY331-BY333</f>
        <v>5.6000000000000014</v>
      </c>
      <c r="BZ332" s="1708">
        <f t="shared" ref="BZ332:BZ333" si="1876">SUM(BV332:BY332)</f>
        <v>5.6000000000000014</v>
      </c>
      <c r="CA332" s="1676"/>
      <c r="CB332" s="1676"/>
      <c r="CC332" s="1676"/>
      <c r="CD332" s="1676"/>
      <c r="CE332" s="1708"/>
      <c r="CF332" s="1676"/>
      <c r="CG332" s="1676"/>
      <c r="CH332" s="1676"/>
      <c r="CI332" s="1676"/>
      <c r="CJ332" s="1708"/>
      <c r="CK332" s="1060"/>
      <c r="CL332" s="1733"/>
      <c r="CM332" s="1733"/>
      <c r="CN332" s="1060"/>
      <c r="CO332" s="1670"/>
      <c r="CP332" s="1060"/>
      <c r="CQ332" s="1733"/>
      <c r="CR332" s="1733"/>
      <c r="CS332" s="1733"/>
      <c r="CT332" s="1670"/>
      <c r="CU332" s="1733"/>
      <c r="CV332" s="1733"/>
      <c r="CW332" s="1733"/>
      <c r="CX332" s="1733"/>
      <c r="CY332" s="1670"/>
      <c r="CZ332" s="1733"/>
      <c r="DA332" s="1733"/>
      <c r="DB332" s="1733"/>
      <c r="DC332" s="1733"/>
      <c r="DD332" s="1670"/>
      <c r="DE332" s="1733"/>
      <c r="DF332" s="1733"/>
      <c r="DG332" s="1733"/>
      <c r="DH332" s="1733"/>
      <c r="DI332" s="1670"/>
      <c r="DJ332" s="1733"/>
      <c r="DK332" s="1733"/>
      <c r="DL332" s="1733"/>
      <c r="DM332" s="1733"/>
      <c r="DN332" s="1670"/>
      <c r="DO332" s="1733"/>
      <c r="DP332" s="1733"/>
      <c r="DQ332" s="1733"/>
      <c r="DR332" s="1733"/>
      <c r="DS332" s="1670"/>
      <c r="DT332" s="1733"/>
      <c r="DU332" s="1733"/>
      <c r="DV332" s="1733"/>
      <c r="DW332" s="1733"/>
      <c r="DX332" s="1670"/>
      <c r="DY332" s="1733"/>
      <c r="DZ332" s="1733"/>
      <c r="EA332" s="1733"/>
      <c r="EB332" s="1733"/>
      <c r="EC332" s="1670"/>
      <c r="ED332" s="1060"/>
      <c r="EE332" s="1060"/>
      <c r="EF332" s="1681"/>
      <c r="EG332" s="1682"/>
      <c r="EH332" s="1682"/>
      <c r="EI332" s="1682"/>
      <c r="EJ332" s="1682"/>
      <c r="EK332" s="1682"/>
      <c r="EL332" s="1682"/>
      <c r="EM332" s="1682"/>
      <c r="EN332" s="1682"/>
      <c r="EO332" s="1682"/>
      <c r="EP332" s="1682"/>
      <c r="EQ332" s="1682"/>
      <c r="ER332" s="1682"/>
      <c r="ES332" s="1682"/>
      <c r="ET332" s="1682"/>
      <c r="EU332" s="1682"/>
      <c r="EX332" s="1682"/>
      <c r="EY332" s="1683"/>
      <c r="EZ332" s="1684"/>
      <c r="FA332" s="1684"/>
      <c r="FB332" s="1683"/>
      <c r="FC332" s="1684"/>
      <c r="FD332" s="1682"/>
      <c r="FE332"/>
      <c r="FF332"/>
      <c r="FG332"/>
      <c r="FH332"/>
      <c r="FI332"/>
      <c r="FJ332"/>
    </row>
    <row r="333" spans="1:166" s="1678" customFormat="1" ht="13.5" hidden="1" customHeight="1" outlineLevel="1" x14ac:dyDescent="0.2">
      <c r="A333" s="1739" t="s">
        <v>612</v>
      </c>
      <c r="B333" s="1708"/>
      <c r="C333" s="1734"/>
      <c r="D333" s="1653"/>
      <c r="E333" s="1653"/>
      <c r="F333" s="1710"/>
      <c r="G333" s="1708"/>
      <c r="H333" s="1734"/>
      <c r="I333" s="1653"/>
      <c r="J333" s="1653"/>
      <c r="K333" s="1710"/>
      <c r="L333" s="1708"/>
      <c r="M333" s="1734"/>
      <c r="N333" s="1653"/>
      <c r="O333" s="1653"/>
      <c r="P333" s="1710"/>
      <c r="Q333" s="1708"/>
      <c r="R333" s="1676"/>
      <c r="S333" s="1676"/>
      <c r="T333" s="1676"/>
      <c r="U333" s="1710"/>
      <c r="V333" s="1708"/>
      <c r="W333" s="1676"/>
      <c r="X333" s="1676"/>
      <c r="Y333" s="1676"/>
      <c r="Z333" s="1710"/>
      <c r="AA333" s="1711"/>
      <c r="AB333" s="1709"/>
      <c r="AC333" s="1676"/>
      <c r="AD333" s="1676"/>
      <c r="AE333" s="1676"/>
      <c r="AF333" s="1708"/>
      <c r="AG333" s="1676"/>
      <c r="AH333" s="1676"/>
      <c r="AI333" s="1676"/>
      <c r="AJ333" s="1676"/>
      <c r="AK333" s="1708"/>
      <c r="AL333" s="1676"/>
      <c r="AM333" s="1676"/>
      <c r="AN333" s="1676"/>
      <c r="AO333" s="1676"/>
      <c r="AP333" s="1708"/>
      <c r="AQ333" s="1676"/>
      <c r="AR333" s="1676"/>
      <c r="AS333" s="1676"/>
      <c r="AT333" s="1676"/>
      <c r="AU333" s="1712"/>
      <c r="AV333" s="1654"/>
      <c r="AW333" s="1676">
        <v>85.4</v>
      </c>
      <c r="AX333" s="1676">
        <v>88</v>
      </c>
      <c r="AY333" s="1676">
        <f>182.2-AZ333</f>
        <v>94.699999999999989</v>
      </c>
      <c r="AZ333" s="1676">
        <v>87.5</v>
      </c>
      <c r="BA333" s="1708">
        <f>SUM(AW333:AZ333)</f>
        <v>355.6</v>
      </c>
      <c r="BB333" s="1676">
        <v>64.3</v>
      </c>
      <c r="BC333" s="1676">
        <f>126.9-BB333</f>
        <v>62.600000000000009</v>
      </c>
      <c r="BD333" s="1676">
        <v>62.7</v>
      </c>
      <c r="BE333" s="1676">
        <v>58.9</v>
      </c>
      <c r="BF333" s="1708">
        <f t="shared" ref="BF333:BF349" si="1877">SUM(BB333:BE333)</f>
        <v>248.50000000000003</v>
      </c>
      <c r="BG333" s="1676">
        <f>110.3-BH333</f>
        <v>60.9</v>
      </c>
      <c r="BH333" s="1676">
        <v>49.4</v>
      </c>
      <c r="BI333" s="1676">
        <v>52.9</v>
      </c>
      <c r="BJ333" s="1676">
        <v>51.1</v>
      </c>
      <c r="BK333" s="1708">
        <f t="shared" ref="BK333:BK349" si="1878">SUM(BG333:BJ333)</f>
        <v>214.29999999999998</v>
      </c>
      <c r="BL333" s="1676">
        <f>93.3-BM333</f>
        <v>48.9</v>
      </c>
      <c r="BM333" s="1676">
        <v>44.4</v>
      </c>
      <c r="BN333" s="1676">
        <v>47.3</v>
      </c>
      <c r="BO333" s="1676">
        <v>40.4</v>
      </c>
      <c r="BP333" s="1708">
        <f t="shared" ref="BP333:BP349" si="1879">SUM(BL333:BO333)</f>
        <v>181</v>
      </c>
      <c r="BQ333" s="1676">
        <v>41.3</v>
      </c>
      <c r="BR333" s="1676">
        <v>39.299999999999997</v>
      </c>
      <c r="BS333" s="1676">
        <v>39</v>
      </c>
      <c r="BT333" s="1676">
        <v>41.5</v>
      </c>
      <c r="BU333" s="1708">
        <f t="shared" ref="BU333:BU349" si="1880">SUM(BQ333:BT333)</f>
        <v>161.1</v>
      </c>
      <c r="BV333" s="1713">
        <v>41.3</v>
      </c>
      <c r="BW333" s="1713">
        <v>39.299999999999997</v>
      </c>
      <c r="BX333" s="1713">
        <v>39</v>
      </c>
      <c r="BY333" s="1713">
        <v>41.5</v>
      </c>
      <c r="BZ333" s="1708">
        <f t="shared" si="1876"/>
        <v>161.1</v>
      </c>
      <c r="CA333" s="1676"/>
      <c r="CB333" s="1676"/>
      <c r="CC333" s="1676"/>
      <c r="CD333" s="1676"/>
      <c r="CE333" s="1708"/>
      <c r="CF333" s="1676"/>
      <c r="CG333" s="1676"/>
      <c r="CH333" s="1676"/>
      <c r="CI333" s="1676"/>
      <c r="CJ333" s="1708"/>
      <c r="CK333" s="1676"/>
      <c r="CL333" s="1676"/>
      <c r="CM333" s="1676"/>
      <c r="CN333" s="1676"/>
      <c r="CO333" s="1708"/>
      <c r="CP333" s="1676"/>
      <c r="CQ333" s="1676"/>
      <c r="CR333" s="1676"/>
      <c r="CS333" s="1676"/>
      <c r="CT333" s="1708"/>
      <c r="CU333" s="1676"/>
      <c r="CV333" s="1676"/>
      <c r="CW333" s="1676"/>
      <c r="CX333" s="1676"/>
      <c r="CY333" s="1708"/>
      <c r="CZ333" s="1676"/>
      <c r="DA333" s="1676"/>
      <c r="DB333" s="1676"/>
      <c r="DC333" s="1676"/>
      <c r="DD333" s="1708"/>
      <c r="DE333" s="1676"/>
      <c r="DF333" s="1676"/>
      <c r="DG333" s="1676"/>
      <c r="DH333" s="1676"/>
      <c r="DI333" s="1708"/>
      <c r="DJ333" s="1676"/>
      <c r="DK333" s="1676"/>
      <c r="DL333" s="1676"/>
      <c r="DM333" s="1676"/>
      <c r="DN333" s="1708"/>
      <c r="DO333" s="1676"/>
      <c r="DP333" s="1676"/>
      <c r="DQ333" s="1676"/>
      <c r="DR333" s="1676"/>
      <c r="DS333" s="1708"/>
      <c r="DT333" s="1676"/>
      <c r="DU333" s="1676"/>
      <c r="DV333" s="1676"/>
      <c r="DW333" s="1676"/>
      <c r="DX333" s="1708"/>
      <c r="DY333" s="1676"/>
      <c r="DZ333" s="1676"/>
      <c r="EA333" s="1676"/>
      <c r="EB333" s="1676"/>
      <c r="EC333" s="1708"/>
      <c r="ED333" s="1676"/>
      <c r="EE333" s="1677"/>
      <c r="EF333" s="389"/>
      <c r="EG333" s="1200"/>
      <c r="EH333" s="1200"/>
      <c r="EI333" s="1200"/>
      <c r="EJ333" s="1200"/>
      <c r="EK333" s="1200"/>
      <c r="EL333" s="1200"/>
      <c r="EM333" s="1200"/>
      <c r="EN333" s="1200"/>
      <c r="EO333" s="1200"/>
      <c r="EP333" s="1200"/>
      <c r="EQ333" s="1200"/>
      <c r="ER333" s="1200"/>
      <c r="ES333" s="1200"/>
      <c r="ET333" s="1200"/>
      <c r="EU333" s="1200"/>
      <c r="EX333" s="1200"/>
      <c r="EY333" s="1679"/>
      <c r="EZ333" s="1680"/>
      <c r="FA333" s="1680"/>
      <c r="FB333" s="1679"/>
      <c r="FC333" s="1680"/>
      <c r="FD333" s="1200"/>
      <c r="FE333"/>
      <c r="FF333"/>
      <c r="FG333"/>
      <c r="FH333"/>
      <c r="FI333"/>
      <c r="FJ333"/>
    </row>
    <row r="334" spans="1:166" s="1678" customFormat="1" hidden="1" outlineLevel="1" x14ac:dyDescent="0.2">
      <c r="A334" s="1740" t="s">
        <v>559</v>
      </c>
      <c r="B334" s="1708"/>
      <c r="C334" s="1734"/>
      <c r="D334" s="1653"/>
      <c r="E334" s="1653"/>
      <c r="F334" s="1710"/>
      <c r="G334" s="1708"/>
      <c r="H334" s="1734"/>
      <c r="I334" s="1653"/>
      <c r="J334" s="1653"/>
      <c r="K334" s="1710"/>
      <c r="L334" s="1708"/>
      <c r="M334" s="1734"/>
      <c r="N334" s="1653"/>
      <c r="O334" s="1653"/>
      <c r="P334" s="1710"/>
      <c r="Q334" s="1708"/>
      <c r="R334" s="1676"/>
      <c r="S334" s="1676"/>
      <c r="T334" s="1676"/>
      <c r="U334" s="1710"/>
      <c r="V334" s="1708"/>
      <c r="W334" s="1676"/>
      <c r="X334" s="1676"/>
      <c r="Y334" s="1676"/>
      <c r="Z334" s="1710"/>
      <c r="AA334" s="1711"/>
      <c r="AB334" s="1709"/>
      <c r="AC334" s="1676"/>
      <c r="AD334" s="1676"/>
      <c r="AE334" s="1676"/>
      <c r="AF334" s="1708"/>
      <c r="AG334" s="1676"/>
      <c r="AH334" s="1676"/>
      <c r="AI334" s="1676"/>
      <c r="AJ334" s="1676"/>
      <c r="AK334" s="1708"/>
      <c r="AL334" s="1676"/>
      <c r="AM334" s="1676"/>
      <c r="AN334" s="1676"/>
      <c r="AO334" s="1676"/>
      <c r="AP334" s="1708"/>
      <c r="AQ334" s="1676"/>
      <c r="AR334" s="1676"/>
      <c r="AS334" s="1676"/>
      <c r="AT334" s="1676"/>
      <c r="AU334" s="1712"/>
      <c r="AV334" s="1654"/>
      <c r="AW334" s="1676"/>
      <c r="AX334" s="1676"/>
      <c r="AY334" s="1676"/>
      <c r="AZ334" s="1676"/>
      <c r="BA334" s="1708"/>
      <c r="BB334" s="1676">
        <v>30.199999999999996</v>
      </c>
      <c r="BC334" s="1676">
        <v>34.800000000000004</v>
      </c>
      <c r="BD334" s="1676">
        <v>38.9</v>
      </c>
      <c r="BE334" s="1676">
        <v>35.699999999999996</v>
      </c>
      <c r="BF334" s="1708">
        <f t="shared" si="1877"/>
        <v>139.6</v>
      </c>
      <c r="BG334" s="1676">
        <v>41.389998245306195</v>
      </c>
      <c r="BH334" s="1676">
        <v>27.529252958579882</v>
      </c>
      <c r="BI334" s="1676">
        <v>38.717730963353077</v>
      </c>
      <c r="BJ334" s="1676">
        <v>39.284697156983931</v>
      </c>
      <c r="BK334" s="1708">
        <f t="shared" si="1878"/>
        <v>146.92167932422308</v>
      </c>
      <c r="BL334" s="1676">
        <v>28.232682331400671</v>
      </c>
      <c r="BM334" s="1676">
        <v>24.71315127560187</v>
      </c>
      <c r="BN334" s="1676">
        <v>27.3752453653217</v>
      </c>
      <c r="BO334" s="1676">
        <v>22.883785822021114</v>
      </c>
      <c r="BP334" s="1708">
        <f>SUM(BL334:BO334)</f>
        <v>103.20486479434535</v>
      </c>
      <c r="BQ334" s="1676">
        <v>23.884640929846409</v>
      </c>
      <c r="BR334" s="1676">
        <v>24.992993874425729</v>
      </c>
      <c r="BS334" s="1676">
        <v>25.359340265328076</v>
      </c>
      <c r="BT334" s="1676">
        <v>21.438500000000001</v>
      </c>
      <c r="BU334" s="1708">
        <f>SUM(BQ334:BT334)</f>
        <v>95.675475069600211</v>
      </c>
      <c r="BV334" s="1713">
        <v>23.840849094956159</v>
      </c>
      <c r="BW334" s="1713">
        <v>24.838768722492194</v>
      </c>
      <c r="BX334" s="1713">
        <v>24.43735404626133</v>
      </c>
      <c r="BY334" s="1713">
        <v>22.651534064117598</v>
      </c>
      <c r="BZ334" s="1708">
        <f>SUM(BV334:BY334)</f>
        <v>95.768505927827277</v>
      </c>
      <c r="CA334" s="1676"/>
      <c r="CB334" s="1676"/>
      <c r="CC334" s="1676"/>
      <c r="CD334" s="1676"/>
      <c r="CE334" s="1708"/>
      <c r="CF334" s="1676"/>
      <c r="CG334" s="1676"/>
      <c r="CH334" s="1676"/>
      <c r="CI334" s="1676"/>
      <c r="CJ334" s="1708"/>
      <c r="CK334" s="1676"/>
      <c r="CL334" s="1676"/>
      <c r="CM334" s="1676"/>
      <c r="CN334" s="1676"/>
      <c r="CO334" s="1708"/>
      <c r="CP334" s="1676"/>
      <c r="CQ334" s="1676"/>
      <c r="CR334" s="1676"/>
      <c r="CS334" s="1676"/>
      <c r="CT334" s="1708"/>
      <c r="CU334" s="1676"/>
      <c r="CV334" s="1676"/>
      <c r="CW334" s="1676"/>
      <c r="CX334" s="1676"/>
      <c r="CY334" s="1708"/>
      <c r="CZ334" s="1676"/>
      <c r="DA334" s="1676"/>
      <c r="DB334" s="1676"/>
      <c r="DC334" s="1676"/>
      <c r="DD334" s="1708"/>
      <c r="DE334" s="1676"/>
      <c r="DF334" s="1676"/>
      <c r="DG334" s="1676"/>
      <c r="DH334" s="1676"/>
      <c r="DI334" s="1708"/>
      <c r="DJ334" s="1676"/>
      <c r="DK334" s="1676"/>
      <c r="DL334" s="1676"/>
      <c r="DM334" s="1676"/>
      <c r="DN334" s="1708"/>
      <c r="DO334" s="1676"/>
      <c r="DP334" s="1676"/>
      <c r="DQ334" s="1676"/>
      <c r="DR334" s="1676"/>
      <c r="DS334" s="1708"/>
      <c r="DT334" s="1676"/>
      <c r="DU334" s="1676"/>
      <c r="DV334" s="1676"/>
      <c r="DW334" s="1676"/>
      <c r="DX334" s="1708"/>
      <c r="DY334" s="1676"/>
      <c r="DZ334" s="1676"/>
      <c r="EA334" s="1676"/>
      <c r="EB334" s="1676"/>
      <c r="EC334" s="1708"/>
      <c r="ED334" s="1676"/>
      <c r="EE334" s="1677"/>
      <c r="EF334" s="1685"/>
      <c r="EG334" s="1200"/>
      <c r="EH334" s="1200"/>
      <c r="EI334" s="1200"/>
      <c r="EJ334" s="1200"/>
      <c r="EK334" s="1200"/>
      <c r="EL334" s="1200"/>
      <c r="EM334" s="1200"/>
      <c r="EN334" s="1200"/>
      <c r="EO334" s="1200"/>
      <c r="EP334" s="1200"/>
      <c r="EQ334" s="1200"/>
      <c r="ER334" s="1200"/>
      <c r="ES334" s="1200"/>
      <c r="ET334" s="1200"/>
      <c r="EU334" s="1200"/>
      <c r="EX334" s="1200"/>
      <c r="EY334" s="1679"/>
      <c r="EZ334" s="1680"/>
      <c r="FA334" s="1680"/>
      <c r="FB334" s="1679"/>
      <c r="FC334" s="1680"/>
      <c r="FD334" s="1200"/>
      <c r="FE334"/>
      <c r="FF334"/>
      <c r="FG334"/>
      <c r="FH334"/>
      <c r="FI334"/>
      <c r="FJ334"/>
    </row>
    <row r="335" spans="1:166" s="1678" customFormat="1" hidden="1" outlineLevel="1" x14ac:dyDescent="0.2">
      <c r="A335" s="1741" t="s">
        <v>276</v>
      </c>
      <c r="B335" s="1670"/>
      <c r="C335" s="1736"/>
      <c r="D335" s="1733"/>
      <c r="E335" s="1733"/>
      <c r="F335" s="1737"/>
      <c r="G335" s="1670"/>
      <c r="H335" s="1736"/>
      <c r="I335" s="1733"/>
      <c r="J335" s="1733"/>
      <c r="K335" s="1737"/>
      <c r="L335" s="1670"/>
      <c r="M335" s="1736"/>
      <c r="N335" s="1733"/>
      <c r="O335" s="1733"/>
      <c r="P335" s="1737"/>
      <c r="Q335" s="1670"/>
      <c r="R335" s="1060"/>
      <c r="S335" s="1060"/>
      <c r="T335" s="1060"/>
      <c r="U335" s="1737"/>
      <c r="V335" s="1670"/>
      <c r="W335" s="1060"/>
      <c r="X335" s="1060"/>
      <c r="Y335" s="1060"/>
      <c r="Z335" s="1737"/>
      <c r="AA335" s="1737"/>
      <c r="AB335" s="1738"/>
      <c r="AC335" s="1060"/>
      <c r="AD335" s="1060"/>
      <c r="AE335" s="1060"/>
      <c r="AF335" s="1670"/>
      <c r="AG335" s="1060"/>
      <c r="AH335" s="1060"/>
      <c r="AI335" s="1060"/>
      <c r="AJ335" s="1060"/>
      <c r="AK335" s="1670"/>
      <c r="AL335" s="1060"/>
      <c r="AM335" s="1060"/>
      <c r="AN335" s="1060"/>
      <c r="AO335" s="1060"/>
      <c r="AP335" s="1670"/>
      <c r="AQ335" s="1060"/>
      <c r="AR335" s="1060"/>
      <c r="AS335" s="1060"/>
      <c r="AT335" s="1060"/>
      <c r="AU335" s="1738"/>
      <c r="AV335" s="1654"/>
      <c r="AW335" s="1060"/>
      <c r="AX335" s="1060"/>
      <c r="AY335" s="1060"/>
      <c r="AZ335" s="1060"/>
      <c r="BA335" s="1670"/>
      <c r="BB335" s="1060"/>
      <c r="BC335" s="1060"/>
      <c r="BD335" s="1060"/>
      <c r="BE335" s="1060"/>
      <c r="BF335" s="1670"/>
      <c r="BG335" s="1060">
        <f t="shared" ref="BG335:BU335" si="1881">BG333/BB333-1</f>
        <v>-5.2877138413685798E-2</v>
      </c>
      <c r="BH335" s="1060">
        <f t="shared" si="1881"/>
        <v>-0.21086261980830689</v>
      </c>
      <c r="BI335" s="1060">
        <f t="shared" si="1881"/>
        <v>-0.15629984051036694</v>
      </c>
      <c r="BJ335" s="1060">
        <f t="shared" si="1881"/>
        <v>-0.13242784380305594</v>
      </c>
      <c r="BK335" s="1670">
        <f t="shared" si="1881"/>
        <v>-0.13762575452716319</v>
      </c>
      <c r="BL335" s="1060">
        <f t="shared" si="1881"/>
        <v>-0.19704433497536944</v>
      </c>
      <c r="BM335" s="1060">
        <f t="shared" si="1881"/>
        <v>-0.10121457489878538</v>
      </c>
      <c r="BN335" s="1060">
        <f t="shared" si="1881"/>
        <v>-0.10586011342155011</v>
      </c>
      <c r="BO335" s="1060">
        <f t="shared" si="1881"/>
        <v>-0.20939334637964779</v>
      </c>
      <c r="BP335" s="1670">
        <f t="shared" si="1881"/>
        <v>-0.15538964069062056</v>
      </c>
      <c r="BQ335" s="1060">
        <f t="shared" si="1881"/>
        <v>-0.15541922290388555</v>
      </c>
      <c r="BR335" s="1060">
        <f t="shared" si="1881"/>
        <v>-0.11486486486486491</v>
      </c>
      <c r="BS335" s="1060">
        <f t="shared" si="1881"/>
        <v>-0.17547568710359407</v>
      </c>
      <c r="BT335" s="1060">
        <f t="shared" si="1881"/>
        <v>2.7227722772277252E-2</v>
      </c>
      <c r="BU335" s="1670">
        <f t="shared" si="1881"/>
        <v>-0.10994475138121551</v>
      </c>
      <c r="BV335" s="1723">
        <f t="shared" ref="BV335" si="1882">BV333/BQ333-1</f>
        <v>0</v>
      </c>
      <c r="BW335" s="1723">
        <f t="shared" ref="BW335" si="1883">BW333/BR333-1</f>
        <v>0</v>
      </c>
      <c r="BX335" s="1723">
        <f t="shared" ref="BX335" si="1884">BX333/BS333-1</f>
        <v>0</v>
      </c>
      <c r="BY335" s="1723">
        <f t="shared" ref="BY335" si="1885">BY333/BT333-1</f>
        <v>0</v>
      </c>
      <c r="BZ335" s="1670">
        <f t="shared" ref="BZ335" si="1886">BZ333/BU333-1</f>
        <v>0</v>
      </c>
      <c r="CA335" s="1060"/>
      <c r="CB335" s="1060"/>
      <c r="CC335" s="1060"/>
      <c r="CD335" s="1060"/>
      <c r="CE335" s="1670"/>
      <c r="CF335" s="1060"/>
      <c r="CG335" s="1060"/>
      <c r="CH335" s="1060"/>
      <c r="CI335" s="1060"/>
      <c r="CJ335" s="1670"/>
      <c r="CK335" s="1060"/>
      <c r="CL335" s="1060"/>
      <c r="CM335" s="1060"/>
      <c r="CN335" s="1060"/>
      <c r="CO335" s="1670"/>
      <c r="CP335" s="1060"/>
      <c r="CQ335" s="1060"/>
      <c r="CR335" s="1060"/>
      <c r="CS335" s="1060"/>
      <c r="CT335" s="1670"/>
      <c r="CU335" s="1060"/>
      <c r="CV335" s="1060"/>
      <c r="CW335" s="1060"/>
      <c r="CX335" s="1060"/>
      <c r="CY335" s="1670"/>
      <c r="CZ335" s="1060"/>
      <c r="DA335" s="1060"/>
      <c r="DB335" s="1060"/>
      <c r="DC335" s="1060"/>
      <c r="DD335" s="1670"/>
      <c r="DE335" s="1060"/>
      <c r="DF335" s="1060"/>
      <c r="DG335" s="1060"/>
      <c r="DH335" s="1060"/>
      <c r="DI335" s="1670"/>
      <c r="DJ335" s="1060"/>
      <c r="DK335" s="1060"/>
      <c r="DL335" s="1060"/>
      <c r="DM335" s="1060"/>
      <c r="DN335" s="1670"/>
      <c r="DO335" s="1060"/>
      <c r="DP335" s="1060"/>
      <c r="DQ335" s="1060"/>
      <c r="DR335" s="1060"/>
      <c r="DS335" s="1670"/>
      <c r="DT335" s="1060"/>
      <c r="DU335" s="1060"/>
      <c r="DV335" s="1060"/>
      <c r="DW335" s="1060"/>
      <c r="DX335" s="1670"/>
      <c r="DY335" s="1060"/>
      <c r="DZ335" s="1060"/>
      <c r="EA335" s="1060"/>
      <c r="EB335" s="1060"/>
      <c r="EC335" s="1670"/>
      <c r="ED335" s="1060"/>
      <c r="EE335" s="1060"/>
      <c r="EF335" s="1681"/>
      <c r="EG335" s="1682"/>
      <c r="EH335" s="1682"/>
      <c r="EI335" s="1682"/>
      <c r="EJ335" s="1682"/>
      <c r="EK335" s="1682"/>
      <c r="EL335" s="1682"/>
      <c r="EM335" s="1682"/>
      <c r="EN335" s="1682"/>
      <c r="EO335" s="1682"/>
      <c r="EP335" s="1682"/>
      <c r="EQ335" s="1682"/>
      <c r="ER335" s="1682"/>
      <c r="ES335" s="1682"/>
      <c r="ET335" s="1682"/>
      <c r="EU335" s="1682"/>
      <c r="EX335" s="1682"/>
      <c r="EY335" s="1683"/>
      <c r="EZ335" s="1684"/>
      <c r="FA335" s="1684"/>
      <c r="FB335" s="1683"/>
      <c r="FC335" s="1684"/>
      <c r="FD335" s="1682"/>
      <c r="FE335"/>
      <c r="FF335"/>
      <c r="FG335"/>
      <c r="FH335"/>
      <c r="FI335"/>
      <c r="FJ335"/>
    </row>
    <row r="336" spans="1:166" s="1678" customFormat="1" hidden="1" outlineLevel="1" x14ac:dyDescent="0.2">
      <c r="A336" s="1740" t="s">
        <v>544</v>
      </c>
      <c r="B336" s="1708"/>
      <c r="C336" s="1734"/>
      <c r="D336" s="1653"/>
      <c r="E336" s="1653"/>
      <c r="F336" s="1710"/>
      <c r="G336" s="1708"/>
      <c r="H336" s="1734"/>
      <c r="I336" s="1653"/>
      <c r="J336" s="1653"/>
      <c r="K336" s="1710"/>
      <c r="L336" s="1708"/>
      <c r="M336" s="1734"/>
      <c r="N336" s="1653"/>
      <c r="O336" s="1653"/>
      <c r="P336" s="1710"/>
      <c r="Q336" s="1708"/>
      <c r="R336" s="1676"/>
      <c r="S336" s="1676"/>
      <c r="T336" s="1676"/>
      <c r="U336" s="1710"/>
      <c r="V336" s="1708"/>
      <c r="W336" s="1676"/>
      <c r="X336" s="1676"/>
      <c r="Y336" s="1676"/>
      <c r="Z336" s="1710"/>
      <c r="AA336" s="1711"/>
      <c r="AB336" s="1709"/>
      <c r="AC336" s="1676"/>
      <c r="AD336" s="1676"/>
      <c r="AE336" s="1676"/>
      <c r="AF336" s="1708"/>
      <c r="AG336" s="1676"/>
      <c r="AH336" s="1676"/>
      <c r="AI336" s="1676"/>
      <c r="AJ336" s="1676"/>
      <c r="AK336" s="1708"/>
      <c r="AL336" s="1676"/>
      <c r="AM336" s="1676"/>
      <c r="AN336" s="1676"/>
      <c r="AO336" s="1676"/>
      <c r="AP336" s="1708"/>
      <c r="AQ336" s="1676"/>
      <c r="AR336" s="1676"/>
      <c r="AS336" s="1676"/>
      <c r="AT336" s="1676"/>
      <c r="AU336" s="1712"/>
      <c r="AV336" s="1654"/>
      <c r="AW336" s="1676"/>
      <c r="AX336" s="1676"/>
      <c r="AY336" s="1676"/>
      <c r="AZ336" s="1676"/>
      <c r="BA336" s="1708"/>
      <c r="BB336" s="1676">
        <f>BB333-BB334</f>
        <v>34.1</v>
      </c>
      <c r="BC336" s="1676">
        <f>BC333-BC334</f>
        <v>27.800000000000004</v>
      </c>
      <c r="BD336" s="1676">
        <f>BD333-BD334</f>
        <v>23.800000000000004</v>
      </c>
      <c r="BE336" s="1676">
        <f>BE333-BE334</f>
        <v>23.200000000000003</v>
      </c>
      <c r="BF336" s="1708">
        <f t="shared" si="1877"/>
        <v>108.90000000000002</v>
      </c>
      <c r="BG336" s="1676">
        <f>BG333-BG334</f>
        <v>19.510001754693803</v>
      </c>
      <c r="BH336" s="1676">
        <f>BH333-BH334</f>
        <v>21.870747041420117</v>
      </c>
      <c r="BI336" s="1676">
        <f>BI333-BI334</f>
        <v>14.182269036646922</v>
      </c>
      <c r="BJ336" s="1676">
        <f>BJ333-BJ334</f>
        <v>11.81530284301607</v>
      </c>
      <c r="BK336" s="1708">
        <f t="shared" si="1878"/>
        <v>67.378320675776905</v>
      </c>
      <c r="BL336" s="1676">
        <f>BL333-BL334</f>
        <v>20.667317668599328</v>
      </c>
      <c r="BM336" s="1676">
        <f>BM333-BM334</f>
        <v>19.686848724398128</v>
      </c>
      <c r="BN336" s="1676">
        <f>BN333-BN334</f>
        <v>19.924754634678298</v>
      </c>
      <c r="BO336" s="1676">
        <f>BO333-BO334</f>
        <v>17.516214177978885</v>
      </c>
      <c r="BP336" s="1708">
        <f>SUM(BL336:BO336)</f>
        <v>77.795135205654631</v>
      </c>
      <c r="BQ336" s="1676">
        <f>BQ333-BQ334</f>
        <v>17.415359070153588</v>
      </c>
      <c r="BR336" s="1676">
        <f>BR333-BR334</f>
        <v>14.307006125574269</v>
      </c>
      <c r="BS336" s="1676">
        <f>BS333-BS334</f>
        <v>13.640659734671924</v>
      </c>
      <c r="BT336" s="1676">
        <f>BT333-BT334</f>
        <v>20.061499999999999</v>
      </c>
      <c r="BU336" s="1708">
        <f>SUM(BQ336:BT336)</f>
        <v>65.424524930399784</v>
      </c>
      <c r="BV336" s="1713">
        <f>BV333-BV334</f>
        <v>17.459150905043838</v>
      </c>
      <c r="BW336" s="1713">
        <f>BW333-BW334</f>
        <v>14.461231277507803</v>
      </c>
      <c r="BX336" s="1713">
        <f>BX333-BX334</f>
        <v>14.56264595373867</v>
      </c>
      <c r="BY336" s="1713">
        <f>BY333-BY334</f>
        <v>18.848465935882402</v>
      </c>
      <c r="BZ336" s="1708">
        <f>SUM(BV336:BY336)</f>
        <v>65.331494072172717</v>
      </c>
      <c r="CA336" s="1676"/>
      <c r="CB336" s="1676"/>
      <c r="CC336" s="1676"/>
      <c r="CD336" s="1676"/>
      <c r="CE336" s="1708"/>
      <c r="CF336" s="1676"/>
      <c r="CG336" s="1676"/>
      <c r="CH336" s="1676"/>
      <c r="CI336" s="1676"/>
      <c r="CJ336" s="1708"/>
      <c r="CK336" s="1676"/>
      <c r="CL336" s="1676"/>
      <c r="CM336" s="1676"/>
      <c r="CN336" s="1676"/>
      <c r="CO336" s="1708"/>
      <c r="CP336" s="1676"/>
      <c r="CQ336" s="1676"/>
      <c r="CR336" s="1676"/>
      <c r="CS336" s="1676"/>
      <c r="CT336" s="1708"/>
      <c r="CU336" s="1676"/>
      <c r="CV336" s="1676"/>
      <c r="CW336" s="1676"/>
      <c r="CX336" s="1676"/>
      <c r="CY336" s="1708"/>
      <c r="CZ336" s="1676"/>
      <c r="DA336" s="1676"/>
      <c r="DB336" s="1676"/>
      <c r="DC336" s="1676"/>
      <c r="DD336" s="1708"/>
      <c r="DE336" s="1676"/>
      <c r="DF336" s="1676"/>
      <c r="DG336" s="1676"/>
      <c r="DH336" s="1676"/>
      <c r="DI336" s="1708"/>
      <c r="DJ336" s="1676"/>
      <c r="DK336" s="1676"/>
      <c r="DL336" s="1676"/>
      <c r="DM336" s="1676"/>
      <c r="DN336" s="1708"/>
      <c r="DO336" s="1676"/>
      <c r="DP336" s="1676"/>
      <c r="DQ336" s="1676"/>
      <c r="DR336" s="1676"/>
      <c r="DS336" s="1708"/>
      <c r="DT336" s="1676"/>
      <c r="DU336" s="1676"/>
      <c r="DV336" s="1676"/>
      <c r="DW336" s="1676"/>
      <c r="DX336" s="1708"/>
      <c r="DY336" s="1676"/>
      <c r="DZ336" s="1676"/>
      <c r="EA336" s="1676"/>
      <c r="EB336" s="1676"/>
      <c r="EC336" s="1708"/>
      <c r="ED336" s="1676"/>
      <c r="EE336" s="1677"/>
      <c r="EF336" s="1685"/>
      <c r="EG336" s="1200"/>
      <c r="EH336" s="1200"/>
      <c r="EI336" s="1200"/>
      <c r="EJ336" s="1200"/>
      <c r="EK336" s="1200"/>
      <c r="EL336" s="1200"/>
      <c r="EM336" s="1200"/>
      <c r="EN336" s="1200"/>
      <c r="EO336" s="1200"/>
      <c r="EP336" s="1200"/>
      <c r="EQ336" s="1200"/>
      <c r="ER336" s="1200"/>
      <c r="ES336" s="1200"/>
      <c r="ET336" s="1200"/>
      <c r="EU336" s="1200"/>
      <c r="EX336" s="1200"/>
      <c r="EY336" s="1679"/>
      <c r="EZ336" s="1680"/>
      <c r="FA336" s="1680"/>
      <c r="FB336" s="1679"/>
      <c r="FC336" s="1680"/>
      <c r="FD336" s="1200"/>
      <c r="FE336"/>
      <c r="FF336"/>
      <c r="FG336"/>
      <c r="FH336"/>
      <c r="FI336"/>
      <c r="FJ336"/>
    </row>
    <row r="337" spans="1:166" s="1678" customFormat="1" hidden="1" outlineLevel="1" x14ac:dyDescent="0.2">
      <c r="A337" s="1741" t="s">
        <v>223</v>
      </c>
      <c r="B337" s="1670"/>
      <c r="C337" s="1736"/>
      <c r="D337" s="1733"/>
      <c r="E337" s="1733"/>
      <c r="F337" s="1737"/>
      <c r="G337" s="1670"/>
      <c r="H337" s="1736"/>
      <c r="I337" s="1733"/>
      <c r="J337" s="1733"/>
      <c r="K337" s="1737"/>
      <c r="L337" s="1670"/>
      <c r="M337" s="1736"/>
      <c r="N337" s="1733"/>
      <c r="O337" s="1733"/>
      <c r="P337" s="1737"/>
      <c r="Q337" s="1670"/>
      <c r="R337" s="1060"/>
      <c r="S337" s="1060"/>
      <c r="T337" s="1060"/>
      <c r="U337" s="1737"/>
      <c r="V337" s="1670"/>
      <c r="W337" s="1060"/>
      <c r="X337" s="1060"/>
      <c r="Y337" s="1060"/>
      <c r="Z337" s="1737"/>
      <c r="AA337" s="1737"/>
      <c r="AB337" s="1738"/>
      <c r="AC337" s="1060"/>
      <c r="AD337" s="1060"/>
      <c r="AE337" s="1060"/>
      <c r="AF337" s="1670"/>
      <c r="AG337" s="1060"/>
      <c r="AH337" s="1060"/>
      <c r="AI337" s="1060"/>
      <c r="AJ337" s="1060"/>
      <c r="AK337" s="1670"/>
      <c r="AL337" s="1060"/>
      <c r="AM337" s="1060"/>
      <c r="AN337" s="1060"/>
      <c r="AO337" s="1060"/>
      <c r="AP337" s="1670"/>
      <c r="AQ337" s="1060"/>
      <c r="AR337" s="1060"/>
      <c r="AS337" s="1060"/>
      <c r="AT337" s="1060"/>
      <c r="AU337" s="1738"/>
      <c r="AV337" s="1654"/>
      <c r="AW337" s="1060"/>
      <c r="AX337" s="1060"/>
      <c r="AY337" s="1060"/>
      <c r="AZ337" s="1060"/>
      <c r="BA337" s="1670"/>
      <c r="BB337" s="1060">
        <f t="shared" ref="BB337:BZ337" si="1887">BB336/BB20</f>
        <v>6.1775362318840579E-2</v>
      </c>
      <c r="BC337" s="1060">
        <f t="shared" si="1887"/>
        <v>4.6691299966409146E-2</v>
      </c>
      <c r="BD337" s="1060">
        <f t="shared" si="1887"/>
        <v>3.9164061214415014E-2</v>
      </c>
      <c r="BE337" s="1060">
        <f t="shared" si="1887"/>
        <v>3.9958663451601803E-2</v>
      </c>
      <c r="BF337" s="1670">
        <f t="shared" si="1887"/>
        <v>4.6624138373935024E-2</v>
      </c>
      <c r="BG337" s="1060">
        <f t="shared" si="1887"/>
        <v>3.423407923266153E-2</v>
      </c>
      <c r="BH337" s="1060">
        <f t="shared" si="1887"/>
        <v>4.0441470120969152E-2</v>
      </c>
      <c r="BI337" s="1060">
        <f t="shared" si="1887"/>
        <v>3.1121942147568405E-2</v>
      </c>
      <c r="BJ337" s="1060">
        <f t="shared" si="1887"/>
        <v>2.9209648561226379E-2</v>
      </c>
      <c r="BK337" s="1670">
        <f t="shared" si="1887"/>
        <v>3.4186575004199554E-2</v>
      </c>
      <c r="BL337" s="1060">
        <f t="shared" si="1887"/>
        <v>6.3067798805612849E-2</v>
      </c>
      <c r="BM337" s="1060">
        <f t="shared" si="1887"/>
        <v>7.0739664837937935E-2</v>
      </c>
      <c r="BN337" s="1060">
        <f t="shared" si="1887"/>
        <v>7.2427316011189735E-2</v>
      </c>
      <c r="BO337" s="1060">
        <f t="shared" si="1887"/>
        <v>6.6049073069301981E-2</v>
      </c>
      <c r="BP337" s="1670">
        <f t="shared" si="1887"/>
        <v>6.7866296087982753E-2</v>
      </c>
      <c r="BQ337" s="1060">
        <f t="shared" si="1887"/>
        <v>7.2292897759043531E-2</v>
      </c>
      <c r="BR337" s="1060">
        <f t="shared" si="1887"/>
        <v>5.4774142900360909E-2</v>
      </c>
      <c r="BS337" s="1060">
        <f t="shared" si="1887"/>
        <v>4.8908783559239603E-2</v>
      </c>
      <c r="BT337" s="1060">
        <f t="shared" si="1887"/>
        <v>4.8190007206341569E-2</v>
      </c>
      <c r="BU337" s="1670">
        <f t="shared" si="1887"/>
        <v>5.4643385058381171E-2</v>
      </c>
      <c r="BV337" s="1723">
        <f t="shared" si="1887"/>
        <v>1.8741037897213226E-2</v>
      </c>
      <c r="BW337" s="1723">
        <f t="shared" si="1887"/>
        <v>1.3659423139234725E-2</v>
      </c>
      <c r="BX337" s="1723">
        <f t="shared" si="1887"/>
        <v>1.3110052172973237E-2</v>
      </c>
      <c r="BY337" s="1723">
        <f t="shared" si="1887"/>
        <v>1.7282657194097197E-2</v>
      </c>
      <c r="BZ337" s="1670">
        <f t="shared" si="1887"/>
        <v>1.5585918379696237E-2</v>
      </c>
      <c r="CA337" s="1060"/>
      <c r="CB337" s="1733"/>
      <c r="CC337" s="1733"/>
      <c r="CD337" s="1733"/>
      <c r="CE337" s="1670"/>
      <c r="CF337" s="1060"/>
      <c r="CG337" s="1060"/>
      <c r="CH337" s="1060"/>
      <c r="CI337" s="1060"/>
      <c r="CJ337" s="1670"/>
      <c r="CK337" s="1060"/>
      <c r="CL337" s="1060"/>
      <c r="CM337" s="1060"/>
      <c r="CN337" s="1060"/>
      <c r="CO337" s="1670"/>
      <c r="CP337" s="1060"/>
      <c r="CQ337" s="1060"/>
      <c r="CR337" s="1060"/>
      <c r="CS337" s="1060"/>
      <c r="CT337" s="1670"/>
      <c r="CU337" s="1060"/>
      <c r="CV337" s="1060"/>
      <c r="CW337" s="1060"/>
      <c r="CX337" s="1060"/>
      <c r="CY337" s="1670"/>
      <c r="CZ337" s="1060"/>
      <c r="DA337" s="1060"/>
      <c r="DB337" s="1060"/>
      <c r="DC337" s="1060"/>
      <c r="DD337" s="1670"/>
      <c r="DE337" s="1060"/>
      <c r="DF337" s="1060"/>
      <c r="DG337" s="1060"/>
      <c r="DH337" s="1060"/>
      <c r="DI337" s="1670"/>
      <c r="DJ337" s="1060"/>
      <c r="DK337" s="1060"/>
      <c r="DL337" s="1060"/>
      <c r="DM337" s="1060"/>
      <c r="DN337" s="1670"/>
      <c r="DO337" s="1060"/>
      <c r="DP337" s="1060"/>
      <c r="DQ337" s="1060"/>
      <c r="DR337" s="1060"/>
      <c r="DS337" s="1670"/>
      <c r="DT337" s="1060"/>
      <c r="DU337" s="1060"/>
      <c r="DV337" s="1060"/>
      <c r="DW337" s="1060"/>
      <c r="DX337" s="1670"/>
      <c r="DY337" s="1060"/>
      <c r="DZ337" s="1060"/>
      <c r="EA337" s="1060"/>
      <c r="EB337" s="1060"/>
      <c r="EC337" s="1670"/>
      <c r="ED337" s="1060"/>
      <c r="EE337" s="1060"/>
      <c r="EF337" s="1681"/>
      <c r="EG337" s="1682"/>
      <c r="EH337" s="1682"/>
      <c r="EI337" s="1682"/>
      <c r="EJ337" s="1682"/>
      <c r="EK337" s="1682"/>
      <c r="EL337" s="1682"/>
      <c r="EM337" s="1682"/>
      <c r="EN337" s="1682"/>
      <c r="EO337" s="1682"/>
      <c r="EP337" s="1682"/>
      <c r="EQ337" s="1682"/>
      <c r="ER337" s="1682"/>
      <c r="ES337" s="1682"/>
      <c r="ET337" s="1682"/>
      <c r="EU337" s="1682"/>
      <c r="EX337" s="1682"/>
      <c r="EY337" s="1683"/>
      <c r="EZ337" s="1684"/>
      <c r="FA337" s="1684"/>
      <c r="FB337" s="1683"/>
      <c r="FC337" s="1684"/>
      <c r="FD337" s="1682"/>
      <c r="FE337"/>
      <c r="FF337"/>
      <c r="FG337"/>
      <c r="FH337"/>
      <c r="FI337"/>
      <c r="FJ337"/>
    </row>
    <row r="338" spans="1:166" s="1678" customFormat="1" hidden="1" outlineLevel="1" x14ac:dyDescent="0.2">
      <c r="A338" s="1741" t="s">
        <v>276</v>
      </c>
      <c r="B338" s="1670"/>
      <c r="C338" s="1736"/>
      <c r="D338" s="1733"/>
      <c r="E338" s="1733"/>
      <c r="F338" s="1737"/>
      <c r="G338" s="1670"/>
      <c r="H338" s="1736"/>
      <c r="I338" s="1733"/>
      <c r="J338" s="1733"/>
      <c r="K338" s="1737"/>
      <c r="L338" s="1670"/>
      <c r="M338" s="1736"/>
      <c r="N338" s="1733"/>
      <c r="O338" s="1733"/>
      <c r="P338" s="1737"/>
      <c r="Q338" s="1670"/>
      <c r="R338" s="1060"/>
      <c r="S338" s="1060"/>
      <c r="T338" s="1060"/>
      <c r="U338" s="1737"/>
      <c r="V338" s="1670"/>
      <c r="W338" s="1060"/>
      <c r="X338" s="1060"/>
      <c r="Y338" s="1060"/>
      <c r="Z338" s="1737"/>
      <c r="AA338" s="1737"/>
      <c r="AB338" s="1738"/>
      <c r="AC338" s="1060"/>
      <c r="AD338" s="1060"/>
      <c r="AE338" s="1060"/>
      <c r="AF338" s="1670"/>
      <c r="AG338" s="1060"/>
      <c r="AH338" s="1060"/>
      <c r="AI338" s="1060"/>
      <c r="AJ338" s="1060"/>
      <c r="AK338" s="1670"/>
      <c r="AL338" s="1060"/>
      <c r="AM338" s="1060"/>
      <c r="AN338" s="1060"/>
      <c r="AO338" s="1060"/>
      <c r="AP338" s="1670"/>
      <c r="AQ338" s="1060"/>
      <c r="AR338" s="1060"/>
      <c r="AS338" s="1060"/>
      <c r="AT338" s="1060"/>
      <c r="AU338" s="1738"/>
      <c r="AV338" s="1654"/>
      <c r="AW338" s="1060"/>
      <c r="AX338" s="1060"/>
      <c r="AY338" s="1060"/>
      <c r="AZ338" s="1060"/>
      <c r="BA338" s="1670"/>
      <c r="BB338" s="1060"/>
      <c r="BC338" s="1060"/>
      <c r="BD338" s="1060"/>
      <c r="BE338" s="1060"/>
      <c r="BF338" s="1670"/>
      <c r="BG338" s="1060">
        <f t="shared" ref="BG338:BM338" si="1888">BG336/BB336-1</f>
        <v>-0.42785918607936058</v>
      </c>
      <c r="BH338" s="1060">
        <f t="shared" si="1888"/>
        <v>-0.21328248052445631</v>
      </c>
      <c r="BI338" s="1060">
        <f t="shared" si="1888"/>
        <v>-0.40410634299802861</v>
      </c>
      <c r="BJ338" s="1060">
        <f t="shared" si="1888"/>
        <v>-0.4907197050424108</v>
      </c>
      <c r="BK338" s="1670">
        <f t="shared" si="1888"/>
        <v>-0.38128263842261811</v>
      </c>
      <c r="BL338" s="1060">
        <f t="shared" si="1888"/>
        <v>5.9319108652929442E-2</v>
      </c>
      <c r="BM338" s="1060">
        <f t="shared" si="1888"/>
        <v>-9.9854765495023701E-2</v>
      </c>
      <c r="BN338" s="1060">
        <f t="shared" ref="BN338:BU338" si="1889">BN336/BI336-1</f>
        <v>0.40490598388683918</v>
      </c>
      <c r="BO338" s="1060">
        <f t="shared" si="1889"/>
        <v>0.48250234553510207</v>
      </c>
      <c r="BP338" s="1670">
        <f t="shared" si="1889"/>
        <v>0.154601872314438</v>
      </c>
      <c r="BQ338" s="1060">
        <f t="shared" si="1889"/>
        <v>-0.15734787893576385</v>
      </c>
      <c r="BR338" s="1060">
        <f t="shared" si="1889"/>
        <v>-0.27327088627224339</v>
      </c>
      <c r="BS338" s="1060">
        <f t="shared" si="1889"/>
        <v>-0.31539133179934564</v>
      </c>
      <c r="BT338" s="1060">
        <f t="shared" si="1889"/>
        <v>0.14531027059608626</v>
      </c>
      <c r="BU338" s="1670">
        <f t="shared" si="1889"/>
        <v>-0.15901521660130336</v>
      </c>
      <c r="BV338" s="1723">
        <f t="shared" ref="BV338" si="1890">BV336/BQ336-1</f>
        <v>2.5145525115988221E-3</v>
      </c>
      <c r="BW338" s="1723">
        <f t="shared" ref="BW338" si="1891">BW336/BR336-1</f>
        <v>1.0779694268659767E-2</v>
      </c>
      <c r="BX338" s="1723">
        <f t="shared" ref="BX338" si="1892">BX336/BS336-1</f>
        <v>6.7591028366702499E-2</v>
      </c>
      <c r="BY338" s="1723">
        <f t="shared" ref="BY338" si="1893">BY336/BT336-1</f>
        <v>-6.0465770960177356E-2</v>
      </c>
      <c r="BZ338" s="1670">
        <f t="shared" ref="BZ338" si="1894">BZ336/BU336-1</f>
        <v>-1.4219569546135569E-3</v>
      </c>
      <c r="CA338" s="1060"/>
      <c r="CB338" s="1060"/>
      <c r="CC338" s="1060"/>
      <c r="CD338" s="1060"/>
      <c r="CE338" s="1670"/>
      <c r="CF338" s="1060"/>
      <c r="CG338" s="1060"/>
      <c r="CH338" s="1060"/>
      <c r="CI338" s="1733"/>
      <c r="CJ338" s="1670"/>
      <c r="CK338" s="1060"/>
      <c r="CL338" s="1733"/>
      <c r="CM338" s="1733"/>
      <c r="CN338" s="1060"/>
      <c r="CO338" s="1670"/>
      <c r="CP338" s="1060"/>
      <c r="CQ338" s="1733"/>
      <c r="CR338" s="1733"/>
      <c r="CS338" s="1733"/>
      <c r="CT338" s="1670"/>
      <c r="CU338" s="1733"/>
      <c r="CV338" s="1733"/>
      <c r="CW338" s="1733"/>
      <c r="CX338" s="1733"/>
      <c r="CY338" s="1670"/>
      <c r="CZ338" s="1733"/>
      <c r="DA338" s="1733"/>
      <c r="DB338" s="1733"/>
      <c r="DC338" s="1733"/>
      <c r="DD338" s="1670"/>
      <c r="DE338" s="1733"/>
      <c r="DF338" s="1733"/>
      <c r="DG338" s="1733"/>
      <c r="DH338" s="1733"/>
      <c r="DI338" s="1670"/>
      <c r="DJ338" s="1733"/>
      <c r="DK338" s="1733"/>
      <c r="DL338" s="1733"/>
      <c r="DM338" s="1733"/>
      <c r="DN338" s="1670"/>
      <c r="DO338" s="1733"/>
      <c r="DP338" s="1733"/>
      <c r="DQ338" s="1733"/>
      <c r="DR338" s="1733"/>
      <c r="DS338" s="1670"/>
      <c r="DT338" s="1733"/>
      <c r="DU338" s="1733"/>
      <c r="DV338" s="1733"/>
      <c r="DW338" s="1733"/>
      <c r="DX338" s="1670"/>
      <c r="DY338" s="1733"/>
      <c r="DZ338" s="1733"/>
      <c r="EA338" s="1733"/>
      <c r="EB338" s="1733"/>
      <c r="EC338" s="1670"/>
      <c r="ED338" s="1060"/>
      <c r="EE338" s="1060"/>
      <c r="EF338" s="1681"/>
      <c r="EG338" s="1682"/>
      <c r="EH338" s="1682"/>
      <c r="EI338" s="1682"/>
      <c r="EJ338" s="1682"/>
      <c r="EK338" s="1682"/>
      <c r="EL338" s="1682"/>
      <c r="EM338" s="1682"/>
      <c r="EN338" s="1682"/>
      <c r="EO338" s="1682"/>
      <c r="EP338" s="1682"/>
      <c r="EQ338" s="1682"/>
      <c r="ER338" s="1682"/>
      <c r="ES338" s="1682"/>
      <c r="ET338" s="1682"/>
      <c r="EU338" s="1682"/>
      <c r="EX338" s="1682"/>
      <c r="EY338" s="1683"/>
      <c r="EZ338" s="1684"/>
      <c r="FA338" s="1684"/>
      <c r="FB338" s="1683"/>
      <c r="FC338" s="1684"/>
      <c r="FD338" s="1682"/>
      <c r="FE338"/>
      <c r="FF338"/>
      <c r="FG338"/>
      <c r="FH338"/>
      <c r="FI338"/>
      <c r="FJ338"/>
    </row>
    <row r="339" spans="1:166" s="1678" customFormat="1" hidden="1" outlineLevel="1" x14ac:dyDescent="0.2">
      <c r="A339" s="1741"/>
      <c r="B339" s="1670"/>
      <c r="C339" s="1736"/>
      <c r="D339" s="1733"/>
      <c r="E339" s="1733"/>
      <c r="F339" s="1737"/>
      <c r="G339" s="1670"/>
      <c r="H339" s="1736"/>
      <c r="I339" s="1733"/>
      <c r="J339" s="1733"/>
      <c r="K339" s="1737"/>
      <c r="L339" s="1670"/>
      <c r="M339" s="1736"/>
      <c r="N339" s="1733"/>
      <c r="O339" s="1733"/>
      <c r="P339" s="1737"/>
      <c r="Q339" s="1670"/>
      <c r="R339" s="1060"/>
      <c r="S339" s="1060"/>
      <c r="T339" s="1060"/>
      <c r="U339" s="1737"/>
      <c r="V339" s="1670"/>
      <c r="W339" s="1060"/>
      <c r="X339" s="1060"/>
      <c r="Y339" s="1060"/>
      <c r="Z339" s="1737"/>
      <c r="AA339" s="1737"/>
      <c r="AB339" s="1738"/>
      <c r="AC339" s="1060"/>
      <c r="AD339" s="1060"/>
      <c r="AE339" s="1060"/>
      <c r="AF339" s="1670"/>
      <c r="AG339" s="1060"/>
      <c r="AH339" s="1060"/>
      <c r="AI339" s="1060"/>
      <c r="AJ339" s="1060"/>
      <c r="AK339" s="1670"/>
      <c r="AL339" s="1060"/>
      <c r="AM339" s="1060"/>
      <c r="AN339" s="1060"/>
      <c r="AO339" s="1060"/>
      <c r="AP339" s="1670"/>
      <c r="AQ339" s="1060"/>
      <c r="AR339" s="1060"/>
      <c r="AS339" s="1060"/>
      <c r="AT339" s="1060"/>
      <c r="AU339" s="1738"/>
      <c r="AV339" s="1654"/>
      <c r="AW339" s="1060"/>
      <c r="AX339" s="1060"/>
      <c r="AY339" s="1060"/>
      <c r="AZ339" s="1060"/>
      <c r="BA339" s="1670"/>
      <c r="BB339" s="1060"/>
      <c r="BC339" s="1060"/>
      <c r="BD339" s="1060"/>
      <c r="BE339" s="1060"/>
      <c r="BF339" s="1670"/>
      <c r="BG339" s="1060"/>
      <c r="BH339" s="1060"/>
      <c r="BI339" s="1060"/>
      <c r="BJ339" s="1060"/>
      <c r="BK339" s="1670"/>
      <c r="BL339" s="1060"/>
      <c r="BM339" s="1060"/>
      <c r="BN339" s="1060"/>
      <c r="BO339" s="1060"/>
      <c r="BP339" s="1670"/>
      <c r="BQ339" s="1060"/>
      <c r="BR339" s="1060"/>
      <c r="BS339" s="1060"/>
      <c r="BT339" s="1060"/>
      <c r="BU339" s="1670"/>
      <c r="BV339" s="1723"/>
      <c r="BW339" s="1723"/>
      <c r="BX339" s="1723"/>
      <c r="BY339" s="1723"/>
      <c r="BZ339" s="1670"/>
      <c r="CA339" s="1060"/>
      <c r="CB339" s="1060"/>
      <c r="CC339" s="1060"/>
      <c r="CD339" s="1060"/>
      <c r="CE339" s="1670"/>
      <c r="CF339" s="1060"/>
      <c r="CG339" s="1060"/>
      <c r="CH339" s="1060"/>
      <c r="CI339" s="1733"/>
      <c r="CJ339" s="1670"/>
      <c r="CK339" s="1060"/>
      <c r="CL339" s="1733"/>
      <c r="CM339" s="1733"/>
      <c r="CN339" s="1060"/>
      <c r="CO339" s="1670"/>
      <c r="CP339" s="1060"/>
      <c r="CQ339" s="1733"/>
      <c r="CR339" s="1733"/>
      <c r="CS339" s="1733"/>
      <c r="CT339" s="1670"/>
      <c r="CU339" s="1733"/>
      <c r="CV339" s="1733"/>
      <c r="CW339" s="1733"/>
      <c r="CX339" s="1733"/>
      <c r="CY339" s="1670"/>
      <c r="CZ339" s="1733"/>
      <c r="DA339" s="1733"/>
      <c r="DB339" s="1733"/>
      <c r="DC339" s="1733"/>
      <c r="DD339" s="1670"/>
      <c r="DE339" s="1733"/>
      <c r="DF339" s="1733"/>
      <c r="DG339" s="1733"/>
      <c r="DH339" s="1733"/>
      <c r="DI339" s="1670"/>
      <c r="DJ339" s="1733"/>
      <c r="DK339" s="1733"/>
      <c r="DL339" s="1733"/>
      <c r="DM339" s="1733"/>
      <c r="DN339" s="1670"/>
      <c r="DO339" s="1733"/>
      <c r="DP339" s="1733"/>
      <c r="DQ339" s="1733"/>
      <c r="DR339" s="1733"/>
      <c r="DS339" s="1670"/>
      <c r="DT339" s="1733"/>
      <c r="DU339" s="1733"/>
      <c r="DV339" s="1733"/>
      <c r="DW339" s="1733"/>
      <c r="DX339" s="1670"/>
      <c r="DY339" s="1733"/>
      <c r="DZ339" s="1733"/>
      <c r="EA339" s="1733"/>
      <c r="EB339" s="1733"/>
      <c r="EC339" s="1670"/>
      <c r="ED339" s="1060"/>
      <c r="EE339" s="1060"/>
      <c r="EF339" s="1681"/>
      <c r="EG339" s="1682"/>
      <c r="EH339" s="1682"/>
      <c r="EI339" s="1682"/>
      <c r="EJ339" s="1682"/>
      <c r="EK339" s="1682"/>
      <c r="EL339" s="1682"/>
      <c r="EM339" s="1682"/>
      <c r="EN339" s="1682"/>
      <c r="EO339" s="1682"/>
      <c r="EP339" s="1682"/>
      <c r="EQ339" s="1682"/>
      <c r="ER339" s="1682"/>
      <c r="ES339" s="1682"/>
      <c r="ET339" s="1682"/>
      <c r="EU339" s="1682"/>
      <c r="EX339" s="1682"/>
      <c r="EY339" s="1683"/>
      <c r="EZ339" s="1684"/>
      <c r="FA339" s="1684"/>
      <c r="FB339" s="1683"/>
      <c r="FC339" s="1684"/>
      <c r="FD339" s="1682"/>
      <c r="FE339"/>
      <c r="FF339"/>
      <c r="FG339"/>
      <c r="FH339"/>
      <c r="FI339"/>
      <c r="FJ339"/>
    </row>
    <row r="340" spans="1:166" s="1678" customFormat="1" hidden="1" outlineLevel="1" x14ac:dyDescent="0.2">
      <c r="A340" s="1741"/>
      <c r="B340" s="1670"/>
      <c r="C340" s="1736"/>
      <c r="D340" s="1733"/>
      <c r="E340" s="1733"/>
      <c r="F340" s="1737"/>
      <c r="G340" s="1670"/>
      <c r="H340" s="1736"/>
      <c r="I340" s="1733"/>
      <c r="J340" s="1733"/>
      <c r="K340" s="1737"/>
      <c r="L340" s="1670"/>
      <c r="M340" s="1736"/>
      <c r="N340" s="1733"/>
      <c r="O340" s="1733"/>
      <c r="P340" s="1737"/>
      <c r="Q340" s="1670"/>
      <c r="R340" s="1060"/>
      <c r="S340" s="1060"/>
      <c r="T340" s="1060"/>
      <c r="U340" s="1737"/>
      <c r="V340" s="1670"/>
      <c r="W340" s="1060"/>
      <c r="X340" s="1060"/>
      <c r="Y340" s="1060"/>
      <c r="Z340" s="1737"/>
      <c r="AA340" s="1737"/>
      <c r="AB340" s="1738"/>
      <c r="AC340" s="1060"/>
      <c r="AD340" s="1060"/>
      <c r="AE340" s="1060"/>
      <c r="AF340" s="1670"/>
      <c r="AG340" s="1060"/>
      <c r="AH340" s="1060"/>
      <c r="AI340" s="1060"/>
      <c r="AJ340" s="1060"/>
      <c r="AK340" s="1670"/>
      <c r="AL340" s="1060"/>
      <c r="AM340" s="1060"/>
      <c r="AN340" s="1060"/>
      <c r="AO340" s="1060"/>
      <c r="AP340" s="1670"/>
      <c r="AQ340" s="1060"/>
      <c r="AR340" s="1060"/>
      <c r="AS340" s="1060"/>
      <c r="AT340" s="1060"/>
      <c r="AU340" s="1738"/>
      <c r="AV340" s="1654"/>
      <c r="AW340" s="1060"/>
      <c r="AX340" s="1060"/>
      <c r="AY340" s="1060"/>
      <c r="AZ340" s="1060"/>
      <c r="BA340" s="1670"/>
      <c r="BB340" s="1060"/>
      <c r="BC340" s="1060"/>
      <c r="BD340" s="1060"/>
      <c r="BE340" s="1060"/>
      <c r="BF340" s="1670"/>
      <c r="BG340" s="1060"/>
      <c r="BH340" s="1060"/>
      <c r="BI340" s="1060"/>
      <c r="BJ340" s="1060"/>
      <c r="BK340" s="1670"/>
      <c r="BL340" s="1060"/>
      <c r="BM340" s="1060"/>
      <c r="BN340" s="1060"/>
      <c r="BO340" s="1060"/>
      <c r="BP340" s="1670"/>
      <c r="BQ340" s="1060"/>
      <c r="BR340" s="1060"/>
      <c r="BS340" s="1060"/>
      <c r="BT340" s="1060"/>
      <c r="BU340" s="1670"/>
      <c r="BV340" s="1723"/>
      <c r="BW340" s="1723"/>
      <c r="BX340" s="1723"/>
      <c r="BY340" s="1723"/>
      <c r="BZ340" s="1670"/>
      <c r="CA340" s="1060"/>
      <c r="CB340" s="1060"/>
      <c r="CC340" s="1060"/>
      <c r="CD340" s="1060"/>
      <c r="CE340" s="1670"/>
      <c r="CF340" s="1060"/>
      <c r="CG340" s="1060"/>
      <c r="CH340" s="1060"/>
      <c r="CI340" s="1733"/>
      <c r="CJ340" s="1670"/>
      <c r="CK340" s="1060"/>
      <c r="CL340" s="1733"/>
      <c r="CM340" s="1733"/>
      <c r="CN340" s="1060"/>
      <c r="CO340" s="1670"/>
      <c r="CP340" s="1060"/>
      <c r="CQ340" s="1733"/>
      <c r="CR340" s="1733"/>
      <c r="CS340" s="1733"/>
      <c r="CT340" s="1670"/>
      <c r="CU340" s="1733"/>
      <c r="CV340" s="1733"/>
      <c r="CW340" s="1733"/>
      <c r="CX340" s="1733"/>
      <c r="CY340" s="1670"/>
      <c r="CZ340" s="1733"/>
      <c r="DA340" s="1733"/>
      <c r="DB340" s="1733"/>
      <c r="DC340" s="1733"/>
      <c r="DD340" s="1670"/>
      <c r="DE340" s="1733"/>
      <c r="DF340" s="1733"/>
      <c r="DG340" s="1733"/>
      <c r="DH340" s="1733"/>
      <c r="DI340" s="1670"/>
      <c r="DJ340" s="1733"/>
      <c r="DK340" s="1733"/>
      <c r="DL340" s="1733"/>
      <c r="DM340" s="1733"/>
      <c r="DN340" s="1670"/>
      <c r="DO340" s="1733"/>
      <c r="DP340" s="1733"/>
      <c r="DQ340" s="1733"/>
      <c r="DR340" s="1733"/>
      <c r="DS340" s="1670"/>
      <c r="DT340" s="1733"/>
      <c r="DU340" s="1733"/>
      <c r="DV340" s="1733"/>
      <c r="DW340" s="1733"/>
      <c r="DX340" s="1670"/>
      <c r="DY340" s="1733"/>
      <c r="DZ340" s="1733"/>
      <c r="EA340" s="1733"/>
      <c r="EB340" s="1733"/>
      <c r="EC340" s="1670"/>
      <c r="ED340" s="1060"/>
      <c r="EE340" s="1060"/>
      <c r="EF340" s="1681"/>
      <c r="EG340" s="1682"/>
      <c r="EH340" s="1682"/>
      <c r="EI340" s="1682"/>
      <c r="EJ340" s="1682"/>
      <c r="EK340" s="1682"/>
      <c r="EL340" s="1682"/>
      <c r="EM340" s="1682"/>
      <c r="EN340" s="1682"/>
      <c r="EO340" s="1682"/>
      <c r="EP340" s="1682"/>
      <c r="EQ340" s="1682"/>
      <c r="ER340" s="1682"/>
      <c r="ES340" s="1682"/>
      <c r="ET340" s="1682"/>
      <c r="EU340" s="1682"/>
      <c r="EX340" s="1682"/>
      <c r="EY340" s="1683"/>
      <c r="EZ340" s="1684"/>
      <c r="FA340" s="1684"/>
      <c r="FB340" s="1683"/>
      <c r="FC340" s="1684"/>
      <c r="FD340" s="1682"/>
      <c r="FE340"/>
      <c r="FF340"/>
      <c r="FG340"/>
      <c r="FH340"/>
      <c r="FI340"/>
      <c r="FJ340"/>
    </row>
    <row r="341" spans="1:166" s="1678" customFormat="1" collapsed="1" x14ac:dyDescent="0.2">
      <c r="A341" s="1707" t="s">
        <v>119</v>
      </c>
      <c r="B341" s="1708"/>
      <c r="C341" s="1734"/>
      <c r="D341" s="1653"/>
      <c r="E341" s="1653"/>
      <c r="F341" s="1710"/>
      <c r="G341" s="1708"/>
      <c r="H341" s="1734"/>
      <c r="I341" s="1653"/>
      <c r="J341" s="1653"/>
      <c r="K341" s="1710"/>
      <c r="L341" s="1708"/>
      <c r="M341" s="1734"/>
      <c r="N341" s="1653"/>
      <c r="O341" s="1653"/>
      <c r="P341" s="1710"/>
      <c r="Q341" s="1708"/>
      <c r="R341" s="1676"/>
      <c r="S341" s="1676"/>
      <c r="T341" s="1676"/>
      <c r="U341" s="1710"/>
      <c r="V341" s="1708"/>
      <c r="W341" s="1676"/>
      <c r="X341" s="1676"/>
      <c r="Y341" s="1676"/>
      <c r="Z341" s="1710"/>
      <c r="AA341" s="1711"/>
      <c r="AB341" s="1709"/>
      <c r="AC341" s="1676"/>
      <c r="AD341" s="1676"/>
      <c r="AE341" s="1676"/>
      <c r="AF341" s="1708"/>
      <c r="AG341" s="1676"/>
      <c r="AH341" s="1676"/>
      <c r="AI341" s="1676"/>
      <c r="AJ341" s="1676"/>
      <c r="AK341" s="1708"/>
      <c r="AL341" s="1676"/>
      <c r="AM341" s="1676"/>
      <c r="AN341" s="1676"/>
      <c r="AO341" s="1676"/>
      <c r="AP341" s="1708"/>
      <c r="AQ341" s="1676"/>
      <c r="AR341" s="1676"/>
      <c r="AS341" s="1676"/>
      <c r="AT341" s="1676"/>
      <c r="AU341" s="1712"/>
      <c r="AV341" s="1654"/>
      <c r="AW341" s="1676">
        <v>4.3</v>
      </c>
      <c r="AX341" s="1676">
        <v>4</v>
      </c>
      <c r="AY341" s="1676">
        <v>5</v>
      </c>
      <c r="AZ341" s="1676">
        <v>0.7</v>
      </c>
      <c r="BA341" s="1708">
        <f>SUM(AW341:AZ341)</f>
        <v>14</v>
      </c>
      <c r="BB341" s="1676">
        <v>0.2</v>
      </c>
      <c r="BC341" s="1676">
        <f>0.6-BB341</f>
        <v>0.39999999999999997</v>
      </c>
      <c r="BD341" s="1676">
        <v>0.3</v>
      </c>
      <c r="BE341" s="1676">
        <v>5.5</v>
      </c>
      <c r="BF341" s="1708">
        <f t="shared" si="1877"/>
        <v>6.4</v>
      </c>
      <c r="BG341" s="1676">
        <f>3.5-BH341</f>
        <v>2.2999999999999998</v>
      </c>
      <c r="BH341" s="1676">
        <v>1.2</v>
      </c>
      <c r="BI341" s="1676">
        <v>2.6</v>
      </c>
      <c r="BJ341" s="1676">
        <v>4.0999999999999996</v>
      </c>
      <c r="BK341" s="1708">
        <f t="shared" si="1878"/>
        <v>10.199999999999999</v>
      </c>
      <c r="BL341" s="1676">
        <f>5.9-BM341</f>
        <v>2.7</v>
      </c>
      <c r="BM341" s="1676">
        <v>3.2</v>
      </c>
      <c r="BN341" s="1676">
        <v>3.5</v>
      </c>
      <c r="BO341" s="1676">
        <v>8.1999999999999993</v>
      </c>
      <c r="BP341" s="1708">
        <f t="shared" si="1879"/>
        <v>17.600000000000001</v>
      </c>
      <c r="BQ341" s="1676">
        <v>3.5</v>
      </c>
      <c r="BR341" s="1676">
        <v>4.2</v>
      </c>
      <c r="BS341" s="1676">
        <v>4.5</v>
      </c>
      <c r="BT341" s="1676">
        <v>25.1</v>
      </c>
      <c r="BU341" s="1708">
        <f t="shared" si="1880"/>
        <v>37.299999999999997</v>
      </c>
      <c r="BV341" s="1713">
        <v>3.5</v>
      </c>
      <c r="BW341" s="1713">
        <v>4.2</v>
      </c>
      <c r="BX341" s="1713">
        <v>4.5</v>
      </c>
      <c r="BY341" s="1713">
        <v>25.1</v>
      </c>
      <c r="BZ341" s="1708">
        <f t="shared" ref="BZ341" si="1895">SUM(BV341:BY341)</f>
        <v>37.299999999999997</v>
      </c>
      <c r="CA341" s="1676">
        <v>13.9</v>
      </c>
      <c r="CB341" s="1742">
        <v>8.1</v>
      </c>
      <c r="CC341" s="1676">
        <v>15.5</v>
      </c>
      <c r="CD341" s="1676">
        <v>14.3</v>
      </c>
      <c r="CE341" s="1708">
        <f>SUM(CA341:CD341)</f>
        <v>51.8</v>
      </c>
      <c r="CF341" s="1676">
        <v>7.9</v>
      </c>
      <c r="CG341" s="1676">
        <v>11.3</v>
      </c>
      <c r="CH341" s="1676">
        <v>11.8</v>
      </c>
      <c r="CI341" s="1676">
        <v>11</v>
      </c>
      <c r="CJ341" s="1708">
        <f t="shared" ref="CJ341" si="1896">SUM(CF341:CI341)</f>
        <v>42</v>
      </c>
      <c r="CK341" s="1676">
        <v>18.5</v>
      </c>
      <c r="CL341" s="1676">
        <v>11.9</v>
      </c>
      <c r="CM341" s="1676">
        <v>12.5</v>
      </c>
      <c r="CN341" s="1676">
        <v>12</v>
      </c>
      <c r="CO341" s="1708">
        <f t="shared" ref="CO341" si="1897">SUM(CK341:CN341)</f>
        <v>54.9</v>
      </c>
      <c r="CP341" s="1676">
        <v>15.3</v>
      </c>
      <c r="CQ341" s="1653">
        <f t="shared" ref="CQ341" si="1898">CL341*1.1</f>
        <v>13.090000000000002</v>
      </c>
      <c r="CR341" s="1653">
        <f t="shared" ref="CR341" si="1899">CM341*1.1</f>
        <v>13.750000000000002</v>
      </c>
      <c r="CS341" s="1653">
        <f t="shared" ref="CS341" si="1900">CN341*1.1</f>
        <v>13.200000000000001</v>
      </c>
      <c r="CT341" s="1708">
        <f t="shared" ref="CT341" si="1901">SUM(CP341:CS341)</f>
        <v>55.34</v>
      </c>
      <c r="CU341" s="1653">
        <f>CP341</f>
        <v>15.3</v>
      </c>
      <c r="CV341" s="1653">
        <f t="shared" ref="CV341" si="1902">CQ341</f>
        <v>13.090000000000002</v>
      </c>
      <c r="CW341" s="1653">
        <f t="shared" ref="CW341" si="1903">CR341</f>
        <v>13.750000000000002</v>
      </c>
      <c r="CX341" s="1653">
        <f t="shared" ref="CX341" si="1904">CS341</f>
        <v>13.200000000000001</v>
      </c>
      <c r="CY341" s="1708">
        <f t="shared" ref="CY341" si="1905">SUM(CU341:CX341)</f>
        <v>55.34</v>
      </c>
      <c r="CZ341" s="1653">
        <f>CU341</f>
        <v>15.3</v>
      </c>
      <c r="DA341" s="1653">
        <f t="shared" ref="DA341" si="1906">CV341</f>
        <v>13.090000000000002</v>
      </c>
      <c r="DB341" s="1653">
        <f t="shared" ref="DB341" si="1907">CW341</f>
        <v>13.750000000000002</v>
      </c>
      <c r="DC341" s="1653">
        <f t="shared" ref="DC341" si="1908">CX341</f>
        <v>13.200000000000001</v>
      </c>
      <c r="DD341" s="1708">
        <f t="shared" ref="DD341" si="1909">SUM(CZ341:DC341)</f>
        <v>55.34</v>
      </c>
      <c r="DE341" s="1653">
        <f>CZ341</f>
        <v>15.3</v>
      </c>
      <c r="DF341" s="1653">
        <f t="shared" ref="DF341" si="1910">DA341</f>
        <v>13.090000000000002</v>
      </c>
      <c r="DG341" s="1653">
        <f t="shared" ref="DG341" si="1911">DB341</f>
        <v>13.750000000000002</v>
      </c>
      <c r="DH341" s="1653">
        <f t="shared" ref="DH341" si="1912">DC341</f>
        <v>13.200000000000001</v>
      </c>
      <c r="DI341" s="1708">
        <f t="shared" ref="DI341" si="1913">SUM(DE341:DH341)</f>
        <v>55.34</v>
      </c>
      <c r="DJ341" s="1653">
        <f>DE341</f>
        <v>15.3</v>
      </c>
      <c r="DK341" s="1653">
        <f t="shared" ref="DK341" si="1914">DF341</f>
        <v>13.090000000000002</v>
      </c>
      <c r="DL341" s="1653">
        <f t="shared" ref="DL341" si="1915">DG341</f>
        <v>13.750000000000002</v>
      </c>
      <c r="DM341" s="1653">
        <f t="shared" ref="DM341" si="1916">DH341</f>
        <v>13.200000000000001</v>
      </c>
      <c r="DN341" s="1708">
        <f t="shared" ref="DN341" si="1917">SUM(DJ341:DM341)</f>
        <v>55.34</v>
      </c>
      <c r="DO341" s="1653">
        <f>DJ341</f>
        <v>15.3</v>
      </c>
      <c r="DP341" s="1653">
        <f t="shared" ref="DP341" si="1918">DK341</f>
        <v>13.090000000000002</v>
      </c>
      <c r="DQ341" s="1653">
        <f t="shared" ref="DQ341" si="1919">DL341</f>
        <v>13.750000000000002</v>
      </c>
      <c r="DR341" s="1653">
        <f t="shared" ref="DR341" si="1920">DM341</f>
        <v>13.200000000000001</v>
      </c>
      <c r="DS341" s="1708">
        <f t="shared" ref="DS341" si="1921">SUM(DO341:DR341)</f>
        <v>55.34</v>
      </c>
      <c r="DT341" s="1653">
        <f>DO341</f>
        <v>15.3</v>
      </c>
      <c r="DU341" s="1653">
        <f t="shared" ref="DU341" si="1922">DP341</f>
        <v>13.090000000000002</v>
      </c>
      <c r="DV341" s="1653">
        <f t="shared" ref="DV341" si="1923">DQ341</f>
        <v>13.750000000000002</v>
      </c>
      <c r="DW341" s="1653">
        <f t="shared" ref="DW341" si="1924">DR341</f>
        <v>13.200000000000001</v>
      </c>
      <c r="DX341" s="1708">
        <f t="shared" ref="DX341" si="1925">SUM(DT341:DW341)</f>
        <v>55.34</v>
      </c>
      <c r="DY341" s="1653">
        <f>DT341</f>
        <v>15.3</v>
      </c>
      <c r="DZ341" s="1653">
        <f t="shared" ref="DZ341" si="1926">DU341</f>
        <v>13.090000000000002</v>
      </c>
      <c r="EA341" s="1653">
        <f t="shared" ref="EA341" si="1927">DV341</f>
        <v>13.750000000000002</v>
      </c>
      <c r="EB341" s="1653">
        <f t="shared" ref="EB341" si="1928">DW341</f>
        <v>13.200000000000001</v>
      </c>
      <c r="EC341" s="1708">
        <f t="shared" ref="EC341" si="1929">SUM(DY341:EB341)</f>
        <v>55.34</v>
      </c>
      <c r="ED341" s="1676"/>
      <c r="EE341" s="1677"/>
      <c r="EF341" s="389"/>
      <c r="EG341" s="1200"/>
      <c r="EH341" s="1200"/>
      <c r="EI341" s="1200"/>
      <c r="EJ341" s="1200"/>
      <c r="EK341" s="1200"/>
      <c r="EL341" s="1200"/>
      <c r="EM341" s="1200"/>
      <c r="EN341" s="1200"/>
      <c r="EO341" s="1200"/>
      <c r="EP341" s="1200"/>
      <c r="EQ341" s="1200"/>
      <c r="ER341" s="1200"/>
      <c r="ES341" s="1200"/>
      <c r="ET341" s="1200"/>
      <c r="EU341" s="1200"/>
      <c r="EX341" s="1200"/>
      <c r="EY341" s="1679"/>
      <c r="EZ341" s="1680"/>
      <c r="FA341" s="1680"/>
      <c r="FB341" s="1679"/>
      <c r="FC341" s="1680"/>
      <c r="FD341" s="1200"/>
      <c r="FE341"/>
      <c r="FF341"/>
      <c r="FG341"/>
      <c r="FH341"/>
      <c r="FI341"/>
      <c r="FJ341"/>
    </row>
    <row r="342" spans="1:166" s="1690" customFormat="1" x14ac:dyDescent="0.2">
      <c r="A342" s="1715" t="s">
        <v>651</v>
      </c>
      <c r="B342" s="1716"/>
      <c r="C342" s="1743"/>
      <c r="D342" s="1720"/>
      <c r="E342" s="1720"/>
      <c r="F342" s="1718"/>
      <c r="G342" s="1716"/>
      <c r="H342" s="1743"/>
      <c r="I342" s="1720"/>
      <c r="J342" s="1720"/>
      <c r="K342" s="1718"/>
      <c r="L342" s="1716"/>
      <c r="M342" s="1743"/>
      <c r="N342" s="1720"/>
      <c r="O342" s="1720"/>
      <c r="P342" s="1718"/>
      <c r="Q342" s="1716"/>
      <c r="R342" s="1686"/>
      <c r="S342" s="1686"/>
      <c r="T342" s="1686"/>
      <c r="U342" s="1718"/>
      <c r="V342" s="1716"/>
      <c r="W342" s="1686"/>
      <c r="X342" s="1686"/>
      <c r="Y342" s="1686"/>
      <c r="Z342" s="1718"/>
      <c r="AA342" s="1719"/>
      <c r="AB342" s="1717"/>
      <c r="AC342" s="1686"/>
      <c r="AD342" s="1686"/>
      <c r="AE342" s="1686"/>
      <c r="AF342" s="1716"/>
      <c r="AG342" s="1686"/>
      <c r="AH342" s="1686"/>
      <c r="AI342" s="1686"/>
      <c r="AJ342" s="1686"/>
      <c r="AK342" s="1716"/>
      <c r="AL342" s="1686"/>
      <c r="AM342" s="1686"/>
      <c r="AN342" s="1686"/>
      <c r="AO342" s="1686"/>
      <c r="AP342" s="1716"/>
      <c r="AQ342" s="1686"/>
      <c r="AR342" s="1686"/>
      <c r="AS342" s="1686"/>
      <c r="AT342" s="1686"/>
      <c r="AU342" s="1721"/>
      <c r="AV342" s="1722"/>
      <c r="AW342" s="1686"/>
      <c r="AX342" s="1686"/>
      <c r="AY342" s="1686"/>
      <c r="AZ342" s="1686"/>
      <c r="BA342" s="1716"/>
      <c r="BB342" s="1686"/>
      <c r="BC342" s="1686"/>
      <c r="BD342" s="1686"/>
      <c r="BE342" s="1686"/>
      <c r="BF342" s="1716"/>
      <c r="BG342" s="1686"/>
      <c r="BH342" s="1686"/>
      <c r="BI342" s="1686"/>
      <c r="BJ342" s="1686"/>
      <c r="BK342" s="1716"/>
      <c r="BL342" s="1686"/>
      <c r="BM342" s="1686"/>
      <c r="BN342" s="1686"/>
      <c r="BO342" s="1686"/>
      <c r="BP342" s="1716"/>
      <c r="BQ342" s="1060">
        <f t="shared" ref="BQ342:BU342" si="1930">BQ341/BQ327</f>
        <v>4.0504936777466936E-2</v>
      </c>
      <c r="BR342" s="1060">
        <f t="shared" si="1930"/>
        <v>4.823264231294052E-2</v>
      </c>
      <c r="BS342" s="1060">
        <f t="shared" si="1930"/>
        <v>5.0807531495671285E-2</v>
      </c>
      <c r="BT342" s="1060">
        <f t="shared" si="1930"/>
        <v>0.20038080335937222</v>
      </c>
      <c r="BU342" s="1670">
        <f t="shared" si="1930"/>
        <v>9.63032402596051E-2</v>
      </c>
      <c r="BV342" s="1723">
        <f t="shared" ref="BV342:BZ342" si="1931">BV341/BV327</f>
        <v>5.4095826893353939E-2</v>
      </c>
      <c r="BW342" s="1723">
        <f t="shared" si="1931"/>
        <v>6.741573033707865E-2</v>
      </c>
      <c r="BX342" s="1723">
        <f t="shared" si="1931"/>
        <v>7.43801652892562E-2</v>
      </c>
      <c r="BY342" s="1723">
        <f t="shared" si="1931"/>
        <v>0.42186066083970514</v>
      </c>
      <c r="BZ342" s="1670">
        <f t="shared" si="1931"/>
        <v>0.15101317374406625</v>
      </c>
      <c r="CA342" s="1060">
        <f>CA341/CA327</f>
        <v>0.23205342237061768</v>
      </c>
      <c r="CB342" s="1060">
        <f t="shared" ref="CB342:CD342" si="1932">CB341/CB327</f>
        <v>0.13798977853492334</v>
      </c>
      <c r="CC342" s="1060">
        <f t="shared" si="1932"/>
        <v>0.26956521739130435</v>
      </c>
      <c r="CD342" s="1060">
        <f t="shared" si="1932"/>
        <v>0.22916666666666663</v>
      </c>
      <c r="CE342" s="1670">
        <f t="shared" ref="CE342:EB342" si="1933">CE341/CE327</f>
        <v>0.21719077568134168</v>
      </c>
      <c r="CF342" s="1060">
        <f>CF341/CF327</f>
        <v>0.13908450704225353</v>
      </c>
      <c r="CG342" s="1060">
        <f>CG341/CG327</f>
        <v>0.22113502935420745</v>
      </c>
      <c r="CH342" s="1060">
        <f>CH341/CH327</f>
        <v>0.2</v>
      </c>
      <c r="CI342" s="1060">
        <f t="shared" si="1933"/>
        <v>0.16344725111441305</v>
      </c>
      <c r="CJ342" s="1670">
        <f t="shared" si="1933"/>
        <v>0.17933390264730997</v>
      </c>
      <c r="CK342" s="1060">
        <f t="shared" si="1933"/>
        <v>0.29225908372827802</v>
      </c>
      <c r="CL342" s="1060">
        <f t="shared" si="1933"/>
        <v>0.16831683168316833</v>
      </c>
      <c r="CM342" s="1060">
        <f t="shared" si="1933"/>
        <v>0.16688918558077434</v>
      </c>
      <c r="CN342" s="1060">
        <f t="shared" si="1933"/>
        <v>0.18404907975460122</v>
      </c>
      <c r="CO342" s="1670">
        <f t="shared" si="1933"/>
        <v>0.20029186428310833</v>
      </c>
      <c r="CP342" s="1060">
        <f>CP341/CP327</f>
        <v>5.708955223880597E-2</v>
      </c>
      <c r="CQ342" s="1060">
        <f t="shared" ref="CQ342:CY342" si="1934">CQ341/CQ327</f>
        <v>4.8472994187884096E-2</v>
      </c>
      <c r="CR342" s="1060">
        <f t="shared" si="1934"/>
        <v>5.0472104618356516E-2</v>
      </c>
      <c r="CS342" s="1060">
        <f t="shared" si="1934"/>
        <v>4.8256601363998751E-2</v>
      </c>
      <c r="CT342" s="1670">
        <f t="shared" si="1934"/>
        <v>5.1051062748432484E-2</v>
      </c>
      <c r="CU342" s="1060">
        <f t="shared" si="1934"/>
        <v>5.6085191986738406E-2</v>
      </c>
      <c r="CV342" s="1060">
        <f t="shared" si="1934"/>
        <v>4.7795873587462526E-2</v>
      </c>
      <c r="CW342" s="1060">
        <f t="shared" si="1934"/>
        <v>4.9855717648052425E-2</v>
      </c>
      <c r="CX342" s="1060">
        <f t="shared" si="1934"/>
        <v>4.7636942817636613E-2</v>
      </c>
      <c r="CY342" s="1670">
        <f t="shared" si="1934"/>
        <v>5.0329038955103517E-2</v>
      </c>
      <c r="CZ342" s="1060">
        <f t="shared" si="1933"/>
        <v>5.4958556484124524E-2</v>
      </c>
      <c r="DA342" s="1060">
        <f t="shared" si="1933"/>
        <v>4.7558334331819822E-2</v>
      </c>
      <c r="DB342" s="1060">
        <f t="shared" si="1933"/>
        <v>4.9724408728939629E-2</v>
      </c>
      <c r="DC342" s="1060">
        <f t="shared" si="1933"/>
        <v>4.7601329482001693E-2</v>
      </c>
      <c r="DD342" s="1670">
        <f t="shared" si="1933"/>
        <v>4.9970208858426707E-2</v>
      </c>
      <c r="DE342" s="1060">
        <f t="shared" si="1933"/>
        <v>5.4283346494262391E-2</v>
      </c>
      <c r="DF342" s="1060">
        <f t="shared" si="1933"/>
        <v>4.7261855339005794E-2</v>
      </c>
      <c r="DG342" s="1060">
        <f t="shared" si="1933"/>
        <v>4.9157919564269695E-2</v>
      </c>
      <c r="DH342" s="1060">
        <f t="shared" si="1933"/>
        <v>4.7162142097417648E-2</v>
      </c>
      <c r="DI342" s="1670">
        <f t="shared" si="1933"/>
        <v>4.9480595536331953E-2</v>
      </c>
      <c r="DJ342" s="1060">
        <f t="shared" si="1933"/>
        <v>5.3895153199887101E-2</v>
      </c>
      <c r="DK342" s="1060">
        <f t="shared" si="1933"/>
        <v>4.7121204667601779E-2</v>
      </c>
      <c r="DL342" s="1060">
        <f t="shared" si="1933"/>
        <v>4.9138272230721924E-2</v>
      </c>
      <c r="DM342" s="1060">
        <f t="shared" si="1933"/>
        <v>4.7261288622164818E-2</v>
      </c>
      <c r="DN342" s="1670">
        <f t="shared" si="1933"/>
        <v>4.9375457049968985E-2</v>
      </c>
      <c r="DO342" s="1060">
        <f t="shared" si="1933"/>
        <v>5.3492892652886488E-2</v>
      </c>
      <c r="DP342" s="1060">
        <f t="shared" si="1933"/>
        <v>4.701426269452106E-2</v>
      </c>
      <c r="DQ342" s="1060">
        <f t="shared" si="1933"/>
        <v>4.920182335046358E-2</v>
      </c>
      <c r="DR342" s="1060">
        <f t="shared" si="1933"/>
        <v>4.7465749233767868E-2</v>
      </c>
      <c r="DS342" s="1670">
        <f t="shared" si="1933"/>
        <v>4.9322554509190368E-2</v>
      </c>
      <c r="DT342" s="1060">
        <f t="shared" ref="DT342:DW342" si="1935">DT341/DT327</f>
        <v>5.2795911864195938E-2</v>
      </c>
      <c r="DU342" s="1060">
        <f t="shared" si="1935"/>
        <v>4.7208099806622328E-2</v>
      </c>
      <c r="DV342" s="1060">
        <f t="shared" si="1935"/>
        <v>4.9622312341033009E-2</v>
      </c>
      <c r="DW342" s="1060">
        <f t="shared" si="1935"/>
        <v>4.8039054290455581E-2</v>
      </c>
      <c r="DX342" s="1670">
        <f t="shared" si="1933"/>
        <v>4.9457185651749926E-2</v>
      </c>
      <c r="DY342" s="1060">
        <f t="shared" si="1933"/>
        <v>5.3622583620236294E-2</v>
      </c>
      <c r="DZ342" s="1060">
        <f t="shared" si="1933"/>
        <v>4.7750360434757132E-2</v>
      </c>
      <c r="EA342" s="1060">
        <f t="shared" si="1933"/>
        <v>5.0455349556136661E-2</v>
      </c>
      <c r="EB342" s="1060">
        <f t="shared" si="1933"/>
        <v>4.9047033984682291E-2</v>
      </c>
      <c r="EC342" s="1670">
        <f t="shared" ref="EC342" si="1936">EC341/EC327</f>
        <v>5.0258412061913546E-2</v>
      </c>
      <c r="ED342" s="1686"/>
      <c r="EE342" s="1687"/>
      <c r="EF342" s="1688"/>
      <c r="EG342" s="1689"/>
      <c r="EH342" s="1689"/>
      <c r="EI342" s="1689"/>
      <c r="EJ342" s="1689"/>
      <c r="EK342" s="1689"/>
      <c r="EL342" s="1689"/>
      <c r="EM342" s="1689"/>
      <c r="EN342" s="1689"/>
      <c r="EO342" s="1689"/>
      <c r="EP342" s="1689"/>
      <c r="EQ342" s="1689"/>
      <c r="ER342" s="1689"/>
      <c r="ES342" s="1689"/>
      <c r="ET342" s="1689"/>
      <c r="EU342" s="1689"/>
      <c r="EX342" s="1689"/>
      <c r="EY342" s="1691"/>
      <c r="EZ342" s="1692"/>
      <c r="FA342" s="1692"/>
      <c r="FB342" s="1691"/>
      <c r="FC342" s="1692"/>
      <c r="FD342" s="1689"/>
      <c r="FE342"/>
      <c r="FF342"/>
      <c r="FG342"/>
      <c r="FH342"/>
      <c r="FI342"/>
      <c r="FJ342"/>
    </row>
    <row r="343" spans="1:166" s="1678" customFormat="1" x14ac:dyDescent="0.2">
      <c r="A343" s="1707" t="s">
        <v>283</v>
      </c>
      <c r="B343" s="1708"/>
      <c r="C343" s="1734"/>
      <c r="D343" s="1653"/>
      <c r="E343" s="1653"/>
      <c r="F343" s="1710"/>
      <c r="G343" s="1708"/>
      <c r="H343" s="1734"/>
      <c r="I343" s="1653"/>
      <c r="J343" s="1653"/>
      <c r="K343" s="1710"/>
      <c r="L343" s="1708"/>
      <c r="M343" s="1734"/>
      <c r="N343" s="1653"/>
      <c r="O343" s="1653"/>
      <c r="P343" s="1710"/>
      <c r="Q343" s="1708"/>
      <c r="R343" s="1676"/>
      <c r="S343" s="1676"/>
      <c r="T343" s="1676"/>
      <c r="U343" s="1710"/>
      <c r="V343" s="1708"/>
      <c r="W343" s="1676"/>
      <c r="X343" s="1676"/>
      <c r="Y343" s="1676"/>
      <c r="Z343" s="1710"/>
      <c r="AA343" s="1711"/>
      <c r="AB343" s="1709"/>
      <c r="AC343" s="1676"/>
      <c r="AD343" s="1676"/>
      <c r="AE343" s="1676"/>
      <c r="AF343" s="1708"/>
      <c r="AG343" s="1676"/>
      <c r="AH343" s="1676"/>
      <c r="AI343" s="1676"/>
      <c r="AJ343" s="1676"/>
      <c r="AK343" s="1708"/>
      <c r="AL343" s="1676"/>
      <c r="AM343" s="1676"/>
      <c r="AN343" s="1676"/>
      <c r="AO343" s="1676"/>
      <c r="AP343" s="1708"/>
      <c r="AQ343" s="1676"/>
      <c r="AR343" s="1676"/>
      <c r="AS343" s="1676"/>
      <c r="AT343" s="1676"/>
      <c r="AU343" s="1712"/>
      <c r="AV343" s="1654"/>
      <c r="AW343" s="1676">
        <v>5.2</v>
      </c>
      <c r="AX343" s="1676">
        <v>4.5999999999999996</v>
      </c>
      <c r="AY343" s="1676">
        <v>4.5</v>
      </c>
      <c r="AZ343" s="1676">
        <v>3.8</v>
      </c>
      <c r="BA343" s="1708">
        <f t="shared" ref="BA343:BA349" si="1937">SUM(AW343:AZ343)</f>
        <v>18.100000000000001</v>
      </c>
      <c r="BB343" s="1676">
        <v>3.9</v>
      </c>
      <c r="BC343" s="1676">
        <f>7.8-BB343</f>
        <v>3.9</v>
      </c>
      <c r="BD343" s="1676">
        <v>4.0999999999999996</v>
      </c>
      <c r="BE343" s="1676">
        <v>4</v>
      </c>
      <c r="BF343" s="1708">
        <f t="shared" si="1877"/>
        <v>15.899999999999999</v>
      </c>
      <c r="BG343" s="1676">
        <v>4.4000000000000004</v>
      </c>
      <c r="BH343" s="1676">
        <v>4.3</v>
      </c>
      <c r="BI343" s="1676">
        <v>4.0999999999999996</v>
      </c>
      <c r="BJ343" s="1676">
        <v>4.8</v>
      </c>
      <c r="BK343" s="1708">
        <f t="shared" si="1878"/>
        <v>17.599999999999998</v>
      </c>
      <c r="BL343" s="1676">
        <v>2.2999999999999998</v>
      </c>
      <c r="BM343" s="1676">
        <v>3.1</v>
      </c>
      <c r="BN343" s="1676">
        <v>2.8</v>
      </c>
      <c r="BO343" s="1676">
        <v>3.2</v>
      </c>
      <c r="BP343" s="1708">
        <f t="shared" si="1879"/>
        <v>11.399999999999999</v>
      </c>
      <c r="BQ343" s="1676">
        <v>3.2</v>
      </c>
      <c r="BR343" s="1676">
        <v>3.4</v>
      </c>
      <c r="BS343" s="1676">
        <v>3.5</v>
      </c>
      <c r="BT343" s="1676">
        <v>3.9</v>
      </c>
      <c r="BU343" s="1708">
        <f t="shared" si="1880"/>
        <v>14</v>
      </c>
      <c r="BV343" s="1713">
        <v>3.2</v>
      </c>
      <c r="BW343" s="1713">
        <v>3.4</v>
      </c>
      <c r="BX343" s="1713">
        <v>3.5</v>
      </c>
      <c r="BY343" s="1713">
        <v>3.9</v>
      </c>
      <c r="BZ343" s="1708">
        <f t="shared" ref="BZ343" si="1938">SUM(BV343:BY343)</f>
        <v>14</v>
      </c>
      <c r="CA343" s="1676">
        <v>4.4000000000000004</v>
      </c>
      <c r="CB343" s="1676">
        <v>4.3</v>
      </c>
      <c r="CC343" s="1676">
        <v>4</v>
      </c>
      <c r="CD343" s="1676">
        <v>4.3</v>
      </c>
      <c r="CE343" s="1708">
        <f t="shared" ref="CE343" si="1939">SUM(CA343:CD343)</f>
        <v>17</v>
      </c>
      <c r="CF343" s="1676">
        <v>4.9000000000000004</v>
      </c>
      <c r="CG343" s="1676">
        <v>5.5</v>
      </c>
      <c r="CH343" s="1676">
        <v>5.5</v>
      </c>
      <c r="CI343" s="1676">
        <v>5.8</v>
      </c>
      <c r="CJ343" s="1708">
        <f t="shared" ref="CJ343" si="1940">SUM(CF343:CI343)</f>
        <v>21.7</v>
      </c>
      <c r="CK343" s="1676">
        <v>5.7</v>
      </c>
      <c r="CL343" s="1676">
        <v>5.6</v>
      </c>
      <c r="CM343" s="1676">
        <v>5.8</v>
      </c>
      <c r="CN343" s="1676">
        <v>5.8</v>
      </c>
      <c r="CO343" s="1708">
        <f t="shared" ref="CO343" si="1941">SUM(CK343:CN343)</f>
        <v>22.900000000000002</v>
      </c>
      <c r="CP343" s="1676">
        <v>5.8</v>
      </c>
      <c r="CQ343" s="1676">
        <f>CQ344*CQ20</f>
        <v>6.3363693084115793</v>
      </c>
      <c r="CR343" s="1676">
        <f>CR344*CR20</f>
        <v>6.615049307106931</v>
      </c>
      <c r="CS343" s="1676">
        <f>CS344*CS20</f>
        <v>6.7548193873047877</v>
      </c>
      <c r="CT343" s="1708">
        <f t="shared" ref="CT343" si="1942">SUM(CP343:CS343)</f>
        <v>25.506238002823299</v>
      </c>
      <c r="CU343" s="1676">
        <f>CU344*CU20</f>
        <v>6.1499843859988887</v>
      </c>
      <c r="CV343" s="1676">
        <f>CV344*CV20</f>
        <v>6.7396611237629553</v>
      </c>
      <c r="CW343" s="1676">
        <f>CW344*CW20</f>
        <v>7.037388891773837</v>
      </c>
      <c r="CX343" s="1676">
        <f>CX344*CX20</f>
        <v>7.2097126882667943</v>
      </c>
      <c r="CY343" s="1708">
        <f t="shared" ref="CY343" si="1943">SUM(CU343:CX343)</f>
        <v>27.136747089802476</v>
      </c>
      <c r="CZ343" s="1676">
        <f>CZ344*CZ20</f>
        <v>6.6311165464824038</v>
      </c>
      <c r="DA343" s="1676">
        <f>DA344*DA20</f>
        <v>7.1868717982586521</v>
      </c>
      <c r="DB343" s="1676">
        <f>DB344*DB20</f>
        <v>7.5151807018871546</v>
      </c>
      <c r="DC343" s="1676">
        <f>DC344*DC20</f>
        <v>7.7118126540047918</v>
      </c>
      <c r="DD343" s="1708">
        <f t="shared" ref="DD343" si="1944">SUM(CZ343:DC343)</f>
        <v>29.044981700633002</v>
      </c>
      <c r="DE343" s="1676">
        <f>DE344*DE20</f>
        <v>7.1492513734860319</v>
      </c>
      <c r="DF343" s="1676">
        <f>DF344*DF20</f>
        <v>7.6381670570733169</v>
      </c>
      <c r="DG343" s="1676">
        <f>DG344*DG20</f>
        <v>8.1210820817876659</v>
      </c>
      <c r="DH343" s="1676">
        <f>DH344*DH20</f>
        <v>8.3345153631037654</v>
      </c>
      <c r="DI343" s="1708">
        <f t="shared" ref="DI343" si="1945">SUM(DE343:DH343)</f>
        <v>31.24301587545078</v>
      </c>
      <c r="DJ343" s="1676">
        <f>DJ344*DJ20</f>
        <v>7.6143391281216646</v>
      </c>
      <c r="DK343" s="1676">
        <f>DK344*DK20</f>
        <v>8.1407935542350565</v>
      </c>
      <c r="DL343" s="1676">
        <f>DL344*DL20</f>
        <v>8.6669893203046389</v>
      </c>
      <c r="DM343" s="1676">
        <f>DM344*DM20</f>
        <v>8.8980606648829301</v>
      </c>
      <c r="DN343" s="1708">
        <f t="shared" ref="DN343" si="1946">SUM(DJ343:DM343)</f>
        <v>33.320182667544287</v>
      </c>
      <c r="DO343" s="1676">
        <f>DO344*DO20</f>
        <v>8.1288282472337769</v>
      </c>
      <c r="DP343" s="1676">
        <f>DP344*DP20</f>
        <v>8.6844182779809866</v>
      </c>
      <c r="DQ343" s="1676">
        <f>DQ344*DQ20</f>
        <v>9.246963885008352</v>
      </c>
      <c r="DR343" s="1676">
        <f>DR344*DR20</f>
        <v>9.4924419684228241</v>
      </c>
      <c r="DS343" s="1708">
        <f t="shared" ref="DS343" si="1947">SUM(DO343:DR343)</f>
        <v>35.552652378645945</v>
      </c>
      <c r="DT343" s="1676">
        <f>DT344*DT20</f>
        <v>8.7655199019323007</v>
      </c>
      <c r="DU343" s="1676">
        <f>DU344*DU20</f>
        <v>9.2535582385596644</v>
      </c>
      <c r="DV343" s="1676">
        <f>DV344*DV20</f>
        <v>9.8537313533345881</v>
      </c>
      <c r="DW343" s="1676">
        <f>DW344*DW20</f>
        <v>10.114552219677961</v>
      </c>
      <c r="DX343" s="1708">
        <f t="shared" ref="DX343" si="1948">SUM(DT343:DW343)</f>
        <v>37.987361713504512</v>
      </c>
      <c r="DY343" s="1676">
        <f>DY344*DY20</f>
        <v>9.2346186550202329</v>
      </c>
      <c r="DZ343" s="1676">
        <f>DZ344*DZ20</f>
        <v>9.8486669203647335</v>
      </c>
      <c r="EA343" s="1676">
        <f>EA344*EA20</f>
        <v>10.488457719023607</v>
      </c>
      <c r="EB343" s="1676">
        <f>EB344*EB20</f>
        <v>10.765584999371951</v>
      </c>
      <c r="EC343" s="1708">
        <f t="shared" ref="EC343" si="1949">SUM(DY343:EB343)</f>
        <v>40.337328293780523</v>
      </c>
      <c r="ED343" s="1676"/>
      <c r="EE343" s="1677"/>
      <c r="EF343" s="389"/>
      <c r="EG343" s="1200"/>
      <c r="EH343" s="1200"/>
      <c r="EI343" s="1200"/>
      <c r="EJ343" s="1200"/>
      <c r="EK343" s="1200"/>
      <c r="EL343" s="1200"/>
      <c r="EM343" s="1200"/>
      <c r="EN343" s="1200"/>
      <c r="EO343" s="1200"/>
      <c r="EP343" s="1200"/>
      <c r="EQ343" s="1200"/>
      <c r="ER343" s="1200"/>
      <c r="ES343" s="1200"/>
      <c r="ET343" s="1200"/>
      <c r="EU343" s="1200"/>
      <c r="EX343" s="1200"/>
      <c r="EY343" s="1679"/>
      <c r="EZ343" s="1680"/>
      <c r="FA343" s="1680"/>
      <c r="FB343" s="1679"/>
      <c r="FC343" s="1680"/>
      <c r="FD343" s="1200"/>
      <c r="FE343"/>
      <c r="FF343"/>
      <c r="FG343"/>
      <c r="FH343"/>
      <c r="FI343"/>
      <c r="FJ343"/>
    </row>
    <row r="344" spans="1:166" s="1678" customFormat="1" x14ac:dyDescent="0.2">
      <c r="A344" s="1735" t="s">
        <v>223</v>
      </c>
      <c r="B344" s="1670"/>
      <c r="C344" s="1736"/>
      <c r="D344" s="1733"/>
      <c r="E344" s="1733"/>
      <c r="F344" s="1737"/>
      <c r="G344" s="1670"/>
      <c r="H344" s="1736"/>
      <c r="I344" s="1733"/>
      <c r="J344" s="1733"/>
      <c r="K344" s="1737"/>
      <c r="L344" s="1670"/>
      <c r="M344" s="1736"/>
      <c r="N344" s="1733"/>
      <c r="O344" s="1733"/>
      <c r="P344" s="1737"/>
      <c r="Q344" s="1670"/>
      <c r="R344" s="1060"/>
      <c r="S344" s="1060"/>
      <c r="T344" s="1060"/>
      <c r="U344" s="1737"/>
      <c r="V344" s="1670"/>
      <c r="W344" s="1060"/>
      <c r="X344" s="1060"/>
      <c r="Y344" s="1060"/>
      <c r="Z344" s="1737"/>
      <c r="AA344" s="1737"/>
      <c r="AB344" s="1738"/>
      <c r="AC344" s="1060"/>
      <c r="AD344" s="1060"/>
      <c r="AE344" s="1060"/>
      <c r="AF344" s="1670"/>
      <c r="AG344" s="1060"/>
      <c r="AH344" s="1060"/>
      <c r="AI344" s="1060"/>
      <c r="AJ344" s="1060"/>
      <c r="AK344" s="1670"/>
      <c r="AL344" s="1060"/>
      <c r="AM344" s="1060"/>
      <c r="AN344" s="1060"/>
      <c r="AO344" s="1060"/>
      <c r="AP344" s="1670"/>
      <c r="AQ344" s="1060"/>
      <c r="AR344" s="1060"/>
      <c r="AS344" s="1060"/>
      <c r="AT344" s="1060"/>
      <c r="AU344" s="1738"/>
      <c r="AV344" s="1654"/>
      <c r="AW344" s="1060">
        <f t="shared" ref="AW344:CD344" si="1950">AW343/AW20</f>
        <v>8.7116769978220817E-3</v>
      </c>
      <c r="AX344" s="1060">
        <f t="shared" si="1950"/>
        <v>7.3836276083467092E-3</v>
      </c>
      <c r="AY344" s="1060">
        <f t="shared" si="1950"/>
        <v>7.4999999999999997E-3</v>
      </c>
      <c r="AZ344" s="1060">
        <f t="shared" si="1950"/>
        <v>6.5023956194387401E-3</v>
      </c>
      <c r="BA344" s="1670">
        <f t="shared" si="1950"/>
        <v>7.5281786798652413E-3</v>
      </c>
      <c r="BB344" s="1060">
        <f t="shared" si="1950"/>
        <v>7.0652173913043478E-3</v>
      </c>
      <c r="BC344" s="1060">
        <f t="shared" si="1950"/>
        <v>6.5502183406113542E-3</v>
      </c>
      <c r="BD344" s="1060">
        <f t="shared" si="1950"/>
        <v>6.7467500411387184E-3</v>
      </c>
      <c r="BE344" s="1060">
        <f t="shared" si="1950"/>
        <v>6.8894247330347925E-3</v>
      </c>
      <c r="BF344" s="1670">
        <f t="shared" si="1950"/>
        <v>6.8073810848996016E-3</v>
      </c>
      <c r="BG344" s="1060">
        <f t="shared" si="1950"/>
        <v>7.7206527460958073E-3</v>
      </c>
      <c r="BH344" s="1060">
        <f t="shared" si="1950"/>
        <v>7.9511834319526634E-3</v>
      </c>
      <c r="BI344" s="1060">
        <f t="shared" si="1950"/>
        <v>8.9971472459951709E-3</v>
      </c>
      <c r="BJ344" s="1060">
        <f t="shared" si="1950"/>
        <v>1.1866501854140914E-2</v>
      </c>
      <c r="BK344" s="1670">
        <f t="shared" si="1950"/>
        <v>8.9299304886092633E-3</v>
      </c>
      <c r="BL344" s="1060">
        <f t="shared" si="1950"/>
        <v>7.0186145865120536E-3</v>
      </c>
      <c r="BM344" s="1060">
        <f t="shared" si="1950"/>
        <v>1.1139058569888609E-2</v>
      </c>
      <c r="BN344" s="1060">
        <f t="shared" si="1950"/>
        <v>1.0178117048346055E-2</v>
      </c>
      <c r="BO344" s="1060">
        <f t="shared" si="1950"/>
        <v>1.2066365007541479E-2</v>
      </c>
      <c r="BP344" s="1670">
        <f t="shared" si="1950"/>
        <v>9.9450405652970423E-3</v>
      </c>
      <c r="BQ344" s="1060">
        <f t="shared" si="1950"/>
        <v>1.3283520132835201E-2</v>
      </c>
      <c r="BR344" s="1060">
        <f t="shared" si="1950"/>
        <v>1.3016845329249618E-2</v>
      </c>
      <c r="BS344" s="1060">
        <f t="shared" si="1950"/>
        <v>1.2549300824668342E-2</v>
      </c>
      <c r="BT344" s="1060">
        <f t="shared" si="1950"/>
        <v>9.3682440547681947E-3</v>
      </c>
      <c r="BU344" s="1670">
        <f t="shared" si="1950"/>
        <v>1.1692975862356968E-2</v>
      </c>
      <c r="BV344" s="1723">
        <f t="shared" si="1950"/>
        <v>3.434950622584801E-3</v>
      </c>
      <c r="BW344" s="1723">
        <f t="shared" si="1950"/>
        <v>3.2114857844526305E-3</v>
      </c>
      <c r="BX344" s="1723">
        <f t="shared" si="1950"/>
        <v>3.1508822470291682E-3</v>
      </c>
      <c r="BY344" s="1723">
        <f t="shared" si="1950"/>
        <v>3.5760132037410603E-3</v>
      </c>
      <c r="BZ344" s="1670">
        <f t="shared" si="1950"/>
        <v>3.3399336784598137E-3</v>
      </c>
      <c r="CA344" s="1060">
        <f t="shared" si="1950"/>
        <v>4.7144540876459876E-3</v>
      </c>
      <c r="CB344" s="1060">
        <f t="shared" si="1950"/>
        <v>4.1258875455766654E-3</v>
      </c>
      <c r="CC344" s="1060">
        <f t="shared" si="1950"/>
        <v>3.9227223693243107E-3</v>
      </c>
      <c r="CD344" s="1060">
        <f t="shared" si="1950"/>
        <v>4.0681173131504253E-3</v>
      </c>
      <c r="CE344" s="1670"/>
      <c r="CF344" s="1060">
        <f>CF343/CF20</f>
        <v>5.3347849755035386E-3</v>
      </c>
      <c r="CG344" s="1060">
        <f>CG343/CG20</f>
        <v>5.2874447221688131E-3</v>
      </c>
      <c r="CH344" s="1060">
        <f>CH343/CH20</f>
        <v>5.1129497071674265E-3</v>
      </c>
      <c r="CI344" s="1060">
        <f>CI343/CI20</f>
        <v>5.218737065630117E-3</v>
      </c>
      <c r="CJ344" s="1670"/>
      <c r="CK344" s="1060">
        <f>CK343/CK20</f>
        <v>5.6965820507695391E-3</v>
      </c>
      <c r="CL344" s="1060">
        <f>CL343/CL20</f>
        <v>4.9439392601748032E-3</v>
      </c>
      <c r="CM344" s="1060">
        <f>CM343/CM20</f>
        <v>4.7989409233824259E-3</v>
      </c>
      <c r="CN344" s="1060">
        <f>CN343/CN20</f>
        <v>4.6994004213255537E-3</v>
      </c>
      <c r="CO344" s="1670"/>
      <c r="CP344" s="1060">
        <f>CP343/CP20</f>
        <v>4.6259371510607751E-3</v>
      </c>
      <c r="CQ344" s="1723">
        <f>CP344</f>
        <v>4.6259371510607751E-3</v>
      </c>
      <c r="CR344" s="1723">
        <f>CQ344</f>
        <v>4.6259371510607751E-3</v>
      </c>
      <c r="CS344" s="1723">
        <f>CR344</f>
        <v>4.6259371510607751E-3</v>
      </c>
      <c r="CT344" s="1670"/>
      <c r="CU344" s="1723">
        <f>CS344</f>
        <v>4.6259371510607751E-3</v>
      </c>
      <c r="CV344" s="1723">
        <f>CU344</f>
        <v>4.6259371510607751E-3</v>
      </c>
      <c r="CW344" s="1723">
        <f>CV344</f>
        <v>4.6259371510607751E-3</v>
      </c>
      <c r="CX344" s="1723">
        <f>CW344</f>
        <v>4.6259371510607751E-3</v>
      </c>
      <c r="CY344" s="1670"/>
      <c r="CZ344" s="1723">
        <f>CX344</f>
        <v>4.6259371510607751E-3</v>
      </c>
      <c r="DA344" s="1723">
        <f>CZ344</f>
        <v>4.6259371510607751E-3</v>
      </c>
      <c r="DB344" s="1723">
        <f>DA344</f>
        <v>4.6259371510607751E-3</v>
      </c>
      <c r="DC344" s="1723">
        <f>DB344</f>
        <v>4.6259371510607751E-3</v>
      </c>
      <c r="DD344" s="1670"/>
      <c r="DE344" s="1723">
        <f>DC344</f>
        <v>4.6259371510607751E-3</v>
      </c>
      <c r="DF344" s="1723">
        <f>DE344</f>
        <v>4.6259371510607751E-3</v>
      </c>
      <c r="DG344" s="1723">
        <f>DF344</f>
        <v>4.6259371510607751E-3</v>
      </c>
      <c r="DH344" s="1723">
        <f>DG344</f>
        <v>4.6259371510607751E-3</v>
      </c>
      <c r="DI344" s="1670"/>
      <c r="DJ344" s="1723">
        <f>DH344</f>
        <v>4.6259371510607751E-3</v>
      </c>
      <c r="DK344" s="1723">
        <f>DJ344</f>
        <v>4.6259371510607751E-3</v>
      </c>
      <c r="DL344" s="1723">
        <f>DK344</f>
        <v>4.6259371510607751E-3</v>
      </c>
      <c r="DM344" s="1723">
        <f>DL344</f>
        <v>4.6259371510607751E-3</v>
      </c>
      <c r="DN344" s="1670"/>
      <c r="DO344" s="1723">
        <f>DM344</f>
        <v>4.6259371510607751E-3</v>
      </c>
      <c r="DP344" s="1723">
        <f>DO344</f>
        <v>4.6259371510607751E-3</v>
      </c>
      <c r="DQ344" s="1723">
        <f>DP344</f>
        <v>4.6259371510607751E-3</v>
      </c>
      <c r="DR344" s="1723">
        <f>DQ344</f>
        <v>4.6259371510607751E-3</v>
      </c>
      <c r="DS344" s="1670"/>
      <c r="DT344" s="1723">
        <f>DR344</f>
        <v>4.6259371510607751E-3</v>
      </c>
      <c r="DU344" s="1723">
        <f>DT344</f>
        <v>4.6259371510607751E-3</v>
      </c>
      <c r="DV344" s="1723">
        <f>DU344</f>
        <v>4.6259371510607751E-3</v>
      </c>
      <c r="DW344" s="1723">
        <f>DV344</f>
        <v>4.6259371510607751E-3</v>
      </c>
      <c r="DX344" s="1670"/>
      <c r="DY344" s="1723">
        <f>DW344</f>
        <v>4.6259371510607751E-3</v>
      </c>
      <c r="DZ344" s="1723">
        <f>DY344</f>
        <v>4.6259371510607751E-3</v>
      </c>
      <c r="EA344" s="1723">
        <f>DZ344</f>
        <v>4.6259371510607751E-3</v>
      </c>
      <c r="EB344" s="1723">
        <f>EA344</f>
        <v>4.6259371510607751E-3</v>
      </c>
      <c r="EC344" s="1670"/>
      <c r="ED344" s="1060"/>
      <c r="EE344" s="1060"/>
      <c r="EF344" s="1681"/>
      <c r="EG344" s="1682"/>
      <c r="EH344" s="1682"/>
      <c r="EI344" s="1682"/>
      <c r="EJ344" s="1682"/>
      <c r="EK344" s="1682"/>
      <c r="EL344" s="1682"/>
      <c r="EM344" s="1682"/>
      <c r="EN344" s="1682"/>
      <c r="EO344" s="1682"/>
      <c r="EP344" s="1682"/>
      <c r="EQ344" s="1682"/>
      <c r="ER344" s="1682"/>
      <c r="ES344" s="1682"/>
      <c r="ET344" s="1682"/>
      <c r="EU344" s="1682"/>
      <c r="EX344" s="1682"/>
      <c r="EY344" s="1683"/>
      <c r="EZ344" s="1684"/>
      <c r="FA344" s="1684"/>
      <c r="FB344" s="1683"/>
      <c r="FC344" s="1684"/>
      <c r="FD344" s="1682"/>
      <c r="FE344"/>
      <c r="FF344"/>
      <c r="FG344"/>
      <c r="FH344"/>
      <c r="FI344"/>
      <c r="FJ344"/>
    </row>
    <row r="345" spans="1:166" s="1678" customFormat="1" x14ac:dyDescent="0.2">
      <c r="A345" s="1707" t="s">
        <v>90</v>
      </c>
      <c r="B345" s="1708"/>
      <c r="C345" s="1734"/>
      <c r="D345" s="1653"/>
      <c r="E345" s="1653"/>
      <c r="F345" s="1710"/>
      <c r="G345" s="1708"/>
      <c r="H345" s="1734"/>
      <c r="I345" s="1653"/>
      <c r="J345" s="1653"/>
      <c r="K345" s="1710"/>
      <c r="L345" s="1708"/>
      <c r="M345" s="1734"/>
      <c r="N345" s="1653"/>
      <c r="O345" s="1653"/>
      <c r="P345" s="1710"/>
      <c r="Q345" s="1708"/>
      <c r="R345" s="1676"/>
      <c r="S345" s="1676"/>
      <c r="T345" s="1676"/>
      <c r="U345" s="1710"/>
      <c r="V345" s="1708"/>
      <c r="W345" s="1676"/>
      <c r="X345" s="1676"/>
      <c r="Y345" s="1676"/>
      <c r="Z345" s="1710"/>
      <c r="AA345" s="1711"/>
      <c r="AB345" s="1709"/>
      <c r="AC345" s="1676"/>
      <c r="AD345" s="1676"/>
      <c r="AE345" s="1676"/>
      <c r="AF345" s="1708"/>
      <c r="AG345" s="1676"/>
      <c r="AH345" s="1676"/>
      <c r="AI345" s="1676"/>
      <c r="AJ345" s="1676"/>
      <c r="AK345" s="1708"/>
      <c r="AL345" s="1676"/>
      <c r="AM345" s="1676"/>
      <c r="AN345" s="1676"/>
      <c r="AO345" s="1676"/>
      <c r="AP345" s="1708"/>
      <c r="AQ345" s="1676"/>
      <c r="AR345" s="1676"/>
      <c r="AS345" s="1676"/>
      <c r="AT345" s="1676"/>
      <c r="AU345" s="1712"/>
      <c r="AV345" s="1654"/>
      <c r="AW345" s="1676">
        <v>0</v>
      </c>
      <c r="AX345" s="1676">
        <v>0</v>
      </c>
      <c r="AY345" s="1676">
        <v>0</v>
      </c>
      <c r="AZ345" s="1676">
        <v>94.9</v>
      </c>
      <c r="BA345" s="1708">
        <f t="shared" si="1937"/>
        <v>94.9</v>
      </c>
      <c r="BB345" s="1676">
        <v>0.8</v>
      </c>
      <c r="BC345" s="1676">
        <f>1.1-BB345</f>
        <v>0.30000000000000004</v>
      </c>
      <c r="BD345" s="1676">
        <v>1</v>
      </c>
      <c r="BE345" s="1676">
        <v>1.6</v>
      </c>
      <c r="BF345" s="1708">
        <f t="shared" si="1877"/>
        <v>3.7</v>
      </c>
      <c r="BG345" s="1676">
        <v>0</v>
      </c>
      <c r="BH345" s="1676">
        <f>0-BG345</f>
        <v>0</v>
      </c>
      <c r="BI345" s="1676">
        <v>0</v>
      </c>
      <c r="BJ345" s="1676">
        <v>0</v>
      </c>
      <c r="BK345" s="1708">
        <f t="shared" si="1878"/>
        <v>0</v>
      </c>
      <c r="BL345" s="1676">
        <v>0</v>
      </c>
      <c r="BM345" s="1676">
        <v>0</v>
      </c>
      <c r="BN345" s="1676">
        <v>0</v>
      </c>
      <c r="BO345" s="1653">
        <v>0</v>
      </c>
      <c r="BP345" s="1708">
        <f t="shared" si="1879"/>
        <v>0</v>
      </c>
      <c r="BQ345" s="1676">
        <v>0</v>
      </c>
      <c r="BR345" s="1653">
        <v>0</v>
      </c>
      <c r="BS345" s="1653">
        <v>0</v>
      </c>
      <c r="BT345" s="1653">
        <v>0</v>
      </c>
      <c r="BU345" s="1708">
        <f t="shared" si="1880"/>
        <v>0</v>
      </c>
      <c r="BV345" s="1713">
        <v>0</v>
      </c>
      <c r="BW345" s="1713">
        <v>0</v>
      </c>
      <c r="BX345" s="1713">
        <v>0</v>
      </c>
      <c r="BY345" s="1713">
        <v>0</v>
      </c>
      <c r="BZ345" s="1708">
        <f t="shared" ref="BZ345:BZ349" si="1951">SUM(BV345:BY345)</f>
        <v>0</v>
      </c>
      <c r="CA345" s="1676">
        <v>28</v>
      </c>
      <c r="CB345" s="1742">
        <v>27.4</v>
      </c>
      <c r="CC345" s="1676">
        <v>24.3</v>
      </c>
      <c r="CD345" s="1653">
        <v>37</v>
      </c>
      <c r="CE345" s="1708">
        <f>SUM(CA345:CD345)</f>
        <v>116.7</v>
      </c>
      <c r="CF345" s="1676">
        <v>0</v>
      </c>
      <c r="CG345" s="1676">
        <v>0</v>
      </c>
      <c r="CH345" s="1676">
        <v>0</v>
      </c>
      <c r="CI345" s="1653">
        <v>0</v>
      </c>
      <c r="CJ345" s="1708">
        <f>SUM(CF345:CI345)</f>
        <v>0</v>
      </c>
      <c r="CK345" s="1676">
        <v>34.4</v>
      </c>
      <c r="CL345" s="1676">
        <v>8.5</v>
      </c>
      <c r="CM345" s="1676">
        <v>6.9</v>
      </c>
      <c r="CN345" s="1676">
        <v>11.9</v>
      </c>
      <c r="CO345" s="1708">
        <f>SUM(CK345:CN345)</f>
        <v>61.699999999999996</v>
      </c>
      <c r="CP345" s="1676">
        <v>5.0999999999999996</v>
      </c>
      <c r="CQ345" s="1653">
        <v>0</v>
      </c>
      <c r="CR345" s="1653">
        <v>0</v>
      </c>
      <c r="CS345" s="1653">
        <v>0</v>
      </c>
      <c r="CT345" s="1708">
        <f>SUM(CP345:CS345)</f>
        <v>5.0999999999999996</v>
      </c>
      <c r="CU345" s="1653">
        <v>0</v>
      </c>
      <c r="CV345" s="1653">
        <v>0</v>
      </c>
      <c r="CW345" s="1653">
        <v>0</v>
      </c>
      <c r="CX345" s="1653">
        <v>0</v>
      </c>
      <c r="CY345" s="1708">
        <f>SUM(CU345:CX345)</f>
        <v>0</v>
      </c>
      <c r="CZ345" s="1653">
        <v>0</v>
      </c>
      <c r="DA345" s="1653">
        <v>0</v>
      </c>
      <c r="DB345" s="1653">
        <v>0</v>
      </c>
      <c r="DC345" s="1653">
        <v>0</v>
      </c>
      <c r="DD345" s="1708">
        <f>SUM(CZ345:DC345)</f>
        <v>0</v>
      </c>
      <c r="DE345" s="1653">
        <v>0</v>
      </c>
      <c r="DF345" s="1653">
        <v>0</v>
      </c>
      <c r="DG345" s="1653">
        <v>0</v>
      </c>
      <c r="DH345" s="1653">
        <v>0</v>
      </c>
      <c r="DI345" s="1708">
        <f>SUM(DE345:DH345)</f>
        <v>0</v>
      </c>
      <c r="DJ345" s="1653">
        <v>0</v>
      </c>
      <c r="DK345" s="1653">
        <v>0</v>
      </c>
      <c r="DL345" s="1653">
        <v>0</v>
      </c>
      <c r="DM345" s="1653">
        <v>0</v>
      </c>
      <c r="DN345" s="1708">
        <f>SUM(DJ345:DM345)</f>
        <v>0</v>
      </c>
      <c r="DO345" s="1653">
        <v>0</v>
      </c>
      <c r="DP345" s="1653">
        <v>0</v>
      </c>
      <c r="DQ345" s="1653">
        <v>0</v>
      </c>
      <c r="DR345" s="1653">
        <v>0</v>
      </c>
      <c r="DS345" s="1708">
        <f>SUM(DO345:DR345)</f>
        <v>0</v>
      </c>
      <c r="DT345" s="1653">
        <v>0</v>
      </c>
      <c r="DU345" s="1653">
        <v>0</v>
      </c>
      <c r="DV345" s="1653">
        <v>0</v>
      </c>
      <c r="DW345" s="1653">
        <v>0</v>
      </c>
      <c r="DX345" s="1708">
        <f>SUM(DT345:DW345)</f>
        <v>0</v>
      </c>
      <c r="DY345" s="1653">
        <v>0</v>
      </c>
      <c r="DZ345" s="1653">
        <v>0</v>
      </c>
      <c r="EA345" s="1653">
        <v>0</v>
      </c>
      <c r="EB345" s="1653">
        <v>0</v>
      </c>
      <c r="EC345" s="1708">
        <f>SUM(DY345:EB345)</f>
        <v>0</v>
      </c>
      <c r="ED345" s="1676"/>
      <c r="EE345" s="1677"/>
      <c r="EF345" s="389"/>
      <c r="EG345" s="1200"/>
      <c r="EH345" s="1200"/>
      <c r="EI345" s="1200"/>
      <c r="EJ345" s="1200"/>
      <c r="EK345" s="1200"/>
      <c r="EL345" s="1200"/>
      <c r="EM345" s="1200"/>
      <c r="EN345" s="1200"/>
      <c r="EO345" s="1200"/>
      <c r="EP345" s="1200"/>
      <c r="EQ345" s="1200"/>
      <c r="ER345" s="1200"/>
      <c r="ES345" s="1200"/>
      <c r="ET345" s="1200"/>
      <c r="EU345" s="1200"/>
      <c r="EX345" s="1200"/>
      <c r="EY345" s="1679"/>
      <c r="EZ345" s="1680"/>
      <c r="FA345" s="1680"/>
      <c r="FB345" s="1679"/>
      <c r="FC345" s="1680"/>
      <c r="FD345" s="1200"/>
      <c r="FE345"/>
      <c r="FF345"/>
      <c r="FG345"/>
      <c r="FH345"/>
      <c r="FI345"/>
      <c r="FJ345"/>
    </row>
    <row r="346" spans="1:166" x14ac:dyDescent="0.2">
      <c r="A346" s="84" t="s">
        <v>387</v>
      </c>
      <c r="B346" s="85"/>
      <c r="C346" s="95"/>
      <c r="D346" s="41"/>
      <c r="E346" s="41"/>
      <c r="F346" s="39"/>
      <c r="G346" s="85"/>
      <c r="H346" s="95"/>
      <c r="I346" s="41"/>
      <c r="J346" s="41"/>
      <c r="K346" s="39"/>
      <c r="L346" s="85"/>
      <c r="M346" s="95"/>
      <c r="N346" s="41"/>
      <c r="O346" s="41"/>
      <c r="P346" s="39"/>
      <c r="Q346" s="85"/>
      <c r="R346" s="38"/>
      <c r="S346" s="38"/>
      <c r="T346" s="38"/>
      <c r="U346" s="39"/>
      <c r="V346" s="85"/>
      <c r="W346" s="38"/>
      <c r="X346" s="38"/>
      <c r="Y346" s="38"/>
      <c r="Z346" s="39"/>
      <c r="AA346" s="54"/>
      <c r="AB346" s="87"/>
      <c r="AC346" s="38"/>
      <c r="AD346" s="38"/>
      <c r="AE346" s="38"/>
      <c r="AF346" s="85"/>
      <c r="AG346" s="38"/>
      <c r="AH346" s="38"/>
      <c r="AI346" s="38"/>
      <c r="AJ346" s="38"/>
      <c r="AK346" s="85"/>
      <c r="AL346" s="38"/>
      <c r="AM346" s="38"/>
      <c r="AN346" s="38"/>
      <c r="AO346" s="38"/>
      <c r="AP346" s="85"/>
      <c r="AQ346" s="38"/>
      <c r="AR346" s="38"/>
      <c r="AS346" s="38"/>
      <c r="AT346" s="38"/>
      <c r="AU346" s="86"/>
      <c r="AV346" s="45"/>
      <c r="AW346" s="38">
        <v>0</v>
      </c>
      <c r="AX346" s="38">
        <v>0</v>
      </c>
      <c r="AY346" s="38">
        <v>0</v>
      </c>
      <c r="AZ346" s="38">
        <v>67.2</v>
      </c>
      <c r="BA346" s="85">
        <f t="shared" si="1937"/>
        <v>67.2</v>
      </c>
      <c r="BB346" s="38">
        <v>12.2</v>
      </c>
      <c r="BC346" s="38">
        <f>22.2-BB346</f>
        <v>10</v>
      </c>
      <c r="BD346" s="38">
        <v>10.5</v>
      </c>
      <c r="BE346" s="38">
        <v>13.8</v>
      </c>
      <c r="BF346" s="85">
        <f t="shared" si="1877"/>
        <v>46.5</v>
      </c>
      <c r="BG346" s="38">
        <v>0</v>
      </c>
      <c r="BH346" s="38">
        <f>0-BG346</f>
        <v>0</v>
      </c>
      <c r="BI346" s="38">
        <v>0</v>
      </c>
      <c r="BJ346" s="38">
        <v>0</v>
      </c>
      <c r="BK346" s="85">
        <f t="shared" si="1878"/>
        <v>0</v>
      </c>
      <c r="BL346" s="38">
        <v>0</v>
      </c>
      <c r="BM346" s="38">
        <v>0</v>
      </c>
      <c r="BN346" s="38">
        <v>0</v>
      </c>
      <c r="BO346" s="41">
        <v>0</v>
      </c>
      <c r="BP346" s="85">
        <f t="shared" si="1879"/>
        <v>0</v>
      </c>
      <c r="BQ346" s="38">
        <v>0</v>
      </c>
      <c r="BR346" s="41">
        <v>0</v>
      </c>
      <c r="BS346" s="41">
        <v>0</v>
      </c>
      <c r="BT346" s="41">
        <v>0</v>
      </c>
      <c r="BU346" s="85">
        <f t="shared" si="1880"/>
        <v>0</v>
      </c>
      <c r="BV346" s="1070">
        <v>0</v>
      </c>
      <c r="BW346" s="1070">
        <v>0</v>
      </c>
      <c r="BX346" s="1070">
        <v>0</v>
      </c>
      <c r="BY346" s="1070">
        <v>0</v>
      </c>
      <c r="BZ346" s="85">
        <f t="shared" si="1951"/>
        <v>0</v>
      </c>
      <c r="CA346" s="38">
        <v>0</v>
      </c>
      <c r="CB346" s="41">
        <v>0</v>
      </c>
      <c r="CC346" s="41">
        <v>0</v>
      </c>
      <c r="CD346" s="41">
        <v>0</v>
      </c>
      <c r="CE346" s="85">
        <f>SUM(CA346:CD346)</f>
        <v>0</v>
      </c>
      <c r="CF346" s="38">
        <v>2.2000000000000002</v>
      </c>
      <c r="CG346" s="38">
        <v>3.8</v>
      </c>
      <c r="CH346" s="38">
        <v>4.4000000000000004</v>
      </c>
      <c r="CI346" s="38">
        <v>6</v>
      </c>
      <c r="CJ346" s="85">
        <f>SUM(CF346:CI346)</f>
        <v>16.399999999999999</v>
      </c>
      <c r="CK346" s="38">
        <v>0</v>
      </c>
      <c r="CL346" s="41">
        <v>0</v>
      </c>
      <c r="CM346" s="41">
        <v>0</v>
      </c>
      <c r="CN346" s="38">
        <v>1.9</v>
      </c>
      <c r="CO346" s="85">
        <f>SUM(CK346:CN346)</f>
        <v>1.9</v>
      </c>
      <c r="CP346" s="38">
        <v>0</v>
      </c>
      <c r="CQ346" s="41">
        <v>0</v>
      </c>
      <c r="CR346" s="41">
        <v>0</v>
      </c>
      <c r="CS346" s="41">
        <v>0</v>
      </c>
      <c r="CT346" s="85">
        <f>SUM(CP346:CS346)</f>
        <v>0</v>
      </c>
      <c r="CU346" s="41">
        <v>0</v>
      </c>
      <c r="CV346" s="41">
        <v>0</v>
      </c>
      <c r="CW346" s="41">
        <v>0</v>
      </c>
      <c r="CX346" s="41">
        <v>0</v>
      </c>
      <c r="CY346" s="85">
        <f>SUM(CU346:CX346)</f>
        <v>0</v>
      </c>
      <c r="CZ346" s="41">
        <v>0</v>
      </c>
      <c r="DA346" s="41">
        <v>0</v>
      </c>
      <c r="DB346" s="41">
        <v>0</v>
      </c>
      <c r="DC346" s="41">
        <v>0</v>
      </c>
      <c r="DD346" s="85">
        <f>SUM(CZ346:DC346)</f>
        <v>0</v>
      </c>
      <c r="DE346" s="41">
        <v>0</v>
      </c>
      <c r="DF346" s="41">
        <v>0</v>
      </c>
      <c r="DG346" s="41">
        <v>0</v>
      </c>
      <c r="DH346" s="41">
        <v>0</v>
      </c>
      <c r="DI346" s="85">
        <f>SUM(DE346:DH346)</f>
        <v>0</v>
      </c>
      <c r="DJ346" s="41">
        <v>0</v>
      </c>
      <c r="DK346" s="41">
        <v>0</v>
      </c>
      <c r="DL346" s="41">
        <v>0</v>
      </c>
      <c r="DM346" s="41">
        <v>0</v>
      </c>
      <c r="DN346" s="85">
        <f>SUM(DJ346:DM346)</f>
        <v>0</v>
      </c>
      <c r="DO346" s="41">
        <v>0</v>
      </c>
      <c r="DP346" s="41">
        <v>0</v>
      </c>
      <c r="DQ346" s="41">
        <v>0</v>
      </c>
      <c r="DR346" s="41">
        <v>0</v>
      </c>
      <c r="DS346" s="85">
        <f>SUM(DO346:DR346)</f>
        <v>0</v>
      </c>
      <c r="DT346" s="41">
        <v>0</v>
      </c>
      <c r="DU346" s="41">
        <v>0</v>
      </c>
      <c r="DV346" s="41">
        <v>0</v>
      </c>
      <c r="DW346" s="41">
        <v>0</v>
      </c>
      <c r="DX346" s="85">
        <f>SUM(DT346:DW346)</f>
        <v>0</v>
      </c>
      <c r="DY346" s="41">
        <v>0</v>
      </c>
      <c r="DZ346" s="41">
        <v>0</v>
      </c>
      <c r="EA346" s="41">
        <v>0</v>
      </c>
      <c r="EB346" s="41">
        <v>0</v>
      </c>
      <c r="EC346" s="85">
        <f>SUM(DY346:EB346)</f>
        <v>0</v>
      </c>
      <c r="ED346" s="38"/>
      <c r="EE346" s="21"/>
      <c r="EF346" s="284"/>
      <c r="EG346" s="16"/>
      <c r="EH346" s="16"/>
      <c r="EI346" s="16"/>
      <c r="EJ346" s="16"/>
      <c r="EK346" s="16"/>
      <c r="EL346" s="16"/>
      <c r="EM346" s="16"/>
      <c r="EN346" s="16"/>
      <c r="EO346" s="16"/>
      <c r="EP346" s="16"/>
      <c r="EQ346" s="16"/>
      <c r="ER346" s="16"/>
      <c r="ES346" s="16"/>
      <c r="ET346" s="16"/>
      <c r="EU346" s="16"/>
      <c r="EX346" s="16"/>
      <c r="EY346" s="228"/>
      <c r="EZ346" s="477"/>
      <c r="FA346" s="477"/>
      <c r="FB346" s="228"/>
      <c r="FC346" s="477"/>
      <c r="FD346" s="16"/>
    </row>
    <row r="347" spans="1:166" x14ac:dyDescent="0.2">
      <c r="A347" s="84" t="s">
        <v>92</v>
      </c>
      <c r="B347" s="85"/>
      <c r="C347" s="95"/>
      <c r="D347" s="41"/>
      <c r="E347" s="41"/>
      <c r="F347" s="39"/>
      <c r="G347" s="85"/>
      <c r="H347" s="95"/>
      <c r="I347" s="41"/>
      <c r="J347" s="41"/>
      <c r="K347" s="39"/>
      <c r="L347" s="85"/>
      <c r="M347" s="95"/>
      <c r="N347" s="41"/>
      <c r="O347" s="41"/>
      <c r="P347" s="39"/>
      <c r="Q347" s="85"/>
      <c r="R347" s="38"/>
      <c r="S347" s="38"/>
      <c r="T347" s="38"/>
      <c r="U347" s="39"/>
      <c r="V347" s="85"/>
      <c r="W347" s="38"/>
      <c r="X347" s="38"/>
      <c r="Y347" s="38"/>
      <c r="Z347" s="39"/>
      <c r="AA347" s="54"/>
      <c r="AB347" s="87"/>
      <c r="AC347" s="38"/>
      <c r="AD347" s="38"/>
      <c r="AE347" s="38"/>
      <c r="AF347" s="85"/>
      <c r="AG347" s="38"/>
      <c r="AH347" s="38"/>
      <c r="AI347" s="38"/>
      <c r="AJ347" s="38"/>
      <c r="AK347" s="85"/>
      <c r="AL347" s="38"/>
      <c r="AM347" s="38"/>
      <c r="AN347" s="38"/>
      <c r="AO347" s="38"/>
      <c r="AP347" s="85"/>
      <c r="AQ347" s="38"/>
      <c r="AR347" s="38"/>
      <c r="AS347" s="38"/>
      <c r="AT347" s="38"/>
      <c r="AU347" s="86"/>
      <c r="AV347" s="45"/>
      <c r="AW347" s="38">
        <v>0</v>
      </c>
      <c r="AX347" s="38">
        <v>0</v>
      </c>
      <c r="AY347" s="38">
        <v>0</v>
      </c>
      <c r="AZ347" s="38">
        <v>0</v>
      </c>
      <c r="BA347" s="85">
        <f t="shared" si="1937"/>
        <v>0</v>
      </c>
      <c r="BB347" s="38">
        <v>0</v>
      </c>
      <c r="BC347" s="38">
        <f>1.7-BB347</f>
        <v>1.7</v>
      </c>
      <c r="BD347" s="38">
        <v>5.5</v>
      </c>
      <c r="BE347" s="38">
        <v>3.4</v>
      </c>
      <c r="BF347" s="85">
        <f t="shared" si="1877"/>
        <v>10.6</v>
      </c>
      <c r="BG347" s="38">
        <v>0</v>
      </c>
      <c r="BH347" s="38">
        <f>0-BG347</f>
        <v>0</v>
      </c>
      <c r="BI347" s="38">
        <v>0</v>
      </c>
      <c r="BJ347" s="38">
        <v>0</v>
      </c>
      <c r="BK347" s="85">
        <f t="shared" si="1878"/>
        <v>0</v>
      </c>
      <c r="BL347" s="38">
        <v>0</v>
      </c>
      <c r="BM347" s="38">
        <v>0</v>
      </c>
      <c r="BN347" s="38">
        <v>0</v>
      </c>
      <c r="BO347" s="41">
        <v>0</v>
      </c>
      <c r="BP347" s="85">
        <f t="shared" si="1879"/>
        <v>0</v>
      </c>
      <c r="BQ347" s="38">
        <v>0</v>
      </c>
      <c r="BR347" s="41">
        <v>0</v>
      </c>
      <c r="BS347" s="38">
        <v>30.7</v>
      </c>
      <c r="BT347" s="38">
        <v>94.3</v>
      </c>
      <c r="BU347" s="85">
        <f t="shared" si="1880"/>
        <v>125</v>
      </c>
      <c r="BV347" s="1070">
        <v>0</v>
      </c>
      <c r="BW347" s="1070">
        <v>0</v>
      </c>
      <c r="BX347" s="1070">
        <v>30.7</v>
      </c>
      <c r="BY347" s="1070">
        <v>94.3</v>
      </c>
      <c r="BZ347" s="85">
        <f t="shared" si="1951"/>
        <v>125</v>
      </c>
      <c r="CA347" s="38">
        <v>0</v>
      </c>
      <c r="CB347" s="41">
        <v>0</v>
      </c>
      <c r="CC347" s="41">
        <v>0</v>
      </c>
      <c r="CD347" s="41">
        <v>0</v>
      </c>
      <c r="CE347" s="85">
        <f>SUM(CA347:CD347)</f>
        <v>0</v>
      </c>
      <c r="CF347" s="38">
        <v>0</v>
      </c>
      <c r="CG347" s="38">
        <v>0</v>
      </c>
      <c r="CH347" s="38">
        <v>0</v>
      </c>
      <c r="CI347" s="41">
        <v>0</v>
      </c>
      <c r="CJ347" s="85">
        <f>SUM(CF347:CI347)</f>
        <v>0</v>
      </c>
      <c r="CK347" s="38">
        <v>0</v>
      </c>
      <c r="CL347" s="41">
        <v>0</v>
      </c>
      <c r="CM347" s="41">
        <v>0</v>
      </c>
      <c r="CN347" s="38">
        <v>0</v>
      </c>
      <c r="CO347" s="85">
        <f>SUM(CK347:CN347)</f>
        <v>0</v>
      </c>
      <c r="CP347" s="38">
        <v>0</v>
      </c>
      <c r="CQ347" s="41">
        <v>0</v>
      </c>
      <c r="CR347" s="41">
        <v>0</v>
      </c>
      <c r="CS347" s="41">
        <v>0</v>
      </c>
      <c r="CT347" s="85">
        <f>SUM(CP347:CS347)</f>
        <v>0</v>
      </c>
      <c r="CU347" s="41">
        <v>0</v>
      </c>
      <c r="CV347" s="41">
        <v>0</v>
      </c>
      <c r="CW347" s="41">
        <v>0</v>
      </c>
      <c r="CX347" s="41">
        <v>0</v>
      </c>
      <c r="CY347" s="85">
        <f>SUM(CU347:CX347)</f>
        <v>0</v>
      </c>
      <c r="CZ347" s="41">
        <v>0</v>
      </c>
      <c r="DA347" s="41">
        <v>0</v>
      </c>
      <c r="DB347" s="41">
        <v>0</v>
      </c>
      <c r="DC347" s="41">
        <v>0</v>
      </c>
      <c r="DD347" s="85">
        <f>SUM(CZ347:DC347)</f>
        <v>0</v>
      </c>
      <c r="DE347" s="41">
        <v>0</v>
      </c>
      <c r="DF347" s="41">
        <v>0</v>
      </c>
      <c r="DG347" s="41">
        <v>0</v>
      </c>
      <c r="DH347" s="41">
        <v>0</v>
      </c>
      <c r="DI347" s="85">
        <f>SUM(DE347:DH347)</f>
        <v>0</v>
      </c>
      <c r="DJ347" s="41">
        <v>0</v>
      </c>
      <c r="DK347" s="41">
        <v>0</v>
      </c>
      <c r="DL347" s="41">
        <v>0</v>
      </c>
      <c r="DM347" s="41">
        <v>0</v>
      </c>
      <c r="DN347" s="85">
        <f>SUM(DJ347:DM347)</f>
        <v>0</v>
      </c>
      <c r="DO347" s="41">
        <v>0</v>
      </c>
      <c r="DP347" s="41">
        <v>0</v>
      </c>
      <c r="DQ347" s="41">
        <v>0</v>
      </c>
      <c r="DR347" s="41">
        <v>0</v>
      </c>
      <c r="DS347" s="85">
        <f>SUM(DO347:DR347)</f>
        <v>0</v>
      </c>
      <c r="DT347" s="41">
        <v>0</v>
      </c>
      <c r="DU347" s="41">
        <v>0</v>
      </c>
      <c r="DV347" s="41">
        <v>0</v>
      </c>
      <c r="DW347" s="41">
        <v>0</v>
      </c>
      <c r="DX347" s="85">
        <f>SUM(DT347:DW347)</f>
        <v>0</v>
      </c>
      <c r="DY347" s="41">
        <v>0</v>
      </c>
      <c r="DZ347" s="41">
        <v>0</v>
      </c>
      <c r="EA347" s="41">
        <v>0</v>
      </c>
      <c r="EB347" s="41">
        <v>0</v>
      </c>
      <c r="EC347" s="85">
        <f>SUM(DY347:EB347)</f>
        <v>0</v>
      </c>
      <c r="ED347" s="38"/>
      <c r="EE347" s="21"/>
      <c r="EF347" s="284"/>
      <c r="EG347" s="16"/>
      <c r="EH347" s="16"/>
      <c r="EI347" s="16"/>
      <c r="EJ347" s="16"/>
      <c r="EK347" s="16"/>
      <c r="EL347" s="16"/>
      <c r="EM347" s="16"/>
      <c r="EN347" s="16"/>
      <c r="EO347" s="16"/>
      <c r="EP347" s="16"/>
      <c r="EQ347" s="16"/>
      <c r="ER347" s="16"/>
      <c r="ES347" s="16"/>
      <c r="ET347" s="16"/>
      <c r="EU347" s="16"/>
      <c r="EX347" s="16"/>
      <c r="EY347" s="228"/>
      <c r="EZ347" s="477"/>
      <c r="FA347" s="477"/>
      <c r="FB347" s="228"/>
      <c r="FC347" s="477"/>
      <c r="FD347" s="16"/>
    </row>
    <row r="348" spans="1:166" x14ac:dyDescent="0.2">
      <c r="A348" s="84" t="s">
        <v>388</v>
      </c>
      <c r="B348" s="85"/>
      <c r="C348" s="95"/>
      <c r="D348" s="41"/>
      <c r="E348" s="41"/>
      <c r="F348" s="39"/>
      <c r="G348" s="85"/>
      <c r="H348" s="95"/>
      <c r="I348" s="41"/>
      <c r="J348" s="41"/>
      <c r="K348" s="39"/>
      <c r="L348" s="85"/>
      <c r="M348" s="95"/>
      <c r="N348" s="41"/>
      <c r="O348" s="41"/>
      <c r="P348" s="39"/>
      <c r="Q348" s="85"/>
      <c r="R348" s="38"/>
      <c r="S348" s="38"/>
      <c r="T348" s="38"/>
      <c r="U348" s="39"/>
      <c r="V348" s="85"/>
      <c r="W348" s="38"/>
      <c r="X348" s="38"/>
      <c r="Y348" s="38"/>
      <c r="Z348" s="39"/>
      <c r="AA348" s="54"/>
      <c r="AB348" s="87"/>
      <c r="AC348" s="38"/>
      <c r="AD348" s="38"/>
      <c r="AE348" s="38"/>
      <c r="AF348" s="85"/>
      <c r="AG348" s="38"/>
      <c r="AH348" s="38"/>
      <c r="AI348" s="38"/>
      <c r="AJ348" s="38"/>
      <c r="AK348" s="85"/>
      <c r="AL348" s="38"/>
      <c r="AM348" s="38"/>
      <c r="AN348" s="38"/>
      <c r="AO348" s="38"/>
      <c r="AP348" s="85"/>
      <c r="AQ348" s="38"/>
      <c r="AR348" s="38"/>
      <c r="AS348" s="38"/>
      <c r="AT348" s="38"/>
      <c r="AU348" s="86"/>
      <c r="AV348" s="45"/>
      <c r="AW348" s="38">
        <v>0</v>
      </c>
      <c r="AX348" s="38">
        <v>0</v>
      </c>
      <c r="AY348" s="38">
        <v>0</v>
      </c>
      <c r="AZ348" s="38">
        <v>0</v>
      </c>
      <c r="BA348" s="85">
        <f t="shared" si="1937"/>
        <v>0</v>
      </c>
      <c r="BB348" s="38">
        <v>0</v>
      </c>
      <c r="BC348" s="38">
        <f>0-BB348</f>
        <v>0</v>
      </c>
      <c r="BD348" s="38">
        <v>0.5</v>
      </c>
      <c r="BE348" s="38">
        <v>7.1</v>
      </c>
      <c r="BF348" s="85">
        <f t="shared" si="1877"/>
        <v>7.6</v>
      </c>
      <c r="BG348" s="38">
        <v>3.7</v>
      </c>
      <c r="BH348" s="38">
        <f>13.1-BG348</f>
        <v>9.3999999999999986</v>
      </c>
      <c r="BI348" s="38">
        <v>7</v>
      </c>
      <c r="BJ348" s="38">
        <v>10.1</v>
      </c>
      <c r="BK348" s="85">
        <f t="shared" si="1878"/>
        <v>30.199999999999996</v>
      </c>
      <c r="BL348" s="38">
        <v>9.1</v>
      </c>
      <c r="BM348" s="38">
        <v>9.8000000000000007</v>
      </c>
      <c r="BN348" s="38">
        <v>4.7</v>
      </c>
      <c r="BO348" s="38">
        <v>2.6</v>
      </c>
      <c r="BP348" s="85">
        <f t="shared" si="1879"/>
        <v>26.2</v>
      </c>
      <c r="BQ348" s="38">
        <v>0</v>
      </c>
      <c r="BR348" s="41">
        <v>0</v>
      </c>
      <c r="BS348" s="38">
        <v>0</v>
      </c>
      <c r="BT348" s="41">
        <v>0</v>
      </c>
      <c r="BU348" s="85">
        <f t="shared" si="1880"/>
        <v>0</v>
      </c>
      <c r="BV348" s="1070">
        <v>0</v>
      </c>
      <c r="BW348" s="1070">
        <v>0</v>
      </c>
      <c r="BX348" s="1070">
        <v>0</v>
      </c>
      <c r="BY348" s="1070">
        <v>0</v>
      </c>
      <c r="BZ348" s="85">
        <f t="shared" si="1951"/>
        <v>0</v>
      </c>
      <c r="CA348" s="38">
        <v>0</v>
      </c>
      <c r="CB348" s="41">
        <v>0</v>
      </c>
      <c r="CC348" s="41">
        <v>0</v>
      </c>
      <c r="CD348" s="41">
        <v>0</v>
      </c>
      <c r="CE348" s="85">
        <f>SUM(CA348:CD348)</f>
        <v>0</v>
      </c>
      <c r="CF348" s="38">
        <v>0</v>
      </c>
      <c r="CG348" s="38">
        <v>0</v>
      </c>
      <c r="CH348" s="38">
        <v>0</v>
      </c>
      <c r="CI348" s="41">
        <v>0</v>
      </c>
      <c r="CJ348" s="85">
        <f>SUM(CF348:CI348)</f>
        <v>0</v>
      </c>
      <c r="CK348" s="38">
        <v>0</v>
      </c>
      <c r="CL348" s="41">
        <v>0</v>
      </c>
      <c r="CM348" s="41">
        <v>0</v>
      </c>
      <c r="CN348" s="38">
        <v>0</v>
      </c>
      <c r="CO348" s="85">
        <f>SUM(CK348:CN348)</f>
        <v>0</v>
      </c>
      <c r="CP348" s="38">
        <v>0</v>
      </c>
      <c r="CQ348" s="41">
        <v>0</v>
      </c>
      <c r="CR348" s="41">
        <v>0</v>
      </c>
      <c r="CS348" s="41">
        <v>0</v>
      </c>
      <c r="CT348" s="85">
        <f>SUM(CP348:CS348)</f>
        <v>0</v>
      </c>
      <c r="CU348" s="41">
        <v>0</v>
      </c>
      <c r="CV348" s="41">
        <v>0</v>
      </c>
      <c r="CW348" s="41">
        <v>0</v>
      </c>
      <c r="CX348" s="41">
        <v>0</v>
      </c>
      <c r="CY348" s="85">
        <f>SUM(CU348:CX348)</f>
        <v>0</v>
      </c>
      <c r="CZ348" s="41">
        <v>0</v>
      </c>
      <c r="DA348" s="41">
        <v>0</v>
      </c>
      <c r="DB348" s="41">
        <v>0</v>
      </c>
      <c r="DC348" s="41">
        <v>0</v>
      </c>
      <c r="DD348" s="85">
        <f>SUM(CZ348:DC348)</f>
        <v>0</v>
      </c>
      <c r="DE348" s="41">
        <v>0</v>
      </c>
      <c r="DF348" s="41">
        <v>0</v>
      </c>
      <c r="DG348" s="41">
        <v>0</v>
      </c>
      <c r="DH348" s="41">
        <v>0</v>
      </c>
      <c r="DI348" s="85">
        <f>SUM(DE348:DH348)</f>
        <v>0</v>
      </c>
      <c r="DJ348" s="41">
        <v>0</v>
      </c>
      <c r="DK348" s="41">
        <v>0</v>
      </c>
      <c r="DL348" s="41">
        <v>0</v>
      </c>
      <c r="DM348" s="41">
        <v>0</v>
      </c>
      <c r="DN348" s="85">
        <f>SUM(DJ348:DM348)</f>
        <v>0</v>
      </c>
      <c r="DO348" s="41">
        <v>0</v>
      </c>
      <c r="DP348" s="41">
        <v>0</v>
      </c>
      <c r="DQ348" s="41">
        <v>0</v>
      </c>
      <c r="DR348" s="41">
        <v>0</v>
      </c>
      <c r="DS348" s="85">
        <f>SUM(DO348:DR348)</f>
        <v>0</v>
      </c>
      <c r="DT348" s="41">
        <v>0</v>
      </c>
      <c r="DU348" s="41">
        <v>0</v>
      </c>
      <c r="DV348" s="41">
        <v>0</v>
      </c>
      <c r="DW348" s="41">
        <v>0</v>
      </c>
      <c r="DX348" s="85">
        <f>SUM(DT348:DW348)</f>
        <v>0</v>
      </c>
      <c r="DY348" s="41">
        <v>0</v>
      </c>
      <c r="DZ348" s="41">
        <v>0</v>
      </c>
      <c r="EA348" s="41">
        <v>0</v>
      </c>
      <c r="EB348" s="41">
        <v>0</v>
      </c>
      <c r="EC348" s="85">
        <f>SUM(DY348:EB348)</f>
        <v>0</v>
      </c>
      <c r="ED348" s="38"/>
      <c r="EE348" s="21"/>
      <c r="EF348" s="284"/>
      <c r="EG348" s="16"/>
      <c r="EH348" s="16"/>
      <c r="EI348" s="16"/>
      <c r="EJ348" s="16"/>
      <c r="EK348" s="16"/>
      <c r="EL348" s="16"/>
      <c r="EM348" s="16"/>
      <c r="EN348" s="16"/>
      <c r="EO348" s="16"/>
      <c r="EP348" s="16"/>
      <c r="EQ348" s="16"/>
      <c r="ER348" s="16"/>
      <c r="ES348" s="16"/>
      <c r="ET348" s="16"/>
      <c r="EU348" s="16"/>
      <c r="EX348" s="16"/>
      <c r="EY348" s="228"/>
      <c r="EZ348" s="477"/>
      <c r="FA348" s="477"/>
      <c r="FB348" s="228"/>
      <c r="FC348" s="477"/>
      <c r="FD348" s="16"/>
    </row>
    <row r="349" spans="1:166" x14ac:dyDescent="0.2">
      <c r="A349" s="84" t="s">
        <v>389</v>
      </c>
      <c r="B349" s="85"/>
      <c r="C349" s="95"/>
      <c r="D349" s="41"/>
      <c r="E349" s="41"/>
      <c r="F349" s="39"/>
      <c r="G349" s="85"/>
      <c r="H349" s="95"/>
      <c r="I349" s="41"/>
      <c r="J349" s="41"/>
      <c r="K349" s="39"/>
      <c r="L349" s="85"/>
      <c r="M349" s="95"/>
      <c r="N349" s="41"/>
      <c r="O349" s="41"/>
      <c r="P349" s="39"/>
      <c r="Q349" s="85"/>
      <c r="R349" s="38"/>
      <c r="S349" s="38"/>
      <c r="T349" s="38"/>
      <c r="U349" s="39"/>
      <c r="V349" s="85"/>
      <c r="W349" s="38"/>
      <c r="X349" s="38"/>
      <c r="Y349" s="38"/>
      <c r="Z349" s="39"/>
      <c r="AA349" s="54"/>
      <c r="AB349" s="87"/>
      <c r="AC349" s="38"/>
      <c r="AD349" s="38"/>
      <c r="AE349" s="38"/>
      <c r="AF349" s="85"/>
      <c r="AG349" s="38"/>
      <c r="AH349" s="38"/>
      <c r="AI349" s="38"/>
      <c r="AJ349" s="38"/>
      <c r="AK349" s="85"/>
      <c r="AL349" s="38"/>
      <c r="AM349" s="38"/>
      <c r="AN349" s="38"/>
      <c r="AO349" s="38"/>
      <c r="AP349" s="85"/>
      <c r="AQ349" s="38"/>
      <c r="AR349" s="38"/>
      <c r="AS349" s="38"/>
      <c r="AT349" s="38"/>
      <c r="AU349" s="86"/>
      <c r="AV349" s="45"/>
      <c r="AW349" s="38">
        <v>0</v>
      </c>
      <c r="AX349" s="38">
        <v>0</v>
      </c>
      <c r="AY349" s="38">
        <v>0</v>
      </c>
      <c r="AZ349" s="38">
        <v>0</v>
      </c>
      <c r="BA349" s="85">
        <f t="shared" si="1937"/>
        <v>0</v>
      </c>
      <c r="BB349" s="38">
        <v>0</v>
      </c>
      <c r="BC349" s="38">
        <f>0-BB349</f>
        <v>0</v>
      </c>
      <c r="BD349" s="38">
        <v>0</v>
      </c>
      <c r="BE349" s="38">
        <v>0</v>
      </c>
      <c r="BF349" s="85">
        <f t="shared" si="1877"/>
        <v>0</v>
      </c>
      <c r="BG349" s="38">
        <v>7</v>
      </c>
      <c r="BH349" s="38">
        <v>18.100000000000001</v>
      </c>
      <c r="BI349" s="38">
        <v>0.6</v>
      </c>
      <c r="BJ349" s="38">
        <v>1.3</v>
      </c>
      <c r="BK349" s="85">
        <f t="shared" si="1878"/>
        <v>27.000000000000004</v>
      </c>
      <c r="BL349" s="38">
        <v>0</v>
      </c>
      <c r="BM349" s="38">
        <v>0</v>
      </c>
      <c r="BN349" s="38">
        <v>0</v>
      </c>
      <c r="BO349" s="41">
        <v>0</v>
      </c>
      <c r="BP349" s="85">
        <f t="shared" si="1879"/>
        <v>0</v>
      </c>
      <c r="BQ349" s="38">
        <v>0</v>
      </c>
      <c r="BR349" s="41">
        <v>0</v>
      </c>
      <c r="BS349" s="41">
        <v>0</v>
      </c>
      <c r="BT349" s="41">
        <v>0</v>
      </c>
      <c r="BU349" s="85">
        <f t="shared" si="1880"/>
        <v>0</v>
      </c>
      <c r="BV349" s="1070">
        <v>0</v>
      </c>
      <c r="BW349" s="1070">
        <v>0</v>
      </c>
      <c r="BX349" s="1070">
        <v>0</v>
      </c>
      <c r="BY349" s="1070">
        <v>0</v>
      </c>
      <c r="BZ349" s="85">
        <f t="shared" si="1951"/>
        <v>0</v>
      </c>
      <c r="CA349" s="38">
        <v>0</v>
      </c>
      <c r="CB349" s="41">
        <v>0</v>
      </c>
      <c r="CC349" s="41">
        <v>0</v>
      </c>
      <c r="CD349" s="41">
        <v>0</v>
      </c>
      <c r="CE349" s="85">
        <f>SUM(CA349:CD349)</f>
        <v>0</v>
      </c>
      <c r="CF349" s="38">
        <v>0</v>
      </c>
      <c r="CG349" s="38">
        <v>0</v>
      </c>
      <c r="CH349" s="38">
        <v>0</v>
      </c>
      <c r="CI349" s="41">
        <v>0</v>
      </c>
      <c r="CJ349" s="85">
        <f>SUM(CF349:CI349)</f>
        <v>0</v>
      </c>
      <c r="CK349" s="38">
        <v>0</v>
      </c>
      <c r="CL349" s="41">
        <v>0</v>
      </c>
      <c r="CM349" s="41">
        <v>0</v>
      </c>
      <c r="CN349" s="38">
        <v>0</v>
      </c>
      <c r="CO349" s="85">
        <f>SUM(CK349:CN349)</f>
        <v>0</v>
      </c>
      <c r="CP349" s="38">
        <v>0</v>
      </c>
      <c r="CQ349" s="41">
        <v>0</v>
      </c>
      <c r="CR349" s="41">
        <v>0</v>
      </c>
      <c r="CS349" s="41">
        <v>0</v>
      </c>
      <c r="CT349" s="85">
        <f>SUM(CP349:CS349)</f>
        <v>0</v>
      </c>
      <c r="CU349" s="41">
        <v>0</v>
      </c>
      <c r="CV349" s="41">
        <v>0</v>
      </c>
      <c r="CW349" s="41">
        <v>0</v>
      </c>
      <c r="CX349" s="41">
        <v>0</v>
      </c>
      <c r="CY349" s="85">
        <f>SUM(CU349:CX349)</f>
        <v>0</v>
      </c>
      <c r="CZ349" s="41">
        <v>0</v>
      </c>
      <c r="DA349" s="41">
        <v>0</v>
      </c>
      <c r="DB349" s="41">
        <v>0</v>
      </c>
      <c r="DC349" s="41">
        <v>0</v>
      </c>
      <c r="DD349" s="85">
        <f>SUM(CZ349:DC349)</f>
        <v>0</v>
      </c>
      <c r="DE349" s="41">
        <v>0</v>
      </c>
      <c r="DF349" s="41">
        <v>0</v>
      </c>
      <c r="DG349" s="41">
        <v>0</v>
      </c>
      <c r="DH349" s="41">
        <v>0</v>
      </c>
      <c r="DI349" s="85">
        <f>SUM(DE349:DH349)</f>
        <v>0</v>
      </c>
      <c r="DJ349" s="41">
        <v>0</v>
      </c>
      <c r="DK349" s="41">
        <v>0</v>
      </c>
      <c r="DL349" s="41">
        <v>0</v>
      </c>
      <c r="DM349" s="41">
        <v>0</v>
      </c>
      <c r="DN349" s="85">
        <f>SUM(DJ349:DM349)</f>
        <v>0</v>
      </c>
      <c r="DO349" s="41">
        <v>0</v>
      </c>
      <c r="DP349" s="41">
        <v>0</v>
      </c>
      <c r="DQ349" s="41">
        <v>0</v>
      </c>
      <c r="DR349" s="41">
        <v>0</v>
      </c>
      <c r="DS349" s="85">
        <f>SUM(DO349:DR349)</f>
        <v>0</v>
      </c>
      <c r="DT349" s="41">
        <v>0</v>
      </c>
      <c r="DU349" s="41">
        <v>0</v>
      </c>
      <c r="DV349" s="41">
        <v>0</v>
      </c>
      <c r="DW349" s="41">
        <v>0</v>
      </c>
      <c r="DX349" s="85">
        <f>SUM(DT349:DW349)</f>
        <v>0</v>
      </c>
      <c r="DY349" s="41">
        <v>0</v>
      </c>
      <c r="DZ349" s="41">
        <v>0</v>
      </c>
      <c r="EA349" s="41">
        <v>0</v>
      </c>
      <c r="EB349" s="41">
        <v>0</v>
      </c>
      <c r="EC349" s="85">
        <f>SUM(DY349:EB349)</f>
        <v>0</v>
      </c>
      <c r="ED349" s="38"/>
      <c r="EE349" s="21"/>
      <c r="EF349" s="284"/>
      <c r="EG349" s="16"/>
      <c r="EH349" s="16"/>
      <c r="EI349" s="16"/>
      <c r="EJ349" s="16"/>
      <c r="EK349" s="16"/>
      <c r="EL349" s="16"/>
      <c r="EM349" s="16"/>
      <c r="EN349" s="16"/>
      <c r="EO349" s="16"/>
      <c r="EP349" s="16"/>
      <c r="EQ349" s="16"/>
      <c r="ER349" s="16"/>
      <c r="ES349" s="16"/>
      <c r="ET349" s="16"/>
      <c r="EU349" s="16"/>
      <c r="EX349" s="16"/>
      <c r="EY349" s="228"/>
      <c r="EZ349" s="477"/>
      <c r="FA349" s="477"/>
      <c r="FB349" s="228"/>
      <c r="FC349" s="477"/>
      <c r="FD349" s="16"/>
    </row>
    <row r="350" spans="1:166" x14ac:dyDescent="0.2">
      <c r="A350" s="84" t="s">
        <v>855</v>
      </c>
      <c r="B350" s="85"/>
      <c r="C350" s="95"/>
      <c r="D350" s="41"/>
      <c r="E350" s="41"/>
      <c r="F350" s="39"/>
      <c r="G350" s="85"/>
      <c r="H350" s="95"/>
      <c r="I350" s="41"/>
      <c r="J350" s="41"/>
      <c r="K350" s="39"/>
      <c r="L350" s="85"/>
      <c r="M350" s="95"/>
      <c r="N350" s="41"/>
      <c r="O350" s="41"/>
      <c r="P350" s="39"/>
      <c r="Q350" s="85"/>
      <c r="R350" s="38"/>
      <c r="S350" s="38"/>
      <c r="T350" s="38"/>
      <c r="U350" s="39"/>
      <c r="V350" s="85"/>
      <c r="W350" s="38"/>
      <c r="X350" s="38"/>
      <c r="Y350" s="38"/>
      <c r="Z350" s="39"/>
      <c r="AA350" s="54"/>
      <c r="AB350" s="87"/>
      <c r="AC350" s="38"/>
      <c r="AD350" s="38"/>
      <c r="AE350" s="38"/>
      <c r="AF350" s="85"/>
      <c r="AG350" s="38"/>
      <c r="AH350" s="38"/>
      <c r="AI350" s="38"/>
      <c r="AJ350" s="38"/>
      <c r="AK350" s="85"/>
      <c r="AL350" s="38"/>
      <c r="AM350" s="38"/>
      <c r="AN350" s="38"/>
      <c r="AO350" s="38"/>
      <c r="AP350" s="85"/>
      <c r="AQ350" s="38"/>
      <c r="AR350" s="38"/>
      <c r="AS350" s="38"/>
      <c r="AT350" s="38"/>
      <c r="AU350" s="86"/>
      <c r="AV350" s="45"/>
      <c r="AW350" s="38"/>
      <c r="AX350" s="38"/>
      <c r="AY350" s="38"/>
      <c r="AZ350" s="38"/>
      <c r="BA350" s="85"/>
      <c r="BB350" s="38"/>
      <c r="BC350" s="38"/>
      <c r="BD350" s="38"/>
      <c r="BE350" s="38"/>
      <c r="BF350" s="85"/>
      <c r="BG350" s="38"/>
      <c r="BH350" s="38"/>
      <c r="BI350" s="38"/>
      <c r="BJ350" s="38"/>
      <c r="BK350" s="85"/>
      <c r="BL350" s="38"/>
      <c r="BM350" s="38"/>
      <c r="BN350" s="38"/>
      <c r="BO350" s="41"/>
      <c r="BP350" s="85"/>
      <c r="BQ350" s="38"/>
      <c r="BR350" s="41"/>
      <c r="BS350" s="41"/>
      <c r="BT350" s="41"/>
      <c r="BU350" s="85"/>
      <c r="BV350" s="1070"/>
      <c r="BW350" s="1070"/>
      <c r="BX350" s="1070"/>
      <c r="BY350" s="1070"/>
      <c r="BZ350" s="85"/>
      <c r="CA350" s="38"/>
      <c r="CB350" s="41"/>
      <c r="CC350" s="41"/>
      <c r="CD350" s="41"/>
      <c r="CE350" s="85"/>
      <c r="CF350" s="38"/>
      <c r="CG350" s="38"/>
      <c r="CH350" s="38"/>
      <c r="CI350" s="41"/>
      <c r="CJ350" s="85"/>
      <c r="CK350" s="38"/>
      <c r="CL350" s="41"/>
      <c r="CM350" s="41"/>
      <c r="CN350" s="38"/>
      <c r="CO350" s="85"/>
      <c r="CP350" s="38">
        <v>7.1</v>
      </c>
      <c r="CQ350" s="41"/>
      <c r="CR350" s="41"/>
      <c r="CS350" s="41"/>
      <c r="CT350" s="85"/>
      <c r="CU350" s="41"/>
      <c r="CV350" s="41"/>
      <c r="CW350" s="41"/>
      <c r="CX350" s="41"/>
      <c r="CY350" s="85"/>
      <c r="CZ350" s="41"/>
      <c r="DA350" s="41"/>
      <c r="DB350" s="41"/>
      <c r="DC350" s="41"/>
      <c r="DD350" s="85"/>
      <c r="DE350" s="41"/>
      <c r="DF350" s="41"/>
      <c r="DG350" s="41"/>
      <c r="DH350" s="41"/>
      <c r="DI350" s="85"/>
      <c r="DJ350" s="41"/>
      <c r="DK350" s="41"/>
      <c r="DL350" s="41"/>
      <c r="DM350" s="41"/>
      <c r="DN350" s="85"/>
      <c r="DO350" s="41"/>
      <c r="DP350" s="41"/>
      <c r="DQ350" s="41"/>
      <c r="DR350" s="41"/>
      <c r="DS350" s="85"/>
      <c r="DT350" s="41"/>
      <c r="DU350" s="41"/>
      <c r="DV350" s="41"/>
      <c r="DW350" s="41"/>
      <c r="DX350" s="85"/>
      <c r="DY350" s="41"/>
      <c r="DZ350" s="41"/>
      <c r="EA350" s="41"/>
      <c r="EB350" s="41"/>
      <c r="EC350" s="85"/>
      <c r="ED350" s="38"/>
      <c r="EE350" s="21"/>
      <c r="EF350" s="284"/>
      <c r="EG350" s="16"/>
      <c r="EH350" s="16"/>
      <c r="EI350" s="16"/>
      <c r="EJ350" s="16"/>
      <c r="EK350" s="16"/>
      <c r="EL350" s="16"/>
      <c r="EM350" s="16"/>
      <c r="EN350" s="16"/>
      <c r="EO350" s="16"/>
      <c r="EP350" s="16"/>
      <c r="EQ350" s="16"/>
      <c r="ER350" s="16"/>
      <c r="ES350" s="16"/>
      <c r="ET350" s="16"/>
      <c r="EU350" s="16"/>
      <c r="EX350" s="16"/>
      <c r="EY350" s="228"/>
      <c r="EZ350" s="477"/>
      <c r="FA350" s="477"/>
      <c r="FB350" s="228"/>
      <c r="FC350" s="477"/>
      <c r="FD350" s="16"/>
    </row>
    <row r="351" spans="1:166" s="1069" customFormat="1" x14ac:dyDescent="0.2">
      <c r="A351" s="83" t="s">
        <v>390</v>
      </c>
      <c r="B351" s="50"/>
      <c r="C351" s="1068"/>
      <c r="D351" s="820"/>
      <c r="E351" s="820"/>
      <c r="F351" s="47"/>
      <c r="G351" s="50"/>
      <c r="H351" s="1068"/>
      <c r="I351" s="820"/>
      <c r="J351" s="820"/>
      <c r="K351" s="47"/>
      <c r="L351" s="50"/>
      <c r="M351" s="1068"/>
      <c r="N351" s="820"/>
      <c r="O351" s="820"/>
      <c r="P351" s="47"/>
      <c r="Q351" s="50"/>
      <c r="R351" s="46"/>
      <c r="S351" s="46"/>
      <c r="T351" s="46"/>
      <c r="U351" s="47"/>
      <c r="V351" s="50"/>
      <c r="W351" s="46"/>
      <c r="X351" s="46"/>
      <c r="Y351" s="46"/>
      <c r="Z351" s="47"/>
      <c r="AA351" s="52"/>
      <c r="AB351" s="82"/>
      <c r="AC351" s="46"/>
      <c r="AD351" s="46"/>
      <c r="AE351" s="46"/>
      <c r="AF351" s="50"/>
      <c r="AG351" s="46"/>
      <c r="AH351" s="46"/>
      <c r="AI351" s="46"/>
      <c r="AJ351" s="46"/>
      <c r="AK351" s="50"/>
      <c r="AL351" s="46"/>
      <c r="AM351" s="46"/>
      <c r="AN351" s="46"/>
      <c r="AO351" s="46"/>
      <c r="AP351" s="50"/>
      <c r="AQ351" s="46"/>
      <c r="AR351" s="46"/>
      <c r="AS351" s="46"/>
      <c r="AT351" s="46"/>
      <c r="AU351" s="81"/>
      <c r="AV351" s="49"/>
      <c r="AW351" s="46">
        <f t="shared" ref="AW351:BB351" si="1952">SUM(AW333,AW341,AW343,AW345,AW346,AW347,AW348,AW349)</f>
        <v>94.9</v>
      </c>
      <c r="AX351" s="46">
        <f t="shared" si="1952"/>
        <v>96.6</v>
      </c>
      <c r="AY351" s="46">
        <f t="shared" si="1952"/>
        <v>104.19999999999999</v>
      </c>
      <c r="AZ351" s="46">
        <f t="shared" si="1952"/>
        <v>254.10000000000002</v>
      </c>
      <c r="BA351" s="50">
        <f>SUM(BA333,BA341,BA343,BA345,BA346,BA347,BA348,BA349)</f>
        <v>549.80000000000007</v>
      </c>
      <c r="BB351" s="46">
        <f t="shared" si="1952"/>
        <v>81.400000000000006</v>
      </c>
      <c r="BC351" s="46">
        <f t="shared" ref="BC351:BS351" si="1953">SUM(BC333,BC341,BC343,BC345,BC346,BC347,BC348,BC349)</f>
        <v>78.900000000000006</v>
      </c>
      <c r="BD351" s="46">
        <f t="shared" si="1953"/>
        <v>84.6</v>
      </c>
      <c r="BE351" s="46">
        <f t="shared" si="1953"/>
        <v>94.3</v>
      </c>
      <c r="BF351" s="50">
        <f t="shared" si="1953"/>
        <v>339.20000000000005</v>
      </c>
      <c r="BG351" s="46">
        <f>SUM(BG333,BG341,BG343,BG345,BG346,BG347,BG348,BG349)</f>
        <v>78.3</v>
      </c>
      <c r="BH351" s="46">
        <f t="shared" si="1953"/>
        <v>82.4</v>
      </c>
      <c r="BI351" s="46">
        <f t="shared" si="1953"/>
        <v>67.199999999999989</v>
      </c>
      <c r="BJ351" s="46">
        <f t="shared" si="1953"/>
        <v>71.399999999999991</v>
      </c>
      <c r="BK351" s="50">
        <f t="shared" si="1953"/>
        <v>299.29999999999995</v>
      </c>
      <c r="BL351" s="46">
        <f>SUM(BL333,BL341,BL343,BL345,BL346,BL347,BL348,BL349)</f>
        <v>63</v>
      </c>
      <c r="BM351" s="46">
        <f>SUM(BM333,BM341,BM343,BM345,BM346,BM347,BM348,BM349)</f>
        <v>60.5</v>
      </c>
      <c r="BN351" s="46">
        <f t="shared" si="1953"/>
        <v>58.3</v>
      </c>
      <c r="BO351" s="46">
        <f t="shared" si="1953"/>
        <v>54.4</v>
      </c>
      <c r="BP351" s="50">
        <f t="shared" si="1953"/>
        <v>236.2</v>
      </c>
      <c r="BQ351" s="46">
        <f t="shared" si="1953"/>
        <v>48</v>
      </c>
      <c r="BR351" s="46">
        <f>SUM(BR333,BR341,BR343,BR345,BR346,BR347,BR348,BR349)</f>
        <v>46.9</v>
      </c>
      <c r="BS351" s="46">
        <f t="shared" si="1953"/>
        <v>77.7</v>
      </c>
      <c r="BT351" s="46">
        <f>SUM(BT331,BT341,BT343,BT345,BT346,BT347,BT348,BT349)</f>
        <v>170.4</v>
      </c>
      <c r="BU351" s="50">
        <f t="shared" ref="BU351" si="1954">SUM(BU331,BU341,BU343,BU345,BU346,BU347,BU348,BU349)</f>
        <v>343</v>
      </c>
      <c r="BV351" s="1071">
        <f t="shared" ref="BV351" si="1955">SUM(BV333,BV341,BV343,BV345,BV346,BV347,BV348,BV349)</f>
        <v>48</v>
      </c>
      <c r="BW351" s="1071">
        <f>SUM(BW333,BW341,BW343,BW345,BW346,BW347,BW348,BW349)</f>
        <v>46.9</v>
      </c>
      <c r="BX351" s="1071">
        <f t="shared" ref="BX351" si="1956">SUM(BX333,BX341,BX343,BX345,BX346,BX347,BX348,BX349)</f>
        <v>77.7</v>
      </c>
      <c r="BY351" s="1071">
        <f>SUM(BY331,BY341,BY343,BY345,BY346,BY347,BY348,BY349)</f>
        <v>170.4</v>
      </c>
      <c r="BZ351" s="50">
        <f t="shared" ref="BZ351" si="1957">SUM(BZ331,BZ341,BZ343,BZ345,BZ346,BZ347,BZ348,BZ349)</f>
        <v>343</v>
      </c>
      <c r="CA351" s="46">
        <f>SUM(CA331,CA341,CA343,CA345,CA346,CA347,CA348,CA349)</f>
        <v>106.20000000000002</v>
      </c>
      <c r="CB351" s="46">
        <f>SUM(CB331,CB341,CB343,CB345,CB346,CB347,CB348,CB349)</f>
        <v>98.5</v>
      </c>
      <c r="CC351" s="46">
        <f>SUM(,CC341,CC343,CC345,CC327)</f>
        <v>101.3</v>
      </c>
      <c r="CD351" s="46">
        <f t="shared" ref="CD351:CI351" si="1958">SUM(CD331,CD341,CD343,CD345,CD346,CD347,CD348,CD349)</f>
        <v>118.00000000000001</v>
      </c>
      <c r="CE351" s="48">
        <f>SUM(CE331,CE341,CE343,CE345,CE346,CE347,CE348,CE349)</f>
        <v>424</v>
      </c>
      <c r="CF351" s="46">
        <f t="shared" si="1958"/>
        <v>71.800000000000011</v>
      </c>
      <c r="CG351" s="46">
        <f t="shared" si="1958"/>
        <v>71.7</v>
      </c>
      <c r="CH351" s="46">
        <f t="shared" si="1958"/>
        <v>80.7</v>
      </c>
      <c r="CI351" s="46">
        <f t="shared" si="1958"/>
        <v>90.100000000000009</v>
      </c>
      <c r="CJ351" s="50">
        <f t="shared" ref="CJ351" si="1959">SUM(CJ331,CJ341,CJ343,CJ345,CJ346,CJ347,CJ348,CJ349)</f>
        <v>314.3</v>
      </c>
      <c r="CK351" s="46">
        <f t="shared" ref="CK351:CO351" si="1960">SUM(CK331,CK341,CK343,CK345,CK346,CK347,CK348,CK349)</f>
        <v>121.9</v>
      </c>
      <c r="CL351" s="46">
        <f t="shared" si="1960"/>
        <v>96.7</v>
      </c>
      <c r="CM351" s="46">
        <f t="shared" si="1960"/>
        <v>100.10000000000001</v>
      </c>
      <c r="CN351" s="46">
        <f t="shared" si="1960"/>
        <v>96.800000000000011</v>
      </c>
      <c r="CO351" s="48">
        <f t="shared" si="1960"/>
        <v>415.49999999999994</v>
      </c>
      <c r="CP351" s="46">
        <f>SUM(CP331,CP341,CP343,CP345,CP346,CP347,CP348,CP349,CP350)</f>
        <v>301.30000000000007</v>
      </c>
      <c r="CQ351" s="46">
        <f t="shared" ref="CQ351:EC351" si="1961">SUM(CQ331,CQ341,CQ343,CQ345,CQ346,CQ347,CQ348,CQ349,CQ350)</f>
        <v>289.47364448316995</v>
      </c>
      <c r="CR351" s="46">
        <f t="shared" si="1961"/>
        <v>292.79276168348321</v>
      </c>
      <c r="CS351" s="46">
        <f t="shared" si="1961"/>
        <v>293.49252463166334</v>
      </c>
      <c r="CT351" s="48">
        <f t="shared" si="1961"/>
        <v>1169.9589307983165</v>
      </c>
      <c r="CU351" s="46">
        <f t="shared" si="1961"/>
        <v>294.2492645171564</v>
      </c>
      <c r="CV351" s="46">
        <f t="shared" si="1961"/>
        <v>293.70267604096864</v>
      </c>
      <c r="CW351" s="46">
        <f t="shared" si="1961"/>
        <v>296.58323836817056</v>
      </c>
      <c r="CX351" s="46">
        <f t="shared" si="1961"/>
        <v>297.50558029110903</v>
      </c>
      <c r="CY351" s="48">
        <f t="shared" si="1961"/>
        <v>1182.0407592174045</v>
      </c>
      <c r="CZ351" s="46">
        <f t="shared" si="1961"/>
        <v>300.32270793443308</v>
      </c>
      <c r="DA351" s="46">
        <f t="shared" si="1961"/>
        <v>295.51779820811998</v>
      </c>
      <c r="DB351" s="46">
        <f t="shared" si="1961"/>
        <v>297.78933355717282</v>
      </c>
      <c r="DC351" s="46">
        <f t="shared" si="1961"/>
        <v>298.21499186438774</v>
      </c>
      <c r="DD351" s="48">
        <f t="shared" si="1961"/>
        <v>1191.8448315641135</v>
      </c>
      <c r="DE351" s="46">
        <f t="shared" si="1961"/>
        <v>304.30365033942252</v>
      </c>
      <c r="DF351" s="46">
        <f t="shared" si="1961"/>
        <v>297.69571109668829</v>
      </c>
      <c r="DG351" s="46">
        <f t="shared" si="1961"/>
        <v>301.58186158341152</v>
      </c>
      <c r="DH351" s="46">
        <f t="shared" si="1961"/>
        <v>301.42002125751827</v>
      </c>
      <c r="DI351" s="48">
        <f t="shared" si="1961"/>
        <v>1205.0012442770405</v>
      </c>
      <c r="DJ351" s="46">
        <f t="shared" si="1961"/>
        <v>306.79886475986348</v>
      </c>
      <c r="DK351" s="46">
        <f t="shared" si="1961"/>
        <v>299.02504971424452</v>
      </c>
      <c r="DL351" s="46">
        <f t="shared" si="1961"/>
        <v>302.23960773551448</v>
      </c>
      <c r="DM351" s="46">
        <f t="shared" si="1961"/>
        <v>301.39641212391194</v>
      </c>
      <c r="DN351" s="48">
        <f t="shared" si="1961"/>
        <v>1209.4599343335344</v>
      </c>
      <c r="DO351" s="46">
        <f t="shared" si="1961"/>
        <v>309.44813363946912</v>
      </c>
      <c r="DP351" s="46">
        <f t="shared" si="1961"/>
        <v>300.2005649359287</v>
      </c>
      <c r="DQ351" s="46">
        <f t="shared" si="1961"/>
        <v>302.45815177755929</v>
      </c>
      <c r="DR351" s="46">
        <f t="shared" si="1961"/>
        <v>300.78770461750196</v>
      </c>
      <c r="DS351" s="48">
        <f t="shared" si="1961"/>
        <v>1212.894554970459</v>
      </c>
      <c r="DT351" s="46">
        <f t="shared" si="1961"/>
        <v>313.86068509114926</v>
      </c>
      <c r="DU351" s="46">
        <f t="shared" si="1961"/>
        <v>299.62648327939644</v>
      </c>
      <c r="DV351" s="46">
        <f t="shared" si="1961"/>
        <v>300.69682418427948</v>
      </c>
      <c r="DW351" s="46">
        <f t="shared" si="1961"/>
        <v>298.0909855813685</v>
      </c>
      <c r="DX351" s="48">
        <f t="shared" si="1961"/>
        <v>1212.2749781361936</v>
      </c>
      <c r="DY351" s="46">
        <f t="shared" si="1961"/>
        <v>309.86216102703736</v>
      </c>
      <c r="DZ351" s="46">
        <f t="shared" si="1961"/>
        <v>297.07272330901321</v>
      </c>
      <c r="EA351" s="46">
        <f t="shared" si="1961"/>
        <v>296.75663707881063</v>
      </c>
      <c r="EB351" s="46">
        <f t="shared" si="1961"/>
        <v>293.09500889322953</v>
      </c>
      <c r="EC351" s="48">
        <f t="shared" si="1961"/>
        <v>1196.7865303080905</v>
      </c>
      <c r="ED351" s="46"/>
      <c r="EE351" s="37"/>
      <c r="EF351" s="286"/>
      <c r="EG351" s="25"/>
      <c r="EH351" s="25"/>
      <c r="EI351" s="25"/>
      <c r="EJ351" s="25"/>
      <c r="EK351" s="25"/>
      <c r="EL351" s="25"/>
      <c r="EM351" s="25"/>
      <c r="EN351" s="25"/>
      <c r="EO351" s="25"/>
      <c r="EP351" s="25"/>
      <c r="EQ351" s="25"/>
      <c r="ER351" s="25"/>
      <c r="ES351" s="25"/>
      <c r="ET351" s="25"/>
      <c r="EU351" s="25"/>
      <c r="EX351" s="25"/>
      <c r="EY351" s="294"/>
      <c r="EZ351" s="985"/>
      <c r="FA351" s="985"/>
      <c r="FB351" s="294"/>
      <c r="FC351" s="985"/>
      <c r="FD351" s="25"/>
      <c r="FE351"/>
      <c r="FF351"/>
      <c r="FG351"/>
      <c r="FH351"/>
      <c r="FI351"/>
      <c r="FJ351"/>
    </row>
    <row r="352" spans="1:166" x14ac:dyDescent="0.2">
      <c r="A352" s="872" t="s">
        <v>223</v>
      </c>
      <c r="B352" s="243"/>
      <c r="C352" s="666"/>
      <c r="D352" s="298"/>
      <c r="E352" s="298"/>
      <c r="F352" s="119"/>
      <c r="G352" s="243"/>
      <c r="H352" s="666"/>
      <c r="I352" s="298"/>
      <c r="J352" s="298"/>
      <c r="K352" s="119"/>
      <c r="L352" s="243"/>
      <c r="M352" s="666"/>
      <c r="N352" s="298"/>
      <c r="O352" s="298"/>
      <c r="P352" s="119"/>
      <c r="Q352" s="243"/>
      <c r="R352" s="242"/>
      <c r="S352" s="242"/>
      <c r="T352" s="242"/>
      <c r="U352" s="119"/>
      <c r="V352" s="243"/>
      <c r="W352" s="242"/>
      <c r="X352" s="242"/>
      <c r="Y352" s="242"/>
      <c r="Z352" s="119"/>
      <c r="AA352" s="119"/>
      <c r="AB352" s="241"/>
      <c r="AC352" s="242"/>
      <c r="AD352" s="242"/>
      <c r="AE352" s="242"/>
      <c r="AF352" s="243"/>
      <c r="AG352" s="242"/>
      <c r="AH352" s="242"/>
      <c r="AI352" s="242"/>
      <c r="AJ352" s="242"/>
      <c r="AK352" s="243"/>
      <c r="AL352" s="242"/>
      <c r="AM352" s="242"/>
      <c r="AN352" s="242"/>
      <c r="AO352" s="242"/>
      <c r="AP352" s="243"/>
      <c r="AQ352" s="242"/>
      <c r="AR352" s="242"/>
      <c r="AS352" s="242"/>
      <c r="AT352" s="242"/>
      <c r="AU352" s="241"/>
      <c r="AV352" s="45"/>
      <c r="AW352" s="242"/>
      <c r="AX352" s="242"/>
      <c r="AY352" s="242"/>
      <c r="AZ352" s="242"/>
      <c r="BA352" s="243">
        <f t="shared" ref="BA352:CF352" si="1962">BA351/BA20</f>
        <v>0.22867362641933203</v>
      </c>
      <c r="BB352" s="242">
        <f t="shared" si="1962"/>
        <v>0.14746376811594203</v>
      </c>
      <c r="BC352" s="242">
        <f t="shared" si="1962"/>
        <v>0.13251595566006047</v>
      </c>
      <c r="BD352" s="242">
        <f t="shared" si="1962"/>
        <v>0.13921342767813064</v>
      </c>
      <c r="BE352" s="242">
        <f t="shared" si="1962"/>
        <v>0.16241818808129524</v>
      </c>
      <c r="BF352" s="243">
        <f t="shared" si="1962"/>
        <v>0.14522412981119154</v>
      </c>
      <c r="BG352" s="242">
        <f t="shared" si="1962"/>
        <v>0.13739252500438673</v>
      </c>
      <c r="BH352" s="242">
        <f t="shared" si="1962"/>
        <v>0.15236686390532547</v>
      </c>
      <c r="BI352" s="242">
        <f t="shared" si="1962"/>
        <v>0.14746543778801841</v>
      </c>
      <c r="BJ352" s="242">
        <f t="shared" si="1962"/>
        <v>0.17651421508034609</v>
      </c>
      <c r="BK352" s="243">
        <f t="shared" si="1962"/>
        <v>0.15185955654777003</v>
      </c>
      <c r="BL352" s="242">
        <f t="shared" si="1962"/>
        <v>0.19224900823924321</v>
      </c>
      <c r="BM352" s="242">
        <f t="shared" si="1962"/>
        <v>0.21739130434782608</v>
      </c>
      <c r="BN352" s="242">
        <f t="shared" si="1962"/>
        <v>0.21192293711377677</v>
      </c>
      <c r="BO352" s="242">
        <f t="shared" si="1962"/>
        <v>0.20512820512820512</v>
      </c>
      <c r="BP352" s="243">
        <f t="shared" si="1962"/>
        <v>0.20605426153711942</v>
      </c>
      <c r="BQ352" s="242">
        <f t="shared" si="1962"/>
        <v>0.19925280199252801</v>
      </c>
      <c r="BR352" s="242">
        <f t="shared" si="1962"/>
        <v>0.17955589586523737</v>
      </c>
      <c r="BS352" s="242">
        <f t="shared" si="1962"/>
        <v>0.27859447830763717</v>
      </c>
      <c r="BT352" s="242">
        <f t="shared" si="1962"/>
        <v>0.40932020177756423</v>
      </c>
      <c r="BU352" s="243">
        <f t="shared" si="1962"/>
        <v>0.28647790862774569</v>
      </c>
      <c r="BV352" s="1080">
        <f t="shared" si="1962"/>
        <v>5.1524259338772013E-2</v>
      </c>
      <c r="BW352" s="1080">
        <f t="shared" si="1962"/>
        <v>4.4299612732596576E-2</v>
      </c>
      <c r="BX352" s="1080">
        <f t="shared" si="1962"/>
        <v>6.9949585884047538E-2</v>
      </c>
      <c r="BY352" s="1080">
        <f t="shared" si="1962"/>
        <v>0.1562442692096094</v>
      </c>
      <c r="BZ352" s="243">
        <f t="shared" si="1962"/>
        <v>8.1828375122265429E-2</v>
      </c>
      <c r="CA352" s="242">
        <f t="shared" si="1962"/>
        <v>0.11378977820636453</v>
      </c>
      <c r="CB352" s="242">
        <f t="shared" si="1962"/>
        <v>9.4511610055651521E-2</v>
      </c>
      <c r="CC352" s="242">
        <f t="shared" si="1962"/>
        <v>9.9342944003138173E-2</v>
      </c>
      <c r="CD352" s="242">
        <f t="shared" si="1962"/>
        <v>0.11163670766319775</v>
      </c>
      <c r="CE352" s="243">
        <f t="shared" si="1962"/>
        <v>0.10463451952026061</v>
      </c>
      <c r="CF352" s="242">
        <f t="shared" si="1962"/>
        <v>7.8170930865541652E-2</v>
      </c>
      <c r="CG352" s="242">
        <f t="shared" ref="CG352:DL352" si="1963">CG351/CG20</f>
        <v>6.8929052105364347E-2</v>
      </c>
      <c r="CH352" s="242">
        <f t="shared" si="1963"/>
        <v>7.5020916612438426E-2</v>
      </c>
      <c r="CI352" s="242">
        <f t="shared" si="1963"/>
        <v>8.1070380967805791E-2</v>
      </c>
      <c r="CJ352" s="243">
        <f t="shared" si="1963"/>
        <v>7.5812030546724613E-2</v>
      </c>
      <c r="CK352" s="242">
        <f t="shared" si="1963"/>
        <v>0.12182690385768541</v>
      </c>
      <c r="CL352" s="242">
        <f t="shared" si="1963"/>
        <v>8.5371236867661335E-2</v>
      </c>
      <c r="CM352" s="242">
        <f t="shared" si="1963"/>
        <v>8.2823101108720848E-2</v>
      </c>
      <c r="CN352" s="242">
        <f t="shared" si="1963"/>
        <v>7.8431372549019593E-2</v>
      </c>
      <c r="CO352" s="243">
        <f t="shared" si="1963"/>
        <v>9.0797840956272788E-2</v>
      </c>
      <c r="CP352" s="242">
        <f t="shared" si="1963"/>
        <v>0.2403094592438986</v>
      </c>
      <c r="CQ352" s="242">
        <f t="shared" si="1963"/>
        <v>0.21133346575774972</v>
      </c>
      <c r="CR352" s="242">
        <f t="shared" si="1963"/>
        <v>0.20475144642960627</v>
      </c>
      <c r="CS352" s="242">
        <f t="shared" si="1963"/>
        <v>0.20099397117913947</v>
      </c>
      <c r="CT352" s="243">
        <f t="shared" si="1963"/>
        <v>0.21218952330783553</v>
      </c>
      <c r="CU352" s="242">
        <f t="shared" si="1963"/>
        <v>0.22133041630172179</v>
      </c>
      <c r="CV352" s="242">
        <f t="shared" si="1963"/>
        <v>0.20159027219833112</v>
      </c>
      <c r="CW352" s="242">
        <f t="shared" si="1963"/>
        <v>0.19495518037278953</v>
      </c>
      <c r="CX352" s="242">
        <f t="shared" si="1963"/>
        <v>0.19088723448803374</v>
      </c>
      <c r="CY352" s="243">
        <f t="shared" si="1963"/>
        <v>0.20149969500901135</v>
      </c>
      <c r="CZ352" s="242">
        <f t="shared" si="1963"/>
        <v>0.20950830259167053</v>
      </c>
      <c r="DA352" s="242">
        <f t="shared" si="1963"/>
        <v>0.19021443541846025</v>
      </c>
      <c r="DB352" s="242">
        <f t="shared" si="1963"/>
        <v>0.18330294319414486</v>
      </c>
      <c r="DC352" s="242">
        <f t="shared" si="1963"/>
        <v>0.17888450767179398</v>
      </c>
      <c r="DD352" s="243">
        <f t="shared" si="1963"/>
        <v>0.189822783896333</v>
      </c>
      <c r="DE352" s="242">
        <f t="shared" si="1963"/>
        <v>0.19690027497552404</v>
      </c>
      <c r="DF352" s="242">
        <f t="shared" si="1963"/>
        <v>0.18029478006746968</v>
      </c>
      <c r="DG352" s="242">
        <f t="shared" si="1963"/>
        <v>0.17178729675857105</v>
      </c>
      <c r="DH352" s="242">
        <f t="shared" si="1963"/>
        <v>0.16729827874351985</v>
      </c>
      <c r="DI352" s="243">
        <f t="shared" si="1963"/>
        <v>0.17841619532497183</v>
      </c>
      <c r="DJ352" s="242">
        <f t="shared" si="1963"/>
        <v>0.18638942165766456</v>
      </c>
      <c r="DK352" s="242">
        <f t="shared" si="1963"/>
        <v>0.16991845786966367</v>
      </c>
      <c r="DL352" s="242">
        <f t="shared" si="1963"/>
        <v>0.16131800539666619</v>
      </c>
      <c r="DM352" s="242">
        <f t="shared" ref="DM352:EC352" si="1964">DM351/DM20</f>
        <v>0.15669041969369088</v>
      </c>
      <c r="DN352" s="243">
        <f t="shared" si="1964"/>
        <v>0.16791281424764673</v>
      </c>
      <c r="DO352" s="242">
        <f t="shared" si="1964"/>
        <v>0.17610011851540497</v>
      </c>
      <c r="DP352" s="242">
        <f t="shared" si="1964"/>
        <v>0.15990811377977546</v>
      </c>
      <c r="DQ352" s="242">
        <f t="shared" si="1964"/>
        <v>0.15130938309571718</v>
      </c>
      <c r="DR352" s="242">
        <f t="shared" si="1964"/>
        <v>0.14658240966877178</v>
      </c>
      <c r="DS352" s="243">
        <f t="shared" si="1964"/>
        <v>0.15781590420880054</v>
      </c>
      <c r="DT352" s="242">
        <f t="shared" si="1964"/>
        <v>0.16563761415914102</v>
      </c>
      <c r="DU352" s="242">
        <f t="shared" si="1964"/>
        <v>0.1497859790483787</v>
      </c>
      <c r="DV352" s="242">
        <f t="shared" si="1964"/>
        <v>0.14116526626528342</v>
      </c>
      <c r="DW352" s="242">
        <f t="shared" si="1964"/>
        <v>0.13633328837972811</v>
      </c>
      <c r="DX352" s="243">
        <f t="shared" si="1964"/>
        <v>0.14762562088295789</v>
      </c>
      <c r="DY352" s="242">
        <f t="shared" si="1964"/>
        <v>0.15522058202411043</v>
      </c>
      <c r="DZ352" s="242">
        <f t="shared" si="1964"/>
        <v>0.13953561009159085</v>
      </c>
      <c r="EA352" s="242">
        <f t="shared" si="1964"/>
        <v>0.13088459610194475</v>
      </c>
      <c r="EB352" s="242">
        <f t="shared" si="1964"/>
        <v>0.1259419799768221</v>
      </c>
      <c r="EC352" s="243">
        <f t="shared" si="1964"/>
        <v>0.13724903226411586</v>
      </c>
      <c r="ED352" s="242"/>
      <c r="EE352" s="242"/>
      <c r="EF352" s="774"/>
      <c r="EG352" s="43"/>
      <c r="EH352" s="43"/>
      <c r="EI352" s="43"/>
      <c r="EJ352" s="43"/>
      <c r="EK352" s="43"/>
      <c r="EL352" s="43"/>
      <c r="EM352" s="43"/>
      <c r="EN352" s="43"/>
      <c r="EO352" s="43"/>
      <c r="EP352" s="43"/>
      <c r="EQ352" s="43"/>
      <c r="ER352" s="43"/>
      <c r="ES352" s="43"/>
      <c r="ET352" s="43"/>
      <c r="EU352" s="43"/>
      <c r="EX352" s="43"/>
      <c r="EY352" s="274"/>
      <c r="EZ352" s="990"/>
      <c r="FA352" s="990"/>
      <c r="FB352" s="274"/>
      <c r="FC352" s="990"/>
      <c r="FD352" s="43"/>
    </row>
    <row r="353" spans="1:166" x14ac:dyDescent="0.2">
      <c r="A353" s="872" t="s">
        <v>276</v>
      </c>
      <c r="B353" s="243"/>
      <c r="C353" s="666"/>
      <c r="D353" s="298"/>
      <c r="E353" s="298"/>
      <c r="F353" s="119"/>
      <c r="G353" s="243"/>
      <c r="H353" s="666"/>
      <c r="I353" s="298"/>
      <c r="J353" s="298"/>
      <c r="K353" s="119"/>
      <c r="L353" s="243"/>
      <c r="M353" s="666"/>
      <c r="N353" s="298"/>
      <c r="O353" s="298"/>
      <c r="P353" s="119"/>
      <c r="Q353" s="243"/>
      <c r="R353" s="242"/>
      <c r="S353" s="242"/>
      <c r="T353" s="242"/>
      <c r="U353" s="119"/>
      <c r="V353" s="243"/>
      <c r="W353" s="242"/>
      <c r="X353" s="242"/>
      <c r="Y353" s="242"/>
      <c r="Z353" s="119"/>
      <c r="AA353" s="119"/>
      <c r="AB353" s="241"/>
      <c r="AC353" s="242"/>
      <c r="AD353" s="242"/>
      <c r="AE353" s="242"/>
      <c r="AF353" s="243"/>
      <c r="AG353" s="242"/>
      <c r="AH353" s="242"/>
      <c r="AI353" s="242"/>
      <c r="AJ353" s="242"/>
      <c r="AK353" s="243"/>
      <c r="AL353" s="242"/>
      <c r="AM353" s="242"/>
      <c r="AN353" s="242"/>
      <c r="AO353" s="242"/>
      <c r="AP353" s="243"/>
      <c r="AQ353" s="242"/>
      <c r="AR353" s="242"/>
      <c r="AS353" s="242"/>
      <c r="AT353" s="242"/>
      <c r="AU353" s="241"/>
      <c r="AV353" s="45"/>
      <c r="AW353" s="242"/>
      <c r="AX353" s="242"/>
      <c r="AY353" s="242"/>
      <c r="AZ353" s="242"/>
      <c r="BA353" s="243"/>
      <c r="BB353" s="242">
        <f t="shared" ref="BB353:CL353" si="1965">BB351/AW351-1</f>
        <v>-0.14225500526870394</v>
      </c>
      <c r="BC353" s="242">
        <f t="shared" si="1965"/>
        <v>-0.18322981366459612</v>
      </c>
      <c r="BD353" s="242">
        <f t="shared" si="1965"/>
        <v>-0.18809980806142035</v>
      </c>
      <c r="BE353" s="242">
        <f t="shared" si="1965"/>
        <v>-0.62888626524990165</v>
      </c>
      <c r="BF353" s="243">
        <f t="shared" si="1965"/>
        <v>-0.38304838122953799</v>
      </c>
      <c r="BG353" s="242">
        <f t="shared" si="1965"/>
        <v>-3.8083538083538149E-2</v>
      </c>
      <c r="BH353" s="242">
        <f t="shared" si="1965"/>
        <v>4.4359949302914981E-2</v>
      </c>
      <c r="BI353" s="242">
        <f t="shared" si="1965"/>
        <v>-0.2056737588652483</v>
      </c>
      <c r="BJ353" s="242">
        <f t="shared" si="1965"/>
        <v>-0.24284199363732772</v>
      </c>
      <c r="BK353" s="243">
        <f t="shared" si="1965"/>
        <v>-0.11762971698113234</v>
      </c>
      <c r="BL353" s="242">
        <f t="shared" si="1965"/>
        <v>-0.1954022988505747</v>
      </c>
      <c r="BM353" s="242">
        <f t="shared" si="1965"/>
        <v>-0.26577669902912626</v>
      </c>
      <c r="BN353" s="242">
        <f t="shared" si="1965"/>
        <v>-0.13244047619047605</v>
      </c>
      <c r="BO353" s="242">
        <f t="shared" si="1965"/>
        <v>-0.23809523809523803</v>
      </c>
      <c r="BP353" s="243">
        <f t="shared" si="1965"/>
        <v>-0.2108252589375208</v>
      </c>
      <c r="BQ353" s="242">
        <f t="shared" si="1965"/>
        <v>-0.23809523809523814</v>
      </c>
      <c r="BR353" s="242">
        <f t="shared" si="1965"/>
        <v>-0.22479338842975205</v>
      </c>
      <c r="BS353" s="242">
        <f t="shared" si="1965"/>
        <v>0.33276157804459694</v>
      </c>
      <c r="BT353" s="242">
        <f t="shared" si="1965"/>
        <v>2.1323529411764706</v>
      </c>
      <c r="BU353" s="243">
        <f t="shared" si="1965"/>
        <v>0.45215918712955139</v>
      </c>
      <c r="BV353" s="1080">
        <f t="shared" ref="BV353" si="1966">BV351/BQ351-1</f>
        <v>0</v>
      </c>
      <c r="BW353" s="1080">
        <f t="shared" ref="BW353" si="1967">BW351/BR351-1</f>
        <v>0</v>
      </c>
      <c r="BX353" s="1080">
        <f t="shared" ref="BX353" si="1968">BX351/BS351-1</f>
        <v>0</v>
      </c>
      <c r="BY353" s="1080">
        <f t="shared" ref="BY353" si="1969">BY351/BT351-1</f>
        <v>0</v>
      </c>
      <c r="BZ353" s="243">
        <f t="shared" ref="BZ353" si="1970">BZ351/BU351-1</f>
        <v>0</v>
      </c>
      <c r="CA353" s="242">
        <f>CA351/BQ351-1</f>
        <v>1.2125000000000004</v>
      </c>
      <c r="CB353" s="242">
        <f>CB351/BR351-1</f>
        <v>1.1002132196162049</v>
      </c>
      <c r="CC353" s="242">
        <f>CC351/BS351-1</f>
        <v>0.30373230373230364</v>
      </c>
      <c r="CD353" s="242">
        <f>CD351/BT351-1</f>
        <v>-0.30751173708920176</v>
      </c>
      <c r="CE353" s="243">
        <f>CE351/BU351-1</f>
        <v>0.23615160349854225</v>
      </c>
      <c r="CF353" s="242">
        <f>CF351/CA351-1</f>
        <v>-0.32391713747645956</v>
      </c>
      <c r="CG353" s="242">
        <f t="shared" ref="CG353" si="1971">CG351/CB351-1</f>
        <v>-0.27208121827411169</v>
      </c>
      <c r="CH353" s="242">
        <f t="shared" si="1965"/>
        <v>-0.20335636722606121</v>
      </c>
      <c r="CI353" s="242">
        <f t="shared" si="1965"/>
        <v>-0.23644067796610169</v>
      </c>
      <c r="CJ353" s="243">
        <f t="shared" si="1965"/>
        <v>-0.25872641509433958</v>
      </c>
      <c r="CK353" s="242">
        <f>CK351/CF351-1</f>
        <v>0.69777158774373249</v>
      </c>
      <c r="CL353" s="242">
        <f t="shared" si="1965"/>
        <v>0.3486750348675034</v>
      </c>
      <c r="CM353" s="242">
        <f t="shared" ref="CM353:CO353" si="1972">CM351/CH351-1</f>
        <v>0.2403965303593556</v>
      </c>
      <c r="CN353" s="242">
        <f t="shared" si="1972"/>
        <v>7.4361820199777995E-2</v>
      </c>
      <c r="CO353" s="243">
        <f t="shared" si="1972"/>
        <v>0.32198536430162239</v>
      </c>
      <c r="CP353" s="242">
        <f>CP351/CK351-1</f>
        <v>1.4716981132075477</v>
      </c>
      <c r="CQ353" s="242">
        <f t="shared" ref="CQ353" si="1973">CQ351/CL351-1</f>
        <v>1.9935226937246115</v>
      </c>
      <c r="CR353" s="242">
        <f t="shared" ref="CR353" si="1974">CR351/CM351-1</f>
        <v>1.9250026142206114</v>
      </c>
      <c r="CS353" s="242">
        <f t="shared" ref="CS353" si="1975">CS351/CN351-1</f>
        <v>2.0319475685089183</v>
      </c>
      <c r="CT353" s="243">
        <f t="shared" ref="CT353" si="1976">CT351/CO351-1</f>
        <v>1.8157856336902927</v>
      </c>
      <c r="CU353" s="242">
        <f>CU351/CP351-1</f>
        <v>-2.340104707216617E-2</v>
      </c>
      <c r="CV353" s="242">
        <f t="shared" ref="CV353" si="1977">CV351/CQ351-1</f>
        <v>1.4609383750114002E-2</v>
      </c>
      <c r="CW353" s="242">
        <f t="shared" ref="CW353" si="1978">CW351/CR351-1</f>
        <v>1.2945937129364316E-2</v>
      </c>
      <c r="CX353" s="242">
        <f t="shared" ref="CX353" si="1979">CX351/CS351-1</f>
        <v>1.3673451017132798E-2</v>
      </c>
      <c r="CY353" s="243">
        <f t="shared" ref="CY353" si="1980">CY351/CT351-1</f>
        <v>1.0326711563152013E-2</v>
      </c>
      <c r="CZ353" s="242">
        <f>CZ351/CU351-1</f>
        <v>2.0640471021203144E-2</v>
      </c>
      <c r="DA353" s="242">
        <f t="shared" ref="DA353" si="1981">DA351/CV351-1</f>
        <v>6.1801349297143648E-3</v>
      </c>
      <c r="DB353" s="242">
        <f t="shared" ref="DB353" si="1982">DB351/CW351-1</f>
        <v>4.0666330155350039E-3</v>
      </c>
      <c r="DC353" s="242">
        <f t="shared" ref="DC353" si="1983">DC351/CX351-1</f>
        <v>2.3845319895665629E-3</v>
      </c>
      <c r="DD353" s="243">
        <f t="shared" ref="DD353" si="1984">DD351/CY351-1</f>
        <v>8.2941914398959593E-3</v>
      </c>
      <c r="DE353" s="242">
        <f>DE351/CZ351-1</f>
        <v>1.325554911371718E-2</v>
      </c>
      <c r="DF353" s="242">
        <f t="shared" ref="DF353" si="1985">DF351/DA351-1</f>
        <v>7.3698196919920189E-3</v>
      </c>
      <c r="DG353" s="242">
        <f t="shared" ref="DG353" si="1986">DG351/DB351-1</f>
        <v>1.2735607353480116E-2</v>
      </c>
      <c r="DH353" s="242">
        <f t="shared" ref="DH353" si="1987">DH351/DC351-1</f>
        <v>1.074737850398888E-2</v>
      </c>
      <c r="DI353" s="243">
        <f t="shared" ref="DI353" si="1988">DI351/DD351-1</f>
        <v>1.1038695948080157E-2</v>
      </c>
      <c r="DJ353" s="242">
        <f>DJ351/DE351-1</f>
        <v>8.1997518519998369E-3</v>
      </c>
      <c r="DK353" s="242">
        <f t="shared" ref="DK353" si="1989">DK351/DF351-1</f>
        <v>4.4654275087103734E-3</v>
      </c>
      <c r="DL353" s="242">
        <f t="shared" ref="DL353" si="1990">DL351/DG351-1</f>
        <v>2.180987107943233E-3</v>
      </c>
      <c r="DM353" s="242">
        <f t="shared" ref="DM353" si="1991">DM351/DH351-1</f>
        <v>-7.832636169236018E-5</v>
      </c>
      <c r="DN353" s="243">
        <f t="shared" ref="DN353" si="1992">DN351/DI351-1</f>
        <v>3.7001539024708041E-3</v>
      </c>
      <c r="DO353" s="242">
        <f>DO351/DJ351-1</f>
        <v>8.6351977921406142E-3</v>
      </c>
      <c r="DP353" s="242">
        <f t="shared" ref="DP353" si="1993">DP351/DK351-1</f>
        <v>3.9311596898237156E-3</v>
      </c>
      <c r="DQ353" s="242">
        <f t="shared" ref="DQ353" si="1994">DQ351/DL351-1</f>
        <v>7.2308207280391557E-4</v>
      </c>
      <c r="DR353" s="242">
        <f t="shared" ref="DR353" si="1995">DR351/DM351-1</f>
        <v>-2.0196242620158511E-3</v>
      </c>
      <c r="DS353" s="243">
        <f t="shared" ref="DS353" si="1996">DS351/DN351-1</f>
        <v>2.8397969535198797E-3</v>
      </c>
      <c r="DT353" s="242">
        <f>DT351/DO351-1</f>
        <v>1.425942176410433E-2</v>
      </c>
      <c r="DU353" s="242">
        <f t="shared" ref="DU353" si="1997">DU351/DP351-1</f>
        <v>-1.9123270359426847E-3</v>
      </c>
      <c r="DV353" s="242">
        <f t="shared" ref="DV353" si="1998">DV351/DQ351-1</f>
        <v>-5.8233761693259334E-3</v>
      </c>
      <c r="DW353" s="242">
        <f t="shared" ref="DW353" si="1999">DW351/DR351-1</f>
        <v>-8.9655228413101362E-3</v>
      </c>
      <c r="DX353" s="243">
        <f t="shared" ref="DX353" si="2000">DX351/DS351-1</f>
        <v>-5.108249779227636E-4</v>
      </c>
      <c r="DY353" s="242">
        <f>DY351/DT351-1</f>
        <v>-1.2739805442502861E-2</v>
      </c>
      <c r="DZ353" s="242">
        <f t="shared" ref="DZ353" si="2001">DZ351/DU351-1</f>
        <v>-8.523145025207568E-3</v>
      </c>
      <c r="EA353" s="242">
        <f t="shared" ref="EA353" si="2002">EA351/DV351-1</f>
        <v>-1.3103520850802686E-2</v>
      </c>
      <c r="EB353" s="242">
        <f t="shared" ref="EB353" si="2003">EB351/DW351-1</f>
        <v>-1.6759905296684141E-2</v>
      </c>
      <c r="EC353" s="243">
        <f t="shared" ref="EC353" si="2004">EC351/DX351-1</f>
        <v>-1.2776348689400252E-2</v>
      </c>
      <c r="ED353" s="242"/>
      <c r="EE353" s="242"/>
      <c r="EF353" s="774"/>
      <c r="EG353" s="43"/>
      <c r="EH353" s="43"/>
      <c r="EI353" s="43"/>
      <c r="EJ353" s="43"/>
      <c r="EK353" s="43"/>
      <c r="EL353" s="43"/>
      <c r="EM353" s="43"/>
      <c r="EN353" s="43"/>
      <c r="EO353" s="43"/>
      <c r="EP353" s="43"/>
      <c r="EQ353" s="43"/>
      <c r="ER353" s="43"/>
      <c r="ES353" s="43"/>
      <c r="ET353" s="43"/>
      <c r="EU353" s="43"/>
      <c r="EX353" s="43"/>
      <c r="EY353" s="274"/>
      <c r="EZ353" s="990"/>
      <c r="FA353" s="990"/>
      <c r="FB353" s="274"/>
      <c r="FC353" s="990"/>
      <c r="FD353" s="43"/>
    </row>
    <row r="354" spans="1:166" hidden="1" outlineLevel="1" x14ac:dyDescent="0.2">
      <c r="A354" s="872"/>
      <c r="B354" s="243"/>
      <c r="C354" s="666"/>
      <c r="D354" s="298"/>
      <c r="E354" s="298"/>
      <c r="F354" s="119"/>
      <c r="G354" s="243"/>
      <c r="H354" s="666"/>
      <c r="I354" s="298"/>
      <c r="J354" s="298"/>
      <c r="K354" s="242"/>
      <c r="L354" s="243"/>
      <c r="M354" s="298"/>
      <c r="N354" s="298"/>
      <c r="O354" s="298"/>
      <c r="P354" s="242"/>
      <c r="Q354" s="243"/>
      <c r="R354" s="242"/>
      <c r="S354" s="242"/>
      <c r="T354" s="242"/>
      <c r="U354" s="242"/>
      <c r="V354" s="243"/>
      <c r="W354" s="242"/>
      <c r="X354" s="242"/>
      <c r="Y354" s="242"/>
      <c r="Z354" s="242"/>
      <c r="AA354" s="119"/>
      <c r="AB354" s="242"/>
      <c r="AC354" s="242"/>
      <c r="AD354" s="242"/>
      <c r="AE354" s="242"/>
      <c r="AF354" s="243"/>
      <c r="AG354" s="242"/>
      <c r="AH354" s="242"/>
      <c r="AI354" s="242"/>
      <c r="AJ354" s="242"/>
      <c r="AK354" s="243"/>
      <c r="AL354" s="242"/>
      <c r="AM354" s="242"/>
      <c r="AN354" s="242"/>
      <c r="AO354" s="242"/>
      <c r="AP354" s="243"/>
      <c r="AQ354" s="242"/>
      <c r="AR354" s="242"/>
      <c r="AS354" s="242"/>
      <c r="AT354" s="242"/>
      <c r="AU354" s="241"/>
      <c r="AV354" s="45"/>
      <c r="AW354" s="242"/>
      <c r="AX354" s="242"/>
      <c r="AY354" s="242"/>
      <c r="AZ354" s="242"/>
      <c r="BA354" s="243"/>
      <c r="BB354" s="242"/>
      <c r="BC354" s="242"/>
      <c r="BD354" s="242"/>
      <c r="BE354" s="242"/>
      <c r="BF354" s="243"/>
      <c r="BG354" s="242"/>
      <c r="BH354" s="242"/>
      <c r="BI354" s="242"/>
      <c r="BJ354" s="242"/>
      <c r="BK354" s="243"/>
      <c r="BL354" s="242"/>
      <c r="BM354" s="242"/>
      <c r="BN354" s="242"/>
      <c r="BO354" s="242"/>
      <c r="BP354" s="243"/>
      <c r="BQ354" s="242"/>
      <c r="BR354" s="242"/>
      <c r="BS354" s="242"/>
      <c r="BT354" s="242"/>
      <c r="BU354" s="243"/>
      <c r="BV354" s="1080"/>
      <c r="BW354" s="1080"/>
      <c r="BX354" s="1080"/>
      <c r="BY354" s="1080"/>
      <c r="BZ354" s="243"/>
      <c r="CA354" s="242"/>
      <c r="CB354" s="242"/>
      <c r="CC354" s="242"/>
      <c r="CD354" s="242"/>
      <c r="CE354" s="243"/>
      <c r="CF354" s="242"/>
      <c r="CG354" s="242"/>
      <c r="CH354" s="242"/>
      <c r="CI354" s="242"/>
      <c r="CJ354" s="243"/>
      <c r="CK354" s="242"/>
      <c r="CL354" s="242"/>
      <c r="CM354" s="242"/>
      <c r="CN354" s="242"/>
      <c r="CO354" s="243"/>
      <c r="CP354" s="242"/>
      <c r="CQ354" s="242"/>
      <c r="CR354" s="242"/>
      <c r="CS354" s="242"/>
      <c r="CT354" s="243"/>
      <c r="CU354" s="242"/>
      <c r="CV354" s="242"/>
      <c r="CW354" s="242"/>
      <c r="CX354" s="242"/>
      <c r="CY354" s="243"/>
      <c r="CZ354" s="242"/>
      <c r="DA354" s="242"/>
      <c r="DB354" s="242"/>
      <c r="DC354" s="242"/>
      <c r="DD354" s="243"/>
      <c r="DE354" s="242"/>
      <c r="DF354" s="242"/>
      <c r="DG354" s="242"/>
      <c r="DH354" s="242"/>
      <c r="DI354" s="243"/>
      <c r="DJ354" s="242"/>
      <c r="DK354" s="242"/>
      <c r="DL354" s="242"/>
      <c r="DM354" s="242"/>
      <c r="DN354" s="243"/>
      <c r="DO354" s="242"/>
      <c r="DP354" s="242"/>
      <c r="DQ354" s="242"/>
      <c r="DR354" s="242"/>
      <c r="DS354" s="243"/>
      <c r="DT354" s="242"/>
      <c r="DU354" s="242"/>
      <c r="DV354" s="242"/>
      <c r="DW354" s="242"/>
      <c r="DX354" s="243"/>
      <c r="DY354" s="242"/>
      <c r="DZ354" s="242"/>
      <c r="EA354" s="242"/>
      <c r="EB354" s="242"/>
      <c r="EC354" s="243"/>
      <c r="ED354" s="242"/>
      <c r="EE354" s="242"/>
      <c r="EF354" s="774"/>
      <c r="EG354" s="43"/>
      <c r="EH354" s="43"/>
      <c r="EI354" s="43"/>
      <c r="EJ354" s="43"/>
      <c r="EK354" s="43"/>
      <c r="EL354" s="43"/>
      <c r="EM354" s="43"/>
      <c r="EN354" s="43"/>
      <c r="EO354" s="43"/>
      <c r="EP354" s="43"/>
      <c r="EQ354" s="43"/>
      <c r="ER354" s="43"/>
      <c r="ES354" s="43"/>
      <c r="ET354" s="43"/>
      <c r="EU354" s="43"/>
      <c r="EX354" s="43"/>
      <c r="EY354" s="274"/>
      <c r="EZ354" s="990"/>
      <c r="FA354" s="990"/>
      <c r="FB354" s="274"/>
      <c r="FC354" s="990"/>
      <c r="FD354" s="43"/>
    </row>
    <row r="355" spans="1:166" s="1069" customFormat="1" hidden="1" outlineLevel="1" x14ac:dyDescent="0.2">
      <c r="A355" s="83" t="s">
        <v>104</v>
      </c>
      <c r="B355" s="50"/>
      <c r="C355" s="1068"/>
      <c r="D355" s="820"/>
      <c r="E355" s="820"/>
      <c r="F355" s="47"/>
      <c r="G355" s="50"/>
      <c r="H355" s="1068"/>
      <c r="I355" s="820"/>
      <c r="J355" s="820"/>
      <c r="K355" s="47"/>
      <c r="L355" s="50"/>
      <c r="M355" s="1068"/>
      <c r="N355" s="820"/>
      <c r="O355" s="820"/>
      <c r="P355" s="47"/>
      <c r="Q355" s="50"/>
      <c r="R355" s="46"/>
      <c r="S355" s="46"/>
      <c r="T355" s="46"/>
      <c r="U355" s="47"/>
      <c r="V355" s="50"/>
      <c r="W355" s="46"/>
      <c r="X355" s="46"/>
      <c r="Y355" s="46"/>
      <c r="Z355" s="47"/>
      <c r="AA355" s="52"/>
      <c r="AB355" s="82"/>
      <c r="AC355" s="46"/>
      <c r="AD355" s="46"/>
      <c r="AE355" s="46"/>
      <c r="AF355" s="50"/>
      <c r="AG355" s="46"/>
      <c r="AH355" s="46"/>
      <c r="AI355" s="46"/>
      <c r="AJ355" s="46"/>
      <c r="AK355" s="50"/>
      <c r="AL355" s="46"/>
      <c r="AM355" s="46"/>
      <c r="AN355" s="46"/>
      <c r="AO355" s="46"/>
      <c r="AP355" s="50"/>
      <c r="AQ355" s="46"/>
      <c r="AR355" s="46"/>
      <c r="AS355" s="46"/>
      <c r="AT355" s="46"/>
      <c r="AU355" s="81"/>
      <c r="AV355" s="49"/>
      <c r="AW355" s="46">
        <f t="shared" ref="AW355:BK355" si="2005">AW368-AW329</f>
        <v>94.9</v>
      </c>
      <c r="AX355" s="46">
        <f t="shared" si="2005"/>
        <v>96.6</v>
      </c>
      <c r="AY355" s="46">
        <f t="shared" si="2005"/>
        <v>104.19999999999999</v>
      </c>
      <c r="AZ355" s="46">
        <f t="shared" si="2005"/>
        <v>92</v>
      </c>
      <c r="BA355" s="50">
        <f t="shared" si="2005"/>
        <v>387.70000000000005</v>
      </c>
      <c r="BB355" s="46">
        <f t="shared" si="2005"/>
        <v>68.400000000000006</v>
      </c>
      <c r="BC355" s="46">
        <f t="shared" si="2005"/>
        <v>66.900000000000006</v>
      </c>
      <c r="BD355" s="46">
        <f t="shared" si="2005"/>
        <v>67.099999999999994</v>
      </c>
      <c r="BE355" s="46">
        <f t="shared" si="2005"/>
        <v>68.400000000000006</v>
      </c>
      <c r="BF355" s="50">
        <f t="shared" si="2005"/>
        <v>270.8</v>
      </c>
      <c r="BG355" s="46">
        <f t="shared" si="2005"/>
        <v>67.599999999999994</v>
      </c>
      <c r="BH355" s="46">
        <f t="shared" si="2005"/>
        <v>54.899999999999991</v>
      </c>
      <c r="BI355" s="46">
        <f t="shared" si="2005"/>
        <v>59.599999999999987</v>
      </c>
      <c r="BJ355" s="46">
        <f t="shared" si="2005"/>
        <v>60</v>
      </c>
      <c r="BK355" s="50">
        <f t="shared" si="2005"/>
        <v>242.09999999999997</v>
      </c>
      <c r="BL355" s="46">
        <f>BL368-BL329</f>
        <v>53.9</v>
      </c>
      <c r="BM355" s="46">
        <f t="shared" ref="BM355:DX355" si="2006">BM368-BM329</f>
        <v>50.7</v>
      </c>
      <c r="BN355" s="46">
        <f t="shared" si="2006"/>
        <v>53.599999999999994</v>
      </c>
      <c r="BO355" s="46">
        <f t="shared" si="2006"/>
        <v>51.8</v>
      </c>
      <c r="BP355" s="50">
        <f t="shared" si="2006"/>
        <v>210</v>
      </c>
      <c r="BQ355" s="46">
        <f t="shared" si="2006"/>
        <v>48</v>
      </c>
      <c r="BR355" s="46">
        <f t="shared" si="2006"/>
        <v>46.9</v>
      </c>
      <c r="BS355" s="46">
        <f t="shared" si="2006"/>
        <v>47</v>
      </c>
      <c r="BT355" s="46">
        <f>BT368-BT329</f>
        <v>70.5</v>
      </c>
      <c r="BU355" s="50">
        <f t="shared" si="2006"/>
        <v>212.4</v>
      </c>
      <c r="BV355" s="1071">
        <f t="shared" ref="BV355:BX355" si="2007">BV368-BV329</f>
        <v>48</v>
      </c>
      <c r="BW355" s="1071">
        <f t="shared" si="2007"/>
        <v>46.9</v>
      </c>
      <c r="BX355" s="1071">
        <f t="shared" si="2007"/>
        <v>47</v>
      </c>
      <c r="BY355" s="1071">
        <f>BY368-BY329</f>
        <v>70.5</v>
      </c>
      <c r="BZ355" s="50">
        <f t="shared" ref="BZ355" si="2008">BZ368-BZ329</f>
        <v>212.4</v>
      </c>
      <c r="CA355" s="46">
        <f>CA368-CA329</f>
        <v>78.200000000000017</v>
      </c>
      <c r="CB355" s="46">
        <f t="shared" si="2006"/>
        <v>71.099999999999994</v>
      </c>
      <c r="CC355" s="46">
        <f t="shared" si="2006"/>
        <v>77</v>
      </c>
      <c r="CD355" s="46">
        <f t="shared" si="2006"/>
        <v>81</v>
      </c>
      <c r="CE355" s="50">
        <f t="shared" si="2006"/>
        <v>307.3</v>
      </c>
      <c r="CF355" s="46">
        <f t="shared" si="2006"/>
        <v>56.800000000000004</v>
      </c>
      <c r="CG355" s="46">
        <f t="shared" si="2006"/>
        <v>51.1</v>
      </c>
      <c r="CH355" s="46">
        <f t="shared" si="2006"/>
        <v>59</v>
      </c>
      <c r="CI355" s="46">
        <f>CI368-CI329</f>
        <v>67.300000000000011</v>
      </c>
      <c r="CJ355" s="50">
        <f t="shared" si="2006"/>
        <v>234.2</v>
      </c>
      <c r="CK355" s="46">
        <f>CK368-CK329</f>
        <v>63.300000000000004</v>
      </c>
      <c r="CL355" s="46">
        <f t="shared" si="2006"/>
        <v>56.3</v>
      </c>
      <c r="CM355" s="46">
        <f t="shared" si="2006"/>
        <v>62.1</v>
      </c>
      <c r="CN355" s="46">
        <f t="shared" si="2006"/>
        <v>52.2</v>
      </c>
      <c r="CO355" s="50">
        <f t="shared" si="2006"/>
        <v>233.89999999999998</v>
      </c>
      <c r="CP355" s="46">
        <f>CP368-CP329</f>
        <v>222.60000000000002</v>
      </c>
      <c r="CQ355" s="46">
        <f t="shared" si="2006"/>
        <v>224.00712275102006</v>
      </c>
      <c r="CR355" s="46">
        <f t="shared" si="2006"/>
        <v>226.01661466589451</v>
      </c>
      <c r="CS355" s="46">
        <f t="shared" si="2006"/>
        <v>227.54826882107545</v>
      </c>
      <c r="CT355" s="50">
        <f t="shared" si="2006"/>
        <v>900.17200623798999</v>
      </c>
      <c r="CU355" s="46">
        <f t="shared" si="2006"/>
        <v>226.71957659406308</v>
      </c>
      <c r="CV355" s="46">
        <f t="shared" si="2006"/>
        <v>227.32463228035368</v>
      </c>
      <c r="CW355" s="46">
        <f t="shared" si="2006"/>
        <v>228.73561870111695</v>
      </c>
      <c r="CX355" s="46">
        <f t="shared" si="2006"/>
        <v>230.26733410985327</v>
      </c>
      <c r="CY355" s="50">
        <f t="shared" si="2006"/>
        <v>913.04716168538698</v>
      </c>
      <c r="CZ355" s="46">
        <f t="shared" si="2006"/>
        <v>230.99280125533181</v>
      </c>
      <c r="DA355" s="46">
        <f t="shared" si="2006"/>
        <v>228.11459648168704</v>
      </c>
      <c r="DB355" s="46">
        <f t="shared" si="2006"/>
        <v>228.72019396693625</v>
      </c>
      <c r="DC355" s="46">
        <f t="shared" si="2006"/>
        <v>229.53743551696499</v>
      </c>
      <c r="DD355" s="50">
        <f t="shared" si="2006"/>
        <v>917.36502722092018</v>
      </c>
      <c r="DE355" s="46">
        <f t="shared" si="2006"/>
        <v>234.17790839020586</v>
      </c>
      <c r="DF355" s="46">
        <f t="shared" si="2006"/>
        <v>229.30129278453182</v>
      </c>
      <c r="DG355" s="46">
        <f t="shared" si="2006"/>
        <v>231.23170783346592</v>
      </c>
      <c r="DH355" s="46">
        <f t="shared" si="2006"/>
        <v>231.28043110417403</v>
      </c>
      <c r="DI355" s="50">
        <f t="shared" si="2006"/>
        <v>925.99134011237754</v>
      </c>
      <c r="DJ355" s="46">
        <f t="shared" si="2006"/>
        <v>235.39570217266339</v>
      </c>
      <c r="DK355" s="46">
        <f t="shared" si="2006"/>
        <v>229.55436790747473</v>
      </c>
      <c r="DL355" s="46">
        <f t="shared" si="2006"/>
        <v>230.58702847082247</v>
      </c>
      <c r="DM355" s="46">
        <f t="shared" si="2006"/>
        <v>229.80151473618997</v>
      </c>
      <c r="DN355" s="50">
        <f t="shared" si="2006"/>
        <v>925.33861328715057</v>
      </c>
      <c r="DO355" s="46">
        <f t="shared" si="2006"/>
        <v>236.73063398358741</v>
      </c>
      <c r="DP355" s="46">
        <f t="shared" si="2006"/>
        <v>229.66230220942316</v>
      </c>
      <c r="DQ355" s="46">
        <f t="shared" si="2006"/>
        <v>229.57486598744899</v>
      </c>
      <c r="DR355" s="46">
        <f t="shared" si="2006"/>
        <v>227.85849192701014</v>
      </c>
      <c r="DS355" s="50">
        <f t="shared" si="2006"/>
        <v>923.82629410746972</v>
      </c>
      <c r="DT355" s="46">
        <f t="shared" si="2006"/>
        <v>239.35772670780648</v>
      </c>
      <c r="DU355" s="46">
        <f t="shared" si="2006"/>
        <v>228.31835663086116</v>
      </c>
      <c r="DV355" s="46">
        <f t="shared" si="2006"/>
        <v>226.93072696975995</v>
      </c>
      <c r="DW355" s="46">
        <f t="shared" si="2006"/>
        <v>224.16771554770457</v>
      </c>
      <c r="DX355" s="50">
        <f t="shared" si="2006"/>
        <v>918.77452585613219</v>
      </c>
      <c r="DY355" s="46">
        <f t="shared" ref="DY355:EC355" si="2009">DY368-DY329</f>
        <v>235.21436664296436</v>
      </c>
      <c r="DZ355" s="46">
        <f t="shared" si="2009"/>
        <v>225.34331713868016</v>
      </c>
      <c r="EA355" s="46">
        <f t="shared" si="2009"/>
        <v>222.45883457524053</v>
      </c>
      <c r="EB355" s="46">
        <f t="shared" si="2009"/>
        <v>218.52452154602338</v>
      </c>
      <c r="EC355" s="50">
        <f t="shared" si="2009"/>
        <v>901.54103990290844</v>
      </c>
      <c r="ED355" s="46"/>
      <c r="EE355" s="37"/>
      <c r="EF355" s="286"/>
      <c r="EG355" s="25"/>
      <c r="EH355" s="25"/>
      <c r="EI355" s="25"/>
      <c r="EJ355" s="25"/>
      <c r="EK355" s="25"/>
      <c r="EL355" s="25"/>
      <c r="EM355" s="25"/>
      <c r="EN355" s="25"/>
      <c r="EO355" s="25"/>
      <c r="EP355" s="25"/>
      <c r="EQ355" s="25"/>
      <c r="ER355" s="25"/>
      <c r="ES355" s="25"/>
      <c r="ET355" s="25"/>
      <c r="EU355" s="25"/>
      <c r="EX355" s="25"/>
      <c r="EY355" s="294"/>
      <c r="EZ355" s="985"/>
      <c r="FA355" s="985"/>
      <c r="FB355" s="294"/>
      <c r="FC355" s="985"/>
      <c r="FD355" s="25"/>
      <c r="FE355"/>
      <c r="FF355"/>
      <c r="FG355"/>
      <c r="FH355"/>
      <c r="FI355"/>
      <c r="FJ355"/>
    </row>
    <row r="356" spans="1:166" hidden="1" outlineLevel="1" x14ac:dyDescent="0.2">
      <c r="A356" s="872" t="s">
        <v>223</v>
      </c>
      <c r="B356" s="243"/>
      <c r="C356" s="666"/>
      <c r="D356" s="298"/>
      <c r="E356" s="298"/>
      <c r="F356" s="119"/>
      <c r="G356" s="243"/>
      <c r="H356" s="666"/>
      <c r="I356" s="298"/>
      <c r="J356" s="298"/>
      <c r="K356" s="119"/>
      <c r="L356" s="243"/>
      <c r="M356" s="666"/>
      <c r="N356" s="298"/>
      <c r="O356" s="298"/>
      <c r="P356" s="119"/>
      <c r="Q356" s="243"/>
      <c r="R356" s="242"/>
      <c r="S356" s="242"/>
      <c r="T356" s="242"/>
      <c r="U356" s="119"/>
      <c r="V356" s="243"/>
      <c r="W356" s="242"/>
      <c r="X356" s="242"/>
      <c r="Y356" s="242"/>
      <c r="Z356" s="119"/>
      <c r="AA356" s="119"/>
      <c r="AB356" s="241"/>
      <c r="AC356" s="242"/>
      <c r="AD356" s="242"/>
      <c r="AE356" s="242"/>
      <c r="AF356" s="243"/>
      <c r="AG356" s="242"/>
      <c r="AH356" s="242"/>
      <c r="AI356" s="242"/>
      <c r="AJ356" s="242"/>
      <c r="AK356" s="243"/>
      <c r="AL356" s="242"/>
      <c r="AM356" s="242"/>
      <c r="AN356" s="242"/>
      <c r="AO356" s="242"/>
      <c r="AP356" s="243"/>
      <c r="AQ356" s="242"/>
      <c r="AR356" s="242"/>
      <c r="AS356" s="242"/>
      <c r="AT356" s="242"/>
      <c r="AU356" s="241"/>
      <c r="AV356" s="45"/>
      <c r="AW356" s="242">
        <f t="shared" ref="AW356:CB356" si="2010">AW355/AW20</f>
        <v>0.158988105210253</v>
      </c>
      <c r="AX356" s="242">
        <f t="shared" si="2010"/>
        <v>0.15505617977528088</v>
      </c>
      <c r="AY356" s="242">
        <f t="shared" si="2010"/>
        <v>0.17366666666666664</v>
      </c>
      <c r="AZ356" s="242">
        <f t="shared" si="2010"/>
        <v>0.15742642026009582</v>
      </c>
      <c r="BA356" s="243">
        <f t="shared" si="2010"/>
        <v>0.16125275547976542</v>
      </c>
      <c r="BB356" s="242">
        <f t="shared" si="2010"/>
        <v>0.12391304347826088</v>
      </c>
      <c r="BC356" s="242">
        <f t="shared" si="2010"/>
        <v>0.11236143768894861</v>
      </c>
      <c r="BD356" s="242">
        <f t="shared" si="2010"/>
        <v>0.11041632384400196</v>
      </c>
      <c r="BE356" s="242">
        <f t="shared" si="2010"/>
        <v>0.11780916293489496</v>
      </c>
      <c r="BF356" s="243">
        <f t="shared" si="2010"/>
        <v>0.1159395470308687</v>
      </c>
      <c r="BG356" s="242">
        <f t="shared" si="2010"/>
        <v>0.11861730128092647</v>
      </c>
      <c r="BH356" s="242">
        <f t="shared" si="2010"/>
        <v>0.10151627218934911</v>
      </c>
      <c r="BI356" s="242">
        <f t="shared" si="2010"/>
        <v>0.13078779899056395</v>
      </c>
      <c r="BJ356" s="242">
        <f t="shared" si="2010"/>
        <v>0.14833127317676142</v>
      </c>
      <c r="BK356" s="243">
        <f t="shared" si="2010"/>
        <v>0.12283728245978992</v>
      </c>
      <c r="BL356" s="242">
        <f t="shared" si="2010"/>
        <v>0.16447970704913031</v>
      </c>
      <c r="BM356" s="242">
        <f t="shared" si="2010"/>
        <v>0.18217750628817822</v>
      </c>
      <c r="BN356" s="242">
        <f t="shared" si="2010"/>
        <v>0.19483824063976732</v>
      </c>
      <c r="BO356" s="242">
        <f t="shared" si="2010"/>
        <v>0.19532428355957768</v>
      </c>
      <c r="BP356" s="243">
        <f t="shared" si="2010"/>
        <v>0.18319811567652447</v>
      </c>
      <c r="BQ356" s="242">
        <f t="shared" si="2010"/>
        <v>0.19925280199252801</v>
      </c>
      <c r="BR356" s="242">
        <f t="shared" si="2010"/>
        <v>0.17955589586523737</v>
      </c>
      <c r="BS356" s="242">
        <f t="shared" si="2010"/>
        <v>0.16851918250268916</v>
      </c>
      <c r="BT356" s="242">
        <f t="shared" si="2010"/>
        <v>0.16934902714388658</v>
      </c>
      <c r="BU356" s="243">
        <f t="shared" si="2010"/>
        <v>0.17739914808318716</v>
      </c>
      <c r="BV356" s="1080">
        <f t="shared" si="2010"/>
        <v>5.1524259338772013E-2</v>
      </c>
      <c r="BW356" s="1080">
        <f t="shared" si="2010"/>
        <v>4.4299612732596576E-2</v>
      </c>
      <c r="BX356" s="1080">
        <f t="shared" si="2010"/>
        <v>4.2311847317248831E-2</v>
      </c>
      <c r="BY356" s="1080">
        <f t="shared" si="2010"/>
        <v>6.4643315606088395E-2</v>
      </c>
      <c r="BZ356" s="243">
        <f t="shared" si="2010"/>
        <v>5.0671565236061741E-2</v>
      </c>
      <c r="CA356" s="242">
        <f t="shared" si="2010"/>
        <v>8.3788706739526431E-2</v>
      </c>
      <c r="CB356" s="242">
        <f t="shared" si="2010"/>
        <v>6.8221070811744389E-2</v>
      </c>
      <c r="CC356" s="242">
        <f t="shared" ref="CC356:DH356" si="2011">CC355/CC20</f>
        <v>7.5512405609492989E-2</v>
      </c>
      <c r="CD356" s="242">
        <f t="shared" si="2011"/>
        <v>7.6631977294228951E-2</v>
      </c>
      <c r="CE356" s="243">
        <f t="shared" si="2011"/>
        <v>7.5835348699471894E-2</v>
      </c>
      <c r="CF356" s="242">
        <f t="shared" si="2011"/>
        <v>6.1839956450734895E-2</v>
      </c>
      <c r="CG356" s="242">
        <f t="shared" si="2011"/>
        <v>4.9125168236877521E-2</v>
      </c>
      <c r="CH356" s="242">
        <f t="shared" si="2011"/>
        <v>5.4848005949614212E-2</v>
      </c>
      <c r="CI356" s="242">
        <f t="shared" si="2011"/>
        <v>6.0555345606363262E-2</v>
      </c>
      <c r="CJ356" s="243">
        <f t="shared" si="2011"/>
        <v>5.6491178982000963E-2</v>
      </c>
      <c r="CK356" s="242">
        <f t="shared" si="2011"/>
        <v>6.3262042774335406E-2</v>
      </c>
      <c r="CL356" s="242">
        <f t="shared" si="2011"/>
        <v>4.9704246490685965E-2</v>
      </c>
      <c r="CM356" s="242">
        <f t="shared" si="2011"/>
        <v>5.1381764024491149E-2</v>
      </c>
      <c r="CN356" s="242">
        <f t="shared" si="2011"/>
        <v>4.2294603791929987E-2</v>
      </c>
      <c r="CO356" s="243">
        <f t="shared" si="2011"/>
        <v>5.1113393501016138E-2</v>
      </c>
      <c r="CP356" s="242">
        <f t="shared" si="2011"/>
        <v>0.17754027755622909</v>
      </c>
      <c r="CQ356" s="242">
        <f t="shared" si="2011"/>
        <v>0.16353890071725374</v>
      </c>
      <c r="CR356" s="242">
        <f t="shared" si="2011"/>
        <v>0.15805455197690912</v>
      </c>
      <c r="CS356" s="242">
        <f t="shared" si="2011"/>
        <v>0.15583303269030563</v>
      </c>
      <c r="CT356" s="243">
        <f t="shared" si="2011"/>
        <v>0.16325963576205549</v>
      </c>
      <c r="CU356" s="242">
        <f t="shared" si="2011"/>
        <v>0.17053547560656113</v>
      </c>
      <c r="CV356" s="242">
        <f t="shared" si="2011"/>
        <v>0.15603002027938515</v>
      </c>
      <c r="CW356" s="242">
        <f t="shared" si="2011"/>
        <v>0.15035641948922635</v>
      </c>
      <c r="CX356" s="242">
        <f t="shared" si="2011"/>
        <v>0.14774544584391303</v>
      </c>
      <c r="CY356" s="243">
        <f t="shared" si="2011"/>
        <v>0.15564499208153876</v>
      </c>
      <c r="CZ356" s="242">
        <f t="shared" si="2011"/>
        <v>0.16114302523026439</v>
      </c>
      <c r="DA356" s="242">
        <f t="shared" si="2011"/>
        <v>0.14682936000327079</v>
      </c>
      <c r="DB356" s="242">
        <f t="shared" si="2011"/>
        <v>0.14078773145185833</v>
      </c>
      <c r="DC356" s="242">
        <f t="shared" si="2011"/>
        <v>0.13768821912001877</v>
      </c>
      <c r="DD356" s="243">
        <f t="shared" si="2011"/>
        <v>0.14610692491545443</v>
      </c>
      <c r="DE356" s="242">
        <f t="shared" si="2011"/>
        <v>0.15152527583482328</v>
      </c>
      <c r="DF356" s="242">
        <f t="shared" si="2011"/>
        <v>0.13887276373406088</v>
      </c>
      <c r="DG356" s="242">
        <f t="shared" si="2011"/>
        <v>0.13171438694960211</v>
      </c>
      <c r="DH356" s="242">
        <f t="shared" si="2011"/>
        <v>0.12836844038880327</v>
      </c>
      <c r="DI356" s="243">
        <f t="shared" ref="DI356:EC356" si="2012">DI355/DI20</f>
        <v>0.13710512963481944</v>
      </c>
      <c r="DJ356" s="242">
        <f t="shared" si="2012"/>
        <v>0.14300987985403557</v>
      </c>
      <c r="DK356" s="242">
        <f t="shared" si="2012"/>
        <v>0.13044232992974378</v>
      </c>
      <c r="DL356" s="242">
        <f t="shared" si="2012"/>
        <v>0.12307400668614106</v>
      </c>
      <c r="DM356" s="242">
        <f t="shared" si="2012"/>
        <v>0.11946955684215574</v>
      </c>
      <c r="DN356" s="243">
        <f t="shared" si="2012"/>
        <v>0.12846743102298749</v>
      </c>
      <c r="DO356" s="242">
        <f t="shared" si="2012"/>
        <v>0.13471819076894731</v>
      </c>
      <c r="DP356" s="242">
        <f t="shared" si="2012"/>
        <v>0.12233443185047883</v>
      </c>
      <c r="DQ356" s="242">
        <f t="shared" si="2012"/>
        <v>0.11484838858762124</v>
      </c>
      <c r="DR356" s="242">
        <f t="shared" si="2012"/>
        <v>0.11104192856761499</v>
      </c>
      <c r="DS356" s="243">
        <f t="shared" si="2012"/>
        <v>0.12020375665713709</v>
      </c>
      <c r="DT356" s="242">
        <f t="shared" si="2012"/>
        <v>0.12631923864858344</v>
      </c>
      <c r="DU356" s="242">
        <f t="shared" si="2012"/>
        <v>0.11413840395002922</v>
      </c>
      <c r="DV356" s="242">
        <f t="shared" si="2012"/>
        <v>0.10653500110406315</v>
      </c>
      <c r="DW356" s="242">
        <f t="shared" si="2012"/>
        <v>0.10252413956626619</v>
      </c>
      <c r="DX356" s="243">
        <f t="shared" si="2012"/>
        <v>0.1118844010452873</v>
      </c>
      <c r="DY356" s="242">
        <f t="shared" si="2012"/>
        <v>0.11782694204978357</v>
      </c>
      <c r="DZ356" s="242">
        <f t="shared" si="2012"/>
        <v>0.10584417474202548</v>
      </c>
      <c r="EA356" s="242">
        <f t="shared" si="2012"/>
        <v>9.8115529948390526E-2</v>
      </c>
      <c r="EB356" s="242">
        <f t="shared" si="2012"/>
        <v>9.3899282082348851E-2</v>
      </c>
      <c r="EC356" s="243">
        <f t="shared" si="2012"/>
        <v>0.10338989630941568</v>
      </c>
      <c r="ED356" s="242"/>
      <c r="EE356" s="242"/>
      <c r="EF356" s="774"/>
      <c r="EG356" s="43"/>
      <c r="EH356" s="43"/>
      <c r="EI356" s="43"/>
      <c r="EJ356" s="43"/>
      <c r="EK356" s="43"/>
      <c r="EL356" s="43"/>
      <c r="EM356" s="43"/>
      <c r="EN356" s="43"/>
      <c r="EO356" s="43"/>
      <c r="EP356" s="43"/>
      <c r="EQ356" s="43"/>
      <c r="ER356" s="43"/>
      <c r="ES356" s="43"/>
      <c r="ET356" s="43"/>
      <c r="EU356" s="43"/>
      <c r="EX356" s="43"/>
      <c r="EY356" s="274"/>
      <c r="EZ356" s="990"/>
      <c r="FA356" s="990"/>
      <c r="FB356" s="274"/>
      <c r="FC356" s="990"/>
      <c r="FD356" s="43"/>
    </row>
    <row r="357" spans="1:166" hidden="1" outlineLevel="1" x14ac:dyDescent="0.2">
      <c r="A357" s="872" t="s">
        <v>276</v>
      </c>
      <c r="B357" s="243"/>
      <c r="C357" s="666"/>
      <c r="D357" s="298"/>
      <c r="E357" s="298"/>
      <c r="F357" s="119"/>
      <c r="G357" s="243"/>
      <c r="H357" s="666"/>
      <c r="I357" s="298"/>
      <c r="J357" s="298"/>
      <c r="K357" s="119"/>
      <c r="L357" s="243"/>
      <c r="M357" s="666"/>
      <c r="N357" s="298"/>
      <c r="O357" s="298"/>
      <c r="P357" s="119"/>
      <c r="Q357" s="243"/>
      <c r="R357" s="242"/>
      <c r="S357" s="242"/>
      <c r="T357" s="242"/>
      <c r="U357" s="119"/>
      <c r="V357" s="243"/>
      <c r="W357" s="242"/>
      <c r="X357" s="242"/>
      <c r="Y357" s="242"/>
      <c r="Z357" s="119"/>
      <c r="AA357" s="119"/>
      <c r="AB357" s="241"/>
      <c r="AC357" s="242"/>
      <c r="AD357" s="242"/>
      <c r="AE357" s="242"/>
      <c r="AF357" s="243"/>
      <c r="AG357" s="242"/>
      <c r="AH357" s="242"/>
      <c r="AI357" s="242"/>
      <c r="AJ357" s="242"/>
      <c r="AK357" s="243"/>
      <c r="AL357" s="242"/>
      <c r="AM357" s="242"/>
      <c r="AN357" s="242"/>
      <c r="AO357" s="242"/>
      <c r="AP357" s="243"/>
      <c r="AQ357" s="242"/>
      <c r="AR357" s="242"/>
      <c r="AS357" s="242"/>
      <c r="AT357" s="242"/>
      <c r="AU357" s="241"/>
      <c r="AV357" s="45"/>
      <c r="AW357" s="242"/>
      <c r="AX357" s="242"/>
      <c r="AY357" s="242"/>
      <c r="AZ357" s="242"/>
      <c r="BA357" s="243"/>
      <c r="BB357" s="242">
        <f t="shared" ref="BB357:CL357" si="2013">BB355/AW355-1</f>
        <v>-0.27924130663856694</v>
      </c>
      <c r="BC357" s="242">
        <f t="shared" si="2013"/>
        <v>-0.30745341614906818</v>
      </c>
      <c r="BD357" s="242">
        <f t="shared" si="2013"/>
        <v>-0.35604606525911708</v>
      </c>
      <c r="BE357" s="242">
        <f t="shared" si="2013"/>
        <v>-0.25652173913043474</v>
      </c>
      <c r="BF357" s="243">
        <f t="shared" si="2013"/>
        <v>-0.30152179520247624</v>
      </c>
      <c r="BG357" s="242">
        <f t="shared" si="2013"/>
        <v>-1.1695906432748648E-2</v>
      </c>
      <c r="BH357" s="242">
        <f t="shared" si="2013"/>
        <v>-0.17937219730941723</v>
      </c>
      <c r="BI357" s="242">
        <f t="shared" si="2013"/>
        <v>-0.11177347242921021</v>
      </c>
      <c r="BJ357" s="242">
        <f t="shared" si="2013"/>
        <v>-0.1228070175438597</v>
      </c>
      <c r="BK357" s="243">
        <f t="shared" si="2013"/>
        <v>-0.10598227474150679</v>
      </c>
      <c r="BL357" s="242">
        <f t="shared" si="2013"/>
        <v>-0.2026627218934911</v>
      </c>
      <c r="BM357" s="242">
        <f t="shared" si="2013"/>
        <v>-7.650273224043691E-2</v>
      </c>
      <c r="BN357" s="242">
        <f t="shared" si="2013"/>
        <v>-0.10067114093959717</v>
      </c>
      <c r="BO357" s="242">
        <f t="shared" si="2013"/>
        <v>-0.13666666666666671</v>
      </c>
      <c r="BP357" s="243">
        <f t="shared" si="2013"/>
        <v>-0.13258983890954135</v>
      </c>
      <c r="BQ357" s="242">
        <f t="shared" si="2013"/>
        <v>-0.10946196660482377</v>
      </c>
      <c r="BR357" s="242">
        <f t="shared" si="2013"/>
        <v>-7.495069033530577E-2</v>
      </c>
      <c r="BS357" s="242">
        <f t="shared" si="2013"/>
        <v>-0.12313432835820881</v>
      </c>
      <c r="BT357" s="242">
        <f t="shared" si="2013"/>
        <v>0.36100386100386106</v>
      </c>
      <c r="BU357" s="243">
        <f t="shared" si="2013"/>
        <v>1.1428571428571566E-2</v>
      </c>
      <c r="BV357" s="1080">
        <f t="shared" ref="BV357" si="2014">BV355/BQ355-1</f>
        <v>0</v>
      </c>
      <c r="BW357" s="1080">
        <f t="shared" ref="BW357" si="2015">BW355/BR355-1</f>
        <v>0</v>
      </c>
      <c r="BX357" s="1080">
        <f t="shared" ref="BX357" si="2016">BX355/BS355-1</f>
        <v>0</v>
      </c>
      <c r="BY357" s="1080">
        <f t="shared" ref="BY357" si="2017">BY355/BT355-1</f>
        <v>0</v>
      </c>
      <c r="BZ357" s="243">
        <f t="shared" ref="BZ357" si="2018">BZ355/BU355-1</f>
        <v>0</v>
      </c>
      <c r="CA357" s="242">
        <f>CA355/BQ355-1</f>
        <v>0.6291666666666671</v>
      </c>
      <c r="CB357" s="242">
        <f>CB355/BR355-1</f>
        <v>0.51599147121535172</v>
      </c>
      <c r="CC357" s="242">
        <f>CC355/BS355-1</f>
        <v>0.63829787234042556</v>
      </c>
      <c r="CD357" s="242">
        <f>CD355/BT355-1</f>
        <v>0.14893617021276606</v>
      </c>
      <c r="CE357" s="243">
        <f>CE355/BU355-1</f>
        <v>0.44679849340866284</v>
      </c>
      <c r="CF357" s="242">
        <f t="shared" ref="CF357:CG357" si="2019">CF355/CA355-1</f>
        <v>-0.2736572890025577</v>
      </c>
      <c r="CG357" s="242">
        <f t="shared" si="2019"/>
        <v>-0.28129395218002806</v>
      </c>
      <c r="CH357" s="242">
        <f t="shared" si="2013"/>
        <v>-0.23376623376623373</v>
      </c>
      <c r="CI357" s="242">
        <f t="shared" si="2013"/>
        <v>-0.16913580246913562</v>
      </c>
      <c r="CJ357" s="243">
        <f t="shared" si="2013"/>
        <v>-0.23787829482590306</v>
      </c>
      <c r="CK357" s="242">
        <f t="shared" si="2013"/>
        <v>0.11443661971830976</v>
      </c>
      <c r="CL357" s="242">
        <f t="shared" si="2013"/>
        <v>0.10176125244618395</v>
      </c>
      <c r="CM357" s="242">
        <f t="shared" ref="CM357:DR357" si="2020">CM355/CH355-1</f>
        <v>5.2542372881355881E-2</v>
      </c>
      <c r="CN357" s="242">
        <f t="shared" si="2020"/>
        <v>-0.22436849925705804</v>
      </c>
      <c r="CO357" s="243">
        <f t="shared" si="2020"/>
        <v>-1.2809564474808299E-3</v>
      </c>
      <c r="CP357" s="242">
        <f>CP355/CK355-1</f>
        <v>2.5165876777251186</v>
      </c>
      <c r="CQ357" s="242">
        <f t="shared" si="2020"/>
        <v>2.9788121270163423</v>
      </c>
      <c r="CR357" s="242">
        <f t="shared" si="2020"/>
        <v>2.6395590123332449</v>
      </c>
      <c r="CS357" s="242">
        <f t="shared" si="2020"/>
        <v>3.3591622379516366</v>
      </c>
      <c r="CT357" s="243">
        <f t="shared" si="2020"/>
        <v>2.8485335880204792</v>
      </c>
      <c r="CU357" s="242">
        <f t="shared" si="2020"/>
        <v>1.850663339650982E-2</v>
      </c>
      <c r="CV357" s="242">
        <f t="shared" si="2020"/>
        <v>1.4809839475599995E-2</v>
      </c>
      <c r="CW357" s="242">
        <f t="shared" si="2020"/>
        <v>1.2030106898299309E-2</v>
      </c>
      <c r="CX357" s="242">
        <f t="shared" si="2020"/>
        <v>1.1949400023411494E-2</v>
      </c>
      <c r="CY357" s="243">
        <f t="shared" si="2020"/>
        <v>1.4302994714537887E-2</v>
      </c>
      <c r="CZ357" s="242">
        <f t="shared" si="2020"/>
        <v>1.8848062110312869E-2</v>
      </c>
      <c r="DA357" s="242">
        <f t="shared" si="2020"/>
        <v>3.4750488471444463E-3</v>
      </c>
      <c r="DB357" s="242">
        <f t="shared" si="2020"/>
        <v>-6.7434771498620094E-5</v>
      </c>
      <c r="DC357" s="242">
        <f t="shared" si="2020"/>
        <v>-3.1697878281774505E-3</v>
      </c>
      <c r="DD357" s="243">
        <f t="shared" si="2020"/>
        <v>4.7290717464834042E-3</v>
      </c>
      <c r="DE357" s="242">
        <f t="shared" si="2020"/>
        <v>1.3788772280194816E-2</v>
      </c>
      <c r="DF357" s="242">
        <f t="shared" si="2020"/>
        <v>5.2021936392836476E-3</v>
      </c>
      <c r="DG357" s="242">
        <f t="shared" si="2020"/>
        <v>1.0980726375620087E-2</v>
      </c>
      <c r="DH357" s="242">
        <f t="shared" si="2020"/>
        <v>7.5935133773863406E-3</v>
      </c>
      <c r="DI357" s="243">
        <f t="shared" si="2020"/>
        <v>9.4033592250513109E-3</v>
      </c>
      <c r="DJ357" s="242">
        <f t="shared" si="2020"/>
        <v>5.2002931908861072E-3</v>
      </c>
      <c r="DK357" s="242">
        <f t="shared" si="2020"/>
        <v>1.1036794423164853E-3</v>
      </c>
      <c r="DL357" s="242">
        <f t="shared" si="2020"/>
        <v>-2.7880231854177095E-3</v>
      </c>
      <c r="DM357" s="242">
        <f t="shared" si="2020"/>
        <v>-6.3944725497243615E-3</v>
      </c>
      <c r="DN357" s="243">
        <f t="shared" si="2020"/>
        <v>-7.0489517228933263E-4</v>
      </c>
      <c r="DO357" s="242">
        <f t="shared" si="2020"/>
        <v>5.6710118264811094E-3</v>
      </c>
      <c r="DP357" s="242">
        <f t="shared" si="2020"/>
        <v>4.7019058244157641E-4</v>
      </c>
      <c r="DQ357" s="242">
        <f t="shared" si="2020"/>
        <v>-4.3895031307086274E-3</v>
      </c>
      <c r="DR357" s="242">
        <f t="shared" si="2020"/>
        <v>-8.4552219397265871E-3</v>
      </c>
      <c r="DS357" s="243">
        <f t="shared" ref="DS357:DX357" si="2021">DS355/DN355-1</f>
        <v>-1.6343413729472678E-3</v>
      </c>
      <c r="DT357" s="242">
        <f t="shared" si="2021"/>
        <v>1.109739234002638E-2</v>
      </c>
      <c r="DU357" s="242">
        <f t="shared" si="2021"/>
        <v>-5.8518336080097821E-3</v>
      </c>
      <c r="DV357" s="242">
        <f t="shared" si="2021"/>
        <v>-1.1517545730958201E-2</v>
      </c>
      <c r="DW357" s="242">
        <f t="shared" si="2021"/>
        <v>-1.619766877280937E-2</v>
      </c>
      <c r="DX357" s="243">
        <f t="shared" si="2021"/>
        <v>-5.4683096633638684E-3</v>
      </c>
      <c r="DY357" s="242">
        <f t="shared" ref="DY357" si="2022">DY355/DT355-1</f>
        <v>-1.73103251013913E-2</v>
      </c>
      <c r="DZ357" s="242">
        <f t="shared" ref="DZ357" si="2023">DZ355/DU355-1</f>
        <v>-1.303022470939974E-2</v>
      </c>
      <c r="EA357" s="242">
        <f t="shared" ref="EA357" si="2024">EA355/DV355-1</f>
        <v>-1.9705980121040745E-2</v>
      </c>
      <c r="EB357" s="242">
        <f t="shared" ref="EB357" si="2025">EB355/DW355-1</f>
        <v>-2.5173981846106974E-2</v>
      </c>
      <c r="EC357" s="243">
        <f t="shared" ref="EC357" si="2026">EC355/DX355-1</f>
        <v>-1.8757035015925405E-2</v>
      </c>
      <c r="ED357" s="242"/>
      <c r="EE357" s="242"/>
      <c r="EF357" s="774"/>
      <c r="EG357" s="43"/>
      <c r="EH357" s="43"/>
      <c r="EI357" s="43"/>
      <c r="EJ357" s="43"/>
      <c r="EK357" s="43"/>
      <c r="EL357" s="43"/>
      <c r="EM357" s="43"/>
      <c r="EN357" s="43"/>
      <c r="EO357" s="43"/>
      <c r="EP357" s="43"/>
      <c r="EQ357" s="43"/>
      <c r="ER357" s="43"/>
      <c r="ES357" s="43"/>
      <c r="ET357" s="43"/>
      <c r="EU357" s="43"/>
      <c r="EX357" s="43"/>
      <c r="EY357" s="274"/>
      <c r="EZ357" s="990"/>
      <c r="FA357" s="990"/>
      <c r="FB357" s="274"/>
      <c r="FC357" s="990"/>
      <c r="FD357" s="43"/>
    </row>
    <row r="358" spans="1:166" hidden="1" outlineLevel="1" x14ac:dyDescent="0.2">
      <c r="A358" s="872"/>
      <c r="B358" s="85"/>
      <c r="C358" s="95"/>
      <c r="D358" s="41"/>
      <c r="E358" s="41"/>
      <c r="F358" s="39"/>
      <c r="G358" s="85"/>
      <c r="H358" s="95"/>
      <c r="I358" s="41"/>
      <c r="J358" s="41"/>
      <c r="K358" s="38"/>
      <c r="L358" s="85"/>
      <c r="M358" s="41"/>
      <c r="N358" s="41"/>
      <c r="O358" s="41"/>
      <c r="P358" s="38"/>
      <c r="Q358" s="85"/>
      <c r="R358" s="38"/>
      <c r="S358" s="38"/>
      <c r="T358" s="38"/>
      <c r="U358" s="38"/>
      <c r="V358" s="85"/>
      <c r="W358" s="38"/>
      <c r="X358" s="38"/>
      <c r="Y358" s="38"/>
      <c r="Z358" s="38"/>
      <c r="AA358" s="54"/>
      <c r="AB358" s="38"/>
      <c r="AC358" s="38"/>
      <c r="AD358" s="38"/>
      <c r="AE358" s="38"/>
      <c r="AF358" s="85"/>
      <c r="AG358" s="38"/>
      <c r="AH358" s="38"/>
      <c r="AI358" s="38"/>
      <c r="AJ358" s="38"/>
      <c r="AK358" s="85"/>
      <c r="AL358" s="38"/>
      <c r="AM358" s="38"/>
      <c r="AN358" s="38"/>
      <c r="AO358" s="38"/>
      <c r="AP358" s="85"/>
      <c r="AQ358" s="38"/>
      <c r="AR358" s="38"/>
      <c r="AS358" s="38"/>
      <c r="AT358" s="38"/>
      <c r="AU358" s="86"/>
      <c r="AV358" s="45"/>
      <c r="AW358" s="38"/>
      <c r="AX358" s="38"/>
      <c r="AY358" s="38"/>
      <c r="AZ358" s="38"/>
      <c r="BA358" s="85"/>
      <c r="BB358" s="38"/>
      <c r="BC358" s="38"/>
      <c r="BD358" s="38"/>
      <c r="BE358" s="38"/>
      <c r="BF358" s="85"/>
      <c r="BG358" s="38"/>
      <c r="BH358" s="38"/>
      <c r="BI358" s="38"/>
      <c r="BJ358" s="38"/>
      <c r="BK358" s="85"/>
      <c r="BL358" s="38"/>
      <c r="BM358" s="38"/>
      <c r="BN358" s="38"/>
      <c r="BO358" s="38"/>
      <c r="BP358" s="85"/>
      <c r="BQ358" s="38"/>
      <c r="BR358" s="38"/>
      <c r="BS358" s="38"/>
      <c r="BT358" s="38"/>
      <c r="BU358" s="85"/>
      <c r="BV358" s="1070"/>
      <c r="BW358" s="1070"/>
      <c r="BX358" s="1070"/>
      <c r="BY358" s="1070"/>
      <c r="BZ358" s="85"/>
      <c r="CA358" s="38"/>
      <c r="CB358" s="38"/>
      <c r="CC358" s="38"/>
      <c r="CD358" s="38"/>
      <c r="CE358" s="85"/>
      <c r="CF358" s="38"/>
      <c r="CG358" s="38"/>
      <c r="CH358" s="38"/>
      <c r="CI358" s="38"/>
      <c r="CJ358" s="85"/>
      <c r="CK358" s="38"/>
      <c r="CL358" s="38"/>
      <c r="CM358" s="38"/>
      <c r="CN358" s="38"/>
      <c r="CO358" s="85"/>
      <c r="CP358" s="38"/>
      <c r="CQ358" s="38"/>
      <c r="CR358" s="38"/>
      <c r="CS358" s="38"/>
      <c r="CT358" s="85"/>
      <c r="CU358" s="38"/>
      <c r="CV358" s="38"/>
      <c r="CW358" s="38"/>
      <c r="CX358" s="38"/>
      <c r="CY358" s="85"/>
      <c r="CZ358" s="38"/>
      <c r="DA358" s="38"/>
      <c r="DB358" s="38"/>
      <c r="DC358" s="38"/>
      <c r="DD358" s="85"/>
      <c r="DE358" s="38"/>
      <c r="DF358" s="38"/>
      <c r="DG358" s="38"/>
      <c r="DH358" s="38"/>
      <c r="DI358" s="85"/>
      <c r="DJ358" s="38"/>
      <c r="DK358" s="38"/>
      <c r="DL358" s="38"/>
      <c r="DM358" s="38"/>
      <c r="DN358" s="85"/>
      <c r="DO358" s="38"/>
      <c r="DP358" s="38"/>
      <c r="DQ358" s="38"/>
      <c r="DR358" s="38"/>
      <c r="DS358" s="85"/>
      <c r="DT358" s="38"/>
      <c r="DU358" s="38"/>
      <c r="DV358" s="38"/>
      <c r="DW358" s="38"/>
      <c r="DX358" s="85"/>
      <c r="DY358" s="38"/>
      <c r="DZ358" s="38"/>
      <c r="EA358" s="38"/>
      <c r="EB358" s="38"/>
      <c r="EC358" s="85"/>
      <c r="ED358" s="38"/>
      <c r="EE358" s="21"/>
      <c r="EF358" s="284"/>
      <c r="EG358" s="16"/>
      <c r="EH358" s="16"/>
      <c r="EI358" s="16"/>
      <c r="EJ358" s="16"/>
      <c r="EK358" s="16"/>
      <c r="EL358" s="16"/>
      <c r="EM358" s="16"/>
      <c r="EN358" s="16"/>
      <c r="EO358" s="16"/>
      <c r="EP358" s="16"/>
      <c r="EQ358" s="16"/>
      <c r="ER358" s="16"/>
      <c r="ES358" s="16"/>
      <c r="ET358" s="16"/>
      <c r="EU358" s="16"/>
      <c r="EX358" s="16"/>
      <c r="EY358" s="228"/>
      <c r="EZ358" s="477"/>
      <c r="FA358" s="477"/>
      <c r="FB358" s="228"/>
      <c r="FC358" s="477"/>
      <c r="FD358" s="16"/>
    </row>
    <row r="359" spans="1:166" collapsed="1" x14ac:dyDescent="0.2">
      <c r="A359" s="270" t="s">
        <v>34</v>
      </c>
      <c r="B359" s="438"/>
      <c r="C359" s="869"/>
      <c r="D359" s="816"/>
      <c r="E359" s="816"/>
      <c r="F359" s="441"/>
      <c r="G359" s="438"/>
      <c r="H359" s="869"/>
      <c r="I359" s="816"/>
      <c r="J359" s="816"/>
      <c r="K359" s="440"/>
      <c r="L359" s="438"/>
      <c r="M359" s="816"/>
      <c r="N359" s="816"/>
      <c r="O359" s="816"/>
      <c r="P359" s="440"/>
      <c r="Q359" s="438"/>
      <c r="R359" s="440"/>
      <c r="S359" s="440"/>
      <c r="T359" s="440"/>
      <c r="U359" s="440"/>
      <c r="V359" s="438"/>
      <c r="W359" s="440"/>
      <c r="X359" s="440"/>
      <c r="Y359" s="440"/>
      <c r="Z359" s="440"/>
      <c r="AA359" s="442"/>
      <c r="AB359" s="440"/>
      <c r="AC359" s="440"/>
      <c r="AD359" s="440"/>
      <c r="AE359" s="440"/>
      <c r="AF359" s="438"/>
      <c r="AG359" s="440"/>
      <c r="AH359" s="440"/>
      <c r="AI359" s="440"/>
      <c r="AJ359" s="440"/>
      <c r="AK359" s="438"/>
      <c r="AL359" s="440"/>
      <c r="AM359" s="440"/>
      <c r="AN359" s="440"/>
      <c r="AO359" s="440"/>
      <c r="AP359" s="438"/>
      <c r="AQ359" s="440"/>
      <c r="AR359" s="440"/>
      <c r="AS359" s="440"/>
      <c r="AT359" s="440"/>
      <c r="AU359" s="761"/>
      <c r="AV359" s="45"/>
      <c r="AW359" s="440"/>
      <c r="AX359" s="440"/>
      <c r="AY359" s="440"/>
      <c r="AZ359" s="440"/>
      <c r="BA359" s="438"/>
      <c r="BB359" s="440"/>
      <c r="BC359" s="440"/>
      <c r="BD359" s="440"/>
      <c r="BE359" s="440"/>
      <c r="BF359" s="438"/>
      <c r="BG359" s="440"/>
      <c r="BH359" s="440"/>
      <c r="BI359" s="440"/>
      <c r="BJ359" s="440"/>
      <c r="BK359" s="438"/>
      <c r="BL359" s="440"/>
      <c r="BM359" s="440"/>
      <c r="BN359" s="440"/>
      <c r="BO359" s="440"/>
      <c r="BP359" s="438"/>
      <c r="BQ359" s="440"/>
      <c r="BR359" s="440"/>
      <c r="BS359" s="440"/>
      <c r="BT359" s="440"/>
      <c r="BU359" s="438"/>
      <c r="BV359" s="1300"/>
      <c r="BW359" s="1300"/>
      <c r="BX359" s="1300"/>
      <c r="BY359" s="1300"/>
      <c r="BZ359" s="438"/>
      <c r="CA359" s="440"/>
      <c r="CB359" s="440"/>
      <c r="CC359" s="440"/>
      <c r="CD359" s="440"/>
      <c r="CE359" s="438"/>
      <c r="CF359" s="440"/>
      <c r="CG359" s="440"/>
      <c r="CH359" s="440"/>
      <c r="CI359" s="440"/>
      <c r="CJ359" s="438"/>
      <c r="CK359" s="440"/>
      <c r="CL359" s="440"/>
      <c r="CM359" s="440"/>
      <c r="CN359" s="440"/>
      <c r="CO359" s="438"/>
      <c r="CP359" s="440"/>
      <c r="CQ359" s="440"/>
      <c r="CR359" s="440"/>
      <c r="CS359" s="440"/>
      <c r="CT359" s="438"/>
      <c r="CU359" s="440"/>
      <c r="CV359" s="440"/>
      <c r="CW359" s="440"/>
      <c r="CX359" s="440"/>
      <c r="CY359" s="438"/>
      <c r="CZ359" s="440"/>
      <c r="DA359" s="440"/>
      <c r="DB359" s="440"/>
      <c r="DC359" s="440"/>
      <c r="DD359" s="438"/>
      <c r="DE359" s="440"/>
      <c r="DF359" s="440"/>
      <c r="DG359" s="440"/>
      <c r="DH359" s="440"/>
      <c r="DI359" s="438"/>
      <c r="DJ359" s="440"/>
      <c r="DK359" s="440"/>
      <c r="DL359" s="440"/>
      <c r="DM359" s="440"/>
      <c r="DN359" s="438"/>
      <c r="DO359" s="440"/>
      <c r="DP359" s="440"/>
      <c r="DQ359" s="440"/>
      <c r="DR359" s="440"/>
      <c r="DS359" s="438"/>
      <c r="DT359" s="440"/>
      <c r="DU359" s="440"/>
      <c r="DV359" s="440"/>
      <c r="DW359" s="440"/>
      <c r="DX359" s="438"/>
      <c r="DY359" s="440"/>
      <c r="DZ359" s="440"/>
      <c r="EA359" s="440"/>
      <c r="EB359" s="440"/>
      <c r="EC359" s="438"/>
      <c r="ED359" s="440"/>
      <c r="EE359" s="61"/>
      <c r="EF359" s="285"/>
      <c r="EG359" s="118"/>
      <c r="EH359" s="118"/>
      <c r="EI359" s="118"/>
      <c r="EJ359" s="118"/>
      <c r="EK359" s="118"/>
      <c r="EL359" s="118"/>
      <c r="EM359" s="118"/>
      <c r="EN359" s="118"/>
      <c r="EO359" s="118"/>
      <c r="EP359" s="118"/>
      <c r="EQ359" s="118"/>
      <c r="ER359" s="118"/>
      <c r="ES359" s="118"/>
      <c r="ET359" s="118"/>
      <c r="EU359" s="118"/>
      <c r="EX359" s="118"/>
      <c r="EY359" s="986"/>
      <c r="EZ359" s="987"/>
      <c r="FA359" s="987"/>
      <c r="FB359" s="986"/>
      <c r="FC359" s="987"/>
      <c r="FD359" s="118"/>
    </row>
    <row r="360" spans="1:166" x14ac:dyDescent="0.2">
      <c r="A360" s="23" t="s">
        <v>25</v>
      </c>
      <c r="B360" s="16"/>
      <c r="C360" s="16"/>
      <c r="D360" s="16"/>
      <c r="E360" s="16"/>
      <c r="F360" s="16"/>
      <c r="G360" s="16"/>
      <c r="H360" s="16"/>
      <c r="I360" s="16"/>
      <c r="J360" s="16"/>
      <c r="K360" s="16"/>
      <c r="L360" s="16"/>
      <c r="M360" s="16"/>
      <c r="N360" s="16"/>
      <c r="O360" s="16"/>
      <c r="P360" s="16"/>
      <c r="Q360" s="16"/>
      <c r="R360" s="16"/>
      <c r="S360" s="16"/>
      <c r="T360" s="16"/>
      <c r="U360" s="16"/>
      <c r="V360" s="16"/>
      <c r="W360" s="296">
        <v>11103</v>
      </c>
      <c r="X360" s="296">
        <v>11121.5</v>
      </c>
      <c r="Y360" s="296">
        <v>11125</v>
      </c>
      <c r="Z360" s="296">
        <v>11119</v>
      </c>
      <c r="AA360" s="296">
        <v>11116.5</v>
      </c>
      <c r="AB360" s="296">
        <v>11136.5</v>
      </c>
      <c r="AC360" s="296">
        <v>11164</v>
      </c>
      <c r="AD360" s="296">
        <v>11192.5</v>
      </c>
      <c r="AE360" s="296">
        <v>11242</v>
      </c>
      <c r="AF360" s="296">
        <v>11206</v>
      </c>
      <c r="AG360" s="296">
        <v>11286.5</v>
      </c>
      <c r="AH360" s="296">
        <v>11342.5</v>
      </c>
      <c r="AI360" s="296">
        <v>11425</v>
      </c>
      <c r="AJ360" s="296">
        <v>11510</v>
      </c>
      <c r="AK360" s="296">
        <v>11424</v>
      </c>
      <c r="AL360" s="296">
        <v>11598.5</v>
      </c>
      <c r="AM360" s="296">
        <v>11694.5</v>
      </c>
      <c r="AN360" s="296">
        <v>11783.5</v>
      </c>
      <c r="AO360" s="296">
        <v>11867.5</v>
      </c>
      <c r="AP360" s="296">
        <v>11745</v>
      </c>
      <c r="AQ360" s="296">
        <v>11954</v>
      </c>
      <c r="AR360" s="296">
        <v>12030.5</v>
      </c>
      <c r="AS360" s="296"/>
      <c r="AT360" s="296"/>
      <c r="AU360" s="296">
        <v>12020</v>
      </c>
      <c r="AV360" s="45"/>
      <c r="AW360" s="296">
        <v>12144.5</v>
      </c>
      <c r="AX360" s="239">
        <v>12144.5</v>
      </c>
      <c r="AY360" s="296">
        <v>12190</v>
      </c>
      <c r="AZ360" s="296">
        <v>12228.5</v>
      </c>
      <c r="BA360" s="240">
        <v>12212.5</v>
      </c>
      <c r="BB360" s="296">
        <v>12276</v>
      </c>
      <c r="BC360" s="239">
        <v>12318.5</v>
      </c>
      <c r="BD360" s="296">
        <v>12365.5</v>
      </c>
      <c r="BE360" s="296">
        <v>12453.5</v>
      </c>
      <c r="BF360" s="240">
        <v>12381.5</v>
      </c>
      <c r="BG360" s="296">
        <v>12523</v>
      </c>
      <c r="BH360" s="239">
        <v>12569</v>
      </c>
      <c r="BI360" s="296">
        <v>12635.5</v>
      </c>
      <c r="BJ360" s="296">
        <v>12832</v>
      </c>
      <c r="BK360" s="240">
        <v>12754.5</v>
      </c>
      <c r="BL360" s="296">
        <v>12999</v>
      </c>
      <c r="BM360" s="239">
        <v>13063.5</v>
      </c>
      <c r="BN360" s="296">
        <v>13192.5</v>
      </c>
      <c r="BO360" s="296">
        <v>13463</v>
      </c>
      <c r="BP360" s="240">
        <v>13332</v>
      </c>
      <c r="BQ360" s="296">
        <v>13672</v>
      </c>
      <c r="BR360" s="239">
        <v>13742.5</v>
      </c>
      <c r="BS360" s="296">
        <v>13884</v>
      </c>
      <c r="BT360" s="296">
        <v>14166</v>
      </c>
      <c r="BU360" s="240">
        <v>14019.5</v>
      </c>
      <c r="BV360" s="1314">
        <v>14379.5</v>
      </c>
      <c r="BW360" s="1315">
        <v>14457.5</v>
      </c>
      <c r="BX360" s="1314">
        <v>14598.5</v>
      </c>
      <c r="BY360" s="1314">
        <v>14836</v>
      </c>
      <c r="BZ360" s="240">
        <v>14687.5</v>
      </c>
      <c r="CA360" s="296">
        <v>14379.5</v>
      </c>
      <c r="CB360" s="239">
        <v>14457.5</v>
      </c>
      <c r="CC360" s="296">
        <v>14598.5</v>
      </c>
      <c r="CD360" s="296">
        <v>14836</v>
      </c>
      <c r="CE360" s="240">
        <v>14687.5</v>
      </c>
      <c r="CF360" s="296">
        <v>15005.5</v>
      </c>
      <c r="CG360" s="239">
        <v>15054</v>
      </c>
      <c r="CH360" s="296">
        <v>15171.5</v>
      </c>
      <c r="CI360" s="296">
        <v>15490.5</v>
      </c>
      <c r="CJ360" s="240">
        <v>15370.5</v>
      </c>
      <c r="CK360" s="296">
        <v>15753</v>
      </c>
      <c r="CL360" s="239">
        <v>15884</v>
      </c>
      <c r="CM360" s="296">
        <v>16126.5</v>
      </c>
      <c r="CN360" s="296">
        <v>16510</v>
      </c>
      <c r="CO360" s="240">
        <v>16252.5</v>
      </c>
      <c r="CP360" s="296">
        <v>16813</v>
      </c>
      <c r="CQ360" s="239">
        <v>16951.5</v>
      </c>
      <c r="CR360" s="296">
        <v>17174</v>
      </c>
      <c r="CS360" s="296">
        <v>17571.5</v>
      </c>
      <c r="CT360" s="240">
        <v>17303</v>
      </c>
      <c r="CU360" s="296">
        <v>17876.5</v>
      </c>
      <c r="CV360" s="239">
        <v>18006.5</v>
      </c>
      <c r="CW360" s="296">
        <v>18244</v>
      </c>
      <c r="CX360" s="296">
        <v>18679</v>
      </c>
      <c r="CY360" s="240">
        <v>18404</v>
      </c>
      <c r="CZ360" s="296">
        <v>19006.5</v>
      </c>
      <c r="DA360" s="239">
        <v>19136.5</v>
      </c>
      <c r="DB360" s="296">
        <v>19374</v>
      </c>
      <c r="DC360" s="296">
        <v>19794</v>
      </c>
      <c r="DD360" s="240">
        <v>19519</v>
      </c>
      <c r="DE360" s="296">
        <v>20107.5</v>
      </c>
      <c r="DF360" s="239">
        <v>20239.5</v>
      </c>
      <c r="DG360" s="296">
        <v>20483</v>
      </c>
      <c r="DH360" s="296">
        <v>20898</v>
      </c>
      <c r="DI360" s="240">
        <v>20616</v>
      </c>
      <c r="DJ360" s="296">
        <v>21208</v>
      </c>
      <c r="DK360" s="239">
        <v>21353</v>
      </c>
      <c r="DL360" s="296">
        <v>21603</v>
      </c>
      <c r="DM360" s="296">
        <v>22018</v>
      </c>
      <c r="DN360" s="240">
        <v>21723</v>
      </c>
      <c r="DO360" s="296">
        <v>22333</v>
      </c>
      <c r="DP360" s="239">
        <v>22488</v>
      </c>
      <c r="DQ360" s="296">
        <v>22748</v>
      </c>
      <c r="DR360" s="296">
        <v>23173</v>
      </c>
      <c r="DS360" s="240">
        <v>22863</v>
      </c>
      <c r="DT360" s="296">
        <v>23498</v>
      </c>
      <c r="DU360" s="239">
        <v>23663</v>
      </c>
      <c r="DV360" s="296">
        <v>23933</v>
      </c>
      <c r="DW360" s="296">
        <v>24368</v>
      </c>
      <c r="DX360" s="240">
        <v>24043</v>
      </c>
      <c r="DY360" s="296">
        <v>24703</v>
      </c>
      <c r="DZ360" s="239">
        <v>24878</v>
      </c>
      <c r="EA360" s="296">
        <v>25158</v>
      </c>
      <c r="EB360" s="296">
        <v>25603</v>
      </c>
      <c r="EC360" s="240">
        <v>25263</v>
      </c>
      <c r="ED360" s="16"/>
      <c r="EE360" s="16"/>
      <c r="EF360" s="16"/>
      <c r="EG360" s="16"/>
      <c r="EH360" s="16"/>
      <c r="EI360" s="16"/>
      <c r="EJ360" s="16"/>
      <c r="EK360" s="16"/>
      <c r="EL360" s="16"/>
      <c r="EM360" s="16"/>
      <c r="EN360" s="16"/>
      <c r="EO360" s="16"/>
      <c r="EP360" s="16"/>
      <c r="EQ360" s="16"/>
      <c r="ER360" s="16"/>
      <c r="ES360" s="16"/>
      <c r="ET360" s="16"/>
      <c r="EU360" s="16"/>
      <c r="EX360" s="16"/>
      <c r="EY360" s="228"/>
      <c r="EZ360" s="945"/>
      <c r="FA360" s="477"/>
      <c r="FB360" s="228"/>
      <c r="FC360" s="477"/>
      <c r="FD360" s="16"/>
    </row>
    <row r="361" spans="1:166" x14ac:dyDescent="0.2">
      <c r="A361" s="16" t="s">
        <v>103</v>
      </c>
      <c r="B361" s="16"/>
      <c r="C361" s="16"/>
      <c r="D361" s="16"/>
      <c r="E361" s="16"/>
      <c r="F361" s="16"/>
      <c r="G361" s="16"/>
      <c r="H361" s="16"/>
      <c r="I361" s="16"/>
      <c r="J361" s="16"/>
      <c r="K361" s="16"/>
      <c r="L361" s="16"/>
      <c r="M361" s="16"/>
      <c r="N361" s="16"/>
      <c r="O361" s="16"/>
      <c r="P361" s="16"/>
      <c r="Q361" s="16"/>
      <c r="R361" s="16"/>
      <c r="S361" s="16"/>
      <c r="T361" s="16"/>
      <c r="U361" s="16"/>
      <c r="V361" s="16"/>
      <c r="W361" s="632">
        <f>W34/W360</f>
        <v>9.0966405475997481E-3</v>
      </c>
      <c r="X361" s="632">
        <f>X34/X360</f>
        <v>9.5310884323157839E-3</v>
      </c>
      <c r="Y361" s="632">
        <f>Y34/Y360</f>
        <v>1.3123595505617978E-2</v>
      </c>
      <c r="Z361" s="632">
        <f>Z34/Z360</f>
        <v>1.2141379620469466E-2</v>
      </c>
      <c r="AA361" s="632">
        <f t="shared" ref="AA361:AR361" si="2027">AA33/AA360</f>
        <v>3.742185040255476E-2</v>
      </c>
      <c r="AB361" s="632">
        <f t="shared" si="2027"/>
        <v>8.3509181520226277E-3</v>
      </c>
      <c r="AC361" s="632">
        <f t="shared" si="2027"/>
        <v>8.4199211752060202E-3</v>
      </c>
      <c r="AD361" s="632">
        <f t="shared" si="2027"/>
        <v>8.5771722135358497E-3</v>
      </c>
      <c r="AE361" s="632">
        <f t="shared" si="2027"/>
        <v>9.6068315246397445E-3</v>
      </c>
      <c r="AF361" s="632">
        <f t="shared" si="2027"/>
        <v>3.4892022131001246E-2</v>
      </c>
      <c r="AG361" s="632">
        <f t="shared" si="2027"/>
        <v>8.5057369423647729E-3</v>
      </c>
      <c r="AH361" s="632">
        <f t="shared" si="2027"/>
        <v>8.904562486224378E-3</v>
      </c>
      <c r="AI361" s="632">
        <f t="shared" si="2027"/>
        <v>9.1028446389496715E-3</v>
      </c>
      <c r="AJ361" s="632">
        <f t="shared" si="2027"/>
        <v>9.2093831450912253E-3</v>
      </c>
      <c r="AK361" s="632">
        <f t="shared" si="2027"/>
        <v>3.562675070028011E-2</v>
      </c>
      <c r="AL361" s="632">
        <f t="shared" si="2027"/>
        <v>8.7080225891279037E-3</v>
      </c>
      <c r="AM361" s="632">
        <f t="shared" si="2027"/>
        <v>8.2089871307024671E-3</v>
      </c>
      <c r="AN361" s="632">
        <f t="shared" si="2027"/>
        <v>7.8923919039334666E-3</v>
      </c>
      <c r="AO361" s="632">
        <f t="shared" si="2027"/>
        <v>9.0667790183273644E-3</v>
      </c>
      <c r="AP361" s="632">
        <f t="shared" si="2027"/>
        <v>3.3852703277990635E-2</v>
      </c>
      <c r="AQ361" s="632">
        <f t="shared" si="2027"/>
        <v>9.1182867659360886E-3</v>
      </c>
      <c r="AR361" s="632">
        <f t="shared" si="2027"/>
        <v>8.5948214953659452E-3</v>
      </c>
      <c r="AS361" s="632"/>
      <c r="AT361" s="632"/>
      <c r="AU361" s="632">
        <f>AU33/AU360</f>
        <v>3.3868552412645594E-2</v>
      </c>
      <c r="AV361" s="45"/>
      <c r="AW361" s="870">
        <f t="shared" ref="AW361:BO361" si="2028">(AW368-AW329)/AW360*1000000</f>
        <v>7814.2368973609464</v>
      </c>
      <c r="AX361" s="870">
        <f t="shared" si="2028"/>
        <v>7954.2179587467572</v>
      </c>
      <c r="AY361" s="870">
        <f t="shared" si="2028"/>
        <v>8547.9901558654637</v>
      </c>
      <c r="AZ361" s="870">
        <f t="shared" si="2028"/>
        <v>7523.408431124014</v>
      </c>
      <c r="BA361" s="871">
        <f t="shared" si="2028"/>
        <v>31746.161719549644</v>
      </c>
      <c r="BB361" s="870">
        <f t="shared" si="2028"/>
        <v>5571.8475073313784</v>
      </c>
      <c r="BC361" s="870">
        <f t="shared" si="2028"/>
        <v>5430.8560295490524</v>
      </c>
      <c r="BD361" s="870">
        <f t="shared" si="2028"/>
        <v>5426.3879341716865</v>
      </c>
      <c r="BE361" s="870">
        <f t="shared" si="2028"/>
        <v>5492.4318464688649</v>
      </c>
      <c r="BF361" s="871">
        <f t="shared" si="2028"/>
        <v>21871.340306101843</v>
      </c>
      <c r="BG361" s="870">
        <f t="shared" si="2028"/>
        <v>5398.0675556975157</v>
      </c>
      <c r="BH361" s="870">
        <f t="shared" si="2028"/>
        <v>4367.8892513326427</v>
      </c>
      <c r="BI361" s="870">
        <f t="shared" si="2028"/>
        <v>4716.8691385382444</v>
      </c>
      <c r="BJ361" s="870">
        <f t="shared" si="2028"/>
        <v>4675.8104738154616</v>
      </c>
      <c r="BK361" s="871">
        <f t="shared" si="2028"/>
        <v>18981.535928495821</v>
      </c>
      <c r="BL361" s="870">
        <f t="shared" si="2028"/>
        <v>4146.4728056004305</v>
      </c>
      <c r="BM361" s="870">
        <f t="shared" si="2028"/>
        <v>3881.0425996095992</v>
      </c>
      <c r="BN361" s="870">
        <f t="shared" si="2028"/>
        <v>4062.9145347735448</v>
      </c>
      <c r="BO361" s="870">
        <f t="shared" si="2028"/>
        <v>3847.5822624972143</v>
      </c>
      <c r="BP361" s="871">
        <f>(BP368-BP329)/BP360*1000000</f>
        <v>15751.57515751575</v>
      </c>
      <c r="BQ361" s="870">
        <f t="shared" ref="BQ361:DX361" si="2029">(BQ368-BQ329)/BQ360*1000000</f>
        <v>3510.8250438853129</v>
      </c>
      <c r="BR361" s="870">
        <f t="shared" si="2029"/>
        <v>3412.7706021466256</v>
      </c>
      <c r="BS361" s="870">
        <f t="shared" si="2029"/>
        <v>3385.1915874387782</v>
      </c>
      <c r="BT361" s="870">
        <f t="shared" si="2029"/>
        <v>4976.7047861075807</v>
      </c>
      <c r="BU361" s="871">
        <f t="shared" si="2029"/>
        <v>15150.326331181568</v>
      </c>
      <c r="BV361" s="1316">
        <f t="shared" ref="BV361:BZ361" si="2030">(BV368-BV329)/BV360*1000000</f>
        <v>3338.0854688966933</v>
      </c>
      <c r="BW361" s="1316">
        <f t="shared" si="2030"/>
        <v>3243.9910081272697</v>
      </c>
      <c r="BX361" s="1316">
        <f t="shared" si="2030"/>
        <v>3219.5088536493477</v>
      </c>
      <c r="BY361" s="1316">
        <f t="shared" si="2030"/>
        <v>4751.9547047721753</v>
      </c>
      <c r="BZ361" s="871">
        <f t="shared" si="2030"/>
        <v>14461.276595744681</v>
      </c>
      <c r="CA361" s="870">
        <f t="shared" si="2029"/>
        <v>5438.2975764108642</v>
      </c>
      <c r="CB361" s="870">
        <f t="shared" si="2029"/>
        <v>4917.8627010202317</v>
      </c>
      <c r="CC361" s="870">
        <f t="shared" si="2029"/>
        <v>5274.5145049148887</v>
      </c>
      <c r="CD361" s="870">
        <f t="shared" si="2029"/>
        <v>5459.6926395254786</v>
      </c>
      <c r="CE361" s="871">
        <f t="shared" si="2029"/>
        <v>20922.553191489362</v>
      </c>
      <c r="CF361" s="870">
        <f t="shared" si="2029"/>
        <v>3785.2787311319184</v>
      </c>
      <c r="CG361" s="870">
        <f t="shared" si="2029"/>
        <v>3394.4466586953636</v>
      </c>
      <c r="CH361" s="870">
        <f t="shared" si="2029"/>
        <v>3888.870579705369</v>
      </c>
      <c r="CI361" s="870">
        <f t="shared" si="2029"/>
        <v>4344.5983021852107</v>
      </c>
      <c r="CJ361" s="871">
        <f t="shared" si="2029"/>
        <v>15236.979929084935</v>
      </c>
      <c r="CK361" s="870">
        <f t="shared" si="2029"/>
        <v>4018.2822319558181</v>
      </c>
      <c r="CL361" s="870">
        <f t="shared" si="2029"/>
        <v>3544.447242508184</v>
      </c>
      <c r="CM361" s="870">
        <f t="shared" si="2029"/>
        <v>3850.8045763184823</v>
      </c>
      <c r="CN361" s="870">
        <f t="shared" si="2029"/>
        <v>3161.7201695941858</v>
      </c>
      <c r="CO361" s="871">
        <f t="shared" si="2029"/>
        <v>14391.632056606673</v>
      </c>
      <c r="CP361" s="870">
        <f t="shared" si="2029"/>
        <v>13239.754951525607</v>
      </c>
      <c r="CQ361" s="870">
        <f t="shared" si="2029"/>
        <v>13214.590021592194</v>
      </c>
      <c r="CR361" s="870">
        <f t="shared" si="2029"/>
        <v>13160.394472219316</v>
      </c>
      <c r="CS361" s="870">
        <f t="shared" si="2029"/>
        <v>12949.848835960245</v>
      </c>
      <c r="CT361" s="871">
        <f t="shared" si="2029"/>
        <v>52024.04243414379</v>
      </c>
      <c r="CU361" s="870">
        <f t="shared" si="2029"/>
        <v>12682.548406794567</v>
      </c>
      <c r="CV361" s="870">
        <f t="shared" si="2029"/>
        <v>12624.587359028888</v>
      </c>
      <c r="CW361" s="870">
        <f t="shared" si="2029"/>
        <v>12537.58050324035</v>
      </c>
      <c r="CX361" s="870">
        <f t="shared" si="2029"/>
        <v>12327.605016856003</v>
      </c>
      <c r="CY361" s="871">
        <f t="shared" si="2029"/>
        <v>49611.343277841064</v>
      </c>
      <c r="CZ361" s="870">
        <f t="shared" si="2029"/>
        <v>12153.358127763227</v>
      </c>
      <c r="DA361" s="870">
        <f t="shared" si="2029"/>
        <v>11920.392782467381</v>
      </c>
      <c r="DB361" s="870">
        <f t="shared" si="2029"/>
        <v>11805.522554296287</v>
      </c>
      <c r="DC361" s="870">
        <f t="shared" si="2029"/>
        <v>11596.313808071385</v>
      </c>
      <c r="DD361" s="871">
        <f t="shared" si="2029"/>
        <v>46998.566894867574</v>
      </c>
      <c r="DE361" s="870">
        <f t="shared" si="2029"/>
        <v>11646.296575417424</v>
      </c>
      <c r="DF361" s="870">
        <f t="shared" si="2029"/>
        <v>11329.395132514728</v>
      </c>
      <c r="DG361" s="870">
        <f t="shared" si="2029"/>
        <v>11288.957078233945</v>
      </c>
      <c r="DH361" s="870">
        <f t="shared" si="2029"/>
        <v>11067.108388562256</v>
      </c>
      <c r="DI361" s="871">
        <f t="shared" si="2029"/>
        <v>44916.149598000462</v>
      </c>
      <c r="DJ361" s="870">
        <f t="shared" si="2029"/>
        <v>11099.38241100827</v>
      </c>
      <c r="DK361" s="870">
        <f t="shared" si="2029"/>
        <v>10750.450424178089</v>
      </c>
      <c r="DL361" s="870">
        <f t="shared" si="2029"/>
        <v>10673.842913985211</v>
      </c>
      <c r="DM361" s="870">
        <f t="shared" si="2029"/>
        <v>10436.984046516031</v>
      </c>
      <c r="DN361" s="871">
        <f t="shared" si="2029"/>
        <v>42597.183321233279</v>
      </c>
      <c r="DO361" s="870">
        <f t="shared" si="2029"/>
        <v>10600.037343106051</v>
      </c>
      <c r="DP361" s="870">
        <f t="shared" si="2029"/>
        <v>10212.660183627853</v>
      </c>
      <c r="DQ361" s="870">
        <f t="shared" si="2029"/>
        <v>10092.090117260814</v>
      </c>
      <c r="DR361" s="870">
        <f t="shared" si="2029"/>
        <v>9832.9302173654742</v>
      </c>
      <c r="DS361" s="871">
        <f t="shared" si="2029"/>
        <v>40407.0460616485</v>
      </c>
      <c r="DT361" s="870">
        <f t="shared" si="2029"/>
        <v>10186.302098383117</v>
      </c>
      <c r="DU361" s="870">
        <f t="shared" si="2029"/>
        <v>9648.7493821941916</v>
      </c>
      <c r="DV361" s="870">
        <f t="shared" si="2029"/>
        <v>9481.9173095625265</v>
      </c>
      <c r="DW361" s="870">
        <f t="shared" si="2029"/>
        <v>9199.2660681100024</v>
      </c>
      <c r="DX361" s="871">
        <f t="shared" si="2029"/>
        <v>38213.805509134974</v>
      </c>
      <c r="DY361" s="870">
        <f t="shared" ref="DY361:EC361" si="2031">(DY368-DY329)/DY360*1000000</f>
        <v>9521.6923710870906</v>
      </c>
      <c r="DZ361" s="870">
        <f t="shared" si="2031"/>
        <v>9057.9354103497135</v>
      </c>
      <c r="EA361" s="870">
        <f t="shared" si="2031"/>
        <v>8842.4689790619504</v>
      </c>
      <c r="EB361" s="870">
        <f t="shared" si="2031"/>
        <v>8535.1139142297143</v>
      </c>
      <c r="EC361" s="871">
        <f t="shared" si="2031"/>
        <v>35686.222535047636</v>
      </c>
      <c r="ED361" s="16"/>
      <c r="EE361" s="16"/>
      <c r="EF361" s="16"/>
      <c r="EG361" s="16"/>
      <c r="EH361" s="16"/>
      <c r="EI361" s="16"/>
      <c r="EJ361" s="16"/>
      <c r="EK361" s="16"/>
      <c r="EL361" s="16"/>
      <c r="EM361" s="16"/>
      <c r="EN361" s="16"/>
      <c r="EO361" s="16"/>
      <c r="EP361" s="16"/>
      <c r="EQ361" s="16"/>
      <c r="ER361" s="16"/>
      <c r="ES361" s="16"/>
      <c r="ET361" s="16"/>
      <c r="EU361" s="16"/>
      <c r="EX361" s="16"/>
      <c r="EY361" s="228"/>
      <c r="EZ361" s="945"/>
      <c r="FA361" s="477"/>
      <c r="FB361" s="228"/>
      <c r="FC361" s="477"/>
      <c r="FD361" s="16"/>
    </row>
    <row r="362" spans="1:166" x14ac:dyDescent="0.2">
      <c r="A362" s="872" t="s">
        <v>276</v>
      </c>
      <c r="B362" s="243"/>
      <c r="C362" s="666"/>
      <c r="D362" s="298"/>
      <c r="E362" s="298"/>
      <c r="F362" s="119"/>
      <c r="G362" s="243"/>
      <c r="H362" s="666"/>
      <c r="I362" s="298"/>
      <c r="J362" s="298"/>
      <c r="K362" s="119"/>
      <c r="L362" s="243"/>
      <c r="M362" s="666"/>
      <c r="N362" s="298"/>
      <c r="O362" s="298"/>
      <c r="P362" s="119"/>
      <c r="Q362" s="243"/>
      <c r="R362" s="242"/>
      <c r="S362" s="242"/>
      <c r="T362" s="242"/>
      <c r="U362" s="119"/>
      <c r="V362" s="243"/>
      <c r="W362" s="242"/>
      <c r="X362" s="242"/>
      <c r="Y362" s="242"/>
      <c r="Z362" s="119"/>
      <c r="AA362" s="119"/>
      <c r="AB362" s="241"/>
      <c r="AC362" s="242"/>
      <c r="AD362" s="242"/>
      <c r="AE362" s="242"/>
      <c r="AF362" s="243"/>
      <c r="AG362" s="242"/>
      <c r="AH362" s="242"/>
      <c r="AI362" s="242"/>
      <c r="AJ362" s="242"/>
      <c r="AK362" s="243"/>
      <c r="AL362" s="242"/>
      <c r="AM362" s="242"/>
      <c r="AN362" s="242"/>
      <c r="AO362" s="242"/>
      <c r="AP362" s="243"/>
      <c r="AQ362" s="242"/>
      <c r="AR362" s="242"/>
      <c r="AS362" s="242"/>
      <c r="AT362" s="242"/>
      <c r="AU362" s="241"/>
      <c r="AV362" s="45"/>
      <c r="AW362" s="242"/>
      <c r="AX362" s="242"/>
      <c r="AY362" s="242"/>
      <c r="AZ362" s="242"/>
      <c r="BA362" s="243"/>
      <c r="BB362" s="242">
        <f t="shared" ref="BB362:CL362" si="2032">BB361/AW361-1</f>
        <v>-0.28696204370088607</v>
      </c>
      <c r="BC362" s="242">
        <f t="shared" si="2032"/>
        <v>-0.31723570340726215</v>
      </c>
      <c r="BD362" s="242">
        <f t="shared" si="2032"/>
        <v>-0.36518551902540441</v>
      </c>
      <c r="BE362" s="242">
        <f t="shared" si="2032"/>
        <v>-0.26995431701582051</v>
      </c>
      <c r="BF362" s="243">
        <f t="shared" si="2032"/>
        <v>-0.31105560101039786</v>
      </c>
      <c r="BG362" s="242">
        <f t="shared" si="2032"/>
        <v>-3.1188928161656415E-2</v>
      </c>
      <c r="BH362" s="242">
        <f t="shared" si="2032"/>
        <v>-0.19572729831777047</v>
      </c>
      <c r="BI362" s="242">
        <f t="shared" si="2032"/>
        <v>-0.13075342276311963</v>
      </c>
      <c r="BJ362" s="242">
        <f t="shared" si="2032"/>
        <v>-0.14868120269501695</v>
      </c>
      <c r="BK362" s="243">
        <f t="shared" si="2032"/>
        <v>-0.13212744793696074</v>
      </c>
      <c r="BL362" s="242">
        <f t="shared" si="2032"/>
        <v>-0.23185977892700882</v>
      </c>
      <c r="BM362" s="242">
        <f t="shared" si="2032"/>
        <v>-0.11146039281433395</v>
      </c>
      <c r="BN362" s="242">
        <f t="shared" si="2032"/>
        <v>-0.13864166771592057</v>
      </c>
      <c r="BO362" s="242">
        <f t="shared" si="2032"/>
        <v>-0.17713040679392911</v>
      </c>
      <c r="BP362" s="243">
        <f t="shared" si="2032"/>
        <v>-0.17016329885776671</v>
      </c>
      <c r="BQ362" s="242">
        <f t="shared" si="2032"/>
        <v>-0.15329842772791868</v>
      </c>
      <c r="BR362" s="242">
        <f t="shared" si="2032"/>
        <v>-0.12065623745281173</v>
      </c>
      <c r="BS362" s="242">
        <f t="shared" si="2032"/>
        <v>-0.16680708922973708</v>
      </c>
      <c r="BT362" s="242">
        <f t="shared" si="2032"/>
        <v>0.29346286747811523</v>
      </c>
      <c r="BU362" s="243">
        <f t="shared" si="2032"/>
        <v>-3.8170711203272978E-2</v>
      </c>
      <c r="BV362" s="1080">
        <f t="shared" ref="BV362" si="2033">BV361/BQ361-1</f>
        <v>-4.9201988942591757E-2</v>
      </c>
      <c r="BW362" s="1080">
        <f t="shared" ref="BW362" si="2034">BW361/BR361-1</f>
        <v>-4.9455300017292037E-2</v>
      </c>
      <c r="BX362" s="1080">
        <f t="shared" ref="BX362" si="2035">BX361/BS361-1</f>
        <v>-4.8943384594307582E-2</v>
      </c>
      <c r="BY362" s="1080">
        <f t="shared" ref="BY362" si="2036">BY361/BT361-1</f>
        <v>-4.5160420598543971E-2</v>
      </c>
      <c r="BZ362" s="243">
        <f t="shared" ref="BZ362" si="2037">BZ361/BU361-1</f>
        <v>-4.5480851063829708E-2</v>
      </c>
      <c r="CA362" s="242">
        <f>CA361/BQ361-1</f>
        <v>0.54900842634769464</v>
      </c>
      <c r="CB362" s="242">
        <f>CB361/BR361-1</f>
        <v>0.44101765818274052</v>
      </c>
      <c r="CC362" s="242">
        <f>CC361/BS361-1</f>
        <v>0.55811402949443223</v>
      </c>
      <c r="CD362" s="242">
        <f>CD361/BT361-1</f>
        <v>9.7049729525077177E-2</v>
      </c>
      <c r="CE362" s="243">
        <f>CE361/BU361-1</f>
        <v>0.38099686661057031</v>
      </c>
      <c r="CF362" s="242">
        <f t="shared" ref="CF362:CG362" si="2038">CF361/CA361-1</f>
        <v>-0.30395888089115852</v>
      </c>
      <c r="CG362" s="242">
        <f t="shared" si="2038"/>
        <v>-0.30977197513237387</v>
      </c>
      <c r="CH362" s="242">
        <f t="shared" si="2032"/>
        <v>-0.26270549145676847</v>
      </c>
      <c r="CI362" s="242">
        <f t="shared" si="2032"/>
        <v>-0.20424122949111378</v>
      </c>
      <c r="CJ362" s="243">
        <f t="shared" si="2032"/>
        <v>-0.27174375949093721</v>
      </c>
      <c r="CK362" s="242">
        <f t="shared" si="2032"/>
        <v>6.1555176612905438E-2</v>
      </c>
      <c r="CL362" s="242">
        <f t="shared" si="2032"/>
        <v>4.4189995865326681E-2</v>
      </c>
      <c r="CM362" s="242">
        <f t="shared" ref="CM362:DR362" si="2039">CM361/CH361-1</f>
        <v>-9.78844695566361E-3</v>
      </c>
      <c r="CN362" s="242">
        <f t="shared" si="2039"/>
        <v>-0.27226409677416452</v>
      </c>
      <c r="CO362" s="243">
        <f t="shared" si="2039"/>
        <v>-5.5480014833164448E-2</v>
      </c>
      <c r="CP362" s="242">
        <f t="shared" si="2039"/>
        <v>2.2948793009697135</v>
      </c>
      <c r="CQ362" s="242">
        <f t="shared" si="2039"/>
        <v>2.7282512949017836</v>
      </c>
      <c r="CR362" s="242">
        <f t="shared" si="2039"/>
        <v>2.417570071759175</v>
      </c>
      <c r="CS362" s="242">
        <f t="shared" si="2039"/>
        <v>3.0958238368142457</v>
      </c>
      <c r="CT362" s="243">
        <f t="shared" si="2039"/>
        <v>2.6148813581056953</v>
      </c>
      <c r="CU362" s="242">
        <f t="shared" si="2039"/>
        <v>-4.2085865393364674E-2</v>
      </c>
      <c r="CV362" s="242">
        <f t="shared" si="2039"/>
        <v>-4.4647821960368095E-2</v>
      </c>
      <c r="CW362" s="242">
        <f t="shared" si="2039"/>
        <v>-4.7324870868702518E-2</v>
      </c>
      <c r="CX362" s="242">
        <f t="shared" si="2039"/>
        <v>-4.8050276646963042E-2</v>
      </c>
      <c r="CY362" s="243">
        <f t="shared" si="2039"/>
        <v>-4.6376618259853841E-2</v>
      </c>
      <c r="CZ362" s="242">
        <f t="shared" si="2039"/>
        <v>-4.1725863135505969E-2</v>
      </c>
      <c r="DA362" s="242">
        <f t="shared" si="2039"/>
        <v>-5.5779611367485993E-2</v>
      </c>
      <c r="DB362" s="242">
        <f t="shared" si="2039"/>
        <v>-5.8389092596842107E-2</v>
      </c>
      <c r="DC362" s="242">
        <f t="shared" si="2039"/>
        <v>-5.932143411349533E-2</v>
      </c>
      <c r="DD362" s="243">
        <f t="shared" si="2039"/>
        <v>-5.2664898999831955E-2</v>
      </c>
      <c r="DE362" s="242">
        <f t="shared" si="2039"/>
        <v>-4.1721929611163833E-2</v>
      </c>
      <c r="DF362" s="242">
        <f t="shared" si="2039"/>
        <v>-4.9578706065952605E-2</v>
      </c>
      <c r="DG362" s="242">
        <f t="shared" si="2039"/>
        <v>-4.375625675920225E-2</v>
      </c>
      <c r="DH362" s="242">
        <f t="shared" si="2039"/>
        <v>-4.5635658733276685E-2</v>
      </c>
      <c r="DI362" s="243">
        <f t="shared" si="2039"/>
        <v>-4.4308102022032503E-2</v>
      </c>
      <c r="DJ362" s="242">
        <f t="shared" si="2039"/>
        <v>-4.6960350087903557E-2</v>
      </c>
      <c r="DK362" s="242">
        <f t="shared" si="2039"/>
        <v>-5.1101113657436192E-2</v>
      </c>
      <c r="DL362" s="242">
        <f t="shared" si="2039"/>
        <v>-5.4488130301666771E-2</v>
      </c>
      <c r="DM362" s="242">
        <f t="shared" si="2039"/>
        <v>-5.6936673964217421E-2</v>
      </c>
      <c r="DN362" s="243">
        <f t="shared" si="2039"/>
        <v>-5.1628786027340556E-2</v>
      </c>
      <c r="DO362" s="242">
        <f t="shared" si="2039"/>
        <v>-4.4988545255182255E-2</v>
      </c>
      <c r="DP362" s="242">
        <f t="shared" si="2039"/>
        <v>-5.0024903081337779E-2</v>
      </c>
      <c r="DQ362" s="242">
        <f t="shared" si="2039"/>
        <v>-5.4502656766867497E-2</v>
      </c>
      <c r="DR362" s="242">
        <f t="shared" si="2039"/>
        <v>-5.787628173602466E-2</v>
      </c>
      <c r="DS362" s="243">
        <f t="shared" ref="DS362:DX362" si="2040">DS361/DN361-1</f>
        <v>-5.1415072284675456E-2</v>
      </c>
      <c r="DT362" s="242">
        <f t="shared" si="2040"/>
        <v>-3.9031489355272342E-2</v>
      </c>
      <c r="DU362" s="242">
        <f t="shared" si="2040"/>
        <v>-5.521683785559417E-2</v>
      </c>
      <c r="DV362" s="242">
        <f t="shared" si="2040"/>
        <v>-6.0460499322602113E-2</v>
      </c>
      <c r="DW362" s="242">
        <f t="shared" si="2040"/>
        <v>-6.4443063791542743E-2</v>
      </c>
      <c r="DX362" s="243">
        <f t="shared" si="2040"/>
        <v>-5.4278665883354282E-2</v>
      </c>
      <c r="DY362" s="242">
        <f t="shared" ref="DY362" si="2041">DY361/DT361-1</f>
        <v>-6.5245436555580016E-2</v>
      </c>
      <c r="DZ362" s="242">
        <f t="shared" ref="DZ362" si="2042">DZ361/DU361-1</f>
        <v>-6.1232181336864921E-2</v>
      </c>
      <c r="EA362" s="242">
        <f t="shared" ref="EA362" si="2043">EA361/DV361-1</f>
        <v>-6.7438716203071292E-2</v>
      </c>
      <c r="EB362" s="242">
        <f t="shared" ref="EB362" si="2044">EB361/DW361-1</f>
        <v>-7.2196210976289144E-2</v>
      </c>
      <c r="EC362" s="243">
        <f t="shared" ref="EC362" si="2045">EC361/DX361-1</f>
        <v>-6.614318936341268E-2</v>
      </c>
      <c r="ED362" s="242"/>
      <c r="EE362" s="242"/>
      <c r="EF362" s="774"/>
      <c r="EG362" s="43"/>
      <c r="EH362" s="43"/>
      <c r="EI362" s="43"/>
      <c r="EJ362" s="43"/>
      <c r="EK362" s="43"/>
      <c r="EL362" s="43"/>
      <c r="EM362" s="43"/>
      <c r="EN362" s="43"/>
      <c r="EO362" s="43"/>
      <c r="EP362" s="43"/>
      <c r="EQ362" s="43"/>
      <c r="ER362" s="43"/>
      <c r="ES362" s="43"/>
      <c r="ET362" s="43"/>
      <c r="EU362" s="43"/>
      <c r="EX362" s="43"/>
      <c r="EY362" s="274"/>
      <c r="EZ362" s="990"/>
      <c r="FA362" s="990"/>
      <c r="FB362" s="274"/>
      <c r="FC362" s="990"/>
      <c r="FD362" s="43"/>
    </row>
    <row r="363" spans="1:166" x14ac:dyDescent="0.2">
      <c r="A363" s="84"/>
      <c r="B363" s="85"/>
      <c r="C363" s="95"/>
      <c r="D363" s="41"/>
      <c r="E363" s="41"/>
      <c r="F363" s="39"/>
      <c r="G363" s="85"/>
      <c r="H363" s="95"/>
      <c r="I363" s="41"/>
      <c r="J363" s="41"/>
      <c r="K363" s="38"/>
      <c r="L363" s="85"/>
      <c r="M363" s="41"/>
      <c r="N363" s="41"/>
      <c r="O363" s="41"/>
      <c r="P363" s="38"/>
      <c r="Q363" s="85"/>
      <c r="R363" s="38"/>
      <c r="S363" s="38"/>
      <c r="T363" s="38"/>
      <c r="U363" s="38"/>
      <c r="V363" s="85"/>
      <c r="W363" s="38"/>
      <c r="X363" s="38"/>
      <c r="Y363" s="38"/>
      <c r="Z363" s="38"/>
      <c r="AA363" s="54"/>
      <c r="AB363" s="38"/>
      <c r="AC363" s="38"/>
      <c r="AD363" s="38"/>
      <c r="AE363" s="38"/>
      <c r="AF363" s="85"/>
      <c r="AG363" s="38"/>
      <c r="AH363" s="38"/>
      <c r="AI363" s="38"/>
      <c r="AJ363" s="38"/>
      <c r="AK363" s="85"/>
      <c r="AL363" s="38"/>
      <c r="AM363" s="38"/>
      <c r="AN363" s="38"/>
      <c r="AO363" s="38"/>
      <c r="AP363" s="85"/>
      <c r="AQ363" s="38"/>
      <c r="AR363" s="38"/>
      <c r="AS363" s="38"/>
      <c r="AT363" s="38"/>
      <c r="AU363" s="86"/>
      <c r="AV363" s="45"/>
      <c r="AW363" s="38"/>
      <c r="AX363" s="38"/>
      <c r="AY363" s="38"/>
      <c r="AZ363" s="38"/>
      <c r="BA363" s="85"/>
      <c r="BB363" s="38"/>
      <c r="BC363" s="38"/>
      <c r="BD363" s="38"/>
      <c r="BE363" s="38"/>
      <c r="BF363" s="85"/>
      <c r="BG363" s="38"/>
      <c r="BH363" s="38"/>
      <c r="BI363" s="38"/>
      <c r="BJ363" s="38"/>
      <c r="BK363" s="85"/>
      <c r="BL363" s="38"/>
      <c r="BM363" s="38"/>
      <c r="BN363" s="38"/>
      <c r="BO363" s="38"/>
      <c r="BP363" s="85"/>
      <c r="BQ363" s="38"/>
      <c r="BR363" s="38"/>
      <c r="BS363" s="38"/>
      <c r="BT363" s="38"/>
      <c r="BU363" s="85"/>
      <c r="BV363" s="1070"/>
      <c r="BW363" s="1070"/>
      <c r="BX363" s="1070"/>
      <c r="BY363" s="1070"/>
      <c r="BZ363" s="85"/>
      <c r="CA363" s="38"/>
      <c r="CB363" s="38"/>
      <c r="CC363" s="38"/>
      <c r="CD363" s="38"/>
      <c r="CE363" s="85"/>
      <c r="CF363" s="38"/>
      <c r="CG363" s="38"/>
      <c r="CH363" s="38"/>
      <c r="CI363" s="38"/>
      <c r="CJ363" s="85"/>
      <c r="CK363" s="38"/>
      <c r="CL363" s="38"/>
      <c r="CM363" s="38"/>
      <c r="CN363" s="38"/>
      <c r="CO363" s="432"/>
      <c r="CP363" s="38"/>
      <c r="CQ363" s="38"/>
      <c r="CR363" s="38"/>
      <c r="CS363" s="38"/>
      <c r="CT363" s="85"/>
      <c r="CU363" s="38"/>
      <c r="CV363" s="38"/>
      <c r="CW363" s="38"/>
      <c r="CX363" s="38"/>
      <c r="CY363" s="85"/>
      <c r="CZ363" s="38"/>
      <c r="DA363" s="38"/>
      <c r="DB363" s="38"/>
      <c r="DC363" s="38"/>
      <c r="DD363" s="85"/>
      <c r="DE363" s="38"/>
      <c r="DF363" s="38"/>
      <c r="DG363" s="38"/>
      <c r="DH363" s="38"/>
      <c r="DI363" s="85"/>
      <c r="DJ363" s="38"/>
      <c r="DK363" s="38"/>
      <c r="DL363" s="38"/>
      <c r="DM363" s="38"/>
      <c r="DN363" s="85"/>
      <c r="DO363" s="38"/>
      <c r="DP363" s="38"/>
      <c r="DQ363" s="38"/>
      <c r="DR363" s="38"/>
      <c r="DS363" s="85"/>
      <c r="DT363" s="38"/>
      <c r="DU363" s="38"/>
      <c r="DV363" s="38"/>
      <c r="DW363" s="38"/>
      <c r="DX363" s="85"/>
      <c r="DY363" s="38"/>
      <c r="DZ363" s="38"/>
      <c r="EA363" s="38"/>
      <c r="EB363" s="38"/>
      <c r="EC363" s="85"/>
      <c r="ED363" s="38"/>
      <c r="EE363" s="21"/>
      <c r="EF363" s="284"/>
      <c r="EG363" s="16"/>
      <c r="EH363" s="16"/>
      <c r="EI363" s="16"/>
      <c r="EJ363" s="16"/>
      <c r="EK363" s="16"/>
      <c r="EL363" s="16"/>
      <c r="EM363" s="16"/>
      <c r="EN363" s="16"/>
      <c r="EO363" s="16"/>
      <c r="EP363" s="16"/>
      <c r="EQ363" s="16"/>
      <c r="ER363" s="16"/>
      <c r="ES363" s="16"/>
      <c r="ET363" s="16"/>
      <c r="EU363" s="16"/>
      <c r="EX363" s="16"/>
      <c r="EY363" s="228"/>
      <c r="EZ363" s="477"/>
      <c r="FA363" s="477"/>
      <c r="FB363" s="228"/>
      <c r="FC363" s="477"/>
      <c r="FD363" s="16"/>
    </row>
    <row r="364" spans="1:166" x14ac:dyDescent="0.2">
      <c r="A364" s="276" t="s">
        <v>528</v>
      </c>
      <c r="B364" s="357"/>
      <c r="C364" s="355"/>
      <c r="D364" s="356"/>
      <c r="E364" s="356"/>
      <c r="F364" s="358"/>
      <c r="G364" s="357"/>
      <c r="H364" s="355"/>
      <c r="I364" s="356"/>
      <c r="J364" s="356"/>
      <c r="K364" s="356"/>
      <c r="L364" s="357"/>
      <c r="M364" s="356"/>
      <c r="N364" s="356"/>
      <c r="O364" s="356"/>
      <c r="P364" s="356"/>
      <c r="Q364" s="357"/>
      <c r="R364" s="356"/>
      <c r="S364" s="376"/>
      <c r="T364" s="376"/>
      <c r="U364" s="376"/>
      <c r="V364" s="377"/>
      <c r="W364" s="376"/>
      <c r="X364" s="376"/>
      <c r="Y364" s="376"/>
      <c r="Z364" s="376"/>
      <c r="AA364" s="377"/>
      <c r="AB364" s="376"/>
      <c r="AC364" s="376"/>
      <c r="AD364" s="376"/>
      <c r="AE364" s="376"/>
      <c r="AF364" s="377"/>
      <c r="AG364" s="376"/>
      <c r="AH364" s="376"/>
      <c r="AI364" s="376"/>
      <c r="AJ364" s="376"/>
      <c r="AK364" s="377"/>
      <c r="AL364" s="376"/>
      <c r="AM364" s="376"/>
      <c r="AN364" s="376"/>
      <c r="AO364" s="376"/>
      <c r="AP364" s="377"/>
      <c r="AQ364" s="376"/>
      <c r="AR364" s="376"/>
      <c r="AS364" s="376"/>
      <c r="AT364" s="376"/>
      <c r="AU364" s="766"/>
      <c r="AV364" s="45"/>
      <c r="AW364" s="376">
        <f t="shared" ref="AW364:BK364" si="2046">AW329+AW351</f>
        <v>116.5</v>
      </c>
      <c r="AX364" s="376">
        <f t="shared" si="2046"/>
        <v>119.3</v>
      </c>
      <c r="AY364" s="376">
        <f t="shared" si="2046"/>
        <v>124.99999999999999</v>
      </c>
      <c r="AZ364" s="376">
        <f t="shared" si="2046"/>
        <v>275.3</v>
      </c>
      <c r="BA364" s="377">
        <f t="shared" si="2046"/>
        <v>636.1</v>
      </c>
      <c r="BB364" s="376">
        <f t="shared" si="2046"/>
        <v>100.4</v>
      </c>
      <c r="BC364" s="376">
        <f t="shared" si="2046"/>
        <v>99.300000000000011</v>
      </c>
      <c r="BD364" s="376">
        <f t="shared" si="2046"/>
        <v>103.3</v>
      </c>
      <c r="BE364" s="376">
        <f t="shared" si="2046"/>
        <v>114.4</v>
      </c>
      <c r="BF364" s="377">
        <f t="shared" si="2046"/>
        <v>417.40000000000003</v>
      </c>
      <c r="BG364" s="335">
        <f>BG329+BG351</f>
        <v>95</v>
      </c>
      <c r="BH364" s="376">
        <f t="shared" si="2046"/>
        <v>95.800000000000011</v>
      </c>
      <c r="BI364" s="376">
        <f t="shared" si="2046"/>
        <v>77.599999999999994</v>
      </c>
      <c r="BJ364" s="376">
        <f t="shared" si="2046"/>
        <v>79.199999999999989</v>
      </c>
      <c r="BK364" s="377">
        <f t="shared" si="2046"/>
        <v>347.59999999999997</v>
      </c>
      <c r="BL364" s="376">
        <f>BL329+BL351</f>
        <v>66.7</v>
      </c>
      <c r="BM364" s="376">
        <f t="shared" ref="BM364:BU364" si="2047">BM329+BM351</f>
        <v>61.5</v>
      </c>
      <c r="BN364" s="376">
        <f t="shared" si="2047"/>
        <v>59.599999999999994</v>
      </c>
      <c r="BO364" s="376">
        <f t="shared" si="2047"/>
        <v>54.6</v>
      </c>
      <c r="BP364" s="377">
        <f t="shared" si="2047"/>
        <v>242.39999999999998</v>
      </c>
      <c r="BQ364" s="376">
        <f>BQ329+BQ351</f>
        <v>48.2</v>
      </c>
      <c r="BR364" s="376">
        <f t="shared" si="2047"/>
        <v>47</v>
      </c>
      <c r="BS364" s="376">
        <f t="shared" si="2047"/>
        <v>78.3</v>
      </c>
      <c r="BT364" s="376">
        <f>BT329+BT351</f>
        <v>171.9</v>
      </c>
      <c r="BU364" s="377">
        <f t="shared" si="2047"/>
        <v>345.4</v>
      </c>
      <c r="BV364" s="1306">
        <f>BV329+BV351</f>
        <v>48.2</v>
      </c>
      <c r="BW364" s="1306">
        <f t="shared" ref="BW364:BX364" si="2048">BW329+BW351</f>
        <v>47</v>
      </c>
      <c r="BX364" s="1306">
        <f t="shared" si="2048"/>
        <v>78.3</v>
      </c>
      <c r="BY364" s="1306">
        <f>BY329+BY351</f>
        <v>171.9</v>
      </c>
      <c r="BZ364" s="377">
        <f t="shared" ref="BZ364" si="2049">BZ329+BZ351</f>
        <v>345.4</v>
      </c>
      <c r="CA364" s="376">
        <f>CA351+CA329</f>
        <v>111.00000000000001</v>
      </c>
      <c r="CB364" s="376">
        <f t="shared" ref="CB364:CD364" si="2050">CB351+CB329</f>
        <v>102</v>
      </c>
      <c r="CC364" s="376">
        <f t="shared" si="2050"/>
        <v>104.3</v>
      </c>
      <c r="CD364" s="376">
        <f t="shared" si="2050"/>
        <v>120.40000000000002</v>
      </c>
      <c r="CE364" s="377">
        <f>SUM(CA364:CD364)</f>
        <v>437.70000000000005</v>
      </c>
      <c r="CF364" s="376">
        <f>CF329+CF351</f>
        <v>73.200000000000017</v>
      </c>
      <c r="CG364" s="376">
        <f t="shared" ref="CG364:CI364" si="2051">CG329+CG351</f>
        <v>73.100000000000009</v>
      </c>
      <c r="CH364" s="376">
        <f t="shared" si="2051"/>
        <v>82.2</v>
      </c>
      <c r="CI364" s="376">
        <f t="shared" si="2051"/>
        <v>90.100000000000009</v>
      </c>
      <c r="CJ364" s="377">
        <f>SUM(CF364:CI364)</f>
        <v>318.60000000000002</v>
      </c>
      <c r="CK364" s="376">
        <f>CK329+CK351</f>
        <v>121.9</v>
      </c>
      <c r="CL364" s="376">
        <f t="shared" ref="CL364:CN364" si="2052">CL329+CL351</f>
        <v>96.7</v>
      </c>
      <c r="CM364" s="376">
        <f t="shared" si="2052"/>
        <v>100.10000000000001</v>
      </c>
      <c r="CN364" s="376">
        <f t="shared" si="2052"/>
        <v>96.800000000000011</v>
      </c>
      <c r="CO364" s="377">
        <f>SUM(CK364:CN364)</f>
        <v>415.50000000000006</v>
      </c>
      <c r="CP364" s="376">
        <f>CP329+CP351</f>
        <v>301.30000000000007</v>
      </c>
      <c r="CQ364" s="376">
        <f t="shared" ref="CQ364:CS364" si="2053">CQ329+CQ351</f>
        <v>289.47364448316995</v>
      </c>
      <c r="CR364" s="376">
        <f t="shared" si="2053"/>
        <v>292.79276168348321</v>
      </c>
      <c r="CS364" s="376">
        <f t="shared" si="2053"/>
        <v>293.49252463166334</v>
      </c>
      <c r="CT364" s="377">
        <f>SUM(CP364:CS364)</f>
        <v>1177.0589307983166</v>
      </c>
      <c r="CU364" s="376">
        <f>CU329+CU351</f>
        <v>294.2492645171564</v>
      </c>
      <c r="CV364" s="376">
        <f t="shared" ref="CV364:CX364" si="2054">CV329+CV351</f>
        <v>293.70267604096864</v>
      </c>
      <c r="CW364" s="376">
        <f t="shared" si="2054"/>
        <v>296.58323836817056</v>
      </c>
      <c r="CX364" s="376">
        <f t="shared" si="2054"/>
        <v>297.50558029110903</v>
      </c>
      <c r="CY364" s="377">
        <f>SUM(CU364:CX364)</f>
        <v>1182.0407592174047</v>
      </c>
      <c r="CZ364" s="376">
        <f>CZ329+CZ351</f>
        <v>300.32270793443308</v>
      </c>
      <c r="DA364" s="376">
        <f t="shared" ref="DA364:DC364" si="2055">DA329+DA351</f>
        <v>295.51779820811998</v>
      </c>
      <c r="DB364" s="376">
        <f t="shared" si="2055"/>
        <v>297.78933355717282</v>
      </c>
      <c r="DC364" s="376">
        <f t="shared" si="2055"/>
        <v>298.21499186438774</v>
      </c>
      <c r="DD364" s="377">
        <f>SUM(CZ364:DC364)</f>
        <v>1191.8448315641135</v>
      </c>
      <c r="DE364" s="376">
        <f>DE329+DE351</f>
        <v>304.30365033942252</v>
      </c>
      <c r="DF364" s="376">
        <f t="shared" ref="DF364:DH364" si="2056">DF329+DF351</f>
        <v>297.69571109668829</v>
      </c>
      <c r="DG364" s="376">
        <f t="shared" si="2056"/>
        <v>301.58186158341152</v>
      </c>
      <c r="DH364" s="376">
        <f t="shared" si="2056"/>
        <v>301.42002125751827</v>
      </c>
      <c r="DI364" s="377">
        <f>SUM(DE364:DH364)</f>
        <v>1205.0012442770405</v>
      </c>
      <c r="DJ364" s="376">
        <f>DJ329+DJ351</f>
        <v>306.79886475986348</v>
      </c>
      <c r="DK364" s="376">
        <f t="shared" ref="DK364:DM364" si="2057">DK329+DK351</f>
        <v>299.02504971424452</v>
      </c>
      <c r="DL364" s="376">
        <f t="shared" si="2057"/>
        <v>302.23960773551448</v>
      </c>
      <c r="DM364" s="376">
        <f t="shared" si="2057"/>
        <v>301.39641212391194</v>
      </c>
      <c r="DN364" s="377">
        <f>SUM(DJ364:DM364)</f>
        <v>1209.4599343335344</v>
      </c>
      <c r="DO364" s="376">
        <f>DO329+DO351</f>
        <v>309.44813363946912</v>
      </c>
      <c r="DP364" s="376">
        <f t="shared" ref="DP364:DR364" si="2058">DP329+DP351</f>
        <v>300.2005649359287</v>
      </c>
      <c r="DQ364" s="376">
        <f t="shared" si="2058"/>
        <v>302.45815177755929</v>
      </c>
      <c r="DR364" s="376">
        <f t="shared" si="2058"/>
        <v>300.78770461750196</v>
      </c>
      <c r="DS364" s="377">
        <f>SUM(DO364:DR364)</f>
        <v>1212.894554970459</v>
      </c>
      <c r="DT364" s="376">
        <f>DT329+DT351</f>
        <v>313.86068509114926</v>
      </c>
      <c r="DU364" s="376">
        <f t="shared" ref="DU364:DW364" si="2059">DU329+DU351</f>
        <v>299.62648327939644</v>
      </c>
      <c r="DV364" s="376">
        <f t="shared" si="2059"/>
        <v>300.69682418427948</v>
      </c>
      <c r="DW364" s="376">
        <f t="shared" si="2059"/>
        <v>298.0909855813685</v>
      </c>
      <c r="DX364" s="377">
        <f>SUM(DT364:DW364)</f>
        <v>1212.2749781361936</v>
      </c>
      <c r="DY364" s="376">
        <f>DY329+DY351</f>
        <v>309.86216102703736</v>
      </c>
      <c r="DZ364" s="376">
        <f t="shared" ref="DZ364:EB364" si="2060">DZ329+DZ351</f>
        <v>297.07272330901321</v>
      </c>
      <c r="EA364" s="376">
        <f t="shared" si="2060"/>
        <v>296.75663707881063</v>
      </c>
      <c r="EB364" s="376">
        <f t="shared" si="2060"/>
        <v>293.09500889322953</v>
      </c>
      <c r="EC364" s="377">
        <f>SUM(DY364:EB364)</f>
        <v>1196.7865303080907</v>
      </c>
      <c r="ED364" s="126"/>
      <c r="EE364" s="21"/>
      <c r="EF364" s="284"/>
      <c r="EG364" s="21"/>
      <c r="EH364" s="21"/>
      <c r="EI364" s="21"/>
      <c r="EJ364" s="21"/>
      <c r="EK364" s="21"/>
      <c r="EL364" s="21"/>
      <c r="EM364" s="21"/>
      <c r="EN364" s="21"/>
      <c r="EO364" s="21"/>
      <c r="EP364" s="21"/>
      <c r="EQ364" s="21"/>
      <c r="ER364" s="21"/>
      <c r="ES364" s="21"/>
      <c r="ET364" s="21"/>
      <c r="EU364" s="21"/>
      <c r="EX364" s="21"/>
      <c r="EY364" s="228"/>
      <c r="EZ364" s="228"/>
      <c r="FA364" s="228"/>
      <c r="FB364" s="228"/>
      <c r="FC364" s="228"/>
      <c r="FD364" s="21"/>
    </row>
    <row r="365" spans="1:166" x14ac:dyDescent="0.2">
      <c r="A365" s="775" t="s">
        <v>365</v>
      </c>
      <c r="B365" s="292"/>
      <c r="C365" s="776"/>
      <c r="D365" s="777"/>
      <c r="E365" s="777"/>
      <c r="F365" s="778"/>
      <c r="G365" s="292"/>
      <c r="H365" s="776"/>
      <c r="I365" s="777"/>
      <c r="J365" s="777"/>
      <c r="K365" s="778"/>
      <c r="L365" s="292"/>
      <c r="M365" s="776"/>
      <c r="N365" s="777"/>
      <c r="O365" s="777"/>
      <c r="P365" s="778"/>
      <c r="Q365" s="292"/>
      <c r="R365" s="293"/>
      <c r="S365" s="293"/>
      <c r="T365" s="293"/>
      <c r="U365" s="778"/>
      <c r="V365" s="292"/>
      <c r="W365" s="293"/>
      <c r="X365" s="293"/>
      <c r="Y365" s="293"/>
      <c r="Z365" s="778"/>
      <c r="AA365" s="778"/>
      <c r="AB365" s="779"/>
      <c r="AC365" s="293"/>
      <c r="AD365" s="293"/>
      <c r="AE365" s="293"/>
      <c r="AF365" s="292"/>
      <c r="AG365" s="293"/>
      <c r="AH365" s="293"/>
      <c r="AI365" s="293"/>
      <c r="AJ365" s="293"/>
      <c r="AK365" s="292"/>
      <c r="AL365" s="293"/>
      <c r="AM365" s="293"/>
      <c r="AN365" s="293"/>
      <c r="AO365" s="293"/>
      <c r="AP365" s="292"/>
      <c r="AQ365" s="293"/>
      <c r="AR365" s="293"/>
      <c r="AS365" s="293"/>
      <c r="AT365" s="293"/>
      <c r="AU365" s="779"/>
      <c r="AV365" s="45"/>
      <c r="AW365" s="293"/>
      <c r="AX365" s="293"/>
      <c r="AY365" s="293"/>
      <c r="AZ365" s="293"/>
      <c r="BA365" s="292"/>
      <c r="BB365" s="293">
        <f t="shared" ref="BB365:BU365" si="2061">BB364/AW364-1</f>
        <v>-0.13819742489270381</v>
      </c>
      <c r="BC365" s="293">
        <f t="shared" si="2061"/>
        <v>-0.16764459346186078</v>
      </c>
      <c r="BD365" s="293">
        <f t="shared" si="2061"/>
        <v>-0.17359999999999998</v>
      </c>
      <c r="BE365" s="293">
        <f t="shared" si="2061"/>
        <v>-0.5844533236469307</v>
      </c>
      <c r="BF365" s="292">
        <f t="shared" si="2061"/>
        <v>-0.34381386574437978</v>
      </c>
      <c r="BG365" s="293">
        <f t="shared" si="2061"/>
        <v>-5.3784860557768988E-2</v>
      </c>
      <c r="BH365" s="293">
        <f t="shared" si="2061"/>
        <v>-3.5246727089627394E-2</v>
      </c>
      <c r="BI365" s="293">
        <f t="shared" si="2061"/>
        <v>-0.24878993223620527</v>
      </c>
      <c r="BJ365" s="293">
        <f t="shared" si="2061"/>
        <v>-0.30769230769230782</v>
      </c>
      <c r="BK365" s="292">
        <f t="shared" si="2061"/>
        <v>-0.16722568279827521</v>
      </c>
      <c r="BL365" s="293">
        <f t="shared" si="2061"/>
        <v>-0.29789473684210521</v>
      </c>
      <c r="BM365" s="293">
        <f t="shared" si="2061"/>
        <v>-0.35803757828810023</v>
      </c>
      <c r="BN365" s="293">
        <f t="shared" si="2061"/>
        <v>-0.231958762886598</v>
      </c>
      <c r="BO365" s="293">
        <f t="shared" si="2061"/>
        <v>-0.31060606060606044</v>
      </c>
      <c r="BP365" s="292">
        <f t="shared" si="2061"/>
        <v>-0.30264672036823936</v>
      </c>
      <c r="BQ365" s="293">
        <f t="shared" si="2061"/>
        <v>-0.27736131934032981</v>
      </c>
      <c r="BR365" s="293">
        <f t="shared" si="2061"/>
        <v>-0.23577235772357719</v>
      </c>
      <c r="BS365" s="293">
        <f t="shared" si="2061"/>
        <v>0.31375838926174504</v>
      </c>
      <c r="BT365" s="293">
        <f t="shared" si="2061"/>
        <v>2.1483516483516483</v>
      </c>
      <c r="BU365" s="292">
        <f t="shared" si="2061"/>
        <v>0.42491749174917492</v>
      </c>
      <c r="BV365" s="1317">
        <f t="shared" ref="BV365" si="2062">BV364/BQ364-1</f>
        <v>0</v>
      </c>
      <c r="BW365" s="1317">
        <f t="shared" ref="BW365" si="2063">BW364/BR364-1</f>
        <v>0</v>
      </c>
      <c r="BX365" s="1317">
        <f t="shared" ref="BX365" si="2064">BX364/BS364-1</f>
        <v>0</v>
      </c>
      <c r="BY365" s="1317">
        <f t="shared" ref="BY365" si="2065">BY364/BT364-1</f>
        <v>0</v>
      </c>
      <c r="BZ365" s="292">
        <f t="shared" ref="BZ365" si="2066">BZ364/BU364-1</f>
        <v>0</v>
      </c>
      <c r="CA365" s="293">
        <f>CA364/BQ364-1</f>
        <v>1.302904564315353</v>
      </c>
      <c r="CB365" s="293">
        <f>CB364/BR364-1</f>
        <v>1.1702127659574466</v>
      </c>
      <c r="CC365" s="293">
        <f>CC364/BS364-1</f>
        <v>0.33205619412515963</v>
      </c>
      <c r="CD365" s="293">
        <f>CD364/BT364-1</f>
        <v>-0.29959278650378118</v>
      </c>
      <c r="CE365" s="292">
        <f>CE364/BU364-1</f>
        <v>0.2672264041690795</v>
      </c>
      <c r="CF365" s="293">
        <f t="shared" ref="CF365:CG365" si="2067">CF364/CA364-1</f>
        <v>-0.3405405405405405</v>
      </c>
      <c r="CG365" s="293">
        <f t="shared" si="2067"/>
        <v>-0.28333333333333321</v>
      </c>
      <c r="CH365" s="293">
        <f t="shared" ref="CH365" si="2068">CH364/CC364-1</f>
        <v>-0.211888782358581</v>
      </c>
      <c r="CI365" s="293">
        <f t="shared" ref="CI365" si="2069">CI364/CD364-1</f>
        <v>-0.25166112956810638</v>
      </c>
      <c r="CJ365" s="292">
        <f t="shared" ref="CJ365" si="2070">CJ364/CE364-1</f>
        <v>-0.27210418094585331</v>
      </c>
      <c r="CK365" s="293">
        <f t="shared" ref="CK365" si="2071">CK364/CF364-1</f>
        <v>0.66530054644808723</v>
      </c>
      <c r="CL365" s="293">
        <f t="shared" ref="CL365" si="2072">CL364/CG364-1</f>
        <v>0.32284541723666194</v>
      </c>
      <c r="CM365" s="293">
        <f t="shared" ref="CM365" si="2073">CM364/CH364-1</f>
        <v>0.21776155717761569</v>
      </c>
      <c r="CN365" s="293">
        <f t="shared" ref="CN365" si="2074">CN364/CI364-1</f>
        <v>7.4361820199777995E-2</v>
      </c>
      <c r="CO365" s="292">
        <f t="shared" ref="CO365" si="2075">CO364/CJ364-1</f>
        <v>0.30414312617702466</v>
      </c>
      <c r="CP365" s="293">
        <f t="shared" ref="CP365" si="2076">CP364/CK364-1</f>
        <v>1.4716981132075477</v>
      </c>
      <c r="CQ365" s="293">
        <f t="shared" ref="CQ365" si="2077">CQ364/CL364-1</f>
        <v>1.9935226937246115</v>
      </c>
      <c r="CR365" s="293">
        <f t="shared" ref="CR365" si="2078">CR364/CM364-1</f>
        <v>1.9250026142206114</v>
      </c>
      <c r="CS365" s="293">
        <f t="shared" ref="CS365" si="2079">CS364/CN364-1</f>
        <v>2.0319475685089183</v>
      </c>
      <c r="CT365" s="292">
        <f t="shared" ref="CT365" si="2080">CT364/CO364-1</f>
        <v>1.8328734796590047</v>
      </c>
      <c r="CU365" s="293">
        <f t="shared" ref="CU365" si="2081">CU364/CP364-1</f>
        <v>-2.340104707216617E-2</v>
      </c>
      <c r="CV365" s="293">
        <f t="shared" ref="CV365" si="2082">CV364/CQ364-1</f>
        <v>1.4609383750114002E-2</v>
      </c>
      <c r="CW365" s="293">
        <f t="shared" ref="CW365" si="2083">CW364/CR364-1</f>
        <v>1.2945937129364316E-2</v>
      </c>
      <c r="CX365" s="293">
        <f t="shared" ref="CX365" si="2084">CX364/CS364-1</f>
        <v>1.3673451017132798E-2</v>
      </c>
      <c r="CY365" s="292">
        <f t="shared" ref="CY365" si="2085">CY364/CT364-1</f>
        <v>4.232437551541457E-3</v>
      </c>
      <c r="CZ365" s="293">
        <f t="shared" ref="CZ365" si="2086">CZ364/CU364-1</f>
        <v>2.0640471021203144E-2</v>
      </c>
      <c r="DA365" s="293">
        <f t="shared" ref="DA365" si="2087">DA364/CV364-1</f>
        <v>6.1801349297143648E-3</v>
      </c>
      <c r="DB365" s="293">
        <f t="shared" ref="DB365" si="2088">DB364/CW364-1</f>
        <v>4.0666330155350039E-3</v>
      </c>
      <c r="DC365" s="293">
        <f t="shared" ref="DC365" si="2089">DC364/CX364-1</f>
        <v>2.3845319895665629E-3</v>
      </c>
      <c r="DD365" s="292">
        <f t="shared" ref="DD365" si="2090">DD364/CY364-1</f>
        <v>8.2941914398957373E-3</v>
      </c>
      <c r="DE365" s="293">
        <f t="shared" ref="DE365" si="2091">DE364/CZ364-1</f>
        <v>1.325554911371718E-2</v>
      </c>
      <c r="DF365" s="293">
        <f t="shared" ref="DF365" si="2092">DF364/DA364-1</f>
        <v>7.3698196919920189E-3</v>
      </c>
      <c r="DG365" s="293">
        <f t="shared" ref="DG365" si="2093">DG364/DB364-1</f>
        <v>1.2735607353480116E-2</v>
      </c>
      <c r="DH365" s="293">
        <f t="shared" ref="DH365" si="2094">DH364/DC364-1</f>
        <v>1.074737850398888E-2</v>
      </c>
      <c r="DI365" s="292">
        <f t="shared" ref="DI365" si="2095">DI364/DD364-1</f>
        <v>1.1038695948080157E-2</v>
      </c>
      <c r="DJ365" s="293">
        <f t="shared" ref="DJ365" si="2096">DJ364/DE364-1</f>
        <v>8.1997518519998369E-3</v>
      </c>
      <c r="DK365" s="293">
        <f t="shared" ref="DK365" si="2097">DK364/DF364-1</f>
        <v>4.4654275087103734E-3</v>
      </c>
      <c r="DL365" s="293">
        <f t="shared" ref="DL365" si="2098">DL364/DG364-1</f>
        <v>2.180987107943233E-3</v>
      </c>
      <c r="DM365" s="293">
        <f t="shared" ref="DM365" si="2099">DM364/DH364-1</f>
        <v>-7.832636169236018E-5</v>
      </c>
      <c r="DN365" s="292">
        <f t="shared" ref="DN365" si="2100">DN364/DI364-1</f>
        <v>3.7001539024708041E-3</v>
      </c>
      <c r="DO365" s="293">
        <f t="shared" ref="DO365" si="2101">DO364/DJ364-1</f>
        <v>8.6351977921406142E-3</v>
      </c>
      <c r="DP365" s="293">
        <f t="shared" ref="DP365" si="2102">DP364/DK364-1</f>
        <v>3.9311596898237156E-3</v>
      </c>
      <c r="DQ365" s="293">
        <f t="shared" ref="DQ365" si="2103">DQ364/DL364-1</f>
        <v>7.2308207280391557E-4</v>
      </c>
      <c r="DR365" s="293">
        <f t="shared" ref="DR365" si="2104">DR364/DM364-1</f>
        <v>-2.0196242620158511E-3</v>
      </c>
      <c r="DS365" s="292">
        <f t="shared" ref="DS365" si="2105">DS364/DN364-1</f>
        <v>2.8397969535198797E-3</v>
      </c>
      <c r="DT365" s="293">
        <f t="shared" ref="DT365" si="2106">DT364/DO364-1</f>
        <v>1.425942176410433E-2</v>
      </c>
      <c r="DU365" s="293">
        <f t="shared" ref="DU365" si="2107">DU364/DP364-1</f>
        <v>-1.9123270359426847E-3</v>
      </c>
      <c r="DV365" s="293">
        <f t="shared" ref="DV365" si="2108">DV364/DQ364-1</f>
        <v>-5.8233761693259334E-3</v>
      </c>
      <c r="DW365" s="293">
        <f t="shared" ref="DW365" si="2109">DW364/DR364-1</f>
        <v>-8.9655228413101362E-3</v>
      </c>
      <c r="DX365" s="292">
        <f t="shared" ref="DX365" si="2110">DX364/DS364-1</f>
        <v>-5.108249779227636E-4</v>
      </c>
      <c r="DY365" s="293">
        <f t="shared" ref="DY365" si="2111">DY364/DT364-1</f>
        <v>-1.2739805442502861E-2</v>
      </c>
      <c r="DZ365" s="293">
        <f t="shared" ref="DZ365" si="2112">DZ364/DU364-1</f>
        <v>-8.523145025207568E-3</v>
      </c>
      <c r="EA365" s="293">
        <f t="shared" ref="EA365" si="2113">EA364/DV364-1</f>
        <v>-1.3103520850802686E-2</v>
      </c>
      <c r="EB365" s="293">
        <f t="shared" ref="EB365" si="2114">EB364/DW364-1</f>
        <v>-1.6759905296684141E-2</v>
      </c>
      <c r="EC365" s="292">
        <f t="shared" ref="EC365" si="2115">EC364/DX364-1</f>
        <v>-1.277634868940003E-2</v>
      </c>
      <c r="ED365" s="242"/>
      <c r="EE365" s="242"/>
      <c r="EF365" s="774"/>
      <c r="EG365" s="43"/>
      <c r="EH365" s="43"/>
      <c r="EI365" s="43"/>
      <c r="EJ365" s="43"/>
      <c r="EK365" s="43"/>
      <c r="EL365" s="43"/>
      <c r="EM365" s="43"/>
      <c r="EN365" s="43"/>
      <c r="EO365" s="43"/>
      <c r="EP365" s="43"/>
      <c r="EQ365" s="43"/>
      <c r="ER365" s="43"/>
      <c r="ES365" s="43"/>
      <c r="ET365" s="43"/>
      <c r="EU365" s="43"/>
      <c r="EX365" s="43"/>
      <c r="EY365" s="274"/>
      <c r="EZ365" s="990"/>
      <c r="FA365" s="990"/>
      <c r="FB365" s="274"/>
      <c r="FC365" s="990"/>
      <c r="FD365" s="43"/>
    </row>
    <row r="366" spans="1:166" x14ac:dyDescent="0.2">
      <c r="A366" s="276" t="s">
        <v>83</v>
      </c>
      <c r="B366" s="357"/>
      <c r="C366" s="355"/>
      <c r="D366" s="356"/>
      <c r="E366" s="356"/>
      <c r="F366" s="358"/>
      <c r="G366" s="357"/>
      <c r="H366" s="355"/>
      <c r="I366" s="356"/>
      <c r="J366" s="356"/>
      <c r="K366" s="356"/>
      <c r="L366" s="357"/>
      <c r="M366" s="356"/>
      <c r="N366" s="356"/>
      <c r="O366" s="356"/>
      <c r="P366" s="356"/>
      <c r="Q366" s="357"/>
      <c r="R366" s="356"/>
      <c r="S366" s="376"/>
      <c r="T366" s="376"/>
      <c r="U366" s="376"/>
      <c r="V366" s="377"/>
      <c r="W366" s="376"/>
      <c r="X366" s="376"/>
      <c r="Y366" s="376"/>
      <c r="Z366" s="376"/>
      <c r="AA366" s="377"/>
      <c r="AB366" s="376"/>
      <c r="AC366" s="376"/>
      <c r="AD366" s="376"/>
      <c r="AE366" s="376"/>
      <c r="AF366" s="377"/>
      <c r="AG366" s="376"/>
      <c r="AH366" s="376"/>
      <c r="AI366" s="376"/>
      <c r="AJ366" s="376"/>
      <c r="AK366" s="377"/>
      <c r="AL366" s="376"/>
      <c r="AM366" s="376"/>
      <c r="AN366" s="376"/>
      <c r="AO366" s="376"/>
      <c r="AP366" s="377"/>
      <c r="AQ366" s="376"/>
      <c r="AR366" s="376"/>
      <c r="AS366" s="376"/>
      <c r="AT366" s="376"/>
      <c r="AU366" s="766"/>
      <c r="AV366" s="45"/>
      <c r="AW366" s="38">
        <f t="shared" ref="AW366:BK366" si="2116">AW329+AW333+AW343</f>
        <v>112.2</v>
      </c>
      <c r="AX366" s="38">
        <f t="shared" si="2116"/>
        <v>115.3</v>
      </c>
      <c r="AY366" s="38">
        <f t="shared" si="2116"/>
        <v>119.99999999999999</v>
      </c>
      <c r="AZ366" s="38">
        <f t="shared" si="2116"/>
        <v>112.5</v>
      </c>
      <c r="BA366" s="50">
        <f t="shared" si="2116"/>
        <v>460.00000000000006</v>
      </c>
      <c r="BB366" s="38">
        <f t="shared" si="2116"/>
        <v>87.2</v>
      </c>
      <c r="BC366" s="38">
        <f t="shared" si="2116"/>
        <v>86.9</v>
      </c>
      <c r="BD366" s="38">
        <f t="shared" si="2116"/>
        <v>85.5</v>
      </c>
      <c r="BE366" s="38">
        <f t="shared" si="2116"/>
        <v>83</v>
      </c>
      <c r="BF366" s="50">
        <f t="shared" si="2116"/>
        <v>342.6</v>
      </c>
      <c r="BG366" s="46">
        <f t="shared" si="2116"/>
        <v>82</v>
      </c>
      <c r="BH366" s="46">
        <f t="shared" si="2116"/>
        <v>67.099999999999994</v>
      </c>
      <c r="BI366" s="46">
        <f t="shared" si="2116"/>
        <v>67.399999999999991</v>
      </c>
      <c r="BJ366" s="46">
        <f t="shared" si="2116"/>
        <v>63.699999999999996</v>
      </c>
      <c r="BK366" s="50">
        <f t="shared" si="2116"/>
        <v>280.2</v>
      </c>
      <c r="BL366" s="46">
        <f t="shared" ref="BL366:BU366" si="2117">BL329+BL333+BL343</f>
        <v>54.9</v>
      </c>
      <c r="BM366" s="46">
        <f t="shared" si="2117"/>
        <v>48.5</v>
      </c>
      <c r="BN366" s="46">
        <f t="shared" si="2117"/>
        <v>51.399999999999991</v>
      </c>
      <c r="BO366" s="46">
        <f t="shared" si="2117"/>
        <v>43.800000000000004</v>
      </c>
      <c r="BP366" s="50">
        <f t="shared" si="2117"/>
        <v>198.6</v>
      </c>
      <c r="BQ366" s="46">
        <f t="shared" si="2117"/>
        <v>44.7</v>
      </c>
      <c r="BR366" s="46">
        <f t="shared" si="2117"/>
        <v>42.8</v>
      </c>
      <c r="BS366" s="46">
        <f t="shared" si="2117"/>
        <v>43.1</v>
      </c>
      <c r="BT366" s="46">
        <f t="shared" si="2117"/>
        <v>46.9</v>
      </c>
      <c r="BU366" s="50">
        <f t="shared" si="2117"/>
        <v>177.5</v>
      </c>
      <c r="BV366" s="1071">
        <f t="shared" ref="BV366:BZ366" si="2118">BV329+BV333+BV343</f>
        <v>44.7</v>
      </c>
      <c r="BW366" s="1071">
        <f t="shared" si="2118"/>
        <v>42.8</v>
      </c>
      <c r="BX366" s="1071">
        <f t="shared" si="2118"/>
        <v>43.1</v>
      </c>
      <c r="BY366" s="1071">
        <f t="shared" si="2118"/>
        <v>46.9</v>
      </c>
      <c r="BZ366" s="50">
        <f t="shared" si="2118"/>
        <v>177.5</v>
      </c>
      <c r="CA366" s="46">
        <f>CA364-CA341-CA345</f>
        <v>69.100000000000009</v>
      </c>
      <c r="CB366" s="46">
        <f>CB364-CB341-CB345</f>
        <v>66.5</v>
      </c>
      <c r="CC366" s="46">
        <f t="shared" ref="CC366:CD366" si="2119">CC321+CC323-CC341</f>
        <v>45</v>
      </c>
      <c r="CD366" s="46">
        <f t="shared" si="2119"/>
        <v>50.500000000000014</v>
      </c>
      <c r="CE366" s="50">
        <f>SUM(CA366:CD366)</f>
        <v>231.10000000000002</v>
      </c>
      <c r="CF366" s="46">
        <f>CF321+CF323-CF341</f>
        <v>50.300000000000004</v>
      </c>
      <c r="CG366" s="46">
        <f t="shared" ref="CG366:CH366" si="2120">CG321+CG323-CG341</f>
        <v>41.2</v>
      </c>
      <c r="CH366" s="46">
        <f t="shared" si="2120"/>
        <v>48.7</v>
      </c>
      <c r="CI366" s="46">
        <f>CI321+CI323-CI341</f>
        <v>56.300000000000011</v>
      </c>
      <c r="CJ366" s="50">
        <f>SUM(CF366:CI366)</f>
        <v>196.5</v>
      </c>
      <c r="CK366" s="46">
        <f>CK321+CK323-CK341</f>
        <v>44.800000000000004</v>
      </c>
      <c r="CL366" s="46">
        <f t="shared" ref="CL366:CN366" si="2121">CL321+CL323-CL341</f>
        <v>44.4</v>
      </c>
      <c r="CM366" s="46">
        <f t="shared" si="2121"/>
        <v>49.6</v>
      </c>
      <c r="CN366" s="46">
        <f t="shared" si="2121"/>
        <v>40.200000000000003</v>
      </c>
      <c r="CO366" s="50">
        <f>SUM(CK366:CN366)</f>
        <v>179</v>
      </c>
      <c r="CP366" s="46">
        <f>CP321+CP323-CP341</f>
        <v>207.3</v>
      </c>
      <c r="CQ366" s="46">
        <f t="shared" ref="CQ366:CS366" si="2122">CQ321+CQ323-CQ341</f>
        <v>210.91712275102006</v>
      </c>
      <c r="CR366" s="46">
        <f t="shared" si="2122"/>
        <v>212.26661466589451</v>
      </c>
      <c r="CS366" s="46">
        <f t="shared" si="2122"/>
        <v>214.34826882107546</v>
      </c>
      <c r="CT366" s="50">
        <f>SUM(CP366:CS366)</f>
        <v>844.83200623799007</v>
      </c>
      <c r="CU366" s="46">
        <f>CU321+CU323-CU341</f>
        <v>211.41957659406307</v>
      </c>
      <c r="CV366" s="46">
        <f t="shared" ref="CV366:CX366" si="2123">CV321+CV323-CV341</f>
        <v>214.23463228035368</v>
      </c>
      <c r="CW366" s="46">
        <f t="shared" si="2123"/>
        <v>214.98561870111695</v>
      </c>
      <c r="CX366" s="46">
        <f t="shared" si="2123"/>
        <v>217.06733410985328</v>
      </c>
      <c r="CY366" s="50">
        <f>SUM(CU366:CX366)</f>
        <v>857.70716168538695</v>
      </c>
      <c r="CZ366" s="46">
        <f>CZ321+CZ323-CZ341</f>
        <v>215.6928012553318</v>
      </c>
      <c r="DA366" s="46">
        <f t="shared" ref="DA366:DC366" si="2124">DA321+DA323-DA341</f>
        <v>215.02459648168704</v>
      </c>
      <c r="DB366" s="46">
        <f t="shared" si="2124"/>
        <v>214.97019396693625</v>
      </c>
      <c r="DC366" s="46">
        <f t="shared" si="2124"/>
        <v>216.337435516965</v>
      </c>
      <c r="DD366" s="50">
        <f>SUM(CZ366:DC366)</f>
        <v>862.02502722092004</v>
      </c>
      <c r="DE366" s="46">
        <f>DE321+DE323-DE341</f>
        <v>218.87790839020585</v>
      </c>
      <c r="DF366" s="46">
        <f t="shared" ref="DF366:DH366" si="2125">DF321+DF323-DF341</f>
        <v>216.21129278453182</v>
      </c>
      <c r="DG366" s="46">
        <f t="shared" si="2125"/>
        <v>217.48170783346592</v>
      </c>
      <c r="DH366" s="46">
        <f t="shared" si="2125"/>
        <v>218.08043110417404</v>
      </c>
      <c r="DI366" s="50">
        <f>SUM(DE366:DH366)</f>
        <v>870.65134011237774</v>
      </c>
      <c r="DJ366" s="46">
        <f>DJ321+DJ323-DJ341</f>
        <v>220.09570217266338</v>
      </c>
      <c r="DK366" s="46">
        <f t="shared" ref="DK366:DM366" si="2126">DK321+DK323-DK341</f>
        <v>216.46436790747472</v>
      </c>
      <c r="DL366" s="46">
        <f t="shared" si="2126"/>
        <v>216.83702847082247</v>
      </c>
      <c r="DM366" s="46">
        <f t="shared" si="2126"/>
        <v>216.60151473618998</v>
      </c>
      <c r="DN366" s="50">
        <f>SUM(DJ366:DM366)</f>
        <v>869.99861328715053</v>
      </c>
      <c r="DO366" s="46">
        <f>DO321+DO323-DO341</f>
        <v>221.4306339835874</v>
      </c>
      <c r="DP366" s="46">
        <f t="shared" ref="DP366:DR366" si="2127">DP321+DP323-DP341</f>
        <v>216.57230220942316</v>
      </c>
      <c r="DQ366" s="46">
        <f t="shared" si="2127"/>
        <v>215.82486598744899</v>
      </c>
      <c r="DR366" s="46">
        <f t="shared" si="2127"/>
        <v>214.65849192701015</v>
      </c>
      <c r="DS366" s="50">
        <f>SUM(DO366:DR366)</f>
        <v>868.48629410746969</v>
      </c>
      <c r="DT366" s="46">
        <f>DT321+DT323-DT341</f>
        <v>224.05772670780647</v>
      </c>
      <c r="DU366" s="46">
        <f t="shared" ref="DU366:DW366" si="2128">DU321+DU323-DU341</f>
        <v>215.22835663086116</v>
      </c>
      <c r="DV366" s="46">
        <f t="shared" si="2128"/>
        <v>213.18072696975995</v>
      </c>
      <c r="DW366" s="46">
        <f t="shared" si="2128"/>
        <v>210.96771554770459</v>
      </c>
      <c r="DX366" s="50">
        <f>SUM(DT366:DW366)</f>
        <v>863.43452585613204</v>
      </c>
      <c r="DY366" s="46">
        <f>DY321+DY323-DY341</f>
        <v>219.91436664296435</v>
      </c>
      <c r="DZ366" s="46">
        <f t="shared" ref="DZ366:EB366" si="2129">DZ321+DZ323-DZ341</f>
        <v>212.25331713868016</v>
      </c>
      <c r="EA366" s="46">
        <f t="shared" si="2129"/>
        <v>208.70883457524053</v>
      </c>
      <c r="EB366" s="46">
        <f t="shared" si="2129"/>
        <v>205.32452154602339</v>
      </c>
      <c r="EC366" s="50">
        <f>SUM(DY366:EB366)</f>
        <v>846.20103990290841</v>
      </c>
      <c r="ED366" s="46"/>
      <c r="EE366" s="46"/>
      <c r="EF366" s="46"/>
      <c r="EG366" s="46"/>
      <c r="EH366" s="46"/>
      <c r="EI366" s="46"/>
      <c r="EJ366" s="46"/>
      <c r="EK366" s="46"/>
      <c r="EL366" s="46"/>
      <c r="EM366" s="46"/>
      <c r="EN366" s="46"/>
      <c r="EO366" s="46"/>
      <c r="EP366" s="46"/>
      <c r="EQ366" s="46"/>
      <c r="ER366" s="46"/>
      <c r="ES366" s="46"/>
      <c r="ET366" s="46"/>
      <c r="EU366" s="46"/>
      <c r="EX366" s="46"/>
      <c r="EY366" s="767"/>
      <c r="EZ366" s="767"/>
      <c r="FA366" s="767"/>
      <c r="FB366" s="767"/>
      <c r="FC366" s="767"/>
      <c r="FD366" s="46"/>
    </row>
    <row r="367" spans="1:166" x14ac:dyDescent="0.2">
      <c r="A367" s="775" t="s">
        <v>365</v>
      </c>
      <c r="B367" s="292"/>
      <c r="C367" s="776"/>
      <c r="D367" s="777"/>
      <c r="E367" s="777"/>
      <c r="F367" s="778"/>
      <c r="G367" s="292"/>
      <c r="H367" s="776"/>
      <c r="I367" s="777"/>
      <c r="J367" s="777"/>
      <c r="K367" s="778"/>
      <c r="L367" s="292"/>
      <c r="M367" s="776"/>
      <c r="N367" s="777"/>
      <c r="O367" s="777"/>
      <c r="P367" s="778"/>
      <c r="Q367" s="292"/>
      <c r="R367" s="293"/>
      <c r="S367" s="293"/>
      <c r="T367" s="293"/>
      <c r="U367" s="778"/>
      <c r="V367" s="292"/>
      <c r="W367" s="293"/>
      <c r="X367" s="293"/>
      <c r="Y367" s="293"/>
      <c r="Z367" s="778"/>
      <c r="AA367" s="778"/>
      <c r="AB367" s="779"/>
      <c r="AC367" s="293"/>
      <c r="AD367" s="293"/>
      <c r="AE367" s="293"/>
      <c r="AF367" s="292"/>
      <c r="AG367" s="293"/>
      <c r="AH367" s="293"/>
      <c r="AI367" s="293"/>
      <c r="AJ367" s="293"/>
      <c r="AK367" s="292"/>
      <c r="AL367" s="293"/>
      <c r="AM367" s="293"/>
      <c r="AN367" s="293"/>
      <c r="AO367" s="293"/>
      <c r="AP367" s="292"/>
      <c r="AQ367" s="293"/>
      <c r="AR367" s="293"/>
      <c r="AS367" s="293"/>
      <c r="AT367" s="293"/>
      <c r="AU367" s="779"/>
      <c r="AV367" s="45"/>
      <c r="AW367" s="293"/>
      <c r="AX367" s="293"/>
      <c r="AY367" s="293"/>
      <c r="AZ367" s="293"/>
      <c r="BA367" s="292"/>
      <c r="BB367" s="293">
        <f t="shared" ref="BB367:BU367" si="2130">BB366/AW366-1</f>
        <v>-0.22281639928698749</v>
      </c>
      <c r="BC367" s="293">
        <f t="shared" si="2130"/>
        <v>-0.24631396357328705</v>
      </c>
      <c r="BD367" s="293">
        <f t="shared" si="2130"/>
        <v>-0.28749999999999987</v>
      </c>
      <c r="BE367" s="293">
        <f t="shared" si="2130"/>
        <v>-0.26222222222222225</v>
      </c>
      <c r="BF367" s="292">
        <f t="shared" si="2130"/>
        <v>-0.25521739130434784</v>
      </c>
      <c r="BG367" s="293">
        <f t="shared" si="2130"/>
        <v>-5.9633027522935755E-2</v>
      </c>
      <c r="BH367" s="293">
        <f t="shared" si="2130"/>
        <v>-0.22784810126582289</v>
      </c>
      <c r="BI367" s="293">
        <f t="shared" si="2130"/>
        <v>-0.2116959064327486</v>
      </c>
      <c r="BJ367" s="293">
        <f t="shared" si="2130"/>
        <v>-0.23253012048192778</v>
      </c>
      <c r="BK367" s="292">
        <f t="shared" si="2130"/>
        <v>-0.18213660245183894</v>
      </c>
      <c r="BL367" s="293">
        <f t="shared" si="2130"/>
        <v>-0.33048780487804885</v>
      </c>
      <c r="BM367" s="293">
        <f t="shared" si="2130"/>
        <v>-0.27719821162444103</v>
      </c>
      <c r="BN367" s="293">
        <f t="shared" si="2130"/>
        <v>-0.23738872403560829</v>
      </c>
      <c r="BO367" s="293">
        <f t="shared" si="2130"/>
        <v>-0.3124018838304552</v>
      </c>
      <c r="BP367" s="292">
        <f t="shared" si="2130"/>
        <v>-0.29122055674518199</v>
      </c>
      <c r="BQ367" s="293">
        <f t="shared" si="2130"/>
        <v>-0.18579234972677583</v>
      </c>
      <c r="BR367" s="293">
        <f t="shared" si="2130"/>
        <v>-0.11752577319587632</v>
      </c>
      <c r="BS367" s="293">
        <f t="shared" si="2130"/>
        <v>-0.16147859922178975</v>
      </c>
      <c r="BT367" s="293">
        <f t="shared" si="2130"/>
        <v>7.077625570776247E-2</v>
      </c>
      <c r="BU367" s="292">
        <f t="shared" si="2130"/>
        <v>-0.10624370594159116</v>
      </c>
      <c r="BV367" s="1317">
        <f t="shared" ref="BV367" si="2131">BV366/BQ366-1</f>
        <v>0</v>
      </c>
      <c r="BW367" s="1317">
        <f t="shared" ref="BW367" si="2132">BW366/BR366-1</f>
        <v>0</v>
      </c>
      <c r="BX367" s="1317">
        <f t="shared" ref="BX367" si="2133">BX366/BS366-1</f>
        <v>0</v>
      </c>
      <c r="BY367" s="1317">
        <f t="shared" ref="BY367" si="2134">BY366/BT366-1</f>
        <v>0</v>
      </c>
      <c r="BZ367" s="292">
        <f t="shared" ref="BZ367" si="2135">BZ366/BU366-1</f>
        <v>0</v>
      </c>
      <c r="CA367" s="293">
        <f>CA366/BQ366-1</f>
        <v>0.54586129753914991</v>
      </c>
      <c r="CB367" s="293">
        <f>CB366/BR366-1</f>
        <v>0.55373831775700944</v>
      </c>
      <c r="CC367" s="293">
        <f>CC366/BS366-1</f>
        <v>4.4083526682134444E-2</v>
      </c>
      <c r="CD367" s="293">
        <f>CD366/BT366-1</f>
        <v>7.675906183368908E-2</v>
      </c>
      <c r="CE367" s="292">
        <f>CE366/BU366-1</f>
        <v>0.30197183098591562</v>
      </c>
      <c r="CF367" s="293">
        <f t="shared" ref="CF367:CG367" si="2136">CF366/CA366-1</f>
        <v>-0.27206946454413894</v>
      </c>
      <c r="CG367" s="293">
        <f t="shared" si="2136"/>
        <v>-0.38045112781954882</v>
      </c>
      <c r="CH367" s="293">
        <f t="shared" ref="CH367" si="2137">CH366/CC366-1</f>
        <v>8.2222222222222197E-2</v>
      </c>
      <c r="CI367" s="293">
        <f t="shared" ref="CI367" si="2138">CI366/CD366-1</f>
        <v>0.11485148514851473</v>
      </c>
      <c r="CJ367" s="292">
        <f t="shared" ref="CJ367" si="2139">CJ366/CE366-1</f>
        <v>-0.14971873647771539</v>
      </c>
      <c r="CK367" s="293">
        <f t="shared" ref="CK367" si="2140">CK366/CF366-1</f>
        <v>-0.10934393638170969</v>
      </c>
      <c r="CL367" s="293">
        <f t="shared" ref="CL367" si="2141">CL366/CG366-1</f>
        <v>7.7669902912621325E-2</v>
      </c>
      <c r="CM367" s="293">
        <f t="shared" ref="CM367" si="2142">CM366/CH366-1</f>
        <v>1.848049281314168E-2</v>
      </c>
      <c r="CN367" s="293">
        <f t="shared" ref="CN367" si="2143">CN366/CI366-1</f>
        <v>-0.28596802841918301</v>
      </c>
      <c r="CO367" s="292">
        <f t="shared" ref="CO367" si="2144">CO366/CJ366-1</f>
        <v>-8.9058524173027953E-2</v>
      </c>
      <c r="CP367" s="293">
        <f>CP366/CK366-1</f>
        <v>3.6272321428571423</v>
      </c>
      <c r="CQ367" s="293">
        <f t="shared" ref="CQ367" si="2145">CQ366/CL366-1</f>
        <v>3.7503856475454969</v>
      </c>
      <c r="CR367" s="293">
        <f t="shared" ref="CR367" si="2146">CR366/CM366-1</f>
        <v>3.2795688440704538</v>
      </c>
      <c r="CS367" s="293">
        <f t="shared" ref="CS367" si="2147">CS366/CN366-1</f>
        <v>4.332046488086454</v>
      </c>
      <c r="CT367" s="292">
        <f t="shared" ref="CT367" si="2148">CT366/CO366-1</f>
        <v>3.7197318784245255</v>
      </c>
      <c r="CU367" s="293">
        <f t="shared" ref="CU367" si="2149">CU366/CP366-1</f>
        <v>1.9872535427221782E-2</v>
      </c>
      <c r="CV367" s="293">
        <f t="shared" ref="CV367" si="2150">CV366/CQ366-1</f>
        <v>1.5728972053396628E-2</v>
      </c>
      <c r="CW367" s="293">
        <f t="shared" ref="CW367" si="2151">CW366/CR366-1</f>
        <v>1.2809381444661483E-2</v>
      </c>
      <c r="CX367" s="293">
        <f t="shared" ref="CX367" si="2152">CX366/CS366-1</f>
        <v>1.2685268249343906E-2</v>
      </c>
      <c r="CY367" s="292">
        <f t="shared" ref="CY367" si="2153">CY366/CT366-1</f>
        <v>1.5239900184096378E-2</v>
      </c>
      <c r="CZ367" s="293">
        <f t="shared" ref="CZ367" si="2154">CZ366/CU366-1</f>
        <v>2.0212057606536327E-2</v>
      </c>
      <c r="DA367" s="293">
        <f t="shared" ref="DA367" si="2155">DA366/CV366-1</f>
        <v>3.6873786134614672E-3</v>
      </c>
      <c r="DB367" s="293">
        <f t="shared" ref="DB367" si="2156">DB366/CW366-1</f>
        <v>-7.1747748867534433E-5</v>
      </c>
      <c r="DC367" s="293">
        <f t="shared" ref="DC367" si="2157">DC366/CX366-1</f>
        <v>-3.362544603412787E-3</v>
      </c>
      <c r="DD367" s="292">
        <f t="shared" ref="DD367" si="2158">DD366/CY366-1</f>
        <v>5.0341955021671048E-3</v>
      </c>
      <c r="DE367" s="293">
        <f t="shared" ref="DE367" si="2159">DE366/CZ366-1</f>
        <v>1.4766868047226156E-2</v>
      </c>
      <c r="DF367" s="293">
        <f t="shared" ref="DF367" si="2160">DF366/DA366-1</f>
        <v>5.5188863146911071E-3</v>
      </c>
      <c r="DG367" s="293">
        <f t="shared" ref="DG367" si="2161">DG366/DB366-1</f>
        <v>1.1683079501318971E-2</v>
      </c>
      <c r="DH367" s="293">
        <f t="shared" ref="DH367" si="2162">DH366/DC366-1</f>
        <v>8.05683761131748E-3</v>
      </c>
      <c r="DI367" s="292">
        <f t="shared" ref="DI367" si="2163">DI366/DD366-1</f>
        <v>1.0007032996788956E-2</v>
      </c>
      <c r="DJ367" s="293">
        <f t="shared" ref="DJ367" si="2164">DJ366/DE366-1</f>
        <v>5.5638040011170009E-3</v>
      </c>
      <c r="DK367" s="293">
        <f t="shared" ref="DK367" si="2165">DK366/DF366-1</f>
        <v>1.1704990968954831E-3</v>
      </c>
      <c r="DL367" s="293">
        <f t="shared" ref="DL367" si="2166">DL366/DG366-1</f>
        <v>-2.9642923493000684E-3</v>
      </c>
      <c r="DM367" s="293">
        <f t="shared" ref="DM367" si="2167">DM366/DH366-1</f>
        <v>-6.7815179954298088E-3</v>
      </c>
      <c r="DN367" s="292">
        <f t="shared" ref="DN367" si="2168">DN366/DI366-1</f>
        <v>-7.4969944357172746E-4</v>
      </c>
      <c r="DO367" s="293">
        <f t="shared" ref="DO367" si="2169">DO366/DJ366-1</f>
        <v>6.0652334313950895E-3</v>
      </c>
      <c r="DP367" s="293">
        <f t="shared" ref="DP367" si="2170">DP366/DK366-1</f>
        <v>4.9862387510613004E-4</v>
      </c>
      <c r="DQ367" s="293">
        <f t="shared" ref="DQ367" si="2171">DQ366/DL366-1</f>
        <v>-4.6678488932976325E-3</v>
      </c>
      <c r="DR367" s="293">
        <f t="shared" ref="DR367" si="2172">DR366/DM366-1</f>
        <v>-8.970495019604785E-3</v>
      </c>
      <c r="DS367" s="292">
        <f t="shared" ref="DS367" si="2173">DS366/DN366-1</f>
        <v>-1.7383006783961985E-3</v>
      </c>
      <c r="DT367" s="293">
        <f t="shared" ref="DT367" si="2174">DT366/DO366-1</f>
        <v>1.1864179210243186E-2</v>
      </c>
      <c r="DU367" s="293">
        <f t="shared" ref="DU367" si="2175">DU366/DP366-1</f>
        <v>-6.205528430234919E-3</v>
      </c>
      <c r="DV367" s="293">
        <f t="shared" ref="DV367" si="2176">DV366/DQ366-1</f>
        <v>-1.2251317778382398E-2</v>
      </c>
      <c r="DW367" s="293">
        <f t="shared" ref="DW367" si="2177">DW366/DR366-1</f>
        <v>-1.7193712422802876E-2</v>
      </c>
      <c r="DX367" s="292">
        <f t="shared" ref="DX367" si="2178">DX366/DS366-1</f>
        <v>-5.8167506909585498E-3</v>
      </c>
      <c r="DY367" s="293">
        <f t="shared" ref="DY367" si="2179">DY366/DT366-1</f>
        <v>-1.8492377503434465E-2</v>
      </c>
      <c r="DZ367" s="293">
        <f t="shared" ref="DZ367" si="2180">DZ366/DU366-1</f>
        <v>-1.3822711555073974E-2</v>
      </c>
      <c r="EA367" s="293">
        <f t="shared" ref="EA367" si="2181">EA366/DV366-1</f>
        <v>-2.0977001336306311E-2</v>
      </c>
      <c r="EB367" s="293">
        <f t="shared" ref="EB367" si="2182">EB366/DW366-1</f>
        <v>-2.6749088063216631E-2</v>
      </c>
      <c r="EC367" s="292">
        <f t="shared" ref="EC367" si="2183">EC366/DX366-1</f>
        <v>-1.9959227291885151E-2</v>
      </c>
      <c r="ED367" s="242"/>
      <c r="EE367" s="242"/>
      <c r="EF367" s="774"/>
      <c r="EG367" s="43"/>
      <c r="EH367" s="43"/>
      <c r="EI367" s="43"/>
      <c r="EJ367" s="43"/>
      <c r="EK367" s="43"/>
      <c r="EL367" s="43"/>
      <c r="EM367" s="43"/>
      <c r="EN367" s="43"/>
      <c r="EO367" s="43"/>
      <c r="EP367" s="43"/>
      <c r="EQ367" s="43"/>
      <c r="ER367" s="43"/>
      <c r="ES367" s="43"/>
      <c r="ET367" s="43"/>
      <c r="EU367" s="43"/>
      <c r="EX367" s="43"/>
      <c r="EY367" s="274"/>
      <c r="EZ367" s="990"/>
      <c r="FA367" s="990"/>
      <c r="FB367" s="274"/>
      <c r="FC367" s="990"/>
      <c r="FD367" s="43"/>
    </row>
    <row r="368" spans="1:166" x14ac:dyDescent="0.2">
      <c r="A368" s="276" t="s">
        <v>84</v>
      </c>
      <c r="B368" s="357"/>
      <c r="C368" s="355"/>
      <c r="D368" s="356"/>
      <c r="E368" s="356"/>
      <c r="F368" s="358"/>
      <c r="G368" s="357"/>
      <c r="H368" s="355"/>
      <c r="I368" s="356"/>
      <c r="J368" s="356"/>
      <c r="K368" s="356"/>
      <c r="L368" s="357"/>
      <c r="M368" s="356"/>
      <c r="N368" s="356"/>
      <c r="O368" s="356"/>
      <c r="P368" s="356"/>
      <c r="Q368" s="357"/>
      <c r="R368" s="356"/>
      <c r="S368" s="376"/>
      <c r="T368" s="376"/>
      <c r="U368" s="376"/>
      <c r="V368" s="377"/>
      <c r="W368" s="376"/>
      <c r="X368" s="376"/>
      <c r="Y368" s="376"/>
      <c r="Z368" s="376"/>
      <c r="AA368" s="377"/>
      <c r="AB368" s="376"/>
      <c r="AC368" s="376"/>
      <c r="AD368" s="376"/>
      <c r="AE368" s="376"/>
      <c r="AF368" s="377"/>
      <c r="AG368" s="376"/>
      <c r="AH368" s="376"/>
      <c r="AI368" s="376"/>
      <c r="AJ368" s="376"/>
      <c r="AK368" s="377"/>
      <c r="AL368" s="376"/>
      <c r="AM368" s="376"/>
      <c r="AN368" s="376"/>
      <c r="AO368" s="376"/>
      <c r="AP368" s="377"/>
      <c r="AQ368" s="376"/>
      <c r="AR368" s="376"/>
      <c r="AS368" s="376"/>
      <c r="AT368" s="376"/>
      <c r="AU368" s="766"/>
      <c r="AV368" s="45"/>
      <c r="AW368" s="38">
        <f t="shared" ref="AW368:BK368" si="2184">AW329+AW333+AW341+AW343</f>
        <v>116.5</v>
      </c>
      <c r="AX368" s="38">
        <f t="shared" si="2184"/>
        <v>119.3</v>
      </c>
      <c r="AY368" s="38">
        <f t="shared" si="2184"/>
        <v>124.99999999999999</v>
      </c>
      <c r="AZ368" s="38">
        <f t="shared" si="2184"/>
        <v>113.2</v>
      </c>
      <c r="BA368" s="50">
        <f t="shared" si="2184"/>
        <v>474.00000000000006</v>
      </c>
      <c r="BB368" s="38">
        <f t="shared" si="2184"/>
        <v>87.4</v>
      </c>
      <c r="BC368" s="38">
        <f t="shared" si="2184"/>
        <v>87.300000000000011</v>
      </c>
      <c r="BD368" s="38">
        <f t="shared" si="2184"/>
        <v>85.8</v>
      </c>
      <c r="BE368" s="38">
        <f t="shared" si="2184"/>
        <v>88.5</v>
      </c>
      <c r="BF368" s="50">
        <f t="shared" si="2184"/>
        <v>349</v>
      </c>
      <c r="BG368" s="46">
        <f t="shared" si="2184"/>
        <v>84.3</v>
      </c>
      <c r="BH368" s="46">
        <f t="shared" si="2184"/>
        <v>68.3</v>
      </c>
      <c r="BI368" s="46">
        <f t="shared" si="2184"/>
        <v>69.999999999999986</v>
      </c>
      <c r="BJ368" s="46">
        <f t="shared" si="2184"/>
        <v>67.8</v>
      </c>
      <c r="BK368" s="50">
        <f t="shared" si="2184"/>
        <v>290.39999999999998</v>
      </c>
      <c r="BL368" s="46">
        <f t="shared" ref="BL368:BU368" si="2185">BL329+BL333+BL341+BL343</f>
        <v>57.6</v>
      </c>
      <c r="BM368" s="46">
        <f t="shared" si="2185"/>
        <v>51.7</v>
      </c>
      <c r="BN368" s="46">
        <f t="shared" si="2185"/>
        <v>54.899999999999991</v>
      </c>
      <c r="BO368" s="46">
        <f t="shared" si="2185"/>
        <v>52</v>
      </c>
      <c r="BP368" s="50">
        <f t="shared" si="2185"/>
        <v>216.2</v>
      </c>
      <c r="BQ368" s="46">
        <f t="shared" si="2185"/>
        <v>48.2</v>
      </c>
      <c r="BR368" s="46">
        <f t="shared" si="2185"/>
        <v>47</v>
      </c>
      <c r="BS368" s="46">
        <f t="shared" si="2185"/>
        <v>47.6</v>
      </c>
      <c r="BT368" s="46">
        <f t="shared" si="2185"/>
        <v>72</v>
      </c>
      <c r="BU368" s="50">
        <f t="shared" si="2185"/>
        <v>214.8</v>
      </c>
      <c r="BV368" s="1071">
        <f t="shared" ref="BV368:BZ368" si="2186">BV329+BV333+BV341+BV343</f>
        <v>48.2</v>
      </c>
      <c r="BW368" s="1071">
        <f t="shared" si="2186"/>
        <v>47</v>
      </c>
      <c r="BX368" s="1071">
        <f t="shared" si="2186"/>
        <v>47.6</v>
      </c>
      <c r="BY368" s="1071">
        <f t="shared" si="2186"/>
        <v>72</v>
      </c>
      <c r="BZ368" s="50">
        <f t="shared" si="2186"/>
        <v>214.8</v>
      </c>
      <c r="CA368" s="46">
        <f>CA329+CA331+CA341+CA343</f>
        <v>83.000000000000014</v>
      </c>
      <c r="CB368" s="46">
        <f>CB329+CB331+CB341+CB343</f>
        <v>74.599999999999994</v>
      </c>
      <c r="CC368" s="46">
        <f>CC329+CC331+CC341+CC343</f>
        <v>80</v>
      </c>
      <c r="CD368" s="46">
        <f>CD329+CD331+CD341+CD343</f>
        <v>83.4</v>
      </c>
      <c r="CE368" s="50">
        <f>SUM(CA368:CD368)</f>
        <v>321</v>
      </c>
      <c r="CF368" s="46">
        <f>CF321+CF323</f>
        <v>58.2</v>
      </c>
      <c r="CG368" s="46">
        <f t="shared" ref="CG368:CH368" si="2187">CG321+CG323</f>
        <v>52.5</v>
      </c>
      <c r="CH368" s="46">
        <f t="shared" si="2187"/>
        <v>60.5</v>
      </c>
      <c r="CI368" s="46">
        <f>CI321+CI323</f>
        <v>67.300000000000011</v>
      </c>
      <c r="CJ368" s="50">
        <f>SUM(CF368:CI368)</f>
        <v>238.5</v>
      </c>
      <c r="CK368" s="46">
        <f>CK321+CK323</f>
        <v>63.300000000000004</v>
      </c>
      <c r="CL368" s="46">
        <f t="shared" ref="CL368:CN368" si="2188">CL321+CL323</f>
        <v>56.3</v>
      </c>
      <c r="CM368" s="46">
        <f t="shared" si="2188"/>
        <v>62.1</v>
      </c>
      <c r="CN368" s="46">
        <f t="shared" si="2188"/>
        <v>52.2</v>
      </c>
      <c r="CO368" s="50">
        <f>SUM(CK368:CN368)</f>
        <v>233.89999999999998</v>
      </c>
      <c r="CP368" s="46">
        <f>CP321+CP323</f>
        <v>222.60000000000002</v>
      </c>
      <c r="CQ368" s="46">
        <f t="shared" ref="CQ368:CS368" si="2189">CQ321+CQ323</f>
        <v>224.00712275102006</v>
      </c>
      <c r="CR368" s="46">
        <f t="shared" si="2189"/>
        <v>226.01661466589451</v>
      </c>
      <c r="CS368" s="46">
        <f t="shared" si="2189"/>
        <v>227.54826882107545</v>
      </c>
      <c r="CT368" s="50">
        <f>SUM(CP368:CS368)</f>
        <v>900.17200623798999</v>
      </c>
      <c r="CU368" s="46">
        <f>CU321+CU323</f>
        <v>226.71957659406308</v>
      </c>
      <c r="CV368" s="46">
        <f t="shared" ref="CV368:CX368" si="2190">CV321+CV323</f>
        <v>227.32463228035368</v>
      </c>
      <c r="CW368" s="46">
        <f t="shared" si="2190"/>
        <v>228.73561870111695</v>
      </c>
      <c r="CX368" s="46">
        <f t="shared" si="2190"/>
        <v>230.26733410985327</v>
      </c>
      <c r="CY368" s="50">
        <f>SUM(CU368:CX368)</f>
        <v>913.04716168538698</v>
      </c>
      <c r="CZ368" s="46">
        <f>CZ321+CZ323</f>
        <v>230.99280125533181</v>
      </c>
      <c r="DA368" s="46">
        <f t="shared" ref="DA368:DC368" si="2191">DA321+DA323</f>
        <v>228.11459648168704</v>
      </c>
      <c r="DB368" s="46">
        <f t="shared" si="2191"/>
        <v>228.72019396693625</v>
      </c>
      <c r="DC368" s="46">
        <f t="shared" si="2191"/>
        <v>229.53743551696499</v>
      </c>
      <c r="DD368" s="50">
        <f>SUM(CZ368:DC368)</f>
        <v>917.36502722092018</v>
      </c>
      <c r="DE368" s="46">
        <f>DE321+DE323</f>
        <v>234.17790839020586</v>
      </c>
      <c r="DF368" s="46">
        <f t="shared" ref="DF368:DH368" si="2192">DF321+DF323</f>
        <v>229.30129278453182</v>
      </c>
      <c r="DG368" s="46">
        <f t="shared" si="2192"/>
        <v>231.23170783346592</v>
      </c>
      <c r="DH368" s="46">
        <f t="shared" si="2192"/>
        <v>231.28043110417403</v>
      </c>
      <c r="DI368" s="50">
        <f>SUM(DE368:DH368)</f>
        <v>925.99134011237754</v>
      </c>
      <c r="DJ368" s="46">
        <f>DJ321+DJ323</f>
        <v>235.39570217266339</v>
      </c>
      <c r="DK368" s="46">
        <f t="shared" ref="DK368:DM368" si="2193">DK321+DK323</f>
        <v>229.55436790747473</v>
      </c>
      <c r="DL368" s="46">
        <f t="shared" si="2193"/>
        <v>230.58702847082247</v>
      </c>
      <c r="DM368" s="46">
        <f t="shared" si="2193"/>
        <v>229.80151473618997</v>
      </c>
      <c r="DN368" s="50">
        <f>SUM(DJ368:DM368)</f>
        <v>925.33861328715057</v>
      </c>
      <c r="DO368" s="46">
        <f>DO321+DO323</f>
        <v>236.73063398358741</v>
      </c>
      <c r="DP368" s="46">
        <f t="shared" ref="DP368:DR368" si="2194">DP321+DP323</f>
        <v>229.66230220942316</v>
      </c>
      <c r="DQ368" s="46">
        <f t="shared" si="2194"/>
        <v>229.57486598744899</v>
      </c>
      <c r="DR368" s="46">
        <f t="shared" si="2194"/>
        <v>227.85849192701014</v>
      </c>
      <c r="DS368" s="50">
        <f>SUM(DO368:DR368)</f>
        <v>923.82629410746972</v>
      </c>
      <c r="DT368" s="46">
        <f>DT321+DT323</f>
        <v>239.35772670780648</v>
      </c>
      <c r="DU368" s="46">
        <f t="shared" ref="DU368:DW368" si="2195">DU321+DU323</f>
        <v>228.31835663086116</v>
      </c>
      <c r="DV368" s="46">
        <f t="shared" si="2195"/>
        <v>226.93072696975995</v>
      </c>
      <c r="DW368" s="46">
        <f t="shared" si="2195"/>
        <v>224.16771554770457</v>
      </c>
      <c r="DX368" s="50">
        <f>SUM(DT368:DW368)</f>
        <v>918.77452585613219</v>
      </c>
      <c r="DY368" s="46">
        <f>DY321+DY323</f>
        <v>235.21436664296436</v>
      </c>
      <c r="DZ368" s="46">
        <f t="shared" ref="DZ368:EB368" si="2196">DZ321+DZ323</f>
        <v>225.34331713868016</v>
      </c>
      <c r="EA368" s="46">
        <f t="shared" si="2196"/>
        <v>222.45883457524053</v>
      </c>
      <c r="EB368" s="46">
        <f t="shared" si="2196"/>
        <v>218.52452154602338</v>
      </c>
      <c r="EC368" s="50">
        <f>SUM(DY368:EB368)</f>
        <v>901.54103990290844</v>
      </c>
      <c r="ED368" s="46"/>
      <c r="EE368" s="46"/>
      <c r="EF368" s="46"/>
      <c r="EG368" s="46"/>
      <c r="EH368" s="46"/>
      <c r="EI368" s="46"/>
      <c r="EJ368" s="46"/>
      <c r="EK368" s="46"/>
      <c r="EL368" s="46"/>
      <c r="EM368" s="46"/>
      <c r="EN368" s="46"/>
      <c r="EO368" s="46"/>
      <c r="EP368" s="46"/>
      <c r="EQ368" s="46"/>
      <c r="ER368" s="46"/>
      <c r="ES368" s="46"/>
      <c r="ET368" s="46"/>
      <c r="EU368" s="46"/>
      <c r="EX368" s="46"/>
      <c r="EY368" s="767"/>
      <c r="EZ368" s="767"/>
      <c r="FA368" s="767"/>
      <c r="FB368" s="767"/>
      <c r="FC368" s="767"/>
      <c r="FD368" s="46"/>
    </row>
    <row r="369" spans="1:166" x14ac:dyDescent="0.2">
      <c r="A369" s="775" t="s">
        <v>365</v>
      </c>
      <c r="B369" s="292"/>
      <c r="C369" s="776"/>
      <c r="D369" s="777"/>
      <c r="E369" s="777"/>
      <c r="F369" s="778"/>
      <c r="G369" s="292"/>
      <c r="H369" s="776"/>
      <c r="I369" s="777"/>
      <c r="J369" s="777"/>
      <c r="K369" s="778"/>
      <c r="L369" s="292"/>
      <c r="M369" s="776"/>
      <c r="N369" s="777"/>
      <c r="O369" s="777"/>
      <c r="P369" s="778"/>
      <c r="Q369" s="292"/>
      <c r="R369" s="293"/>
      <c r="S369" s="293"/>
      <c r="T369" s="293"/>
      <c r="U369" s="778"/>
      <c r="V369" s="292"/>
      <c r="W369" s="293"/>
      <c r="X369" s="293"/>
      <c r="Y369" s="293"/>
      <c r="Z369" s="778"/>
      <c r="AA369" s="778"/>
      <c r="AB369" s="779"/>
      <c r="AC369" s="293"/>
      <c r="AD369" s="293"/>
      <c r="AE369" s="293"/>
      <c r="AF369" s="292"/>
      <c r="AG369" s="293"/>
      <c r="AH369" s="293"/>
      <c r="AI369" s="293"/>
      <c r="AJ369" s="293"/>
      <c r="AK369" s="292"/>
      <c r="AL369" s="293"/>
      <c r="AM369" s="293"/>
      <c r="AN369" s="293"/>
      <c r="AO369" s="293"/>
      <c r="AP369" s="292"/>
      <c r="AQ369" s="293"/>
      <c r="AR369" s="293"/>
      <c r="AS369" s="293"/>
      <c r="AT369" s="293"/>
      <c r="AU369" s="779"/>
      <c r="AV369" s="45"/>
      <c r="AW369" s="293"/>
      <c r="AX369" s="293"/>
      <c r="AY369" s="293"/>
      <c r="AZ369" s="293"/>
      <c r="BA369" s="292"/>
      <c r="BB369" s="293">
        <f t="shared" ref="BB369:BU369" si="2197">BB368/AW368-1</f>
        <v>-0.24978540772532187</v>
      </c>
      <c r="BC369" s="293">
        <f t="shared" si="2197"/>
        <v>-0.2682313495389772</v>
      </c>
      <c r="BD369" s="293">
        <f t="shared" si="2197"/>
        <v>-0.31359999999999999</v>
      </c>
      <c r="BE369" s="293">
        <f t="shared" si="2197"/>
        <v>-0.21819787985865724</v>
      </c>
      <c r="BF369" s="292">
        <f t="shared" si="2197"/>
        <v>-0.26371308016877648</v>
      </c>
      <c r="BG369" s="293">
        <f t="shared" si="2197"/>
        <v>-3.5469107551487467E-2</v>
      </c>
      <c r="BH369" s="293">
        <f t="shared" si="2197"/>
        <v>-0.21764032073310435</v>
      </c>
      <c r="BI369" s="293">
        <f t="shared" si="2197"/>
        <v>-0.18414918414918424</v>
      </c>
      <c r="BJ369" s="293">
        <f t="shared" si="2197"/>
        <v>-0.23389830508474585</v>
      </c>
      <c r="BK369" s="292">
        <f t="shared" si="2197"/>
        <v>-0.16790830945558743</v>
      </c>
      <c r="BL369" s="293">
        <f t="shared" si="2197"/>
        <v>-0.31672597864768681</v>
      </c>
      <c r="BM369" s="293">
        <f t="shared" si="2197"/>
        <v>-0.24304538799414344</v>
      </c>
      <c r="BN369" s="293">
        <f t="shared" si="2197"/>
        <v>-0.21571428571428564</v>
      </c>
      <c r="BO369" s="293">
        <f t="shared" si="2197"/>
        <v>-0.23303834808259583</v>
      </c>
      <c r="BP369" s="292">
        <f t="shared" si="2197"/>
        <v>-0.25550964187327818</v>
      </c>
      <c r="BQ369" s="293">
        <f t="shared" si="2197"/>
        <v>-0.16319444444444442</v>
      </c>
      <c r="BR369" s="293">
        <f t="shared" si="2197"/>
        <v>-9.0909090909090939E-2</v>
      </c>
      <c r="BS369" s="293">
        <f t="shared" si="2197"/>
        <v>-0.13296903460837872</v>
      </c>
      <c r="BT369" s="293">
        <f t="shared" si="2197"/>
        <v>0.38461538461538458</v>
      </c>
      <c r="BU369" s="292">
        <f t="shared" si="2197"/>
        <v>-6.4754856614245293E-3</v>
      </c>
      <c r="BV369" s="1317">
        <f t="shared" ref="BV369" si="2198">BV368/BQ368-1</f>
        <v>0</v>
      </c>
      <c r="BW369" s="1317">
        <f t="shared" ref="BW369" si="2199">BW368/BR368-1</f>
        <v>0</v>
      </c>
      <c r="BX369" s="1317">
        <f t="shared" ref="BX369" si="2200">BX368/BS368-1</f>
        <v>0</v>
      </c>
      <c r="BY369" s="1317">
        <f t="shared" ref="BY369" si="2201">BY368/BT368-1</f>
        <v>0</v>
      </c>
      <c r="BZ369" s="292">
        <f t="shared" ref="BZ369" si="2202">BZ368/BU368-1</f>
        <v>0</v>
      </c>
      <c r="CA369" s="293">
        <f>CA368/BQ368-1</f>
        <v>0.72199170124481338</v>
      </c>
      <c r="CB369" s="293">
        <f>CB368/BR368-1</f>
        <v>0.58723404255319145</v>
      </c>
      <c r="CC369" s="293">
        <f>CC368/BS368-1</f>
        <v>0.68067226890756305</v>
      </c>
      <c r="CD369" s="293">
        <f>CD368/BT368-1</f>
        <v>0.15833333333333344</v>
      </c>
      <c r="CE369" s="292">
        <f>CE368/BU368-1</f>
        <v>0.494413407821229</v>
      </c>
      <c r="CF369" s="293">
        <f t="shared" ref="CF369:CG369" si="2203">CF368/CA368-1</f>
        <v>-0.29879518072289168</v>
      </c>
      <c r="CG369" s="293">
        <f t="shared" si="2203"/>
        <v>-0.29624664879356566</v>
      </c>
      <c r="CH369" s="293">
        <f t="shared" ref="CH369" si="2204">CH368/CC368-1</f>
        <v>-0.24375000000000002</v>
      </c>
      <c r="CI369" s="293">
        <f t="shared" ref="CI369" si="2205">CI368/CD368-1</f>
        <v>-0.19304556354916058</v>
      </c>
      <c r="CJ369" s="292">
        <f t="shared" ref="CJ369" si="2206">CJ368/CE368-1</f>
        <v>-0.2570093457943925</v>
      </c>
      <c r="CK369" s="293">
        <f t="shared" ref="CK369" si="2207">CK368/CF368-1</f>
        <v>8.7628865979381354E-2</v>
      </c>
      <c r="CL369" s="293">
        <f t="shared" ref="CL369" si="2208">CL368/CG368-1</f>
        <v>7.2380952380952435E-2</v>
      </c>
      <c r="CM369" s="293">
        <f t="shared" ref="CM369" si="2209">CM368/CH368-1</f>
        <v>2.6446280991735627E-2</v>
      </c>
      <c r="CN369" s="293">
        <f t="shared" ref="CN369" si="2210">CN368/CI368-1</f>
        <v>-0.22436849925705804</v>
      </c>
      <c r="CO369" s="292">
        <f t="shared" ref="CO369" si="2211">CO368/CJ368-1</f>
        <v>-1.9287211740041998E-2</v>
      </c>
      <c r="CP369" s="293">
        <f>CP368/CK368-1</f>
        <v>2.5165876777251186</v>
      </c>
      <c r="CQ369" s="293">
        <f t="shared" ref="CQ369" si="2212">CQ368/CL368-1</f>
        <v>2.9788121270163423</v>
      </c>
      <c r="CR369" s="293">
        <f t="shared" ref="CR369" si="2213">CR368/CM368-1</f>
        <v>2.6395590123332449</v>
      </c>
      <c r="CS369" s="293">
        <f t="shared" ref="CS369" si="2214">CS368/CN368-1</f>
        <v>3.3591622379516366</v>
      </c>
      <c r="CT369" s="292">
        <f t="shared" ref="CT369" si="2215">CT368/CO368-1</f>
        <v>2.8485335880204792</v>
      </c>
      <c r="CU369" s="293">
        <f t="shared" ref="CU369" si="2216">CU368/CP368-1</f>
        <v>1.850663339650982E-2</v>
      </c>
      <c r="CV369" s="293">
        <f t="shared" ref="CV369" si="2217">CV368/CQ368-1</f>
        <v>1.4809839475599995E-2</v>
      </c>
      <c r="CW369" s="293">
        <f t="shared" ref="CW369" si="2218">CW368/CR368-1</f>
        <v>1.2030106898299309E-2</v>
      </c>
      <c r="CX369" s="293">
        <f t="shared" ref="CX369" si="2219">CX368/CS368-1</f>
        <v>1.1949400023411494E-2</v>
      </c>
      <c r="CY369" s="292">
        <f t="shared" ref="CY369" si="2220">CY368/CT368-1</f>
        <v>1.4302994714537887E-2</v>
      </c>
      <c r="CZ369" s="293">
        <f t="shared" ref="CZ369" si="2221">CZ368/CU368-1</f>
        <v>1.8848062110312869E-2</v>
      </c>
      <c r="DA369" s="293">
        <f t="shared" ref="DA369" si="2222">DA368/CV368-1</f>
        <v>3.4750488471444463E-3</v>
      </c>
      <c r="DB369" s="293">
        <f t="shared" ref="DB369" si="2223">DB368/CW368-1</f>
        <v>-6.7434771498620094E-5</v>
      </c>
      <c r="DC369" s="293">
        <f t="shared" ref="DC369" si="2224">DC368/CX368-1</f>
        <v>-3.1697878281774505E-3</v>
      </c>
      <c r="DD369" s="292">
        <f t="shared" ref="DD369" si="2225">DD368/CY368-1</f>
        <v>4.7290717464834042E-3</v>
      </c>
      <c r="DE369" s="293">
        <f t="shared" ref="DE369" si="2226">DE368/CZ368-1</f>
        <v>1.3788772280194816E-2</v>
      </c>
      <c r="DF369" s="293">
        <f t="shared" ref="DF369" si="2227">DF368/DA368-1</f>
        <v>5.2021936392836476E-3</v>
      </c>
      <c r="DG369" s="293">
        <f t="shared" ref="DG369" si="2228">DG368/DB368-1</f>
        <v>1.0980726375620087E-2</v>
      </c>
      <c r="DH369" s="293">
        <f t="shared" ref="DH369" si="2229">DH368/DC368-1</f>
        <v>7.5935133773863406E-3</v>
      </c>
      <c r="DI369" s="292">
        <f t="shared" ref="DI369" si="2230">DI368/DD368-1</f>
        <v>9.4033592250513109E-3</v>
      </c>
      <c r="DJ369" s="293">
        <f t="shared" ref="DJ369" si="2231">DJ368/DE368-1</f>
        <v>5.2002931908861072E-3</v>
      </c>
      <c r="DK369" s="293">
        <f t="shared" ref="DK369" si="2232">DK368/DF368-1</f>
        <v>1.1036794423164853E-3</v>
      </c>
      <c r="DL369" s="293">
        <f t="shared" ref="DL369" si="2233">DL368/DG368-1</f>
        <v>-2.7880231854177095E-3</v>
      </c>
      <c r="DM369" s="293">
        <f t="shared" ref="DM369" si="2234">DM368/DH368-1</f>
        <v>-6.3944725497243615E-3</v>
      </c>
      <c r="DN369" s="292">
        <f t="shared" ref="DN369" si="2235">DN368/DI368-1</f>
        <v>-7.0489517228933263E-4</v>
      </c>
      <c r="DO369" s="293">
        <f t="shared" ref="DO369" si="2236">DO368/DJ368-1</f>
        <v>5.6710118264811094E-3</v>
      </c>
      <c r="DP369" s="293">
        <f t="shared" ref="DP369" si="2237">DP368/DK368-1</f>
        <v>4.7019058244157641E-4</v>
      </c>
      <c r="DQ369" s="293">
        <f t="shared" ref="DQ369" si="2238">DQ368/DL368-1</f>
        <v>-4.3895031307086274E-3</v>
      </c>
      <c r="DR369" s="293">
        <f t="shared" ref="DR369" si="2239">DR368/DM368-1</f>
        <v>-8.4552219397265871E-3</v>
      </c>
      <c r="DS369" s="292">
        <f t="shared" ref="DS369" si="2240">DS368/DN368-1</f>
        <v>-1.6343413729472678E-3</v>
      </c>
      <c r="DT369" s="293">
        <f t="shared" ref="DT369" si="2241">DT368/DO368-1</f>
        <v>1.109739234002638E-2</v>
      </c>
      <c r="DU369" s="293">
        <f t="shared" ref="DU369" si="2242">DU368/DP368-1</f>
        <v>-5.8518336080097821E-3</v>
      </c>
      <c r="DV369" s="293">
        <f t="shared" ref="DV369" si="2243">DV368/DQ368-1</f>
        <v>-1.1517545730958201E-2</v>
      </c>
      <c r="DW369" s="293">
        <f t="shared" ref="DW369" si="2244">DW368/DR368-1</f>
        <v>-1.619766877280937E-2</v>
      </c>
      <c r="DX369" s="292">
        <f t="shared" ref="DX369" si="2245">DX368/DS368-1</f>
        <v>-5.4683096633638684E-3</v>
      </c>
      <c r="DY369" s="293">
        <f t="shared" ref="DY369" si="2246">DY368/DT368-1</f>
        <v>-1.73103251013913E-2</v>
      </c>
      <c r="DZ369" s="293">
        <f t="shared" ref="DZ369" si="2247">DZ368/DU368-1</f>
        <v>-1.303022470939974E-2</v>
      </c>
      <c r="EA369" s="293">
        <f t="shared" ref="EA369" si="2248">EA368/DV368-1</f>
        <v>-1.9705980121040745E-2</v>
      </c>
      <c r="EB369" s="293">
        <f t="shared" ref="EB369" si="2249">EB368/DW368-1</f>
        <v>-2.5173981846106974E-2</v>
      </c>
      <c r="EC369" s="292">
        <f t="shared" ref="EC369" si="2250">EC368/DX368-1</f>
        <v>-1.8757035015925405E-2</v>
      </c>
      <c r="ED369" s="242"/>
      <c r="EE369" s="242"/>
      <c r="EF369" s="774"/>
      <c r="EG369" s="43"/>
      <c r="EH369" s="43"/>
      <c r="EI369" s="43"/>
      <c r="EJ369" s="43"/>
      <c r="EK369" s="43"/>
      <c r="EL369" s="43"/>
      <c r="EM369" s="43"/>
      <c r="EN369" s="43"/>
      <c r="EO369" s="43"/>
      <c r="EP369" s="43"/>
      <c r="EQ369" s="43"/>
      <c r="ER369" s="43"/>
      <c r="ES369" s="43"/>
      <c r="ET369" s="43"/>
      <c r="EU369" s="43"/>
      <c r="EX369" s="43"/>
      <c r="EY369" s="274"/>
      <c r="EZ369" s="990"/>
      <c r="FA369" s="990"/>
      <c r="FB369" s="274"/>
      <c r="FC369" s="990"/>
      <c r="FD369" s="43"/>
    </row>
    <row r="370" spans="1:166" x14ac:dyDescent="0.2">
      <c r="A370" s="822"/>
      <c r="B370" s="242"/>
      <c r="C370" s="298"/>
      <c r="D370" s="298"/>
      <c r="E370" s="298"/>
      <c r="F370" s="242"/>
      <c r="G370" s="242"/>
      <c r="H370" s="298"/>
      <c r="I370" s="298"/>
      <c r="J370" s="298"/>
      <c r="K370" s="242"/>
      <c r="L370" s="242"/>
      <c r="M370" s="298"/>
      <c r="N370" s="298"/>
      <c r="O370" s="298"/>
      <c r="P370" s="242"/>
      <c r="Q370" s="242"/>
      <c r="R370" s="242"/>
      <c r="S370" s="242"/>
      <c r="T370" s="242"/>
      <c r="U370" s="242"/>
      <c r="V370" s="242"/>
      <c r="W370" s="242"/>
      <c r="X370" s="242"/>
      <c r="Y370" s="242"/>
      <c r="Z370" s="242"/>
      <c r="AA370" s="242"/>
      <c r="AB370" s="242"/>
      <c r="AC370" s="242"/>
      <c r="AD370" s="242"/>
      <c r="AE370" s="242"/>
      <c r="AF370" s="242"/>
      <c r="AG370" s="242"/>
      <c r="AH370" s="242"/>
      <c r="AI370" s="242"/>
      <c r="AJ370" s="242"/>
      <c r="AK370" s="242"/>
      <c r="AL370" s="242"/>
      <c r="AM370" s="242"/>
      <c r="AN370" s="242"/>
      <c r="AO370" s="242"/>
      <c r="AP370" s="242"/>
      <c r="AQ370" s="242"/>
      <c r="AR370" s="242"/>
      <c r="AS370" s="242"/>
      <c r="AT370" s="242"/>
      <c r="AU370" s="242"/>
      <c r="AV370" s="45"/>
      <c r="AW370" s="242"/>
      <c r="AX370" s="242"/>
      <c r="AY370" s="242"/>
      <c r="AZ370" s="242"/>
      <c r="BA370" s="242"/>
      <c r="BB370" s="242"/>
      <c r="BC370" s="242"/>
      <c r="BD370" s="242"/>
      <c r="BE370" s="242"/>
      <c r="BF370" s="242"/>
      <c r="BG370" s="242"/>
      <c r="BH370" s="242"/>
      <c r="BI370" s="242"/>
      <c r="BJ370" s="242"/>
      <c r="BK370" s="242"/>
      <c r="BL370" s="242"/>
      <c r="BM370" s="242"/>
      <c r="BN370" s="242"/>
      <c r="BO370" s="242"/>
      <c r="BP370" s="242"/>
      <c r="BQ370" s="242"/>
      <c r="BR370" s="242"/>
      <c r="BS370" s="242"/>
      <c r="BT370" s="242"/>
      <c r="BU370" s="242"/>
      <c r="BV370" s="1080"/>
      <c r="BW370" s="1080"/>
      <c r="BX370" s="1080"/>
      <c r="BY370" s="1080"/>
      <c r="BZ370" s="242"/>
      <c r="CA370" s="242"/>
      <c r="CB370" s="242"/>
      <c r="CC370" s="242"/>
      <c r="CD370" s="242"/>
      <c r="CE370" s="242"/>
      <c r="CF370" s="242"/>
      <c r="CG370" s="242"/>
      <c r="CH370" s="242"/>
      <c r="CI370" s="242"/>
      <c r="CJ370" s="242"/>
      <c r="CK370" s="242"/>
      <c r="CL370" s="242"/>
      <c r="CM370" s="242"/>
      <c r="CN370" s="242"/>
      <c r="CO370" s="242"/>
      <c r="CP370" s="242"/>
      <c r="CQ370" s="242"/>
      <c r="CR370" s="242"/>
      <c r="CS370" s="242"/>
      <c r="CT370" s="242"/>
      <c r="CU370" s="242"/>
      <c r="CV370" s="242"/>
      <c r="CW370" s="242"/>
      <c r="CX370" s="242"/>
      <c r="CY370" s="242"/>
      <c r="CZ370" s="242"/>
      <c r="DA370" s="242"/>
      <c r="DB370" s="242"/>
      <c r="DC370" s="242"/>
      <c r="DD370" s="242"/>
      <c r="DE370" s="242"/>
      <c r="DF370" s="242"/>
      <c r="DG370" s="242"/>
      <c r="DH370" s="242"/>
      <c r="DI370" s="242"/>
      <c r="DJ370" s="242"/>
      <c r="DK370" s="242"/>
      <c r="DL370" s="242"/>
      <c r="DM370" s="242"/>
      <c r="DN370" s="242"/>
      <c r="DO370" s="242"/>
      <c r="DP370" s="242"/>
      <c r="DQ370" s="242"/>
      <c r="DR370" s="242"/>
      <c r="DS370" s="242"/>
      <c r="DT370" s="242"/>
      <c r="DU370" s="242"/>
      <c r="DV370" s="242"/>
      <c r="DW370" s="242"/>
      <c r="DX370" s="242"/>
      <c r="DY370" s="242"/>
      <c r="DZ370" s="242"/>
      <c r="EA370" s="242"/>
      <c r="EB370" s="242"/>
      <c r="EC370" s="242"/>
      <c r="ED370" s="242"/>
      <c r="EE370" s="242"/>
      <c r="EF370" s="774"/>
      <c r="EG370" s="43"/>
      <c r="EH370" s="43"/>
      <c r="EI370" s="43"/>
      <c r="EJ370" s="43"/>
      <c r="EK370" s="43"/>
      <c r="EL370" s="43"/>
      <c r="EM370" s="43"/>
      <c r="EN370" s="43"/>
      <c r="EO370" s="43"/>
      <c r="EP370" s="43"/>
      <c r="EQ370" s="43"/>
      <c r="ER370" s="43"/>
      <c r="ES370" s="43"/>
      <c r="ET370" s="43"/>
      <c r="EU370" s="43"/>
      <c r="EX370" s="43"/>
      <c r="EY370" s="274"/>
      <c r="EZ370" s="990"/>
      <c r="FA370" s="990"/>
      <c r="FB370" s="274"/>
      <c r="FC370" s="990"/>
      <c r="FD370" s="43"/>
    </row>
    <row r="371" spans="1:166" x14ac:dyDescent="0.2">
      <c r="A371" s="592" t="s">
        <v>521</v>
      </c>
      <c r="B371" s="807"/>
      <c r="C371" s="807"/>
      <c r="D371" s="807"/>
      <c r="E371" s="807"/>
      <c r="F371" s="807"/>
      <c r="G371" s="807"/>
      <c r="H371" s="807"/>
      <c r="I371" s="807"/>
      <c r="J371" s="807"/>
      <c r="K371" s="807"/>
      <c r="L371" s="807"/>
      <c r="M371" s="807"/>
      <c r="N371" s="807"/>
      <c r="O371" s="807"/>
      <c r="P371" s="807"/>
      <c r="Q371" s="807"/>
      <c r="R371" s="807"/>
      <c r="S371" s="807"/>
      <c r="T371" s="807"/>
      <c r="U371" s="807"/>
      <c r="V371" s="807"/>
      <c r="W371" s="807"/>
      <c r="X371" s="807"/>
      <c r="Y371" s="807"/>
      <c r="Z371" s="807"/>
      <c r="AA371" s="807"/>
      <c r="AB371" s="807"/>
      <c r="AC371" s="807"/>
      <c r="AD371" s="807"/>
      <c r="AE371" s="807"/>
      <c r="AF371" s="807"/>
      <c r="AG371" s="807"/>
      <c r="AH371" s="807"/>
      <c r="AI371" s="807"/>
      <c r="AJ371" s="807"/>
      <c r="AK371" s="807"/>
      <c r="AL371" s="807"/>
      <c r="AM371" s="807"/>
      <c r="AN371" s="807"/>
      <c r="AO371" s="807"/>
      <c r="AP371" s="807"/>
      <c r="AQ371" s="807"/>
      <c r="AR371" s="807"/>
      <c r="AS371" s="807"/>
      <c r="AT371" s="807"/>
      <c r="AU371" s="807"/>
      <c r="AV371" s="45"/>
      <c r="AW371" s="807"/>
      <c r="AX371" s="807"/>
      <c r="AY371" s="807"/>
      <c r="AZ371" s="807"/>
      <c r="BA371" s="807"/>
      <c r="BB371" s="807"/>
      <c r="BC371" s="807"/>
      <c r="BD371" s="807"/>
      <c r="BE371" s="807"/>
      <c r="BF371" s="807"/>
      <c r="BG371" s="807"/>
      <c r="BH371" s="807"/>
      <c r="BI371" s="807"/>
      <c r="BJ371" s="807"/>
      <c r="BK371" s="807"/>
      <c r="BL371" s="807"/>
      <c r="BM371" s="807"/>
      <c r="BN371" s="807"/>
      <c r="BO371" s="807"/>
      <c r="BP371" s="807"/>
      <c r="BQ371" s="807"/>
      <c r="BR371" s="807"/>
      <c r="BS371" s="807"/>
      <c r="BT371" s="807"/>
      <c r="BU371" s="807"/>
      <c r="BV371" s="1318"/>
      <c r="BW371" s="1318"/>
      <c r="BX371" s="1318"/>
      <c r="BY371" s="1318"/>
      <c r="BZ371" s="807"/>
      <c r="CA371" s="807"/>
      <c r="CB371" s="807"/>
      <c r="CC371" s="807"/>
      <c r="CD371" s="807"/>
      <c r="CE371" s="807"/>
      <c r="CF371" s="807"/>
      <c r="CG371" s="807"/>
      <c r="CH371" s="807"/>
      <c r="CI371" s="807"/>
      <c r="CJ371" s="807"/>
      <c r="CK371" s="807"/>
      <c r="CL371" s="807"/>
      <c r="CM371" s="807"/>
      <c r="CN371" s="807"/>
      <c r="CO371" s="807"/>
      <c r="CP371" s="807"/>
      <c r="CQ371" s="807"/>
      <c r="CR371" s="807"/>
      <c r="CS371" s="807"/>
      <c r="CT371" s="807"/>
      <c r="CU371" s="807"/>
      <c r="CV371" s="807"/>
      <c r="CW371" s="807"/>
      <c r="CX371" s="807"/>
      <c r="CY371" s="807"/>
      <c r="CZ371" s="807"/>
      <c r="DA371" s="807"/>
      <c r="DB371" s="807"/>
      <c r="DC371" s="807"/>
      <c r="DD371" s="807"/>
      <c r="DE371" s="807"/>
      <c r="DF371" s="807"/>
      <c r="DG371" s="807"/>
      <c r="DH371" s="807"/>
      <c r="DI371" s="807"/>
      <c r="DJ371" s="807"/>
      <c r="DK371" s="807"/>
      <c r="DL371" s="807"/>
      <c r="DM371" s="807"/>
      <c r="DN371" s="807"/>
      <c r="DO371" s="807"/>
      <c r="DP371" s="807"/>
      <c r="DQ371" s="807"/>
      <c r="DR371" s="807"/>
      <c r="DS371" s="807"/>
      <c r="DT371" s="807"/>
      <c r="DU371" s="807"/>
      <c r="DV371" s="807"/>
      <c r="DW371" s="807"/>
      <c r="DX371" s="808"/>
      <c r="DY371" s="807"/>
      <c r="DZ371" s="807"/>
      <c r="EA371" s="807"/>
      <c r="EB371" s="807"/>
      <c r="EC371" s="808"/>
      <c r="ED371" s="16"/>
      <c r="EE371" s="16"/>
      <c r="EF371" s="16"/>
      <c r="EG371" s="16"/>
      <c r="EH371" s="16"/>
      <c r="EI371" s="16"/>
      <c r="EJ371" s="16"/>
      <c r="EK371" s="16"/>
      <c r="EL371" s="16"/>
      <c r="EM371" s="16"/>
      <c r="EN371" s="16"/>
      <c r="EO371" s="16"/>
      <c r="EP371" s="16"/>
      <c r="EQ371" s="16"/>
      <c r="ER371" s="16"/>
      <c r="ES371" s="16"/>
      <c r="ET371" s="16"/>
      <c r="EU371" s="16"/>
      <c r="EX371" s="16"/>
      <c r="EY371" s="228"/>
      <c r="EZ371" s="945"/>
      <c r="FA371" s="477"/>
      <c r="FB371" s="228"/>
      <c r="FC371" s="477"/>
      <c r="FD371" s="16"/>
    </row>
    <row r="372" spans="1:166" x14ac:dyDescent="0.2">
      <c r="A372" s="490" t="s">
        <v>522</v>
      </c>
      <c r="B372" s="16"/>
      <c r="C372" s="16"/>
      <c r="D372" s="16"/>
      <c r="E372" s="16"/>
      <c r="F372" s="16"/>
      <c r="G372" s="16"/>
      <c r="H372" s="16"/>
      <c r="I372" s="16"/>
      <c r="J372" s="16"/>
      <c r="K372" s="16"/>
      <c r="L372" s="16"/>
      <c r="M372" s="16"/>
      <c r="N372" s="16"/>
      <c r="O372" s="16"/>
      <c r="P372" s="16"/>
      <c r="Q372" s="468">
        <f t="shared" ref="Q372:AR372" si="2251">Q82</f>
        <v>-6.25E-2</v>
      </c>
      <c r="R372" s="469">
        <f t="shared" si="2251"/>
        <v>0</v>
      </c>
      <c r="S372" s="469">
        <f t="shared" si="2251"/>
        <v>0</v>
      </c>
      <c r="T372" s="469">
        <f t="shared" si="2251"/>
        <v>0</v>
      </c>
      <c r="U372" s="469">
        <f t="shared" si="2251"/>
        <v>0</v>
      </c>
      <c r="V372" s="468">
        <f t="shared" si="2251"/>
        <v>-0.42465753424657532</v>
      </c>
      <c r="W372" s="469">
        <f t="shared" si="2251"/>
        <v>-0.66666666666666663</v>
      </c>
      <c r="X372" s="469">
        <f t="shared" si="2251"/>
        <v>-1.5294117647058822</v>
      </c>
      <c r="Y372" s="469">
        <f t="shared" si="2251"/>
        <v>-0.3</v>
      </c>
      <c r="Z372" s="469">
        <f t="shared" si="2251"/>
        <v>0</v>
      </c>
      <c r="AA372" s="468">
        <f t="shared" si="2251"/>
        <v>-0.57777777777777772</v>
      </c>
      <c r="AB372" s="469">
        <f t="shared" si="2251"/>
        <v>-1.3333333333333333</v>
      </c>
      <c r="AC372" s="469">
        <f t="shared" si="2251"/>
        <v>-1.1764705882352942</v>
      </c>
      <c r="AD372" s="469">
        <f t="shared" si="2251"/>
        <v>-0.6470588235294118</v>
      </c>
      <c r="AE372" s="469">
        <f t="shared" si="2251"/>
        <v>-1.25</v>
      </c>
      <c r="AF372" s="468">
        <f t="shared" si="2251"/>
        <v>-1.1029411764705883</v>
      </c>
      <c r="AG372" s="469">
        <f t="shared" si="2251"/>
        <v>-1.9135802469135803</v>
      </c>
      <c r="AH372" s="469">
        <f t="shared" si="2251"/>
        <v>-1.875</v>
      </c>
      <c r="AI372" s="469">
        <f t="shared" si="2251"/>
        <v>-1.5</v>
      </c>
      <c r="AJ372" s="469">
        <f t="shared" si="2251"/>
        <v>-1.3846153846153846</v>
      </c>
      <c r="AK372" s="123">
        <f t="shared" si="2251"/>
        <v>-1.6830065359477124</v>
      </c>
      <c r="AL372" s="469">
        <f t="shared" si="2251"/>
        <v>-1.8571428571428572</v>
      </c>
      <c r="AM372" s="469">
        <f t="shared" si="2251"/>
        <v>-1.7733333333333334</v>
      </c>
      <c r="AN372" s="469">
        <f t="shared" si="2251"/>
        <v>-1.2307692307692308</v>
      </c>
      <c r="AO372" s="469">
        <f t="shared" si="2251"/>
        <v>-1.2857142857142856</v>
      </c>
      <c r="AP372" s="123">
        <f t="shared" si="2251"/>
        <v>-1.5531135531135529</v>
      </c>
      <c r="AQ372" s="469">
        <f t="shared" si="2251"/>
        <v>-1.9119999999999999</v>
      </c>
      <c r="AR372" s="469">
        <f t="shared" si="2251"/>
        <v>-2.1147540983606556</v>
      </c>
      <c r="AS372" s="469"/>
      <c r="AT372" s="469"/>
      <c r="AU372" s="122">
        <f>AU82</f>
        <v>0.86206896551724199</v>
      </c>
      <c r="AV372" s="45"/>
      <c r="AW372" s="469">
        <f>AW82</f>
        <v>0.38805970149253749</v>
      </c>
      <c r="AX372" s="469">
        <f>AX82</f>
        <v>0.30790960451977423</v>
      </c>
      <c r="AY372" s="469"/>
      <c r="AZ372" s="469"/>
      <c r="BA372" s="123">
        <f t="shared" ref="BA372:CF372" si="2252">BA82</f>
        <v>0.43811881188118756</v>
      </c>
      <c r="BB372" s="122">
        <f t="shared" si="2252"/>
        <v>-1.7241379310344817E-2</v>
      </c>
      <c r="BC372" s="469">
        <f t="shared" si="2252"/>
        <v>0.29603729603729645</v>
      </c>
      <c r="BD372" s="469">
        <f t="shared" si="2252"/>
        <v>0.25670498084291177</v>
      </c>
      <c r="BE372" s="469">
        <f t="shared" si="2252"/>
        <v>1.5748031496063079E-2</v>
      </c>
      <c r="BF372" s="123">
        <f t="shared" si="2252"/>
        <v>0.23190932868352257</v>
      </c>
      <c r="BG372" s="469">
        <f t="shared" si="2252"/>
        <v>0.33488372093023311</v>
      </c>
      <c r="BH372" s="469">
        <f t="shared" si="2252"/>
        <v>0.23492063492063525</v>
      </c>
      <c r="BI372" s="469">
        <f t="shared" si="2252"/>
        <v>0.51111111111111274</v>
      </c>
      <c r="BJ372" s="469">
        <f t="shared" si="2252"/>
        <v>0.21231766612641803</v>
      </c>
      <c r="BK372" s="123">
        <f t="shared" si="2252"/>
        <v>0.26299311208515957</v>
      </c>
      <c r="BL372" s="469">
        <f t="shared" si="2252"/>
        <v>0.32833020637898702</v>
      </c>
      <c r="BM372" s="469">
        <f t="shared" si="2252"/>
        <v>0.24399038461538458</v>
      </c>
      <c r="BN372" s="469">
        <f t="shared" si="2252"/>
        <v>0.28436516264428113</v>
      </c>
      <c r="BO372" s="469">
        <f t="shared" si="2252"/>
        <v>0.261061946902655</v>
      </c>
      <c r="BP372" s="123">
        <f t="shared" si="2252"/>
        <v>0.27467411545623838</v>
      </c>
      <c r="BQ372" s="469">
        <f t="shared" si="2252"/>
        <v>0.25707257072570722</v>
      </c>
      <c r="BR372" s="469">
        <f t="shared" si="2252"/>
        <v>0.25569871159563934</v>
      </c>
      <c r="BS372" s="469">
        <f t="shared" si="2252"/>
        <v>0.5337301587301585</v>
      </c>
      <c r="BT372" s="469">
        <f t="shared" si="2252"/>
        <v>0.26</v>
      </c>
      <c r="BU372" s="123">
        <f t="shared" si="2252"/>
        <v>-9.6009482418016601E-2</v>
      </c>
      <c r="BV372" s="1196">
        <f t="shared" si="2252"/>
        <v>0.31047475508666195</v>
      </c>
      <c r="BW372" s="1196">
        <f t="shared" si="2252"/>
        <v>0.28938097634625054</v>
      </c>
      <c r="BX372" s="1196">
        <f t="shared" si="2252"/>
        <v>0.29277899343544872</v>
      </c>
      <c r="BY372" s="1196">
        <f t="shared" si="2252"/>
        <v>0.26</v>
      </c>
      <c r="BZ372" s="123">
        <f t="shared" si="2252"/>
        <v>0.40240033108014928</v>
      </c>
      <c r="CA372" s="469">
        <f t="shared" si="2252"/>
        <v>0.50049358341559769</v>
      </c>
      <c r="CB372" s="469">
        <f t="shared" si="2252"/>
        <v>0.32517985611510825</v>
      </c>
      <c r="CC372" s="469">
        <f t="shared" si="2252"/>
        <v>0.19657293497363787</v>
      </c>
      <c r="CD372" s="469">
        <f t="shared" si="2252"/>
        <v>0.10456310679611644</v>
      </c>
      <c r="CE372" s="123">
        <f t="shared" si="2252"/>
        <v>0.2406588514616412</v>
      </c>
      <c r="CF372" s="469">
        <f t="shared" si="2252"/>
        <v>0.21902552204176345</v>
      </c>
      <c r="CG372" s="469">
        <f t="shared" ref="CG372:DL372" si="2253">CG82</f>
        <v>0.19295958279009134</v>
      </c>
      <c r="CH372" s="469">
        <f t="shared" si="2253"/>
        <v>0.21306068601583128</v>
      </c>
      <c r="CI372" s="469">
        <f t="shared" si="2253"/>
        <v>0.19477396601474831</v>
      </c>
      <c r="CJ372" s="123">
        <f t="shared" si="2253"/>
        <v>0.20328726933271107</v>
      </c>
      <c r="CK372" s="22">
        <f t="shared" si="2253"/>
        <v>0.18493150684931503</v>
      </c>
      <c r="CL372" s="469">
        <f t="shared" si="2253"/>
        <v>0.149790502793296</v>
      </c>
      <c r="CM372" s="469">
        <f t="shared" si="2253"/>
        <v>0.13433882848123466</v>
      </c>
      <c r="CN372" s="22">
        <f>CN83</f>
        <v>0.14475215266464972</v>
      </c>
      <c r="CO372" s="123">
        <f>CO83</f>
        <v>0.14591254752851707</v>
      </c>
      <c r="CP372" s="469">
        <f t="shared" si="2253"/>
        <v>6.0606060606060649E-3</v>
      </c>
      <c r="CQ372" s="469">
        <f t="shared" si="2253"/>
        <v>0.21</v>
      </c>
      <c r="CR372" s="469">
        <f t="shared" si="2253"/>
        <v>0.21</v>
      </c>
      <c r="CS372" s="469">
        <f t="shared" si="2253"/>
        <v>0.21</v>
      </c>
      <c r="CT372" s="123">
        <f t="shared" si="2253"/>
        <v>0.16825117221072999</v>
      </c>
      <c r="CU372" s="469">
        <f t="shared" si="2253"/>
        <v>0.21</v>
      </c>
      <c r="CV372" s="469">
        <f t="shared" si="2253"/>
        <v>0.21</v>
      </c>
      <c r="CW372" s="469">
        <f t="shared" si="2253"/>
        <v>0.21</v>
      </c>
      <c r="CX372" s="469">
        <f t="shared" si="2253"/>
        <v>0.21</v>
      </c>
      <c r="CY372" s="123">
        <f t="shared" si="2253"/>
        <v>0.20999999999999996</v>
      </c>
      <c r="CZ372" s="469">
        <f t="shared" si="2253"/>
        <v>0.21</v>
      </c>
      <c r="DA372" s="469">
        <f t="shared" si="2253"/>
        <v>0.21</v>
      </c>
      <c r="DB372" s="469">
        <f t="shared" si="2253"/>
        <v>0.21</v>
      </c>
      <c r="DC372" s="469">
        <f t="shared" si="2253"/>
        <v>0.21</v>
      </c>
      <c r="DD372" s="123">
        <f t="shared" si="2253"/>
        <v>0.21</v>
      </c>
      <c r="DE372" s="469">
        <f t="shared" si="2253"/>
        <v>0.21</v>
      </c>
      <c r="DF372" s="469">
        <f t="shared" si="2253"/>
        <v>0.21</v>
      </c>
      <c r="DG372" s="469">
        <f t="shared" si="2253"/>
        <v>0.21</v>
      </c>
      <c r="DH372" s="469">
        <f t="shared" si="2253"/>
        <v>0.21</v>
      </c>
      <c r="DI372" s="123">
        <f t="shared" si="2253"/>
        <v>0.20999999999999996</v>
      </c>
      <c r="DJ372" s="469">
        <f t="shared" si="2253"/>
        <v>0.21</v>
      </c>
      <c r="DK372" s="469">
        <f t="shared" si="2253"/>
        <v>0.21</v>
      </c>
      <c r="DL372" s="469">
        <f t="shared" si="2253"/>
        <v>0.21</v>
      </c>
      <c r="DM372" s="469">
        <f t="shared" ref="DM372:EC372" si="2254">DM82</f>
        <v>0.21</v>
      </c>
      <c r="DN372" s="123">
        <f t="shared" si="2254"/>
        <v>0.21</v>
      </c>
      <c r="DO372" s="469">
        <f t="shared" si="2254"/>
        <v>0.21</v>
      </c>
      <c r="DP372" s="469">
        <f t="shared" si="2254"/>
        <v>0.21</v>
      </c>
      <c r="DQ372" s="469">
        <f t="shared" si="2254"/>
        <v>0.21</v>
      </c>
      <c r="DR372" s="469">
        <f t="shared" si="2254"/>
        <v>0.21</v>
      </c>
      <c r="DS372" s="123">
        <f t="shared" si="2254"/>
        <v>0.20999999999999996</v>
      </c>
      <c r="DT372" s="469">
        <f t="shared" si="2254"/>
        <v>0.21</v>
      </c>
      <c r="DU372" s="469">
        <f t="shared" si="2254"/>
        <v>0.21</v>
      </c>
      <c r="DV372" s="469">
        <f t="shared" si="2254"/>
        <v>0.21</v>
      </c>
      <c r="DW372" s="469">
        <f t="shared" si="2254"/>
        <v>0.21</v>
      </c>
      <c r="DX372" s="123">
        <f t="shared" si="2254"/>
        <v>0.21000000000000002</v>
      </c>
      <c r="DY372" s="469">
        <f t="shared" si="2254"/>
        <v>0.21</v>
      </c>
      <c r="DZ372" s="469">
        <f t="shared" si="2254"/>
        <v>0.21</v>
      </c>
      <c r="EA372" s="469">
        <f t="shared" si="2254"/>
        <v>0.21</v>
      </c>
      <c r="EB372" s="469">
        <f t="shared" si="2254"/>
        <v>0.21</v>
      </c>
      <c r="EC372" s="123">
        <f t="shared" si="2254"/>
        <v>0.21000000000000002</v>
      </c>
      <c r="ED372" s="16"/>
      <c r="EE372" s="16"/>
      <c r="EF372" s="16"/>
      <c r="EG372" s="16"/>
      <c r="EH372" s="16"/>
      <c r="EI372" s="16"/>
      <c r="EJ372" s="16"/>
      <c r="EK372" s="16"/>
      <c r="EL372" s="16"/>
      <c r="EM372" s="16"/>
      <c r="EN372" s="16"/>
      <c r="EO372" s="16"/>
      <c r="EP372" s="16"/>
      <c r="EQ372" s="16"/>
      <c r="ER372" s="16"/>
      <c r="ES372" s="16"/>
      <c r="ET372" s="16"/>
      <c r="EU372" s="16"/>
      <c r="EX372" s="16"/>
      <c r="EY372" s="228"/>
      <c r="EZ372" s="945"/>
      <c r="FA372" s="477"/>
      <c r="FB372" s="228"/>
      <c r="FC372" s="477"/>
      <c r="FD372" s="16"/>
    </row>
    <row r="373" spans="1:166" s="1064" customFormat="1" x14ac:dyDescent="0.2">
      <c r="A373" s="1213" t="s">
        <v>523</v>
      </c>
      <c r="B373" s="1182"/>
      <c r="C373" s="1182"/>
      <c r="D373" s="1182"/>
      <c r="E373" s="1182"/>
      <c r="F373" s="1182"/>
      <c r="G373" s="1182"/>
      <c r="H373" s="1182"/>
      <c r="I373" s="1182"/>
      <c r="J373" s="1182"/>
      <c r="K373" s="1182"/>
      <c r="L373" s="1182"/>
      <c r="M373" s="1182"/>
      <c r="N373" s="1182"/>
      <c r="O373" s="1182"/>
      <c r="P373" s="1182"/>
      <c r="Q373" s="1214">
        <v>0.35</v>
      </c>
      <c r="R373" s="1215"/>
      <c r="S373" s="1215"/>
      <c r="T373" s="1215"/>
      <c r="U373" s="1215"/>
      <c r="V373" s="1214">
        <v>0.35</v>
      </c>
      <c r="W373" s="1215">
        <v>0.35</v>
      </c>
      <c r="X373" s="1215">
        <v>0.35</v>
      </c>
      <c r="Y373" s="1215">
        <v>0.35</v>
      </c>
      <c r="Z373" s="1215">
        <v>0.35</v>
      </c>
      <c r="AA373" s="1214">
        <f>V373</f>
        <v>0.35</v>
      </c>
      <c r="AB373" s="1215">
        <v>0.35</v>
      </c>
      <c r="AC373" s="1215">
        <v>0.35</v>
      </c>
      <c r="AD373" s="1215">
        <v>0.35</v>
      </c>
      <c r="AE373" s="1215">
        <v>0.35</v>
      </c>
      <c r="AF373" s="1214">
        <f>AA373</f>
        <v>0.35</v>
      </c>
      <c r="AG373" s="1215">
        <f>AG372</f>
        <v>-1.9135802469135803</v>
      </c>
      <c r="AH373" s="1215">
        <f t="shared" ref="AH373:BK373" si="2255">AH372</f>
        <v>-1.875</v>
      </c>
      <c r="AI373" s="1215">
        <f t="shared" si="2255"/>
        <v>-1.5</v>
      </c>
      <c r="AJ373" s="1215">
        <f t="shared" si="2255"/>
        <v>-1.3846153846153846</v>
      </c>
      <c r="AK373" s="1077">
        <f t="shared" si="2255"/>
        <v>-1.6830065359477124</v>
      </c>
      <c r="AL373" s="1215">
        <f t="shared" si="2255"/>
        <v>-1.8571428571428572</v>
      </c>
      <c r="AM373" s="1215">
        <f t="shared" si="2255"/>
        <v>-1.7733333333333334</v>
      </c>
      <c r="AN373" s="1215">
        <f t="shared" si="2255"/>
        <v>-1.2307692307692308</v>
      </c>
      <c r="AO373" s="1215">
        <f t="shared" si="2255"/>
        <v>-1.2857142857142856</v>
      </c>
      <c r="AP373" s="1077">
        <f t="shared" si="2255"/>
        <v>-1.5531135531135529</v>
      </c>
      <c r="AQ373" s="1215">
        <f t="shared" si="2255"/>
        <v>-1.9119999999999999</v>
      </c>
      <c r="AR373" s="1215">
        <f t="shared" si="2255"/>
        <v>-2.1147540983606556</v>
      </c>
      <c r="AS373" s="1215"/>
      <c r="AT373" s="1215"/>
      <c r="AU373" s="1216">
        <f t="shared" si="2255"/>
        <v>0.86206896551724199</v>
      </c>
      <c r="AV373" s="1217"/>
      <c r="AW373" s="1215">
        <f t="shared" si="2255"/>
        <v>0.38805970149253749</v>
      </c>
      <c r="AX373" s="1215">
        <f>AX372</f>
        <v>0.30790960451977423</v>
      </c>
      <c r="AY373" s="1215"/>
      <c r="AZ373" s="1215"/>
      <c r="BA373" s="1077">
        <f t="shared" si="2255"/>
        <v>0.43811881188118756</v>
      </c>
      <c r="BB373" s="1216">
        <f t="shared" si="2255"/>
        <v>-1.7241379310344817E-2</v>
      </c>
      <c r="BC373" s="1215">
        <f t="shared" si="2255"/>
        <v>0.29603729603729645</v>
      </c>
      <c r="BD373" s="1215">
        <f t="shared" si="2255"/>
        <v>0.25670498084291177</v>
      </c>
      <c r="BE373" s="1215">
        <f t="shared" si="2255"/>
        <v>1.5748031496063079E-2</v>
      </c>
      <c r="BF373" s="1077">
        <f t="shared" si="2255"/>
        <v>0.23190932868352257</v>
      </c>
      <c r="BG373" s="1215">
        <f t="shared" si="2255"/>
        <v>0.33488372093023311</v>
      </c>
      <c r="BH373" s="1215">
        <f t="shared" si="2255"/>
        <v>0.23492063492063525</v>
      </c>
      <c r="BI373" s="1215">
        <f t="shared" si="2255"/>
        <v>0.51111111111111274</v>
      </c>
      <c r="BJ373" s="1215">
        <f t="shared" si="2255"/>
        <v>0.21231766612641803</v>
      </c>
      <c r="BK373" s="1077">
        <f t="shared" si="2255"/>
        <v>0.26299311208515957</v>
      </c>
      <c r="BL373" s="1215">
        <f t="shared" ref="BL373:BT373" si="2256">BL372</f>
        <v>0.32833020637898702</v>
      </c>
      <c r="BM373" s="1215">
        <f t="shared" si="2256"/>
        <v>0.24399038461538458</v>
      </c>
      <c r="BN373" s="1215">
        <f t="shared" si="2256"/>
        <v>0.28436516264428113</v>
      </c>
      <c r="BO373" s="1215">
        <f t="shared" si="2256"/>
        <v>0.261061946902655</v>
      </c>
      <c r="BP373" s="1077">
        <f t="shared" si="2256"/>
        <v>0.27467411545623838</v>
      </c>
      <c r="BQ373" s="1215">
        <f t="shared" si="2256"/>
        <v>0.25707257072570722</v>
      </c>
      <c r="BR373" s="1215">
        <f t="shared" si="2256"/>
        <v>0.25569871159563934</v>
      </c>
      <c r="BS373" s="1215">
        <f t="shared" si="2256"/>
        <v>0.5337301587301585</v>
      </c>
      <c r="BT373" s="1215">
        <f t="shared" si="2256"/>
        <v>0.26</v>
      </c>
      <c r="BU373" s="1077">
        <v>0.26500000000000001</v>
      </c>
      <c r="BV373" s="1319">
        <f t="shared" ref="BV373:BY373" si="2257">BV372</f>
        <v>0.31047475508666195</v>
      </c>
      <c r="BW373" s="1319">
        <f t="shared" si="2257"/>
        <v>0.28938097634625054</v>
      </c>
      <c r="BX373" s="1319">
        <f t="shared" si="2257"/>
        <v>0.29277899343544872</v>
      </c>
      <c r="BY373" s="1319">
        <f t="shared" si="2257"/>
        <v>0.26</v>
      </c>
      <c r="BZ373" s="1077">
        <v>0.26500000000000001</v>
      </c>
      <c r="CA373" s="1215">
        <f t="shared" ref="CA373:DF373" si="2258">CA372</f>
        <v>0.50049358341559769</v>
      </c>
      <c r="CB373" s="1215">
        <f t="shared" si="2258"/>
        <v>0.32517985611510825</v>
      </c>
      <c r="CC373" s="1215">
        <f t="shared" si="2258"/>
        <v>0.19657293497363787</v>
      </c>
      <c r="CD373" s="1215">
        <f t="shared" si="2258"/>
        <v>0.10456310679611644</v>
      </c>
      <c r="CE373" s="1077">
        <f t="shared" si="2258"/>
        <v>0.2406588514616412</v>
      </c>
      <c r="CF373" s="1215">
        <f t="shared" si="2258"/>
        <v>0.21902552204176345</v>
      </c>
      <c r="CG373" s="1215">
        <f t="shared" si="2258"/>
        <v>0.19295958279009134</v>
      </c>
      <c r="CH373" s="1215">
        <f t="shared" si="2258"/>
        <v>0.21306068601583128</v>
      </c>
      <c r="CI373" s="1215">
        <f t="shared" si="2258"/>
        <v>0.19477396601474831</v>
      </c>
      <c r="CJ373" s="1077">
        <f t="shared" si="2258"/>
        <v>0.20328726933271107</v>
      </c>
      <c r="CK373" s="1178">
        <f t="shared" si="2258"/>
        <v>0.18493150684931503</v>
      </c>
      <c r="CL373" s="1215">
        <f t="shared" si="2258"/>
        <v>0.149790502793296</v>
      </c>
      <c r="CM373" s="1215">
        <f t="shared" si="2258"/>
        <v>0.13433882848123466</v>
      </c>
      <c r="CN373" s="1178">
        <f t="shared" si="2258"/>
        <v>0.14475215266464972</v>
      </c>
      <c r="CO373" s="1077">
        <f t="shared" si="2258"/>
        <v>0.14591254752851707</v>
      </c>
      <c r="CP373" s="1215">
        <f t="shared" si="2258"/>
        <v>6.0606060606060649E-3</v>
      </c>
      <c r="CQ373" s="1215">
        <f t="shared" si="2258"/>
        <v>0.21</v>
      </c>
      <c r="CR373" s="1215">
        <f t="shared" si="2258"/>
        <v>0.21</v>
      </c>
      <c r="CS373" s="1215">
        <f t="shared" si="2258"/>
        <v>0.21</v>
      </c>
      <c r="CT373" s="1077">
        <f t="shared" si="2258"/>
        <v>0.16825117221072999</v>
      </c>
      <c r="CU373" s="1215">
        <f t="shared" si="2258"/>
        <v>0.21</v>
      </c>
      <c r="CV373" s="1215">
        <f t="shared" si="2258"/>
        <v>0.21</v>
      </c>
      <c r="CW373" s="1215">
        <f t="shared" si="2258"/>
        <v>0.21</v>
      </c>
      <c r="CX373" s="1215">
        <f t="shared" si="2258"/>
        <v>0.21</v>
      </c>
      <c r="CY373" s="1077">
        <f t="shared" si="2258"/>
        <v>0.20999999999999996</v>
      </c>
      <c r="CZ373" s="1215">
        <f t="shared" si="2258"/>
        <v>0.21</v>
      </c>
      <c r="DA373" s="1215">
        <f t="shared" si="2258"/>
        <v>0.21</v>
      </c>
      <c r="DB373" s="1215">
        <f t="shared" si="2258"/>
        <v>0.21</v>
      </c>
      <c r="DC373" s="1215">
        <f t="shared" si="2258"/>
        <v>0.21</v>
      </c>
      <c r="DD373" s="1077">
        <f t="shared" si="2258"/>
        <v>0.21</v>
      </c>
      <c r="DE373" s="1215">
        <f t="shared" si="2258"/>
        <v>0.21</v>
      </c>
      <c r="DF373" s="1215">
        <f t="shared" si="2258"/>
        <v>0.21</v>
      </c>
      <c r="DG373" s="1215">
        <f t="shared" ref="DG373:DX373" si="2259">DG372</f>
        <v>0.21</v>
      </c>
      <c r="DH373" s="1215">
        <f t="shared" si="2259"/>
        <v>0.21</v>
      </c>
      <c r="DI373" s="1077">
        <f t="shared" si="2259"/>
        <v>0.20999999999999996</v>
      </c>
      <c r="DJ373" s="1215">
        <f t="shared" si="2259"/>
        <v>0.21</v>
      </c>
      <c r="DK373" s="1215">
        <f t="shared" si="2259"/>
        <v>0.21</v>
      </c>
      <c r="DL373" s="1215">
        <f t="shared" si="2259"/>
        <v>0.21</v>
      </c>
      <c r="DM373" s="1215">
        <f t="shared" si="2259"/>
        <v>0.21</v>
      </c>
      <c r="DN373" s="1077">
        <f t="shared" si="2259"/>
        <v>0.21</v>
      </c>
      <c r="DO373" s="1215">
        <f t="shared" si="2259"/>
        <v>0.21</v>
      </c>
      <c r="DP373" s="1215">
        <f t="shared" si="2259"/>
        <v>0.21</v>
      </c>
      <c r="DQ373" s="1215">
        <f t="shared" si="2259"/>
        <v>0.21</v>
      </c>
      <c r="DR373" s="1215">
        <f t="shared" si="2259"/>
        <v>0.21</v>
      </c>
      <c r="DS373" s="1077">
        <f t="shared" si="2259"/>
        <v>0.20999999999999996</v>
      </c>
      <c r="DT373" s="1215">
        <f t="shared" si="2259"/>
        <v>0.21</v>
      </c>
      <c r="DU373" s="1215">
        <f t="shared" si="2259"/>
        <v>0.21</v>
      </c>
      <c r="DV373" s="1215">
        <f t="shared" si="2259"/>
        <v>0.21</v>
      </c>
      <c r="DW373" s="1215">
        <f t="shared" si="2259"/>
        <v>0.21</v>
      </c>
      <c r="DX373" s="1077">
        <f t="shared" si="2259"/>
        <v>0.21000000000000002</v>
      </c>
      <c r="DY373" s="1215">
        <f t="shared" ref="DY373:EC373" si="2260">DY372</f>
        <v>0.21</v>
      </c>
      <c r="DZ373" s="1215">
        <f t="shared" si="2260"/>
        <v>0.21</v>
      </c>
      <c r="EA373" s="1215">
        <f t="shared" si="2260"/>
        <v>0.21</v>
      </c>
      <c r="EB373" s="1215">
        <f t="shared" si="2260"/>
        <v>0.21</v>
      </c>
      <c r="EC373" s="1077">
        <f t="shared" si="2260"/>
        <v>0.21000000000000002</v>
      </c>
      <c r="ED373" s="1182"/>
      <c r="EE373" s="1182"/>
      <c r="EF373" s="1182"/>
      <c r="EG373" s="1182"/>
      <c r="EH373" s="1182"/>
      <c r="EI373" s="1182"/>
      <c r="EJ373" s="1182"/>
      <c r="EK373" s="1182"/>
      <c r="EL373" s="1182"/>
      <c r="EM373" s="1182"/>
      <c r="EN373" s="1182"/>
      <c r="EO373" s="1182"/>
      <c r="EP373" s="1182"/>
      <c r="EQ373" s="1182"/>
      <c r="ER373" s="1182"/>
      <c r="ES373" s="1182"/>
      <c r="ET373" s="1182"/>
      <c r="EU373" s="1182"/>
      <c r="EX373" s="1182"/>
      <c r="EY373" s="1218"/>
      <c r="EZ373" s="1219"/>
      <c r="FA373" s="1220"/>
      <c r="FB373" s="1218"/>
      <c r="FC373" s="1220"/>
      <c r="FD373" s="1182"/>
      <c r="FE373"/>
      <c r="FF373"/>
      <c r="FG373"/>
      <c r="FH373"/>
      <c r="FI373"/>
      <c r="FJ373"/>
    </row>
    <row r="374" spans="1:166" x14ac:dyDescent="0.2">
      <c r="A374" s="490" t="s">
        <v>524</v>
      </c>
      <c r="B374" s="16"/>
      <c r="C374" s="16"/>
      <c r="D374" s="16"/>
      <c r="E374" s="16"/>
      <c r="F374" s="16"/>
      <c r="G374" s="16"/>
      <c r="H374" s="16"/>
      <c r="I374" s="16"/>
      <c r="J374" s="16"/>
      <c r="K374" s="16"/>
      <c r="L374" s="16"/>
      <c r="M374" s="16"/>
      <c r="N374" s="16"/>
      <c r="O374" s="16"/>
      <c r="P374" s="16"/>
      <c r="Q374" s="468">
        <v>0.252</v>
      </c>
      <c r="R374" s="21"/>
      <c r="S374" s="21"/>
      <c r="T374" s="21"/>
      <c r="U374" s="21"/>
      <c r="V374" s="468">
        <v>2.8000000000000001E-2</v>
      </c>
      <c r="W374" s="21"/>
      <c r="X374" s="21"/>
      <c r="Y374" s="21"/>
      <c r="Z374" s="21"/>
      <c r="AA374" s="468">
        <v>2.8000000000000001E-2</v>
      </c>
      <c r="AB374" s="21"/>
      <c r="AC374" s="21"/>
      <c r="AD374" s="21"/>
      <c r="AE374" s="21"/>
      <c r="AF374" s="468">
        <v>2.1000000000000001E-2</v>
      </c>
      <c r="AG374" s="21"/>
      <c r="AH374" s="21"/>
      <c r="AI374" s="21"/>
      <c r="AJ374" s="21"/>
      <c r="AK374" s="123"/>
      <c r="AL374" s="21"/>
      <c r="AM374" s="21"/>
      <c r="AN374" s="21"/>
      <c r="AO374" s="21"/>
      <c r="AP374" s="123"/>
      <c r="AQ374" s="21"/>
      <c r="AR374" s="21"/>
      <c r="AS374" s="21"/>
      <c r="AT374" s="21"/>
      <c r="AU374" s="122"/>
      <c r="AV374" s="45"/>
      <c r="AW374" s="21"/>
      <c r="AX374" s="21"/>
      <c r="AY374" s="21"/>
      <c r="AZ374" s="21"/>
      <c r="BA374" s="123"/>
      <c r="BB374" s="122"/>
      <c r="BC374" s="21"/>
      <c r="BD374" s="21"/>
      <c r="BE374" s="21"/>
      <c r="BF374" s="123"/>
      <c r="BG374" s="21"/>
      <c r="BH374" s="21"/>
      <c r="BI374" s="21"/>
      <c r="BJ374" s="21"/>
      <c r="BK374" s="123"/>
      <c r="BL374" s="21"/>
      <c r="BM374" s="21"/>
      <c r="BN374" s="21"/>
      <c r="BO374" s="21"/>
      <c r="BP374" s="123"/>
      <c r="BQ374" s="21"/>
      <c r="BR374" s="21"/>
      <c r="BS374" s="21"/>
      <c r="BT374" s="21"/>
      <c r="BU374" s="123"/>
      <c r="BV374" s="1305"/>
      <c r="BW374" s="1305"/>
      <c r="BX374" s="1305"/>
      <c r="BY374" s="1305"/>
      <c r="BZ374" s="123"/>
      <c r="CA374" s="21"/>
      <c r="CB374" s="21"/>
      <c r="CC374" s="21"/>
      <c r="CD374" s="21"/>
      <c r="CE374" s="123"/>
      <c r="CF374" s="21"/>
      <c r="CG374" s="21"/>
      <c r="CH374" s="21"/>
      <c r="CI374" s="21"/>
      <c r="CJ374" s="123"/>
      <c r="CK374" s="21"/>
      <c r="CL374" s="21"/>
      <c r="CM374" s="21"/>
      <c r="CN374" s="21"/>
      <c r="CO374" s="123"/>
      <c r="CP374" s="21"/>
      <c r="CQ374" s="21"/>
      <c r="CR374" s="21"/>
      <c r="CS374" s="21"/>
      <c r="CT374" s="123"/>
      <c r="CU374" s="21"/>
      <c r="CV374" s="21"/>
      <c r="CW374" s="21"/>
      <c r="CX374" s="21"/>
      <c r="CY374" s="123"/>
      <c r="CZ374" s="21"/>
      <c r="DA374" s="21"/>
      <c r="DB374" s="21"/>
      <c r="DC374" s="21"/>
      <c r="DD374" s="123"/>
      <c r="DE374" s="21"/>
      <c r="DF374" s="21"/>
      <c r="DG374" s="21"/>
      <c r="DH374" s="21"/>
      <c r="DI374" s="123"/>
      <c r="DJ374" s="21"/>
      <c r="DK374" s="21"/>
      <c r="DL374" s="21"/>
      <c r="DM374" s="21"/>
      <c r="DN374" s="123"/>
      <c r="DO374" s="21"/>
      <c r="DP374" s="21"/>
      <c r="DQ374" s="21"/>
      <c r="DR374" s="21"/>
      <c r="DS374" s="123"/>
      <c r="DT374" s="21"/>
      <c r="DU374" s="21"/>
      <c r="DV374" s="21"/>
      <c r="DW374" s="21"/>
      <c r="DX374" s="123"/>
      <c r="DY374" s="21"/>
      <c r="DZ374" s="21"/>
      <c r="EA374" s="21"/>
      <c r="EB374" s="21"/>
      <c r="EC374" s="123"/>
      <c r="ED374" s="16"/>
      <c r="EE374" s="16"/>
      <c r="EF374" s="16"/>
      <c r="EG374" s="16"/>
      <c r="EH374" s="16"/>
      <c r="EI374" s="16"/>
      <c r="EJ374" s="16"/>
      <c r="EK374" s="16"/>
      <c r="EL374" s="16"/>
      <c r="EM374" s="16"/>
      <c r="EN374" s="16"/>
      <c r="EO374" s="16"/>
      <c r="EP374" s="16"/>
      <c r="EQ374" s="16"/>
      <c r="ER374" s="16"/>
      <c r="ES374" s="16"/>
      <c r="ET374" s="16"/>
      <c r="EU374" s="16"/>
      <c r="EX374" s="16"/>
      <c r="EY374" s="228"/>
      <c r="EZ374" s="945"/>
      <c r="FA374" s="477"/>
      <c r="FB374" s="228"/>
      <c r="FC374" s="477"/>
      <c r="FD374" s="16"/>
    </row>
    <row r="375" spans="1:166" x14ac:dyDescent="0.2">
      <c r="A375" s="490" t="s">
        <v>525</v>
      </c>
      <c r="B375" s="16"/>
      <c r="C375" s="16"/>
      <c r="D375" s="16"/>
      <c r="E375" s="16"/>
      <c r="F375" s="16"/>
      <c r="G375" s="16"/>
      <c r="H375" s="16"/>
      <c r="I375" s="16"/>
      <c r="J375" s="16"/>
      <c r="K375" s="16"/>
      <c r="L375" s="16"/>
      <c r="M375" s="16"/>
      <c r="N375" s="16"/>
      <c r="O375" s="16"/>
      <c r="P375" s="16"/>
      <c r="Q375" s="468">
        <f>-28.8%-87.2%+80.4%+33.7%-13.9%</f>
        <v>-0.15800000000000008</v>
      </c>
      <c r="R375" s="21"/>
      <c r="S375" s="21"/>
      <c r="T375" s="21"/>
      <c r="U375" s="21"/>
      <c r="V375" s="468">
        <f>-12.2%+4.8%+10.1%+4.4%-5.2%</f>
        <v>1.9000000000000003E-2</v>
      </c>
      <c r="W375" s="21"/>
      <c r="X375" s="21"/>
      <c r="Y375" s="21"/>
      <c r="Z375" s="21"/>
      <c r="AA375" s="468">
        <f>11.1%+-1.9%+0.9%+18.4%</f>
        <v>0.28500000000000003</v>
      </c>
      <c r="AB375" s="21"/>
      <c r="AC375" s="21"/>
      <c r="AD375" s="21"/>
      <c r="AE375" s="21"/>
      <c r="AF375" s="468">
        <f>-3.5%+-1.5%+3.1%-2%+0.4%</f>
        <v>-3.5000000000000003E-2</v>
      </c>
      <c r="AG375" s="21"/>
      <c r="AH375" s="21"/>
      <c r="AI375" s="21"/>
      <c r="AJ375" s="21"/>
      <c r="AK375" s="123"/>
      <c r="AL375" s="21"/>
      <c r="AM375" s="21"/>
      <c r="AN375" s="21"/>
      <c r="AO375" s="21"/>
      <c r="AP375" s="123"/>
      <c r="AQ375" s="21"/>
      <c r="AR375" s="21"/>
      <c r="AS375" s="21"/>
      <c r="AT375" s="21"/>
      <c r="AU375" s="122"/>
      <c r="AV375" s="45"/>
      <c r="AW375" s="21"/>
      <c r="AX375" s="21"/>
      <c r="AY375" s="21"/>
      <c r="AZ375" s="21"/>
      <c r="BA375" s="123"/>
      <c r="BB375" s="122"/>
      <c r="BC375" s="21"/>
      <c r="BD375" s="21"/>
      <c r="BE375" s="21"/>
      <c r="BF375" s="123"/>
      <c r="BG375" s="21"/>
      <c r="BH375" s="21"/>
      <c r="BI375" s="21"/>
      <c r="BJ375" s="21"/>
      <c r="BK375" s="123"/>
      <c r="BL375" s="21"/>
      <c r="BM375" s="21"/>
      <c r="BN375" s="21"/>
      <c r="BO375" s="21"/>
      <c r="BP375" s="123"/>
      <c r="BQ375" s="21"/>
      <c r="BR375" s="21"/>
      <c r="BS375" s="21"/>
      <c r="BT375" s="21"/>
      <c r="BU375" s="123"/>
      <c r="BV375" s="1305"/>
      <c r="BW375" s="1305"/>
      <c r="BX375" s="1305"/>
      <c r="BY375" s="1305"/>
      <c r="BZ375" s="123"/>
      <c r="CA375" s="21"/>
      <c r="CB375" s="21"/>
      <c r="CC375" s="21"/>
      <c r="CD375" s="21"/>
      <c r="CE375" s="123"/>
      <c r="CF375" s="21"/>
      <c r="CG375" s="21"/>
      <c r="CH375" s="21"/>
      <c r="CI375" s="21"/>
      <c r="CJ375" s="123"/>
      <c r="CK375" s="21"/>
      <c r="CL375" s="21"/>
      <c r="CM375" s="21"/>
      <c r="CN375" s="21"/>
      <c r="CO375" s="123"/>
      <c r="CP375" s="21"/>
      <c r="CQ375" s="21"/>
      <c r="CR375" s="21"/>
      <c r="CS375" s="21"/>
      <c r="CT375" s="123"/>
      <c r="CU375" s="21"/>
      <c r="CV375" s="21"/>
      <c r="CW375" s="21"/>
      <c r="CX375" s="21"/>
      <c r="CY375" s="123"/>
      <c r="CZ375" s="21"/>
      <c r="DA375" s="21"/>
      <c r="DB375" s="21"/>
      <c r="DC375" s="21"/>
      <c r="DD375" s="123"/>
      <c r="DE375" s="21"/>
      <c r="DF375" s="21"/>
      <c r="DG375" s="21"/>
      <c r="DH375" s="21"/>
      <c r="DI375" s="123"/>
      <c r="DJ375" s="21"/>
      <c r="DK375" s="21"/>
      <c r="DL375" s="21"/>
      <c r="DM375" s="21"/>
      <c r="DN375" s="123"/>
      <c r="DO375" s="21"/>
      <c r="DP375" s="21"/>
      <c r="DQ375" s="21"/>
      <c r="DR375" s="21"/>
      <c r="DS375" s="123"/>
      <c r="DT375" s="21"/>
      <c r="DU375" s="21"/>
      <c r="DV375" s="21"/>
      <c r="DW375" s="21"/>
      <c r="DX375" s="123"/>
      <c r="DY375" s="21"/>
      <c r="DZ375" s="21"/>
      <c r="EA375" s="21"/>
      <c r="EB375" s="21"/>
      <c r="EC375" s="123"/>
      <c r="ED375" s="16"/>
      <c r="EE375" s="16"/>
      <c r="EF375" s="16"/>
      <c r="EG375" s="16"/>
      <c r="EH375" s="16"/>
      <c r="EI375" s="16"/>
      <c r="EJ375" s="16"/>
      <c r="EK375" s="16"/>
      <c r="EL375" s="16"/>
      <c r="EM375" s="16"/>
      <c r="EN375" s="16"/>
      <c r="EO375" s="16"/>
      <c r="EP375" s="16"/>
      <c r="EQ375" s="16"/>
      <c r="ER375" s="16"/>
      <c r="ES375" s="16"/>
      <c r="ET375" s="16"/>
      <c r="EU375" s="16"/>
      <c r="EX375" s="16"/>
      <c r="EY375" s="228"/>
      <c r="EZ375" s="945"/>
      <c r="FA375" s="477"/>
      <c r="FB375" s="228"/>
      <c r="FC375" s="477"/>
      <c r="FD375" s="16"/>
    </row>
    <row r="376" spans="1:166" x14ac:dyDescent="0.2">
      <c r="A376" s="491" t="s">
        <v>526</v>
      </c>
      <c r="B376" s="29"/>
      <c r="C376" s="29"/>
      <c r="D376" s="29"/>
      <c r="E376" s="29"/>
      <c r="F376" s="29"/>
      <c r="G376" s="29"/>
      <c r="H376" s="29"/>
      <c r="I376" s="29"/>
      <c r="J376" s="29"/>
      <c r="K376" s="29"/>
      <c r="L376" s="29"/>
      <c r="M376" s="29"/>
      <c r="N376" s="29"/>
      <c r="O376" s="29"/>
      <c r="P376" s="229"/>
      <c r="Q376" s="470">
        <f>SUM(Q373:Q375)</f>
        <v>0.44399999999999989</v>
      </c>
      <c r="R376" s="110"/>
      <c r="S376" s="110"/>
      <c r="T376" s="110"/>
      <c r="U376" s="110"/>
      <c r="V376" s="470">
        <f>SUM(V373:V375)</f>
        <v>0.39700000000000002</v>
      </c>
      <c r="W376" s="110"/>
      <c r="X376" s="110"/>
      <c r="Y376" s="110"/>
      <c r="Z376" s="110"/>
      <c r="AA376" s="470">
        <f>SUM(AA373:AA375)</f>
        <v>0.66300000000000003</v>
      </c>
      <c r="AB376" s="110"/>
      <c r="AC376" s="110"/>
      <c r="AD376" s="110"/>
      <c r="AE376" s="110"/>
      <c r="AF376" s="470">
        <f>SUM(AF373:AF375)</f>
        <v>0.33599999999999997</v>
      </c>
      <c r="AG376" s="110">
        <f>AG372</f>
        <v>-1.9135802469135803</v>
      </c>
      <c r="AH376" s="110">
        <f t="shared" ref="AH376:BK376" si="2261">AH372</f>
        <v>-1.875</v>
      </c>
      <c r="AI376" s="110">
        <f t="shared" si="2261"/>
        <v>-1.5</v>
      </c>
      <c r="AJ376" s="110">
        <f t="shared" si="2261"/>
        <v>-1.3846153846153846</v>
      </c>
      <c r="AK376" s="152">
        <f t="shared" si="2261"/>
        <v>-1.6830065359477124</v>
      </c>
      <c r="AL376" s="110">
        <f t="shared" si="2261"/>
        <v>-1.8571428571428572</v>
      </c>
      <c r="AM376" s="110">
        <f t="shared" si="2261"/>
        <v>-1.7733333333333334</v>
      </c>
      <c r="AN376" s="110">
        <f t="shared" si="2261"/>
        <v>-1.2307692307692308</v>
      </c>
      <c r="AO376" s="110">
        <f t="shared" si="2261"/>
        <v>-1.2857142857142856</v>
      </c>
      <c r="AP376" s="152">
        <f t="shared" si="2261"/>
        <v>-1.5531135531135529</v>
      </c>
      <c r="AQ376" s="110">
        <f t="shared" si="2261"/>
        <v>-1.9119999999999999</v>
      </c>
      <c r="AR376" s="110">
        <f t="shared" si="2261"/>
        <v>-2.1147540983606556</v>
      </c>
      <c r="AS376" s="110"/>
      <c r="AT376" s="110"/>
      <c r="AU376" s="200">
        <f>AU372</f>
        <v>0.86206896551724199</v>
      </c>
      <c r="AV376" s="45"/>
      <c r="AW376" s="110">
        <f t="shared" si="2261"/>
        <v>0.38805970149253749</v>
      </c>
      <c r="AX376" s="110">
        <f>AX372</f>
        <v>0.30790960451977423</v>
      </c>
      <c r="AY376" s="110"/>
      <c r="AZ376" s="110"/>
      <c r="BA376" s="152">
        <f>BA372</f>
        <v>0.43811881188118756</v>
      </c>
      <c r="BB376" s="200">
        <f t="shared" si="2261"/>
        <v>-1.7241379310344817E-2</v>
      </c>
      <c r="BC376" s="110">
        <f t="shared" si="2261"/>
        <v>0.29603729603729645</v>
      </c>
      <c r="BD376" s="110">
        <f t="shared" si="2261"/>
        <v>0.25670498084291177</v>
      </c>
      <c r="BE376" s="110">
        <f t="shared" si="2261"/>
        <v>1.5748031496063079E-2</v>
      </c>
      <c r="BF376" s="152">
        <f t="shared" si="2261"/>
        <v>0.23190932868352257</v>
      </c>
      <c r="BG376" s="110">
        <f t="shared" si="2261"/>
        <v>0.33488372093023311</v>
      </c>
      <c r="BH376" s="110">
        <f t="shared" si="2261"/>
        <v>0.23492063492063525</v>
      </c>
      <c r="BI376" s="110">
        <f t="shared" si="2261"/>
        <v>0.51111111111111274</v>
      </c>
      <c r="BJ376" s="110">
        <f t="shared" si="2261"/>
        <v>0.21231766612641803</v>
      </c>
      <c r="BK376" s="152">
        <f t="shared" si="2261"/>
        <v>0.26299311208515957</v>
      </c>
      <c r="BL376" s="110">
        <f t="shared" ref="BL376:BU376" si="2262">BL372</f>
        <v>0.32833020637898702</v>
      </c>
      <c r="BM376" s="110">
        <f t="shared" si="2262"/>
        <v>0.24399038461538458</v>
      </c>
      <c r="BN376" s="110">
        <f t="shared" si="2262"/>
        <v>0.28436516264428113</v>
      </c>
      <c r="BO376" s="110">
        <f t="shared" si="2262"/>
        <v>0.261061946902655</v>
      </c>
      <c r="BP376" s="152">
        <f t="shared" si="2262"/>
        <v>0.27467411545623838</v>
      </c>
      <c r="BQ376" s="110">
        <f t="shared" si="2262"/>
        <v>0.25707257072570722</v>
      </c>
      <c r="BR376" s="110">
        <f t="shared" si="2262"/>
        <v>0.25569871159563934</v>
      </c>
      <c r="BS376" s="110">
        <f t="shared" si="2262"/>
        <v>0.5337301587301585</v>
      </c>
      <c r="BT376" s="110">
        <f t="shared" si="2262"/>
        <v>0.26</v>
      </c>
      <c r="BU376" s="152">
        <f t="shared" si="2262"/>
        <v>-9.6009482418016601E-2</v>
      </c>
      <c r="BV376" s="1320">
        <f t="shared" ref="BV376:BZ376" si="2263">BV372</f>
        <v>0.31047475508666195</v>
      </c>
      <c r="BW376" s="1320">
        <f t="shared" si="2263"/>
        <v>0.28938097634625054</v>
      </c>
      <c r="BX376" s="1320">
        <f t="shared" si="2263"/>
        <v>0.29277899343544872</v>
      </c>
      <c r="BY376" s="1320">
        <f t="shared" si="2263"/>
        <v>0.26</v>
      </c>
      <c r="BZ376" s="152">
        <f t="shared" si="2263"/>
        <v>0.40240033108014928</v>
      </c>
      <c r="CA376" s="110">
        <f t="shared" ref="CA376:DF376" si="2264">CA372</f>
        <v>0.50049358341559769</v>
      </c>
      <c r="CB376" s="110">
        <f t="shared" si="2264"/>
        <v>0.32517985611510825</v>
      </c>
      <c r="CC376" s="110">
        <f t="shared" si="2264"/>
        <v>0.19657293497363787</v>
      </c>
      <c r="CD376" s="110">
        <f t="shared" si="2264"/>
        <v>0.10456310679611644</v>
      </c>
      <c r="CE376" s="152">
        <f t="shared" si="2264"/>
        <v>0.2406588514616412</v>
      </c>
      <c r="CF376" s="110">
        <f t="shared" si="2264"/>
        <v>0.21902552204176345</v>
      </c>
      <c r="CG376" s="110">
        <f t="shared" si="2264"/>
        <v>0.19295958279009134</v>
      </c>
      <c r="CH376" s="110">
        <f t="shared" si="2264"/>
        <v>0.21306068601583128</v>
      </c>
      <c r="CI376" s="110">
        <f t="shared" si="2264"/>
        <v>0.19477396601474831</v>
      </c>
      <c r="CJ376" s="152">
        <f t="shared" si="2264"/>
        <v>0.20328726933271107</v>
      </c>
      <c r="CK376" s="110">
        <f t="shared" si="2264"/>
        <v>0.18493150684931503</v>
      </c>
      <c r="CL376" s="110">
        <f t="shared" si="2264"/>
        <v>0.149790502793296</v>
      </c>
      <c r="CM376" s="110">
        <f t="shared" si="2264"/>
        <v>0.13433882848123466</v>
      </c>
      <c r="CN376" s="110">
        <f t="shared" si="2264"/>
        <v>0.14475215266464972</v>
      </c>
      <c r="CO376" s="152">
        <f t="shared" si="2264"/>
        <v>0.14591254752851707</v>
      </c>
      <c r="CP376" s="110">
        <f t="shared" si="2264"/>
        <v>6.0606060606060649E-3</v>
      </c>
      <c r="CQ376" s="110">
        <f t="shared" si="2264"/>
        <v>0.21</v>
      </c>
      <c r="CR376" s="110">
        <f t="shared" si="2264"/>
        <v>0.21</v>
      </c>
      <c r="CS376" s="110">
        <f t="shared" si="2264"/>
        <v>0.21</v>
      </c>
      <c r="CT376" s="152">
        <f t="shared" si="2264"/>
        <v>0.16825117221072999</v>
      </c>
      <c r="CU376" s="110">
        <f t="shared" si="2264"/>
        <v>0.21</v>
      </c>
      <c r="CV376" s="110">
        <f t="shared" si="2264"/>
        <v>0.21</v>
      </c>
      <c r="CW376" s="110">
        <f t="shared" si="2264"/>
        <v>0.21</v>
      </c>
      <c r="CX376" s="110">
        <f t="shared" si="2264"/>
        <v>0.21</v>
      </c>
      <c r="CY376" s="152">
        <f t="shared" si="2264"/>
        <v>0.20999999999999996</v>
      </c>
      <c r="CZ376" s="110">
        <f t="shared" si="2264"/>
        <v>0.21</v>
      </c>
      <c r="DA376" s="110">
        <f t="shared" si="2264"/>
        <v>0.21</v>
      </c>
      <c r="DB376" s="110">
        <f t="shared" si="2264"/>
        <v>0.21</v>
      </c>
      <c r="DC376" s="110">
        <f t="shared" si="2264"/>
        <v>0.21</v>
      </c>
      <c r="DD376" s="152">
        <f t="shared" si="2264"/>
        <v>0.21</v>
      </c>
      <c r="DE376" s="110">
        <f t="shared" si="2264"/>
        <v>0.21</v>
      </c>
      <c r="DF376" s="110">
        <f t="shared" si="2264"/>
        <v>0.21</v>
      </c>
      <c r="DG376" s="110">
        <f t="shared" ref="DG376:DX376" si="2265">DG372</f>
        <v>0.21</v>
      </c>
      <c r="DH376" s="110">
        <f t="shared" si="2265"/>
        <v>0.21</v>
      </c>
      <c r="DI376" s="152">
        <f t="shared" si="2265"/>
        <v>0.20999999999999996</v>
      </c>
      <c r="DJ376" s="110">
        <f t="shared" si="2265"/>
        <v>0.21</v>
      </c>
      <c r="DK376" s="110">
        <f t="shared" si="2265"/>
        <v>0.21</v>
      </c>
      <c r="DL376" s="110">
        <f t="shared" si="2265"/>
        <v>0.21</v>
      </c>
      <c r="DM376" s="110">
        <f t="shared" si="2265"/>
        <v>0.21</v>
      </c>
      <c r="DN376" s="152">
        <f t="shared" si="2265"/>
        <v>0.21</v>
      </c>
      <c r="DO376" s="110">
        <f t="shared" si="2265"/>
        <v>0.21</v>
      </c>
      <c r="DP376" s="110">
        <f t="shared" si="2265"/>
        <v>0.21</v>
      </c>
      <c r="DQ376" s="110">
        <f t="shared" si="2265"/>
        <v>0.21</v>
      </c>
      <c r="DR376" s="110">
        <f t="shared" si="2265"/>
        <v>0.21</v>
      </c>
      <c r="DS376" s="152">
        <f t="shared" si="2265"/>
        <v>0.20999999999999996</v>
      </c>
      <c r="DT376" s="110">
        <f t="shared" si="2265"/>
        <v>0.21</v>
      </c>
      <c r="DU376" s="110">
        <f t="shared" si="2265"/>
        <v>0.21</v>
      </c>
      <c r="DV376" s="110">
        <f t="shared" si="2265"/>
        <v>0.21</v>
      </c>
      <c r="DW376" s="110">
        <f t="shared" si="2265"/>
        <v>0.21</v>
      </c>
      <c r="DX376" s="152">
        <f t="shared" si="2265"/>
        <v>0.21000000000000002</v>
      </c>
      <c r="DY376" s="110">
        <f t="shared" ref="DY376:EC376" si="2266">DY372</f>
        <v>0.21</v>
      </c>
      <c r="DZ376" s="110">
        <f t="shared" si="2266"/>
        <v>0.21</v>
      </c>
      <c r="EA376" s="110">
        <f t="shared" si="2266"/>
        <v>0.21</v>
      </c>
      <c r="EB376" s="110">
        <f t="shared" si="2266"/>
        <v>0.21</v>
      </c>
      <c r="EC376" s="152">
        <f t="shared" si="2266"/>
        <v>0.21000000000000002</v>
      </c>
      <c r="ED376" s="16"/>
      <c r="EE376" s="16"/>
      <c r="EF376" s="16"/>
      <c r="EG376" s="16"/>
      <c r="EH376" s="16"/>
      <c r="EI376" s="16"/>
      <c r="EJ376" s="16"/>
      <c r="EK376" s="16"/>
      <c r="EL376" s="16"/>
      <c r="EM376" s="16"/>
      <c r="EN376" s="16"/>
      <c r="EO376" s="16"/>
      <c r="EP376" s="16"/>
      <c r="EQ376" s="16"/>
      <c r="ER376" s="16"/>
      <c r="ES376" s="16"/>
      <c r="ET376" s="16"/>
      <c r="EU376" s="16"/>
      <c r="EX376" s="16"/>
      <c r="EY376" s="228"/>
      <c r="EZ376" s="945"/>
      <c r="FA376" s="477"/>
      <c r="FB376" s="228"/>
      <c r="FC376" s="477"/>
      <c r="FD376" s="16"/>
    </row>
    <row r="377" spans="1:166" x14ac:dyDescent="0.2">
      <c r="A377" s="23"/>
      <c r="B377" s="16"/>
      <c r="C377" s="16"/>
      <c r="D377" s="16"/>
      <c r="E377" s="16"/>
      <c r="F377" s="16"/>
      <c r="G377" s="16"/>
      <c r="H377" s="16"/>
      <c r="I377" s="16"/>
      <c r="J377" s="16"/>
      <c r="K377" s="16"/>
      <c r="L377" s="16"/>
      <c r="M377" s="16"/>
      <c r="N377" s="16"/>
      <c r="O377" s="16"/>
      <c r="P377" s="16"/>
      <c r="Q377" s="16"/>
      <c r="R377" s="16"/>
      <c r="S377" s="16"/>
      <c r="T377" s="16"/>
      <c r="U377" s="16"/>
      <c r="V377" s="16"/>
      <c r="W377" s="16"/>
      <c r="X377" s="16"/>
      <c r="Y377" s="16"/>
      <c r="Z377" s="16"/>
      <c r="AA377" s="16"/>
      <c r="AB377" s="16"/>
      <c r="AC377" s="16"/>
      <c r="AD377" s="16"/>
      <c r="AE377" s="16"/>
      <c r="AF377" s="16"/>
      <c r="AG377" s="16"/>
      <c r="AH377" s="16"/>
      <c r="AI377" s="16"/>
      <c r="AJ377" s="16"/>
      <c r="AK377" s="16"/>
      <c r="AL377" s="16"/>
      <c r="AM377" s="16"/>
      <c r="AN377" s="16"/>
      <c r="AO377" s="16"/>
      <c r="AP377" s="16"/>
      <c r="AQ377" s="16"/>
      <c r="AR377" s="16"/>
      <c r="AS377" s="16"/>
      <c r="AT377" s="16"/>
      <c r="AU377" s="16"/>
      <c r="AV377" s="45"/>
      <c r="AW377" s="16"/>
      <c r="AX377" s="16"/>
      <c r="AY377" s="21"/>
      <c r="AZ377" s="21"/>
      <c r="BA377" s="16"/>
      <c r="BB377" s="16"/>
      <c r="BC377" s="21"/>
      <c r="BD377" s="16"/>
      <c r="BE377" s="16"/>
      <c r="BF377" s="16"/>
      <c r="BG377" s="16"/>
      <c r="BH377" s="16"/>
      <c r="BI377" s="16"/>
      <c r="BJ377" s="16"/>
      <c r="BK377" s="16"/>
      <c r="BL377" s="16"/>
      <c r="BM377" s="16"/>
      <c r="BN377" s="16"/>
      <c r="BO377" s="16"/>
      <c r="BP377" s="16"/>
      <c r="BQ377" s="16"/>
      <c r="BR377" s="16"/>
      <c r="BS377" s="16"/>
      <c r="BT377" s="16"/>
      <c r="BU377" s="16"/>
      <c r="BV377" s="1310"/>
      <c r="BW377" s="1310"/>
      <c r="BX377" s="1310"/>
      <c r="BY377" s="1310"/>
      <c r="BZ377" s="16"/>
      <c r="CA377" s="16"/>
      <c r="CB377" s="16"/>
      <c r="CC377" s="16"/>
      <c r="CD377" s="16"/>
      <c r="CE377" s="16"/>
      <c r="CF377" s="16"/>
      <c r="CG377" s="16"/>
      <c r="CH377" s="16"/>
      <c r="CI377" s="16"/>
      <c r="CJ377" s="16"/>
      <c r="CK377" s="16"/>
      <c r="CL377" s="16"/>
      <c r="CM377" s="16"/>
      <c r="CN377" s="16"/>
      <c r="CO377" s="16"/>
      <c r="CP377" s="16"/>
      <c r="CQ377" s="16"/>
      <c r="CR377" s="16"/>
      <c r="CS377" s="16"/>
      <c r="CT377" s="16"/>
      <c r="CU377" s="16"/>
      <c r="CV377" s="16"/>
      <c r="CW377" s="16"/>
      <c r="CX377" s="16"/>
      <c r="CY377" s="16"/>
      <c r="CZ377" s="16"/>
      <c r="DA377" s="16"/>
      <c r="DB377" s="16"/>
      <c r="DC377" s="16"/>
      <c r="DD377" s="16"/>
      <c r="DE377" s="16"/>
      <c r="DF377" s="16"/>
      <c r="DG377" s="16"/>
      <c r="DH377" s="16"/>
      <c r="DI377" s="16"/>
      <c r="DJ377" s="16"/>
      <c r="DK377" s="16"/>
      <c r="DL377" s="16"/>
      <c r="DM377" s="16"/>
      <c r="DN377" s="16"/>
      <c r="DO377" s="16"/>
      <c r="DP377" s="16"/>
      <c r="DQ377" s="16"/>
      <c r="DR377" s="16"/>
      <c r="DS377" s="16"/>
      <c r="DT377" s="16"/>
      <c r="DU377" s="16"/>
      <c r="DV377" s="16"/>
      <c r="DW377" s="16"/>
      <c r="DX377" s="16"/>
      <c r="DY377" s="16"/>
      <c r="DZ377" s="16"/>
      <c r="EA377" s="16"/>
      <c r="EB377" s="16"/>
      <c r="EC377" s="16"/>
      <c r="ED377" s="16"/>
      <c r="EE377" s="16"/>
      <c r="EF377" s="16"/>
      <c r="EG377" s="16"/>
      <c r="EH377" s="16"/>
      <c r="EI377" s="16"/>
      <c r="EJ377" s="16"/>
      <c r="EK377" s="16"/>
      <c r="EL377" s="16"/>
      <c r="EM377" s="16"/>
      <c r="EN377" s="16"/>
      <c r="EO377" s="16"/>
      <c r="EP377" s="16"/>
      <c r="EQ377" s="16"/>
      <c r="ER377" s="16"/>
      <c r="ES377" s="16"/>
      <c r="ET377" s="16"/>
      <c r="EU377" s="16"/>
      <c r="EX377" s="16"/>
      <c r="EY377" s="228"/>
      <c r="EZ377" s="945"/>
      <c r="FA377" s="477"/>
      <c r="FB377" s="228"/>
      <c r="FC377" s="477"/>
      <c r="FD377" s="16"/>
    </row>
    <row r="378" spans="1:166" x14ac:dyDescent="0.2">
      <c r="A378" s="23"/>
      <c r="B378" s="16"/>
      <c r="C378" s="16"/>
      <c r="D378" s="16"/>
      <c r="E378" s="16"/>
      <c r="F378" s="16"/>
      <c r="G378" s="16"/>
      <c r="H378" s="16"/>
      <c r="I378" s="16"/>
      <c r="J378" s="16"/>
      <c r="K378" s="16"/>
      <c r="L378" s="16"/>
      <c r="M378" s="16"/>
      <c r="N378" s="16"/>
      <c r="O378" s="16"/>
      <c r="P378" s="16"/>
      <c r="Q378" s="16"/>
      <c r="R378" s="16"/>
      <c r="S378" s="16"/>
      <c r="T378" s="16"/>
      <c r="U378" s="16"/>
      <c r="V378" s="16"/>
      <c r="W378" s="16"/>
      <c r="X378" s="16"/>
      <c r="Y378" s="16"/>
      <c r="Z378" s="16"/>
      <c r="AA378" s="16"/>
      <c r="AB378" s="16"/>
      <c r="AC378" s="16"/>
      <c r="AD378" s="16"/>
      <c r="AE378" s="16"/>
      <c r="AF378" s="16"/>
      <c r="AG378" s="16"/>
      <c r="AH378" s="16"/>
      <c r="AI378" s="16"/>
      <c r="AJ378" s="16"/>
      <c r="AK378" s="16"/>
      <c r="AL378" s="16"/>
      <c r="AM378" s="16"/>
      <c r="AN378" s="16"/>
      <c r="AO378" s="16"/>
      <c r="AP378" s="16"/>
      <c r="AQ378" s="16"/>
      <c r="AR378" s="16"/>
      <c r="AS378" s="16"/>
      <c r="AT378" s="16"/>
      <c r="AU378" s="16"/>
      <c r="AV378" s="45"/>
      <c r="AW378" s="78"/>
      <c r="AX378" s="16"/>
      <c r="AY378" s="21"/>
      <c r="AZ378" s="21"/>
      <c r="BA378" s="16"/>
      <c r="BB378" s="16"/>
      <c r="BC378" s="21"/>
      <c r="BD378" s="16"/>
      <c r="BE378" s="16"/>
      <c r="BF378" s="16"/>
      <c r="BG378" s="16"/>
      <c r="BH378" s="16"/>
      <c r="BI378" s="16"/>
      <c r="BJ378" s="16"/>
      <c r="BK378" s="16"/>
      <c r="BL378" s="16"/>
      <c r="BM378" s="16"/>
      <c r="BN378" s="16"/>
      <c r="BO378" s="16"/>
      <c r="BP378" s="16"/>
      <c r="BQ378" s="16"/>
      <c r="BR378" s="16"/>
      <c r="BS378" s="16"/>
      <c r="BT378" s="16"/>
      <c r="BU378" s="16"/>
      <c r="BV378" s="1310"/>
      <c r="BW378" s="1310"/>
      <c r="BX378" s="1310"/>
      <c r="BY378" s="1310"/>
      <c r="BZ378" s="16"/>
      <c r="CA378" s="16"/>
      <c r="CB378" s="16"/>
      <c r="CC378" s="16"/>
      <c r="CD378" s="16"/>
      <c r="CE378" s="16"/>
      <c r="CF378" s="16"/>
      <c r="CG378" s="16"/>
      <c r="CH378" s="16"/>
      <c r="CI378" s="16"/>
      <c r="CJ378" s="16"/>
      <c r="CK378" s="16"/>
      <c r="CL378" s="16"/>
      <c r="CM378" s="16"/>
      <c r="CN378" s="16"/>
      <c r="CO378" s="16"/>
      <c r="CP378" s="16"/>
      <c r="CQ378" s="16"/>
      <c r="CR378" s="16"/>
      <c r="CS378" s="16"/>
      <c r="CT378" s="16"/>
      <c r="CU378" s="16"/>
      <c r="CV378" s="16"/>
      <c r="CW378" s="16"/>
      <c r="CX378" s="16"/>
      <c r="CY378" s="16"/>
      <c r="CZ378" s="16"/>
      <c r="DA378" s="16"/>
      <c r="DB378" s="16"/>
      <c r="DC378" s="16"/>
      <c r="DD378" s="16"/>
      <c r="DE378" s="16"/>
      <c r="DF378" s="16"/>
      <c r="DG378" s="16"/>
      <c r="DH378" s="16"/>
      <c r="DI378" s="16"/>
      <c r="DJ378" s="16"/>
      <c r="DK378" s="16"/>
      <c r="DL378" s="16"/>
      <c r="DM378" s="16"/>
      <c r="DN378" s="16"/>
      <c r="DO378" s="16"/>
      <c r="DP378" s="16"/>
      <c r="DQ378" s="16"/>
      <c r="DR378" s="16"/>
      <c r="DS378" s="16"/>
      <c r="DT378" s="16"/>
      <c r="DU378" s="16"/>
      <c r="DV378" s="16"/>
      <c r="DW378" s="16"/>
      <c r="DX378" s="16"/>
      <c r="DY378" s="16"/>
      <c r="DZ378" s="16"/>
      <c r="EA378" s="16"/>
      <c r="EB378" s="16"/>
      <c r="EC378" s="16"/>
      <c r="ED378" s="16"/>
      <c r="EE378" s="16"/>
      <c r="EF378" s="16"/>
      <c r="EG378" s="16"/>
      <c r="EH378" s="16"/>
      <c r="EI378" s="16"/>
      <c r="EJ378" s="16"/>
      <c r="EK378" s="16"/>
      <c r="EL378" s="16"/>
      <c r="EM378" s="16"/>
      <c r="EN378" s="16"/>
      <c r="EO378" s="16"/>
      <c r="EP378" s="16"/>
      <c r="EQ378" s="16"/>
      <c r="ER378" s="16"/>
      <c r="ES378" s="16"/>
      <c r="ET378" s="16"/>
      <c r="EU378" s="16"/>
      <c r="EX378" s="16"/>
      <c r="EY378" s="228"/>
      <c r="EZ378" s="945"/>
      <c r="FA378" s="477"/>
      <c r="FB378" s="228"/>
      <c r="FC378" s="477"/>
      <c r="FD378" s="16"/>
    </row>
    <row r="379" spans="1:166" x14ac:dyDescent="0.2">
      <c r="A379" s="592" t="s">
        <v>514</v>
      </c>
      <c r="B379" s="807"/>
      <c r="C379" s="807"/>
      <c r="D379" s="807"/>
      <c r="E379" s="807"/>
      <c r="F379" s="807"/>
      <c r="G379" s="807"/>
      <c r="H379" s="807"/>
      <c r="I379" s="807"/>
      <c r="J379" s="807"/>
      <c r="K379" s="807"/>
      <c r="L379" s="807"/>
      <c r="M379" s="807"/>
      <c r="N379" s="807"/>
      <c r="O379" s="807"/>
      <c r="P379" s="807"/>
      <c r="Q379" s="807"/>
      <c r="R379" s="807"/>
      <c r="S379" s="807"/>
      <c r="T379" s="807"/>
      <c r="U379" s="807"/>
      <c r="V379" s="807"/>
      <c r="W379" s="807"/>
      <c r="X379" s="807"/>
      <c r="Y379" s="807"/>
      <c r="Z379" s="807"/>
      <c r="AA379" s="807"/>
      <c r="AB379" s="807"/>
      <c r="AC379" s="807"/>
      <c r="AD379" s="807"/>
      <c r="AE379" s="807"/>
      <c r="AF379" s="807"/>
      <c r="AG379" s="807"/>
      <c r="AH379" s="807"/>
      <c r="AI379" s="807"/>
      <c r="AJ379" s="807"/>
      <c r="AK379" s="807"/>
      <c r="AL379" s="807"/>
      <c r="AM379" s="807"/>
      <c r="AN379" s="807"/>
      <c r="AO379" s="807"/>
      <c r="AP379" s="807"/>
      <c r="AQ379" s="807"/>
      <c r="AR379" s="807"/>
      <c r="AS379" s="807"/>
      <c r="AT379" s="807"/>
      <c r="AU379" s="807"/>
      <c r="AV379" s="45"/>
      <c r="AW379" s="807"/>
      <c r="AX379" s="807"/>
      <c r="AY379" s="807"/>
      <c r="AZ379" s="807"/>
      <c r="BA379" s="807"/>
      <c r="BB379" s="807"/>
      <c r="BC379" s="807"/>
      <c r="BD379" s="807"/>
      <c r="BE379" s="807"/>
      <c r="BF379" s="807"/>
      <c r="BG379" s="807"/>
      <c r="BH379" s="807"/>
      <c r="BI379" s="807"/>
      <c r="BJ379" s="807"/>
      <c r="BK379" s="807"/>
      <c r="BL379" s="807"/>
      <c r="BM379" s="807"/>
      <c r="BN379" s="807"/>
      <c r="BO379" s="807"/>
      <c r="BP379" s="807"/>
      <c r="BQ379" s="807"/>
      <c r="BR379" s="807"/>
      <c r="BS379" s="807"/>
      <c r="BT379" s="807"/>
      <c r="BU379" s="807"/>
      <c r="BV379" s="1318"/>
      <c r="BW379" s="1318"/>
      <c r="BX379" s="1318"/>
      <c r="BY379" s="1318"/>
      <c r="BZ379" s="807"/>
      <c r="CA379" s="807"/>
      <c r="CB379" s="807"/>
      <c r="CC379" s="807"/>
      <c r="CD379" s="807"/>
      <c r="CE379" s="807"/>
      <c r="CF379" s="807"/>
      <c r="CG379" s="807"/>
      <c r="CH379" s="807"/>
      <c r="CI379" s="807"/>
      <c r="CJ379" s="807"/>
      <c r="CK379" s="807"/>
      <c r="CL379" s="807"/>
      <c r="CM379" s="807"/>
      <c r="CN379" s="807"/>
      <c r="CO379" s="807"/>
      <c r="CP379" s="807"/>
      <c r="CQ379" s="807"/>
      <c r="CR379" s="807"/>
      <c r="CS379" s="807"/>
      <c r="CT379" s="807"/>
      <c r="CU379" s="807"/>
      <c r="CV379" s="807"/>
      <c r="CW379" s="807"/>
      <c r="CX379" s="807"/>
      <c r="CY379" s="807"/>
      <c r="CZ379" s="807"/>
      <c r="DA379" s="807"/>
      <c r="DB379" s="807"/>
      <c r="DC379" s="807"/>
      <c r="DD379" s="807"/>
      <c r="DE379" s="807"/>
      <c r="DF379" s="807"/>
      <c r="DG379" s="807"/>
      <c r="DH379" s="807"/>
      <c r="DI379" s="807"/>
      <c r="DJ379" s="807"/>
      <c r="DK379" s="807"/>
      <c r="DL379" s="807"/>
      <c r="DM379" s="807"/>
      <c r="DN379" s="807"/>
      <c r="DO379" s="807"/>
      <c r="DP379" s="807"/>
      <c r="DQ379" s="807"/>
      <c r="DR379" s="807"/>
      <c r="DS379" s="807"/>
      <c r="DT379" s="807"/>
      <c r="DU379" s="807"/>
      <c r="DV379" s="807"/>
      <c r="DW379" s="807"/>
      <c r="DX379" s="808"/>
      <c r="DY379" s="807"/>
      <c r="DZ379" s="807"/>
      <c r="EA379" s="807"/>
      <c r="EB379" s="807"/>
      <c r="EC379" s="808"/>
      <c r="ED379" s="16"/>
      <c r="EE379" s="16"/>
      <c r="EF379" s="16"/>
      <c r="EG379" s="16"/>
      <c r="EH379" s="16"/>
      <c r="EI379" s="16"/>
      <c r="EJ379" s="16"/>
      <c r="EK379" s="16"/>
      <c r="EL379" s="16"/>
      <c r="EM379" s="16"/>
      <c r="EN379" s="16"/>
      <c r="EO379" s="16"/>
      <c r="EP379" s="16"/>
      <c r="EQ379" s="16"/>
      <c r="ER379" s="16"/>
      <c r="ES379" s="16"/>
      <c r="ET379" s="16"/>
      <c r="EU379" s="16"/>
      <c r="EX379" s="16"/>
      <c r="EY379" s="228"/>
      <c r="EZ379" s="945"/>
      <c r="FA379" s="477"/>
      <c r="FB379" s="228"/>
      <c r="FC379" s="477"/>
      <c r="FD379" s="16"/>
    </row>
    <row r="380" spans="1:166" x14ac:dyDescent="0.2">
      <c r="A380" s="490" t="s">
        <v>370</v>
      </c>
      <c r="B380" s="16"/>
      <c r="C380" s="16"/>
      <c r="D380" s="16"/>
      <c r="E380" s="16"/>
      <c r="F380" s="16"/>
      <c r="G380" s="16"/>
      <c r="H380" s="16"/>
      <c r="I380" s="16"/>
      <c r="J380" s="16"/>
      <c r="K380" s="16"/>
      <c r="L380" s="16"/>
      <c r="M380" s="16"/>
      <c r="N380" s="16"/>
      <c r="O380" s="16"/>
      <c r="P380" s="16"/>
      <c r="Q380" s="273"/>
      <c r="R380" s="17"/>
      <c r="S380" s="17"/>
      <c r="T380" s="17"/>
      <c r="U380" s="17"/>
      <c r="V380" s="873"/>
      <c r="W380" s="17"/>
      <c r="X380" s="17"/>
      <c r="Y380" s="17"/>
      <c r="Z380" s="17"/>
      <c r="AA380" s="273"/>
      <c r="AB380" s="17">
        <f>-'CF '!AB67</f>
        <v>1</v>
      </c>
      <c r="AC380" s="17">
        <f>-'CF '!AC67</f>
        <v>0</v>
      </c>
      <c r="AD380" s="17">
        <f>-'CF '!AD67</f>
        <v>0</v>
      </c>
      <c r="AE380" s="17">
        <f>-'CF '!AE67</f>
        <v>1</v>
      </c>
      <c r="AF380" s="273">
        <f>-'CF '!AF67</f>
        <v>2</v>
      </c>
      <c r="AG380" s="17">
        <f>-'CF '!AG67</f>
        <v>6</v>
      </c>
      <c r="AH380" s="17">
        <f>-'CF '!AH67</f>
        <v>0</v>
      </c>
      <c r="AI380" s="17">
        <f>-'CF '!AI67</f>
        <v>29</v>
      </c>
      <c r="AJ380" s="17">
        <f>-'CF '!AJ67</f>
        <v>0</v>
      </c>
      <c r="AK380" s="273">
        <f>-'CF '!AK67</f>
        <v>35</v>
      </c>
      <c r="AL380" s="17">
        <f>-'CF '!AL67</f>
        <v>18</v>
      </c>
      <c r="AM380" s="17">
        <f>-'CF '!AM67</f>
        <v>2</v>
      </c>
      <c r="AN380" s="17">
        <f>-'CF '!AN67</f>
        <v>0</v>
      </c>
      <c r="AO380" s="17">
        <f>-'CF '!AO67</f>
        <v>0.30000000000000071</v>
      </c>
      <c r="AP380" s="273">
        <f>-'CF '!AP67</f>
        <v>20.3</v>
      </c>
      <c r="AQ380" s="17">
        <f>-'CF '!AQ67</f>
        <v>2.2999999999999998</v>
      </c>
      <c r="AR380" s="17">
        <f>-'CF '!AR67</f>
        <v>0.10000000000000009</v>
      </c>
      <c r="AS380" s="17"/>
      <c r="AT380" s="17"/>
      <c r="AU380" s="94">
        <f>-'CF '!AY67</f>
        <v>2.2999999999999998</v>
      </c>
      <c r="AV380" s="45"/>
      <c r="AW380" s="17">
        <f>-'CF '!AS67</f>
        <v>0</v>
      </c>
      <c r="AX380" s="17">
        <f>-'CF '!AT67</f>
        <v>0.30000000000000027</v>
      </c>
      <c r="AY380" s="17"/>
      <c r="AZ380" s="17"/>
      <c r="BA380" s="273">
        <f>-'CF '!BA67</f>
        <v>2.8000000000000003</v>
      </c>
      <c r="BB380" s="94">
        <f>-'CF '!BB67</f>
        <v>0</v>
      </c>
      <c r="BC380" s="17">
        <f>-'CF '!BC67</f>
        <v>0</v>
      </c>
      <c r="BD380" s="17">
        <f>-'CF '!BD67</f>
        <v>0</v>
      </c>
      <c r="BE380" s="17">
        <f>-'CF '!BE67</f>
        <v>0</v>
      </c>
      <c r="BF380" s="273">
        <f>-'CF '!BF67</f>
        <v>0</v>
      </c>
      <c r="BG380" s="17">
        <f>-'CF '!BG67</f>
        <v>0</v>
      </c>
      <c r="BH380" s="17">
        <f>-'CF '!BH67</f>
        <v>0</v>
      </c>
      <c r="BI380" s="17">
        <f>-'CF '!BI67</f>
        <v>0</v>
      </c>
      <c r="BJ380" s="17">
        <f>-'CF '!BJ67</f>
        <v>0</v>
      </c>
      <c r="BK380" s="273">
        <f>SUM(BG380:BJ380)</f>
        <v>0</v>
      </c>
      <c r="BL380" s="846">
        <f>-'CF '!BL67</f>
        <v>0</v>
      </c>
      <c r="BM380" s="846">
        <f>-'CF '!BM67</f>
        <v>0</v>
      </c>
      <c r="BN380" s="846">
        <f>-'CF '!BN67</f>
        <v>0</v>
      </c>
      <c r="BO380" s="846">
        <f>-'CF '!BO67</f>
        <v>7.3</v>
      </c>
      <c r="BP380" s="847">
        <f>SUM(BL380:BO380)</f>
        <v>7.3</v>
      </c>
      <c r="BQ380" s="846">
        <f>-'CF '!BQ67</f>
        <v>0</v>
      </c>
      <c r="BR380" s="846">
        <f>-'CF '!BR67</f>
        <v>0</v>
      </c>
      <c r="BS380" s="846">
        <f>-'CF '!BS67</f>
        <v>0</v>
      </c>
      <c r="BT380" s="846">
        <f>BT381*BT383</f>
        <v>0</v>
      </c>
      <c r="BU380" s="847">
        <f>SUM(BQ380:BT380)</f>
        <v>0</v>
      </c>
      <c r="BV380" s="1321">
        <f>-'CF '!BV67</f>
        <v>0</v>
      </c>
      <c r="BW380" s="1321">
        <f>-'CF '!BW67</f>
        <v>0</v>
      </c>
      <c r="BX380" s="1321">
        <f>-'CF '!BX67</f>
        <v>0</v>
      </c>
      <c r="BY380" s="1321">
        <f>BY381*BY383</f>
        <v>0</v>
      </c>
      <c r="BZ380" s="847">
        <f>SUM(BV380:BY380)</f>
        <v>0</v>
      </c>
      <c r="CA380" s="846">
        <f>-'CF '!BV64</f>
        <v>0</v>
      </c>
      <c r="CB380" s="846">
        <f>-'CF '!BW64</f>
        <v>0</v>
      </c>
      <c r="CC380" s="846">
        <f>-'CF '!BX64</f>
        <v>0</v>
      </c>
      <c r="CD380" s="846">
        <f>-'CF '!BY64</f>
        <v>-2.1</v>
      </c>
      <c r="CE380" s="847">
        <f>SUM(CA380:CD380)</f>
        <v>-2.1</v>
      </c>
      <c r="CF380" s="846">
        <f>-'CF '!CA64</f>
        <v>0</v>
      </c>
      <c r="CG380" s="846">
        <f>-'CF '!CB64</f>
        <v>0</v>
      </c>
      <c r="CH380" s="846">
        <f>-'CF '!CC64</f>
        <v>0</v>
      </c>
      <c r="CI380" s="846">
        <f>-'CF '!CD64</f>
        <v>0</v>
      </c>
      <c r="CJ380" s="847">
        <f>SUM(CF380:CI380)</f>
        <v>0</v>
      </c>
      <c r="CK380" s="846">
        <f>-'CF '!CF64</f>
        <v>0</v>
      </c>
      <c r="CL380" s="846">
        <f>-'CF '!CG64</f>
        <v>0</v>
      </c>
      <c r="CM380" s="846">
        <f>-'CF '!CH64</f>
        <v>0</v>
      </c>
      <c r="CN380" s="846">
        <f>-'CF '!CI64</f>
        <v>0</v>
      </c>
      <c r="CO380" s="847">
        <f>SUM(CK380:CN380)</f>
        <v>0</v>
      </c>
      <c r="CP380" s="846">
        <f>-'CF '!CK64</f>
        <v>0</v>
      </c>
      <c r="CQ380" s="846">
        <f>-'CF '!CL64</f>
        <v>0</v>
      </c>
      <c r="CR380" s="846">
        <f>-'CF '!CM64</f>
        <v>0</v>
      </c>
      <c r="CS380" s="846">
        <f>-'CF '!CN64</f>
        <v>0</v>
      </c>
      <c r="CT380" s="847">
        <f>SUM(CP380:CS380)</f>
        <v>0</v>
      </c>
      <c r="CU380" s="846">
        <f>-'CF '!CP64</f>
        <v>0</v>
      </c>
      <c r="CV380" s="846">
        <f>-'CF '!CQ64</f>
        <v>0</v>
      </c>
      <c r="CW380" s="846">
        <f>-'CF '!CR64</f>
        <v>0</v>
      </c>
      <c r="CX380" s="846">
        <f>-'CF '!CS64</f>
        <v>0</v>
      </c>
      <c r="CY380" s="847">
        <f>SUM(CU380:CX380)</f>
        <v>0</v>
      </c>
      <c r="CZ380" s="846">
        <f>-'CF '!CU64</f>
        <v>0</v>
      </c>
      <c r="DA380" s="846">
        <f>-'CF '!CV64</f>
        <v>0</v>
      </c>
      <c r="DB380" s="846">
        <f>-'CF '!CW64</f>
        <v>0</v>
      </c>
      <c r="DC380" s="846">
        <f>-'CF '!CX64</f>
        <v>0</v>
      </c>
      <c r="DD380" s="847">
        <f>SUM(CZ380:DC380)</f>
        <v>0</v>
      </c>
      <c r="DE380" s="846">
        <f>-'CF '!CZ64</f>
        <v>0</v>
      </c>
      <c r="DF380" s="846">
        <f>-'CF '!DA64</f>
        <v>0</v>
      </c>
      <c r="DG380" s="846">
        <f>-'CF '!DB64</f>
        <v>0</v>
      </c>
      <c r="DH380" s="846">
        <f>-'CF '!DC64</f>
        <v>0</v>
      </c>
      <c r="DI380" s="847">
        <f>SUM(DE380:DH380)</f>
        <v>0</v>
      </c>
      <c r="DJ380" s="846">
        <f>-'CF '!DE64</f>
        <v>0</v>
      </c>
      <c r="DK380" s="846">
        <f>-'CF '!DF64</f>
        <v>0</v>
      </c>
      <c r="DL380" s="846">
        <f>-'CF '!DG64</f>
        <v>0</v>
      </c>
      <c r="DM380" s="846">
        <f>-'CF '!DH64</f>
        <v>0</v>
      </c>
      <c r="DN380" s="847">
        <f>SUM(DJ380:DM380)</f>
        <v>0</v>
      </c>
      <c r="DO380" s="846">
        <f>-'CF '!DJ64</f>
        <v>0</v>
      </c>
      <c r="DP380" s="846">
        <f>-'CF '!DK64</f>
        <v>0</v>
      </c>
      <c r="DQ380" s="846">
        <f>-'CF '!DL64</f>
        <v>0</v>
      </c>
      <c r="DR380" s="846">
        <f>-'CF '!DM64</f>
        <v>0</v>
      </c>
      <c r="DS380" s="847">
        <f>SUM(DO380:DR380)</f>
        <v>0</v>
      </c>
      <c r="DT380" s="846">
        <f>-'CF '!DO64</f>
        <v>0</v>
      </c>
      <c r="DU380" s="846">
        <f>-'CF '!DP64</f>
        <v>0</v>
      </c>
      <c r="DV380" s="846">
        <f>-'CF '!DQ64</f>
        <v>0</v>
      </c>
      <c r="DW380" s="846">
        <f>-'CF '!DR64</f>
        <v>0</v>
      </c>
      <c r="DX380" s="847">
        <f>SUM(DT380:DW380)</f>
        <v>0</v>
      </c>
      <c r="DY380" s="846">
        <f>-'CF '!DT64</f>
        <v>0</v>
      </c>
      <c r="DZ380" s="846">
        <f>-'CF '!DU64</f>
        <v>0</v>
      </c>
      <c r="EA380" s="846">
        <f>-'CF '!DV64</f>
        <v>0</v>
      </c>
      <c r="EB380" s="846">
        <f>-'CF '!DW64</f>
        <v>0</v>
      </c>
      <c r="EC380" s="847">
        <f>SUM(DY380:EB380)</f>
        <v>0</v>
      </c>
      <c r="ED380" s="16"/>
      <c r="EE380" s="16"/>
      <c r="EF380" s="16"/>
      <c r="EG380" s="16"/>
      <c r="EH380" s="16"/>
      <c r="EI380" s="16"/>
      <c r="EJ380" s="16"/>
      <c r="EK380" s="16"/>
      <c r="EL380" s="16"/>
      <c r="EM380" s="16"/>
      <c r="EN380" s="16"/>
      <c r="EO380" s="16"/>
      <c r="EP380" s="16"/>
      <c r="EQ380" s="16"/>
      <c r="ER380" s="16"/>
      <c r="ES380" s="16"/>
      <c r="ET380" s="16"/>
      <c r="EU380" s="16"/>
      <c r="EX380" s="16"/>
      <c r="EY380" s="228"/>
      <c r="EZ380" s="945"/>
      <c r="FA380" s="477"/>
      <c r="FB380" s="228"/>
      <c r="FC380" s="477"/>
      <c r="FD380" s="16"/>
    </row>
    <row r="381" spans="1:166" x14ac:dyDescent="0.2">
      <c r="A381" s="490" t="s">
        <v>286</v>
      </c>
      <c r="B381" s="16"/>
      <c r="C381" s="16"/>
      <c r="D381" s="16"/>
      <c r="E381" s="16"/>
      <c r="F381" s="16"/>
      <c r="G381" s="16"/>
      <c r="H381" s="16"/>
      <c r="I381" s="16"/>
      <c r="J381" s="16"/>
      <c r="K381" s="16"/>
      <c r="L381" s="16"/>
      <c r="M381" s="16"/>
      <c r="N381" s="16"/>
      <c r="O381" s="16"/>
      <c r="P381" s="16"/>
      <c r="Q381" s="462"/>
      <c r="R381" s="463"/>
      <c r="S381" s="463"/>
      <c r="T381" s="463"/>
      <c r="U381" s="463"/>
      <c r="V381" s="462"/>
      <c r="W381" s="463"/>
      <c r="X381" s="463"/>
      <c r="Y381" s="463"/>
      <c r="Z381" s="463"/>
      <c r="AA381" s="462"/>
      <c r="AB381" s="463"/>
      <c r="AC381" s="463"/>
      <c r="AD381" s="463"/>
      <c r="AE381" s="463"/>
      <c r="AF381" s="462"/>
      <c r="AG381" s="463"/>
      <c r="AH381" s="463"/>
      <c r="AI381" s="463"/>
      <c r="AJ381" s="463"/>
      <c r="AK381" s="462"/>
      <c r="AL381" s="463"/>
      <c r="AM381" s="463"/>
      <c r="AN381" s="463"/>
      <c r="AO381" s="463">
        <v>17</v>
      </c>
      <c r="AP381" s="462"/>
      <c r="AQ381" s="463"/>
      <c r="AR381" s="463"/>
      <c r="AS381" s="463"/>
      <c r="AT381" s="463"/>
      <c r="AU381" s="665"/>
      <c r="AV381" s="45"/>
      <c r="AW381" s="463"/>
      <c r="AX381" s="463"/>
      <c r="AY381" s="463"/>
      <c r="AZ381" s="463"/>
      <c r="BA381" s="462"/>
      <c r="BB381" s="665"/>
      <c r="BC381" s="463"/>
      <c r="BD381" s="463"/>
      <c r="BE381" s="463"/>
      <c r="BF381" s="462"/>
      <c r="BG381" s="773"/>
      <c r="BH381" s="463"/>
      <c r="BI381" s="463"/>
      <c r="BJ381" s="463"/>
      <c r="BK381" s="462"/>
      <c r="BL381" s="841" t="s">
        <v>162</v>
      </c>
      <c r="BM381" s="841" t="s">
        <v>162</v>
      </c>
      <c r="BN381" s="841" t="s">
        <v>162</v>
      </c>
      <c r="BO381" s="463">
        <f>BO380/BO383</f>
        <v>21.292544984147263</v>
      </c>
      <c r="BP381" s="462">
        <f>BP380/BP383</f>
        <v>21.292544984147263</v>
      </c>
      <c r="BQ381" s="841">
        <v>27</v>
      </c>
      <c r="BR381" s="463">
        <v>27</v>
      </c>
      <c r="BS381" s="463">
        <f>BR381*(1+BS382)</f>
        <v>27.810000000000002</v>
      </c>
      <c r="BT381" s="463">
        <f>BS381*(1+BT382)</f>
        <v>30.034800000000004</v>
      </c>
      <c r="BU381" s="462"/>
      <c r="BV381" s="1322">
        <v>27</v>
      </c>
      <c r="BW381" s="1192">
        <v>27</v>
      </c>
      <c r="BX381" s="1192">
        <f>BW381*(1+BX382)</f>
        <v>27.810000000000002</v>
      </c>
      <c r="BY381" s="1192">
        <f>BX381*(1+BY382)</f>
        <v>30.034800000000004</v>
      </c>
      <c r="BZ381" s="462"/>
      <c r="CA381" s="1646">
        <v>42</v>
      </c>
      <c r="CB381" s="1646">
        <f>CA381*(1+CB382)</f>
        <v>42.84</v>
      </c>
      <c r="CC381" s="1646">
        <f>CB381*(1+CC382)</f>
        <v>43.696800000000003</v>
      </c>
      <c r="CD381" s="1646">
        <f>CC381*(1+CD382)</f>
        <v>44.570736000000004</v>
      </c>
      <c r="CE381" s="462"/>
      <c r="CF381" s="1646">
        <f>CD381*(1+CF382)</f>
        <v>45.462150720000004</v>
      </c>
      <c r="CG381" s="1646">
        <f>CF381*(1+CG382)</f>
        <v>46.371393734400002</v>
      </c>
      <c r="CH381" s="1646">
        <f>CG381*(1+CH382)</f>
        <v>47.298821609088002</v>
      </c>
      <c r="CI381" s="1646">
        <f>CH381*(1+CI382)</f>
        <v>48.24479804126976</v>
      </c>
      <c r="CJ381" s="462">
        <f>CJ380/CJ383</f>
        <v>0</v>
      </c>
      <c r="CK381" s="463">
        <v>51</v>
      </c>
      <c r="CL381" s="463">
        <f>CK381*(1+CL382)</f>
        <v>52.02</v>
      </c>
      <c r="CM381" s="463">
        <f>CL381*(1+CM382)</f>
        <v>53.060400000000001</v>
      </c>
      <c r="CN381" s="463">
        <f>CM381*(1+CN382)</f>
        <v>54.121608000000002</v>
      </c>
      <c r="CO381" s="462">
        <f>CO380/CO383</f>
        <v>0</v>
      </c>
      <c r="CP381" s="463">
        <f>CN381*(1+CP382)</f>
        <v>55.204040160000005</v>
      </c>
      <c r="CQ381" s="463">
        <f>CP381*(1+CQ382)</f>
        <v>56.308120963200004</v>
      </c>
      <c r="CR381" s="463">
        <f>CQ381*(1+CR382)</f>
        <v>57.434283382464002</v>
      </c>
      <c r="CS381" s="463">
        <f>CR381*(1+CS382)</f>
        <v>58.582969050113284</v>
      </c>
      <c r="CT381" s="462">
        <f>CT380/CT383</f>
        <v>0</v>
      </c>
      <c r="CU381" s="463">
        <f>CS381*(1+CU382)</f>
        <v>59.754628431115549</v>
      </c>
      <c r="CV381" s="463">
        <f>CU381*(1+CV382)</f>
        <v>60.949720999737863</v>
      </c>
      <c r="CW381" s="463">
        <f>CV381*(1+CW382)</f>
        <v>62.168715419732621</v>
      </c>
      <c r="CX381" s="463">
        <f>CW381*(1+CX382)</f>
        <v>63.412089728127278</v>
      </c>
      <c r="CY381" s="462">
        <f>CY380/CY383</f>
        <v>0</v>
      </c>
      <c r="CZ381" s="463">
        <f>CX381*(1+CZ382)</f>
        <v>64.680331522689826</v>
      </c>
      <c r="DA381" s="463">
        <f>CZ381*(1+DA382)</f>
        <v>65.973938153143621</v>
      </c>
      <c r="DB381" s="463">
        <f>DA381*(1+DB382)</f>
        <v>67.293416916206496</v>
      </c>
      <c r="DC381" s="463">
        <f>DB381*(1+DC382)</f>
        <v>68.639285254530634</v>
      </c>
      <c r="DD381" s="462">
        <f>DD380/DD383</f>
        <v>0</v>
      </c>
      <c r="DE381" s="463">
        <f>DC381*(1+DE382)</f>
        <v>70.012070959621255</v>
      </c>
      <c r="DF381" s="463">
        <f>DE381*(1+DF382)</f>
        <v>71.412312378813681</v>
      </c>
      <c r="DG381" s="463">
        <f>DF381*(1+DG382)</f>
        <v>72.840558626389949</v>
      </c>
      <c r="DH381" s="463">
        <f>DG381*(1+DH382)</f>
        <v>74.297369798917757</v>
      </c>
      <c r="DI381" s="462">
        <f>DI380/DI383</f>
        <v>0</v>
      </c>
      <c r="DJ381" s="463">
        <f>DH381*(1+DJ382)</f>
        <v>75.783317194896114</v>
      </c>
      <c r="DK381" s="463">
        <f>DJ381*(1+DK382)</f>
        <v>77.298983538794033</v>
      </c>
      <c r="DL381" s="463">
        <f>DK381*(1+DL382)</f>
        <v>78.844963209569912</v>
      </c>
      <c r="DM381" s="463">
        <f>DL381*(1+DM382)</f>
        <v>80.421862473761308</v>
      </c>
      <c r="DN381" s="462">
        <f>DN380/DN383</f>
        <v>0</v>
      </c>
      <c r="DO381" s="463">
        <f>DM381*(1+DO382)</f>
        <v>82.030299723236539</v>
      </c>
      <c r="DP381" s="463">
        <f>DO381*(1+DP382)</f>
        <v>83.670905717701274</v>
      </c>
      <c r="DQ381" s="463">
        <f>DP381*(1+DQ382)</f>
        <v>85.344323832055295</v>
      </c>
      <c r="DR381" s="463">
        <f>DQ381*(1+DR382)</f>
        <v>87.051210308696398</v>
      </c>
      <c r="DS381" s="462">
        <f>DS380/DS383</f>
        <v>0</v>
      </c>
      <c r="DT381" s="463">
        <f>DR381*(1+DT382)</f>
        <v>88.79223451487033</v>
      </c>
      <c r="DU381" s="463">
        <f>DT381*(1+DU382)</f>
        <v>90.568079205167734</v>
      </c>
      <c r="DV381" s="463">
        <f>DU381*(1+DV382)</f>
        <v>92.379440789271086</v>
      </c>
      <c r="DW381" s="463">
        <f>DV381*(1+DW382)</f>
        <v>94.227029605056515</v>
      </c>
      <c r="DX381" s="462">
        <f>DX380/DX383</f>
        <v>0</v>
      </c>
      <c r="DY381" s="463">
        <f>DW381*(1+DY382)</f>
        <v>96.111570197157647</v>
      </c>
      <c r="DZ381" s="463">
        <f>DY381*(1+DZ382)</f>
        <v>98.033801601100805</v>
      </c>
      <c r="EA381" s="463">
        <f>DZ381*(1+EA382)</f>
        <v>99.994477633122827</v>
      </c>
      <c r="EB381" s="463">
        <f>EA381*(1+EB382)</f>
        <v>101.99436718578528</v>
      </c>
      <c r="EC381" s="462">
        <f>EC380/EC383</f>
        <v>0</v>
      </c>
      <c r="ED381" s="16"/>
      <c r="EE381" s="16"/>
      <c r="EF381" s="16"/>
      <c r="EG381" s="16"/>
      <c r="EH381" s="16"/>
      <c r="EI381" s="16"/>
      <c r="EJ381" s="16"/>
      <c r="EK381" s="16"/>
      <c r="EL381" s="16"/>
      <c r="EM381" s="16"/>
      <c r="EN381" s="16"/>
      <c r="EO381" s="16"/>
      <c r="EP381" s="16"/>
      <c r="EQ381" s="16"/>
      <c r="ER381" s="16"/>
      <c r="ES381" s="16"/>
      <c r="ET381" s="16"/>
      <c r="EU381" s="16"/>
      <c r="EX381" s="16"/>
      <c r="EY381" s="228"/>
      <c r="EZ381" s="945"/>
      <c r="FA381" s="477"/>
      <c r="FB381" s="228"/>
      <c r="FC381" s="477"/>
      <c r="FD381" s="16"/>
    </row>
    <row r="382" spans="1:166" x14ac:dyDescent="0.2">
      <c r="A382" s="490" t="s">
        <v>287</v>
      </c>
      <c r="B382" s="16"/>
      <c r="C382" s="16"/>
      <c r="D382" s="16"/>
      <c r="E382" s="16"/>
      <c r="F382" s="16"/>
      <c r="G382" s="16"/>
      <c r="H382" s="16"/>
      <c r="I382" s="16"/>
      <c r="J382" s="16"/>
      <c r="K382" s="16"/>
      <c r="L382" s="16"/>
      <c r="M382" s="16"/>
      <c r="N382" s="16"/>
      <c r="O382" s="16"/>
      <c r="P382" s="16"/>
      <c r="Q382" s="462"/>
      <c r="R382" s="463"/>
      <c r="S382" s="463"/>
      <c r="T382" s="463"/>
      <c r="U382" s="463"/>
      <c r="V382" s="462"/>
      <c r="W382" s="463"/>
      <c r="X382" s="463"/>
      <c r="Y382" s="463"/>
      <c r="Z382" s="463"/>
      <c r="AA382" s="462"/>
      <c r="AB382" s="463"/>
      <c r="AC382" s="463"/>
      <c r="AD382" s="463"/>
      <c r="AE382" s="463"/>
      <c r="AF382" s="462"/>
      <c r="AG382" s="463"/>
      <c r="AH382" s="463"/>
      <c r="AI382" s="463"/>
      <c r="AJ382" s="463"/>
      <c r="AK382" s="462"/>
      <c r="AL382" s="463"/>
      <c r="AM382" s="463"/>
      <c r="AN382" s="463"/>
      <c r="AO382" s="463"/>
      <c r="AP382" s="462"/>
      <c r="AQ382" s="463"/>
      <c r="AR382" s="463"/>
      <c r="AS382" s="463"/>
      <c r="AT382" s="463"/>
      <c r="AU382" s="665"/>
      <c r="AV382" s="45"/>
      <c r="AW382" s="463"/>
      <c r="AX382" s="463"/>
      <c r="AY382" s="463"/>
      <c r="AZ382" s="463"/>
      <c r="BA382" s="462"/>
      <c r="BB382" s="665"/>
      <c r="BC382" s="463"/>
      <c r="BD382" s="463"/>
      <c r="BE382" s="463"/>
      <c r="BF382" s="462"/>
      <c r="BG382" s="773"/>
      <c r="BH382" s="463"/>
      <c r="BI382" s="463"/>
      <c r="BJ382" s="463"/>
      <c r="BK382" s="462"/>
      <c r="BL382" s="841"/>
      <c r="BM382" s="841"/>
      <c r="BN382" s="841"/>
      <c r="BO382" s="463"/>
      <c r="BP382" s="462"/>
      <c r="BQ382" s="22">
        <v>0.02</v>
      </c>
      <c r="BR382" s="22">
        <v>0.03</v>
      </c>
      <c r="BS382" s="130">
        <v>0.03</v>
      </c>
      <c r="BT382" s="130">
        <v>0.08</v>
      </c>
      <c r="BU382" s="462"/>
      <c r="BV382" s="1196">
        <v>0.02</v>
      </c>
      <c r="BW382" s="1196">
        <v>0.03</v>
      </c>
      <c r="BX382" s="1196">
        <v>0.03</v>
      </c>
      <c r="BY382" s="1196">
        <v>0.08</v>
      </c>
      <c r="BZ382" s="462"/>
      <c r="CA382" s="130">
        <v>0.05</v>
      </c>
      <c r="CB382" s="130">
        <v>0.02</v>
      </c>
      <c r="CC382" s="130">
        <v>0.02</v>
      </c>
      <c r="CD382" s="130">
        <v>0.02</v>
      </c>
      <c r="CE382" s="462"/>
      <c r="CF382" s="130">
        <v>0.02</v>
      </c>
      <c r="CG382" s="130">
        <v>0.02</v>
      </c>
      <c r="CH382" s="130">
        <v>0.02</v>
      </c>
      <c r="CI382" s="130">
        <v>0.02</v>
      </c>
      <c r="CJ382" s="462"/>
      <c r="CK382" s="22">
        <f>CK381/CI381-1</f>
        <v>5.7108788316895254E-2</v>
      </c>
      <c r="CL382" s="130">
        <v>0.02</v>
      </c>
      <c r="CM382" s="130">
        <v>0.02</v>
      </c>
      <c r="CN382" s="130">
        <v>0.02</v>
      </c>
      <c r="CO382" s="462"/>
      <c r="CP382" s="130">
        <v>0.02</v>
      </c>
      <c r="CQ382" s="130">
        <v>0.02</v>
      </c>
      <c r="CR382" s="130">
        <v>0.02</v>
      </c>
      <c r="CS382" s="130">
        <v>0.02</v>
      </c>
      <c r="CT382" s="462"/>
      <c r="CU382" s="130">
        <v>0.02</v>
      </c>
      <c r="CV382" s="130">
        <v>0.02</v>
      </c>
      <c r="CW382" s="130">
        <v>0.02</v>
      </c>
      <c r="CX382" s="130">
        <v>0.02</v>
      </c>
      <c r="CY382" s="462"/>
      <c r="CZ382" s="130">
        <v>0.02</v>
      </c>
      <c r="DA382" s="130">
        <v>0.02</v>
      </c>
      <c r="DB382" s="130">
        <v>0.02</v>
      </c>
      <c r="DC382" s="130">
        <v>0.02</v>
      </c>
      <c r="DD382" s="462"/>
      <c r="DE382" s="130">
        <v>0.02</v>
      </c>
      <c r="DF382" s="130">
        <v>0.02</v>
      </c>
      <c r="DG382" s="130">
        <v>0.02</v>
      </c>
      <c r="DH382" s="130">
        <v>0.02</v>
      </c>
      <c r="DI382" s="462"/>
      <c r="DJ382" s="130">
        <v>0.02</v>
      </c>
      <c r="DK382" s="130">
        <v>0.02</v>
      </c>
      <c r="DL382" s="130">
        <v>0.02</v>
      </c>
      <c r="DM382" s="130">
        <v>0.02</v>
      </c>
      <c r="DN382" s="462"/>
      <c r="DO382" s="130">
        <v>0.02</v>
      </c>
      <c r="DP382" s="130">
        <v>0.02</v>
      </c>
      <c r="DQ382" s="130">
        <v>0.02</v>
      </c>
      <c r="DR382" s="130">
        <v>0.02</v>
      </c>
      <c r="DS382" s="462"/>
      <c r="DT382" s="130">
        <v>0.02</v>
      </c>
      <c r="DU382" s="130">
        <v>0.02</v>
      </c>
      <c r="DV382" s="130">
        <v>0.02</v>
      </c>
      <c r="DW382" s="130">
        <v>0.02</v>
      </c>
      <c r="DX382" s="462"/>
      <c r="DY382" s="130">
        <v>0.02</v>
      </c>
      <c r="DZ382" s="130">
        <v>0.02</v>
      </c>
      <c r="EA382" s="130">
        <v>0.02</v>
      </c>
      <c r="EB382" s="130">
        <v>0.02</v>
      </c>
      <c r="EC382" s="462"/>
      <c r="ED382" s="16"/>
      <c r="EE382" s="16"/>
      <c r="EF382" s="16"/>
      <c r="EG382" s="16"/>
      <c r="EH382" s="16"/>
      <c r="EI382" s="16"/>
      <c r="EJ382" s="16"/>
      <c r="EK382" s="16"/>
      <c r="EL382" s="16"/>
      <c r="EM382" s="16"/>
      <c r="EN382" s="16"/>
      <c r="EO382" s="16"/>
      <c r="EP382" s="16"/>
      <c r="EQ382" s="16"/>
      <c r="ER382" s="16"/>
      <c r="ES382" s="16"/>
      <c r="ET382" s="16"/>
      <c r="EU382" s="16"/>
      <c r="EX382" s="16"/>
      <c r="EY382" s="228"/>
      <c r="EZ382" s="945"/>
      <c r="FA382" s="477"/>
      <c r="FB382" s="228"/>
      <c r="FC382" s="477"/>
      <c r="FD382" s="16"/>
    </row>
    <row r="383" spans="1:166" x14ac:dyDescent="0.2">
      <c r="A383" s="490" t="s">
        <v>532</v>
      </c>
      <c r="B383" s="16"/>
      <c r="C383" s="16"/>
      <c r="D383" s="16"/>
      <c r="E383" s="16"/>
      <c r="F383" s="16"/>
      <c r="G383" s="16"/>
      <c r="H383" s="16"/>
      <c r="I383" s="16"/>
      <c r="J383" s="16"/>
      <c r="K383" s="16"/>
      <c r="L383" s="16"/>
      <c r="M383" s="16"/>
      <c r="N383" s="16"/>
      <c r="O383" s="16"/>
      <c r="P383" s="16"/>
      <c r="Q383" s="273"/>
      <c r="R383" s="17"/>
      <c r="S383" s="17"/>
      <c r="T383" s="17"/>
      <c r="U383" s="17"/>
      <c r="V383" s="273"/>
      <c r="W383" s="17"/>
      <c r="X383" s="17"/>
      <c r="Y383" s="17"/>
      <c r="Z383" s="17"/>
      <c r="AA383" s="273"/>
      <c r="AB383" s="17"/>
      <c r="AC383" s="17"/>
      <c r="AD383" s="17"/>
      <c r="AE383" s="17"/>
      <c r="AF383" s="273"/>
      <c r="AG383" s="17"/>
      <c r="AH383" s="17"/>
      <c r="AI383" s="17"/>
      <c r="AJ383" s="17"/>
      <c r="AK383" s="273"/>
      <c r="AL383" s="17"/>
      <c r="AM383" s="17"/>
      <c r="AN383" s="17"/>
      <c r="AO383" s="17"/>
      <c r="AP383" s="273"/>
      <c r="AQ383" s="17"/>
      <c r="AR383" s="17"/>
      <c r="AS383" s="17"/>
      <c r="AT383" s="17"/>
      <c r="AU383" s="94"/>
      <c r="AV383" s="45"/>
      <c r="AW383" s="17"/>
      <c r="AX383" s="17"/>
      <c r="AY383" s="17"/>
      <c r="AZ383" s="17"/>
      <c r="BA383" s="273"/>
      <c r="BB383" s="94"/>
      <c r="BC383" s="17"/>
      <c r="BD383" s="17"/>
      <c r="BE383" s="17"/>
      <c r="BF383" s="273"/>
      <c r="BG383" s="17"/>
      <c r="BH383" s="17"/>
      <c r="BI383" s="17"/>
      <c r="BJ383" s="17"/>
      <c r="BK383" s="273"/>
      <c r="BL383" s="17">
        <v>0</v>
      </c>
      <c r="BM383" s="17">
        <v>0</v>
      </c>
      <c r="BN383" s="17">
        <v>0</v>
      </c>
      <c r="BO383" s="77">
        <v>0.34284300000000001</v>
      </c>
      <c r="BP383" s="40">
        <f>SUM(BL383:BO383)</f>
        <v>0.34284300000000001</v>
      </c>
      <c r="BQ383" s="464">
        <v>0</v>
      </c>
      <c r="BR383" s="464">
        <v>0</v>
      </c>
      <c r="BS383" s="464">
        <v>0</v>
      </c>
      <c r="BT383" s="849">
        <v>0</v>
      </c>
      <c r="BU383" s="40">
        <f>SUM(BQ383:BT383)</f>
        <v>0</v>
      </c>
      <c r="BV383" s="1323">
        <v>0</v>
      </c>
      <c r="BW383" s="1323">
        <v>0</v>
      </c>
      <c r="BX383" s="1323">
        <v>0</v>
      </c>
      <c r="BY383" s="1323">
        <v>0</v>
      </c>
      <c r="BZ383" s="40">
        <f>SUM(BV383:BY383)</f>
        <v>0</v>
      </c>
      <c r="CA383" s="849">
        <v>0</v>
      </c>
      <c r="CB383" s="849">
        <v>0</v>
      </c>
      <c r="CC383" s="849">
        <v>0</v>
      </c>
      <c r="CD383" s="849">
        <v>0</v>
      </c>
      <c r="CE383" s="40">
        <f>SUM(CA383:CD383)</f>
        <v>0</v>
      </c>
      <c r="CF383" s="849">
        <v>0</v>
      </c>
      <c r="CG383" s="849">
        <v>0.5</v>
      </c>
      <c r="CH383" s="849">
        <v>0.5</v>
      </c>
      <c r="CI383" s="849">
        <v>0.5</v>
      </c>
      <c r="CJ383" s="40">
        <f>SUM(CF383:CI383)</f>
        <v>1.5</v>
      </c>
      <c r="CK383" s="1323">
        <f>CF383*1.08</f>
        <v>0</v>
      </c>
      <c r="CL383" s="849">
        <f>CG383*1.08</f>
        <v>0.54</v>
      </c>
      <c r="CM383" s="849">
        <f>CH383*1.08</f>
        <v>0.54</v>
      </c>
      <c r="CN383" s="849">
        <f>CI383*1.08</f>
        <v>0.54</v>
      </c>
      <c r="CO383" s="40">
        <f>SUM(CK383:CN383)</f>
        <v>1.62</v>
      </c>
      <c r="CP383" s="849">
        <f>CK383*1.08</f>
        <v>0</v>
      </c>
      <c r="CQ383" s="849">
        <f>CL383*1.08</f>
        <v>0.58320000000000005</v>
      </c>
      <c r="CR383" s="849">
        <f>CM383*1.08</f>
        <v>0.58320000000000005</v>
      </c>
      <c r="CS383" s="849">
        <f>CN383*1.08</f>
        <v>0.58320000000000005</v>
      </c>
      <c r="CT383" s="40">
        <f>SUM(CP383:CS383)</f>
        <v>1.7496</v>
      </c>
      <c r="CU383" s="849">
        <f>CP383*1.08</f>
        <v>0</v>
      </c>
      <c r="CV383" s="849">
        <f>CQ383*1.08</f>
        <v>0.62985600000000008</v>
      </c>
      <c r="CW383" s="849">
        <f>CR383*1.08</f>
        <v>0.62985600000000008</v>
      </c>
      <c r="CX383" s="849">
        <f>CS383*1.08</f>
        <v>0.62985600000000008</v>
      </c>
      <c r="CY383" s="40">
        <f>SUM(CU383:CX383)</f>
        <v>1.8895680000000001</v>
      </c>
      <c r="CZ383" s="849">
        <f>CU383*1.08</f>
        <v>0</v>
      </c>
      <c r="DA383" s="849">
        <f>CV383*1.08</f>
        <v>0.68024448000000015</v>
      </c>
      <c r="DB383" s="849">
        <f>CW383*1.08</f>
        <v>0.68024448000000015</v>
      </c>
      <c r="DC383" s="849">
        <f>CX383*1.08</f>
        <v>0.68024448000000015</v>
      </c>
      <c r="DD383" s="40">
        <f>SUM(CZ383:DC383)</f>
        <v>2.0407334400000003</v>
      </c>
      <c r="DE383" s="849">
        <f>CZ383*1.08</f>
        <v>0</v>
      </c>
      <c r="DF383" s="849">
        <f>DA383*1.08</f>
        <v>0.73466403840000016</v>
      </c>
      <c r="DG383" s="849">
        <f>DB383*1.08</f>
        <v>0.73466403840000016</v>
      </c>
      <c r="DH383" s="849">
        <f>DC383*1.08</f>
        <v>0.73466403840000016</v>
      </c>
      <c r="DI383" s="40">
        <f>SUM(DE383:DH383)</f>
        <v>2.2039921152000006</v>
      </c>
      <c r="DJ383" s="849">
        <f>DE383*1.08</f>
        <v>0</v>
      </c>
      <c r="DK383" s="849">
        <f>DF383*1.08</f>
        <v>0.79343716147200027</v>
      </c>
      <c r="DL383" s="849">
        <f>DG383*1.08</f>
        <v>0.79343716147200027</v>
      </c>
      <c r="DM383" s="849">
        <f>DH383*1.08</f>
        <v>0.79343716147200027</v>
      </c>
      <c r="DN383" s="40">
        <f>SUM(DJ383:DM383)</f>
        <v>2.3803114844160009</v>
      </c>
      <c r="DO383" s="849">
        <f>DJ383*1.08</f>
        <v>0</v>
      </c>
      <c r="DP383" s="849">
        <f>DK383*1.08</f>
        <v>0.85691213438976033</v>
      </c>
      <c r="DQ383" s="849">
        <f>DL383*1.08</f>
        <v>0.85691213438976033</v>
      </c>
      <c r="DR383" s="849">
        <f>DM383*1.08</f>
        <v>0.85691213438976033</v>
      </c>
      <c r="DS383" s="40">
        <f>SUM(DO383:DR383)</f>
        <v>2.5707364031692812</v>
      </c>
      <c r="DT383" s="849">
        <f>DO383*1.08</f>
        <v>0</v>
      </c>
      <c r="DU383" s="849">
        <f>DP383*1.08</f>
        <v>0.92546510514094127</v>
      </c>
      <c r="DV383" s="849">
        <f>DQ383*1.08</f>
        <v>0.92546510514094127</v>
      </c>
      <c r="DW383" s="849">
        <f>DR383*1.08</f>
        <v>0.92546510514094127</v>
      </c>
      <c r="DX383" s="40">
        <f>SUM(DT383:DW383)</f>
        <v>2.7763953154228238</v>
      </c>
      <c r="DY383" s="849">
        <f>DT383*1.08</f>
        <v>0</v>
      </c>
      <c r="DZ383" s="849">
        <f>DU383*1.08</f>
        <v>0.99950231355221664</v>
      </c>
      <c r="EA383" s="849">
        <f>DV383*1.08</f>
        <v>0.99950231355221664</v>
      </c>
      <c r="EB383" s="849">
        <f>DW383*1.08</f>
        <v>0.99950231355221664</v>
      </c>
      <c r="EC383" s="40">
        <f>SUM(DY383:EB383)</f>
        <v>2.9985069406566498</v>
      </c>
      <c r="ED383" s="16"/>
      <c r="EE383" s="16"/>
      <c r="EF383" s="16"/>
      <c r="EG383" s="16"/>
      <c r="EH383" s="16"/>
      <c r="EI383" s="16"/>
      <c r="EJ383" s="16"/>
      <c r="EK383" s="16"/>
      <c r="EL383" s="16"/>
      <c r="EM383" s="16"/>
      <c r="EN383" s="16"/>
      <c r="EO383" s="16"/>
      <c r="EP383" s="16"/>
      <c r="EQ383" s="16"/>
      <c r="ER383" s="16"/>
      <c r="ES383" s="16"/>
      <c r="ET383" s="16"/>
      <c r="EU383" s="16"/>
      <c r="EX383" s="16"/>
      <c r="EY383" s="228"/>
      <c r="EZ383" s="945"/>
      <c r="FA383" s="477"/>
      <c r="FB383" s="228"/>
      <c r="FC383" s="477"/>
      <c r="FD383" s="16"/>
    </row>
    <row r="384" spans="1:166" x14ac:dyDescent="0.2">
      <c r="A384" s="490" t="s">
        <v>570</v>
      </c>
      <c r="B384" s="16"/>
      <c r="C384" s="16"/>
      <c r="D384" s="16"/>
      <c r="E384" s="16"/>
      <c r="F384" s="16"/>
      <c r="G384" s="16"/>
      <c r="H384" s="16"/>
      <c r="I384" s="16"/>
      <c r="J384" s="16"/>
      <c r="K384" s="16"/>
      <c r="L384" s="16"/>
      <c r="M384" s="16"/>
      <c r="N384" s="16"/>
      <c r="O384" s="16"/>
      <c r="P384" s="16"/>
      <c r="Q384" s="462"/>
      <c r="R384" s="463"/>
      <c r="S384" s="463"/>
      <c r="T384" s="463"/>
      <c r="U384" s="463"/>
      <c r="V384" s="462"/>
      <c r="W384" s="463"/>
      <c r="X384" s="463"/>
      <c r="Y384" s="463"/>
      <c r="Z384" s="463"/>
      <c r="AA384" s="462"/>
      <c r="AB384" s="463"/>
      <c r="AC384" s="463"/>
      <c r="AD384" s="463"/>
      <c r="AE384" s="463"/>
      <c r="AF384" s="462"/>
      <c r="AG384" s="463"/>
      <c r="AH384" s="463"/>
      <c r="AI384" s="463"/>
      <c r="AJ384" s="463"/>
      <c r="AK384" s="462"/>
      <c r="AL384" s="463"/>
      <c r="AM384" s="463"/>
      <c r="AN384" s="463"/>
      <c r="AO384" s="463"/>
      <c r="AP384" s="462"/>
      <c r="AQ384" s="298"/>
      <c r="AR384" s="298"/>
      <c r="AS384" s="298"/>
      <c r="AT384" s="298"/>
      <c r="AU384" s="665"/>
      <c r="AV384" s="45"/>
      <c r="AW384" s="298"/>
      <c r="AX384" s="298"/>
      <c r="AY384" s="298"/>
      <c r="AZ384" s="298"/>
      <c r="BA384" s="649"/>
      <c r="BB384" s="666"/>
      <c r="BC384" s="298"/>
      <c r="BD384" s="298"/>
      <c r="BE384" s="298"/>
      <c r="BF384" s="649"/>
      <c r="BG384" s="298"/>
      <c r="BH384" s="298"/>
      <c r="BI384" s="298"/>
      <c r="BJ384" s="298"/>
      <c r="BK384" s="649"/>
      <c r="BL384" s="846">
        <f>'CF '!BL63+'CF '!BL64</f>
        <v>1.2</v>
      </c>
      <c r="BM384" s="846">
        <f>'CF '!BM63+'CF '!BM64</f>
        <v>1.3</v>
      </c>
      <c r="BN384" s="846">
        <f>'CF '!BN63+'CF '!BN64</f>
        <v>0.20000000000000018</v>
      </c>
      <c r="BO384" s="846">
        <f>'CF '!BO63+'CF '!BO64</f>
        <v>3.3</v>
      </c>
      <c r="BP384" s="847">
        <f>SUM(BL384:BO384)</f>
        <v>6</v>
      </c>
      <c r="BQ384" s="846">
        <f>'CF '!BQ63+'CF '!BQ64</f>
        <v>0</v>
      </c>
      <c r="BR384" s="846">
        <f>'CF '!BR63+'CF '!BR64</f>
        <v>0</v>
      </c>
      <c r="BS384" s="846">
        <f>'CF '!BS63+'CF '!BS64</f>
        <v>0.1</v>
      </c>
      <c r="BT384" s="846">
        <v>1</v>
      </c>
      <c r="BU384" s="847">
        <f>SUM(BQ384:BT384)</f>
        <v>1.1000000000000001</v>
      </c>
      <c r="BV384" s="1321">
        <f>'CF '!BV63+'CF '!BV64</f>
        <v>0.4</v>
      </c>
      <c r="BW384" s="1321">
        <f>'CF '!BW63+'CF '!BW64</f>
        <v>1.2000000000000002</v>
      </c>
      <c r="BX384" s="1321">
        <f>'CF '!BX63+'CF '!BX64</f>
        <v>0</v>
      </c>
      <c r="BY384" s="1321">
        <v>1</v>
      </c>
      <c r="BZ384" s="847">
        <f>SUM(BV384:BY384)</f>
        <v>2.6</v>
      </c>
      <c r="CA384" s="846">
        <f>CA385*CA386</f>
        <v>0</v>
      </c>
      <c r="CB384" s="846">
        <v>1</v>
      </c>
      <c r="CC384" s="846">
        <v>1</v>
      </c>
      <c r="CD384" s="846">
        <v>1</v>
      </c>
      <c r="CE384" s="847">
        <f>SUM(CA384:CD384)</f>
        <v>3</v>
      </c>
      <c r="CF384" s="846">
        <f>CF385*CF386</f>
        <v>0</v>
      </c>
      <c r="CG384" s="846">
        <v>1</v>
      </c>
      <c r="CH384" s="846">
        <v>1</v>
      </c>
      <c r="CI384" s="846">
        <v>1</v>
      </c>
      <c r="CJ384" s="847">
        <f>SUM(CF384:CI384)</f>
        <v>3</v>
      </c>
      <c r="CK384" s="1321">
        <f>CK385*CK386</f>
        <v>0</v>
      </c>
      <c r="CL384" s="846">
        <v>1</v>
      </c>
      <c r="CM384" s="846">
        <v>1</v>
      </c>
      <c r="CN384" s="846">
        <v>1</v>
      </c>
      <c r="CO384" s="847">
        <f>SUM(CK384:CN384)</f>
        <v>3</v>
      </c>
      <c r="CP384" s="846">
        <f>CP385*CP386</f>
        <v>0</v>
      </c>
      <c r="CQ384" s="846">
        <v>1</v>
      </c>
      <c r="CR384" s="846">
        <v>1</v>
      </c>
      <c r="CS384" s="846">
        <v>1</v>
      </c>
      <c r="CT384" s="847">
        <f>SUM(CP384:CS384)</f>
        <v>3</v>
      </c>
      <c r="CU384" s="846">
        <f>CU385*CU386</f>
        <v>0</v>
      </c>
      <c r="CV384" s="846">
        <v>1</v>
      </c>
      <c r="CW384" s="846">
        <v>1</v>
      </c>
      <c r="CX384" s="846">
        <v>1</v>
      </c>
      <c r="CY384" s="847">
        <f>SUM(CU384:CX384)</f>
        <v>3</v>
      </c>
      <c r="CZ384" s="846">
        <f>CZ385*CZ386</f>
        <v>0</v>
      </c>
      <c r="DA384" s="846">
        <v>1</v>
      </c>
      <c r="DB384" s="846">
        <v>1</v>
      </c>
      <c r="DC384" s="846">
        <v>1</v>
      </c>
      <c r="DD384" s="847">
        <f>SUM(CZ384:DC384)</f>
        <v>3</v>
      </c>
      <c r="DE384" s="846">
        <f>DE385*DE386</f>
        <v>0</v>
      </c>
      <c r="DF384" s="846">
        <v>1</v>
      </c>
      <c r="DG384" s="846">
        <v>1</v>
      </c>
      <c r="DH384" s="846">
        <v>1</v>
      </c>
      <c r="DI384" s="847">
        <f>SUM(DE384:DH384)</f>
        <v>3</v>
      </c>
      <c r="DJ384" s="846">
        <f>DJ385*DJ386</f>
        <v>0</v>
      </c>
      <c r="DK384" s="846">
        <v>1</v>
      </c>
      <c r="DL384" s="846">
        <v>1</v>
      </c>
      <c r="DM384" s="846">
        <v>1</v>
      </c>
      <c r="DN384" s="847">
        <f>SUM(DJ384:DM384)</f>
        <v>3</v>
      </c>
      <c r="DO384" s="846">
        <f>DO385*DO386</f>
        <v>0</v>
      </c>
      <c r="DP384" s="846">
        <v>1</v>
      </c>
      <c r="DQ384" s="846">
        <v>1</v>
      </c>
      <c r="DR384" s="846">
        <v>1</v>
      </c>
      <c r="DS384" s="847">
        <f>SUM(DO384:DR384)</f>
        <v>3</v>
      </c>
      <c r="DT384" s="846">
        <f>DT385*DT386</f>
        <v>0</v>
      </c>
      <c r="DU384" s="846">
        <v>1</v>
      </c>
      <c r="DV384" s="846">
        <v>1</v>
      </c>
      <c r="DW384" s="846">
        <v>1</v>
      </c>
      <c r="DX384" s="847">
        <f>SUM(DT384:DW384)</f>
        <v>3</v>
      </c>
      <c r="DY384" s="846">
        <f>DY385*DY386</f>
        <v>0</v>
      </c>
      <c r="DZ384" s="846">
        <v>1</v>
      </c>
      <c r="EA384" s="846">
        <v>1</v>
      </c>
      <c r="EB384" s="846">
        <v>1</v>
      </c>
      <c r="EC384" s="847">
        <f>SUM(DY384:EB384)</f>
        <v>3</v>
      </c>
      <c r="ED384" s="16"/>
      <c r="EE384" s="16"/>
      <c r="EF384" s="16"/>
      <c r="EG384" s="16"/>
      <c r="EH384" s="16"/>
      <c r="EI384" s="16"/>
      <c r="EJ384" s="16"/>
      <c r="EK384" s="16"/>
      <c r="EL384" s="16"/>
      <c r="EM384" s="16"/>
      <c r="EN384" s="16"/>
      <c r="EO384" s="16"/>
      <c r="EP384" s="16"/>
      <c r="EQ384" s="16"/>
      <c r="ER384" s="16"/>
      <c r="ES384" s="16"/>
      <c r="ET384" s="16"/>
      <c r="EU384" s="16"/>
      <c r="EX384" s="16"/>
      <c r="EY384" s="228"/>
      <c r="EZ384" s="945"/>
      <c r="FA384" s="477"/>
      <c r="FB384" s="228"/>
      <c r="FC384" s="477"/>
      <c r="FD384" s="16"/>
    </row>
    <row r="385" spans="1:166" x14ac:dyDescent="0.2">
      <c r="A385" s="490" t="s">
        <v>285</v>
      </c>
      <c r="B385" s="16"/>
      <c r="C385" s="16"/>
      <c r="D385" s="16"/>
      <c r="E385" s="16"/>
      <c r="F385" s="16"/>
      <c r="G385" s="16"/>
      <c r="H385" s="16"/>
      <c r="I385" s="16"/>
      <c r="J385" s="16"/>
      <c r="K385" s="16"/>
      <c r="L385" s="16"/>
      <c r="M385" s="16"/>
      <c r="N385" s="16"/>
      <c r="O385" s="16"/>
      <c r="P385" s="16"/>
      <c r="Q385" s="462"/>
      <c r="R385" s="463"/>
      <c r="S385" s="463"/>
      <c r="T385" s="463"/>
      <c r="U385" s="463"/>
      <c r="V385" s="462"/>
      <c r="W385" s="463"/>
      <c r="X385" s="463"/>
      <c r="Y385" s="463"/>
      <c r="Z385" s="463"/>
      <c r="AA385" s="462"/>
      <c r="AB385" s="463"/>
      <c r="AC385" s="463"/>
      <c r="AD385" s="463"/>
      <c r="AE385" s="463"/>
      <c r="AF385" s="462"/>
      <c r="AG385" s="463"/>
      <c r="AH385" s="463"/>
      <c r="AI385" s="463"/>
      <c r="AJ385" s="463"/>
      <c r="AK385" s="462"/>
      <c r="AL385" s="463"/>
      <c r="AM385" s="463"/>
      <c r="AN385" s="463"/>
      <c r="AO385" s="463"/>
      <c r="AP385" s="462"/>
      <c r="AQ385" s="298"/>
      <c r="AR385" s="298"/>
      <c r="AS385" s="298"/>
      <c r="AT385" s="298"/>
      <c r="AU385" s="665"/>
      <c r="AV385" s="45"/>
      <c r="AW385" s="298"/>
      <c r="AX385" s="298"/>
      <c r="AY385" s="298"/>
      <c r="AZ385" s="298"/>
      <c r="BA385" s="649"/>
      <c r="BB385" s="666"/>
      <c r="BC385" s="298"/>
      <c r="BD385" s="298"/>
      <c r="BE385" s="298"/>
      <c r="BF385" s="649"/>
      <c r="BG385" s="298"/>
      <c r="BH385" s="298"/>
      <c r="BI385" s="298"/>
      <c r="BJ385" s="298"/>
      <c r="BK385" s="649"/>
      <c r="BL385" s="845">
        <f>BL384/BL386</f>
        <v>0.16827839978460266</v>
      </c>
      <c r="BM385" s="845">
        <f>BM384/BM386</f>
        <v>-0.21225695761979529</v>
      </c>
      <c r="BN385" s="845" t="str">
        <f>IF(BN384/BN386&lt;0,"",BN384/BN386)</f>
        <v/>
      </c>
      <c r="BO385" s="845">
        <f>IF(BO384/BO386&lt;0,"",BO384/BO386)</f>
        <v>14.427995557924893</v>
      </c>
      <c r="BP385" s="462">
        <f>BP381/BP384</f>
        <v>3.5487574973578773</v>
      </c>
      <c r="BQ385" s="463"/>
      <c r="BR385" s="463">
        <f>BR381/3</f>
        <v>9</v>
      </c>
      <c r="BS385" s="463">
        <f>BS381/3</f>
        <v>9.2700000000000014</v>
      </c>
      <c r="BT385" s="773">
        <f>BT381/3</f>
        <v>10.011600000000001</v>
      </c>
      <c r="BU385" s="462"/>
      <c r="BV385" s="1192"/>
      <c r="BW385" s="1192">
        <f>BW381/3</f>
        <v>9</v>
      </c>
      <c r="BX385" s="1192">
        <f>BX381/3</f>
        <v>9.2700000000000014</v>
      </c>
      <c r="BY385" s="1192">
        <f>BY381/3</f>
        <v>10.011600000000001</v>
      </c>
      <c r="BZ385" s="462"/>
      <c r="CA385" s="773">
        <f>CA381/3</f>
        <v>14</v>
      </c>
      <c r="CB385" s="773">
        <f>CB381/3</f>
        <v>14.280000000000001</v>
      </c>
      <c r="CC385" s="773">
        <f>CC381/3</f>
        <v>14.565600000000002</v>
      </c>
      <c r="CD385" s="773">
        <f>CD381/3</f>
        <v>14.856912000000001</v>
      </c>
      <c r="CE385" s="462">
        <f>CE381/CE384</f>
        <v>0</v>
      </c>
      <c r="CF385" s="773">
        <f>CF381/3</f>
        <v>15.154050240000002</v>
      </c>
      <c r="CG385" s="773">
        <f>CG381/3</f>
        <v>15.457131244800001</v>
      </c>
      <c r="CH385" s="773">
        <f>CH381/3</f>
        <v>15.766273869696001</v>
      </c>
      <c r="CI385" s="773">
        <f>CI381/3</f>
        <v>16.08159934708992</v>
      </c>
      <c r="CJ385" s="462">
        <f>CJ381/CJ384</f>
        <v>0</v>
      </c>
      <c r="CK385" s="1192">
        <f>CK381/3</f>
        <v>17</v>
      </c>
      <c r="CL385" s="773">
        <f>CL381/3</f>
        <v>17.34</v>
      </c>
      <c r="CM385" s="773">
        <f>CM381/3</f>
        <v>17.686800000000002</v>
      </c>
      <c r="CN385" s="773">
        <f>CN381/3</f>
        <v>18.040535999999999</v>
      </c>
      <c r="CO385" s="462">
        <f>CO381/CO384</f>
        <v>0</v>
      </c>
      <c r="CP385" s="773">
        <f>CP381/3</f>
        <v>18.401346720000003</v>
      </c>
      <c r="CQ385" s="773">
        <f>CQ381/3</f>
        <v>18.769373654400002</v>
      </c>
      <c r="CR385" s="773">
        <f>CR381/3</f>
        <v>19.144761127488</v>
      </c>
      <c r="CS385" s="773">
        <f>CS381/3</f>
        <v>19.527656350037763</v>
      </c>
      <c r="CT385" s="462">
        <f>CT381/CT384</f>
        <v>0</v>
      </c>
      <c r="CU385" s="773">
        <f>CU381/3</f>
        <v>19.918209477038516</v>
      </c>
      <c r="CV385" s="773">
        <f>CV381/3</f>
        <v>20.316573666579288</v>
      </c>
      <c r="CW385" s="773">
        <f>CW381/3</f>
        <v>20.722905139910875</v>
      </c>
      <c r="CX385" s="773">
        <f>CX381/3</f>
        <v>21.137363242709093</v>
      </c>
      <c r="CY385" s="462">
        <f>CY381/CY384</f>
        <v>0</v>
      </c>
      <c r="CZ385" s="773">
        <f>CZ381/3</f>
        <v>21.560110507563277</v>
      </c>
      <c r="DA385" s="773">
        <f>DA381/3</f>
        <v>21.991312717714539</v>
      </c>
      <c r="DB385" s="773">
        <f>DB381/3</f>
        <v>22.431138972068833</v>
      </c>
      <c r="DC385" s="773">
        <f>DC381/3</f>
        <v>22.879761751510213</v>
      </c>
      <c r="DD385" s="462">
        <f>DD381/DD384</f>
        <v>0</v>
      </c>
      <c r="DE385" s="773">
        <f>DE381/3</f>
        <v>23.337356986540417</v>
      </c>
      <c r="DF385" s="773">
        <f>DF381/3</f>
        <v>23.804104126271227</v>
      </c>
      <c r="DG385" s="773">
        <f>DG381/3</f>
        <v>24.28018620879665</v>
      </c>
      <c r="DH385" s="773">
        <f>DH381/3</f>
        <v>24.765789932972584</v>
      </c>
      <c r="DI385" s="462">
        <f>DI381/DI384</f>
        <v>0</v>
      </c>
      <c r="DJ385" s="773">
        <f>DJ381/3</f>
        <v>25.261105731632039</v>
      </c>
      <c r="DK385" s="773">
        <f>DK381/3</f>
        <v>25.766327846264677</v>
      </c>
      <c r="DL385" s="773">
        <f>DL381/3</f>
        <v>26.281654403189972</v>
      </c>
      <c r="DM385" s="773">
        <f>DM381/3</f>
        <v>26.807287491253771</v>
      </c>
      <c r="DN385" s="462">
        <f>DN381/DN384</f>
        <v>0</v>
      </c>
      <c r="DO385" s="773">
        <f>DO381/3</f>
        <v>27.343433241078845</v>
      </c>
      <c r="DP385" s="773">
        <f>DP381/3</f>
        <v>27.890301905900426</v>
      </c>
      <c r="DQ385" s="773">
        <f>DQ381/3</f>
        <v>28.448107944018432</v>
      </c>
      <c r="DR385" s="773">
        <f>DR381/3</f>
        <v>29.017070102898799</v>
      </c>
      <c r="DS385" s="462">
        <f>DS381/DS384</f>
        <v>0</v>
      </c>
      <c r="DT385" s="773">
        <f>DT381/3</f>
        <v>29.597411504956778</v>
      </c>
      <c r="DU385" s="773">
        <f>DU381/3</f>
        <v>30.189359735055913</v>
      </c>
      <c r="DV385" s="773">
        <f>DV381/3</f>
        <v>30.793146929757029</v>
      </c>
      <c r="DW385" s="773">
        <f>DW381/3</f>
        <v>31.409009868352172</v>
      </c>
      <c r="DX385" s="462">
        <f>DX381/DX384</f>
        <v>0</v>
      </c>
      <c r="DY385" s="773">
        <f>DY381/3</f>
        <v>32.037190065719216</v>
      </c>
      <c r="DZ385" s="773">
        <f>DZ381/3</f>
        <v>32.677933867033602</v>
      </c>
      <c r="EA385" s="773">
        <f>EA381/3</f>
        <v>33.331492544374278</v>
      </c>
      <c r="EB385" s="773">
        <f>EB381/3</f>
        <v>33.99812239526176</v>
      </c>
      <c r="EC385" s="462">
        <f>EC381/EC384</f>
        <v>0</v>
      </c>
      <c r="ED385" s="16"/>
      <c r="EE385" s="16"/>
      <c r="EF385" s="16"/>
      <c r="EG385" s="16"/>
      <c r="EH385" s="16"/>
      <c r="EI385" s="16"/>
      <c r="EJ385" s="16"/>
      <c r="EK385" s="16"/>
      <c r="EL385" s="16"/>
      <c r="EM385" s="16"/>
      <c r="EN385" s="16"/>
      <c r="EO385" s="16"/>
      <c r="EP385" s="16"/>
      <c r="EQ385" s="16"/>
      <c r="ER385" s="16"/>
      <c r="ES385" s="16"/>
      <c r="ET385" s="16"/>
      <c r="EU385" s="16"/>
      <c r="EX385" s="16"/>
      <c r="EY385" s="228"/>
      <c r="EZ385" s="945"/>
      <c r="FA385" s="477"/>
      <c r="FB385" s="228"/>
      <c r="FC385" s="477"/>
      <c r="FD385" s="16"/>
    </row>
    <row r="386" spans="1:166" x14ac:dyDescent="0.2">
      <c r="A386" s="490" t="s">
        <v>515</v>
      </c>
      <c r="B386" s="16"/>
      <c r="C386" s="16"/>
      <c r="D386" s="16"/>
      <c r="E386" s="16"/>
      <c r="F386" s="16"/>
      <c r="G386" s="16"/>
      <c r="H386" s="16"/>
      <c r="I386" s="16"/>
      <c r="J386" s="16"/>
      <c r="K386" s="16"/>
      <c r="L386" s="16"/>
      <c r="M386" s="16"/>
      <c r="N386" s="16"/>
      <c r="O386" s="16"/>
      <c r="P386" s="16"/>
      <c r="Q386" s="85"/>
      <c r="R386" s="410"/>
      <c r="S386" s="410"/>
      <c r="T386" s="410"/>
      <c r="U386" s="410"/>
      <c r="V386" s="874"/>
      <c r="W386" s="466"/>
      <c r="X386" s="466"/>
      <c r="Y386" s="467"/>
      <c r="Z386" s="466"/>
      <c r="AA386" s="85"/>
      <c r="AB386" s="466"/>
      <c r="AC386" s="466"/>
      <c r="AD386" s="467"/>
      <c r="AE386" s="466"/>
      <c r="AF386" s="85"/>
      <c r="AG386" s="465"/>
      <c r="AH386" s="465"/>
      <c r="AI386" s="465"/>
      <c r="AJ386" s="465"/>
      <c r="AK386" s="85"/>
      <c r="AL386" s="465"/>
      <c r="AM386" s="465"/>
      <c r="AN386" s="465"/>
      <c r="AO386" s="465"/>
      <c r="AP386" s="85"/>
      <c r="AQ386" s="465"/>
      <c r="AR386" s="465"/>
      <c r="AS386" s="465"/>
      <c r="AT386" s="465"/>
      <c r="AU386" s="86"/>
      <c r="AV386" s="45"/>
      <c r="AW386" s="465"/>
      <c r="AX386" s="465"/>
      <c r="AY386" s="465"/>
      <c r="AZ386" s="465"/>
      <c r="BA386" s="85"/>
      <c r="BB386" s="86"/>
      <c r="BC386" s="465"/>
      <c r="BD386" s="465"/>
      <c r="BE386" s="465"/>
      <c r="BF386" s="85"/>
      <c r="BG386" s="465"/>
      <c r="BH386" s="465"/>
      <c r="BI386" s="465"/>
      <c r="BJ386" s="465"/>
      <c r="BK386" s="85"/>
      <c r="BL386" s="465">
        <f>BL392-BK392-BL383</f>
        <v>7.1310400000000413</v>
      </c>
      <c r="BM386" s="465">
        <f>BM392-BL392-BM383</f>
        <v>-6.124652000000026</v>
      </c>
      <c r="BN386" s="465">
        <f>BN392-BM392-BN383</f>
        <v>-6.0000000019044819E-5</v>
      </c>
      <c r="BO386" s="465">
        <f>BO392-BN392-BO383</f>
        <v>0.22872200000002096</v>
      </c>
      <c r="BP386" s="85">
        <f>SUM(BL386:BO386)</f>
        <v>1.2350500000000173</v>
      </c>
      <c r="BQ386" s="36">
        <f>BQ392-BP392-BQ383</f>
        <v>0.11884000000003425</v>
      </c>
      <c r="BR386" s="36">
        <f>BR392-BQ392-BR383</f>
        <v>0</v>
      </c>
      <c r="BS386" s="36">
        <f>BS392-BR392-BS383</f>
        <v>2.7568999999971311E-2</v>
      </c>
      <c r="BT386" s="848">
        <v>0.1</v>
      </c>
      <c r="BU386" s="85">
        <f>SUM(BQ386:BT386)</f>
        <v>0.24640900000000557</v>
      </c>
      <c r="BV386" s="1324">
        <f>BV392-BU392-BV383</f>
        <v>-0.12756899999999405</v>
      </c>
      <c r="BW386" s="1324">
        <f>BW392-BV392-BW383</f>
        <v>0</v>
      </c>
      <c r="BX386" s="1324">
        <f>BX392-BW392-BX383</f>
        <v>2.7568999999971311E-2</v>
      </c>
      <c r="BY386" s="1324">
        <v>0.1</v>
      </c>
      <c r="BZ386" s="85">
        <f>SUM(BV386:BY386)</f>
        <v>-2.273181642920008E-14</v>
      </c>
      <c r="CA386" s="848">
        <v>0</v>
      </c>
      <c r="CB386" s="848">
        <v>0</v>
      </c>
      <c r="CC386" s="848">
        <v>0.1</v>
      </c>
      <c r="CD386" s="848">
        <v>0</v>
      </c>
      <c r="CE386" s="85">
        <f>SUM(CA386:CD386)</f>
        <v>0.1</v>
      </c>
      <c r="CF386" s="848">
        <v>0</v>
      </c>
      <c r="CG386" s="848">
        <v>0</v>
      </c>
      <c r="CH386" s="848">
        <v>0</v>
      </c>
      <c r="CI386" s="848">
        <v>0</v>
      </c>
      <c r="CJ386" s="85">
        <f>SUM(CF386:CI386)</f>
        <v>0</v>
      </c>
      <c r="CK386" s="1323">
        <f>CF386*1.08</f>
        <v>0</v>
      </c>
      <c r="CL386" s="849">
        <f>CG386*1.08</f>
        <v>0</v>
      </c>
      <c r="CM386" s="849">
        <f>CH386*1.08</f>
        <v>0</v>
      </c>
      <c r="CN386" s="849">
        <f>CI386*1.08</f>
        <v>0</v>
      </c>
      <c r="CO386" s="85">
        <f>SUM(CK386:CN386)</f>
        <v>0</v>
      </c>
      <c r="CP386" s="849">
        <f>CK386*1.08</f>
        <v>0</v>
      </c>
      <c r="CQ386" s="849">
        <f>CL386*1.08</f>
        <v>0</v>
      </c>
      <c r="CR386" s="849">
        <f>CM386*1.08</f>
        <v>0</v>
      </c>
      <c r="CS386" s="849">
        <f>CN386*1.08</f>
        <v>0</v>
      </c>
      <c r="CT386" s="85">
        <f>SUM(CP386:CS386)</f>
        <v>0</v>
      </c>
      <c r="CU386" s="849">
        <f>CP386*1.08</f>
        <v>0</v>
      </c>
      <c r="CV386" s="849">
        <f>CQ386*1.08</f>
        <v>0</v>
      </c>
      <c r="CW386" s="849">
        <f>CR386*1.08</f>
        <v>0</v>
      </c>
      <c r="CX386" s="849">
        <f>CS386*1.08</f>
        <v>0</v>
      </c>
      <c r="CY386" s="85">
        <f>SUM(CU386:CX386)</f>
        <v>0</v>
      </c>
      <c r="CZ386" s="849">
        <f>CU386*1.08</f>
        <v>0</v>
      </c>
      <c r="DA386" s="849">
        <f>CV386*1.08</f>
        <v>0</v>
      </c>
      <c r="DB386" s="849">
        <f>CW386*1.08</f>
        <v>0</v>
      </c>
      <c r="DC386" s="849">
        <f>CX386*1.08</f>
        <v>0</v>
      </c>
      <c r="DD386" s="85">
        <f>SUM(CZ386:DC386)</f>
        <v>0</v>
      </c>
      <c r="DE386" s="849">
        <f>CZ386*1.08</f>
        <v>0</v>
      </c>
      <c r="DF386" s="849">
        <f>DA386*1.08</f>
        <v>0</v>
      </c>
      <c r="DG386" s="849">
        <f>DB386*1.08</f>
        <v>0</v>
      </c>
      <c r="DH386" s="849">
        <f>DC386*1.08</f>
        <v>0</v>
      </c>
      <c r="DI386" s="85">
        <f>SUM(DE386:DH386)</f>
        <v>0</v>
      </c>
      <c r="DJ386" s="849">
        <f>DE386*1.08</f>
        <v>0</v>
      </c>
      <c r="DK386" s="849">
        <f>DF386*1.08</f>
        <v>0</v>
      </c>
      <c r="DL386" s="849">
        <f>DG386*1.08</f>
        <v>0</v>
      </c>
      <c r="DM386" s="849">
        <f>DH386*1.08</f>
        <v>0</v>
      </c>
      <c r="DN386" s="85">
        <f>SUM(DJ386:DM386)</f>
        <v>0</v>
      </c>
      <c r="DO386" s="849">
        <f>DJ386*1.08</f>
        <v>0</v>
      </c>
      <c r="DP386" s="849">
        <f>DK386*1.08</f>
        <v>0</v>
      </c>
      <c r="DQ386" s="849">
        <f>DL386*1.08</f>
        <v>0</v>
      </c>
      <c r="DR386" s="849">
        <f>DM386*1.08</f>
        <v>0</v>
      </c>
      <c r="DS386" s="85">
        <f>SUM(DO386:DR386)</f>
        <v>0</v>
      </c>
      <c r="DT386" s="849">
        <f>DO386*1.08</f>
        <v>0</v>
      </c>
      <c r="DU386" s="849">
        <f>DP386*1.08</f>
        <v>0</v>
      </c>
      <c r="DV386" s="849">
        <f>DQ386*1.08</f>
        <v>0</v>
      </c>
      <c r="DW386" s="849">
        <f>DR386*1.08</f>
        <v>0</v>
      </c>
      <c r="DX386" s="85">
        <f>SUM(DT386:DW386)</f>
        <v>0</v>
      </c>
      <c r="DY386" s="849">
        <f>DT386*1.08</f>
        <v>0</v>
      </c>
      <c r="DZ386" s="849">
        <f>DU386*1.08</f>
        <v>0</v>
      </c>
      <c r="EA386" s="849">
        <f>DV386*1.08</f>
        <v>0</v>
      </c>
      <c r="EB386" s="849">
        <f>DW386*1.08</f>
        <v>0</v>
      </c>
      <c r="EC386" s="85">
        <f>SUM(DY386:EB386)</f>
        <v>0</v>
      </c>
      <c r="ED386" s="16"/>
      <c r="EE386" s="16"/>
      <c r="EF386" s="16"/>
      <c r="EG386" s="16"/>
      <c r="EH386" s="16"/>
      <c r="EI386" s="16"/>
      <c r="EJ386" s="16"/>
      <c r="EK386" s="16"/>
      <c r="EL386" s="16"/>
      <c r="EM386" s="16"/>
      <c r="EN386" s="16"/>
      <c r="EO386" s="16"/>
      <c r="EP386" s="16"/>
      <c r="EQ386" s="16"/>
      <c r="ER386" s="16"/>
      <c r="ES386" s="16"/>
      <c r="ET386" s="16"/>
      <c r="EU386" s="16"/>
      <c r="EX386" s="16"/>
      <c r="EY386" s="228"/>
      <c r="EZ386" s="945"/>
      <c r="FA386" s="477"/>
      <c r="FB386" s="228"/>
      <c r="FC386" s="477"/>
      <c r="FD386" s="16"/>
    </row>
    <row r="387" spans="1:166" x14ac:dyDescent="0.2">
      <c r="A387" s="490" t="s">
        <v>789</v>
      </c>
      <c r="B387" s="16"/>
      <c r="C387" s="16"/>
      <c r="D387" s="16"/>
      <c r="E387" s="16"/>
      <c r="F387" s="16"/>
      <c r="G387" s="16"/>
      <c r="H387" s="16"/>
      <c r="I387" s="16"/>
      <c r="J387" s="16"/>
      <c r="K387" s="16"/>
      <c r="L387" s="16"/>
      <c r="M387" s="16"/>
      <c r="N387" s="16"/>
      <c r="O387" s="16"/>
      <c r="P387" s="16"/>
      <c r="Q387" s="85"/>
      <c r="R387" s="410"/>
      <c r="S387" s="410"/>
      <c r="T387" s="410"/>
      <c r="U387" s="410"/>
      <c r="V387" s="874"/>
      <c r="W387" s="466"/>
      <c r="X387" s="466"/>
      <c r="Y387" s="467"/>
      <c r="Z387" s="466"/>
      <c r="AA387" s="85"/>
      <c r="AB387" s="466"/>
      <c r="AC387" s="466"/>
      <c r="AD387" s="467"/>
      <c r="AE387" s="466"/>
      <c r="AF387" s="85"/>
      <c r="AG387" s="465"/>
      <c r="AH387" s="465"/>
      <c r="AI387" s="465"/>
      <c r="AJ387" s="465"/>
      <c r="AK387" s="85"/>
      <c r="AL387" s="465"/>
      <c r="AM387" s="465"/>
      <c r="AN387" s="465"/>
      <c r="AO387" s="465"/>
      <c r="AP387" s="85"/>
      <c r="AQ387" s="465"/>
      <c r="AR387" s="465"/>
      <c r="AS387" s="465"/>
      <c r="AT387" s="465"/>
      <c r="AU387" s="86"/>
      <c r="AV387" s="45"/>
      <c r="AW387" s="465"/>
      <c r="AX387" s="465"/>
      <c r="AY387" s="465"/>
      <c r="AZ387" s="465"/>
      <c r="BA387" s="85"/>
      <c r="BB387" s="86"/>
      <c r="BC387" s="465"/>
      <c r="BD387" s="465"/>
      <c r="BE387" s="465"/>
      <c r="BF387" s="85"/>
      <c r="BG387" s="465"/>
      <c r="BH387" s="465"/>
      <c r="BI387" s="465"/>
      <c r="BJ387" s="465"/>
      <c r="BK387" s="85"/>
      <c r="BL387" s="465"/>
      <c r="BM387" s="465"/>
      <c r="BN387" s="465"/>
      <c r="BO387" s="465"/>
      <c r="BP387" s="85"/>
      <c r="BQ387" s="36"/>
      <c r="BR387" s="36"/>
      <c r="BS387" s="36"/>
      <c r="BT387" s="848">
        <f>193.565794+8.438225</f>
        <v>202.004019</v>
      </c>
      <c r="BU387" s="85">
        <f t="shared" ref="BU387" si="2267">BT387</f>
        <v>202.004019</v>
      </c>
      <c r="BV387" s="1324"/>
      <c r="BW387" s="1324"/>
      <c r="BX387" s="1324"/>
      <c r="BY387" s="1324">
        <f>193.565794+8.438225</f>
        <v>202.004019</v>
      </c>
      <c r="BZ387" s="85">
        <f t="shared" ref="BZ387" si="2268">BY387</f>
        <v>202.004019</v>
      </c>
      <c r="CA387" s="36">
        <v>202.304385</v>
      </c>
      <c r="CB387" s="36">
        <v>202.41112100000001</v>
      </c>
      <c r="CC387" s="36">
        <v>202.41112100000001</v>
      </c>
      <c r="CD387" s="36">
        <v>225.70758799999999</v>
      </c>
      <c r="CE387" s="85">
        <f>CD387</f>
        <v>225.70758799999999</v>
      </c>
      <c r="CF387" s="36">
        <v>233.04920000000001</v>
      </c>
      <c r="CG387" s="36">
        <v>233.74060600000001</v>
      </c>
      <c r="CH387" s="36">
        <v>234.09786700000001</v>
      </c>
      <c r="CI387" s="36">
        <v>234.23667800000001</v>
      </c>
      <c r="CJ387" s="85">
        <f>CI387</f>
        <v>234.23667800000001</v>
      </c>
      <c r="CK387" s="36">
        <v>235.47965400000001</v>
      </c>
      <c r="CL387" s="36">
        <v>236.247377</v>
      </c>
      <c r="CM387" s="36">
        <f>237.278477</f>
        <v>237.27847700000001</v>
      </c>
      <c r="CN387" s="36">
        <f>243.899476</f>
        <v>243.89947599999999</v>
      </c>
      <c r="CO387" s="85">
        <f>CN387</f>
        <v>243.89947599999999</v>
      </c>
      <c r="CP387" s="848">
        <v>249.10163299999999</v>
      </c>
      <c r="CQ387" s="848">
        <f>CP387</f>
        <v>249.10163299999999</v>
      </c>
      <c r="CR387" s="848">
        <f t="shared" ref="CR387:CS387" si="2269">CQ387</f>
        <v>249.10163299999999</v>
      </c>
      <c r="CS387" s="848">
        <f t="shared" si="2269"/>
        <v>249.10163299999999</v>
      </c>
      <c r="CT387" s="85">
        <f>CS387</f>
        <v>249.10163299999999</v>
      </c>
      <c r="CU387" s="848">
        <f>CS387</f>
        <v>249.10163299999999</v>
      </c>
      <c r="CV387" s="848">
        <f>CU387</f>
        <v>249.10163299999999</v>
      </c>
      <c r="CW387" s="848">
        <f t="shared" ref="CW387:CX387" si="2270">CV387</f>
        <v>249.10163299999999</v>
      </c>
      <c r="CX387" s="848">
        <f t="shared" si="2270"/>
        <v>249.10163299999999</v>
      </c>
      <c r="CY387" s="85">
        <f>CX387</f>
        <v>249.10163299999999</v>
      </c>
      <c r="CZ387" s="848">
        <f>CX387</f>
        <v>249.10163299999999</v>
      </c>
      <c r="DA387" s="848">
        <f>CZ387</f>
        <v>249.10163299999999</v>
      </c>
      <c r="DB387" s="848">
        <f t="shared" ref="DB387:DC387" si="2271">DA387</f>
        <v>249.10163299999999</v>
      </c>
      <c r="DC387" s="848">
        <f t="shared" si="2271"/>
        <v>249.10163299999999</v>
      </c>
      <c r="DD387" s="85">
        <f>DC387</f>
        <v>249.10163299999999</v>
      </c>
      <c r="DE387" s="848">
        <f>DC387</f>
        <v>249.10163299999999</v>
      </c>
      <c r="DF387" s="848">
        <f>DE387</f>
        <v>249.10163299999999</v>
      </c>
      <c r="DG387" s="848">
        <f t="shared" ref="DG387:DH387" si="2272">DF387</f>
        <v>249.10163299999999</v>
      </c>
      <c r="DH387" s="848">
        <f t="shared" si="2272"/>
        <v>249.10163299999999</v>
      </c>
      <c r="DI387" s="85">
        <f>DH387</f>
        <v>249.10163299999999</v>
      </c>
      <c r="DJ387" s="848">
        <f>DH387</f>
        <v>249.10163299999999</v>
      </c>
      <c r="DK387" s="848">
        <f>DJ387</f>
        <v>249.10163299999999</v>
      </c>
      <c r="DL387" s="848">
        <f t="shared" ref="DL387:DM387" si="2273">DK387</f>
        <v>249.10163299999999</v>
      </c>
      <c r="DM387" s="848">
        <f t="shared" si="2273"/>
        <v>249.10163299999999</v>
      </c>
      <c r="DN387" s="85">
        <f>DM387</f>
        <v>249.10163299999999</v>
      </c>
      <c r="DO387" s="848">
        <f>DM387</f>
        <v>249.10163299999999</v>
      </c>
      <c r="DP387" s="848">
        <f>DO387</f>
        <v>249.10163299999999</v>
      </c>
      <c r="DQ387" s="848">
        <f t="shared" ref="DQ387:DR387" si="2274">DP387</f>
        <v>249.10163299999999</v>
      </c>
      <c r="DR387" s="848">
        <f t="shared" si="2274"/>
        <v>249.10163299999999</v>
      </c>
      <c r="DS387" s="85">
        <f>DR387</f>
        <v>249.10163299999999</v>
      </c>
      <c r="DT387" s="848">
        <f>DR387</f>
        <v>249.10163299999999</v>
      </c>
      <c r="DU387" s="848">
        <f>DT387</f>
        <v>249.10163299999999</v>
      </c>
      <c r="DV387" s="848">
        <f t="shared" ref="DV387:DW387" si="2275">DU387</f>
        <v>249.10163299999999</v>
      </c>
      <c r="DW387" s="848">
        <f t="shared" si="2275"/>
        <v>249.10163299999999</v>
      </c>
      <c r="DX387" s="85">
        <f>DW387</f>
        <v>249.10163299999999</v>
      </c>
      <c r="DY387" s="848">
        <f>DW387</f>
        <v>249.10163299999999</v>
      </c>
      <c r="DZ387" s="848">
        <f>DY387</f>
        <v>249.10163299999999</v>
      </c>
      <c r="EA387" s="848">
        <f t="shared" ref="EA387:EA388" si="2276">DZ387</f>
        <v>249.10163299999999</v>
      </c>
      <c r="EB387" s="848">
        <f t="shared" ref="EB387:EB388" si="2277">EA387</f>
        <v>249.10163299999999</v>
      </c>
      <c r="EC387" s="85">
        <f>EB387</f>
        <v>249.10163299999999</v>
      </c>
      <c r="ED387" s="16"/>
      <c r="EE387" s="16"/>
      <c r="EF387" s="16"/>
      <c r="EG387" s="16"/>
      <c r="EH387" s="16"/>
      <c r="EI387" s="16"/>
      <c r="EJ387" s="16"/>
      <c r="EK387" s="16"/>
      <c r="EL387" s="16"/>
      <c r="EM387" s="16"/>
      <c r="EN387" s="16"/>
      <c r="EO387" s="16"/>
      <c r="EP387" s="16"/>
      <c r="EQ387" s="16"/>
      <c r="ER387" s="16"/>
      <c r="ES387" s="16"/>
      <c r="ET387" s="16"/>
      <c r="EU387" s="16"/>
      <c r="EX387" s="16"/>
      <c r="EY387" s="228"/>
      <c r="EZ387" s="945"/>
      <c r="FA387" s="477"/>
      <c r="FB387" s="228"/>
      <c r="FC387" s="477"/>
      <c r="FD387" s="16"/>
    </row>
    <row r="388" spans="1:166" x14ac:dyDescent="0.2">
      <c r="A388" s="490" t="s">
        <v>794</v>
      </c>
      <c r="B388" s="16"/>
      <c r="C388" s="16"/>
      <c r="D388" s="16"/>
      <c r="E388" s="16"/>
      <c r="F388" s="16"/>
      <c r="G388" s="16"/>
      <c r="H388" s="16"/>
      <c r="I388" s="16"/>
      <c r="J388" s="16"/>
      <c r="K388" s="16"/>
      <c r="L388" s="16"/>
      <c r="M388" s="16"/>
      <c r="N388" s="16"/>
      <c r="O388" s="16"/>
      <c r="P388" s="16"/>
      <c r="Q388" s="85"/>
      <c r="R388" s="410"/>
      <c r="S388" s="410"/>
      <c r="T388" s="410"/>
      <c r="U388" s="410"/>
      <c r="V388" s="874"/>
      <c r="W388" s="466"/>
      <c r="X388" s="466"/>
      <c r="Y388" s="467"/>
      <c r="Z388" s="466"/>
      <c r="AA388" s="85"/>
      <c r="AB388" s="466"/>
      <c r="AC388" s="466"/>
      <c r="AD388" s="467"/>
      <c r="AE388" s="466"/>
      <c r="AF388" s="85"/>
      <c r="AG388" s="465"/>
      <c r="AH388" s="465"/>
      <c r="AI388" s="465"/>
      <c r="AJ388" s="465"/>
      <c r="AK388" s="85"/>
      <c r="AL388" s="465"/>
      <c r="AM388" s="465"/>
      <c r="AN388" s="465"/>
      <c r="AO388" s="465"/>
      <c r="AP388" s="85"/>
      <c r="AQ388" s="465"/>
      <c r="AR388" s="465"/>
      <c r="AS388" s="465"/>
      <c r="AT388" s="465"/>
      <c r="AU388" s="86"/>
      <c r="AV388" s="45"/>
      <c r="AW388" s="465"/>
      <c r="AX388" s="465"/>
      <c r="AY388" s="465"/>
      <c r="AZ388" s="465"/>
      <c r="BA388" s="85"/>
      <c r="BB388" s="86"/>
      <c r="BC388" s="465"/>
      <c r="BD388" s="465"/>
      <c r="BE388" s="465"/>
      <c r="BF388" s="85"/>
      <c r="BG388" s="465"/>
      <c r="BH388" s="465"/>
      <c r="BI388" s="465"/>
      <c r="BJ388" s="465"/>
      <c r="BK388" s="85"/>
      <c r="BL388" s="465"/>
      <c r="BM388" s="465"/>
      <c r="BN388" s="465"/>
      <c r="BO388" s="465"/>
      <c r="BP388" s="85"/>
      <c r="BQ388" s="36"/>
      <c r="BR388" s="36"/>
      <c r="BS388" s="36"/>
      <c r="BT388" s="848">
        <v>265.04178300000001</v>
      </c>
      <c r="BU388" s="85">
        <f>BT388</f>
        <v>265.04178300000001</v>
      </c>
      <c r="BV388" s="1324"/>
      <c r="BW388" s="1324"/>
      <c r="BX388" s="1324"/>
      <c r="BY388" s="1324">
        <v>265.04178300000001</v>
      </c>
      <c r="BZ388" s="85">
        <f>BY388</f>
        <v>265.04178300000001</v>
      </c>
      <c r="CA388" s="848">
        <f>BT388</f>
        <v>265.04178300000001</v>
      </c>
      <c r="CB388" s="848">
        <f t="shared" ref="CB388:CE388" si="2278">CA388</f>
        <v>265.04178300000001</v>
      </c>
      <c r="CC388" s="36">
        <v>265</v>
      </c>
      <c r="CD388" s="36">
        <v>233.73964799999999</v>
      </c>
      <c r="CE388" s="85">
        <f t="shared" si="2278"/>
        <v>233.73964799999999</v>
      </c>
      <c r="CF388" s="36">
        <v>229.8</v>
      </c>
      <c r="CG388" s="36">
        <v>227.16497699999999</v>
      </c>
      <c r="CH388" s="36">
        <v>227.049533</v>
      </c>
      <c r="CI388" s="36">
        <v>226.99540400000001</v>
      </c>
      <c r="CJ388" s="85">
        <f t="shared" ref="CJ388" si="2279">CI388</f>
        <v>226.99540400000001</v>
      </c>
      <c r="CK388" s="36">
        <v>226.870394</v>
      </c>
      <c r="CL388" s="36">
        <f xml:space="preserve"> 226.848674</f>
        <v>226.84867399999999</v>
      </c>
      <c r="CM388" s="36">
        <f>226.839418</f>
        <v>226.83941799999999</v>
      </c>
      <c r="CN388" s="36">
        <f xml:space="preserve"> 217.708924</f>
        <v>217.708924</v>
      </c>
      <c r="CO388" s="85">
        <f t="shared" ref="CO388" si="2280">CN388</f>
        <v>217.708924</v>
      </c>
      <c r="CP388" s="36">
        <f>CO388</f>
        <v>217.708924</v>
      </c>
      <c r="CQ388" s="848">
        <f t="shared" ref="CQ388:CT388" si="2281">CP388</f>
        <v>217.708924</v>
      </c>
      <c r="CR388" s="848">
        <f t="shared" si="2281"/>
        <v>217.708924</v>
      </c>
      <c r="CS388" s="848">
        <f t="shared" si="2281"/>
        <v>217.708924</v>
      </c>
      <c r="CT388" s="85">
        <f t="shared" si="2281"/>
        <v>217.708924</v>
      </c>
      <c r="CU388" s="848">
        <f>CS388</f>
        <v>217.708924</v>
      </c>
      <c r="CV388" s="848">
        <f t="shared" ref="CV388:CY388" si="2282">CU388</f>
        <v>217.708924</v>
      </c>
      <c r="CW388" s="848">
        <f t="shared" si="2282"/>
        <v>217.708924</v>
      </c>
      <c r="CX388" s="848">
        <f t="shared" si="2282"/>
        <v>217.708924</v>
      </c>
      <c r="CY388" s="85">
        <f t="shared" si="2282"/>
        <v>217.708924</v>
      </c>
      <c r="CZ388" s="848">
        <f>CX388</f>
        <v>217.708924</v>
      </c>
      <c r="DA388" s="848">
        <f t="shared" ref="DA388:DD388" si="2283">CZ388</f>
        <v>217.708924</v>
      </c>
      <c r="DB388" s="848">
        <f t="shared" si="2283"/>
        <v>217.708924</v>
      </c>
      <c r="DC388" s="848">
        <f t="shared" si="2283"/>
        <v>217.708924</v>
      </c>
      <c r="DD388" s="85">
        <f t="shared" si="2283"/>
        <v>217.708924</v>
      </c>
      <c r="DE388" s="848">
        <f>DC388</f>
        <v>217.708924</v>
      </c>
      <c r="DF388" s="848">
        <f t="shared" ref="DF388:DI388" si="2284">DE388</f>
        <v>217.708924</v>
      </c>
      <c r="DG388" s="848">
        <f t="shared" si="2284"/>
        <v>217.708924</v>
      </c>
      <c r="DH388" s="848">
        <f t="shared" si="2284"/>
        <v>217.708924</v>
      </c>
      <c r="DI388" s="85">
        <f t="shared" si="2284"/>
        <v>217.708924</v>
      </c>
      <c r="DJ388" s="848">
        <f>DH388</f>
        <v>217.708924</v>
      </c>
      <c r="DK388" s="848">
        <f t="shared" ref="DK388:DN388" si="2285">DJ388</f>
        <v>217.708924</v>
      </c>
      <c r="DL388" s="848">
        <f t="shared" si="2285"/>
        <v>217.708924</v>
      </c>
      <c r="DM388" s="848">
        <f t="shared" si="2285"/>
        <v>217.708924</v>
      </c>
      <c r="DN388" s="85">
        <f t="shared" si="2285"/>
        <v>217.708924</v>
      </c>
      <c r="DO388" s="848">
        <f>DM388</f>
        <v>217.708924</v>
      </c>
      <c r="DP388" s="848">
        <f t="shared" ref="DP388:DS388" si="2286">DO388</f>
        <v>217.708924</v>
      </c>
      <c r="DQ388" s="848">
        <f t="shared" si="2286"/>
        <v>217.708924</v>
      </c>
      <c r="DR388" s="848">
        <f t="shared" si="2286"/>
        <v>217.708924</v>
      </c>
      <c r="DS388" s="85">
        <f t="shared" si="2286"/>
        <v>217.708924</v>
      </c>
      <c r="DT388" s="848">
        <f>DR388</f>
        <v>217.708924</v>
      </c>
      <c r="DU388" s="848">
        <f t="shared" ref="DU388:DX388" si="2287">DT388</f>
        <v>217.708924</v>
      </c>
      <c r="DV388" s="848">
        <f t="shared" si="2287"/>
        <v>217.708924</v>
      </c>
      <c r="DW388" s="848">
        <f t="shared" si="2287"/>
        <v>217.708924</v>
      </c>
      <c r="DX388" s="85">
        <f t="shared" si="2287"/>
        <v>217.708924</v>
      </c>
      <c r="DY388" s="848">
        <f>DW388</f>
        <v>217.708924</v>
      </c>
      <c r="DZ388" s="848">
        <f t="shared" ref="DZ388" si="2288">DY388</f>
        <v>217.708924</v>
      </c>
      <c r="EA388" s="848">
        <f t="shared" si="2276"/>
        <v>217.708924</v>
      </c>
      <c r="EB388" s="848">
        <f t="shared" si="2277"/>
        <v>217.708924</v>
      </c>
      <c r="EC388" s="85">
        <f t="shared" ref="EC388" si="2289">EB388</f>
        <v>217.708924</v>
      </c>
      <c r="ED388" s="16"/>
      <c r="EE388" s="16"/>
      <c r="EF388" s="16"/>
      <c r="EG388" s="16"/>
      <c r="EH388" s="16"/>
      <c r="EI388" s="16"/>
      <c r="EJ388" s="16"/>
      <c r="EK388" s="16"/>
      <c r="EL388" s="16"/>
      <c r="EM388" s="16"/>
      <c r="EN388" s="16"/>
      <c r="EO388" s="16"/>
      <c r="EP388" s="16"/>
      <c r="EQ388" s="16"/>
      <c r="ER388" s="16"/>
      <c r="ES388" s="16"/>
      <c r="ET388" s="16"/>
      <c r="EU388" s="16"/>
      <c r="EX388" s="16"/>
      <c r="EY388" s="228"/>
      <c r="EZ388" s="945"/>
      <c r="FA388" s="477"/>
      <c r="FB388" s="228"/>
      <c r="FC388" s="477"/>
      <c r="FD388" s="16"/>
    </row>
    <row r="389" spans="1:166" x14ac:dyDescent="0.2">
      <c r="A389" s="490" t="s">
        <v>520</v>
      </c>
      <c r="B389" s="16"/>
      <c r="C389" s="16"/>
      <c r="D389" s="16"/>
      <c r="E389" s="16"/>
      <c r="F389" s="16"/>
      <c r="G389" s="16"/>
      <c r="H389" s="16"/>
      <c r="I389" s="16"/>
      <c r="J389" s="16"/>
      <c r="K389" s="16"/>
      <c r="L389" s="16"/>
      <c r="M389" s="16"/>
      <c r="N389" s="16"/>
      <c r="O389" s="16"/>
      <c r="P389" s="16"/>
      <c r="Q389" s="85"/>
      <c r="R389" s="410"/>
      <c r="S389" s="410"/>
      <c r="T389" s="410"/>
      <c r="U389" s="410"/>
      <c r="V389" s="874">
        <f t="shared" ref="V389:AD389" si="2290">V390</f>
        <v>106.5</v>
      </c>
      <c r="W389" s="466">
        <f t="shared" si="2290"/>
        <v>106.759585376</v>
      </c>
      <c r="X389" s="466">
        <f t="shared" si="2290"/>
        <v>106.85340376688001</v>
      </c>
      <c r="Y389" s="467">
        <f t="shared" si="2290"/>
        <v>107.49200640000001</v>
      </c>
      <c r="Z389" s="466">
        <f t="shared" si="2290"/>
        <v>120.4</v>
      </c>
      <c r="AA389" s="85">
        <f t="shared" si="2290"/>
        <v>110.4</v>
      </c>
      <c r="AB389" s="466">
        <f t="shared" si="2290"/>
        <v>133.1</v>
      </c>
      <c r="AC389" s="466">
        <f t="shared" si="2290"/>
        <v>133.5</v>
      </c>
      <c r="AD389" s="467">
        <f t="shared" si="2290"/>
        <v>134.4</v>
      </c>
      <c r="AE389" s="466"/>
      <c r="AF389" s="85"/>
      <c r="AG389" s="465">
        <f>AG390</f>
        <v>135.19999999999999</v>
      </c>
      <c r="AH389" s="465"/>
      <c r="AI389" s="465"/>
      <c r="AJ389" s="465"/>
      <c r="AK389" s="85"/>
      <c r="AL389" s="465">
        <f>AL390</f>
        <v>135</v>
      </c>
      <c r="AM389" s="465"/>
      <c r="AN389" s="465"/>
      <c r="AO389" s="465"/>
      <c r="AP389" s="85"/>
      <c r="AQ389" s="465"/>
      <c r="AR389" s="465"/>
      <c r="AS389" s="465"/>
      <c r="AT389" s="465"/>
      <c r="AU389" s="86"/>
      <c r="AV389" s="45"/>
      <c r="AW389" s="465"/>
      <c r="AX389" s="465"/>
      <c r="AY389" s="465"/>
      <c r="AZ389" s="465"/>
      <c r="BA389" s="85"/>
      <c r="BB389" s="86"/>
      <c r="BC389" s="465"/>
      <c r="BD389" s="465"/>
      <c r="BE389" s="465"/>
      <c r="BF389" s="85" t="s">
        <v>540</v>
      </c>
      <c r="BG389" s="465"/>
      <c r="BH389" s="465"/>
      <c r="BI389" s="465"/>
      <c r="BJ389" s="465">
        <v>350.23877099999999</v>
      </c>
      <c r="BK389" s="85">
        <f>BJ389</f>
        <v>350.23877099999999</v>
      </c>
      <c r="BL389" s="465">
        <v>350.769811</v>
      </c>
      <c r="BM389" s="465">
        <v>351.245159</v>
      </c>
      <c r="BN389" s="465">
        <v>351.24509899999998</v>
      </c>
      <c r="BO389" s="465">
        <f>352.16195-0.345286</f>
        <v>351.816664</v>
      </c>
      <c r="BP389" s="40">
        <f>BO389</f>
        <v>351.816664</v>
      </c>
      <c r="BQ389" s="465">
        <f>352.28079-0.345286</f>
        <v>351.93550400000004</v>
      </c>
      <c r="BR389" s="465">
        <f>352.28079-0.345286</f>
        <v>351.93550400000004</v>
      </c>
      <c r="BS389" s="465">
        <f>352.308359-0.345286</f>
        <v>351.96307300000001</v>
      </c>
      <c r="BT389" s="844">
        <f>BT387+BT388</f>
        <v>467.04580199999998</v>
      </c>
      <c r="BU389" s="40">
        <f>BT389</f>
        <v>467.04580199999998</v>
      </c>
      <c r="BV389" s="1324">
        <f>352.28079-0.345286</f>
        <v>351.93550400000004</v>
      </c>
      <c r="BW389" s="1324">
        <f>352.28079-0.345286</f>
        <v>351.93550400000004</v>
      </c>
      <c r="BX389" s="1324">
        <f>352.308359-0.345286</f>
        <v>351.96307300000001</v>
      </c>
      <c r="BY389" s="1070">
        <f>BY387+BY388</f>
        <v>467.04580199999998</v>
      </c>
      <c r="BZ389" s="40">
        <f>BY389</f>
        <v>467.04580199999998</v>
      </c>
      <c r="CA389" s="844">
        <f>CA387+CA388</f>
        <v>467.34616800000003</v>
      </c>
      <c r="CB389" s="844">
        <f>CA389+CB386-CB383</f>
        <v>467.34616800000003</v>
      </c>
      <c r="CC389" s="844">
        <f>CC387+CC388</f>
        <v>467.41112099999998</v>
      </c>
      <c r="CD389" s="844">
        <f>CD387+CD388</f>
        <v>459.44723599999998</v>
      </c>
      <c r="CE389" s="40">
        <f>CD389</f>
        <v>459.44723599999998</v>
      </c>
      <c r="CF389" s="844">
        <f>CF387+CF388</f>
        <v>462.8492</v>
      </c>
      <c r="CG389" s="844">
        <f>CG387+CG388</f>
        <v>460.90558299999998</v>
      </c>
      <c r="CH389" s="844">
        <f>CH387+CH388</f>
        <v>461.1474</v>
      </c>
      <c r="CI389" s="844">
        <f>CI387+CI388</f>
        <v>461.23208199999999</v>
      </c>
      <c r="CJ389" s="40">
        <f>CI389</f>
        <v>461.23208199999999</v>
      </c>
      <c r="CK389" s="844">
        <f>CK387+CK388</f>
        <v>462.35004800000002</v>
      </c>
      <c r="CL389" s="844">
        <f>CL387+CL388</f>
        <v>463.09605099999999</v>
      </c>
      <c r="CM389" s="844">
        <f>CM387+CM388</f>
        <v>464.11789499999998</v>
      </c>
      <c r="CN389" s="844">
        <f>CN387+CN388</f>
        <v>461.60839999999996</v>
      </c>
      <c r="CO389" s="40">
        <f>CN389</f>
        <v>461.60839999999996</v>
      </c>
      <c r="CP389" s="844">
        <f>CP387+CP388</f>
        <v>466.81055700000002</v>
      </c>
      <c r="CQ389" s="844">
        <f>CP389+CQ386-CQ383</f>
        <v>466.22735700000004</v>
      </c>
      <c r="CR389" s="844">
        <f>CQ389+CR386-CR383</f>
        <v>465.64415700000006</v>
      </c>
      <c r="CS389" s="844">
        <f>CR389+CS386-CS383</f>
        <v>465.06095700000009</v>
      </c>
      <c r="CT389" s="40">
        <f>CS389</f>
        <v>465.06095700000009</v>
      </c>
      <c r="CU389" s="844">
        <f>CU387+CU388</f>
        <v>466.81055700000002</v>
      </c>
      <c r="CV389" s="844">
        <f>CU389+CV386-CV383</f>
        <v>466.180701</v>
      </c>
      <c r="CW389" s="844">
        <f>CV389+CW386-CW383</f>
        <v>465.55084499999998</v>
      </c>
      <c r="CX389" s="844">
        <f>CW389+CX386-CX383</f>
        <v>464.92098899999996</v>
      </c>
      <c r="CY389" s="40">
        <f>CX389</f>
        <v>464.92098899999996</v>
      </c>
      <c r="CZ389" s="844">
        <f>CZ387+CZ388</f>
        <v>466.81055700000002</v>
      </c>
      <c r="DA389" s="844">
        <f>CZ389+DA386-DA383</f>
        <v>466.13031252000002</v>
      </c>
      <c r="DB389" s="844">
        <f>DA389+DB386-DB383</f>
        <v>465.45006804000002</v>
      </c>
      <c r="DC389" s="844">
        <f>DB389+DC386-DC383</f>
        <v>464.76982356000002</v>
      </c>
      <c r="DD389" s="40">
        <f>DC389</f>
        <v>464.76982356000002</v>
      </c>
      <c r="DE389" s="844">
        <f>DE387+DE388</f>
        <v>466.81055700000002</v>
      </c>
      <c r="DF389" s="844">
        <f>DE389+DF386-DF383</f>
        <v>466.0758929616</v>
      </c>
      <c r="DG389" s="844">
        <f>DF389+DG386-DG383</f>
        <v>465.34122892319999</v>
      </c>
      <c r="DH389" s="844">
        <f>DG389+DH386-DH383</f>
        <v>464.60656488479998</v>
      </c>
      <c r="DI389" s="40">
        <f>DH389</f>
        <v>464.60656488479998</v>
      </c>
      <c r="DJ389" s="844">
        <f>DJ387+DJ388</f>
        <v>466.81055700000002</v>
      </c>
      <c r="DK389" s="844">
        <f>DJ389+DK386-DK383</f>
        <v>466.017119838528</v>
      </c>
      <c r="DL389" s="844">
        <f>DK389+DL386-DL383</f>
        <v>465.22368267705599</v>
      </c>
      <c r="DM389" s="844">
        <f>DL389+DM386-DM383</f>
        <v>464.43024551558398</v>
      </c>
      <c r="DN389" s="40">
        <f>DM389</f>
        <v>464.43024551558398</v>
      </c>
      <c r="DO389" s="844">
        <f>DO387+DO388</f>
        <v>466.81055700000002</v>
      </c>
      <c r="DP389" s="844">
        <f>DO389+DP386-DP383</f>
        <v>465.95364486561027</v>
      </c>
      <c r="DQ389" s="844">
        <f>DP389+DQ386-DQ383</f>
        <v>465.09673273122053</v>
      </c>
      <c r="DR389" s="844">
        <f>DQ389+DR386-DR383</f>
        <v>464.23982059683078</v>
      </c>
      <c r="DS389" s="40">
        <f>DR389</f>
        <v>464.23982059683078</v>
      </c>
      <c r="DT389" s="844">
        <f>DT387+DT388</f>
        <v>466.81055700000002</v>
      </c>
      <c r="DU389" s="844">
        <f>DT389+DU386-DU383</f>
        <v>465.8850918948591</v>
      </c>
      <c r="DV389" s="844">
        <f>DU389+DV386-DV383</f>
        <v>464.95962678971819</v>
      </c>
      <c r="DW389" s="844">
        <f>DV389+DW386-DW383</f>
        <v>464.03416168457727</v>
      </c>
      <c r="DX389" s="40">
        <f>DW389</f>
        <v>464.03416168457727</v>
      </c>
      <c r="DY389" s="844">
        <f>DY387+DY388</f>
        <v>466.81055700000002</v>
      </c>
      <c r="DZ389" s="844">
        <f>DY389+DZ386-DZ383</f>
        <v>465.81105468644779</v>
      </c>
      <c r="EA389" s="844">
        <f>DZ389+EA386-EA383</f>
        <v>464.81155237289556</v>
      </c>
      <c r="EB389" s="844">
        <f>EA389+EB386-EB383</f>
        <v>463.81205005934333</v>
      </c>
      <c r="EC389" s="40">
        <f>EB389</f>
        <v>463.81205005934333</v>
      </c>
      <c r="ED389" s="16"/>
      <c r="EE389" s="16"/>
      <c r="EF389" s="16"/>
      <c r="EG389" s="16"/>
      <c r="EH389" s="16"/>
      <c r="EI389" s="16"/>
      <c r="EJ389" s="16"/>
      <c r="EK389" s="16"/>
      <c r="EL389" s="16"/>
      <c r="EM389" s="16"/>
      <c r="EN389" s="16"/>
      <c r="EO389" s="16"/>
      <c r="EP389" s="16"/>
      <c r="EQ389" s="16"/>
      <c r="ER389" s="16"/>
      <c r="ES389" s="16"/>
      <c r="ET389" s="16"/>
      <c r="EU389" s="16"/>
      <c r="EX389" s="16"/>
      <c r="EY389" s="228"/>
      <c r="EZ389" s="945"/>
      <c r="FA389" s="477"/>
      <c r="FB389" s="228"/>
      <c r="FC389" s="477"/>
      <c r="FD389" s="16"/>
    </row>
    <row r="390" spans="1:166" x14ac:dyDescent="0.2">
      <c r="A390" s="490" t="s">
        <v>593</v>
      </c>
      <c r="B390" s="16"/>
      <c r="C390" s="16"/>
      <c r="D390" s="16"/>
      <c r="E390" s="16"/>
      <c r="F390" s="16"/>
      <c r="G390" s="16"/>
      <c r="H390" s="16"/>
      <c r="I390" s="16"/>
      <c r="J390" s="16"/>
      <c r="K390" s="16"/>
      <c r="L390" s="16"/>
      <c r="M390" s="16"/>
      <c r="N390" s="16"/>
      <c r="O390" s="16"/>
      <c r="P390" s="16"/>
      <c r="Q390" s="85"/>
      <c r="R390" s="410"/>
      <c r="S390" s="410"/>
      <c r="T390" s="410"/>
      <c r="U390" s="410"/>
      <c r="V390" s="874">
        <v>106.5</v>
      </c>
      <c r="W390" s="466">
        <v>106.759585376</v>
      </c>
      <c r="X390" s="466">
        <v>106.85340376688001</v>
      </c>
      <c r="Y390" s="467">
        <v>107.49200640000001</v>
      </c>
      <c r="Z390" s="466">
        <v>120.4</v>
      </c>
      <c r="AA390" s="85">
        <v>110.4</v>
      </c>
      <c r="AB390" s="466">
        <v>133.1</v>
      </c>
      <c r="AC390" s="466">
        <v>133.5</v>
      </c>
      <c r="AD390" s="467">
        <v>134.4</v>
      </c>
      <c r="AE390" s="466"/>
      <c r="AF390" s="85">
        <v>133.9</v>
      </c>
      <c r="AG390" s="465">
        <v>135.19999999999999</v>
      </c>
      <c r="AH390" s="465"/>
      <c r="AI390" s="465"/>
      <c r="AJ390" s="465"/>
      <c r="AK390" s="85"/>
      <c r="AL390" s="465">
        <v>135</v>
      </c>
      <c r="AM390" s="465"/>
      <c r="AN390" s="465"/>
      <c r="AO390" s="465"/>
      <c r="AP390" s="85"/>
      <c r="AQ390" s="465"/>
      <c r="AR390" s="465"/>
      <c r="AS390" s="465"/>
      <c r="AT390" s="465"/>
      <c r="AU390" s="86"/>
      <c r="AV390" s="45"/>
      <c r="AW390" s="465"/>
      <c r="AX390" s="465"/>
      <c r="AY390" s="465"/>
      <c r="AZ390" s="465"/>
      <c r="BA390" s="85"/>
      <c r="BB390" s="86"/>
      <c r="BC390" s="465"/>
      <c r="BD390" s="465"/>
      <c r="BE390" s="465"/>
      <c r="BF390" s="85">
        <v>348.2</v>
      </c>
      <c r="BG390" s="465">
        <v>349.8</v>
      </c>
      <c r="BH390" s="465">
        <v>350</v>
      </c>
      <c r="BI390" s="465">
        <v>350</v>
      </c>
      <c r="BJ390" s="465">
        <f>BK390*4-SUM(BG390:BI390)</f>
        <v>349</v>
      </c>
      <c r="BK390" s="85">
        <v>349.7</v>
      </c>
      <c r="BL390" s="465">
        <v>350.5</v>
      </c>
      <c r="BM390" s="465">
        <v>350.9</v>
      </c>
      <c r="BN390" s="465">
        <v>351.2</v>
      </c>
      <c r="BO390" s="465">
        <f>BP390*4-SUM(BL390:BN390)</f>
        <v>351.40000000000009</v>
      </c>
      <c r="BP390" s="85">
        <v>351</v>
      </c>
      <c r="BQ390" s="465">
        <v>352.2</v>
      </c>
      <c r="BR390" s="465">
        <v>352.3</v>
      </c>
      <c r="BS390" s="465">
        <v>351.9</v>
      </c>
      <c r="BT390" s="465">
        <f>AVERAGE(BS389:BT389)</f>
        <v>409.50443749999999</v>
      </c>
      <c r="BU390" s="85">
        <f>AVERAGE(BQ390:BT390)</f>
        <v>366.47610937500002</v>
      </c>
      <c r="BV390" s="1324">
        <v>352.2</v>
      </c>
      <c r="BW390" s="1324">
        <v>352.3</v>
      </c>
      <c r="BX390" s="1324">
        <v>351.9</v>
      </c>
      <c r="BY390" s="1324">
        <f>AVERAGE(BX389:BY389)</f>
        <v>409.50443749999999</v>
      </c>
      <c r="BZ390" s="85">
        <f>AVERAGE(BV390:BY390)</f>
        <v>366.47610937500002</v>
      </c>
      <c r="CA390" s="465">
        <f>AVERAGE(BZ389:CA389)</f>
        <v>467.19598500000001</v>
      </c>
      <c r="CB390" s="465">
        <f>AVERAGE(CA389:CB389)</f>
        <v>467.34616800000003</v>
      </c>
      <c r="CC390" s="465">
        <f>AVERAGE(CB389:CC389)</f>
        <v>467.37864450000001</v>
      </c>
      <c r="CD390" s="465">
        <f>AVERAGE(CC389:CD389)</f>
        <v>463.42917849999998</v>
      </c>
      <c r="CE390" s="85">
        <f>AVERAGE(CA390:CD390)</f>
        <v>466.33749400000005</v>
      </c>
      <c r="CF390" s="465">
        <f>AVERAGE(CD389,CF389)</f>
        <v>461.14821799999999</v>
      </c>
      <c r="CG390" s="465">
        <f>AVERAGE(CF389:CG389)</f>
        <v>461.87739149999999</v>
      </c>
      <c r="CH390" s="465">
        <f>AVERAGE(CG389:CH389)</f>
        <v>461.02649150000002</v>
      </c>
      <c r="CI390" s="465">
        <f>AVERAGE(CH389:CI389)</f>
        <v>461.18974100000003</v>
      </c>
      <c r="CJ390" s="85">
        <f>AVERAGE(CF390:CI390)</f>
        <v>461.31046049999998</v>
      </c>
      <c r="CK390" s="465">
        <f>AVERAGE(CI389,CK389)</f>
        <v>461.791065</v>
      </c>
      <c r="CL390" s="465">
        <f>AVERAGE(CK389:CL389)</f>
        <v>462.7230495</v>
      </c>
      <c r="CM390" s="465">
        <f>AVERAGE(CL389:CM389)</f>
        <v>463.60697299999998</v>
      </c>
      <c r="CN390" s="465">
        <f>AVERAGE(CM389:CN389)</f>
        <v>462.86314749999997</v>
      </c>
      <c r="CO390" s="85">
        <f>AVERAGE(CK390:CN390)</f>
        <v>462.74605874999997</v>
      </c>
      <c r="CP390" s="465">
        <f>AVERAGE(CN389,CP389)</f>
        <v>464.20947849999999</v>
      </c>
      <c r="CQ390" s="465">
        <f>AVERAGE(CP389:CQ389)</f>
        <v>466.518957</v>
      </c>
      <c r="CR390" s="465">
        <f>AVERAGE(CQ389:CR389)</f>
        <v>465.93575700000008</v>
      </c>
      <c r="CS390" s="465">
        <f>AVERAGE(CR389:CS389)</f>
        <v>465.35255700000005</v>
      </c>
      <c r="CT390" s="85">
        <f>AVERAGE(CP390:CS390)</f>
        <v>465.50418737500001</v>
      </c>
      <c r="CU390" s="465">
        <f>AVERAGE(CT389:CU389)</f>
        <v>465.93575700000008</v>
      </c>
      <c r="CV390" s="465">
        <f>AVERAGE(CU389:CV389)</f>
        <v>466.49562900000001</v>
      </c>
      <c r="CW390" s="465">
        <f>AVERAGE(CV389:CW389)</f>
        <v>465.86577299999999</v>
      </c>
      <c r="CX390" s="465">
        <f>AVERAGE(CW389:CX389)</f>
        <v>465.23591699999997</v>
      </c>
      <c r="CY390" s="85">
        <f>AVERAGE(CU390:CX390)</f>
        <v>465.88326900000004</v>
      </c>
      <c r="CZ390" s="465">
        <f>AVERAGE(CY389:CZ389)</f>
        <v>465.86577299999999</v>
      </c>
      <c r="DA390" s="465">
        <f>AVERAGE(CZ389:DA389)</f>
        <v>466.47043475999999</v>
      </c>
      <c r="DB390" s="465">
        <f>AVERAGE(DA389:DB389)</f>
        <v>465.79019028000005</v>
      </c>
      <c r="DC390" s="465">
        <f>AVERAGE(DB389:DC389)</f>
        <v>465.10994579999999</v>
      </c>
      <c r="DD390" s="85">
        <f>AVERAGE(CZ390:DC390)</f>
        <v>465.80908595999995</v>
      </c>
      <c r="DE390" s="465">
        <f>AVERAGE(DD389:DE389)</f>
        <v>465.79019028000005</v>
      </c>
      <c r="DF390" s="465">
        <f>AVERAGE(DE389:DF389)</f>
        <v>466.44322498079998</v>
      </c>
      <c r="DG390" s="465">
        <f>AVERAGE(DF389:DG389)</f>
        <v>465.70856094240003</v>
      </c>
      <c r="DH390" s="465">
        <f>AVERAGE(DG389:DH389)</f>
        <v>464.97389690399996</v>
      </c>
      <c r="DI390" s="85">
        <f>AVERAGE(DE390:DH390)</f>
        <v>465.7289682768</v>
      </c>
      <c r="DJ390" s="465">
        <f>AVERAGE(DI389:DJ389)</f>
        <v>465.70856094240003</v>
      </c>
      <c r="DK390" s="465">
        <f>AVERAGE(DJ389:DK389)</f>
        <v>466.41383841926404</v>
      </c>
      <c r="DL390" s="465">
        <f>AVERAGE(DK389:DL389)</f>
        <v>465.62040125779197</v>
      </c>
      <c r="DM390" s="465">
        <f>AVERAGE(DL389:DM389)</f>
        <v>464.82696409632001</v>
      </c>
      <c r="DN390" s="85">
        <f>AVERAGE(DJ390:DM390)</f>
        <v>465.64244117894395</v>
      </c>
      <c r="DO390" s="465">
        <f>AVERAGE(DN389:DO389)</f>
        <v>465.62040125779197</v>
      </c>
      <c r="DP390" s="465">
        <f>AVERAGE(DO389:DP389)</f>
        <v>466.38210093280514</v>
      </c>
      <c r="DQ390" s="465">
        <f>AVERAGE(DP389:DQ389)</f>
        <v>465.5251887984154</v>
      </c>
      <c r="DR390" s="465">
        <f>AVERAGE(DQ389:DR389)</f>
        <v>464.66827666402565</v>
      </c>
      <c r="DS390" s="85">
        <f>AVERAGE(DO390:DR390)</f>
        <v>465.54899191325956</v>
      </c>
      <c r="DT390" s="465">
        <f>AVERAGE(DS389:DT389)</f>
        <v>465.5251887984154</v>
      </c>
      <c r="DU390" s="465">
        <f>AVERAGE(DT389:DU389)</f>
        <v>466.34782444742956</v>
      </c>
      <c r="DV390" s="465">
        <f>AVERAGE(DU389:DV389)</f>
        <v>465.42235934228864</v>
      </c>
      <c r="DW390" s="465">
        <f>AVERAGE(DV389:DW389)</f>
        <v>464.49689423714773</v>
      </c>
      <c r="DX390" s="85">
        <f>AVERAGE(DT390:DW390)</f>
        <v>465.44806670632033</v>
      </c>
      <c r="DY390" s="465">
        <f>AVERAGE(DX389:DY389)</f>
        <v>465.42235934228864</v>
      </c>
      <c r="DZ390" s="465">
        <f>AVERAGE(DY389:DZ389)</f>
        <v>466.31080584322387</v>
      </c>
      <c r="EA390" s="465">
        <f>AVERAGE(DZ389:EA389)</f>
        <v>465.3113035296717</v>
      </c>
      <c r="EB390" s="465">
        <f>AVERAGE(EA389:EB389)</f>
        <v>464.31180121611942</v>
      </c>
      <c r="EC390" s="85">
        <f>AVERAGE(DY390:EB390)</f>
        <v>465.3390674828259</v>
      </c>
      <c r="ED390" s="16"/>
      <c r="EE390" s="16"/>
      <c r="EF390" s="16"/>
      <c r="EG390" s="16"/>
      <c r="EH390" s="16"/>
      <c r="EI390" s="16"/>
      <c r="EJ390" s="16"/>
      <c r="EK390" s="16"/>
      <c r="EL390" s="16"/>
      <c r="EM390" s="16"/>
      <c r="EN390" s="16"/>
      <c r="EO390" s="16"/>
      <c r="EP390" s="16"/>
      <c r="EQ390" s="16"/>
      <c r="ER390" s="16"/>
      <c r="ES390" s="16"/>
      <c r="ET390" s="16"/>
      <c r="EU390" s="16"/>
      <c r="EX390" s="16"/>
      <c r="EY390" s="228"/>
      <c r="EZ390" s="945"/>
      <c r="FA390" s="477"/>
      <c r="FB390" s="228"/>
      <c r="FC390" s="477"/>
      <c r="FD390" s="16"/>
    </row>
    <row r="391" spans="1:166" x14ac:dyDescent="0.2">
      <c r="A391" s="490" t="s">
        <v>533</v>
      </c>
      <c r="B391" s="16"/>
      <c r="C391" s="16"/>
      <c r="D391" s="16"/>
      <c r="E391" s="16"/>
      <c r="F391" s="16"/>
      <c r="G391" s="16"/>
      <c r="H391" s="16"/>
      <c r="I391" s="16"/>
      <c r="J391" s="16"/>
      <c r="K391" s="16"/>
      <c r="L391" s="16"/>
      <c r="M391" s="16"/>
      <c r="N391" s="16"/>
      <c r="O391" s="16"/>
      <c r="P391" s="16"/>
      <c r="Q391" s="85"/>
      <c r="R391" s="410"/>
      <c r="S391" s="410"/>
      <c r="T391" s="410"/>
      <c r="U391" s="410"/>
      <c r="V391" s="874"/>
      <c r="W391" s="466"/>
      <c r="X391" s="466"/>
      <c r="Y391" s="467"/>
      <c r="Z391" s="466"/>
      <c r="AA391" s="85"/>
      <c r="AB391" s="466"/>
      <c r="AC391" s="466"/>
      <c r="AD391" s="467"/>
      <c r="AE391" s="466"/>
      <c r="AF391" s="85"/>
      <c r="AG391" s="465"/>
      <c r="AH391" s="465"/>
      <c r="AI391" s="465"/>
      <c r="AJ391" s="465"/>
      <c r="AK391" s="85"/>
      <c r="AL391" s="465"/>
      <c r="AM391" s="465"/>
      <c r="AN391" s="465"/>
      <c r="AO391" s="465"/>
      <c r="AP391" s="85"/>
      <c r="AQ391" s="465"/>
      <c r="AR391" s="465"/>
      <c r="AS391" s="465"/>
      <c r="AT391" s="465"/>
      <c r="AU391" s="86"/>
      <c r="AV391" s="45"/>
      <c r="AW391" s="465"/>
      <c r="AX391" s="465"/>
      <c r="AY391" s="465"/>
      <c r="AZ391" s="465"/>
      <c r="BA391" s="85"/>
      <c r="BB391" s="86"/>
      <c r="BC391" s="465"/>
      <c r="BD391" s="465"/>
      <c r="BE391" s="465"/>
      <c r="BF391" s="85">
        <f t="shared" ref="BF391:BS391" si="2291">BF393-BF390</f>
        <v>0</v>
      </c>
      <c r="BG391" s="465">
        <f t="shared" si="2291"/>
        <v>2.0999999999999659</v>
      </c>
      <c r="BH391" s="465">
        <f t="shared" si="2291"/>
        <v>4.6000000000000227</v>
      </c>
      <c r="BI391" s="465">
        <f t="shared" si="2291"/>
        <v>5</v>
      </c>
      <c r="BJ391" s="465">
        <f t="shared" si="2291"/>
        <v>7.3999999999999773</v>
      </c>
      <c r="BK391" s="85">
        <f t="shared" si="2291"/>
        <v>4.4000000000000341</v>
      </c>
      <c r="BL391" s="465">
        <f t="shared" si="2291"/>
        <v>6.6000000000000227</v>
      </c>
      <c r="BM391" s="465">
        <f t="shared" si="2291"/>
        <v>6.8000000000000114</v>
      </c>
      <c r="BN391" s="465">
        <f t="shared" si="2291"/>
        <v>6.9000000000000341</v>
      </c>
      <c r="BO391" s="465">
        <f t="shared" si="2291"/>
        <v>6.9999999999998863</v>
      </c>
      <c r="BP391" s="40">
        <f t="shared" si="2291"/>
        <v>6.8250000000000455</v>
      </c>
      <c r="BQ391" s="465">
        <f t="shared" si="2291"/>
        <v>7</v>
      </c>
      <c r="BR391" s="465">
        <f t="shared" si="2291"/>
        <v>7.0999999999999659</v>
      </c>
      <c r="BS391" s="465">
        <f t="shared" si="2291"/>
        <v>7.3000000000000114</v>
      </c>
      <c r="BT391" s="465">
        <v>7</v>
      </c>
      <c r="BU391" s="40">
        <f>BU393-BU390</f>
        <v>-2.8511093750000214</v>
      </c>
      <c r="BV391" s="1324">
        <f t="shared" ref="BV391:BX391" si="2292">BV393-BV390</f>
        <v>123.90000000000003</v>
      </c>
      <c r="BW391" s="1324">
        <f t="shared" si="2292"/>
        <v>123.80000000000001</v>
      </c>
      <c r="BX391" s="1324">
        <f t="shared" si="2292"/>
        <v>124.20000000000005</v>
      </c>
      <c r="BY391" s="1324">
        <v>7</v>
      </c>
      <c r="BZ391" s="40">
        <f>BZ393-BZ390</f>
        <v>109.623890625</v>
      </c>
      <c r="CA391" s="1070">
        <v>0</v>
      </c>
      <c r="CB391" s="1070">
        <v>9</v>
      </c>
      <c r="CC391" s="38">
        <v>9.1</v>
      </c>
      <c r="CD391" s="38">
        <f>CD393-CD390</f>
        <v>11.270821500000011</v>
      </c>
      <c r="CE391" s="40">
        <v>9</v>
      </c>
      <c r="CF391" s="38">
        <v>8.6</v>
      </c>
      <c r="CG391" s="38">
        <v>9.4</v>
      </c>
      <c r="CH391" s="38">
        <v>9.6</v>
      </c>
      <c r="CI391" s="38">
        <f>CI393-CI390</f>
        <v>9.610258999999985</v>
      </c>
      <c r="CJ391" s="40">
        <f>CJ393-CJ390</f>
        <v>8.6645394999999894</v>
      </c>
      <c r="CK391" s="38">
        <v>14.9</v>
      </c>
      <c r="CL391" s="38">
        <v>15.3</v>
      </c>
      <c r="CM391" s="38">
        <v>15.2</v>
      </c>
      <c r="CN391" s="38">
        <v>14.9</v>
      </c>
      <c r="CO391" s="40">
        <f>CO393-CO390</f>
        <v>14.578941250000014</v>
      </c>
      <c r="CP391" s="1070">
        <v>10</v>
      </c>
      <c r="CQ391" s="1070">
        <f>CL391-5</f>
        <v>10.3</v>
      </c>
      <c r="CR391" s="1070">
        <f>CM391-5</f>
        <v>10.199999999999999</v>
      </c>
      <c r="CS391" s="1070">
        <f>CN391-5</f>
        <v>9.9</v>
      </c>
      <c r="CT391" s="40">
        <f>CT393-CT390</f>
        <v>10.022630375000006</v>
      </c>
      <c r="CU391" s="1070">
        <f>CP391</f>
        <v>10</v>
      </c>
      <c r="CV391" s="1070">
        <f>CQ391</f>
        <v>10.3</v>
      </c>
      <c r="CW391" s="1070">
        <f>CR391</f>
        <v>10.199999999999999</v>
      </c>
      <c r="CX391" s="1070">
        <f>CS391</f>
        <v>9.9</v>
      </c>
      <c r="CY391" s="40">
        <f>CY393-CY390</f>
        <v>10.100000000000023</v>
      </c>
      <c r="CZ391" s="1070">
        <f>CU391</f>
        <v>10</v>
      </c>
      <c r="DA391" s="1070">
        <f>CV391</f>
        <v>10.3</v>
      </c>
      <c r="DB391" s="1070">
        <f>CW391</f>
        <v>10.199999999999999</v>
      </c>
      <c r="DC391" s="1070">
        <f>CX391</f>
        <v>9.9</v>
      </c>
      <c r="DD391" s="40">
        <f>DD393-DD390</f>
        <v>10.100000000000023</v>
      </c>
      <c r="DE391" s="1070">
        <f>CZ391</f>
        <v>10</v>
      </c>
      <c r="DF391" s="1070">
        <f>DA391</f>
        <v>10.3</v>
      </c>
      <c r="DG391" s="1070">
        <f>DB391</f>
        <v>10.199999999999999</v>
      </c>
      <c r="DH391" s="1070">
        <f>DC391</f>
        <v>9.9</v>
      </c>
      <c r="DI391" s="40">
        <f>DI393-DI390</f>
        <v>10.099999999999966</v>
      </c>
      <c r="DJ391" s="1070">
        <f>DE391</f>
        <v>10</v>
      </c>
      <c r="DK391" s="1070">
        <f>DF391</f>
        <v>10.3</v>
      </c>
      <c r="DL391" s="1070">
        <f>DG391</f>
        <v>10.199999999999999</v>
      </c>
      <c r="DM391" s="1070">
        <f>DH391</f>
        <v>9.9</v>
      </c>
      <c r="DN391" s="40">
        <f>DN393-DN390</f>
        <v>10.100000000000023</v>
      </c>
      <c r="DO391" s="1070">
        <f>DJ391</f>
        <v>10</v>
      </c>
      <c r="DP391" s="1070">
        <f>DK391</f>
        <v>10.3</v>
      </c>
      <c r="DQ391" s="1070">
        <f>DL391</f>
        <v>10.199999999999999</v>
      </c>
      <c r="DR391" s="1070">
        <f>DM391</f>
        <v>9.9</v>
      </c>
      <c r="DS391" s="40">
        <f>DS393-DS390</f>
        <v>10.100000000000023</v>
      </c>
      <c r="DT391" s="1070">
        <f>DO391</f>
        <v>10</v>
      </c>
      <c r="DU391" s="1070">
        <f>DP391</f>
        <v>10.3</v>
      </c>
      <c r="DV391" s="1070">
        <f>DQ391</f>
        <v>10.199999999999999</v>
      </c>
      <c r="DW391" s="1070">
        <f>DR391</f>
        <v>9.9</v>
      </c>
      <c r="DX391" s="40">
        <f>DX393-DX390</f>
        <v>10.099999999999966</v>
      </c>
      <c r="DY391" s="1070">
        <f>DT391</f>
        <v>10</v>
      </c>
      <c r="DZ391" s="1070">
        <f>DU391</f>
        <v>10.3</v>
      </c>
      <c r="EA391" s="1070">
        <f>DV391</f>
        <v>10.199999999999999</v>
      </c>
      <c r="EB391" s="1070">
        <f>DW391</f>
        <v>9.9</v>
      </c>
      <c r="EC391" s="40">
        <f>EC393-EC390</f>
        <v>10.099999999999966</v>
      </c>
      <c r="ED391" s="16"/>
      <c r="EE391" s="16"/>
      <c r="EF391" s="16"/>
      <c r="EG391" s="16"/>
      <c r="EH391" s="16"/>
      <c r="EI391" s="16"/>
      <c r="EJ391" s="16"/>
      <c r="EK391" s="16"/>
      <c r="EL391" s="16"/>
      <c r="EM391" s="16"/>
      <c r="EN391" s="16"/>
      <c r="EO391" s="16"/>
      <c r="EP391" s="16"/>
      <c r="EQ391" s="16"/>
      <c r="ER391" s="16"/>
      <c r="ES391" s="16"/>
      <c r="ET391" s="16"/>
      <c r="EU391" s="16"/>
      <c r="EX391" s="16"/>
      <c r="EY391" s="228"/>
      <c r="EZ391" s="945"/>
      <c r="FA391" s="477"/>
      <c r="FB391" s="228"/>
      <c r="FC391" s="477"/>
      <c r="FD391" s="16"/>
    </row>
    <row r="392" spans="1:166" x14ac:dyDescent="0.2">
      <c r="A392" s="490" t="s">
        <v>519</v>
      </c>
      <c r="B392" s="16"/>
      <c r="C392" s="16"/>
      <c r="D392" s="16"/>
      <c r="E392" s="16"/>
      <c r="F392" s="16"/>
      <c r="G392" s="16"/>
      <c r="H392" s="16"/>
      <c r="I392" s="16"/>
      <c r="J392" s="16"/>
      <c r="K392" s="16"/>
      <c r="L392" s="16"/>
      <c r="M392" s="16"/>
      <c r="N392" s="16"/>
      <c r="O392" s="16"/>
      <c r="P392" s="16"/>
      <c r="Q392" s="85"/>
      <c r="R392" s="465"/>
      <c r="S392" s="465"/>
      <c r="T392" s="465"/>
      <c r="U392" s="465"/>
      <c r="V392" s="85">
        <f>U67</f>
        <v>107.2</v>
      </c>
      <c r="W392" s="53"/>
      <c r="X392" s="53"/>
      <c r="Y392" s="53"/>
      <c r="Z392" s="53"/>
      <c r="AA392" s="85"/>
      <c r="AB392" s="465"/>
      <c r="AC392" s="465"/>
      <c r="AD392" s="465"/>
      <c r="AE392" s="465"/>
      <c r="AF392" s="85"/>
      <c r="AG392" s="465"/>
      <c r="AH392" s="465"/>
      <c r="AI392" s="465"/>
      <c r="AJ392" s="465"/>
      <c r="AK392" s="85"/>
      <c r="AL392" s="465"/>
      <c r="AM392" s="465"/>
      <c r="AN392" s="465"/>
      <c r="AO392" s="465"/>
      <c r="AP392" s="85"/>
      <c r="AQ392" s="465"/>
      <c r="AR392" s="465"/>
      <c r="AS392" s="465"/>
      <c r="AT392" s="465"/>
      <c r="AU392" s="86"/>
      <c r="AV392" s="45"/>
      <c r="AW392" s="465"/>
      <c r="AX392" s="465"/>
      <c r="AY392" s="465"/>
      <c r="AZ392" s="465"/>
      <c r="BA392" s="85"/>
      <c r="BB392" s="86"/>
      <c r="BC392" s="465"/>
      <c r="BD392" s="465"/>
      <c r="BE392" s="465"/>
      <c r="BF392" s="85"/>
      <c r="BG392" s="465">
        <f>BG389</f>
        <v>0</v>
      </c>
      <c r="BH392" s="465">
        <f>BH389</f>
        <v>0</v>
      </c>
      <c r="BI392" s="465">
        <f>BI389</f>
        <v>0</v>
      </c>
      <c r="BJ392" s="465">
        <f>BJ389</f>
        <v>350.23877099999999</v>
      </c>
      <c r="BK392" s="85">
        <f>BK389</f>
        <v>350.23877099999999</v>
      </c>
      <c r="BL392" s="465">
        <f>BL389+BL391</f>
        <v>357.36981100000003</v>
      </c>
      <c r="BM392" s="465">
        <f t="shared" ref="BM392:BS392" si="2293">BM389</f>
        <v>351.245159</v>
      </c>
      <c r="BN392" s="465">
        <f t="shared" si="2293"/>
        <v>351.24509899999998</v>
      </c>
      <c r="BO392" s="465">
        <f t="shared" si="2293"/>
        <v>351.816664</v>
      </c>
      <c r="BP392" s="40">
        <f t="shared" si="2293"/>
        <v>351.816664</v>
      </c>
      <c r="BQ392" s="36">
        <f t="shared" si="2293"/>
        <v>351.93550400000004</v>
      </c>
      <c r="BR392" s="36">
        <f t="shared" si="2293"/>
        <v>351.93550400000004</v>
      </c>
      <c r="BS392" s="36">
        <f t="shared" si="2293"/>
        <v>351.96307300000001</v>
      </c>
      <c r="BT392" s="465">
        <f>BS392+BT386-BT383</f>
        <v>352.06307300000003</v>
      </c>
      <c r="BU392" s="40">
        <f>BT392</f>
        <v>352.06307300000003</v>
      </c>
      <c r="BV392" s="1324">
        <f t="shared" ref="BV392:BX392" si="2294">BV389</f>
        <v>351.93550400000004</v>
      </c>
      <c r="BW392" s="1324">
        <f t="shared" si="2294"/>
        <v>351.93550400000004</v>
      </c>
      <c r="BX392" s="1324">
        <f t="shared" si="2294"/>
        <v>351.96307300000001</v>
      </c>
      <c r="BY392" s="1324">
        <f>BX392+BY386-BY383</f>
        <v>352.06307300000003</v>
      </c>
      <c r="BZ392" s="40">
        <f>BY392</f>
        <v>352.06307300000003</v>
      </c>
      <c r="CA392" s="844">
        <f t="shared" ref="CA392:CP392" si="2295">SUM(CA390:CA391)</f>
        <v>467.19598500000001</v>
      </c>
      <c r="CB392" s="844">
        <f t="shared" si="2295"/>
        <v>476.34616800000003</v>
      </c>
      <c r="CC392" s="844">
        <f t="shared" si="2295"/>
        <v>476.47864450000003</v>
      </c>
      <c r="CD392" s="844">
        <f t="shared" si="2295"/>
        <v>474.7</v>
      </c>
      <c r="CE392" s="1582">
        <f t="shared" si="2295"/>
        <v>475.33749400000005</v>
      </c>
      <c r="CF392" s="844">
        <f t="shared" si="2295"/>
        <v>469.74821800000001</v>
      </c>
      <c r="CG392" s="844">
        <f t="shared" si="2295"/>
        <v>471.27739149999996</v>
      </c>
      <c r="CH392" s="844">
        <f t="shared" si="2295"/>
        <v>470.62649150000004</v>
      </c>
      <c r="CI392" s="844">
        <f t="shared" si="2295"/>
        <v>470.8</v>
      </c>
      <c r="CJ392" s="40">
        <f>CI392</f>
        <v>470.8</v>
      </c>
      <c r="CK392" s="844">
        <f t="shared" si="2295"/>
        <v>476.69106499999998</v>
      </c>
      <c r="CL392" s="844">
        <f>SUM(CL390:CL391)</f>
        <v>478.02304950000001</v>
      </c>
      <c r="CM392" s="844">
        <f>SUM(CM390:CM391)</f>
        <v>478.80697299999997</v>
      </c>
      <c r="CN392" s="844">
        <f>SUM(CN390:CN391)</f>
        <v>477.76314749999995</v>
      </c>
      <c r="CO392" s="40">
        <f>CN392</f>
        <v>477.76314749999995</v>
      </c>
      <c r="CP392" s="844">
        <f t="shared" si="2295"/>
        <v>474.20947849999999</v>
      </c>
      <c r="CQ392" s="844">
        <f>CP392+CQ386-CQ383</f>
        <v>473.62627850000001</v>
      </c>
      <c r="CR392" s="844">
        <f>CQ392+CR386-CR383</f>
        <v>473.04307850000004</v>
      </c>
      <c r="CS392" s="844">
        <f>CR392+CS386-CS383</f>
        <v>472.45987850000006</v>
      </c>
      <c r="CT392" s="40">
        <f>CS392</f>
        <v>472.45987850000006</v>
      </c>
      <c r="CU392" s="844">
        <f>CT392+CU386-CU383</f>
        <v>472.45987850000006</v>
      </c>
      <c r="CV392" s="844">
        <f>CU392+CV386-CV383</f>
        <v>471.83002250000004</v>
      </c>
      <c r="CW392" s="844">
        <f>CV392+CW386-CW383</f>
        <v>471.20016650000002</v>
      </c>
      <c r="CX392" s="844">
        <f>CW392+CX386-CX383</f>
        <v>470.57031050000001</v>
      </c>
      <c r="CY392" s="40">
        <f>CX392</f>
        <v>470.57031050000001</v>
      </c>
      <c r="CZ392" s="844">
        <f>CY392+CZ386-CZ383</f>
        <v>470.57031050000001</v>
      </c>
      <c r="DA392" s="844">
        <f>CZ392+DA386-DA383</f>
        <v>469.89006602000001</v>
      </c>
      <c r="DB392" s="844">
        <f>DA392+DB386-DB383</f>
        <v>469.20982154000001</v>
      </c>
      <c r="DC392" s="844">
        <f>DB392+DC386-DC383</f>
        <v>468.52957706000001</v>
      </c>
      <c r="DD392" s="40">
        <f>DC392</f>
        <v>468.52957706000001</v>
      </c>
      <c r="DE392" s="844">
        <f>DD392+DE386-DE383</f>
        <v>468.52957706000001</v>
      </c>
      <c r="DF392" s="844">
        <f>DE392+DF386-DF383</f>
        <v>467.7949130216</v>
      </c>
      <c r="DG392" s="844">
        <f>DF392+DG386-DG383</f>
        <v>467.06024898319998</v>
      </c>
      <c r="DH392" s="844">
        <f>DG392+DH386-DH383</f>
        <v>466.32558494479997</v>
      </c>
      <c r="DI392" s="40">
        <f>DH392</f>
        <v>466.32558494479997</v>
      </c>
      <c r="DJ392" s="844">
        <f>DI392+DJ386-DJ383</f>
        <v>466.32558494479997</v>
      </c>
      <c r="DK392" s="844">
        <f>DJ392+DK386-DK383</f>
        <v>465.53214778332796</v>
      </c>
      <c r="DL392" s="844">
        <f>DK392+DL386-DL383</f>
        <v>464.73871062185594</v>
      </c>
      <c r="DM392" s="844">
        <f>DL392+DM386-DM383</f>
        <v>463.94527346038393</v>
      </c>
      <c r="DN392" s="40">
        <f>DM392</f>
        <v>463.94527346038393</v>
      </c>
      <c r="DO392" s="844">
        <f>DN392+DO386-DO383</f>
        <v>463.94527346038393</v>
      </c>
      <c r="DP392" s="844">
        <f>DO392+DP386-DP383</f>
        <v>463.08836132599419</v>
      </c>
      <c r="DQ392" s="844">
        <f>DP392+DQ386-DQ383</f>
        <v>462.23144919160444</v>
      </c>
      <c r="DR392" s="844">
        <f>DQ392+DR386-DR383</f>
        <v>461.3745370572147</v>
      </c>
      <c r="DS392" s="40">
        <f>DR392</f>
        <v>461.3745370572147</v>
      </c>
      <c r="DT392" s="844">
        <f>DS392+DT386-DT383</f>
        <v>461.3745370572147</v>
      </c>
      <c r="DU392" s="844">
        <f>DT392+DU386-DU383</f>
        <v>460.44907195207378</v>
      </c>
      <c r="DV392" s="844">
        <f>DU392+DV386-DV383</f>
        <v>459.52360684693286</v>
      </c>
      <c r="DW392" s="844">
        <f>DV392+DW386-DW383</f>
        <v>458.59814174179195</v>
      </c>
      <c r="DX392" s="40">
        <f>DW392</f>
        <v>458.59814174179195</v>
      </c>
      <c r="DY392" s="844">
        <f>DX392+DY386-DY383</f>
        <v>458.59814174179195</v>
      </c>
      <c r="DZ392" s="844">
        <f>DY392+DZ386-DZ383</f>
        <v>457.59863942823972</v>
      </c>
      <c r="EA392" s="844">
        <f>DZ392+EA386-EA383</f>
        <v>456.59913711468749</v>
      </c>
      <c r="EB392" s="844">
        <f>EA392+EB386-EB383</f>
        <v>455.59963480113527</v>
      </c>
      <c r="EC392" s="40">
        <f>EB392</f>
        <v>455.59963480113527</v>
      </c>
      <c r="ED392" s="16"/>
      <c r="EE392" s="16"/>
      <c r="EF392" s="16"/>
      <c r="EG392" s="16"/>
      <c r="EH392" s="16"/>
      <c r="EI392" s="16"/>
      <c r="EJ392" s="16"/>
      <c r="EK392" s="16"/>
      <c r="EL392" s="16"/>
      <c r="EM392" s="16"/>
      <c r="EN392" s="16"/>
      <c r="EO392" s="16"/>
      <c r="EP392" s="16"/>
      <c r="EQ392" s="16"/>
      <c r="ER392" s="16"/>
      <c r="ES392" s="16"/>
      <c r="ET392" s="16"/>
      <c r="EU392" s="16"/>
      <c r="EX392" s="16"/>
      <c r="EY392" s="228"/>
      <c r="EZ392" s="945"/>
      <c r="FA392" s="477"/>
      <c r="FB392" s="228"/>
      <c r="FC392" s="477"/>
      <c r="FD392" s="16"/>
    </row>
    <row r="393" spans="1:166" x14ac:dyDescent="0.2">
      <c r="A393" s="592" t="s">
        <v>518</v>
      </c>
      <c r="B393" s="807"/>
      <c r="C393" s="807"/>
      <c r="D393" s="807"/>
      <c r="E393" s="807"/>
      <c r="F393" s="807"/>
      <c r="G393" s="807"/>
      <c r="H393" s="807"/>
      <c r="I393" s="807"/>
      <c r="J393" s="807"/>
      <c r="K393" s="807"/>
      <c r="L393" s="807"/>
      <c r="M393" s="807"/>
      <c r="N393" s="807"/>
      <c r="O393" s="807"/>
      <c r="P393" s="808"/>
      <c r="Q393" s="593"/>
      <c r="R393" s="594"/>
      <c r="S393" s="594"/>
      <c r="T393" s="594"/>
      <c r="U393" s="594"/>
      <c r="V393" s="593">
        <v>106.9</v>
      </c>
      <c r="W393" s="594">
        <v>112.372</v>
      </c>
      <c r="X393" s="594">
        <v>112.896</v>
      </c>
      <c r="Y393" s="594">
        <v>107.3</v>
      </c>
      <c r="Z393" s="594">
        <f>Z390</f>
        <v>120.4</v>
      </c>
      <c r="AA393" s="593">
        <f t="shared" ref="AA393:AR393" si="2296">AA66</f>
        <v>114.67700000000001</v>
      </c>
      <c r="AB393" s="594">
        <f t="shared" si="2296"/>
        <v>135.9</v>
      </c>
      <c r="AC393" s="594">
        <f t="shared" si="2296"/>
        <v>136.455343</v>
      </c>
      <c r="AD393" s="594">
        <f t="shared" si="2296"/>
        <v>137.19999999999999</v>
      </c>
      <c r="AE393" s="594">
        <f t="shared" si="2296"/>
        <v>137.6</v>
      </c>
      <c r="AF393" s="593">
        <f t="shared" si="2296"/>
        <v>136.80000000000001</v>
      </c>
      <c r="AG393" s="594">
        <f t="shared" si="2296"/>
        <v>137.69999999999999</v>
      </c>
      <c r="AH393" s="594">
        <f t="shared" si="2296"/>
        <v>137.9</v>
      </c>
      <c r="AI393" s="594">
        <f t="shared" si="2296"/>
        <v>137.5</v>
      </c>
      <c r="AJ393" s="594">
        <f t="shared" si="2296"/>
        <v>137.30000000000001</v>
      </c>
      <c r="AK393" s="593">
        <f t="shared" si="2296"/>
        <v>137.60000000000002</v>
      </c>
      <c r="AL393" s="594">
        <f t="shared" si="2296"/>
        <v>137.30000000000001</v>
      </c>
      <c r="AM393" s="594">
        <f t="shared" si="2296"/>
        <v>136.477361</v>
      </c>
      <c r="AN393" s="594">
        <f t="shared" si="2296"/>
        <v>136.69999999999999</v>
      </c>
      <c r="AO393" s="594">
        <f t="shared" si="2296"/>
        <v>136.69999999999999</v>
      </c>
      <c r="AP393" s="593">
        <f t="shared" si="2296"/>
        <v>136.79434025</v>
      </c>
      <c r="AQ393" s="594">
        <f t="shared" si="2296"/>
        <v>136.80000000000001</v>
      </c>
      <c r="AR393" s="594">
        <f t="shared" si="2296"/>
        <v>136.80000000000001</v>
      </c>
      <c r="AS393" s="594"/>
      <c r="AT393" s="594"/>
      <c r="AU393" s="667">
        <f>AU66</f>
        <v>137.125</v>
      </c>
      <c r="AV393" s="45"/>
      <c r="AW393" s="594">
        <f>AW66</f>
        <v>137.19999999999999</v>
      </c>
      <c r="AX393" s="594">
        <f>AX66</f>
        <v>137.69999999999999</v>
      </c>
      <c r="AY393" s="594"/>
      <c r="AZ393" s="594"/>
      <c r="BA393" s="593">
        <f t="shared" ref="BA393:BS393" si="2297">BA67</f>
        <v>137.19999999999999</v>
      </c>
      <c r="BB393" s="667">
        <f t="shared" si="2297"/>
        <v>348.3</v>
      </c>
      <c r="BC393" s="594">
        <f t="shared" si="2297"/>
        <v>348.3</v>
      </c>
      <c r="BD393" s="594">
        <f t="shared" si="2297"/>
        <v>348.3</v>
      </c>
      <c r="BE393" s="594">
        <f t="shared" si="2297"/>
        <v>348.2</v>
      </c>
      <c r="BF393" s="593">
        <f t="shared" si="2297"/>
        <v>348.2</v>
      </c>
      <c r="BG393" s="594">
        <f t="shared" si="2297"/>
        <v>351.9</v>
      </c>
      <c r="BH393" s="594">
        <f t="shared" si="2297"/>
        <v>354.6</v>
      </c>
      <c r="BI393" s="594">
        <f t="shared" si="2297"/>
        <v>355</v>
      </c>
      <c r="BJ393" s="594">
        <f t="shared" si="2297"/>
        <v>356.4</v>
      </c>
      <c r="BK393" s="593">
        <f t="shared" si="2297"/>
        <v>354.1</v>
      </c>
      <c r="BL393" s="594">
        <f t="shared" si="2297"/>
        <v>357.1</v>
      </c>
      <c r="BM393" s="594">
        <f t="shared" si="2297"/>
        <v>357.7</v>
      </c>
      <c r="BN393" s="594">
        <f t="shared" si="2297"/>
        <v>358.1</v>
      </c>
      <c r="BO393" s="594">
        <f t="shared" si="2297"/>
        <v>358.4</v>
      </c>
      <c r="BP393" s="593">
        <f t="shared" si="2297"/>
        <v>357.82500000000005</v>
      </c>
      <c r="BQ393" s="594">
        <f t="shared" si="2297"/>
        <v>359.2</v>
      </c>
      <c r="BR393" s="594">
        <f t="shared" si="2297"/>
        <v>359.4</v>
      </c>
      <c r="BS393" s="594">
        <f t="shared" si="2297"/>
        <v>359.2</v>
      </c>
      <c r="BT393" s="594">
        <f>BT390+BT391</f>
        <v>416.50443749999999</v>
      </c>
      <c r="BU393" s="593">
        <f t="shared" ref="BU393:CK393" si="2298">BU67</f>
        <v>363.625</v>
      </c>
      <c r="BV393" s="1325">
        <f t="shared" si="2298"/>
        <v>476.1</v>
      </c>
      <c r="BW393" s="1325">
        <f t="shared" si="2298"/>
        <v>476.1</v>
      </c>
      <c r="BX393" s="1325">
        <f t="shared" si="2298"/>
        <v>476.1</v>
      </c>
      <c r="BY393" s="1325">
        <f t="shared" si="2298"/>
        <v>476.1</v>
      </c>
      <c r="BZ393" s="593">
        <f t="shared" si="2298"/>
        <v>476.1</v>
      </c>
      <c r="CA393" s="1325">
        <f t="shared" si="2298"/>
        <v>467.2</v>
      </c>
      <c r="CB393" s="1325">
        <f t="shared" si="2298"/>
        <v>476.4</v>
      </c>
      <c r="CC393" s="1325">
        <f t="shared" si="2298"/>
        <v>476.5</v>
      </c>
      <c r="CD393" s="1325">
        <f t="shared" si="2298"/>
        <v>474.7</v>
      </c>
      <c r="CE393" s="593">
        <f t="shared" si="2298"/>
        <v>476</v>
      </c>
      <c r="CF393" s="594">
        <f t="shared" si="2298"/>
        <v>468.4</v>
      </c>
      <c r="CG393" s="594">
        <f t="shared" si="2298"/>
        <v>470.1</v>
      </c>
      <c r="CH393" s="594">
        <f t="shared" si="2298"/>
        <v>470.6</v>
      </c>
      <c r="CI393" s="594">
        <f t="shared" si="2298"/>
        <v>470.8</v>
      </c>
      <c r="CJ393" s="593">
        <f>CJ67</f>
        <v>469.97499999999997</v>
      </c>
      <c r="CK393" s="594">
        <f t="shared" si="2298"/>
        <v>476.5</v>
      </c>
      <c r="CL393" s="594">
        <f>CL67</f>
        <v>478</v>
      </c>
      <c r="CM393" s="594">
        <f>CM67</f>
        <v>478.6</v>
      </c>
      <c r="CN393" s="594">
        <f>CN67</f>
        <v>476.2</v>
      </c>
      <c r="CO393" s="593">
        <f>CO67</f>
        <v>477.32499999999999</v>
      </c>
      <c r="CP393" s="594">
        <f>CP67</f>
        <v>473.9</v>
      </c>
      <c r="CQ393" s="594">
        <f>CQ390+CQ391</f>
        <v>476.81895700000001</v>
      </c>
      <c r="CR393" s="594">
        <f>CR390+CR391</f>
        <v>476.13575700000007</v>
      </c>
      <c r="CS393" s="594">
        <f>CS390+CS391</f>
        <v>475.25255700000002</v>
      </c>
      <c r="CT393" s="593">
        <f>CT67</f>
        <v>475.52681775000002</v>
      </c>
      <c r="CU393" s="594">
        <f>CU390+CU391</f>
        <v>475.93575700000008</v>
      </c>
      <c r="CV393" s="594">
        <f>CV390+CV391</f>
        <v>476.79562900000002</v>
      </c>
      <c r="CW393" s="594">
        <f>CW390+CW391</f>
        <v>476.06577299999998</v>
      </c>
      <c r="CX393" s="594">
        <f>CX390+CX391</f>
        <v>475.13591699999995</v>
      </c>
      <c r="CY393" s="593">
        <f>CY67</f>
        <v>475.98326900000006</v>
      </c>
      <c r="CZ393" s="594">
        <f>CZ390+CZ391</f>
        <v>475.86577299999999</v>
      </c>
      <c r="DA393" s="594">
        <f>DA390+DA391</f>
        <v>476.77043476</v>
      </c>
      <c r="DB393" s="594">
        <f>DB390+DB391</f>
        <v>475.99019028000004</v>
      </c>
      <c r="DC393" s="594">
        <f>DC390+DC391</f>
        <v>475.00994579999997</v>
      </c>
      <c r="DD393" s="593">
        <f>DD67</f>
        <v>475.90908595999997</v>
      </c>
      <c r="DE393" s="594">
        <f>DE390+DE391</f>
        <v>475.79019028000005</v>
      </c>
      <c r="DF393" s="594">
        <f>DF390+DF391</f>
        <v>476.74322498079999</v>
      </c>
      <c r="DG393" s="594">
        <f>DG390+DG391</f>
        <v>475.90856094240002</v>
      </c>
      <c r="DH393" s="594">
        <f>DH390+DH391</f>
        <v>474.87389690399993</v>
      </c>
      <c r="DI393" s="593">
        <f>DI67</f>
        <v>475.82896827679997</v>
      </c>
      <c r="DJ393" s="594">
        <f>DJ390+DJ391</f>
        <v>475.70856094240003</v>
      </c>
      <c r="DK393" s="594">
        <f>DK390+DK391</f>
        <v>476.71383841926405</v>
      </c>
      <c r="DL393" s="594">
        <f>DL390+DL391</f>
        <v>475.82040125779196</v>
      </c>
      <c r="DM393" s="594">
        <f>DM390+DM391</f>
        <v>474.72696409631999</v>
      </c>
      <c r="DN393" s="593">
        <f>DN67</f>
        <v>475.74244117894398</v>
      </c>
      <c r="DO393" s="594">
        <f>DO390+DO391</f>
        <v>475.62040125779197</v>
      </c>
      <c r="DP393" s="594">
        <f>DP390+DP391</f>
        <v>476.68210093280516</v>
      </c>
      <c r="DQ393" s="594">
        <f>DQ390+DQ391</f>
        <v>475.72518879841539</v>
      </c>
      <c r="DR393" s="594">
        <f>DR390+DR391</f>
        <v>474.56827666402563</v>
      </c>
      <c r="DS393" s="593">
        <f>DS67</f>
        <v>475.64899191325958</v>
      </c>
      <c r="DT393" s="594">
        <f>DT390+DT391</f>
        <v>475.5251887984154</v>
      </c>
      <c r="DU393" s="594">
        <f>DU390+DU391</f>
        <v>476.64782444742957</v>
      </c>
      <c r="DV393" s="594">
        <f>DV390+DV391</f>
        <v>475.62235934228863</v>
      </c>
      <c r="DW393" s="594">
        <f>DW390+DW391</f>
        <v>474.39689423714771</v>
      </c>
      <c r="DX393" s="593">
        <f>DX67</f>
        <v>475.5480667063203</v>
      </c>
      <c r="DY393" s="594">
        <f>DY390+DY391</f>
        <v>475.42235934228864</v>
      </c>
      <c r="DZ393" s="594">
        <f>DZ390+DZ391</f>
        <v>476.61080584322389</v>
      </c>
      <c r="EA393" s="594">
        <f>EA390+EA391</f>
        <v>475.51130352967169</v>
      </c>
      <c r="EB393" s="594">
        <f>EB390+EB391</f>
        <v>474.2118012161194</v>
      </c>
      <c r="EC393" s="593">
        <f>EC67</f>
        <v>475.43906748282586</v>
      </c>
      <c r="ED393" s="16"/>
      <c r="EE393" s="16"/>
      <c r="EF393" s="16"/>
      <c r="EG393" s="16"/>
      <c r="EH393" s="16"/>
      <c r="EI393" s="16"/>
      <c r="EJ393" s="16"/>
      <c r="EK393" s="16"/>
      <c r="EL393" s="16"/>
      <c r="EM393" s="16"/>
      <c r="EN393" s="16"/>
      <c r="EO393" s="16"/>
      <c r="EP393" s="16"/>
      <c r="EQ393" s="16"/>
      <c r="ER393" s="16"/>
      <c r="ES393" s="16"/>
      <c r="ET393" s="16"/>
      <c r="EU393" s="16"/>
      <c r="EX393" s="16"/>
      <c r="EY393" s="228"/>
      <c r="EZ393" s="945"/>
      <c r="FA393" s="477"/>
      <c r="FB393" s="228"/>
      <c r="FC393" s="477"/>
      <c r="FD393" s="16"/>
    </row>
    <row r="394" spans="1:166" x14ac:dyDescent="0.2">
      <c r="A394" s="490" t="s">
        <v>118</v>
      </c>
      <c r="B394" s="21"/>
      <c r="C394" s="21"/>
      <c r="D394" s="21"/>
      <c r="E394" s="21"/>
      <c r="F394" s="21"/>
      <c r="G394" s="21"/>
      <c r="H394" s="21"/>
      <c r="I394" s="21"/>
      <c r="J394" s="21"/>
      <c r="K394" s="21"/>
      <c r="L394" s="21"/>
      <c r="M394" s="21"/>
      <c r="N394" s="21"/>
      <c r="O394" s="21"/>
      <c r="P394" s="21"/>
      <c r="Q394" s="464"/>
      <c r="R394" s="464"/>
      <c r="S394" s="464"/>
      <c r="T394" s="464"/>
      <c r="U394" s="464"/>
      <c r="V394" s="464"/>
      <c r="W394" s="464"/>
      <c r="X394" s="464"/>
      <c r="Y394" s="464"/>
      <c r="Z394" s="464"/>
      <c r="AA394" s="464"/>
      <c r="AB394" s="464"/>
      <c r="AC394" s="464"/>
      <c r="AD394" s="464"/>
      <c r="AE394" s="464"/>
      <c r="AF394" s="464"/>
      <c r="AG394" s="464"/>
      <c r="AH394" s="464"/>
      <c r="AI394" s="464"/>
      <c r="AJ394" s="464"/>
      <c r="AK394" s="464"/>
      <c r="AL394" s="464"/>
      <c r="AM394" s="464"/>
      <c r="AN394" s="464"/>
      <c r="AO394" s="464"/>
      <c r="AP394" s="464"/>
      <c r="AQ394" s="464"/>
      <c r="AR394" s="464"/>
      <c r="AS394" s="464"/>
      <c r="AT394" s="464"/>
      <c r="AU394" s="464"/>
      <c r="AV394" s="45"/>
      <c r="AW394" s="464"/>
      <c r="AX394" s="464"/>
      <c r="AY394" s="464"/>
      <c r="AZ394" s="464"/>
      <c r="BA394" s="464"/>
      <c r="BB394" s="464"/>
      <c r="BC394" s="464"/>
      <c r="BD394" s="464"/>
      <c r="BE394" s="464"/>
      <c r="BF394" s="464"/>
      <c r="BG394" s="464"/>
      <c r="BH394" s="464"/>
      <c r="BI394" s="464"/>
      <c r="BJ394" s="464"/>
      <c r="BK394" s="464"/>
      <c r="BL394" s="464">
        <f>BS!BL10</f>
        <v>598.79999999999995</v>
      </c>
      <c r="BM394" s="464">
        <f>BS!BM10</f>
        <v>654.1</v>
      </c>
      <c r="BN394" s="464">
        <f>BS!BN10</f>
        <v>764.3</v>
      </c>
      <c r="BO394" s="464">
        <f>BS!BO10</f>
        <v>786.9</v>
      </c>
      <c r="BP394" s="464">
        <f>BS!BP10</f>
        <v>786.9</v>
      </c>
      <c r="BQ394" s="464">
        <f>BS!BQ10</f>
        <v>863.1</v>
      </c>
      <c r="BR394" s="464">
        <f>BS!BR10</f>
        <v>904.7</v>
      </c>
      <c r="BS394" s="464">
        <f>BS!BS10</f>
        <v>1013.7</v>
      </c>
      <c r="BT394" s="464">
        <f>BS!BT10</f>
        <v>1803.2</v>
      </c>
      <c r="BU394" s="464">
        <f>BS!BU10</f>
        <v>1803.2</v>
      </c>
      <c r="BV394" s="1323">
        <f>BS!BV10</f>
        <v>1021.9</v>
      </c>
      <c r="BW394" s="1323">
        <f>BS!BW10</f>
        <v>688.9</v>
      </c>
      <c r="BX394" s="1323">
        <f>BS!BX10</f>
        <v>975.5</v>
      </c>
      <c r="BY394" s="1323">
        <f>BS!BY10</f>
        <v>757.8</v>
      </c>
      <c r="BZ394" s="464">
        <f>BS!BZ10</f>
        <v>757.8</v>
      </c>
      <c r="CA394" s="464">
        <f>BS!BV10</f>
        <v>1021.9</v>
      </c>
      <c r="CB394" s="464">
        <f>BS!BW10</f>
        <v>688.9</v>
      </c>
      <c r="CC394" s="464">
        <f>BS!BX10</f>
        <v>975.5</v>
      </c>
      <c r="CD394" s="464">
        <f>BS!BY10</f>
        <v>757.8</v>
      </c>
      <c r="CE394" s="464">
        <f>BS!BZ10</f>
        <v>757.8</v>
      </c>
      <c r="CF394" s="464">
        <f>BS!CA10</f>
        <v>825.9</v>
      </c>
      <c r="CG394" s="464">
        <f>BS!CB10</f>
        <v>998.1</v>
      </c>
      <c r="CH394" s="464">
        <f>BS!CC10</f>
        <v>1274.4000000000001</v>
      </c>
      <c r="CI394" s="464">
        <f>BS!CD10</f>
        <v>1460.4</v>
      </c>
      <c r="CJ394" s="464">
        <f>BS!CE10</f>
        <v>1460.4</v>
      </c>
      <c r="CK394" s="464">
        <f>BS!CF10</f>
        <v>923.9</v>
      </c>
      <c r="CL394" s="464">
        <f>BS!CG10</f>
        <v>3435.5</v>
      </c>
      <c r="CM394" s="464">
        <f>BS!CH10</f>
        <v>3607.1</v>
      </c>
      <c r="CN394" s="464">
        <f>BS!CI10</f>
        <v>1073.4000000000001</v>
      </c>
      <c r="CO394" s="464">
        <f>BS!CJ10</f>
        <v>1073.4000000000001</v>
      </c>
      <c r="CP394" s="464">
        <f>BS!CK10</f>
        <v>852.4</v>
      </c>
      <c r="CQ394" s="464">
        <f>BS!CL10</f>
        <v>935.38424829506721</v>
      </c>
      <c r="CR394" s="464">
        <f>BS!CM10</f>
        <v>1027.71809665518</v>
      </c>
      <c r="CS394" s="464">
        <f>BS!CN10</f>
        <v>1545.2036277047257</v>
      </c>
      <c r="CT394" s="464">
        <f>BS!CO10</f>
        <v>1545.2036277047257</v>
      </c>
      <c r="CU394" s="464">
        <f>BS!CP10</f>
        <v>1327.7932213713621</v>
      </c>
      <c r="CV394" s="464">
        <f>BS!CQ10</f>
        <v>1343.7520719715656</v>
      </c>
      <c r="CW394" s="464">
        <f>BS!CR10</f>
        <v>1471.0482325030589</v>
      </c>
      <c r="CX394" s="464">
        <f>BS!CS10</f>
        <v>2046.8802340869402</v>
      </c>
      <c r="CY394" s="464">
        <f>BS!CT10</f>
        <v>2046.8802340869402</v>
      </c>
      <c r="CZ394" s="464">
        <f>BS!CU10</f>
        <v>1821.5713381088854</v>
      </c>
      <c r="DA394" s="464">
        <f>BS!CV10</f>
        <v>1862.2164360808745</v>
      </c>
      <c r="DB394" s="464">
        <f>BS!CW10</f>
        <v>2024.3112114208122</v>
      </c>
      <c r="DC394" s="464">
        <f>BS!CX10</f>
        <v>2663.2723976584775</v>
      </c>
      <c r="DD394" s="464">
        <f>BS!CY10</f>
        <v>2663.2723976584775</v>
      </c>
      <c r="DE394" s="464">
        <f>BS!CZ10</f>
        <v>2452.2149585647617</v>
      </c>
      <c r="DF394" s="464">
        <f>BS!DA10</f>
        <v>2511.6738981101403</v>
      </c>
      <c r="DG394" s="464">
        <f>BS!DB10</f>
        <v>2708.6185114464729</v>
      </c>
      <c r="DH394" s="464">
        <f>BS!DC10</f>
        <v>2778.667863069224</v>
      </c>
      <c r="DI394" s="464">
        <f>BS!DD10</f>
        <v>2778.667863069224</v>
      </c>
      <c r="DJ394" s="464">
        <f>BS!DE10</f>
        <v>2583.4557657617265</v>
      </c>
      <c r="DK394" s="464">
        <f>BS!DF10</f>
        <v>2678.0120563957416</v>
      </c>
      <c r="DL394" s="464">
        <f>BS!DG10</f>
        <v>2919.2130399990237</v>
      </c>
      <c r="DM394" s="464">
        <f>BS!DH10</f>
        <v>3709.003451105159</v>
      </c>
      <c r="DN394" s="464">
        <f>BS!DI10</f>
        <v>3709.003451105159</v>
      </c>
      <c r="DO394" s="464">
        <f>BS!DJ10</f>
        <v>3504.8986228915442</v>
      </c>
      <c r="DP394" s="464">
        <f>BS!DK10</f>
        <v>3628.1014805667623</v>
      </c>
      <c r="DQ394" s="464">
        <f>BS!DL10</f>
        <v>3908.005116647003</v>
      </c>
      <c r="DR394" s="464">
        <f>BS!DM10</f>
        <v>4770.0973409518883</v>
      </c>
      <c r="DS394" s="464">
        <f>BS!DN10</f>
        <v>4770.0973409518883</v>
      </c>
      <c r="DT394" s="464">
        <f>BS!DO10</f>
        <v>4546.2661560677534</v>
      </c>
      <c r="DU394" s="464">
        <f>BS!DP10</f>
        <v>4656.1053747558653</v>
      </c>
      <c r="DV394" s="464">
        <f>BS!DQ10</f>
        <v>4944.065755233747</v>
      </c>
      <c r="DW394" s="464">
        <f>BS!DR10</f>
        <v>5862.2197670922296</v>
      </c>
      <c r="DX394" s="464">
        <f>BS!DS10</f>
        <v>5862.2197670922296</v>
      </c>
      <c r="DY394" s="464">
        <f>BS!DT10</f>
        <v>5638.0622162631307</v>
      </c>
      <c r="DZ394" s="464">
        <f>BS!DU10</f>
        <v>5770.3699817933812</v>
      </c>
      <c r="EA394" s="464">
        <f>BS!DV10</f>
        <v>6078.0303062797366</v>
      </c>
      <c r="EB394" s="464">
        <f>BS!DW10</f>
        <v>7054.9707667042403</v>
      </c>
      <c r="EC394" s="464">
        <f>BS!DX10</f>
        <v>7054.9707667042403</v>
      </c>
      <c r="ED394" s="16"/>
      <c r="EE394" s="16"/>
      <c r="EF394" s="16"/>
      <c r="EG394" s="16"/>
      <c r="EH394" s="16"/>
      <c r="EI394" s="16"/>
      <c r="EJ394" s="16"/>
      <c r="EK394" s="16"/>
      <c r="EL394" s="16"/>
      <c r="EM394" s="16"/>
      <c r="EN394" s="16"/>
      <c r="EO394" s="16"/>
      <c r="EP394" s="16"/>
      <c r="EQ394" s="16"/>
      <c r="ER394" s="16"/>
      <c r="ES394" s="16"/>
      <c r="ET394" s="16"/>
      <c r="EU394" s="16"/>
      <c r="EX394" s="16"/>
      <c r="EY394" s="228"/>
      <c r="EZ394" s="991"/>
      <c r="FA394" s="477"/>
      <c r="FB394" s="228"/>
      <c r="FC394" s="477"/>
      <c r="FD394" s="16"/>
    </row>
    <row r="395" spans="1:166" x14ac:dyDescent="0.2">
      <c r="A395" s="23"/>
      <c r="B395" s="16"/>
      <c r="C395" s="16"/>
      <c r="D395" s="16"/>
      <c r="E395" s="16"/>
      <c r="F395" s="16"/>
      <c r="G395" s="16"/>
      <c r="H395" s="16"/>
      <c r="I395" s="16"/>
      <c r="J395" s="16"/>
      <c r="K395" s="16"/>
      <c r="L395" s="16"/>
      <c r="M395" s="16"/>
      <c r="N395" s="16"/>
      <c r="O395" s="16"/>
      <c r="P395" s="16"/>
      <c r="Q395" s="16"/>
      <c r="R395" s="16"/>
      <c r="S395" s="16"/>
      <c r="T395" s="16"/>
      <c r="U395" s="16"/>
      <c r="V395" s="16"/>
      <c r="W395" s="16"/>
      <c r="X395" s="16"/>
      <c r="Y395" s="16"/>
      <c r="Z395" s="16"/>
      <c r="AA395" s="16"/>
      <c r="AB395" s="16"/>
      <c r="AC395" s="16"/>
      <c r="AD395" s="16"/>
      <c r="AE395" s="16"/>
      <c r="AF395" s="16"/>
      <c r="AG395" s="16"/>
      <c r="AH395" s="16"/>
      <c r="AI395" s="16"/>
      <c r="AJ395" s="16"/>
      <c r="AK395" s="16"/>
      <c r="AL395" s="16"/>
      <c r="AM395" s="16"/>
      <c r="AN395" s="16"/>
      <c r="AO395" s="16"/>
      <c r="AP395" s="16"/>
      <c r="AQ395" s="16"/>
      <c r="AR395" s="16"/>
      <c r="AS395" s="16"/>
      <c r="AT395" s="16"/>
      <c r="AU395" s="16"/>
      <c r="AV395" s="45"/>
      <c r="AW395" s="16"/>
      <c r="AX395" s="16"/>
      <c r="AY395" s="21"/>
      <c r="AZ395" s="21"/>
      <c r="BA395" s="16"/>
      <c r="BB395" s="16"/>
      <c r="BC395" s="21"/>
      <c r="BD395" s="16"/>
      <c r="BE395" s="16"/>
      <c r="BF395" s="16"/>
      <c r="BG395" s="16"/>
      <c r="BH395" s="16"/>
      <c r="BI395" s="16"/>
      <c r="BJ395" s="16"/>
      <c r="BK395" s="15"/>
      <c r="BL395" s="15"/>
      <c r="BM395" s="15"/>
      <c r="BN395" s="15"/>
      <c r="BO395" s="15"/>
      <c r="BP395" s="16"/>
      <c r="BQ395" s="16"/>
      <c r="BR395" s="16"/>
      <c r="BS395" s="16"/>
      <c r="BT395" s="16"/>
      <c r="BU395" s="16"/>
      <c r="BV395" s="1310"/>
      <c r="BW395" s="1310"/>
      <c r="BX395" s="1310"/>
      <c r="BY395" s="1310"/>
      <c r="BZ395" s="16"/>
      <c r="CA395" s="16"/>
      <c r="CB395" s="16"/>
      <c r="CC395" s="16"/>
      <c r="CD395" s="16"/>
      <c r="CE395" s="16"/>
      <c r="CF395" s="16"/>
      <c r="CG395" s="16"/>
      <c r="CH395" s="16"/>
      <c r="CI395" s="16"/>
      <c r="CJ395" s="16"/>
      <c r="CK395" s="16"/>
      <c r="CL395" s="16"/>
      <c r="CM395" s="16"/>
      <c r="CN395" s="16"/>
      <c r="CO395" s="16"/>
      <c r="CP395" s="16"/>
      <c r="CQ395" s="16"/>
      <c r="CR395" s="16"/>
      <c r="CS395" s="16"/>
      <c r="CT395" s="16"/>
      <c r="CU395" s="16"/>
      <c r="CV395" s="16"/>
      <c r="CW395" s="16"/>
      <c r="CX395" s="16"/>
      <c r="CY395" s="16"/>
      <c r="CZ395" s="16"/>
      <c r="DA395" s="16"/>
      <c r="DB395" s="16"/>
      <c r="DC395" s="16"/>
      <c r="DD395" s="16"/>
      <c r="DE395" s="16"/>
      <c r="DF395" s="16"/>
      <c r="DG395" s="16"/>
      <c r="DH395" s="16"/>
      <c r="DI395" s="16"/>
      <c r="DJ395" s="16"/>
      <c r="DK395" s="16"/>
      <c r="DL395" s="16"/>
      <c r="DM395" s="16"/>
      <c r="DN395" s="16"/>
      <c r="DO395" s="16"/>
      <c r="DP395" s="16"/>
      <c r="DQ395" s="16"/>
      <c r="DR395" s="16"/>
      <c r="DS395" s="16"/>
      <c r="DT395" s="16"/>
      <c r="DU395" s="16"/>
      <c r="DV395" s="16"/>
      <c r="DW395" s="16"/>
      <c r="DX395" s="16"/>
      <c r="DY395" s="16"/>
      <c r="DZ395" s="16"/>
      <c r="EA395" s="16"/>
      <c r="EB395" s="16"/>
      <c r="EC395" s="16"/>
      <c r="ED395" s="16"/>
      <c r="EE395" s="16"/>
      <c r="EF395" s="16"/>
      <c r="EG395" s="16"/>
      <c r="EH395" s="16"/>
      <c r="EI395" s="16"/>
      <c r="EJ395" s="16"/>
      <c r="EK395" s="16"/>
      <c r="EL395" s="16"/>
      <c r="EM395" s="16"/>
      <c r="EN395" s="16"/>
      <c r="EO395" s="16"/>
      <c r="EP395" s="16"/>
      <c r="EQ395" s="16"/>
      <c r="ER395" s="16"/>
      <c r="ES395" s="16"/>
      <c r="ET395" s="16"/>
      <c r="EU395" s="16"/>
      <c r="EX395" s="16"/>
      <c r="EY395" s="228"/>
      <c r="EZ395" s="945"/>
      <c r="FA395" s="477"/>
      <c r="FB395" s="228"/>
      <c r="FC395" s="477"/>
      <c r="FD395" s="16"/>
    </row>
    <row r="396" spans="1:166" s="1069" customFormat="1" hidden="1" outlineLevel="1" x14ac:dyDescent="0.2">
      <c r="A396" s="821" t="s">
        <v>744</v>
      </c>
      <c r="B396" s="291"/>
      <c r="C396" s="291"/>
      <c r="D396" s="291"/>
      <c r="E396" s="291"/>
      <c r="F396" s="291"/>
      <c r="G396" s="291"/>
      <c r="H396" s="291"/>
      <c r="I396" s="291"/>
      <c r="J396" s="291"/>
      <c r="K396" s="291"/>
      <c r="L396" s="291"/>
      <c r="M396" s="291"/>
      <c r="N396" s="291"/>
      <c r="O396" s="291"/>
      <c r="P396" s="291"/>
      <c r="Q396" s="291"/>
      <c r="R396" s="291"/>
      <c r="S396" s="291"/>
      <c r="T396" s="291"/>
      <c r="U396" s="291"/>
      <c r="V396" s="291"/>
      <c r="W396" s="291"/>
      <c r="X396" s="291"/>
      <c r="Y396" s="291"/>
      <c r="Z396" s="291"/>
      <c r="AA396" s="291"/>
      <c r="AB396" s="291"/>
      <c r="AC396" s="291"/>
      <c r="AD396" s="291"/>
      <c r="AE396" s="291"/>
      <c r="AF396" s="291"/>
      <c r="AG396" s="291"/>
      <c r="AH396" s="291"/>
      <c r="AI396" s="291"/>
      <c r="AJ396" s="291"/>
      <c r="AK396" s="291"/>
      <c r="AL396" s="291"/>
      <c r="AM396" s="291"/>
      <c r="AN396" s="291"/>
      <c r="AO396" s="291"/>
      <c r="AP396" s="291"/>
      <c r="AQ396" s="291"/>
      <c r="AR396" s="291"/>
      <c r="AS396" s="291"/>
      <c r="AT396" s="291"/>
      <c r="AU396" s="1197"/>
      <c r="AV396" s="49"/>
      <c r="AW396" s="27"/>
      <c r="AX396" s="291"/>
      <c r="AY396" s="291"/>
      <c r="AZ396" s="291"/>
      <c r="BA396" s="291"/>
      <c r="BB396" s="291"/>
      <c r="BC396" s="291"/>
      <c r="BD396" s="291"/>
      <c r="BE396" s="291"/>
      <c r="BF396" s="291"/>
      <c r="BG396" s="291"/>
      <c r="BH396" s="291"/>
      <c r="BI396" s="291"/>
      <c r="BJ396" s="291"/>
      <c r="BK396" s="1198"/>
      <c r="BL396" s="1198"/>
      <c r="BM396" s="1198"/>
      <c r="BN396" s="1198"/>
      <c r="BO396" s="1198"/>
      <c r="BP396" s="291"/>
      <c r="BQ396" s="291"/>
      <c r="BR396" s="291"/>
      <c r="BS396" s="291"/>
      <c r="BT396" s="1199" t="s">
        <v>740</v>
      </c>
      <c r="BU396" s="291"/>
      <c r="BV396" s="1326"/>
      <c r="BW396" s="1326"/>
      <c r="BX396" s="1326"/>
      <c r="BY396" s="1327" t="s">
        <v>740</v>
      </c>
      <c r="BZ396" s="291"/>
      <c r="CA396" s="1199"/>
      <c r="CB396" s="1199"/>
      <c r="CC396" s="1199"/>
      <c r="CD396" s="1647"/>
      <c r="CE396" s="1648"/>
      <c r="CF396" s="291"/>
      <c r="CG396" s="291"/>
      <c r="CH396" s="291"/>
      <c r="CI396" s="291"/>
      <c r="CJ396" s="291"/>
      <c r="CK396" s="291"/>
      <c r="CL396" s="291"/>
      <c r="CM396" s="291"/>
      <c r="CN396" s="291"/>
      <c r="CO396" s="291"/>
      <c r="CP396" s="291"/>
      <c r="CQ396" s="291"/>
      <c r="CR396" s="291"/>
      <c r="CS396" s="291"/>
      <c r="CT396" s="291"/>
      <c r="CU396" s="291"/>
      <c r="CV396" s="291"/>
      <c r="CW396" s="291"/>
      <c r="CX396" s="291"/>
      <c r="CY396" s="291"/>
      <c r="CZ396" s="291"/>
      <c r="DA396" s="291"/>
      <c r="DB396" s="291"/>
      <c r="DC396" s="291"/>
      <c r="DD396" s="291"/>
      <c r="DE396" s="291"/>
      <c r="DF396" s="291"/>
      <c r="DG396" s="291"/>
      <c r="DH396" s="291"/>
      <c r="DI396" s="291"/>
      <c r="DJ396" s="291"/>
      <c r="DK396" s="291"/>
      <c r="DL396" s="291"/>
      <c r="DM396" s="291"/>
      <c r="DN396" s="291"/>
      <c r="DO396" s="291"/>
      <c r="DP396" s="291"/>
      <c r="DQ396" s="291"/>
      <c r="DR396" s="291"/>
      <c r="DS396" s="291"/>
      <c r="DT396" s="291"/>
      <c r="DU396" s="291"/>
      <c r="DV396" s="291"/>
      <c r="DW396" s="291"/>
      <c r="DX396" s="291"/>
      <c r="DY396" s="291"/>
      <c r="DZ396" s="291"/>
      <c r="EA396" s="291"/>
      <c r="EB396" s="291"/>
      <c r="EC396" s="291"/>
      <c r="ED396" s="25"/>
      <c r="EE396" s="25"/>
      <c r="EF396" s="25"/>
      <c r="EG396" s="25"/>
      <c r="EH396" s="25"/>
      <c r="EI396" s="25"/>
      <c r="EJ396" s="25"/>
      <c r="EK396" s="25"/>
      <c r="EL396" s="25"/>
      <c r="EM396" s="25"/>
      <c r="EN396" s="25"/>
      <c r="EO396" s="25"/>
      <c r="EP396" s="25"/>
      <c r="EQ396" s="25"/>
      <c r="ER396" s="25"/>
      <c r="ES396" s="25"/>
      <c r="ET396" s="25"/>
      <c r="EU396" s="25"/>
      <c r="EX396" s="25"/>
      <c r="EY396" s="294"/>
      <c r="EZ396" s="989"/>
      <c r="FA396" s="985"/>
      <c r="FB396" s="294"/>
      <c r="FC396" s="985"/>
      <c r="FD396" s="25"/>
      <c r="FE396"/>
      <c r="FF396"/>
      <c r="FG396"/>
      <c r="FH396"/>
      <c r="FI396"/>
      <c r="FJ396"/>
    </row>
    <row r="397" spans="1:166" hidden="1" outlineLevel="1" x14ac:dyDescent="0.2">
      <c r="A397" s="23" t="s">
        <v>734</v>
      </c>
      <c r="B397" s="16"/>
      <c r="C397" s="16"/>
      <c r="D397" s="16"/>
      <c r="E397" s="16"/>
      <c r="F397" s="16"/>
      <c r="G397" s="16"/>
      <c r="H397" s="16"/>
      <c r="I397" s="16"/>
      <c r="J397" s="16"/>
      <c r="K397" s="16"/>
      <c r="L397" s="16"/>
      <c r="M397" s="16"/>
      <c r="N397" s="16"/>
      <c r="O397" s="16"/>
      <c r="P397" s="16"/>
      <c r="Q397" s="16"/>
      <c r="R397" s="16"/>
      <c r="S397" s="16"/>
      <c r="T397" s="16"/>
      <c r="U397" s="16"/>
      <c r="V397" s="16"/>
      <c r="W397" s="16"/>
      <c r="X397" s="16"/>
      <c r="Y397" s="16"/>
      <c r="Z397" s="16"/>
      <c r="AA397" s="16"/>
      <c r="AB397" s="16"/>
      <c r="AC397" s="16"/>
      <c r="AD397" s="16"/>
      <c r="AE397" s="16"/>
      <c r="AF397" s="16"/>
      <c r="AG397" s="16"/>
      <c r="AH397" s="16"/>
      <c r="AI397" s="16"/>
      <c r="AJ397" s="16"/>
      <c r="AK397" s="16"/>
      <c r="AL397" s="16"/>
      <c r="AM397" s="16"/>
      <c r="AN397" s="16"/>
      <c r="AO397" s="16"/>
      <c r="AP397" s="16"/>
      <c r="AQ397" s="16"/>
      <c r="AR397" s="16"/>
      <c r="AS397" s="16"/>
      <c r="AT397" s="16"/>
      <c r="AU397" s="16"/>
      <c r="AV397" s="45"/>
      <c r="AW397" s="16"/>
      <c r="AX397" s="16"/>
      <c r="AY397" s="21"/>
      <c r="AZ397" s="21"/>
      <c r="BA397" s="253"/>
      <c r="BB397" s="16"/>
      <c r="BC397" s="21"/>
      <c r="BD397" s="16"/>
      <c r="BE397" s="16"/>
      <c r="BF397" s="253"/>
      <c r="BG397" s="16"/>
      <c r="BH397" s="16"/>
      <c r="BI397" s="16"/>
      <c r="BJ397" s="16"/>
      <c r="BK397" s="253"/>
      <c r="BL397" s="15"/>
      <c r="BM397" s="15"/>
      <c r="BN397" s="15"/>
      <c r="BO397" s="15"/>
      <c r="BP397" s="253"/>
      <c r="BQ397" s="16"/>
      <c r="BR397" s="16"/>
      <c r="BS397" s="16"/>
      <c r="BT397" s="16">
        <v>21.327999999999999</v>
      </c>
      <c r="BU397" s="253"/>
      <c r="BV397" s="1310"/>
      <c r="BW397" s="1310"/>
      <c r="BX397" s="1310"/>
      <c r="BY397" s="1310">
        <v>21.327999999999999</v>
      </c>
      <c r="BZ397" s="253"/>
      <c r="CA397" s="16">
        <f>BT397</f>
        <v>21.327999999999999</v>
      </c>
      <c r="CB397" s="16">
        <f>CA397</f>
        <v>21.327999999999999</v>
      </c>
      <c r="CC397" s="16">
        <f t="shared" ref="CC397" si="2299">CB397</f>
        <v>21.327999999999999</v>
      </c>
      <c r="CD397" s="16">
        <v>24.015999999999998</v>
      </c>
      <c r="CE397" s="253"/>
      <c r="CF397" s="16">
        <v>6.9</v>
      </c>
      <c r="CG397" s="16">
        <f>CF397</f>
        <v>6.9</v>
      </c>
      <c r="CH397" s="16">
        <f t="shared" ref="CH397:CI397" si="2300">CG397</f>
        <v>6.9</v>
      </c>
      <c r="CI397" s="16">
        <f t="shared" si="2300"/>
        <v>6.9</v>
      </c>
      <c r="CJ397" s="253"/>
      <c r="CK397" s="16">
        <f>CI397</f>
        <v>6.9</v>
      </c>
      <c r="CL397" s="16">
        <f>CK397</f>
        <v>6.9</v>
      </c>
      <c r="CM397" s="16">
        <f t="shared" ref="CM397:CN397" si="2301">CL397</f>
        <v>6.9</v>
      </c>
      <c r="CN397" s="16">
        <f t="shared" si="2301"/>
        <v>6.9</v>
      </c>
      <c r="CO397" s="253"/>
      <c r="CP397" s="16">
        <f>CN397</f>
        <v>6.9</v>
      </c>
      <c r="CQ397" s="16">
        <f>CP397</f>
        <v>6.9</v>
      </c>
      <c r="CR397" s="16">
        <f t="shared" ref="CR397:CS397" si="2302">CQ397</f>
        <v>6.9</v>
      </c>
      <c r="CS397" s="16">
        <f t="shared" si="2302"/>
        <v>6.9</v>
      </c>
      <c r="CT397" s="253"/>
      <c r="CU397" s="16">
        <f>CS397</f>
        <v>6.9</v>
      </c>
      <c r="CV397" s="16">
        <f>CU397</f>
        <v>6.9</v>
      </c>
      <c r="CW397" s="16">
        <f t="shared" ref="CW397:CX397" si="2303">CV397</f>
        <v>6.9</v>
      </c>
      <c r="CX397" s="16">
        <f t="shared" si="2303"/>
        <v>6.9</v>
      </c>
      <c r="CY397" s="253"/>
      <c r="CZ397" s="16">
        <f>CX397</f>
        <v>6.9</v>
      </c>
      <c r="DA397" s="16">
        <f>CZ397</f>
        <v>6.9</v>
      </c>
      <c r="DB397" s="16">
        <f t="shared" ref="DB397:DC397" si="2304">DA397</f>
        <v>6.9</v>
      </c>
      <c r="DC397" s="16">
        <f t="shared" si="2304"/>
        <v>6.9</v>
      </c>
      <c r="DD397" s="253"/>
      <c r="DE397" s="16">
        <f>DC397</f>
        <v>6.9</v>
      </c>
      <c r="DF397" s="16">
        <f>DE397</f>
        <v>6.9</v>
      </c>
      <c r="DG397" s="16">
        <f t="shared" ref="DG397:DH397" si="2305">DF397</f>
        <v>6.9</v>
      </c>
      <c r="DH397" s="16">
        <f t="shared" si="2305"/>
        <v>6.9</v>
      </c>
      <c r="DI397" s="253"/>
      <c r="DJ397" s="16">
        <f>DH397</f>
        <v>6.9</v>
      </c>
      <c r="DK397" s="16">
        <f>DJ397</f>
        <v>6.9</v>
      </c>
      <c r="DL397" s="16">
        <f t="shared" ref="DL397:DM397" si="2306">DK397</f>
        <v>6.9</v>
      </c>
      <c r="DM397" s="16">
        <f t="shared" si="2306"/>
        <v>6.9</v>
      </c>
      <c r="DN397" s="253"/>
      <c r="DO397" s="16">
        <f>DM397</f>
        <v>6.9</v>
      </c>
      <c r="DP397" s="16">
        <f>DO397</f>
        <v>6.9</v>
      </c>
      <c r="DQ397" s="16">
        <f t="shared" ref="DQ397:DR397" si="2307">DP397</f>
        <v>6.9</v>
      </c>
      <c r="DR397" s="16">
        <f t="shared" si="2307"/>
        <v>6.9</v>
      </c>
      <c r="DS397" s="253"/>
      <c r="DT397" s="16">
        <f>DR397</f>
        <v>6.9</v>
      </c>
      <c r="DU397" s="16">
        <f>DT397</f>
        <v>6.9</v>
      </c>
      <c r="DV397" s="16">
        <f t="shared" ref="DV397:DW397" si="2308">DU397</f>
        <v>6.9</v>
      </c>
      <c r="DW397" s="16">
        <f t="shared" si="2308"/>
        <v>6.9</v>
      </c>
      <c r="DX397" s="253"/>
      <c r="DY397" s="16">
        <f>DW397</f>
        <v>6.9</v>
      </c>
      <c r="DZ397" s="16">
        <f>DY397</f>
        <v>6.9</v>
      </c>
      <c r="EA397" s="16">
        <f t="shared" ref="EA397:EA398" si="2309">DZ397</f>
        <v>6.9</v>
      </c>
      <c r="EB397" s="16">
        <f t="shared" ref="EB397:EB398" si="2310">EA397</f>
        <v>6.9</v>
      </c>
      <c r="EC397" s="253"/>
      <c r="ED397" s="16"/>
      <c r="EE397" s="16"/>
      <c r="EF397" s="16"/>
      <c r="EG397" s="16"/>
      <c r="EH397" s="16"/>
      <c r="EI397" s="16"/>
      <c r="EJ397" s="16"/>
      <c r="EK397" s="16"/>
      <c r="EL397" s="16"/>
      <c r="EM397" s="16"/>
      <c r="EN397" s="16"/>
      <c r="EO397" s="16"/>
      <c r="EP397" s="16"/>
      <c r="EQ397" s="16"/>
      <c r="ER397" s="16"/>
      <c r="ES397" s="16"/>
      <c r="ET397" s="16"/>
      <c r="EU397" s="16"/>
      <c r="EX397" s="16"/>
      <c r="EY397" s="228"/>
      <c r="EZ397" s="945"/>
      <c r="FA397" s="477"/>
      <c r="FB397" s="228"/>
      <c r="FC397" s="477"/>
      <c r="FD397" s="16"/>
    </row>
    <row r="398" spans="1:166" hidden="1" outlineLevel="1" x14ac:dyDescent="0.2">
      <c r="A398" s="23" t="s">
        <v>735</v>
      </c>
      <c r="B398" s="16"/>
      <c r="C398" s="16"/>
      <c r="D398" s="16"/>
      <c r="E398" s="16"/>
      <c r="F398" s="16"/>
      <c r="G398" s="16"/>
      <c r="H398" s="16"/>
      <c r="I398" s="16"/>
      <c r="J398" s="16"/>
      <c r="K398" s="16"/>
      <c r="L398" s="16"/>
      <c r="M398" s="16"/>
      <c r="N398" s="16"/>
      <c r="O398" s="16"/>
      <c r="P398" s="16"/>
      <c r="Q398" s="16"/>
      <c r="R398" s="16"/>
      <c r="S398" s="16"/>
      <c r="T398" s="16"/>
      <c r="U398" s="16"/>
      <c r="V398" s="16"/>
      <c r="W398" s="16"/>
      <c r="X398" s="16"/>
      <c r="Y398" s="16"/>
      <c r="Z398" s="16"/>
      <c r="AA398" s="16"/>
      <c r="AB398" s="16"/>
      <c r="AC398" s="16"/>
      <c r="AD398" s="16"/>
      <c r="AE398" s="16"/>
      <c r="AF398" s="16"/>
      <c r="AG398" s="16"/>
      <c r="AH398" s="16"/>
      <c r="AI398" s="16"/>
      <c r="AJ398" s="16"/>
      <c r="AK398" s="16"/>
      <c r="AL398" s="16"/>
      <c r="AM398" s="16"/>
      <c r="AN398" s="16"/>
      <c r="AO398" s="16"/>
      <c r="AP398" s="16"/>
      <c r="AQ398" s="16"/>
      <c r="AR398" s="16"/>
      <c r="AS398" s="16"/>
      <c r="AT398" s="16"/>
      <c r="AU398" s="16"/>
      <c r="AV398" s="45"/>
      <c r="AW398" s="16"/>
      <c r="AX398" s="16"/>
      <c r="AY398" s="21"/>
      <c r="AZ398" s="21"/>
      <c r="BA398" s="45"/>
      <c r="BB398" s="16"/>
      <c r="BC398" s="21"/>
      <c r="BD398" s="16"/>
      <c r="BE398" s="16"/>
      <c r="BF398" s="45"/>
      <c r="BG398" s="16"/>
      <c r="BH398" s="16"/>
      <c r="BI398" s="16"/>
      <c r="BJ398" s="16"/>
      <c r="BK398" s="45"/>
      <c r="BL398" s="15"/>
      <c r="BM398" s="15"/>
      <c r="BN398" s="15"/>
      <c r="BO398" s="15"/>
      <c r="BP398" s="45"/>
      <c r="BQ398" s="16"/>
      <c r="BR398" s="16"/>
      <c r="BS398" s="16"/>
      <c r="BT398" s="1194">
        <v>11.42</v>
      </c>
      <c r="BU398" s="45"/>
      <c r="BV398" s="1310"/>
      <c r="BW398" s="1310"/>
      <c r="BX398" s="1310"/>
      <c r="BY398" s="1328">
        <v>11.42</v>
      </c>
      <c r="BZ398" s="45"/>
      <c r="CA398" s="1194">
        <f>BT398</f>
        <v>11.42</v>
      </c>
      <c r="CB398" s="1194">
        <f>CA398</f>
        <v>11.42</v>
      </c>
      <c r="CC398" s="1194">
        <f t="shared" ref="CC398" si="2311">CB398</f>
        <v>11.42</v>
      </c>
      <c r="CD398" s="1194">
        <v>16.28</v>
      </c>
      <c r="CE398" s="45"/>
      <c r="CF398" s="1194">
        <f>CD398</f>
        <v>16.28</v>
      </c>
      <c r="CG398" s="1194">
        <f>CF398</f>
        <v>16.28</v>
      </c>
      <c r="CH398" s="1194">
        <f t="shared" ref="CH398:CI398" si="2312">CG398</f>
        <v>16.28</v>
      </c>
      <c r="CI398" s="1194">
        <f t="shared" si="2312"/>
        <v>16.28</v>
      </c>
      <c r="CJ398" s="45"/>
      <c r="CK398" s="1194">
        <f>CI398</f>
        <v>16.28</v>
      </c>
      <c r="CL398" s="1194">
        <f>CK398</f>
        <v>16.28</v>
      </c>
      <c r="CM398" s="1194">
        <f t="shared" ref="CM398:CN398" si="2313">CL398</f>
        <v>16.28</v>
      </c>
      <c r="CN398" s="1194">
        <f t="shared" si="2313"/>
        <v>16.28</v>
      </c>
      <c r="CO398" s="45"/>
      <c r="CP398" s="1194">
        <f>CN398</f>
        <v>16.28</v>
      </c>
      <c r="CQ398" s="1194">
        <f>CP398</f>
        <v>16.28</v>
      </c>
      <c r="CR398" s="1194">
        <f t="shared" ref="CR398:CS398" si="2314">CQ398</f>
        <v>16.28</v>
      </c>
      <c r="CS398" s="1194">
        <f t="shared" si="2314"/>
        <v>16.28</v>
      </c>
      <c r="CT398" s="45"/>
      <c r="CU398" s="1194">
        <f>CS398</f>
        <v>16.28</v>
      </c>
      <c r="CV398" s="1194">
        <f>CU398</f>
        <v>16.28</v>
      </c>
      <c r="CW398" s="1194">
        <f t="shared" ref="CW398:CX398" si="2315">CV398</f>
        <v>16.28</v>
      </c>
      <c r="CX398" s="1194">
        <f t="shared" si="2315"/>
        <v>16.28</v>
      </c>
      <c r="CY398" s="45"/>
      <c r="CZ398" s="1194">
        <f>CX398</f>
        <v>16.28</v>
      </c>
      <c r="DA398" s="1194">
        <f>CZ398</f>
        <v>16.28</v>
      </c>
      <c r="DB398" s="1194">
        <f t="shared" ref="DB398:DC398" si="2316">DA398</f>
        <v>16.28</v>
      </c>
      <c r="DC398" s="1194">
        <f t="shared" si="2316"/>
        <v>16.28</v>
      </c>
      <c r="DD398" s="45"/>
      <c r="DE398" s="1194">
        <f>DC398</f>
        <v>16.28</v>
      </c>
      <c r="DF398" s="1194">
        <f>DE398</f>
        <v>16.28</v>
      </c>
      <c r="DG398" s="1194">
        <f t="shared" ref="DG398:DH398" si="2317">DF398</f>
        <v>16.28</v>
      </c>
      <c r="DH398" s="1194">
        <f t="shared" si="2317"/>
        <v>16.28</v>
      </c>
      <c r="DI398" s="45"/>
      <c r="DJ398" s="1194">
        <f>DH398</f>
        <v>16.28</v>
      </c>
      <c r="DK398" s="1194">
        <f>DJ398</f>
        <v>16.28</v>
      </c>
      <c r="DL398" s="1194">
        <f t="shared" ref="DL398:DM398" si="2318">DK398</f>
        <v>16.28</v>
      </c>
      <c r="DM398" s="1194">
        <f t="shared" si="2318"/>
        <v>16.28</v>
      </c>
      <c r="DN398" s="45"/>
      <c r="DO398" s="1194">
        <f>DM398</f>
        <v>16.28</v>
      </c>
      <c r="DP398" s="1194">
        <f>DO398</f>
        <v>16.28</v>
      </c>
      <c r="DQ398" s="1194">
        <f t="shared" ref="DQ398:DR398" si="2319">DP398</f>
        <v>16.28</v>
      </c>
      <c r="DR398" s="1194">
        <f t="shared" si="2319"/>
        <v>16.28</v>
      </c>
      <c r="DS398" s="45"/>
      <c r="DT398" s="1194">
        <f>DR398</f>
        <v>16.28</v>
      </c>
      <c r="DU398" s="1194">
        <f>DT398</f>
        <v>16.28</v>
      </c>
      <c r="DV398" s="1194">
        <f t="shared" ref="DV398:DW398" si="2320">DU398</f>
        <v>16.28</v>
      </c>
      <c r="DW398" s="1194">
        <f t="shared" si="2320"/>
        <v>16.28</v>
      </c>
      <c r="DX398" s="45"/>
      <c r="DY398" s="1194">
        <f>DW398</f>
        <v>16.28</v>
      </c>
      <c r="DZ398" s="1194">
        <f>DY398</f>
        <v>16.28</v>
      </c>
      <c r="EA398" s="1194">
        <f t="shared" si="2309"/>
        <v>16.28</v>
      </c>
      <c r="EB398" s="1194">
        <f t="shared" si="2310"/>
        <v>16.28</v>
      </c>
      <c r="EC398" s="45"/>
      <c r="ED398" s="16"/>
      <c r="EE398" s="16"/>
      <c r="EF398" s="16"/>
      <c r="EG398" s="16"/>
      <c r="EH398" s="16"/>
      <c r="EI398" s="16"/>
      <c r="EJ398" s="16"/>
      <c r="EK398" s="16"/>
      <c r="EL398" s="16"/>
      <c r="EM398" s="16"/>
      <c r="EN398" s="16"/>
      <c r="EO398" s="16"/>
      <c r="EP398" s="16"/>
      <c r="EQ398" s="16"/>
      <c r="ER398" s="16"/>
      <c r="ES398" s="16"/>
      <c r="ET398" s="16"/>
      <c r="EU398" s="16"/>
      <c r="EX398" s="16"/>
      <c r="EY398" s="228"/>
      <c r="EZ398" s="945"/>
      <c r="FA398" s="477"/>
      <c r="FB398" s="228"/>
      <c r="FC398" s="477"/>
      <c r="FD398" s="16"/>
    </row>
    <row r="399" spans="1:166" hidden="1" outlineLevel="1" x14ac:dyDescent="0.2">
      <c r="A399" s="23" t="s">
        <v>736</v>
      </c>
      <c r="B399" s="16"/>
      <c r="C399" s="16"/>
      <c r="D399" s="16"/>
      <c r="E399" s="16"/>
      <c r="F399" s="16"/>
      <c r="G399" s="16"/>
      <c r="H399" s="16"/>
      <c r="I399" s="16"/>
      <c r="J399" s="16"/>
      <c r="K399" s="16"/>
      <c r="L399" s="16"/>
      <c r="M399" s="16"/>
      <c r="N399" s="16"/>
      <c r="O399" s="16"/>
      <c r="P399" s="16"/>
      <c r="Q399" s="16"/>
      <c r="R399" s="16"/>
      <c r="S399" s="16"/>
      <c r="T399" s="16"/>
      <c r="U399" s="16"/>
      <c r="V399" s="16"/>
      <c r="W399" s="16"/>
      <c r="X399" s="16"/>
      <c r="Y399" s="16"/>
      <c r="Z399" s="16"/>
      <c r="AA399" s="16"/>
      <c r="AB399" s="16"/>
      <c r="AC399" s="16"/>
      <c r="AD399" s="16"/>
      <c r="AE399" s="16"/>
      <c r="AF399" s="16"/>
      <c r="AG399" s="16"/>
      <c r="AH399" s="16"/>
      <c r="AI399" s="16"/>
      <c r="AJ399" s="16"/>
      <c r="AK399" s="16"/>
      <c r="AL399" s="16"/>
      <c r="AM399" s="16"/>
      <c r="AN399" s="16"/>
      <c r="AO399" s="16"/>
      <c r="AP399" s="16"/>
      <c r="AQ399" s="16"/>
      <c r="AR399" s="16"/>
      <c r="AS399" s="16"/>
      <c r="AT399" s="16"/>
      <c r="AU399" s="16"/>
      <c r="AV399" s="45"/>
      <c r="AW399" s="16"/>
      <c r="AX399" s="16"/>
      <c r="AY399" s="21"/>
      <c r="AZ399" s="21"/>
      <c r="BA399" s="45"/>
      <c r="BB399" s="16"/>
      <c r="BC399" s="21"/>
      <c r="BD399" s="16"/>
      <c r="BE399" s="16"/>
      <c r="BF399" s="45"/>
      <c r="BG399" s="16"/>
      <c r="BH399" s="16"/>
      <c r="BI399" s="16"/>
      <c r="BJ399" s="16"/>
      <c r="BK399" s="45"/>
      <c r="BL399" s="15"/>
      <c r="BM399" s="15"/>
      <c r="BN399" s="15"/>
      <c r="BO399" s="15"/>
      <c r="BP399" s="45"/>
      <c r="BQ399" s="16"/>
      <c r="BR399" s="16"/>
      <c r="BS399" s="16"/>
      <c r="BT399" s="1194">
        <f>BT381</f>
        <v>30.034800000000004</v>
      </c>
      <c r="BU399" s="45"/>
      <c r="BV399" s="1310"/>
      <c r="BW399" s="1310"/>
      <c r="BX399" s="1310"/>
      <c r="BY399" s="1328">
        <f>BY381</f>
        <v>30.034800000000004</v>
      </c>
      <c r="BZ399" s="45"/>
      <c r="CA399" s="1194">
        <f>CA381</f>
        <v>42</v>
      </c>
      <c r="CB399" s="1194">
        <f t="shared" ref="CB399:CD399" si="2321">CB381</f>
        <v>42.84</v>
      </c>
      <c r="CC399" s="1194">
        <f t="shared" si="2321"/>
        <v>43.696800000000003</v>
      </c>
      <c r="CD399" s="1194">
        <f t="shared" si="2321"/>
        <v>44.570736000000004</v>
      </c>
      <c r="CE399" s="45"/>
      <c r="CF399" s="1194">
        <f>CF381</f>
        <v>45.462150720000004</v>
      </c>
      <c r="CG399" s="1194">
        <f t="shared" ref="CG399:CI399" si="2322">CG381</f>
        <v>46.371393734400002</v>
      </c>
      <c r="CH399" s="1194">
        <f t="shared" si="2322"/>
        <v>47.298821609088002</v>
      </c>
      <c r="CI399" s="1194">
        <f t="shared" si="2322"/>
        <v>48.24479804126976</v>
      </c>
      <c r="CJ399" s="45"/>
      <c r="CK399" s="1194">
        <f>CK381</f>
        <v>51</v>
      </c>
      <c r="CL399" s="1194">
        <f t="shared" ref="CL399:CN399" si="2323">CL381</f>
        <v>52.02</v>
      </c>
      <c r="CM399" s="1194">
        <f t="shared" si="2323"/>
        <v>53.060400000000001</v>
      </c>
      <c r="CN399" s="1194">
        <f t="shared" si="2323"/>
        <v>54.121608000000002</v>
      </c>
      <c r="CO399" s="45"/>
      <c r="CP399" s="1194">
        <f>CP381</f>
        <v>55.204040160000005</v>
      </c>
      <c r="CQ399" s="1194">
        <f t="shared" ref="CQ399:CS399" si="2324">CQ381</f>
        <v>56.308120963200004</v>
      </c>
      <c r="CR399" s="1194">
        <f t="shared" si="2324"/>
        <v>57.434283382464002</v>
      </c>
      <c r="CS399" s="1194">
        <f t="shared" si="2324"/>
        <v>58.582969050113284</v>
      </c>
      <c r="CT399" s="45"/>
      <c r="CU399" s="1194">
        <f>CU381</f>
        <v>59.754628431115549</v>
      </c>
      <c r="CV399" s="1194">
        <f t="shared" ref="CV399:CX399" si="2325">CV381</f>
        <v>60.949720999737863</v>
      </c>
      <c r="CW399" s="1194">
        <f t="shared" si="2325"/>
        <v>62.168715419732621</v>
      </c>
      <c r="CX399" s="1194">
        <f t="shared" si="2325"/>
        <v>63.412089728127278</v>
      </c>
      <c r="CY399" s="45"/>
      <c r="CZ399" s="1194">
        <f>CZ381</f>
        <v>64.680331522689826</v>
      </c>
      <c r="DA399" s="1194">
        <f t="shared" ref="DA399:DC399" si="2326">DA381</f>
        <v>65.973938153143621</v>
      </c>
      <c r="DB399" s="1194">
        <f t="shared" si="2326"/>
        <v>67.293416916206496</v>
      </c>
      <c r="DC399" s="1194">
        <f t="shared" si="2326"/>
        <v>68.639285254530634</v>
      </c>
      <c r="DD399" s="45"/>
      <c r="DE399" s="1194">
        <f>DE381</f>
        <v>70.012070959621255</v>
      </c>
      <c r="DF399" s="1194">
        <f t="shared" ref="DF399:DH399" si="2327">DF381</f>
        <v>71.412312378813681</v>
      </c>
      <c r="DG399" s="1194">
        <f t="shared" si="2327"/>
        <v>72.840558626389949</v>
      </c>
      <c r="DH399" s="1194">
        <f t="shared" si="2327"/>
        <v>74.297369798917757</v>
      </c>
      <c r="DI399" s="45"/>
      <c r="DJ399" s="1194">
        <f>DJ381</f>
        <v>75.783317194896114</v>
      </c>
      <c r="DK399" s="1194">
        <f t="shared" ref="DK399:DM399" si="2328">DK381</f>
        <v>77.298983538794033</v>
      </c>
      <c r="DL399" s="1194">
        <f t="shared" si="2328"/>
        <v>78.844963209569912</v>
      </c>
      <c r="DM399" s="1194">
        <f t="shared" si="2328"/>
        <v>80.421862473761308</v>
      </c>
      <c r="DN399" s="45"/>
      <c r="DO399" s="1194">
        <f>DO381</f>
        <v>82.030299723236539</v>
      </c>
      <c r="DP399" s="1194">
        <f t="shared" ref="DP399:DR399" si="2329">DP381</f>
        <v>83.670905717701274</v>
      </c>
      <c r="DQ399" s="1194">
        <f t="shared" si="2329"/>
        <v>85.344323832055295</v>
      </c>
      <c r="DR399" s="1194">
        <f t="shared" si="2329"/>
        <v>87.051210308696398</v>
      </c>
      <c r="DS399" s="45"/>
      <c r="DT399" s="1194">
        <f>DT381</f>
        <v>88.79223451487033</v>
      </c>
      <c r="DU399" s="1194">
        <f t="shared" ref="DU399:DW399" si="2330">DU381</f>
        <v>90.568079205167734</v>
      </c>
      <c r="DV399" s="1194">
        <f t="shared" si="2330"/>
        <v>92.379440789271086</v>
      </c>
      <c r="DW399" s="1194">
        <f t="shared" si="2330"/>
        <v>94.227029605056515</v>
      </c>
      <c r="DX399" s="45"/>
      <c r="DY399" s="1194">
        <f>DY381</f>
        <v>96.111570197157647</v>
      </c>
      <c r="DZ399" s="1194">
        <f t="shared" ref="DZ399:EB399" si="2331">DZ381</f>
        <v>98.033801601100805</v>
      </c>
      <c r="EA399" s="1194">
        <f t="shared" si="2331"/>
        <v>99.994477633122827</v>
      </c>
      <c r="EB399" s="1194">
        <f t="shared" si="2331"/>
        <v>101.99436718578528</v>
      </c>
      <c r="EC399" s="45"/>
      <c r="ED399" s="16"/>
      <c r="EE399" s="16"/>
      <c r="EF399" s="16"/>
      <c r="EG399" s="16"/>
      <c r="EH399" s="16"/>
      <c r="EI399" s="16"/>
      <c r="EJ399" s="16"/>
      <c r="EK399" s="16"/>
      <c r="EL399" s="16"/>
      <c r="EM399" s="16"/>
      <c r="EN399" s="16"/>
      <c r="EO399" s="16"/>
      <c r="EP399" s="16"/>
      <c r="EQ399" s="16"/>
      <c r="ER399" s="16"/>
      <c r="ES399" s="16"/>
      <c r="ET399" s="16"/>
      <c r="EU399" s="16"/>
      <c r="EX399" s="16"/>
      <c r="EY399" s="228"/>
      <c r="EZ399" s="945"/>
      <c r="FA399" s="477"/>
      <c r="FB399" s="228"/>
      <c r="FC399" s="477"/>
      <c r="FD399" s="16"/>
    </row>
    <row r="400" spans="1:166" s="1069" customFormat="1" hidden="1" outlineLevel="1" x14ac:dyDescent="0.2">
      <c r="A400" s="140" t="s">
        <v>737</v>
      </c>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49"/>
      <c r="AW400" s="25"/>
      <c r="AX400" s="25"/>
      <c r="AY400" s="37"/>
      <c r="AZ400" s="37"/>
      <c r="BA400" s="49"/>
      <c r="BB400" s="25"/>
      <c r="BC400" s="37"/>
      <c r="BD400" s="25"/>
      <c r="BE400" s="25"/>
      <c r="BF400" s="49"/>
      <c r="BG400" s="25"/>
      <c r="BH400" s="25"/>
      <c r="BI400" s="25"/>
      <c r="BJ400" s="25"/>
      <c r="BK400" s="49"/>
      <c r="BL400" s="66"/>
      <c r="BM400" s="66"/>
      <c r="BN400" s="66"/>
      <c r="BO400" s="66"/>
      <c r="BP400" s="49"/>
      <c r="BQ400" s="25"/>
      <c r="BR400" s="25"/>
      <c r="BS400" s="25"/>
      <c r="BT400" s="780">
        <f>(BT399-BT398)*BT397/BT399</f>
        <v>13.218548297308455</v>
      </c>
      <c r="BU400" s="49"/>
      <c r="BV400" s="1329"/>
      <c r="BW400" s="1329"/>
      <c r="BX400" s="1329"/>
      <c r="BY400" s="1330">
        <f>(BY399-BY398)*BY397/BY399</f>
        <v>13.218548297308455</v>
      </c>
      <c r="BZ400" s="49"/>
      <c r="CA400" s="780">
        <f>(CA399-CA398)*CA397/CA399</f>
        <v>15.528815238095238</v>
      </c>
      <c r="CB400" s="780">
        <f t="shared" ref="CB400" si="2332">(CB399-CB398)*CB397/CB399</f>
        <v>15.642524743230625</v>
      </c>
      <c r="CC400" s="780">
        <f t="shared" ref="CC400" si="2333">(CC399-CC398)*CC397/CC399</f>
        <v>15.754004650226102</v>
      </c>
      <c r="CD400" s="780">
        <f t="shared" ref="CD400" si="2334">(CD399-CD398)*CD397/CD399</f>
        <v>15.243865745811332</v>
      </c>
      <c r="CE400" s="49"/>
      <c r="CF400" s="780">
        <f>(CF399-CF398)*CF397/CF399</f>
        <v>4.429109419133086</v>
      </c>
      <c r="CG400" s="780">
        <f t="shared" ref="CG400" si="2335">(CG399-CG398)*CG397/CG399</f>
        <v>4.4775582540520453</v>
      </c>
      <c r="CH400" s="780">
        <f t="shared" ref="CH400" si="2336">(CH399-CH398)*CH397/CH399</f>
        <v>4.5250571118157303</v>
      </c>
      <c r="CI400" s="780">
        <f t="shared" ref="CI400" si="2337">(CI399-CI398)*CI397/CI399</f>
        <v>4.5716246194271868</v>
      </c>
      <c r="CJ400" s="49"/>
      <c r="CK400" s="780">
        <f>(CK399-CK398)*CK397/CK399</f>
        <v>4.6974117647058824</v>
      </c>
      <c r="CL400" s="780">
        <f t="shared" ref="CL400" si="2338">(CL399-CL398)*CL397/CL399</f>
        <v>4.740599769319493</v>
      </c>
      <c r="CM400" s="780">
        <f t="shared" ref="CM400" si="2339">(CM399-CM398)*CM397/CM399</f>
        <v>4.7829409503132281</v>
      </c>
      <c r="CN400" s="780">
        <f t="shared" ref="CN400" si="2340">(CN399-CN398)*CN397/CN399</f>
        <v>4.8244519120717921</v>
      </c>
      <c r="CO400" s="49"/>
      <c r="CP400" s="780">
        <f>(CP399-CP398)*CP397/CP399</f>
        <v>4.8651489334037175</v>
      </c>
      <c r="CQ400" s="780">
        <f t="shared" ref="CQ400" si="2341">(CQ399-CQ398)*CQ397/CQ399</f>
        <v>4.9050479739252131</v>
      </c>
      <c r="CR400" s="780">
        <f t="shared" ref="CR400" si="2342">(CR399-CR398)*CR397/CR399</f>
        <v>4.9441646803188366</v>
      </c>
      <c r="CS400" s="780">
        <f t="shared" ref="CS400" si="2343">(CS399-CS398)*CS397/CS399</f>
        <v>4.9825143924694482</v>
      </c>
      <c r="CT400" s="49"/>
      <c r="CU400" s="780">
        <f>(CU399-CU398)*CU397/CU399</f>
        <v>5.0201121494798508</v>
      </c>
      <c r="CV400" s="780">
        <f t="shared" ref="CV400" si="2344">(CV399-CV398)*CV397/CV399</f>
        <v>5.0569726955684811</v>
      </c>
      <c r="CW400" s="780">
        <f t="shared" ref="CW400" si="2345">(CW399-CW398)*CW397/CW399</f>
        <v>5.0931104858514527</v>
      </c>
      <c r="CX400" s="780">
        <f t="shared" ref="CX400" si="2346">(CX399-CX398)*CX397/CX399</f>
        <v>5.1285396920112287</v>
      </c>
      <c r="CY400" s="49"/>
      <c r="CZ400" s="780">
        <f>(CZ399-CZ398)*CZ397/CZ399</f>
        <v>5.1632742078541449</v>
      </c>
      <c r="DA400" s="780">
        <f t="shared" ref="DA400" si="2347">(DA399-DA398)*DA397/DA399</f>
        <v>5.1973276547589657</v>
      </c>
      <c r="DB400" s="780">
        <f t="shared" ref="DB400" si="2348">(DB399-DB398)*DB397/DB399</f>
        <v>5.2307133870185938</v>
      </c>
      <c r="DC400" s="780">
        <f t="shared" ref="DC400" si="2349">(DC399-DC398)*DC397/DC399</f>
        <v>5.2634444970770531</v>
      </c>
      <c r="DD400" s="49"/>
      <c r="DE400" s="780">
        <f>(DE399-DE398)*DE397/DE399</f>
        <v>5.2955338206637776</v>
      </c>
      <c r="DF400" s="780">
        <f t="shared" ref="DF400" si="2350">(DF399-DF398)*DF397/DF399</f>
        <v>5.326993941827233</v>
      </c>
      <c r="DG400" s="780">
        <f t="shared" ref="DG400" si="2351">(DG399-DG398)*DG397/DG399</f>
        <v>5.357837197869836</v>
      </c>
      <c r="DH400" s="780">
        <f t="shared" ref="DH400" si="2352">(DH399-DH398)*DH397/DH399</f>
        <v>5.3880756841861146</v>
      </c>
      <c r="DI400" s="49"/>
      <c r="DJ400" s="780">
        <f>(DJ399-DJ398)*DJ397/DJ399</f>
        <v>5.4177212590059938</v>
      </c>
      <c r="DK400" s="780">
        <f t="shared" ref="DK400" si="2353">(DK399-DK398)*DK397/DK399</f>
        <v>5.4467855480450922</v>
      </c>
      <c r="DL400" s="780">
        <f t="shared" ref="DL400" si="2354">(DL399-DL398)*DL397/DL399</f>
        <v>5.4752799490638164</v>
      </c>
      <c r="DM400" s="780">
        <f t="shared" ref="DM400" si="2355">(DM399-DM398)*DM397/DM399</f>
        <v>5.5032156363370746</v>
      </c>
      <c r="DN400" s="49"/>
      <c r="DO400" s="780">
        <f>(DO399-DO398)*DO397/DO399</f>
        <v>5.5306035650363476</v>
      </c>
      <c r="DP400" s="780">
        <f t="shared" ref="DP400" si="2356">(DP399-DP398)*DP397/DP399</f>
        <v>5.5574544755258311</v>
      </c>
      <c r="DQ400" s="780">
        <f t="shared" ref="DQ400" si="2357">(DQ399-DQ398)*DQ397/DQ399</f>
        <v>5.5837788975743443</v>
      </c>
      <c r="DR400" s="780">
        <f t="shared" ref="DR400" si="2358">(DR399-DR398)*DR397/DR399</f>
        <v>5.6095871544846512</v>
      </c>
      <c r="DS400" s="49"/>
      <c r="DT400" s="780">
        <f>(DT399-DT398)*DT397/DT399</f>
        <v>5.634889367141815</v>
      </c>
      <c r="DU400" s="780">
        <f t="shared" ref="DU400" si="2359">(DU399-DU398)*DU397/DU399</f>
        <v>5.6596954579821714</v>
      </c>
      <c r="DV400" s="780">
        <f t="shared" ref="DV400" si="2360">(DV399-DV398)*DV397/DV399</f>
        <v>5.6840151548844817</v>
      </c>
      <c r="DW400" s="780">
        <f t="shared" ref="DW400" si="2361">(DW399-DW398)*DW397/DW399</f>
        <v>5.7078579949847859</v>
      </c>
      <c r="DX400" s="49"/>
      <c r="DY400" s="780">
        <f>(DY399-DY398)*DY397/DY399</f>
        <v>5.7312333284164572</v>
      </c>
      <c r="DZ400" s="780">
        <f t="shared" ref="DZ400:EB400" si="2362">(DZ399-DZ398)*DZ397/DZ399</f>
        <v>5.7541503219769181</v>
      </c>
      <c r="EA400" s="780">
        <f t="shared" si="2362"/>
        <v>5.7766179627224696</v>
      </c>
      <c r="EB400" s="780">
        <f t="shared" si="2362"/>
        <v>5.7986450614926168</v>
      </c>
      <c r="EC400" s="49"/>
      <c r="ED400" s="25"/>
      <c r="EE400" s="25"/>
      <c r="EF400" s="25"/>
      <c r="EG400" s="25"/>
      <c r="EH400" s="25"/>
      <c r="EI400" s="25"/>
      <c r="EJ400" s="25"/>
      <c r="EK400" s="25"/>
      <c r="EL400" s="25"/>
      <c r="EM400" s="25"/>
      <c r="EN400" s="25"/>
      <c r="EO400" s="25"/>
      <c r="EP400" s="25"/>
      <c r="EQ400" s="25"/>
      <c r="ER400" s="25"/>
      <c r="ES400" s="25"/>
      <c r="ET400" s="25"/>
      <c r="EU400" s="25"/>
      <c r="EX400" s="25"/>
      <c r="EY400" s="294"/>
      <c r="EZ400" s="989"/>
      <c r="FA400" s="985"/>
      <c r="FB400" s="294"/>
      <c r="FC400" s="985"/>
      <c r="FD400" s="25"/>
      <c r="FE400"/>
      <c r="FF400"/>
      <c r="FG400"/>
      <c r="FH400"/>
      <c r="FI400"/>
      <c r="FJ400"/>
    </row>
    <row r="401" spans="1:166" ht="6" hidden="1" customHeight="1" outlineLevel="1" x14ac:dyDescent="0.2">
      <c r="A401" s="23"/>
      <c r="B401" s="16"/>
      <c r="C401" s="16"/>
      <c r="D401" s="16"/>
      <c r="E401" s="16"/>
      <c r="F401" s="16"/>
      <c r="G401" s="16"/>
      <c r="H401" s="16"/>
      <c r="I401" s="16"/>
      <c r="J401" s="16"/>
      <c r="K401" s="16"/>
      <c r="L401" s="16"/>
      <c r="M401" s="16"/>
      <c r="N401" s="16"/>
      <c r="O401" s="16"/>
      <c r="P401" s="16"/>
      <c r="Q401" s="16"/>
      <c r="R401" s="16"/>
      <c r="S401" s="16"/>
      <c r="T401" s="16"/>
      <c r="U401" s="16"/>
      <c r="V401" s="16"/>
      <c r="W401" s="16"/>
      <c r="X401" s="16"/>
      <c r="Y401" s="16"/>
      <c r="Z401" s="16"/>
      <c r="AA401" s="16"/>
      <c r="AB401" s="16"/>
      <c r="AC401" s="16"/>
      <c r="AD401" s="16"/>
      <c r="AE401" s="16"/>
      <c r="AF401" s="16"/>
      <c r="AG401" s="16"/>
      <c r="AH401" s="16"/>
      <c r="AI401" s="16"/>
      <c r="AJ401" s="16"/>
      <c r="AK401" s="16"/>
      <c r="AL401" s="16"/>
      <c r="AM401" s="16"/>
      <c r="AN401" s="16"/>
      <c r="AO401" s="16"/>
      <c r="AP401" s="16"/>
      <c r="AQ401" s="16"/>
      <c r="AR401" s="16"/>
      <c r="AS401" s="16"/>
      <c r="AT401" s="16"/>
      <c r="AU401" s="16"/>
      <c r="AV401" s="45"/>
      <c r="AW401" s="16"/>
      <c r="AX401" s="16"/>
      <c r="AY401" s="21"/>
      <c r="AZ401" s="21"/>
      <c r="BA401" s="45"/>
      <c r="BB401" s="16"/>
      <c r="BC401" s="21"/>
      <c r="BD401" s="16"/>
      <c r="BE401" s="16"/>
      <c r="BF401" s="45"/>
      <c r="BG401" s="16"/>
      <c r="BH401" s="16"/>
      <c r="BI401" s="16"/>
      <c r="BJ401" s="16"/>
      <c r="BK401" s="45"/>
      <c r="BL401" s="15"/>
      <c r="BM401" s="15"/>
      <c r="BN401" s="15"/>
      <c r="BO401" s="15"/>
      <c r="BP401" s="45"/>
      <c r="BQ401" s="16"/>
      <c r="BR401" s="16"/>
      <c r="BS401" s="16"/>
      <c r="BT401" s="16"/>
      <c r="BU401" s="45"/>
      <c r="BV401" s="1310"/>
      <c r="BW401" s="1310"/>
      <c r="BX401" s="1310"/>
      <c r="BY401" s="1310"/>
      <c r="BZ401" s="45"/>
      <c r="CA401" s="16"/>
      <c r="CB401" s="16"/>
      <c r="CC401" s="16"/>
      <c r="CD401" s="16"/>
      <c r="CE401" s="45"/>
      <c r="CF401" s="16"/>
      <c r="CG401" s="16"/>
      <c r="CH401" s="16"/>
      <c r="CI401" s="16"/>
      <c r="CJ401" s="45"/>
      <c r="CK401" s="16"/>
      <c r="CL401" s="16"/>
      <c r="CM401" s="16"/>
      <c r="CN401" s="16"/>
      <c r="CO401" s="45"/>
      <c r="CP401" s="16"/>
      <c r="CQ401" s="16"/>
      <c r="CR401" s="16"/>
      <c r="CS401" s="16"/>
      <c r="CT401" s="45"/>
      <c r="CU401" s="16"/>
      <c r="CV401" s="16"/>
      <c r="CW401" s="16"/>
      <c r="CX401" s="16"/>
      <c r="CY401" s="45"/>
      <c r="CZ401" s="16"/>
      <c r="DA401" s="16"/>
      <c r="DB401" s="16"/>
      <c r="DC401" s="16"/>
      <c r="DD401" s="45"/>
      <c r="DE401" s="16"/>
      <c r="DF401" s="16"/>
      <c r="DG401" s="16"/>
      <c r="DH401" s="16"/>
      <c r="DI401" s="45"/>
      <c r="DJ401" s="16"/>
      <c r="DK401" s="16"/>
      <c r="DL401" s="16"/>
      <c r="DM401" s="16"/>
      <c r="DN401" s="45"/>
      <c r="DO401" s="16"/>
      <c r="DP401" s="16"/>
      <c r="DQ401" s="16"/>
      <c r="DR401" s="16"/>
      <c r="DS401" s="45"/>
      <c r="DT401" s="16"/>
      <c r="DU401" s="16"/>
      <c r="DV401" s="16"/>
      <c r="DW401" s="16"/>
      <c r="DX401" s="45"/>
      <c r="DY401" s="16"/>
      <c r="DZ401" s="16"/>
      <c r="EA401" s="16"/>
      <c r="EB401" s="16"/>
      <c r="EC401" s="45"/>
      <c r="ED401" s="16"/>
      <c r="EE401" s="16"/>
      <c r="EF401" s="16"/>
      <c r="EG401" s="16"/>
      <c r="EH401" s="16"/>
      <c r="EI401" s="16"/>
      <c r="EJ401" s="16"/>
      <c r="EK401" s="16"/>
      <c r="EL401" s="16"/>
      <c r="EM401" s="16"/>
      <c r="EN401" s="16"/>
      <c r="EO401" s="16"/>
      <c r="EP401" s="16"/>
      <c r="EQ401" s="16"/>
      <c r="ER401" s="16"/>
      <c r="ES401" s="16"/>
      <c r="ET401" s="16"/>
      <c r="EU401" s="16"/>
      <c r="EX401" s="16"/>
      <c r="EY401" s="228"/>
      <c r="EZ401" s="945"/>
      <c r="FA401" s="477"/>
      <c r="FB401" s="228"/>
      <c r="FC401" s="477"/>
      <c r="FD401" s="16"/>
    </row>
    <row r="402" spans="1:166" hidden="1" outlineLevel="1" x14ac:dyDescent="0.2">
      <c r="A402" s="23" t="s">
        <v>738</v>
      </c>
      <c r="B402" s="16"/>
      <c r="C402" s="16"/>
      <c r="D402" s="16"/>
      <c r="E402" s="16"/>
      <c r="F402" s="16"/>
      <c r="G402" s="16"/>
      <c r="H402" s="16"/>
      <c r="I402" s="16"/>
      <c r="J402" s="16"/>
      <c r="K402" s="16"/>
      <c r="L402" s="16"/>
      <c r="M402" s="16"/>
      <c r="N402" s="16"/>
      <c r="O402" s="16"/>
      <c r="P402" s="16"/>
      <c r="Q402" s="16"/>
      <c r="R402" s="16"/>
      <c r="S402" s="16"/>
      <c r="T402" s="16"/>
      <c r="U402" s="16"/>
      <c r="V402" s="16"/>
      <c r="W402" s="16"/>
      <c r="X402" s="16"/>
      <c r="Y402" s="16"/>
      <c r="Z402" s="16"/>
      <c r="AA402" s="16"/>
      <c r="AB402" s="16"/>
      <c r="AC402" s="16"/>
      <c r="AD402" s="16"/>
      <c r="AE402" s="16"/>
      <c r="AF402" s="16"/>
      <c r="AG402" s="16"/>
      <c r="AH402" s="16"/>
      <c r="AI402" s="16"/>
      <c r="AJ402" s="16"/>
      <c r="AK402" s="16"/>
      <c r="AL402" s="16"/>
      <c r="AM402" s="16"/>
      <c r="AN402" s="16"/>
      <c r="AO402" s="16"/>
      <c r="AP402" s="16"/>
      <c r="AQ402" s="16"/>
      <c r="AR402" s="16"/>
      <c r="AS402" s="16"/>
      <c r="AT402" s="16"/>
      <c r="AU402" s="16"/>
      <c r="AV402" s="45"/>
      <c r="AW402" s="16"/>
      <c r="AX402" s="16"/>
      <c r="AY402" s="21"/>
      <c r="AZ402" s="21"/>
      <c r="BA402" s="45"/>
      <c r="BB402" s="16"/>
      <c r="BC402" s="21"/>
      <c r="BD402" s="16"/>
      <c r="BE402" s="16"/>
      <c r="BF402" s="45"/>
      <c r="BG402" s="16"/>
      <c r="BH402" s="16"/>
      <c r="BI402" s="16"/>
      <c r="BJ402" s="16"/>
      <c r="BK402" s="45"/>
      <c r="BL402" s="15"/>
      <c r="BM402" s="15"/>
      <c r="BN402" s="15"/>
      <c r="BO402" s="15"/>
      <c r="BP402" s="45"/>
      <c r="BQ402" s="16"/>
      <c r="BR402" s="16"/>
      <c r="BS402" s="16"/>
      <c r="BT402" s="1193">
        <v>0.28699999999999998</v>
      </c>
      <c r="BU402" s="45"/>
      <c r="BV402" s="1310"/>
      <c r="BW402" s="1310"/>
      <c r="BX402" s="1310"/>
      <c r="BY402" s="1331">
        <v>0.28699999999999998</v>
      </c>
      <c r="BZ402" s="45"/>
      <c r="CA402" s="1193">
        <f>BT402</f>
        <v>0.28699999999999998</v>
      </c>
      <c r="CB402" s="1193">
        <f>CA402</f>
        <v>0.28699999999999998</v>
      </c>
      <c r="CC402" s="1193">
        <f t="shared" ref="CC402" si="2363">CB402</f>
        <v>0.28699999999999998</v>
      </c>
      <c r="CD402" s="1193">
        <v>0.58599999999999997</v>
      </c>
      <c r="CE402" s="45"/>
      <c r="CF402" s="1193">
        <f>CD402</f>
        <v>0.58599999999999997</v>
      </c>
      <c r="CG402" s="1193">
        <f>CF402</f>
        <v>0.58599999999999997</v>
      </c>
      <c r="CH402" s="1193">
        <f t="shared" ref="CH402:CI402" si="2364">CG402</f>
        <v>0.58599999999999997</v>
      </c>
      <c r="CI402" s="1193">
        <f t="shared" si="2364"/>
        <v>0.58599999999999997</v>
      </c>
      <c r="CJ402" s="45"/>
      <c r="CK402" s="1193">
        <f>CI402</f>
        <v>0.58599999999999997</v>
      </c>
      <c r="CL402" s="1193">
        <f>CK402</f>
        <v>0.58599999999999997</v>
      </c>
      <c r="CM402" s="1193">
        <f t="shared" ref="CM402:CN402" si="2365">CL402</f>
        <v>0.58599999999999997</v>
      </c>
      <c r="CN402" s="1193">
        <f t="shared" si="2365"/>
        <v>0.58599999999999997</v>
      </c>
      <c r="CO402" s="45"/>
      <c r="CP402" s="1193">
        <f>CN402</f>
        <v>0.58599999999999997</v>
      </c>
      <c r="CQ402" s="1193">
        <f>CP402</f>
        <v>0.58599999999999997</v>
      </c>
      <c r="CR402" s="1193">
        <f t="shared" ref="CR402:CS402" si="2366">CQ402</f>
        <v>0.58599999999999997</v>
      </c>
      <c r="CS402" s="1193">
        <f t="shared" si="2366"/>
        <v>0.58599999999999997</v>
      </c>
      <c r="CT402" s="45"/>
      <c r="CU402" s="1193">
        <f>CS402</f>
        <v>0.58599999999999997</v>
      </c>
      <c r="CV402" s="1193">
        <f>CU402</f>
        <v>0.58599999999999997</v>
      </c>
      <c r="CW402" s="1193">
        <f t="shared" ref="CW402:CX402" si="2367">CV402</f>
        <v>0.58599999999999997</v>
      </c>
      <c r="CX402" s="1193">
        <f t="shared" si="2367"/>
        <v>0.58599999999999997</v>
      </c>
      <c r="CY402" s="45"/>
      <c r="CZ402" s="1193">
        <f>CX402</f>
        <v>0.58599999999999997</v>
      </c>
      <c r="DA402" s="1193">
        <f>CZ402</f>
        <v>0.58599999999999997</v>
      </c>
      <c r="DB402" s="1193">
        <f t="shared" ref="DB402:DC402" si="2368">DA402</f>
        <v>0.58599999999999997</v>
      </c>
      <c r="DC402" s="1193">
        <f t="shared" si="2368"/>
        <v>0.58599999999999997</v>
      </c>
      <c r="DD402" s="45"/>
      <c r="DE402" s="1193">
        <f>DC402</f>
        <v>0.58599999999999997</v>
      </c>
      <c r="DF402" s="1193">
        <f>DE402</f>
        <v>0.58599999999999997</v>
      </c>
      <c r="DG402" s="1193">
        <f t="shared" ref="DG402:DH402" si="2369">DF402</f>
        <v>0.58599999999999997</v>
      </c>
      <c r="DH402" s="1193">
        <f t="shared" si="2369"/>
        <v>0.58599999999999997</v>
      </c>
      <c r="DI402" s="45"/>
      <c r="DJ402" s="1193">
        <f>DH402</f>
        <v>0.58599999999999997</v>
      </c>
      <c r="DK402" s="1193">
        <f>DJ402</f>
        <v>0.58599999999999997</v>
      </c>
      <c r="DL402" s="1193">
        <f t="shared" ref="DL402:DM402" si="2370">DK402</f>
        <v>0.58599999999999997</v>
      </c>
      <c r="DM402" s="1193">
        <f t="shared" si="2370"/>
        <v>0.58599999999999997</v>
      </c>
      <c r="DN402" s="45"/>
      <c r="DO402" s="1193">
        <f>DM402</f>
        <v>0.58599999999999997</v>
      </c>
      <c r="DP402" s="1193">
        <f>DO402</f>
        <v>0.58599999999999997</v>
      </c>
      <c r="DQ402" s="1193">
        <f t="shared" ref="DQ402:DR402" si="2371">DP402</f>
        <v>0.58599999999999997</v>
      </c>
      <c r="DR402" s="1193">
        <f t="shared" si="2371"/>
        <v>0.58599999999999997</v>
      </c>
      <c r="DS402" s="45"/>
      <c r="DT402" s="1193">
        <f>DR402</f>
        <v>0.58599999999999997</v>
      </c>
      <c r="DU402" s="1193">
        <f>DT402</f>
        <v>0.58599999999999997</v>
      </c>
      <c r="DV402" s="1193">
        <f t="shared" ref="DV402:DW402" si="2372">DU402</f>
        <v>0.58599999999999997</v>
      </c>
      <c r="DW402" s="1193">
        <f t="shared" si="2372"/>
        <v>0.58599999999999997</v>
      </c>
      <c r="DX402" s="45"/>
      <c r="DY402" s="1193">
        <f>DW402</f>
        <v>0.58599999999999997</v>
      </c>
      <c r="DZ402" s="1193">
        <f>DY402</f>
        <v>0.58599999999999997</v>
      </c>
      <c r="EA402" s="1193">
        <f t="shared" ref="EA402" si="2373">DZ402</f>
        <v>0.58599999999999997</v>
      </c>
      <c r="EB402" s="1193">
        <f t="shared" ref="EB402" si="2374">EA402</f>
        <v>0.58599999999999997</v>
      </c>
      <c r="EC402" s="45"/>
      <c r="ED402" s="16"/>
      <c r="EE402" s="16"/>
      <c r="EF402" s="16"/>
      <c r="EG402" s="16"/>
      <c r="EH402" s="16"/>
      <c r="EI402" s="16"/>
      <c r="EJ402" s="16"/>
      <c r="EK402" s="16"/>
      <c r="EL402" s="16"/>
      <c r="EM402" s="16"/>
      <c r="EN402" s="16"/>
      <c r="EO402" s="16"/>
      <c r="EP402" s="16"/>
      <c r="EQ402" s="16"/>
      <c r="ER402" s="16"/>
      <c r="ES402" s="16"/>
      <c r="ET402" s="16"/>
      <c r="EU402" s="16"/>
      <c r="EX402" s="16"/>
      <c r="EY402" s="228"/>
      <c r="EZ402" s="945"/>
      <c r="FA402" s="477"/>
      <c r="FB402" s="228"/>
      <c r="FC402" s="477"/>
      <c r="FD402" s="16"/>
    </row>
    <row r="403" spans="1:166" hidden="1" outlineLevel="1" x14ac:dyDescent="0.2">
      <c r="A403" s="23" t="s">
        <v>735</v>
      </c>
      <c r="B403" s="16"/>
      <c r="C403" s="16"/>
      <c r="D403" s="16"/>
      <c r="E403" s="16"/>
      <c r="F403" s="16"/>
      <c r="G403" s="16"/>
      <c r="H403" s="16"/>
      <c r="I403" s="16"/>
      <c r="J403" s="16"/>
      <c r="K403" s="16"/>
      <c r="L403" s="16"/>
      <c r="M403" s="16"/>
      <c r="N403" s="16"/>
      <c r="O403" s="16"/>
      <c r="P403" s="16"/>
      <c r="Q403" s="16"/>
      <c r="R403" s="16"/>
      <c r="S403" s="16"/>
      <c r="T403" s="16"/>
      <c r="U403" s="16"/>
      <c r="V403" s="16"/>
      <c r="W403" s="16"/>
      <c r="X403" s="16"/>
      <c r="Y403" s="16"/>
      <c r="Z403" s="16"/>
      <c r="AA403" s="16"/>
      <c r="AB403" s="16"/>
      <c r="AC403" s="16"/>
      <c r="AD403" s="16"/>
      <c r="AE403" s="16"/>
      <c r="AF403" s="16"/>
      <c r="AG403" s="16"/>
      <c r="AH403" s="16"/>
      <c r="AI403" s="16"/>
      <c r="AJ403" s="16"/>
      <c r="AK403" s="16"/>
      <c r="AL403" s="16"/>
      <c r="AM403" s="16"/>
      <c r="AN403" s="16"/>
      <c r="AO403" s="16"/>
      <c r="AP403" s="16"/>
      <c r="AQ403" s="16"/>
      <c r="AR403" s="16"/>
      <c r="AS403" s="16"/>
      <c r="AT403" s="16"/>
      <c r="AU403" s="16"/>
      <c r="AV403" s="45"/>
      <c r="AW403" s="16"/>
      <c r="AX403" s="16"/>
      <c r="AY403" s="21"/>
      <c r="AZ403" s="21"/>
      <c r="BA403" s="45"/>
      <c r="BB403" s="16"/>
      <c r="BC403" s="21"/>
      <c r="BD403" s="16"/>
      <c r="BE403" s="16"/>
      <c r="BF403" s="45"/>
      <c r="BG403" s="16"/>
      <c r="BH403" s="16"/>
      <c r="BI403" s="16"/>
      <c r="BJ403" s="16"/>
      <c r="BK403" s="45"/>
      <c r="BL403" s="15"/>
      <c r="BM403" s="15"/>
      <c r="BN403" s="15"/>
      <c r="BO403" s="15"/>
      <c r="BP403" s="45"/>
      <c r="BQ403" s="16"/>
      <c r="BR403" s="16"/>
      <c r="BS403" s="16"/>
      <c r="BT403" s="1194">
        <v>0</v>
      </c>
      <c r="BU403" s="45"/>
      <c r="BV403" s="1310"/>
      <c r="BW403" s="1310"/>
      <c r="BX403" s="1310"/>
      <c r="BY403" s="1328">
        <v>0</v>
      </c>
      <c r="BZ403" s="45"/>
      <c r="CA403" s="1194">
        <v>0</v>
      </c>
      <c r="CB403" s="1194">
        <v>0</v>
      </c>
      <c r="CC403" s="1194">
        <v>0</v>
      </c>
      <c r="CD403" s="1194">
        <v>0</v>
      </c>
      <c r="CE403" s="45"/>
      <c r="CF403" s="1194">
        <v>0</v>
      </c>
      <c r="CG403" s="1194">
        <v>0</v>
      </c>
      <c r="CH403" s="1194">
        <v>0</v>
      </c>
      <c r="CI403" s="1194">
        <v>0</v>
      </c>
      <c r="CJ403" s="45"/>
      <c r="CK403" s="1194">
        <v>0</v>
      </c>
      <c r="CL403" s="1194">
        <v>0</v>
      </c>
      <c r="CM403" s="1194">
        <v>0</v>
      </c>
      <c r="CN403" s="1194">
        <v>0</v>
      </c>
      <c r="CO403" s="45"/>
      <c r="CP403" s="1194">
        <v>0</v>
      </c>
      <c r="CQ403" s="1194">
        <v>0</v>
      </c>
      <c r="CR403" s="1194">
        <v>0</v>
      </c>
      <c r="CS403" s="1194">
        <v>0</v>
      </c>
      <c r="CT403" s="45"/>
      <c r="CU403" s="1194">
        <v>0</v>
      </c>
      <c r="CV403" s="1194">
        <v>0</v>
      </c>
      <c r="CW403" s="1194">
        <v>0</v>
      </c>
      <c r="CX403" s="1194">
        <v>0</v>
      </c>
      <c r="CY403" s="45"/>
      <c r="CZ403" s="1194">
        <v>0</v>
      </c>
      <c r="DA403" s="1194">
        <v>0</v>
      </c>
      <c r="DB403" s="1194">
        <v>0</v>
      </c>
      <c r="DC403" s="1194">
        <v>0</v>
      </c>
      <c r="DD403" s="45"/>
      <c r="DE403" s="1194">
        <v>0</v>
      </c>
      <c r="DF403" s="1194">
        <v>0</v>
      </c>
      <c r="DG403" s="1194">
        <v>0</v>
      </c>
      <c r="DH403" s="1194">
        <v>0</v>
      </c>
      <c r="DI403" s="45"/>
      <c r="DJ403" s="1194">
        <v>0</v>
      </c>
      <c r="DK403" s="1194">
        <v>0</v>
      </c>
      <c r="DL403" s="1194">
        <v>0</v>
      </c>
      <c r="DM403" s="1194">
        <v>0</v>
      </c>
      <c r="DN403" s="45"/>
      <c r="DO403" s="1194">
        <v>0</v>
      </c>
      <c r="DP403" s="1194">
        <v>0</v>
      </c>
      <c r="DQ403" s="1194">
        <v>0</v>
      </c>
      <c r="DR403" s="1194">
        <v>0</v>
      </c>
      <c r="DS403" s="45"/>
      <c r="DT403" s="1194">
        <v>0</v>
      </c>
      <c r="DU403" s="1194">
        <v>0</v>
      </c>
      <c r="DV403" s="1194">
        <v>0</v>
      </c>
      <c r="DW403" s="1194">
        <v>0</v>
      </c>
      <c r="DX403" s="45"/>
      <c r="DY403" s="1194">
        <v>0</v>
      </c>
      <c r="DZ403" s="1194">
        <v>0</v>
      </c>
      <c r="EA403" s="1194">
        <v>0</v>
      </c>
      <c r="EB403" s="1194">
        <v>0</v>
      </c>
      <c r="EC403" s="45"/>
      <c r="ED403" s="16"/>
      <c r="EE403" s="16"/>
      <c r="EF403" s="16"/>
      <c r="EG403" s="16"/>
      <c r="EH403" s="16"/>
      <c r="EI403" s="16"/>
      <c r="EJ403" s="16"/>
      <c r="EK403" s="16"/>
      <c r="EL403" s="16"/>
      <c r="EM403" s="16"/>
      <c r="EN403" s="16"/>
      <c r="EO403" s="16"/>
      <c r="EP403" s="16"/>
      <c r="EQ403" s="16"/>
      <c r="ER403" s="16"/>
      <c r="ES403" s="16"/>
      <c r="ET403" s="16"/>
      <c r="EU403" s="16"/>
      <c r="EX403" s="16"/>
      <c r="EY403" s="228"/>
      <c r="EZ403" s="945"/>
      <c r="FA403" s="477"/>
      <c r="FB403" s="228"/>
      <c r="FC403" s="477"/>
      <c r="FD403" s="16"/>
    </row>
    <row r="404" spans="1:166" hidden="1" outlineLevel="1" x14ac:dyDescent="0.2">
      <c r="A404" s="23" t="s">
        <v>736</v>
      </c>
      <c r="B404" s="16"/>
      <c r="C404" s="16"/>
      <c r="D404" s="16"/>
      <c r="E404" s="16"/>
      <c r="F404" s="16"/>
      <c r="G404" s="16"/>
      <c r="H404" s="16"/>
      <c r="I404" s="16"/>
      <c r="J404" s="16"/>
      <c r="K404" s="16"/>
      <c r="L404" s="16"/>
      <c r="M404" s="16"/>
      <c r="N404" s="16"/>
      <c r="O404" s="16"/>
      <c r="P404" s="16"/>
      <c r="Q404" s="16"/>
      <c r="R404" s="16"/>
      <c r="S404" s="16"/>
      <c r="T404" s="16"/>
      <c r="U404" s="16"/>
      <c r="V404" s="16"/>
      <c r="W404" s="16"/>
      <c r="X404" s="16"/>
      <c r="Y404" s="16"/>
      <c r="Z404" s="16"/>
      <c r="AA404" s="16"/>
      <c r="AB404" s="16"/>
      <c r="AC404" s="16"/>
      <c r="AD404" s="16"/>
      <c r="AE404" s="16"/>
      <c r="AF404" s="16"/>
      <c r="AG404" s="16"/>
      <c r="AH404" s="16"/>
      <c r="AI404" s="16"/>
      <c r="AJ404" s="16"/>
      <c r="AK404" s="16"/>
      <c r="AL404" s="16"/>
      <c r="AM404" s="16"/>
      <c r="AN404" s="16"/>
      <c r="AO404" s="16"/>
      <c r="AP404" s="16"/>
      <c r="AQ404" s="16"/>
      <c r="AR404" s="16"/>
      <c r="AS404" s="16"/>
      <c r="AT404" s="16"/>
      <c r="AU404" s="16"/>
      <c r="AV404" s="45"/>
      <c r="AW404" s="16"/>
      <c r="AX404" s="16"/>
      <c r="AY404" s="21"/>
      <c r="AZ404" s="21"/>
      <c r="BA404" s="45"/>
      <c r="BB404" s="16"/>
      <c r="BC404" s="21"/>
      <c r="BD404" s="16"/>
      <c r="BE404" s="16"/>
      <c r="BF404" s="45"/>
      <c r="BG404" s="16"/>
      <c r="BH404" s="16"/>
      <c r="BI404" s="16"/>
      <c r="BJ404" s="16"/>
      <c r="BK404" s="45"/>
      <c r="BL404" s="15"/>
      <c r="BM404" s="15"/>
      <c r="BN404" s="15"/>
      <c r="BO404" s="15"/>
      <c r="BP404" s="45"/>
      <c r="BQ404" s="16"/>
      <c r="BR404" s="16"/>
      <c r="BS404" s="16"/>
      <c r="BT404" s="1194">
        <f>BT381</f>
        <v>30.034800000000004</v>
      </c>
      <c r="BU404" s="45"/>
      <c r="BV404" s="1310"/>
      <c r="BW404" s="1310"/>
      <c r="BX404" s="1310"/>
      <c r="BY404" s="1328">
        <f>BY381</f>
        <v>30.034800000000004</v>
      </c>
      <c r="BZ404" s="45"/>
      <c r="CA404" s="1194">
        <f>CA381</f>
        <v>42</v>
      </c>
      <c r="CB404" s="1194">
        <f t="shared" ref="CB404:CD404" si="2375">CB381</f>
        <v>42.84</v>
      </c>
      <c r="CC404" s="1194">
        <f t="shared" si="2375"/>
        <v>43.696800000000003</v>
      </c>
      <c r="CD404" s="1194">
        <f t="shared" si="2375"/>
        <v>44.570736000000004</v>
      </c>
      <c r="CE404" s="45"/>
      <c r="CF404" s="1194">
        <f>CF381</f>
        <v>45.462150720000004</v>
      </c>
      <c r="CG404" s="1194">
        <f t="shared" ref="CG404:CI404" si="2376">CG381</f>
        <v>46.371393734400002</v>
      </c>
      <c r="CH404" s="1194">
        <f t="shared" si="2376"/>
        <v>47.298821609088002</v>
      </c>
      <c r="CI404" s="1194">
        <f t="shared" si="2376"/>
        <v>48.24479804126976</v>
      </c>
      <c r="CJ404" s="45"/>
      <c r="CK404" s="1194">
        <f>CK381</f>
        <v>51</v>
      </c>
      <c r="CL404" s="1194">
        <f t="shared" ref="CL404:CN404" si="2377">CL381</f>
        <v>52.02</v>
      </c>
      <c r="CM404" s="1194">
        <f t="shared" si="2377"/>
        <v>53.060400000000001</v>
      </c>
      <c r="CN404" s="1194">
        <f t="shared" si="2377"/>
        <v>54.121608000000002</v>
      </c>
      <c r="CO404" s="45"/>
      <c r="CP404" s="1194">
        <f>CP381</f>
        <v>55.204040160000005</v>
      </c>
      <c r="CQ404" s="1194">
        <f t="shared" ref="CQ404:CS404" si="2378">CQ381</f>
        <v>56.308120963200004</v>
      </c>
      <c r="CR404" s="1194">
        <f t="shared" si="2378"/>
        <v>57.434283382464002</v>
      </c>
      <c r="CS404" s="1194">
        <f t="shared" si="2378"/>
        <v>58.582969050113284</v>
      </c>
      <c r="CT404" s="45"/>
      <c r="CU404" s="1194">
        <f>CU381</f>
        <v>59.754628431115549</v>
      </c>
      <c r="CV404" s="1194">
        <f t="shared" ref="CV404:CX404" si="2379">CV381</f>
        <v>60.949720999737863</v>
      </c>
      <c r="CW404" s="1194">
        <f t="shared" si="2379"/>
        <v>62.168715419732621</v>
      </c>
      <c r="CX404" s="1194">
        <f t="shared" si="2379"/>
        <v>63.412089728127278</v>
      </c>
      <c r="CY404" s="45"/>
      <c r="CZ404" s="1194">
        <f>CZ381</f>
        <v>64.680331522689826</v>
      </c>
      <c r="DA404" s="1194">
        <f t="shared" ref="DA404:DC404" si="2380">DA381</f>
        <v>65.973938153143621</v>
      </c>
      <c r="DB404" s="1194">
        <f t="shared" si="2380"/>
        <v>67.293416916206496</v>
      </c>
      <c r="DC404" s="1194">
        <f t="shared" si="2380"/>
        <v>68.639285254530634</v>
      </c>
      <c r="DD404" s="45"/>
      <c r="DE404" s="1194">
        <f>DE381</f>
        <v>70.012070959621255</v>
      </c>
      <c r="DF404" s="1194">
        <f t="shared" ref="DF404:DH404" si="2381">DF381</f>
        <v>71.412312378813681</v>
      </c>
      <c r="DG404" s="1194">
        <f t="shared" si="2381"/>
        <v>72.840558626389949</v>
      </c>
      <c r="DH404" s="1194">
        <f t="shared" si="2381"/>
        <v>74.297369798917757</v>
      </c>
      <c r="DI404" s="45"/>
      <c r="DJ404" s="1194">
        <f>DJ381</f>
        <v>75.783317194896114</v>
      </c>
      <c r="DK404" s="1194">
        <f t="shared" ref="DK404:DM404" si="2382">DK381</f>
        <v>77.298983538794033</v>
      </c>
      <c r="DL404" s="1194">
        <f t="shared" si="2382"/>
        <v>78.844963209569912</v>
      </c>
      <c r="DM404" s="1194">
        <f t="shared" si="2382"/>
        <v>80.421862473761308</v>
      </c>
      <c r="DN404" s="45"/>
      <c r="DO404" s="1194">
        <f>DO381</f>
        <v>82.030299723236539</v>
      </c>
      <c r="DP404" s="1194">
        <f t="shared" ref="DP404:DR404" si="2383">DP381</f>
        <v>83.670905717701274</v>
      </c>
      <c r="DQ404" s="1194">
        <f t="shared" si="2383"/>
        <v>85.344323832055295</v>
      </c>
      <c r="DR404" s="1194">
        <f t="shared" si="2383"/>
        <v>87.051210308696398</v>
      </c>
      <c r="DS404" s="45"/>
      <c r="DT404" s="1194">
        <f>DT381</f>
        <v>88.79223451487033</v>
      </c>
      <c r="DU404" s="1194">
        <f t="shared" ref="DU404:DW404" si="2384">DU381</f>
        <v>90.568079205167734</v>
      </c>
      <c r="DV404" s="1194">
        <f t="shared" si="2384"/>
        <v>92.379440789271086</v>
      </c>
      <c r="DW404" s="1194">
        <f t="shared" si="2384"/>
        <v>94.227029605056515</v>
      </c>
      <c r="DX404" s="45"/>
      <c r="DY404" s="1194">
        <f>DY381</f>
        <v>96.111570197157647</v>
      </c>
      <c r="DZ404" s="1194">
        <f t="shared" ref="DZ404:EB404" si="2385">DZ381</f>
        <v>98.033801601100805</v>
      </c>
      <c r="EA404" s="1194">
        <f t="shared" si="2385"/>
        <v>99.994477633122827</v>
      </c>
      <c r="EB404" s="1194">
        <f t="shared" si="2385"/>
        <v>101.99436718578528</v>
      </c>
      <c r="EC404" s="45"/>
      <c r="ED404" s="16"/>
      <c r="EE404" s="16"/>
      <c r="EF404" s="16"/>
      <c r="EG404" s="16"/>
      <c r="EH404" s="16"/>
      <c r="EI404" s="16"/>
      <c r="EJ404" s="16"/>
      <c r="EK404" s="16"/>
      <c r="EL404" s="16"/>
      <c r="EM404" s="16"/>
      <c r="EN404" s="16"/>
      <c r="EO404" s="16"/>
      <c r="EP404" s="16"/>
      <c r="EQ404" s="16"/>
      <c r="ER404" s="16"/>
      <c r="ES404" s="16"/>
      <c r="ET404" s="16"/>
      <c r="EU404" s="16"/>
      <c r="EX404" s="16"/>
      <c r="EY404" s="228"/>
      <c r="EZ404" s="945"/>
      <c r="FA404" s="477"/>
      <c r="FB404" s="228"/>
      <c r="FC404" s="477"/>
      <c r="FD404" s="16"/>
    </row>
    <row r="405" spans="1:166" s="1069" customFormat="1" hidden="1" outlineLevel="1" x14ac:dyDescent="0.2">
      <c r="A405" s="140" t="s">
        <v>739</v>
      </c>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49"/>
      <c r="AW405" s="25"/>
      <c r="AX405" s="25"/>
      <c r="AY405" s="37"/>
      <c r="AZ405" s="37"/>
      <c r="BA405" s="49"/>
      <c r="BB405" s="25"/>
      <c r="BC405" s="37"/>
      <c r="BD405" s="25"/>
      <c r="BE405" s="25"/>
      <c r="BF405" s="49"/>
      <c r="BG405" s="25"/>
      <c r="BH405" s="25"/>
      <c r="BI405" s="25"/>
      <c r="BJ405" s="25"/>
      <c r="BK405" s="49"/>
      <c r="BL405" s="66"/>
      <c r="BM405" s="66"/>
      <c r="BN405" s="66"/>
      <c r="BO405" s="66"/>
      <c r="BP405" s="49"/>
      <c r="BQ405" s="25"/>
      <c r="BR405" s="25"/>
      <c r="BS405" s="25"/>
      <c r="BT405" s="780">
        <f>(BT404-BT403)*BT402/BT404</f>
        <v>0.28699999999999998</v>
      </c>
      <c r="BU405" s="49"/>
      <c r="BV405" s="1329"/>
      <c r="BW405" s="1329"/>
      <c r="BX405" s="1329"/>
      <c r="BY405" s="1330">
        <f>(BY404-BY403)*BY402/BY404</f>
        <v>0.28699999999999998</v>
      </c>
      <c r="BZ405" s="49"/>
      <c r="CA405" s="780">
        <f>(CA404-CA403)*CA402/CA404</f>
        <v>0.28699999999999998</v>
      </c>
      <c r="CB405" s="780">
        <f t="shared" ref="CB405" si="2386">(CB404-CB403)*CB402/CB404</f>
        <v>0.28699999999999998</v>
      </c>
      <c r="CC405" s="780">
        <f t="shared" ref="CC405" si="2387">(CC404-CC403)*CC402/CC404</f>
        <v>0.28699999999999998</v>
      </c>
      <c r="CD405" s="780">
        <f t="shared" ref="CD405" si="2388">(CD404-CD403)*CD402/CD404</f>
        <v>0.58599999999999997</v>
      </c>
      <c r="CE405" s="49"/>
      <c r="CF405" s="780">
        <f>(CF404-CF403)*CF402/CF404</f>
        <v>0.58599999999999997</v>
      </c>
      <c r="CG405" s="780">
        <f t="shared" ref="CG405" si="2389">(CG404-CG403)*CG402/CG404</f>
        <v>0.58599999999999997</v>
      </c>
      <c r="CH405" s="780">
        <f t="shared" ref="CH405" si="2390">(CH404-CH403)*CH402/CH404</f>
        <v>0.58599999999999997</v>
      </c>
      <c r="CI405" s="780">
        <f t="shared" ref="CI405" si="2391">(CI404-CI403)*CI402/CI404</f>
        <v>0.58599999999999997</v>
      </c>
      <c r="CJ405" s="49"/>
      <c r="CK405" s="780">
        <f>(CK404-CK403)*CK402/CK404</f>
        <v>0.58599999999999997</v>
      </c>
      <c r="CL405" s="780">
        <f t="shared" ref="CL405" si="2392">(CL404-CL403)*CL402/CL404</f>
        <v>0.58599999999999997</v>
      </c>
      <c r="CM405" s="780">
        <f t="shared" ref="CM405" si="2393">(CM404-CM403)*CM402/CM404</f>
        <v>0.58599999999999997</v>
      </c>
      <c r="CN405" s="780">
        <f t="shared" ref="CN405" si="2394">(CN404-CN403)*CN402/CN404</f>
        <v>0.58599999999999997</v>
      </c>
      <c r="CO405" s="49"/>
      <c r="CP405" s="780">
        <f>(CP404-CP403)*CP402/CP404</f>
        <v>0.58599999999999997</v>
      </c>
      <c r="CQ405" s="780">
        <f t="shared" ref="CQ405" si="2395">(CQ404-CQ403)*CQ402/CQ404</f>
        <v>0.58599999999999997</v>
      </c>
      <c r="CR405" s="780">
        <f t="shared" ref="CR405" si="2396">(CR404-CR403)*CR402/CR404</f>
        <v>0.58599999999999997</v>
      </c>
      <c r="CS405" s="780">
        <f t="shared" ref="CS405" si="2397">(CS404-CS403)*CS402/CS404</f>
        <v>0.58599999999999997</v>
      </c>
      <c r="CT405" s="49"/>
      <c r="CU405" s="780">
        <f>(CU404-CU403)*CU402/CU404</f>
        <v>0.58599999999999997</v>
      </c>
      <c r="CV405" s="780">
        <f t="shared" ref="CV405" si="2398">(CV404-CV403)*CV402/CV404</f>
        <v>0.58599999999999997</v>
      </c>
      <c r="CW405" s="780">
        <f t="shared" ref="CW405" si="2399">(CW404-CW403)*CW402/CW404</f>
        <v>0.58599999999999997</v>
      </c>
      <c r="CX405" s="780">
        <f t="shared" ref="CX405" si="2400">(CX404-CX403)*CX402/CX404</f>
        <v>0.58599999999999997</v>
      </c>
      <c r="CY405" s="49"/>
      <c r="CZ405" s="780">
        <f>(CZ404-CZ403)*CZ402/CZ404</f>
        <v>0.58599999999999997</v>
      </c>
      <c r="DA405" s="780">
        <f t="shared" ref="DA405" si="2401">(DA404-DA403)*DA402/DA404</f>
        <v>0.58599999999999997</v>
      </c>
      <c r="DB405" s="780">
        <f t="shared" ref="DB405" si="2402">(DB404-DB403)*DB402/DB404</f>
        <v>0.58599999999999997</v>
      </c>
      <c r="DC405" s="780">
        <f t="shared" ref="DC405" si="2403">(DC404-DC403)*DC402/DC404</f>
        <v>0.58599999999999997</v>
      </c>
      <c r="DD405" s="49"/>
      <c r="DE405" s="780">
        <f>(DE404-DE403)*DE402/DE404</f>
        <v>0.58599999999999997</v>
      </c>
      <c r="DF405" s="780">
        <f t="shared" ref="DF405" si="2404">(DF404-DF403)*DF402/DF404</f>
        <v>0.58599999999999997</v>
      </c>
      <c r="DG405" s="780">
        <f t="shared" ref="DG405" si="2405">(DG404-DG403)*DG402/DG404</f>
        <v>0.58599999999999997</v>
      </c>
      <c r="DH405" s="780">
        <f t="shared" ref="DH405" si="2406">(DH404-DH403)*DH402/DH404</f>
        <v>0.58599999999999997</v>
      </c>
      <c r="DI405" s="49"/>
      <c r="DJ405" s="780">
        <f>(DJ404-DJ403)*DJ402/DJ404</f>
        <v>0.58599999999999997</v>
      </c>
      <c r="DK405" s="780">
        <f t="shared" ref="DK405" si="2407">(DK404-DK403)*DK402/DK404</f>
        <v>0.58599999999999997</v>
      </c>
      <c r="DL405" s="780">
        <f t="shared" ref="DL405" si="2408">(DL404-DL403)*DL402/DL404</f>
        <v>0.58599999999999997</v>
      </c>
      <c r="DM405" s="780">
        <f t="shared" ref="DM405" si="2409">(DM404-DM403)*DM402/DM404</f>
        <v>0.58599999999999997</v>
      </c>
      <c r="DN405" s="49"/>
      <c r="DO405" s="780">
        <f>(DO404-DO403)*DO402/DO404</f>
        <v>0.58599999999999997</v>
      </c>
      <c r="DP405" s="780">
        <f t="shared" ref="DP405" si="2410">(DP404-DP403)*DP402/DP404</f>
        <v>0.58599999999999997</v>
      </c>
      <c r="DQ405" s="780">
        <f t="shared" ref="DQ405" si="2411">(DQ404-DQ403)*DQ402/DQ404</f>
        <v>0.58599999999999997</v>
      </c>
      <c r="DR405" s="780">
        <f t="shared" ref="DR405" si="2412">(DR404-DR403)*DR402/DR404</f>
        <v>0.58599999999999997</v>
      </c>
      <c r="DS405" s="49"/>
      <c r="DT405" s="780">
        <f>(DT404-DT403)*DT402/DT404</f>
        <v>0.58599999999999997</v>
      </c>
      <c r="DU405" s="780">
        <f t="shared" ref="DU405" si="2413">(DU404-DU403)*DU402/DU404</f>
        <v>0.58599999999999997</v>
      </c>
      <c r="DV405" s="780">
        <f t="shared" ref="DV405" si="2414">(DV404-DV403)*DV402/DV404</f>
        <v>0.58599999999999997</v>
      </c>
      <c r="DW405" s="780">
        <f t="shared" ref="DW405" si="2415">(DW404-DW403)*DW402/DW404</f>
        <v>0.58599999999999997</v>
      </c>
      <c r="DX405" s="49"/>
      <c r="DY405" s="780">
        <f>(DY404-DY403)*DY402/DY404</f>
        <v>0.58599999999999997</v>
      </c>
      <c r="DZ405" s="780">
        <f t="shared" ref="DZ405:EB405" si="2416">(DZ404-DZ403)*DZ402/DZ404</f>
        <v>0.58599999999999997</v>
      </c>
      <c r="EA405" s="780">
        <f t="shared" si="2416"/>
        <v>0.58599999999999997</v>
      </c>
      <c r="EB405" s="780">
        <f t="shared" si="2416"/>
        <v>0.58599999999999997</v>
      </c>
      <c r="EC405" s="49"/>
      <c r="ED405" s="25"/>
      <c r="EE405" s="25"/>
      <c r="EF405" s="25"/>
      <c r="EG405" s="25"/>
      <c r="EH405" s="25"/>
      <c r="EI405" s="25"/>
      <c r="EJ405" s="25"/>
      <c r="EK405" s="25"/>
      <c r="EL405" s="25"/>
      <c r="EM405" s="25"/>
      <c r="EN405" s="25"/>
      <c r="EO405" s="25"/>
      <c r="EP405" s="25"/>
      <c r="EQ405" s="25"/>
      <c r="ER405" s="25"/>
      <c r="ES405" s="25"/>
      <c r="ET405" s="25"/>
      <c r="EU405" s="25"/>
      <c r="EX405" s="25"/>
      <c r="EY405" s="294"/>
      <c r="EZ405" s="989"/>
      <c r="FA405" s="985"/>
      <c r="FB405" s="294"/>
      <c r="FC405" s="985"/>
      <c r="FD405" s="25"/>
      <c r="FE405"/>
      <c r="FF405"/>
      <c r="FG405"/>
      <c r="FH405"/>
      <c r="FI405"/>
      <c r="FJ405"/>
    </row>
    <row r="406" spans="1:166" ht="5.25" hidden="1" customHeight="1" outlineLevel="1" x14ac:dyDescent="0.2">
      <c r="A406" s="23"/>
      <c r="B406" s="16"/>
      <c r="C406" s="16"/>
      <c r="D406" s="16"/>
      <c r="E406" s="16"/>
      <c r="F406" s="16"/>
      <c r="G406" s="16"/>
      <c r="H406" s="16"/>
      <c r="I406" s="16"/>
      <c r="J406" s="16"/>
      <c r="K406" s="16"/>
      <c r="L406" s="16"/>
      <c r="M406" s="16"/>
      <c r="N406" s="16"/>
      <c r="O406" s="16"/>
      <c r="P406" s="16"/>
      <c r="Q406" s="16"/>
      <c r="R406" s="16"/>
      <c r="S406" s="16"/>
      <c r="T406" s="16"/>
      <c r="U406" s="16"/>
      <c r="V406" s="16"/>
      <c r="W406" s="16"/>
      <c r="X406" s="16"/>
      <c r="Y406" s="16"/>
      <c r="Z406" s="16"/>
      <c r="AA406" s="16"/>
      <c r="AB406" s="16"/>
      <c r="AC406" s="16"/>
      <c r="AD406" s="16"/>
      <c r="AE406" s="16"/>
      <c r="AF406" s="16"/>
      <c r="AG406" s="16"/>
      <c r="AH406" s="16"/>
      <c r="AI406" s="16"/>
      <c r="AJ406" s="16"/>
      <c r="AK406" s="16"/>
      <c r="AL406" s="16"/>
      <c r="AM406" s="16"/>
      <c r="AN406" s="16"/>
      <c r="AO406" s="16"/>
      <c r="AP406" s="16"/>
      <c r="AQ406" s="16"/>
      <c r="AR406" s="16"/>
      <c r="AS406" s="16"/>
      <c r="AT406" s="16"/>
      <c r="AU406" s="16"/>
      <c r="AV406" s="45"/>
      <c r="AW406" s="16"/>
      <c r="AX406" s="16"/>
      <c r="AY406" s="21"/>
      <c r="AZ406" s="21"/>
      <c r="BA406" s="45"/>
      <c r="BB406" s="16"/>
      <c r="BC406" s="21"/>
      <c r="BD406" s="16"/>
      <c r="BE406" s="16"/>
      <c r="BF406" s="45"/>
      <c r="BG406" s="16"/>
      <c r="BH406" s="16"/>
      <c r="BI406" s="16"/>
      <c r="BJ406" s="16"/>
      <c r="BK406" s="45"/>
      <c r="BL406" s="15"/>
      <c r="BM406" s="15"/>
      <c r="BN406" s="15"/>
      <c r="BO406" s="15"/>
      <c r="BP406" s="45"/>
      <c r="BQ406" s="16"/>
      <c r="BR406" s="16"/>
      <c r="BS406" s="16"/>
      <c r="BT406" s="673"/>
      <c r="BU406" s="45"/>
      <c r="BV406" s="1310"/>
      <c r="BW406" s="1310"/>
      <c r="BX406" s="1310"/>
      <c r="BY406" s="1332"/>
      <c r="BZ406" s="45"/>
      <c r="CA406" s="673"/>
      <c r="CB406" s="673"/>
      <c r="CC406" s="673"/>
      <c r="CD406" s="673"/>
      <c r="CE406" s="45"/>
      <c r="CF406" s="673"/>
      <c r="CG406" s="673"/>
      <c r="CH406" s="673"/>
      <c r="CI406" s="673"/>
      <c r="CJ406" s="45"/>
      <c r="CK406" s="673"/>
      <c r="CL406" s="673"/>
      <c r="CM406" s="673"/>
      <c r="CN406" s="673"/>
      <c r="CO406" s="45"/>
      <c r="CP406" s="673"/>
      <c r="CQ406" s="673"/>
      <c r="CR406" s="673"/>
      <c r="CS406" s="673"/>
      <c r="CT406" s="45"/>
      <c r="CU406" s="673"/>
      <c r="CV406" s="673"/>
      <c r="CW406" s="673"/>
      <c r="CX406" s="673"/>
      <c r="CY406" s="45"/>
      <c r="CZ406" s="673"/>
      <c r="DA406" s="673"/>
      <c r="DB406" s="673"/>
      <c r="DC406" s="673"/>
      <c r="DD406" s="45"/>
      <c r="DE406" s="673"/>
      <c r="DF406" s="673"/>
      <c r="DG406" s="673"/>
      <c r="DH406" s="673"/>
      <c r="DI406" s="45"/>
      <c r="DJ406" s="673"/>
      <c r="DK406" s="673"/>
      <c r="DL406" s="673"/>
      <c r="DM406" s="673"/>
      <c r="DN406" s="45"/>
      <c r="DO406" s="673"/>
      <c r="DP406" s="673"/>
      <c r="DQ406" s="673"/>
      <c r="DR406" s="673"/>
      <c r="DS406" s="45"/>
      <c r="DT406" s="673"/>
      <c r="DU406" s="673"/>
      <c r="DV406" s="673"/>
      <c r="DW406" s="673"/>
      <c r="DX406" s="45"/>
      <c r="DY406" s="673"/>
      <c r="DZ406" s="673"/>
      <c r="EA406" s="673"/>
      <c r="EB406" s="673"/>
      <c r="EC406" s="45"/>
      <c r="ED406" s="16"/>
      <c r="EE406" s="16"/>
      <c r="EF406" s="16"/>
      <c r="EG406" s="16"/>
      <c r="EH406" s="16"/>
      <c r="EI406" s="16"/>
      <c r="EJ406" s="16"/>
      <c r="EK406" s="16"/>
      <c r="EL406" s="16"/>
      <c r="EM406" s="16"/>
      <c r="EN406" s="16"/>
      <c r="EO406" s="16"/>
      <c r="EP406" s="16"/>
      <c r="EQ406" s="16"/>
      <c r="ER406" s="16"/>
      <c r="ES406" s="16"/>
      <c r="ET406" s="16"/>
      <c r="EU406" s="16"/>
      <c r="EX406" s="16"/>
      <c r="EY406" s="228"/>
      <c r="EZ406" s="945"/>
      <c r="FA406" s="477"/>
      <c r="FB406" s="228"/>
      <c r="FC406" s="477"/>
      <c r="FD406" s="16"/>
    </row>
    <row r="407" spans="1:166" hidden="1" outlineLevel="1" x14ac:dyDescent="0.2">
      <c r="A407" s="821" t="s">
        <v>741</v>
      </c>
      <c r="B407" s="291"/>
      <c r="C407" s="291"/>
      <c r="D407" s="291"/>
      <c r="E407" s="291"/>
      <c r="F407" s="291"/>
      <c r="G407" s="291"/>
      <c r="H407" s="291"/>
      <c r="I407" s="291"/>
      <c r="J407" s="291"/>
      <c r="K407" s="291"/>
      <c r="L407" s="291"/>
      <c r="M407" s="291"/>
      <c r="N407" s="291"/>
      <c r="O407" s="291"/>
      <c r="P407" s="291"/>
      <c r="Q407" s="291"/>
      <c r="R407" s="291"/>
      <c r="S407" s="291"/>
      <c r="T407" s="291"/>
      <c r="U407" s="291"/>
      <c r="V407" s="291"/>
      <c r="W407" s="291"/>
      <c r="X407" s="291"/>
      <c r="Y407" s="291"/>
      <c r="Z407" s="291"/>
      <c r="AA407" s="291"/>
      <c r="AB407" s="291"/>
      <c r="AC407" s="291"/>
      <c r="AD407" s="291"/>
      <c r="AE407" s="291"/>
      <c r="AF407" s="291"/>
      <c r="AG407" s="291"/>
      <c r="AH407" s="291"/>
      <c r="AI407" s="291"/>
      <c r="AJ407" s="291"/>
      <c r="AK407" s="291"/>
      <c r="AL407" s="291"/>
      <c r="AM407" s="291"/>
      <c r="AN407" s="291"/>
      <c r="AO407" s="291"/>
      <c r="AP407" s="291"/>
      <c r="AQ407" s="291"/>
      <c r="AR407" s="291"/>
      <c r="AS407" s="291"/>
      <c r="AT407" s="291"/>
      <c r="AU407" s="291"/>
      <c r="AV407" s="821"/>
      <c r="AW407" s="291"/>
      <c r="AX407" s="291"/>
      <c r="AY407" s="291"/>
      <c r="AZ407" s="291"/>
      <c r="BA407" s="821"/>
      <c r="BB407" s="291"/>
      <c r="BC407" s="291"/>
      <c r="BD407" s="291"/>
      <c r="BE407" s="291"/>
      <c r="BF407" s="821"/>
      <c r="BG407" s="291"/>
      <c r="BH407" s="291"/>
      <c r="BI407" s="291"/>
      <c r="BJ407" s="291"/>
      <c r="BK407" s="821"/>
      <c r="BL407" s="1198"/>
      <c r="BM407" s="1198"/>
      <c r="BN407" s="1198"/>
      <c r="BO407" s="1198"/>
      <c r="BP407" s="821"/>
      <c r="BQ407" s="291"/>
      <c r="BR407" s="291"/>
      <c r="BS407" s="291"/>
      <c r="BT407" s="335">
        <f>BT400+BT405</f>
        <v>13.505548297308456</v>
      </c>
      <c r="BU407" s="821"/>
      <c r="BV407" s="1326"/>
      <c r="BW407" s="1326"/>
      <c r="BX407" s="1326"/>
      <c r="BY407" s="1093">
        <f>BY400+BY405</f>
        <v>13.505548297308456</v>
      </c>
      <c r="BZ407" s="821"/>
      <c r="CA407" s="335">
        <f>CA400+CA405</f>
        <v>15.815815238095238</v>
      </c>
      <c r="CB407" s="335">
        <f t="shared" ref="CB407:CD407" si="2417">CB400+CB405</f>
        <v>15.929524743230626</v>
      </c>
      <c r="CC407" s="335">
        <f t="shared" si="2417"/>
        <v>16.041004650226103</v>
      </c>
      <c r="CD407" s="335">
        <f t="shared" si="2417"/>
        <v>15.829865745811333</v>
      </c>
      <c r="CE407" s="821"/>
      <c r="CF407" s="335">
        <f>CF400+CF405</f>
        <v>5.0151094191330863</v>
      </c>
      <c r="CG407" s="335">
        <f t="shared" ref="CG407:CI407" si="2418">CG400+CG405</f>
        <v>5.0635582540520456</v>
      </c>
      <c r="CH407" s="335">
        <f t="shared" si="2418"/>
        <v>5.1110571118157306</v>
      </c>
      <c r="CI407" s="335">
        <f t="shared" si="2418"/>
        <v>5.1576246194271871</v>
      </c>
      <c r="CJ407" s="821"/>
      <c r="CK407" s="335">
        <f>CK400+CK405</f>
        <v>5.2834117647058827</v>
      </c>
      <c r="CL407" s="335">
        <f t="shared" ref="CL407:CN407" si="2419">CL400+CL405</f>
        <v>5.3265997693194933</v>
      </c>
      <c r="CM407" s="335">
        <f t="shared" si="2419"/>
        <v>5.3689409503132284</v>
      </c>
      <c r="CN407" s="335">
        <f t="shared" si="2419"/>
        <v>5.4104519120717924</v>
      </c>
      <c r="CO407" s="821"/>
      <c r="CP407" s="335">
        <f>CP400+CP405</f>
        <v>5.4511489334037178</v>
      </c>
      <c r="CQ407" s="335">
        <f t="shared" ref="CQ407:CS407" si="2420">CQ400+CQ405</f>
        <v>5.4910479739252134</v>
      </c>
      <c r="CR407" s="335">
        <f t="shared" si="2420"/>
        <v>5.5301646803188369</v>
      </c>
      <c r="CS407" s="335">
        <f t="shared" si="2420"/>
        <v>5.5685143924694485</v>
      </c>
      <c r="CT407" s="821"/>
      <c r="CU407" s="335">
        <f>CU400+CU405</f>
        <v>5.6061121494798511</v>
      </c>
      <c r="CV407" s="335">
        <f t="shared" ref="CV407:CX407" si="2421">CV400+CV405</f>
        <v>5.6429726955684814</v>
      </c>
      <c r="CW407" s="335">
        <f t="shared" si="2421"/>
        <v>5.6791104858514529</v>
      </c>
      <c r="CX407" s="335">
        <f t="shared" si="2421"/>
        <v>5.714539692011229</v>
      </c>
      <c r="CY407" s="821"/>
      <c r="CZ407" s="335">
        <f>CZ400+CZ405</f>
        <v>5.7492742078541452</v>
      </c>
      <c r="DA407" s="335">
        <f t="shared" ref="DA407:DC407" si="2422">DA400+DA405</f>
        <v>5.783327654758966</v>
      </c>
      <c r="DB407" s="335">
        <f t="shared" si="2422"/>
        <v>5.8167133870185941</v>
      </c>
      <c r="DC407" s="335">
        <f t="shared" si="2422"/>
        <v>5.8494444970770534</v>
      </c>
      <c r="DD407" s="821"/>
      <c r="DE407" s="335">
        <f>DE400+DE405</f>
        <v>5.8815338206637779</v>
      </c>
      <c r="DF407" s="335">
        <f t="shared" ref="DF407:DH407" si="2423">DF400+DF405</f>
        <v>5.9129939418272333</v>
      </c>
      <c r="DG407" s="335">
        <f t="shared" si="2423"/>
        <v>5.9438371978698363</v>
      </c>
      <c r="DH407" s="335">
        <f t="shared" si="2423"/>
        <v>5.9740756841861149</v>
      </c>
      <c r="DI407" s="821"/>
      <c r="DJ407" s="335">
        <f>DJ400+DJ405</f>
        <v>6.0037212590059941</v>
      </c>
      <c r="DK407" s="335">
        <f t="shared" ref="DK407:DM407" si="2424">DK400+DK405</f>
        <v>6.0327855480450925</v>
      </c>
      <c r="DL407" s="335">
        <f t="shared" si="2424"/>
        <v>6.0612799490638167</v>
      </c>
      <c r="DM407" s="335">
        <f t="shared" si="2424"/>
        <v>6.0892156363370749</v>
      </c>
      <c r="DN407" s="821"/>
      <c r="DO407" s="335">
        <f>DO400+DO405</f>
        <v>6.1166035650363479</v>
      </c>
      <c r="DP407" s="335">
        <f t="shared" ref="DP407:DR407" si="2425">DP400+DP405</f>
        <v>6.1434544755258313</v>
      </c>
      <c r="DQ407" s="335">
        <f t="shared" si="2425"/>
        <v>6.1697788975743446</v>
      </c>
      <c r="DR407" s="335">
        <f t="shared" si="2425"/>
        <v>6.1955871544846515</v>
      </c>
      <c r="DS407" s="821"/>
      <c r="DT407" s="335">
        <f>DT400+DT405</f>
        <v>6.2208893671418153</v>
      </c>
      <c r="DU407" s="335">
        <f t="shared" ref="DU407:DW407" si="2426">DU400+DU405</f>
        <v>6.2456954579821717</v>
      </c>
      <c r="DV407" s="335">
        <f t="shared" si="2426"/>
        <v>6.270015154884482</v>
      </c>
      <c r="DW407" s="335">
        <f t="shared" si="2426"/>
        <v>6.2938579949847862</v>
      </c>
      <c r="DX407" s="821"/>
      <c r="DY407" s="335">
        <f>DY400+DY405</f>
        <v>6.3172333284164575</v>
      </c>
      <c r="DZ407" s="335">
        <f t="shared" ref="DZ407:EB407" si="2427">DZ400+DZ405</f>
        <v>6.3401503219769184</v>
      </c>
      <c r="EA407" s="335">
        <f t="shared" si="2427"/>
        <v>6.3626179627224699</v>
      </c>
      <c r="EB407" s="335">
        <f t="shared" si="2427"/>
        <v>6.3846450614926171</v>
      </c>
      <c r="EC407" s="821"/>
      <c r="ED407" s="16"/>
      <c r="EE407" s="16"/>
      <c r="EF407" s="16"/>
      <c r="EG407" s="16"/>
      <c r="EH407" s="16"/>
      <c r="EI407" s="16"/>
      <c r="EJ407" s="16"/>
      <c r="EK407" s="16"/>
      <c r="EL407" s="16"/>
      <c r="EM407" s="16"/>
      <c r="EN407" s="16"/>
      <c r="EO407" s="16"/>
      <c r="EP407" s="16"/>
      <c r="EQ407" s="16"/>
      <c r="ER407" s="16"/>
      <c r="ES407" s="16"/>
      <c r="ET407" s="16"/>
      <c r="EU407" s="16"/>
      <c r="EX407" s="16"/>
      <c r="EY407" s="228"/>
      <c r="EZ407" s="945"/>
      <c r="FA407" s="477"/>
      <c r="FB407" s="228"/>
      <c r="FC407" s="477"/>
      <c r="FD407" s="16"/>
    </row>
    <row r="408" spans="1:166" collapsed="1" x14ac:dyDescent="0.2">
      <c r="A408" s="23"/>
      <c r="B408" s="16"/>
      <c r="C408" s="16"/>
      <c r="D408" s="16"/>
      <c r="E408" s="16"/>
      <c r="F408" s="16"/>
      <c r="G408" s="16"/>
      <c r="H408" s="16"/>
      <c r="I408" s="16"/>
      <c r="J408" s="16"/>
      <c r="K408" s="16"/>
      <c r="L408" s="16"/>
      <c r="M408" s="16"/>
      <c r="N408" s="16"/>
      <c r="O408" s="16"/>
      <c r="P408" s="16"/>
      <c r="Q408" s="16"/>
      <c r="R408" s="16"/>
      <c r="S408" s="16"/>
      <c r="T408" s="16"/>
      <c r="U408" s="16"/>
      <c r="V408" s="16"/>
      <c r="W408" s="16"/>
      <c r="X408" s="16"/>
      <c r="Y408" s="16"/>
      <c r="Z408" s="16"/>
      <c r="AA408" s="16"/>
      <c r="AB408" s="16"/>
      <c r="AC408" s="16"/>
      <c r="AD408" s="16"/>
      <c r="AE408" s="16"/>
      <c r="AF408" s="16"/>
      <c r="AG408" s="16"/>
      <c r="AH408" s="16"/>
      <c r="AI408" s="16"/>
      <c r="AJ408" s="16"/>
      <c r="AK408" s="16"/>
      <c r="AL408" s="16"/>
      <c r="AM408" s="16"/>
      <c r="AN408" s="16"/>
      <c r="AO408" s="16"/>
      <c r="AP408" s="16"/>
      <c r="AQ408" s="16"/>
      <c r="AR408" s="16"/>
      <c r="AS408" s="16"/>
      <c r="AT408" s="16"/>
      <c r="AU408" s="16"/>
      <c r="AV408" s="45"/>
      <c r="AW408" s="16"/>
      <c r="AX408" s="16"/>
      <c r="AY408" s="21"/>
      <c r="AZ408" s="21"/>
      <c r="BA408" s="16"/>
      <c r="BB408" s="16"/>
      <c r="BC408" s="21"/>
      <c r="BD408" s="16"/>
      <c r="BE408" s="16"/>
      <c r="BF408" s="16"/>
      <c r="BG408" s="16"/>
      <c r="BH408" s="16"/>
      <c r="BI408" s="16"/>
      <c r="BJ408" s="16"/>
      <c r="BK408" s="15"/>
      <c r="BL408" s="15"/>
      <c r="BM408" s="15"/>
      <c r="BN408" s="15"/>
      <c r="BO408" s="15"/>
      <c r="BP408" s="16"/>
      <c r="BQ408" s="16"/>
      <c r="BR408" s="16"/>
      <c r="BS408" s="16"/>
      <c r="BT408" s="16"/>
      <c r="BU408" s="16"/>
      <c r="BV408" s="1310"/>
      <c r="BW408" s="1310"/>
      <c r="BX408" s="1310"/>
      <c r="BY408" s="1310"/>
      <c r="BZ408" s="16"/>
      <c r="CA408" s="16"/>
      <c r="CB408" s="16"/>
      <c r="CC408" s="16"/>
      <c r="CD408" s="16"/>
      <c r="CE408" s="16"/>
      <c r="CF408" s="16"/>
      <c r="CG408" s="16"/>
      <c r="CH408" s="16"/>
      <c r="CI408" s="16"/>
      <c r="CJ408" s="16"/>
      <c r="CK408" s="16"/>
      <c r="CL408" s="16"/>
      <c r="CM408" s="16"/>
      <c r="CN408" s="16"/>
      <c r="CO408" s="16"/>
      <c r="CP408" s="16"/>
      <c r="CQ408" s="16"/>
      <c r="CR408" s="16"/>
      <c r="CS408" s="16"/>
      <c r="CT408" s="16"/>
      <c r="CU408" s="16"/>
      <c r="CV408" s="16"/>
      <c r="CW408" s="16"/>
      <c r="CX408" s="16"/>
      <c r="CY408" s="16"/>
      <c r="CZ408" s="16"/>
      <c r="DA408" s="16"/>
      <c r="DB408" s="16"/>
      <c r="DC408" s="16"/>
      <c r="DD408" s="16"/>
      <c r="DE408" s="16"/>
      <c r="DF408" s="16"/>
      <c r="DG408" s="16"/>
      <c r="DH408" s="16"/>
      <c r="DI408" s="16"/>
      <c r="DJ408" s="16"/>
      <c r="DK408" s="16"/>
      <c r="DL408" s="16"/>
      <c r="DM408" s="16"/>
      <c r="DN408" s="16"/>
      <c r="DO408" s="16"/>
      <c r="DP408" s="16"/>
      <c r="DQ408" s="16"/>
      <c r="DR408" s="16"/>
      <c r="DS408" s="16"/>
      <c r="DT408" s="16"/>
      <c r="DU408" s="16"/>
      <c r="DV408" s="16"/>
      <c r="DW408" s="16"/>
      <c r="DX408" s="16"/>
      <c r="DY408" s="16"/>
      <c r="DZ408" s="16"/>
      <c r="EA408" s="16"/>
      <c r="EB408" s="16"/>
      <c r="EC408" s="16"/>
      <c r="ED408" s="16"/>
      <c r="EE408" s="16"/>
      <c r="EF408" s="16"/>
      <c r="EG408" s="16"/>
      <c r="EH408" s="16"/>
      <c r="EI408" s="16"/>
      <c r="EJ408" s="16"/>
      <c r="EK408" s="16"/>
      <c r="EL408" s="16"/>
      <c r="EM408" s="16"/>
      <c r="EN408" s="16"/>
      <c r="EO408" s="16"/>
      <c r="EP408" s="16"/>
      <c r="EQ408" s="16"/>
      <c r="ER408" s="16"/>
      <c r="ES408" s="16"/>
      <c r="ET408" s="16"/>
      <c r="EU408" s="16"/>
      <c r="EX408" s="16"/>
      <c r="EY408" s="228"/>
      <c r="EZ408" s="945"/>
      <c r="FA408" s="477"/>
      <c r="FB408" s="228"/>
      <c r="FC408" s="477"/>
      <c r="FD408" s="16"/>
    </row>
    <row r="409" spans="1:166" x14ac:dyDescent="0.2">
      <c r="A409" s="592" t="s">
        <v>47</v>
      </c>
      <c r="B409" s="807"/>
      <c r="C409" s="807"/>
      <c r="D409" s="807"/>
      <c r="E409" s="807"/>
      <c r="F409" s="807"/>
      <c r="G409" s="807"/>
      <c r="H409" s="807"/>
      <c r="I409" s="807"/>
      <c r="J409" s="807"/>
      <c r="K409" s="807"/>
      <c r="L409" s="807"/>
      <c r="M409" s="807"/>
      <c r="N409" s="807"/>
      <c r="O409" s="807"/>
      <c r="P409" s="807"/>
      <c r="Q409" s="807"/>
      <c r="R409" s="807"/>
      <c r="S409" s="807"/>
      <c r="T409" s="807"/>
      <c r="U409" s="807"/>
      <c r="V409" s="807"/>
      <c r="W409" s="807"/>
      <c r="X409" s="807"/>
      <c r="Y409" s="807"/>
      <c r="Z409" s="807"/>
      <c r="AA409" s="807"/>
      <c r="AB409" s="807"/>
      <c r="AC409" s="807"/>
      <c r="AD409" s="807"/>
      <c r="AE409" s="807"/>
      <c r="AF409" s="807"/>
      <c r="AG409" s="807"/>
      <c r="AH409" s="807"/>
      <c r="AI409" s="807"/>
      <c r="AJ409" s="807"/>
      <c r="AK409" s="807"/>
      <c r="AL409" s="807"/>
      <c r="AM409" s="807"/>
      <c r="AN409" s="807"/>
      <c r="AO409" s="807"/>
      <c r="AP409" s="807"/>
      <c r="AQ409" s="807"/>
      <c r="AR409" s="807"/>
      <c r="AS409" s="807"/>
      <c r="AT409" s="807"/>
      <c r="AU409" s="807"/>
      <c r="AV409" s="45"/>
      <c r="AW409" s="807"/>
      <c r="AX409" s="807"/>
      <c r="AY409" s="807"/>
      <c r="AZ409" s="807"/>
      <c r="BA409" s="807"/>
      <c r="BB409" s="807"/>
      <c r="BC409" s="807"/>
      <c r="BD409" s="807"/>
      <c r="BE409" s="807"/>
      <c r="BF409" s="807"/>
      <c r="BG409" s="807"/>
      <c r="BH409" s="807"/>
      <c r="BI409" s="807"/>
      <c r="BJ409" s="807"/>
      <c r="BK409" s="807"/>
      <c r="BL409" s="807"/>
      <c r="BM409" s="807"/>
      <c r="BN409" s="807"/>
      <c r="BO409" s="807"/>
      <c r="BP409" s="807"/>
      <c r="BQ409" s="807"/>
      <c r="BR409" s="807"/>
      <c r="BS409" s="807"/>
      <c r="BT409" s="807"/>
      <c r="BU409" s="807"/>
      <c r="BV409" s="1318"/>
      <c r="BW409" s="1318"/>
      <c r="BX409" s="1318"/>
      <c r="BY409" s="1318"/>
      <c r="BZ409" s="807"/>
      <c r="CA409" s="807"/>
      <c r="CB409" s="807"/>
      <c r="CC409" s="807"/>
      <c r="CD409" s="807"/>
      <c r="CE409" s="807"/>
      <c r="CF409" s="807"/>
      <c r="CG409" s="807"/>
      <c r="CH409" s="807"/>
      <c r="CI409" s="807"/>
      <c r="CJ409" s="807"/>
      <c r="CK409" s="807"/>
      <c r="CL409" s="807"/>
      <c r="CM409" s="807"/>
      <c r="CN409" s="807"/>
      <c r="CO409" s="807"/>
      <c r="CP409" s="807"/>
      <c r="CQ409" s="807"/>
      <c r="CR409" s="807"/>
      <c r="CS409" s="807"/>
      <c r="CT409" s="807"/>
      <c r="CU409" s="807"/>
      <c r="CV409" s="807"/>
      <c r="CW409" s="807"/>
      <c r="CX409" s="807"/>
      <c r="CY409" s="807"/>
      <c r="CZ409" s="807"/>
      <c r="DA409" s="807"/>
      <c r="DB409" s="807"/>
      <c r="DC409" s="807"/>
      <c r="DD409" s="807"/>
      <c r="DE409" s="807"/>
      <c r="DF409" s="807"/>
      <c r="DG409" s="807"/>
      <c r="DH409" s="807"/>
      <c r="DI409" s="807"/>
      <c r="DJ409" s="807"/>
      <c r="DK409" s="807"/>
      <c r="DL409" s="807"/>
      <c r="DM409" s="807"/>
      <c r="DN409" s="807"/>
      <c r="DO409" s="807"/>
      <c r="DP409" s="807"/>
      <c r="DQ409" s="807"/>
      <c r="DR409" s="807"/>
      <c r="DS409" s="807"/>
      <c r="DT409" s="807"/>
      <c r="DU409" s="807"/>
      <c r="DV409" s="807"/>
      <c r="DW409" s="807"/>
      <c r="DX409" s="807"/>
      <c r="DY409" s="807"/>
      <c r="DZ409" s="807"/>
      <c r="EA409" s="807"/>
      <c r="EB409" s="807"/>
      <c r="EC409" s="807"/>
      <c r="ED409" s="16"/>
      <c r="EE409" s="16"/>
      <c r="EF409" s="16"/>
      <c r="EG409" s="16"/>
      <c r="EH409" s="16"/>
      <c r="EI409" s="16"/>
      <c r="EJ409" s="16"/>
      <c r="EK409" s="16"/>
      <c r="EL409" s="16"/>
      <c r="EM409" s="16"/>
      <c r="EN409" s="16"/>
      <c r="EO409" s="16"/>
      <c r="EP409" s="16"/>
      <c r="EQ409" s="16"/>
      <c r="ER409" s="16"/>
      <c r="ES409" s="16"/>
      <c r="ET409" s="16"/>
      <c r="EU409" s="16"/>
      <c r="EX409" s="16"/>
      <c r="EY409" s="228"/>
      <c r="EZ409" s="945"/>
      <c r="FA409" s="477"/>
      <c r="FB409" s="228"/>
      <c r="FC409" s="477"/>
      <c r="FD409" s="16"/>
    </row>
    <row r="410" spans="1:166" x14ac:dyDescent="0.2">
      <c r="A410" s="490" t="s">
        <v>51</v>
      </c>
      <c r="B410" s="16"/>
      <c r="C410" s="16"/>
      <c r="D410" s="16"/>
      <c r="E410" s="16"/>
      <c r="F410" s="16"/>
      <c r="G410" s="16"/>
      <c r="H410" s="16"/>
      <c r="I410" s="16"/>
      <c r="J410" s="16"/>
      <c r="K410" s="16"/>
      <c r="L410" s="16"/>
      <c r="M410" s="16"/>
      <c r="N410" s="16"/>
      <c r="O410" s="16"/>
      <c r="P410" s="16"/>
      <c r="Q410" s="468"/>
      <c r="R410" s="469"/>
      <c r="S410" s="469"/>
      <c r="T410" s="469"/>
      <c r="U410" s="469"/>
      <c r="V410" s="468"/>
      <c r="W410" s="469"/>
      <c r="X410" s="469"/>
      <c r="Y410" s="469"/>
      <c r="Z410" s="469"/>
      <c r="AA410" s="468"/>
      <c r="AB410" s="469"/>
      <c r="AC410" s="469"/>
      <c r="AD410" s="469"/>
      <c r="AE410" s="469"/>
      <c r="AF410" s="468"/>
      <c r="AG410" s="469"/>
      <c r="AH410" s="469"/>
      <c r="AI410" s="469"/>
      <c r="AJ410" s="469"/>
      <c r="AK410" s="123"/>
      <c r="AL410" s="469"/>
      <c r="AM410" s="469"/>
      <c r="AN410" s="469"/>
      <c r="AO410" s="469"/>
      <c r="AP410" s="123"/>
      <c r="AQ410" s="469"/>
      <c r="AR410" s="469"/>
      <c r="AS410" s="469"/>
      <c r="AT410" s="469"/>
      <c r="AU410" s="122"/>
      <c r="AV410" s="45"/>
      <c r="AW410" s="469"/>
      <c r="AX410" s="469"/>
      <c r="AY410" s="469"/>
      <c r="AZ410" s="469"/>
      <c r="BA410" s="123"/>
      <c r="BB410" s="122"/>
      <c r="BC410" s="469"/>
      <c r="BD410" s="469"/>
      <c r="BE410" s="469"/>
      <c r="BF410" s="123"/>
      <c r="BG410" s="469"/>
      <c r="BH410" s="469"/>
      <c r="BI410" s="469"/>
      <c r="BJ410" s="844">
        <f>-'CF '!BJ66</f>
        <v>14</v>
      </c>
      <c r="BK410" s="123"/>
      <c r="BL410" s="844">
        <f>-'CF '!BL66</f>
        <v>17.5</v>
      </c>
      <c r="BM410" s="844">
        <f>-'CF '!BM66</f>
        <v>21.1</v>
      </c>
      <c r="BN410" s="844">
        <f>-'CF '!BN66</f>
        <v>21.1</v>
      </c>
      <c r="BO410" s="844">
        <f>-'CF '!BO66</f>
        <v>24.599999999999994</v>
      </c>
      <c r="BP410" s="40">
        <f>SUM(BL410:BO410)</f>
        <v>84.3</v>
      </c>
      <c r="BQ410" s="844">
        <f>-'CF '!BQ66</f>
        <v>24.6</v>
      </c>
      <c r="BR410" s="844">
        <f>-'CF '!BR66</f>
        <v>24.699999999999996</v>
      </c>
      <c r="BS410" s="844">
        <f>-'CF '!BS66</f>
        <v>28.100000000000009</v>
      </c>
      <c r="BT410" s="844">
        <f>-'CF '!BT66</f>
        <v>28.199999999999989</v>
      </c>
      <c r="BU410" s="40">
        <f>SUM(BQ410:BT410)</f>
        <v>105.6</v>
      </c>
      <c r="BV410" s="1070">
        <f>-'CF '!BV66</f>
        <v>0</v>
      </c>
      <c r="BW410" s="1070">
        <f>-'CF '!BW66</f>
        <v>124.5</v>
      </c>
      <c r="BX410" s="1070">
        <f>-'CF '!BX66</f>
        <v>114.30000000000001</v>
      </c>
      <c r="BY410" s="1070">
        <f>-'CF '!BY66</f>
        <v>123.59999999999997</v>
      </c>
      <c r="BZ410" s="40">
        <f>SUM(BV410:BY410)</f>
        <v>362.4</v>
      </c>
      <c r="CA410" s="844">
        <f>CA411*CA390</f>
        <v>42.047638649999996</v>
      </c>
      <c r="CB410" s="844">
        <f>CB411*CB390</f>
        <v>46.734616800000005</v>
      </c>
      <c r="CC410" s="844">
        <f>CC411*CC390</f>
        <v>56.085437339999999</v>
      </c>
      <c r="CD410" s="844">
        <f>CD411*CD390</f>
        <v>60.245793204999998</v>
      </c>
      <c r="CE410" s="40">
        <f>SUM(CA410:CD410)</f>
        <v>205.11348599500002</v>
      </c>
      <c r="CF410" s="844">
        <f>CF411*CF390</f>
        <v>64.560750519999999</v>
      </c>
      <c r="CG410" s="844">
        <f>CG411*CG390</f>
        <v>69.281608724999998</v>
      </c>
      <c r="CH410" s="844">
        <f>CH411*CH390</f>
        <v>73.764238640000002</v>
      </c>
      <c r="CI410" s="844">
        <f>CI411*CI390</f>
        <v>78.402255970000013</v>
      </c>
      <c r="CJ410" s="40">
        <f>SUM(CF410:CI410)</f>
        <v>286.00885385500004</v>
      </c>
      <c r="CK410" s="38">
        <f>CK411*CK390</f>
        <v>83.122391699999994</v>
      </c>
      <c r="CL410" s="844">
        <f>CL411*CL390</f>
        <v>87.917379405000005</v>
      </c>
      <c r="CM410" s="844">
        <f>CM411*CM390</f>
        <v>92.721394599999996</v>
      </c>
      <c r="CN410" s="844">
        <f>CN411*CN390</f>
        <v>97.201260974999997</v>
      </c>
      <c r="CO410" s="40">
        <f>SUM(CK410:CN410)</f>
        <v>360.96242668000002</v>
      </c>
      <c r="CP410" s="38">
        <f>CP411*CP390</f>
        <v>208.89426532499999</v>
      </c>
      <c r="CQ410" s="844">
        <f>CQ411*CQ390</f>
        <v>209.93353064999999</v>
      </c>
      <c r="CR410" s="844">
        <f>CR411*CR390</f>
        <v>209.67109065000005</v>
      </c>
      <c r="CS410" s="844">
        <f>CS411*CS390</f>
        <v>209.40865065000003</v>
      </c>
      <c r="CT410" s="40">
        <f>SUM(CP410:CS410)</f>
        <v>837.9075372750001</v>
      </c>
      <c r="CU410" s="844">
        <f>CU439*0.7/4</f>
        <v>217.4178627525917</v>
      </c>
      <c r="CV410" s="844">
        <f>CV411*CV390</f>
        <v>230.91533635500002</v>
      </c>
      <c r="CW410" s="844">
        <f>CW411*CW390</f>
        <v>230.60355763500002</v>
      </c>
      <c r="CX410" s="844">
        <f>CX411*CX390</f>
        <v>230.29177891500001</v>
      </c>
      <c r="CY410" s="40">
        <f>SUM(CU410:CX410)</f>
        <v>909.22853565759181</v>
      </c>
      <c r="CZ410" s="844">
        <f>CZ439*0.7/4</f>
        <v>250.40188865590326</v>
      </c>
      <c r="DA410" s="844">
        <f>DA411*DA390</f>
        <v>253.99315172682003</v>
      </c>
      <c r="DB410" s="844">
        <f>DB411*DB390</f>
        <v>253.62275860746007</v>
      </c>
      <c r="DC410" s="844">
        <f>DC411*DC390</f>
        <v>253.25236548810003</v>
      </c>
      <c r="DD410" s="40">
        <f>SUM(CZ410:DC410)</f>
        <v>1011.2701644782834</v>
      </c>
      <c r="DE410" s="844">
        <f>DE439*0.7/4</f>
        <v>287.49240499338379</v>
      </c>
      <c r="DF410" s="844">
        <f>DF411*DF390</f>
        <v>279.37616960225023</v>
      </c>
      <c r="DG410" s="844">
        <f>DG411*DG390</f>
        <v>278.93614257645061</v>
      </c>
      <c r="DH410" s="844">
        <f>DH411*DH390</f>
        <v>278.49611555065087</v>
      </c>
      <c r="DI410" s="40">
        <f>SUM(DE410:DH410)</f>
        <v>1124.3008327227355</v>
      </c>
      <c r="DJ410" s="844">
        <f>DJ439*0.7/4</f>
        <v>311.92264086537841</v>
      </c>
      <c r="DK410" s="844">
        <f>DK411*DK390</f>
        <v>307.29442537334012</v>
      </c>
      <c r="DL410" s="844">
        <f>DL411*DL390</f>
        <v>306.77167326669007</v>
      </c>
      <c r="DM410" s="844">
        <f>DM411*DM390</f>
        <v>306.24892116004008</v>
      </c>
      <c r="DN410" s="40">
        <f>SUM(DJ410:DM410)</f>
        <v>1232.2376606654486</v>
      </c>
      <c r="DO410" s="844">
        <f>DO439*0.7/4</f>
        <v>359.48119809263676</v>
      </c>
      <c r="DP410" s="844">
        <f>DP411*DP390</f>
        <v>338.00086681798155</v>
      </c>
      <c r="DQ410" s="844">
        <f>DQ411*DQ390</f>
        <v>337.37983731528135</v>
      </c>
      <c r="DR410" s="844">
        <f>DR411*DR390</f>
        <v>336.75880781258115</v>
      </c>
      <c r="DS410" s="40">
        <f>SUM(DO410:DR410)</f>
        <v>1371.6207100384809</v>
      </c>
      <c r="DT410" s="844">
        <f>DT439*0.7/4</f>
        <v>398.2802149441622</v>
      </c>
      <c r="DU410" s="844">
        <f>DU411*DU390</f>
        <v>371.77362820166093</v>
      </c>
      <c r="DV410" s="844">
        <f>DV411*DV390</f>
        <v>371.03584515245308</v>
      </c>
      <c r="DW410" s="844">
        <f>DW411*DW390</f>
        <v>370.29806210324529</v>
      </c>
      <c r="DX410" s="40">
        <f>SUM(DT410:DW410)</f>
        <v>1511.3877504015213</v>
      </c>
      <c r="DY410" s="844">
        <f>DY439*0.7/4</f>
        <v>425.16359707549555</v>
      </c>
      <c r="DZ410" s="844">
        <f>DZ411*DZ390</f>
        <v>408.91852856766189</v>
      </c>
      <c r="EA410" s="844">
        <f>EA411*EA390</f>
        <v>408.04204230520298</v>
      </c>
      <c r="EB410" s="844">
        <f>EB411*EB390</f>
        <v>407.16555604274396</v>
      </c>
      <c r="EC410" s="40">
        <f>SUM(DY410:EB410)</f>
        <v>1649.2897239911044</v>
      </c>
      <c r="ED410" s="16"/>
      <c r="EE410" s="16"/>
      <c r="EF410" s="16"/>
      <c r="EG410" s="16"/>
      <c r="EH410" s="16"/>
      <c r="EI410" s="16"/>
      <c r="EJ410" s="16"/>
      <c r="EK410" s="16"/>
      <c r="EL410" s="16"/>
      <c r="EM410" s="16"/>
      <c r="EN410" s="16"/>
      <c r="EO410" s="16"/>
      <c r="EP410" s="16"/>
      <c r="EQ410" s="16"/>
      <c r="ER410" s="16"/>
      <c r="ES410" s="16"/>
      <c r="ET410" s="16"/>
      <c r="EU410" s="16"/>
      <c r="EX410" s="16"/>
      <c r="EY410" s="228"/>
      <c r="EZ410" s="945"/>
      <c r="FA410" s="477"/>
      <c r="FB410" s="228"/>
      <c r="FC410" s="477"/>
      <c r="FD410" s="16"/>
    </row>
    <row r="411" spans="1:166" x14ac:dyDescent="0.2">
      <c r="A411" s="490" t="s">
        <v>49</v>
      </c>
      <c r="B411" s="16"/>
      <c r="C411" s="16"/>
      <c r="D411" s="16"/>
      <c r="E411" s="16"/>
      <c r="F411" s="16"/>
      <c r="G411" s="16"/>
      <c r="H411" s="16"/>
      <c r="I411" s="16"/>
      <c r="J411" s="16"/>
      <c r="K411" s="16"/>
      <c r="L411" s="16"/>
      <c r="M411" s="16"/>
      <c r="N411" s="16"/>
      <c r="O411" s="16"/>
      <c r="P411" s="16"/>
      <c r="Q411" s="468"/>
      <c r="R411" s="469"/>
      <c r="S411" s="469"/>
      <c r="T411" s="469"/>
      <c r="U411" s="469"/>
      <c r="V411" s="468"/>
      <c r="W411" s="469"/>
      <c r="X411" s="469"/>
      <c r="Y411" s="469"/>
      <c r="Z411" s="469"/>
      <c r="AA411" s="468"/>
      <c r="AB411" s="469"/>
      <c r="AC411" s="469"/>
      <c r="AD411" s="469"/>
      <c r="AE411" s="469"/>
      <c r="AF411" s="468"/>
      <c r="AG411" s="469"/>
      <c r="AH411" s="469"/>
      <c r="AI411" s="469"/>
      <c r="AJ411" s="469"/>
      <c r="AK411" s="123"/>
      <c r="AL411" s="469"/>
      <c r="AM411" s="469"/>
      <c r="AN411" s="469"/>
      <c r="AO411" s="469"/>
      <c r="AP411" s="123"/>
      <c r="AQ411" s="469"/>
      <c r="AR411" s="469"/>
      <c r="AS411" s="469"/>
      <c r="AT411" s="469"/>
      <c r="AU411" s="122"/>
      <c r="AV411" s="45"/>
      <c r="AW411" s="469"/>
      <c r="AX411" s="469"/>
      <c r="AY411" s="469"/>
      <c r="AZ411" s="469"/>
      <c r="BA411" s="123"/>
      <c r="BB411" s="122"/>
      <c r="BC411" s="469"/>
      <c r="BD411" s="469"/>
      <c r="BE411" s="469"/>
      <c r="BF411" s="123"/>
      <c r="BG411" s="469"/>
      <c r="BH411" s="469"/>
      <c r="BI411" s="469"/>
      <c r="BJ411" s="923">
        <v>0.04</v>
      </c>
      <c r="BK411" s="924">
        <f>SUM(BG411:BJ411)</f>
        <v>0.04</v>
      </c>
      <c r="BL411" s="923">
        <v>0.05</v>
      </c>
      <c r="BM411" s="923">
        <v>0.06</v>
      </c>
      <c r="BN411" s="923">
        <v>0.06</v>
      </c>
      <c r="BO411" s="923">
        <v>7.0000000000000007E-2</v>
      </c>
      <c r="BP411" s="924">
        <f>BP410/BP67</f>
        <v>0.23559002305596308</v>
      </c>
      <c r="BQ411" s="923">
        <v>7.0000000000000007E-2</v>
      </c>
      <c r="BR411" s="923">
        <f>BQ411</f>
        <v>7.0000000000000007E-2</v>
      </c>
      <c r="BS411" s="1029">
        <v>0.08</v>
      </c>
      <c r="BT411" s="1029">
        <v>0.08</v>
      </c>
      <c r="BU411" s="924">
        <f>BU410/BU67</f>
        <v>0.2904090752836026</v>
      </c>
      <c r="BV411" s="1333">
        <v>7.0000000000000007E-2</v>
      </c>
      <c r="BW411" s="1333">
        <f>BV411</f>
        <v>7.0000000000000007E-2</v>
      </c>
      <c r="BX411" s="1333">
        <v>0.08</v>
      </c>
      <c r="BY411" s="1333">
        <v>0.08</v>
      </c>
      <c r="BZ411" s="924">
        <f>BZ410/BZ67</f>
        <v>0.76118462507876483</v>
      </c>
      <c r="CA411" s="1029">
        <v>0.09</v>
      </c>
      <c r="CB411" s="1029">
        <v>0.1</v>
      </c>
      <c r="CC411" s="1029">
        <v>0.12</v>
      </c>
      <c r="CD411" s="1029">
        <v>0.13</v>
      </c>
      <c r="CE411" s="924">
        <f>CE410/CE67</f>
        <v>0.43091068486344541</v>
      </c>
      <c r="CF411" s="1029">
        <v>0.14000000000000001</v>
      </c>
      <c r="CG411" s="1029">
        <v>0.15</v>
      </c>
      <c r="CH411" s="1029">
        <v>0.16</v>
      </c>
      <c r="CI411" s="1029">
        <v>0.17</v>
      </c>
      <c r="CJ411" s="924">
        <f>CJ410/CJ67</f>
        <v>0.60856184659822343</v>
      </c>
      <c r="CK411" s="1029">
        <v>0.18</v>
      </c>
      <c r="CL411" s="1029">
        <v>0.19</v>
      </c>
      <c r="CM411" s="1029">
        <v>0.2</v>
      </c>
      <c r="CN411" s="1029">
        <v>0.21</v>
      </c>
      <c r="CO411" s="924">
        <f>CO410/CO67</f>
        <v>0.75621940329963866</v>
      </c>
      <c r="CP411" s="1029">
        <v>0.45</v>
      </c>
      <c r="CQ411" s="925">
        <f>CP411</f>
        <v>0.45</v>
      </c>
      <c r="CR411" s="925">
        <f>CQ411</f>
        <v>0.45</v>
      </c>
      <c r="CS411" s="925">
        <f>CR411</f>
        <v>0.45</v>
      </c>
      <c r="CT411" s="924">
        <f>CT410/CT67</f>
        <v>1.7620615830662056</v>
      </c>
      <c r="CU411" s="925">
        <f>CP411*(1+CU412)</f>
        <v>0.49500000000000005</v>
      </c>
      <c r="CV411" s="925">
        <f>CU411</f>
        <v>0.49500000000000005</v>
      </c>
      <c r="CW411" s="925">
        <f>CV411</f>
        <v>0.49500000000000005</v>
      </c>
      <c r="CX411" s="925">
        <f>CW411</f>
        <v>0.49500000000000005</v>
      </c>
      <c r="CY411" s="924">
        <f>CY410/CY67</f>
        <v>1.9102111247897491</v>
      </c>
      <c r="CZ411" s="925">
        <f>CU411*(1+CZ412)</f>
        <v>0.5445000000000001</v>
      </c>
      <c r="DA411" s="925">
        <f>CZ411</f>
        <v>0.5445000000000001</v>
      </c>
      <c r="DB411" s="925">
        <f>DA411</f>
        <v>0.5445000000000001</v>
      </c>
      <c r="DC411" s="925">
        <f>DB411</f>
        <v>0.5445000000000001</v>
      </c>
      <c r="DD411" s="924">
        <f>DD410/DD67</f>
        <v>2.1249230038093461</v>
      </c>
      <c r="DE411" s="925">
        <f>CZ411*(1+DE412)</f>
        <v>0.5989500000000002</v>
      </c>
      <c r="DF411" s="925">
        <f>DE411</f>
        <v>0.5989500000000002</v>
      </c>
      <c r="DG411" s="925">
        <f>DF411</f>
        <v>0.5989500000000002</v>
      </c>
      <c r="DH411" s="925">
        <f>DG411</f>
        <v>0.5989500000000002</v>
      </c>
      <c r="DI411" s="924">
        <f>DI410/DI67</f>
        <v>2.3628255269836904</v>
      </c>
      <c r="DJ411" s="925">
        <f>DE411*(1+DJ412)</f>
        <v>0.65884500000000024</v>
      </c>
      <c r="DK411" s="925">
        <f>DJ411</f>
        <v>0.65884500000000024</v>
      </c>
      <c r="DL411" s="925">
        <f>DK411</f>
        <v>0.65884500000000024</v>
      </c>
      <c r="DM411" s="925">
        <f>DL411</f>
        <v>0.65884500000000024</v>
      </c>
      <c r="DN411" s="924">
        <f>DN410/DN67</f>
        <v>2.5901360778572191</v>
      </c>
      <c r="DO411" s="925">
        <f>DJ411*(1+DO412)</f>
        <v>0.72472950000000036</v>
      </c>
      <c r="DP411" s="925">
        <f>DO411</f>
        <v>0.72472950000000036</v>
      </c>
      <c r="DQ411" s="925">
        <f>DP411</f>
        <v>0.72472950000000036</v>
      </c>
      <c r="DR411" s="925">
        <f>DQ411</f>
        <v>0.72472950000000036</v>
      </c>
      <c r="DS411" s="924">
        <f>DS410/DS67</f>
        <v>2.8836825755085647</v>
      </c>
      <c r="DT411" s="925">
        <f>DO411*(1+DT412)</f>
        <v>0.79720245000000045</v>
      </c>
      <c r="DU411" s="925">
        <f>DT411</f>
        <v>0.79720245000000045</v>
      </c>
      <c r="DV411" s="925">
        <f>DU411</f>
        <v>0.79720245000000045</v>
      </c>
      <c r="DW411" s="925">
        <f>DV411</f>
        <v>0.79720245000000045</v>
      </c>
      <c r="DX411" s="924">
        <f>DX410/DX67</f>
        <v>3.1782018605805722</v>
      </c>
      <c r="DY411" s="925">
        <f>DT411*(1+DY412)</f>
        <v>0.87692269500000053</v>
      </c>
      <c r="DZ411" s="925">
        <f>DY411</f>
        <v>0.87692269500000053</v>
      </c>
      <c r="EA411" s="925">
        <f>DZ411</f>
        <v>0.87692269500000053</v>
      </c>
      <c r="EB411" s="925">
        <f>EA411</f>
        <v>0.87692269500000053</v>
      </c>
      <c r="EC411" s="924">
        <f>EC410/EC67</f>
        <v>3.4689823297928313</v>
      </c>
      <c r="ED411" s="16"/>
      <c r="EE411" s="16"/>
      <c r="EF411" s="16"/>
      <c r="EG411" s="16"/>
      <c r="EH411" s="16"/>
      <c r="EI411" s="16"/>
      <c r="EJ411" s="16"/>
      <c r="EK411" s="16"/>
      <c r="EL411" s="16"/>
      <c r="EM411" s="16"/>
      <c r="EN411" s="16"/>
      <c r="EO411" s="16"/>
      <c r="EP411" s="16"/>
      <c r="EQ411" s="16"/>
      <c r="ER411" s="16"/>
      <c r="ES411" s="16"/>
      <c r="ET411" s="16"/>
      <c r="EU411" s="16"/>
      <c r="EX411" s="16"/>
      <c r="EY411" s="228"/>
      <c r="EZ411" s="945"/>
      <c r="FA411" s="477"/>
      <c r="FB411" s="228"/>
      <c r="FC411" s="477"/>
      <c r="FD411" s="16"/>
    </row>
    <row r="412" spans="1:166" x14ac:dyDescent="0.2">
      <c r="A412" s="922" t="s">
        <v>567</v>
      </c>
      <c r="B412" s="118"/>
      <c r="C412" s="118"/>
      <c r="D412" s="118"/>
      <c r="E412" s="118"/>
      <c r="F412" s="118"/>
      <c r="G412" s="118"/>
      <c r="H412" s="118"/>
      <c r="I412" s="118"/>
      <c r="J412" s="118"/>
      <c r="K412" s="118"/>
      <c r="L412" s="118"/>
      <c r="M412" s="118"/>
      <c r="N412" s="118"/>
      <c r="O412" s="118"/>
      <c r="P412" s="118"/>
      <c r="Q412" s="243"/>
      <c r="R412" s="61"/>
      <c r="S412" s="61"/>
      <c r="T412" s="61"/>
      <c r="U412" s="61"/>
      <c r="V412" s="243"/>
      <c r="W412" s="61"/>
      <c r="X412" s="61"/>
      <c r="Y412" s="61"/>
      <c r="Z412" s="61"/>
      <c r="AA412" s="243"/>
      <c r="AB412" s="61"/>
      <c r="AC412" s="61"/>
      <c r="AD412" s="61"/>
      <c r="AE412" s="61"/>
      <c r="AF412" s="243"/>
      <c r="AG412" s="61"/>
      <c r="AH412" s="61"/>
      <c r="AI412" s="61"/>
      <c r="AJ412" s="61"/>
      <c r="AK412" s="243"/>
      <c r="AL412" s="61"/>
      <c r="AM412" s="61"/>
      <c r="AN412" s="61"/>
      <c r="AO412" s="61"/>
      <c r="AP412" s="243"/>
      <c r="AQ412" s="61"/>
      <c r="AR412" s="61"/>
      <c r="AS412" s="61"/>
      <c r="AT412" s="61"/>
      <c r="AU412" s="241"/>
      <c r="AV412" s="281"/>
      <c r="AW412" s="61"/>
      <c r="AX412" s="61"/>
      <c r="AY412" s="61"/>
      <c r="AZ412" s="61"/>
      <c r="BA412" s="243"/>
      <c r="BB412" s="241"/>
      <c r="BC412" s="61"/>
      <c r="BD412" s="61"/>
      <c r="BE412" s="61"/>
      <c r="BF412" s="243"/>
      <c r="BG412" s="61"/>
      <c r="BH412" s="61"/>
      <c r="BI412" s="61"/>
      <c r="BJ412" s="61"/>
      <c r="BK412" s="243"/>
      <c r="BL412" s="61"/>
      <c r="BM412" s="61"/>
      <c r="BN412" s="61"/>
      <c r="BO412" s="242">
        <f>BO411/BJ411-1</f>
        <v>0.75000000000000022</v>
      </c>
      <c r="BP412" s="243"/>
      <c r="BQ412" s="242">
        <f t="shared" ref="BQ412:CO412" si="2428">BQ411/BL411-1</f>
        <v>0.40000000000000013</v>
      </c>
      <c r="BR412" s="242">
        <f t="shared" si="2428"/>
        <v>0.16666666666666674</v>
      </c>
      <c r="BS412" s="242">
        <f t="shared" si="2428"/>
        <v>0.33333333333333348</v>
      </c>
      <c r="BT412" s="242">
        <f t="shared" si="2428"/>
        <v>0.14285714285714279</v>
      </c>
      <c r="BU412" s="243">
        <f t="shared" si="2428"/>
        <v>0.23268834357479373</v>
      </c>
      <c r="BV412" s="1080">
        <f t="shared" ref="BV412" si="2429">BV411/BQ411-1</f>
        <v>0</v>
      </c>
      <c r="BW412" s="1080">
        <f t="shared" ref="BW412" si="2430">BW411/BR411-1</f>
        <v>0</v>
      </c>
      <c r="BX412" s="1080">
        <f t="shared" ref="BX412" si="2431">BX411/BS411-1</f>
        <v>0</v>
      </c>
      <c r="BY412" s="1080">
        <f t="shared" ref="BY412" si="2432">BY411/BT411-1</f>
        <v>0</v>
      </c>
      <c r="BZ412" s="243">
        <f t="shared" ref="BZ412" si="2433">BZ411/BU411-1</f>
        <v>1.6210772660441846</v>
      </c>
      <c r="CA412" s="242">
        <f>CA411/BQ411-1</f>
        <v>0.28571428571428559</v>
      </c>
      <c r="CB412" s="242">
        <f>CB411/BR411-1</f>
        <v>0.4285714285714286</v>
      </c>
      <c r="CC412" s="242">
        <f>CC411/BS411-1</f>
        <v>0.5</v>
      </c>
      <c r="CD412" s="242">
        <f>CD411/BT411-1</f>
        <v>0.625</v>
      </c>
      <c r="CE412" s="243">
        <f>CE411/BU411-1</f>
        <v>0.48380585022225708</v>
      </c>
      <c r="CF412" s="242">
        <f t="shared" ref="CF412:CG412" si="2434">CF411/CA411-1</f>
        <v>0.5555555555555558</v>
      </c>
      <c r="CG412" s="242">
        <f t="shared" si="2434"/>
        <v>0.49999999999999978</v>
      </c>
      <c r="CH412" s="242">
        <f t="shared" si="2428"/>
        <v>0.33333333333333348</v>
      </c>
      <c r="CI412" s="242">
        <f t="shared" si="2428"/>
        <v>0.30769230769230771</v>
      </c>
      <c r="CJ412" s="243">
        <f t="shared" si="2428"/>
        <v>0.41226910349432444</v>
      </c>
      <c r="CK412" s="242">
        <f t="shared" si="2428"/>
        <v>0.28571428571428559</v>
      </c>
      <c r="CL412" s="242">
        <f t="shared" si="2428"/>
        <v>0.26666666666666683</v>
      </c>
      <c r="CM412" s="242">
        <f t="shared" si="2428"/>
        <v>0.25</v>
      </c>
      <c r="CN412" s="242">
        <f t="shared" si="2428"/>
        <v>0.23529411764705865</v>
      </c>
      <c r="CO412" s="243">
        <f t="shared" si="2428"/>
        <v>0.24263360827958658</v>
      </c>
      <c r="CP412" s="242">
        <f>CP411/CK411-1</f>
        <v>1.5</v>
      </c>
      <c r="CQ412" s="242">
        <f t="shared" ref="CQ412" si="2435">CQ411/CL411-1</f>
        <v>1.3684210526315788</v>
      </c>
      <c r="CR412" s="242">
        <f t="shared" ref="CR412" si="2436">CR411/CM411-1</f>
        <v>1.25</v>
      </c>
      <c r="CS412" s="242">
        <f t="shared" ref="CS412" si="2437">CS411/CN411-1</f>
        <v>1.1428571428571428</v>
      </c>
      <c r="CT412" s="243">
        <f>CT411/CO411-1</f>
        <v>1.330093059471551</v>
      </c>
      <c r="CU412" s="298">
        <v>0.1</v>
      </c>
      <c r="CV412" s="242">
        <f t="shared" ref="CV412" si="2438">CV411/CQ411-1</f>
        <v>0.10000000000000009</v>
      </c>
      <c r="CW412" s="242">
        <f t="shared" ref="CW412" si="2439">CW411/CR411-1</f>
        <v>0.10000000000000009</v>
      </c>
      <c r="CX412" s="242">
        <f t="shared" ref="CX412" si="2440">CX411/CS411-1</f>
        <v>0.10000000000000009</v>
      </c>
      <c r="CY412" s="243">
        <f>CY411/CT411-1</f>
        <v>8.407739158908667E-2</v>
      </c>
      <c r="CZ412" s="298">
        <v>0.1</v>
      </c>
      <c r="DA412" s="242">
        <f t="shared" ref="DA412" si="2441">DA411/CV411-1</f>
        <v>0.10000000000000009</v>
      </c>
      <c r="DB412" s="242">
        <f t="shared" ref="DB412" si="2442">DB411/CW411-1</f>
        <v>0.10000000000000009</v>
      </c>
      <c r="DC412" s="242">
        <f t="shared" ref="DC412" si="2443">DC411/CX411-1</f>
        <v>0.10000000000000009</v>
      </c>
      <c r="DD412" s="243">
        <f>DD411/CY411-1</f>
        <v>0.11240217179827683</v>
      </c>
      <c r="DE412" s="298">
        <v>0.1</v>
      </c>
      <c r="DF412" s="242">
        <f t="shared" ref="DF412" si="2444">DF411/DA411-1</f>
        <v>0.10000000000000009</v>
      </c>
      <c r="DG412" s="242">
        <f t="shared" ref="DG412" si="2445">DG411/DB411-1</f>
        <v>0.10000000000000009</v>
      </c>
      <c r="DH412" s="242">
        <f t="shared" ref="DH412" si="2446">DH411/DC411-1</f>
        <v>0.10000000000000009</v>
      </c>
      <c r="DI412" s="243">
        <f>DI411/DD411-1</f>
        <v>0.1119581851897018</v>
      </c>
      <c r="DJ412" s="298">
        <v>0.1</v>
      </c>
      <c r="DK412" s="242">
        <f t="shared" ref="DK412" si="2447">DK411/DF411-1</f>
        <v>0.10000000000000009</v>
      </c>
      <c r="DL412" s="242">
        <f t="shared" ref="DL412" si="2448">DL411/DG411-1</f>
        <v>0.10000000000000009</v>
      </c>
      <c r="DM412" s="242">
        <f t="shared" ref="DM412" si="2449">DM411/DH411-1</f>
        <v>0.10000000000000009</v>
      </c>
      <c r="DN412" s="243">
        <f>DN411/DI411-1</f>
        <v>9.6202850476101887E-2</v>
      </c>
      <c r="DO412" s="298">
        <v>0.1</v>
      </c>
      <c r="DP412" s="242">
        <f t="shared" ref="DP412" si="2450">DP411/DK411-1</f>
        <v>0.10000000000000009</v>
      </c>
      <c r="DQ412" s="242">
        <f t="shared" ref="DQ412" si="2451">DQ411/DL411-1</f>
        <v>0.10000000000000009</v>
      </c>
      <c r="DR412" s="242">
        <f t="shared" ref="DR412" si="2452">DR411/DM411-1</f>
        <v>0.10000000000000009</v>
      </c>
      <c r="DS412" s="243">
        <f>DS411/DN411-1</f>
        <v>0.11333246162656918</v>
      </c>
      <c r="DT412" s="298">
        <v>0.1</v>
      </c>
      <c r="DU412" s="242">
        <f t="shared" ref="DU412" si="2453">DU411/DP411-1</f>
        <v>0.10000000000000009</v>
      </c>
      <c r="DV412" s="242">
        <f t="shared" ref="DV412" si="2454">DV411/DQ411-1</f>
        <v>0.10000000000000009</v>
      </c>
      <c r="DW412" s="242">
        <f t="shared" ref="DW412" si="2455">DW411/DR411-1</f>
        <v>0.10000000000000009</v>
      </c>
      <c r="DX412" s="243">
        <f>DX411/DS411-1</f>
        <v>0.10213304597856654</v>
      </c>
      <c r="DY412" s="298">
        <v>0.1</v>
      </c>
      <c r="DZ412" s="242">
        <f t="shared" ref="DZ412" si="2456">DZ411/DU411-1</f>
        <v>0.10000000000000009</v>
      </c>
      <c r="EA412" s="242">
        <f t="shared" ref="EA412" si="2457">EA411/DV411-1</f>
        <v>0.10000000000000009</v>
      </c>
      <c r="EB412" s="242">
        <f t="shared" ref="EB412" si="2458">EB411/DW411-1</f>
        <v>0.10000000000000009</v>
      </c>
      <c r="EC412" s="243">
        <f>EC411/DX411-1</f>
        <v>9.1492133592528058E-2</v>
      </c>
      <c r="ED412" s="118"/>
      <c r="EE412" s="118"/>
      <c r="EF412" s="118"/>
      <c r="EG412" s="118"/>
      <c r="EH412" s="118"/>
      <c r="EI412" s="118"/>
      <c r="EJ412" s="118"/>
      <c r="EK412" s="118"/>
      <c r="EL412" s="118"/>
      <c r="EM412" s="118"/>
      <c r="EN412" s="118"/>
      <c r="EO412" s="118"/>
      <c r="EP412" s="118"/>
      <c r="EQ412" s="118"/>
      <c r="ER412" s="118"/>
      <c r="ES412" s="118"/>
      <c r="ET412" s="118"/>
      <c r="EU412" s="118"/>
      <c r="EX412" s="118"/>
      <c r="EY412" s="986"/>
      <c r="EZ412" s="992"/>
      <c r="FA412" s="987"/>
      <c r="FB412" s="986"/>
      <c r="FC412" s="987"/>
      <c r="FD412" s="118"/>
    </row>
    <row r="413" spans="1:166" x14ac:dyDescent="0.2">
      <c r="A413" s="490" t="s">
        <v>50</v>
      </c>
      <c r="B413" s="16"/>
      <c r="C413" s="16"/>
      <c r="D413" s="16"/>
      <c r="E413" s="16"/>
      <c r="F413" s="16"/>
      <c r="G413" s="16"/>
      <c r="H413" s="16"/>
      <c r="I413" s="16"/>
      <c r="J413" s="16"/>
      <c r="K413" s="16"/>
      <c r="L413" s="16"/>
      <c r="M413" s="16"/>
      <c r="N413" s="16"/>
      <c r="O413" s="16"/>
      <c r="P413" s="16"/>
      <c r="Q413" s="123"/>
      <c r="R413" s="21"/>
      <c r="S413" s="21"/>
      <c r="T413" s="21"/>
      <c r="U413" s="21"/>
      <c r="V413" s="123"/>
      <c r="W413" s="21"/>
      <c r="X413" s="21"/>
      <c r="Y413" s="21"/>
      <c r="Z413" s="21"/>
      <c r="AA413" s="123"/>
      <c r="AB413" s="21"/>
      <c r="AC413" s="21"/>
      <c r="AD413" s="21"/>
      <c r="AE413" s="21"/>
      <c r="AF413" s="123"/>
      <c r="AG413" s="21"/>
      <c r="AH413" s="21"/>
      <c r="AI413" s="21"/>
      <c r="AJ413" s="21"/>
      <c r="AK413" s="123"/>
      <c r="AL413" s="21"/>
      <c r="AM413" s="21"/>
      <c r="AN413" s="21"/>
      <c r="AO413" s="21"/>
      <c r="AP413" s="123"/>
      <c r="AQ413" s="21"/>
      <c r="AR413" s="21"/>
      <c r="AS413" s="21"/>
      <c r="AT413" s="21"/>
      <c r="AU413" s="122"/>
      <c r="AV413" s="45"/>
      <c r="AW413" s="21"/>
      <c r="AX413" s="21"/>
      <c r="AY413" s="21"/>
      <c r="AZ413" s="21"/>
      <c r="BA413" s="123"/>
      <c r="BB413" s="122"/>
      <c r="BC413" s="21"/>
      <c r="BD413" s="21"/>
      <c r="BE413" s="21"/>
      <c r="BF413" s="123"/>
      <c r="BG413" s="21"/>
      <c r="BH413" s="21"/>
      <c r="BI413" s="21"/>
      <c r="BJ413" s="38">
        <v>0</v>
      </c>
      <c r="BK413" s="40">
        <v>0</v>
      </c>
      <c r="BL413" s="38">
        <v>0</v>
      </c>
      <c r="BM413" s="38">
        <v>0</v>
      </c>
      <c r="BN413" s="38">
        <v>0</v>
      </c>
      <c r="BO413" s="38">
        <v>0</v>
      </c>
      <c r="BP413" s="40">
        <f>SUM(BL413:BO413)</f>
        <v>0</v>
      </c>
      <c r="BQ413" s="38">
        <v>0</v>
      </c>
      <c r="BR413" s="38">
        <v>0</v>
      </c>
      <c r="BS413" s="38">
        <v>0</v>
      </c>
      <c r="BT413" s="38">
        <v>0</v>
      </c>
      <c r="BU413" s="40">
        <f>SUM(BQ413:BT413)</f>
        <v>0</v>
      </c>
      <c r="BV413" s="1070">
        <v>0</v>
      </c>
      <c r="BW413" s="1070">
        <v>0</v>
      </c>
      <c r="BX413" s="1070">
        <v>0</v>
      </c>
      <c r="BY413" s="1070">
        <v>0</v>
      </c>
      <c r="BZ413" s="40">
        <f>SUM(BV413:BY413)</f>
        <v>0</v>
      </c>
      <c r="CA413" s="38">
        <v>0</v>
      </c>
      <c r="CB413" s="820">
        <v>0</v>
      </c>
      <c r="CC413" s="38">
        <v>0</v>
      </c>
      <c r="CD413" s="38">
        <v>0</v>
      </c>
      <c r="CE413" s="40">
        <f>SUM(CA413:CD413)</f>
        <v>0</v>
      </c>
      <c r="CF413" s="38">
        <v>0</v>
      </c>
      <c r="CG413" s="38">
        <v>0</v>
      </c>
      <c r="CH413" s="38">
        <v>0</v>
      </c>
      <c r="CI413" s="38">
        <v>0</v>
      </c>
      <c r="CJ413" s="40">
        <f>SUM(CF413:CI413)</f>
        <v>0</v>
      </c>
      <c r="CK413" s="38">
        <v>0</v>
      </c>
      <c r="CL413" s="38">
        <v>0</v>
      </c>
      <c r="CM413" s="38">
        <v>0</v>
      </c>
      <c r="CN413" s="38">
        <v>0</v>
      </c>
      <c r="CO413" s="40">
        <f>SUM(CK413:CN413)</f>
        <v>0</v>
      </c>
      <c r="CP413" s="38">
        <v>0</v>
      </c>
      <c r="CQ413" s="38">
        <v>0</v>
      </c>
      <c r="CR413" s="38">
        <v>0</v>
      </c>
      <c r="CS413" s="38">
        <v>0</v>
      </c>
      <c r="CT413" s="40">
        <f>SUM(CP413:CS413)</f>
        <v>0</v>
      </c>
      <c r="CU413" s="38">
        <v>0</v>
      </c>
      <c r="CV413" s="38">
        <v>0</v>
      </c>
      <c r="CW413" s="38"/>
      <c r="CX413" s="38"/>
      <c r="CY413" s="40">
        <f>SUM(CU413:CX413)</f>
        <v>0</v>
      </c>
      <c r="CZ413" s="38">
        <v>0</v>
      </c>
      <c r="DA413" s="38">
        <v>0</v>
      </c>
      <c r="DB413" s="38"/>
      <c r="DC413" s="38"/>
      <c r="DD413" s="40">
        <f>SUM(CZ413:DC413)</f>
        <v>0</v>
      </c>
      <c r="DE413" s="38">
        <v>0</v>
      </c>
      <c r="DF413" s="38">
        <v>0</v>
      </c>
      <c r="DG413" s="38"/>
      <c r="DH413" s="38"/>
      <c r="DI413" s="40">
        <f>SUM(DE413:DH413)</f>
        <v>0</v>
      </c>
      <c r="DJ413" s="38">
        <v>0</v>
      </c>
      <c r="DK413" s="38">
        <v>0</v>
      </c>
      <c r="DL413" s="38"/>
      <c r="DM413" s="38"/>
      <c r="DN413" s="40">
        <f>SUM(DJ413:DM413)</f>
        <v>0</v>
      </c>
      <c r="DO413" s="38">
        <v>0</v>
      </c>
      <c r="DP413" s="38">
        <v>0</v>
      </c>
      <c r="DQ413" s="38"/>
      <c r="DR413" s="38"/>
      <c r="DS413" s="40">
        <f>SUM(DO413:DR413)</f>
        <v>0</v>
      </c>
      <c r="DT413" s="38">
        <v>0</v>
      </c>
      <c r="DU413" s="38">
        <v>0</v>
      </c>
      <c r="DV413" s="38"/>
      <c r="DW413" s="38"/>
      <c r="DX413" s="40">
        <f>SUM(DT413:DW413)</f>
        <v>0</v>
      </c>
      <c r="DY413" s="38">
        <v>0</v>
      </c>
      <c r="DZ413" s="38">
        <v>0</v>
      </c>
      <c r="EA413" s="38"/>
      <c r="EB413" s="38"/>
      <c r="EC413" s="40">
        <f>SUM(DY413:EB413)</f>
        <v>0</v>
      </c>
      <c r="ED413" s="16"/>
      <c r="EE413" s="16"/>
      <c r="EF413" s="16"/>
      <c r="EG413" s="16"/>
      <c r="EH413" s="16"/>
      <c r="EI413" s="16"/>
      <c r="EJ413" s="16"/>
      <c r="EK413" s="16"/>
      <c r="EL413" s="16"/>
      <c r="EM413" s="16"/>
      <c r="EN413" s="16"/>
      <c r="EO413" s="16"/>
      <c r="EP413" s="16"/>
      <c r="EQ413" s="16"/>
      <c r="ER413" s="16"/>
      <c r="ES413" s="16"/>
      <c r="ET413" s="16"/>
      <c r="EU413" s="16"/>
      <c r="EX413" s="16"/>
      <c r="EY413" s="228"/>
      <c r="EZ413" s="991"/>
      <c r="FA413" s="477"/>
      <c r="FB413" s="228"/>
      <c r="FC413" s="477"/>
      <c r="FD413" s="16"/>
    </row>
    <row r="414" spans="1:166" x14ac:dyDescent="0.2">
      <c r="A414" s="490" t="s">
        <v>53</v>
      </c>
      <c r="B414" s="16"/>
      <c r="C414" s="16"/>
      <c r="D414" s="16"/>
      <c r="E414" s="16"/>
      <c r="F414" s="16"/>
      <c r="G414" s="16"/>
      <c r="H414" s="16"/>
      <c r="I414" s="16"/>
      <c r="J414" s="16"/>
      <c r="K414" s="16"/>
      <c r="L414" s="16"/>
      <c r="M414" s="16"/>
      <c r="N414" s="16"/>
      <c r="O414" s="16"/>
      <c r="P414" s="16"/>
      <c r="Q414" s="123"/>
      <c r="R414" s="21"/>
      <c r="S414" s="21"/>
      <c r="T414" s="21"/>
      <c r="U414" s="21"/>
      <c r="V414" s="123"/>
      <c r="W414" s="21"/>
      <c r="X414" s="21"/>
      <c r="Y414" s="21"/>
      <c r="Z414" s="21"/>
      <c r="AA414" s="123"/>
      <c r="AB414" s="21"/>
      <c r="AC414" s="21"/>
      <c r="AD414" s="21"/>
      <c r="AE414" s="21"/>
      <c r="AF414" s="123"/>
      <c r="AG414" s="21"/>
      <c r="AH414" s="21"/>
      <c r="AI414" s="21"/>
      <c r="AJ414" s="21"/>
      <c r="AK414" s="123"/>
      <c r="AL414" s="21"/>
      <c r="AM414" s="21"/>
      <c r="AN414" s="21"/>
      <c r="AO414" s="21"/>
      <c r="AP414" s="123"/>
      <c r="AQ414" s="21"/>
      <c r="AR414" s="21"/>
      <c r="AS414" s="21"/>
      <c r="AT414" s="21"/>
      <c r="AU414" s="122"/>
      <c r="AV414" s="45"/>
      <c r="AW414" s="21"/>
      <c r="AX414" s="21"/>
      <c r="AY414" s="21"/>
      <c r="AZ414" s="21"/>
      <c r="BA414" s="123"/>
      <c r="BB414" s="122"/>
      <c r="BC414" s="21"/>
      <c r="BD414" s="21"/>
      <c r="BE414" s="21"/>
      <c r="BF414" s="123"/>
      <c r="BG414" s="21"/>
      <c r="BH414" s="21"/>
      <c r="BI414" s="21"/>
      <c r="BJ414" s="38"/>
      <c r="BK414" s="40"/>
      <c r="BL414" s="38"/>
      <c r="BM414" s="38"/>
      <c r="BN414" s="38"/>
      <c r="BO414" s="38"/>
      <c r="BP414" s="40"/>
      <c r="BQ414" s="38"/>
      <c r="BR414" s="38"/>
      <c r="BS414" s="38"/>
      <c r="BT414" s="38"/>
      <c r="BU414" s="40"/>
      <c r="BV414" s="1070"/>
      <c r="BW414" s="1070"/>
      <c r="BX414" s="1070"/>
      <c r="BY414" s="1070"/>
      <c r="BZ414" s="40"/>
      <c r="CA414" s="38"/>
      <c r="CB414" s="845"/>
      <c r="CC414" s="38"/>
      <c r="CD414" s="38"/>
      <c r="CE414" s="924">
        <f>SUM(CA414:CD414)</f>
        <v>0</v>
      </c>
      <c r="CF414" s="38"/>
      <c r="CG414" s="845"/>
      <c r="CH414" s="38"/>
      <c r="CI414" s="38"/>
      <c r="CJ414" s="40"/>
      <c r="CK414" s="38"/>
      <c r="CL414" s="845"/>
      <c r="CM414" s="38"/>
      <c r="CN414" s="38"/>
      <c r="CO414" s="40"/>
      <c r="CP414" s="38"/>
      <c r="CQ414" s="845"/>
      <c r="CR414" s="38"/>
      <c r="CS414" s="38"/>
      <c r="CT414" s="40"/>
      <c r="CU414" s="38"/>
      <c r="CV414" s="845"/>
      <c r="CW414" s="38"/>
      <c r="CX414" s="38"/>
      <c r="CY414" s="40"/>
      <c r="CZ414" s="38"/>
      <c r="DA414" s="845"/>
      <c r="DB414" s="38"/>
      <c r="DC414" s="38"/>
      <c r="DD414" s="40"/>
      <c r="DE414" s="38"/>
      <c r="DF414" s="845"/>
      <c r="DG414" s="38"/>
      <c r="DH414" s="38"/>
      <c r="DI414" s="40"/>
      <c r="DJ414" s="38"/>
      <c r="DK414" s="845"/>
      <c r="DL414" s="38"/>
      <c r="DM414" s="38"/>
      <c r="DN414" s="40"/>
      <c r="DO414" s="38"/>
      <c r="DP414" s="845"/>
      <c r="DQ414" s="38"/>
      <c r="DR414" s="38"/>
      <c r="DS414" s="40"/>
      <c r="DT414" s="38"/>
      <c r="DU414" s="845"/>
      <c r="DV414" s="38"/>
      <c r="DW414" s="38"/>
      <c r="DX414" s="40"/>
      <c r="DY414" s="38"/>
      <c r="DZ414" s="845"/>
      <c r="EA414" s="38"/>
      <c r="EB414" s="38"/>
      <c r="EC414" s="40"/>
      <c r="ED414" s="16"/>
      <c r="EE414" s="16"/>
      <c r="EF414" s="16"/>
      <c r="EG414" s="16"/>
      <c r="EH414" s="16"/>
      <c r="EI414" s="16"/>
      <c r="EJ414" s="16"/>
      <c r="EK414" s="16"/>
      <c r="EL414" s="16"/>
      <c r="EM414" s="16"/>
      <c r="EN414" s="16"/>
      <c r="EO414" s="16"/>
      <c r="EP414" s="16"/>
      <c r="EQ414" s="16"/>
      <c r="ER414" s="16"/>
      <c r="ES414" s="16"/>
      <c r="ET414" s="16"/>
      <c r="EU414" s="16"/>
      <c r="EX414" s="16"/>
      <c r="EY414" s="228"/>
      <c r="EZ414" s="991"/>
      <c r="FA414" s="477"/>
      <c r="FB414" s="228"/>
      <c r="FC414" s="477"/>
      <c r="FD414" s="16"/>
    </row>
    <row r="415" spans="1:166" x14ac:dyDescent="0.2">
      <c r="A415" s="490" t="s">
        <v>48</v>
      </c>
      <c r="B415" s="16"/>
      <c r="C415" s="16"/>
      <c r="D415" s="16"/>
      <c r="E415" s="16"/>
      <c r="F415" s="16"/>
      <c r="G415" s="16"/>
      <c r="H415" s="16"/>
      <c r="I415" s="16"/>
      <c r="J415" s="16"/>
      <c r="K415" s="16"/>
      <c r="L415" s="16"/>
      <c r="M415" s="16"/>
      <c r="N415" s="16"/>
      <c r="O415" s="16"/>
      <c r="P415" s="16"/>
      <c r="Q415" s="123"/>
      <c r="R415" s="21"/>
      <c r="S415" s="21"/>
      <c r="T415" s="21"/>
      <c r="U415" s="21"/>
      <c r="V415" s="123"/>
      <c r="W415" s="21"/>
      <c r="X415" s="21"/>
      <c r="Y415" s="21"/>
      <c r="Z415" s="21"/>
      <c r="AA415" s="123"/>
      <c r="AB415" s="21"/>
      <c r="AC415" s="21"/>
      <c r="AD415" s="21"/>
      <c r="AE415" s="21"/>
      <c r="AF415" s="123"/>
      <c r="AG415" s="21"/>
      <c r="AH415" s="21"/>
      <c r="AI415" s="21"/>
      <c r="AJ415" s="21"/>
      <c r="AK415" s="123"/>
      <c r="AL415" s="21"/>
      <c r="AM415" s="21"/>
      <c r="AN415" s="21"/>
      <c r="AO415" s="21"/>
      <c r="AP415" s="123"/>
      <c r="AQ415" s="21"/>
      <c r="AR415" s="21"/>
      <c r="AS415" s="21"/>
      <c r="AT415" s="21"/>
      <c r="AU415" s="122"/>
      <c r="AV415" s="45"/>
      <c r="AW415" s="21"/>
      <c r="AX415" s="21"/>
      <c r="AY415" s="21"/>
      <c r="AZ415" s="21"/>
      <c r="BA415" s="123"/>
      <c r="BB415" s="122"/>
      <c r="BC415" s="21"/>
      <c r="BD415" s="21"/>
      <c r="BE415" s="21"/>
      <c r="BF415" s="123"/>
      <c r="BG415" s="21"/>
      <c r="BH415" s="21"/>
      <c r="BI415" s="21"/>
      <c r="BJ415" s="38">
        <f t="shared" ref="BJ415:BP415" si="2459">BJ410+BJ413</f>
        <v>14</v>
      </c>
      <c r="BK415" s="40">
        <f t="shared" si="2459"/>
        <v>0</v>
      </c>
      <c r="BL415" s="38">
        <f t="shared" si="2459"/>
        <v>17.5</v>
      </c>
      <c r="BM415" s="38">
        <f t="shared" si="2459"/>
        <v>21.1</v>
      </c>
      <c r="BN415" s="38">
        <f t="shared" si="2459"/>
        <v>21.1</v>
      </c>
      <c r="BO415" s="38">
        <f t="shared" si="2459"/>
        <v>24.599999999999994</v>
      </c>
      <c r="BP415" s="40">
        <f t="shared" si="2459"/>
        <v>84.3</v>
      </c>
      <c r="BQ415" s="38">
        <f>BQ410+BQ413</f>
        <v>24.6</v>
      </c>
      <c r="BR415" s="38">
        <f>BR410+BR413</f>
        <v>24.699999999999996</v>
      </c>
      <c r="BS415" s="38">
        <f>BS410+BS413</f>
        <v>28.100000000000009</v>
      </c>
      <c r="BT415" s="38">
        <f>BT410+BT413</f>
        <v>28.199999999999989</v>
      </c>
      <c r="BU415" s="40">
        <f>SUM(BQ415:BT415)</f>
        <v>105.6</v>
      </c>
      <c r="BV415" s="1070">
        <f>BV410+BV413</f>
        <v>0</v>
      </c>
      <c r="BW415" s="1070">
        <f>BW410+BW413</f>
        <v>124.5</v>
      </c>
      <c r="BX415" s="1070">
        <f>BX410+BX413</f>
        <v>114.30000000000001</v>
      </c>
      <c r="BY415" s="1070">
        <f>BY410+BY413</f>
        <v>123.59999999999997</v>
      </c>
      <c r="BZ415" s="40">
        <f>SUM(BV415:BY415)</f>
        <v>362.4</v>
      </c>
      <c r="CA415" s="38">
        <f>CA410+CA413</f>
        <v>42.047638649999996</v>
      </c>
      <c r="CB415" s="38">
        <f>CB410+CB413</f>
        <v>46.734616800000005</v>
      </c>
      <c r="CC415" s="38">
        <f>CC410+CC413</f>
        <v>56.085437339999999</v>
      </c>
      <c r="CD415" s="38">
        <f>CD410+CD413</f>
        <v>60.245793204999998</v>
      </c>
      <c r="CE415" s="40">
        <f>SUM(CA415:CD415)</f>
        <v>205.11348599500002</v>
      </c>
      <c r="CF415" s="38">
        <f>CF410+CF413</f>
        <v>64.560750519999999</v>
      </c>
      <c r="CG415" s="38">
        <f>CG410+CG413</f>
        <v>69.281608724999998</v>
      </c>
      <c r="CH415" s="38">
        <f>CH410+CH413</f>
        <v>73.764238640000002</v>
      </c>
      <c r="CI415" s="38">
        <f>CI410+CI413</f>
        <v>78.402255970000013</v>
      </c>
      <c r="CJ415" s="40">
        <f>SUM(CF415:CI415)</f>
        <v>286.00885385500004</v>
      </c>
      <c r="CK415" s="38">
        <f>CK410+CK413</f>
        <v>83.122391699999994</v>
      </c>
      <c r="CL415" s="38">
        <f>CL410+CL413</f>
        <v>87.917379405000005</v>
      </c>
      <c r="CM415" s="38">
        <f>CM410+CM413</f>
        <v>92.721394599999996</v>
      </c>
      <c r="CN415" s="38">
        <f>CN410+CN413</f>
        <v>97.201260974999997</v>
      </c>
      <c r="CO415" s="40">
        <f>SUM(CK415:CN415)</f>
        <v>360.96242668000002</v>
      </c>
      <c r="CP415" s="38">
        <f>CP410+CP413</f>
        <v>208.89426532499999</v>
      </c>
      <c r="CQ415" s="38">
        <f>CQ410+CQ413</f>
        <v>209.93353064999999</v>
      </c>
      <c r="CR415" s="38">
        <f>CR410+CR413</f>
        <v>209.67109065000005</v>
      </c>
      <c r="CS415" s="38">
        <f>CS410+CS413</f>
        <v>209.40865065000003</v>
      </c>
      <c r="CT415" s="40">
        <f>SUM(CP415:CS415)</f>
        <v>837.9075372750001</v>
      </c>
      <c r="CU415" s="38">
        <f>CU410+CU413</f>
        <v>217.4178627525917</v>
      </c>
      <c r="CV415" s="38">
        <f>CV410+CV413</f>
        <v>230.91533635500002</v>
      </c>
      <c r="CW415" s="38">
        <f>CW410+CW413</f>
        <v>230.60355763500002</v>
      </c>
      <c r="CX415" s="38">
        <f>CX410+CX413</f>
        <v>230.29177891500001</v>
      </c>
      <c r="CY415" s="40">
        <f>SUM(CU415:CX415)</f>
        <v>909.22853565759181</v>
      </c>
      <c r="CZ415" s="38">
        <f>CZ410+CZ413</f>
        <v>250.40188865590326</v>
      </c>
      <c r="DA415" s="38">
        <f>DA410+DA413</f>
        <v>253.99315172682003</v>
      </c>
      <c r="DB415" s="38">
        <f>DB410+DB413</f>
        <v>253.62275860746007</v>
      </c>
      <c r="DC415" s="38">
        <f>DC410+DC413</f>
        <v>253.25236548810003</v>
      </c>
      <c r="DD415" s="40">
        <f>SUM(CZ415:DC415)</f>
        <v>1011.2701644782834</v>
      </c>
      <c r="DE415" s="38">
        <f>DE410+DE413</f>
        <v>287.49240499338379</v>
      </c>
      <c r="DF415" s="38">
        <f>DF410+DF413</f>
        <v>279.37616960225023</v>
      </c>
      <c r="DG415" s="38">
        <f>DG410+DG413</f>
        <v>278.93614257645061</v>
      </c>
      <c r="DH415" s="38">
        <f>DH410+DH413</f>
        <v>278.49611555065087</v>
      </c>
      <c r="DI415" s="40">
        <f>SUM(DE415:DH415)</f>
        <v>1124.3008327227355</v>
      </c>
      <c r="DJ415" s="38">
        <f>DJ410+DJ413</f>
        <v>311.92264086537841</v>
      </c>
      <c r="DK415" s="38">
        <f>DK410+DK413</f>
        <v>307.29442537334012</v>
      </c>
      <c r="DL415" s="38">
        <f>DL410+DL413</f>
        <v>306.77167326669007</v>
      </c>
      <c r="DM415" s="38">
        <f>DM410+DM413</f>
        <v>306.24892116004008</v>
      </c>
      <c r="DN415" s="40">
        <f>SUM(DJ415:DM415)</f>
        <v>1232.2376606654486</v>
      </c>
      <c r="DO415" s="38">
        <f>DO410+DO413</f>
        <v>359.48119809263676</v>
      </c>
      <c r="DP415" s="38">
        <f>DP410+DP413</f>
        <v>338.00086681798155</v>
      </c>
      <c r="DQ415" s="38">
        <f>DQ410+DQ413</f>
        <v>337.37983731528135</v>
      </c>
      <c r="DR415" s="38">
        <f>DR410+DR413</f>
        <v>336.75880781258115</v>
      </c>
      <c r="DS415" s="40">
        <f>SUM(DO415:DR415)</f>
        <v>1371.6207100384809</v>
      </c>
      <c r="DT415" s="38">
        <f>DT410+DT413</f>
        <v>398.2802149441622</v>
      </c>
      <c r="DU415" s="38">
        <f>DU410+DU413</f>
        <v>371.77362820166093</v>
      </c>
      <c r="DV415" s="38">
        <f>DV410+DV413</f>
        <v>371.03584515245308</v>
      </c>
      <c r="DW415" s="38">
        <f>DW410+DW413</f>
        <v>370.29806210324529</v>
      </c>
      <c r="DX415" s="40">
        <f>SUM(DT415:DW415)</f>
        <v>1511.3877504015213</v>
      </c>
      <c r="DY415" s="38">
        <f>DY410+DY413</f>
        <v>425.16359707549555</v>
      </c>
      <c r="DZ415" s="38">
        <f>DZ410+DZ413</f>
        <v>408.91852856766189</v>
      </c>
      <c r="EA415" s="38">
        <f>EA410+EA413</f>
        <v>408.04204230520298</v>
      </c>
      <c r="EB415" s="38">
        <f>EB410+EB413</f>
        <v>407.16555604274396</v>
      </c>
      <c r="EC415" s="40">
        <f>SUM(DY415:EB415)</f>
        <v>1649.2897239911044</v>
      </c>
      <c r="ED415" s="16"/>
      <c r="EE415" s="16"/>
      <c r="EF415" s="16"/>
      <c r="EG415" s="16"/>
      <c r="EH415" s="16"/>
      <c r="EI415" s="16"/>
      <c r="EJ415" s="16"/>
      <c r="EK415" s="16"/>
      <c r="EL415" s="16"/>
      <c r="EM415" s="16"/>
      <c r="EN415" s="16"/>
      <c r="EO415" s="16"/>
      <c r="EP415" s="16"/>
      <c r="EQ415" s="16"/>
      <c r="ER415" s="16"/>
      <c r="ES415" s="16"/>
      <c r="ET415" s="16"/>
      <c r="EU415" s="16"/>
      <c r="EX415" s="16"/>
      <c r="EY415" s="228"/>
      <c r="EZ415" s="991"/>
      <c r="FA415" s="477"/>
      <c r="FB415" s="228"/>
      <c r="FC415" s="477"/>
      <c r="FD415" s="16"/>
    </row>
    <row r="416" spans="1:166" x14ac:dyDescent="0.2">
      <c r="A416" s="491" t="s">
        <v>52</v>
      </c>
      <c r="B416" s="29"/>
      <c r="C416" s="29"/>
      <c r="D416" s="29"/>
      <c r="E416" s="29"/>
      <c r="F416" s="29"/>
      <c r="G416" s="29"/>
      <c r="H416" s="29"/>
      <c r="I416" s="29"/>
      <c r="J416" s="29"/>
      <c r="K416" s="29"/>
      <c r="L416" s="29"/>
      <c r="M416" s="29"/>
      <c r="N416" s="29"/>
      <c r="O416" s="29"/>
      <c r="P416" s="229"/>
      <c r="Q416" s="470"/>
      <c r="R416" s="110"/>
      <c r="S416" s="110"/>
      <c r="T416" s="110"/>
      <c r="U416" s="110"/>
      <c r="V416" s="470"/>
      <c r="W416" s="110"/>
      <c r="X416" s="110"/>
      <c r="Y416" s="110"/>
      <c r="Z416" s="110"/>
      <c r="AA416" s="470"/>
      <c r="AB416" s="110"/>
      <c r="AC416" s="110"/>
      <c r="AD416" s="110"/>
      <c r="AE416" s="110"/>
      <c r="AF416" s="470"/>
      <c r="AG416" s="110"/>
      <c r="AH416" s="110"/>
      <c r="AI416" s="110"/>
      <c r="AJ416" s="110"/>
      <c r="AK416" s="152"/>
      <c r="AL416" s="110"/>
      <c r="AM416" s="110"/>
      <c r="AN416" s="110"/>
      <c r="AO416" s="110"/>
      <c r="AP416" s="152"/>
      <c r="AQ416" s="110"/>
      <c r="AR416" s="110"/>
      <c r="AS416" s="110"/>
      <c r="AT416" s="110"/>
      <c r="AU416" s="200"/>
      <c r="AV416" s="45"/>
      <c r="AW416" s="110"/>
      <c r="AX416" s="110"/>
      <c r="AY416" s="110"/>
      <c r="AZ416" s="110"/>
      <c r="BA416" s="152"/>
      <c r="BB416" s="200"/>
      <c r="BC416" s="110"/>
      <c r="BD416" s="110"/>
      <c r="BE416" s="110"/>
      <c r="BF416" s="152"/>
      <c r="BG416" s="110"/>
      <c r="BH416" s="110"/>
      <c r="BI416" s="110"/>
      <c r="BJ416" s="621"/>
      <c r="BK416" s="660"/>
      <c r="BL416" s="621"/>
      <c r="BM416" s="621"/>
      <c r="BN416" s="621"/>
      <c r="BO416" s="926">
        <f>SUM(BO410,BN410,BM410,BL410)/BO439</f>
        <v>0.27567037279267498</v>
      </c>
      <c r="BP416" s="152">
        <f>BO416</f>
        <v>0.27567037279267498</v>
      </c>
      <c r="BQ416" s="926">
        <f>SUM(BQ410,BN410,BO410,BM410)/BQ439</f>
        <v>0.28580362726704189</v>
      </c>
      <c r="BR416" s="926">
        <f>SUM(BR410,BQ410,BO410,BN410)/BR439</f>
        <v>0.2869223799456358</v>
      </c>
      <c r="BS416" s="926">
        <f>SUM(BS410,BR410,BQ410,BO410)/BS439</f>
        <v>0.26486626850168793</v>
      </c>
      <c r="BT416" s="926">
        <f>SUM(BT410,BS410,BR410,BQ410)/BT439</f>
        <v>0.31834844684545627</v>
      </c>
      <c r="BU416" s="927">
        <f>BT416</f>
        <v>0.31834844684545627</v>
      </c>
      <c r="BV416" s="1334">
        <f>SUM(BV410,BS410,BT410,BR410)/BV439</f>
        <v>0.25169975016469254</v>
      </c>
      <c r="BW416" s="1334">
        <f>SUM(BW410,BV410,BT410,BS410)/BW439</f>
        <v>0.52162071711308333</v>
      </c>
      <c r="BX416" s="1334">
        <f>SUM(BX410,BW410,BV410,BT410)/BX439</f>
        <v>0.8003309233480812</v>
      </c>
      <c r="BY416" s="1334">
        <f>SUM(BY410,BX410,BW410,BV410)/BY439</f>
        <v>0.88976184630493549</v>
      </c>
      <c r="BZ416" s="927">
        <f>BY416</f>
        <v>0.88976184630493549</v>
      </c>
      <c r="CA416" s="926">
        <f>SUM(CA410,BS410,BT410,BR410)/CA439</f>
        <v>0.36729322725753116</v>
      </c>
      <c r="CB416" s="819">
        <f>CB410*4/CB439</f>
        <v>0.48091766449196355</v>
      </c>
      <c r="CC416" s="819">
        <f>CC410*4/CC439</f>
        <v>0.55446143307662654</v>
      </c>
      <c r="CD416" s="819">
        <f>CD410*4/CD439</f>
        <v>0.46342917849999998</v>
      </c>
      <c r="CE416" s="927">
        <f>CD416</f>
        <v>0.46342917849999998</v>
      </c>
      <c r="CF416" s="819">
        <f t="shared" ref="CF416:DW416" si="2460">CF410*4/CF439</f>
        <v>0.43978712888283372</v>
      </c>
      <c r="CG416" s="819">
        <f t="shared" si="2460"/>
        <v>0.43395934058878793</v>
      </c>
      <c r="CH416" s="819">
        <f t="shared" si="2460"/>
        <v>0.42861265915165625</v>
      </c>
      <c r="CI416" s="819">
        <f t="shared" si="2460"/>
        <v>0.42141554984009283</v>
      </c>
      <c r="CJ416" s="927">
        <f>CI416</f>
        <v>0.42141554984009283</v>
      </c>
      <c r="CK416" s="819">
        <f t="shared" si="2460"/>
        <v>0.43030694051871421</v>
      </c>
      <c r="CL416" s="819">
        <f t="shared" si="2460"/>
        <v>0.42783220713399361</v>
      </c>
      <c r="CM416" s="819">
        <f t="shared" si="2460"/>
        <v>0.41385165747952418</v>
      </c>
      <c r="CN416" s="819">
        <f t="shared" si="2460"/>
        <v>0.38826147783103643</v>
      </c>
      <c r="CO416" s="927">
        <f>CN416</f>
        <v>0.38826147783103643</v>
      </c>
      <c r="CP416" s="819">
        <f t="shared" ref="CP416" si="2461">CP410*4/CP439</f>
        <v>0.73033568857617326</v>
      </c>
      <c r="CQ416" s="819">
        <f t="shared" si="2460"/>
        <v>0.70611836149046292</v>
      </c>
      <c r="CR416" s="819">
        <f t="shared" si="2460"/>
        <v>0.6770375599779368</v>
      </c>
      <c r="CS416" s="819">
        <f t="shared" si="2460"/>
        <v>0.65839967219122664</v>
      </c>
      <c r="CT416" s="927">
        <f>CS416</f>
        <v>0.65839967219122664</v>
      </c>
      <c r="CU416" s="819">
        <f t="shared" si="2460"/>
        <v>0.7</v>
      </c>
      <c r="CV416" s="819">
        <f t="shared" si="2460"/>
        <v>0.71501990690986639</v>
      </c>
      <c r="CW416" s="819">
        <f t="shared" si="2460"/>
        <v>0.68730249682625066</v>
      </c>
      <c r="CX416" s="819">
        <f t="shared" si="2460"/>
        <v>0.66000719347774139</v>
      </c>
      <c r="CY416" s="927">
        <f>CX416</f>
        <v>0.66000719347774139</v>
      </c>
      <c r="CZ416" s="819">
        <f t="shared" si="2460"/>
        <v>0.7</v>
      </c>
      <c r="DA416" s="819">
        <f t="shared" si="2460"/>
        <v>0.68503938656362939</v>
      </c>
      <c r="DB416" s="819">
        <f t="shared" si="2460"/>
        <v>0.65904938101401012</v>
      </c>
      <c r="DC416" s="819">
        <f t="shared" si="2460"/>
        <v>0.63374195640132658</v>
      </c>
      <c r="DD416" s="927">
        <f>DC416</f>
        <v>0.63374195640132658</v>
      </c>
      <c r="DE416" s="819">
        <f t="shared" si="2460"/>
        <v>0.7</v>
      </c>
      <c r="DF416" s="819">
        <f t="shared" si="2460"/>
        <v>0.66692776431860035</v>
      </c>
      <c r="DG416" s="819">
        <f t="shared" si="2460"/>
        <v>0.65070950927404847</v>
      </c>
      <c r="DH416" s="819">
        <f t="shared" si="2460"/>
        <v>0.64451278145147994</v>
      </c>
      <c r="DI416" s="927">
        <f>DH416</f>
        <v>0.64451278145147994</v>
      </c>
      <c r="DJ416" s="819">
        <f t="shared" si="2460"/>
        <v>0.7</v>
      </c>
      <c r="DK416" s="819">
        <f t="shared" si="2460"/>
        <v>0.66826271617595112</v>
      </c>
      <c r="DL416" s="819">
        <f t="shared" si="2460"/>
        <v>0.64455932910650471</v>
      </c>
      <c r="DM416" s="819">
        <f t="shared" si="2460"/>
        <v>0.61273443269557937</v>
      </c>
      <c r="DN416" s="927">
        <f>DM416</f>
        <v>0.61273443269557937</v>
      </c>
      <c r="DO416" s="819">
        <f t="shared" si="2460"/>
        <v>0.7</v>
      </c>
      <c r="DP416" s="819">
        <f t="shared" si="2460"/>
        <v>0.6386206251640979</v>
      </c>
      <c r="DQ416" s="819">
        <f t="shared" si="2460"/>
        <v>0.61767927232487974</v>
      </c>
      <c r="DR416" s="819">
        <f t="shared" si="2460"/>
        <v>0.59725284054959049</v>
      </c>
      <c r="DS416" s="927">
        <f>DR416</f>
        <v>0.59725284054959049</v>
      </c>
      <c r="DT416" s="819">
        <f t="shared" si="2460"/>
        <v>0.7</v>
      </c>
      <c r="DU416" s="819">
        <f t="shared" si="2460"/>
        <v>0.64877775866885345</v>
      </c>
      <c r="DV416" s="819">
        <f t="shared" si="2460"/>
        <v>0.63909053534197058</v>
      </c>
      <c r="DW416" s="819">
        <f t="shared" si="2460"/>
        <v>0.62778504548823344</v>
      </c>
      <c r="DX416" s="927">
        <f>DW416</f>
        <v>0.62778504548823344</v>
      </c>
      <c r="DY416" s="819">
        <f t="shared" ref="DY416:EB416" si="2462">DY410*4/DY439</f>
        <v>0.7</v>
      </c>
      <c r="DZ416" s="819">
        <f t="shared" si="2462"/>
        <v>0.65132272392015422</v>
      </c>
      <c r="EA416" s="819">
        <f t="shared" si="2462"/>
        <v>0.6312304261262951</v>
      </c>
      <c r="EB416" s="819">
        <f t="shared" si="2462"/>
        <v>0.61143732063566636</v>
      </c>
      <c r="EC416" s="927">
        <f>EB416</f>
        <v>0.61143732063566636</v>
      </c>
      <c r="ED416" s="16"/>
      <c r="EE416" s="16"/>
      <c r="EF416" s="16"/>
      <c r="EG416" s="16"/>
      <c r="EH416" s="16"/>
      <c r="EI416" s="16"/>
      <c r="EJ416" s="16"/>
      <c r="EK416" s="16"/>
      <c r="EL416" s="16"/>
      <c r="EM416" s="16"/>
      <c r="EN416" s="16"/>
      <c r="EO416" s="16"/>
      <c r="EP416" s="16"/>
      <c r="EQ416" s="16"/>
      <c r="ER416" s="16"/>
      <c r="ES416" s="16"/>
      <c r="ET416" s="16"/>
      <c r="EU416" s="16"/>
      <c r="EX416" s="16"/>
      <c r="EY416" s="228"/>
      <c r="EZ416" s="945"/>
      <c r="FA416" s="477"/>
      <c r="FB416" s="228"/>
      <c r="FC416" s="477"/>
      <c r="FD416" s="16"/>
    </row>
    <row r="417" spans="1:160" x14ac:dyDescent="0.2">
      <c r="A417" s="23"/>
      <c r="B417" s="16"/>
      <c r="C417" s="16"/>
      <c r="D417" s="16"/>
      <c r="E417" s="16"/>
      <c r="F417" s="16"/>
      <c r="G417" s="16"/>
      <c r="H417" s="16"/>
      <c r="I417" s="16"/>
      <c r="J417" s="16"/>
      <c r="K417" s="16"/>
      <c r="L417" s="16"/>
      <c r="M417" s="16"/>
      <c r="N417" s="16"/>
      <c r="O417" s="16"/>
      <c r="P417" s="16"/>
      <c r="Q417" s="16"/>
      <c r="R417" s="16"/>
      <c r="S417" s="16"/>
      <c r="T417" s="16"/>
      <c r="U417" s="16"/>
      <c r="V417" s="16"/>
      <c r="W417" s="16"/>
      <c r="X417" s="16"/>
      <c r="Y417" s="16"/>
      <c r="Z417" s="16"/>
      <c r="AA417" s="16"/>
      <c r="AB417" s="16"/>
      <c r="AC417" s="16"/>
      <c r="AD417" s="16"/>
      <c r="AE417" s="16"/>
      <c r="AF417" s="16"/>
      <c r="AG417" s="16"/>
      <c r="AH417" s="16"/>
      <c r="AI417" s="16"/>
      <c r="AJ417" s="16"/>
      <c r="AK417" s="16"/>
      <c r="AL417" s="16"/>
      <c r="AM417" s="16"/>
      <c r="AN417" s="16"/>
      <c r="AO417" s="16"/>
      <c r="AP417" s="16"/>
      <c r="AQ417" s="16"/>
      <c r="AR417" s="16"/>
      <c r="AS417" s="16"/>
      <c r="AT417" s="16"/>
      <c r="AU417" s="16"/>
      <c r="AV417" s="45"/>
      <c r="AW417" s="16"/>
      <c r="AX417" s="16"/>
      <c r="AY417" s="21"/>
      <c r="AZ417" s="21"/>
      <c r="BA417" s="16"/>
      <c r="BB417" s="16"/>
      <c r="BC417" s="21"/>
      <c r="BD417" s="16"/>
      <c r="BE417" s="16"/>
      <c r="BF417" s="16"/>
      <c r="BG417" s="16"/>
      <c r="BH417" s="16"/>
      <c r="BI417" s="16"/>
      <c r="BJ417" s="16"/>
      <c r="BK417" s="15"/>
      <c r="BL417" s="15"/>
      <c r="BM417" s="15"/>
      <c r="BN417" s="15"/>
      <c r="BO417" s="15"/>
      <c r="BP417" s="16"/>
      <c r="BQ417" s="16"/>
      <c r="BR417" s="16"/>
      <c r="BS417" s="16"/>
      <c r="BT417" s="16"/>
      <c r="BU417" s="16"/>
      <c r="BV417" s="1310"/>
      <c r="BW417" s="1310"/>
      <c r="BX417" s="1310"/>
      <c r="BY417" s="1310"/>
      <c r="BZ417" s="16"/>
      <c r="CA417" s="16"/>
      <c r="CB417" s="16"/>
      <c r="CC417" s="16"/>
      <c r="CD417" s="16"/>
      <c r="CE417" s="16"/>
      <c r="CF417" s="16"/>
      <c r="CG417" s="16"/>
      <c r="CH417" s="16"/>
      <c r="CI417" s="16"/>
      <c r="CJ417" s="16"/>
      <c r="CK417" s="16"/>
      <c r="CL417" s="16"/>
      <c r="CM417" s="16"/>
      <c r="CN417" s="16"/>
      <c r="CO417" s="16"/>
      <c r="CP417" s="16"/>
      <c r="CQ417" s="16"/>
      <c r="CR417" s="16"/>
      <c r="CS417" s="16"/>
      <c r="CT417" s="16"/>
      <c r="CU417" s="16"/>
      <c r="CV417" s="16"/>
      <c r="CW417" s="16"/>
      <c r="CX417" s="16"/>
      <c r="CY417" s="16"/>
      <c r="CZ417" s="16"/>
      <c r="DA417" s="16"/>
      <c r="DB417" s="16"/>
      <c r="DC417" s="16"/>
      <c r="DD417" s="16"/>
      <c r="DE417" s="16"/>
      <c r="DF417" s="16"/>
      <c r="DG417" s="16"/>
      <c r="DH417" s="16"/>
      <c r="DI417" s="16"/>
      <c r="DJ417" s="16"/>
      <c r="DK417" s="16"/>
      <c r="DL417" s="16"/>
      <c r="DM417" s="16"/>
      <c r="DN417" s="16"/>
      <c r="DO417" s="16"/>
      <c r="DP417" s="16"/>
      <c r="DQ417" s="16"/>
      <c r="DR417" s="16"/>
      <c r="DS417" s="16"/>
      <c r="DT417" s="16"/>
      <c r="DU417" s="16"/>
      <c r="DV417" s="16"/>
      <c r="DW417" s="16"/>
      <c r="DX417" s="16"/>
      <c r="DY417" s="16"/>
      <c r="DZ417" s="16"/>
      <c r="EA417" s="16"/>
      <c r="EB417" s="16"/>
      <c r="EC417" s="16"/>
      <c r="ED417" s="16"/>
      <c r="EE417" s="16"/>
      <c r="EF417" s="16"/>
      <c r="EG417" s="16"/>
      <c r="EH417" s="16"/>
      <c r="EI417" s="16"/>
      <c r="EJ417" s="16"/>
      <c r="EK417" s="16"/>
      <c r="EL417" s="16"/>
      <c r="EM417" s="16"/>
      <c r="EN417" s="16"/>
      <c r="EO417" s="16"/>
      <c r="EP417" s="16"/>
      <c r="EQ417" s="16"/>
      <c r="ER417" s="16"/>
      <c r="ES417" s="16"/>
      <c r="ET417" s="16"/>
      <c r="EU417" s="16"/>
      <c r="EX417" s="16"/>
      <c r="EY417" s="228"/>
      <c r="EZ417" s="945"/>
      <c r="FA417" s="477"/>
      <c r="FB417" s="228"/>
      <c r="FC417" s="477"/>
      <c r="FD417" s="16"/>
    </row>
    <row r="418" spans="1:160" x14ac:dyDescent="0.2">
      <c r="A418" s="592" t="s">
        <v>628</v>
      </c>
      <c r="B418" s="807"/>
      <c r="C418" s="807"/>
      <c r="D418" s="807"/>
      <c r="E418" s="807"/>
      <c r="F418" s="807"/>
      <c r="G418" s="807"/>
      <c r="H418" s="807"/>
      <c r="I418" s="807"/>
      <c r="J418" s="807"/>
      <c r="K418" s="807"/>
      <c r="L418" s="807"/>
      <c r="M418" s="807"/>
      <c r="N418" s="807"/>
      <c r="O418" s="807"/>
      <c r="P418" s="807"/>
      <c r="Q418" s="807"/>
      <c r="R418" s="807"/>
      <c r="S418" s="807"/>
      <c r="T418" s="807"/>
      <c r="U418" s="807"/>
      <c r="V418" s="807"/>
      <c r="W418" s="807"/>
      <c r="X418" s="807"/>
      <c r="Y418" s="807"/>
      <c r="Z418" s="807"/>
      <c r="AA418" s="807"/>
      <c r="AB418" s="807"/>
      <c r="AC418" s="807"/>
      <c r="AD418" s="807"/>
      <c r="AE418" s="807"/>
      <c r="AF418" s="807"/>
      <c r="AG418" s="807"/>
      <c r="AH418" s="807"/>
      <c r="AI418" s="807"/>
      <c r="AJ418" s="807"/>
      <c r="AK418" s="807"/>
      <c r="AL418" s="807"/>
      <c r="AM418" s="807"/>
      <c r="AN418" s="807"/>
      <c r="AO418" s="807"/>
      <c r="AP418" s="807"/>
      <c r="AQ418" s="807"/>
      <c r="AR418" s="807"/>
      <c r="AS418" s="807"/>
      <c r="AT418" s="807"/>
      <c r="AU418" s="807"/>
      <c r="AV418" s="45"/>
      <c r="AW418" s="807"/>
      <c r="AX418" s="807"/>
      <c r="AY418" s="807"/>
      <c r="AZ418" s="807"/>
      <c r="BA418" s="807"/>
      <c r="BB418" s="807"/>
      <c r="BC418" s="807"/>
      <c r="BD418" s="807"/>
      <c r="BE418" s="807"/>
      <c r="BF418" s="807"/>
      <c r="BG418" s="807"/>
      <c r="BH418" s="807"/>
      <c r="BI418" s="807"/>
      <c r="BJ418" s="807"/>
      <c r="BK418" s="807"/>
      <c r="BL418" s="807"/>
      <c r="BM418" s="807"/>
      <c r="BN418" s="807"/>
      <c r="BO418" s="807"/>
      <c r="BP418" s="807"/>
      <c r="BQ418" s="807"/>
      <c r="BR418" s="807"/>
      <c r="BS418" s="807"/>
      <c r="BT418" s="807"/>
      <c r="BU418" s="807"/>
      <c r="BV418" s="1318"/>
      <c r="BW418" s="1318"/>
      <c r="BX418" s="1318"/>
      <c r="BY418" s="1318"/>
      <c r="BZ418" s="807"/>
      <c r="CA418" s="807"/>
      <c r="CB418" s="807"/>
      <c r="CC418" s="807"/>
      <c r="CD418" s="807"/>
      <c r="CE418" s="807"/>
      <c r="CF418" s="807"/>
      <c r="CG418" s="807"/>
      <c r="CH418" s="807"/>
      <c r="CI418" s="807"/>
      <c r="CJ418" s="807"/>
      <c r="CK418" s="807"/>
      <c r="CL418" s="807"/>
      <c r="CM418" s="807"/>
      <c r="CN418" s="807"/>
      <c r="CO418" s="807"/>
      <c r="CP418" s="807"/>
      <c r="CQ418" s="807"/>
      <c r="CR418" s="807"/>
      <c r="CS418" s="807"/>
      <c r="CT418" s="807"/>
      <c r="CU418" s="807"/>
      <c r="CV418" s="807"/>
      <c r="CW418" s="807"/>
      <c r="CX418" s="807"/>
      <c r="CY418" s="807"/>
      <c r="CZ418" s="807"/>
      <c r="DA418" s="807"/>
      <c r="DB418" s="807"/>
      <c r="DC418" s="807"/>
      <c r="DD418" s="807"/>
      <c r="DE418" s="807"/>
      <c r="DF418" s="807"/>
      <c r="DG418" s="807"/>
      <c r="DH418" s="807"/>
      <c r="DI418" s="807"/>
      <c r="DJ418" s="807"/>
      <c r="DK418" s="807"/>
      <c r="DL418" s="807"/>
      <c r="DM418" s="807"/>
      <c r="DN418" s="807"/>
      <c r="DO418" s="807"/>
      <c r="DP418" s="807"/>
      <c r="DQ418" s="807"/>
      <c r="DR418" s="807"/>
      <c r="DS418" s="807"/>
      <c r="DT418" s="807"/>
      <c r="DU418" s="807"/>
      <c r="DV418" s="807"/>
      <c r="DW418" s="807"/>
      <c r="DX418" s="808"/>
      <c r="DY418" s="807"/>
      <c r="DZ418" s="807"/>
      <c r="EA418" s="807"/>
      <c r="EB418" s="807"/>
      <c r="EC418" s="808"/>
      <c r="ED418" s="16"/>
      <c r="EE418" s="16"/>
      <c r="EF418" s="16"/>
      <c r="EG418" s="16"/>
      <c r="EH418" s="16"/>
      <c r="EI418" s="16"/>
      <c r="EJ418" s="16"/>
      <c r="EK418" s="16"/>
      <c r="EL418" s="16"/>
      <c r="EM418" s="16"/>
      <c r="EN418" s="16"/>
      <c r="EO418" s="16"/>
      <c r="EP418" s="16"/>
      <c r="EQ418" s="16"/>
      <c r="ER418" s="16"/>
      <c r="ES418" s="16"/>
      <c r="ET418" s="16"/>
      <c r="EU418" s="16"/>
      <c r="EX418" s="16"/>
      <c r="EY418" s="228"/>
      <c r="EZ418" s="945"/>
      <c r="FA418" s="477"/>
      <c r="FB418" s="228"/>
      <c r="FC418" s="477"/>
      <c r="FD418" s="16"/>
    </row>
    <row r="419" spans="1:160" x14ac:dyDescent="0.2">
      <c r="A419" s="490" t="s">
        <v>547</v>
      </c>
      <c r="B419" s="16"/>
      <c r="C419" s="16"/>
      <c r="D419" s="16"/>
      <c r="E419" s="16"/>
      <c r="F419" s="16"/>
      <c r="G419" s="16"/>
      <c r="H419" s="16"/>
      <c r="I419" s="16"/>
      <c r="J419" s="16"/>
      <c r="K419" s="16"/>
      <c r="L419" s="16"/>
      <c r="M419" s="16"/>
      <c r="N419" s="16"/>
      <c r="O419" s="16"/>
      <c r="P419" s="16"/>
      <c r="Q419" s="468"/>
      <c r="R419" s="469"/>
      <c r="S419" s="469"/>
      <c r="T419" s="469"/>
      <c r="U419" s="469"/>
      <c r="V419" s="468"/>
      <c r="W419" s="469"/>
      <c r="X419" s="469"/>
      <c r="Y419" s="469"/>
      <c r="Z419" s="469"/>
      <c r="AA419" s="468"/>
      <c r="AB419" s="469"/>
      <c r="AC419" s="469"/>
      <c r="AD419" s="469"/>
      <c r="AE419" s="469"/>
      <c r="AF419" s="468"/>
      <c r="AG419" s="469"/>
      <c r="AH419" s="469"/>
      <c r="AI419" s="469"/>
      <c r="AJ419" s="469"/>
      <c r="AK419" s="123"/>
      <c r="AL419" s="469"/>
      <c r="AM419" s="469"/>
      <c r="AN419" s="469"/>
      <c r="AO419" s="469"/>
      <c r="AP419" s="123"/>
      <c r="AQ419" s="469"/>
      <c r="AR419" s="469"/>
      <c r="AS419" s="469"/>
      <c r="AT419" s="469"/>
      <c r="AU419" s="122"/>
      <c r="AV419" s="45"/>
      <c r="AW419" s="469"/>
      <c r="AX419" s="469"/>
      <c r="AY419" s="469"/>
      <c r="AZ419" s="469"/>
      <c r="BA419" s="123"/>
      <c r="BB419" s="122"/>
      <c r="BC419" s="469"/>
      <c r="BD419" s="469"/>
      <c r="BE419" s="469"/>
      <c r="BF419" s="40">
        <v>4.3</v>
      </c>
      <c r="BG419" s="469"/>
      <c r="BH419" s="469"/>
      <c r="BI419" s="469"/>
      <c r="BJ419" s="844"/>
      <c r="BK419" s="40">
        <v>28.5</v>
      </c>
      <c r="BL419" s="844">
        <v>11.5</v>
      </c>
      <c r="BM419" s="844">
        <v>17.7</v>
      </c>
      <c r="BN419" s="844">
        <v>18.399999999999999</v>
      </c>
      <c r="BO419" s="844">
        <f>BP419-SUM(BL419:BN419)</f>
        <v>9.6000000000000085</v>
      </c>
      <c r="BP419" s="40">
        <v>57.2</v>
      </c>
      <c r="BQ419" s="844">
        <v>15.4</v>
      </c>
      <c r="BR419" s="38">
        <v>21.2</v>
      </c>
      <c r="BS419" s="38">
        <v>21.8</v>
      </c>
      <c r="BT419" s="844">
        <f>BU419-SUM(BQ419:BS419)</f>
        <v>30.099999999999994</v>
      </c>
      <c r="BU419" s="40">
        <v>88.5</v>
      </c>
      <c r="BV419" s="1070">
        <v>15.4</v>
      </c>
      <c r="BW419" s="1070">
        <v>21.2</v>
      </c>
      <c r="BX419" s="1070">
        <v>21.8</v>
      </c>
      <c r="BY419" s="1070">
        <f>BZ419-SUM(BV419:BX419)</f>
        <v>30.099999999999994</v>
      </c>
      <c r="BZ419" s="40">
        <v>88.5</v>
      </c>
      <c r="CA419" s="844"/>
      <c r="CB419" s="844"/>
      <c r="CC419" s="844"/>
      <c r="CD419" s="844"/>
      <c r="CE419" s="40"/>
      <c r="CF419" s="844"/>
      <c r="CG419" s="844"/>
      <c r="CH419" s="844"/>
      <c r="CI419" s="844"/>
      <c r="CJ419" s="40"/>
      <c r="CK419" s="38"/>
      <c r="CL419" s="844"/>
      <c r="CM419" s="844"/>
      <c r="CN419" s="844"/>
      <c r="CO419" s="40"/>
      <c r="CP419" s="844"/>
      <c r="CQ419" s="844"/>
      <c r="CR419" s="844"/>
      <c r="CS419" s="844"/>
      <c r="CT419" s="40"/>
      <c r="CU419" s="844"/>
      <c r="CV419" s="844"/>
      <c r="CW419" s="844"/>
      <c r="CX419" s="844"/>
      <c r="CY419" s="40"/>
      <c r="CZ419" s="844"/>
      <c r="DA419" s="844"/>
      <c r="DB419" s="844"/>
      <c r="DC419" s="844"/>
      <c r="DD419" s="40"/>
      <c r="DE419" s="844"/>
      <c r="DF419" s="844"/>
      <c r="DG419" s="844"/>
      <c r="DH419" s="844"/>
      <c r="DI419" s="40"/>
      <c r="DJ419" s="844"/>
      <c r="DK419" s="844"/>
      <c r="DL419" s="844"/>
      <c r="DM419" s="844"/>
      <c r="DN419" s="40"/>
      <c r="DO419" s="844"/>
      <c r="DP419" s="844"/>
      <c r="DQ419" s="844"/>
      <c r="DR419" s="844"/>
      <c r="DS419" s="40"/>
      <c r="DT419" s="844"/>
      <c r="DU419" s="844"/>
      <c r="DV419" s="844"/>
      <c r="DW419" s="844"/>
      <c r="DX419" s="40"/>
      <c r="DY419" s="844"/>
      <c r="DZ419" s="844"/>
      <c r="EA419" s="844"/>
      <c r="EB419" s="844"/>
      <c r="EC419" s="40"/>
      <c r="ED419" s="16"/>
      <c r="EE419" s="16"/>
      <c r="EF419" s="16"/>
      <c r="EG419" s="16"/>
      <c r="EH419" s="16"/>
      <c r="EI419" s="16"/>
      <c r="EJ419" s="16"/>
      <c r="EK419" s="16"/>
      <c r="EL419" s="16"/>
      <c r="EM419" s="16"/>
      <c r="EN419" s="16"/>
      <c r="EO419" s="16"/>
      <c r="EP419" s="16"/>
      <c r="EQ419" s="16"/>
      <c r="ER419" s="16"/>
      <c r="ES419" s="16"/>
      <c r="ET419" s="16"/>
      <c r="EU419" s="16"/>
      <c r="EX419" s="16"/>
      <c r="EY419" s="228"/>
      <c r="EZ419" s="945"/>
      <c r="FA419" s="477"/>
      <c r="FB419" s="228"/>
      <c r="FC419" s="477"/>
      <c r="FD419" s="16"/>
    </row>
    <row r="420" spans="1:160" x14ac:dyDescent="0.2">
      <c r="A420" s="490" t="s">
        <v>12</v>
      </c>
      <c r="B420" s="16"/>
      <c r="C420" s="16"/>
      <c r="D420" s="16"/>
      <c r="E420" s="16"/>
      <c r="F420" s="16"/>
      <c r="G420" s="16"/>
      <c r="H420" s="16"/>
      <c r="I420" s="16"/>
      <c r="J420" s="16"/>
      <c r="K420" s="16"/>
      <c r="L420" s="16"/>
      <c r="M420" s="16"/>
      <c r="N420" s="16"/>
      <c r="O420" s="16"/>
      <c r="P420" s="16"/>
      <c r="Q420" s="468"/>
      <c r="R420" s="469"/>
      <c r="S420" s="469"/>
      <c r="T420" s="469"/>
      <c r="U420" s="469"/>
      <c r="V420" s="468"/>
      <c r="W420" s="469"/>
      <c r="X420" s="469"/>
      <c r="Y420" s="469"/>
      <c r="Z420" s="469"/>
      <c r="AA420" s="468"/>
      <c r="AB420" s="469"/>
      <c r="AC420" s="469"/>
      <c r="AD420" s="469"/>
      <c r="AE420" s="469"/>
      <c r="AF420" s="468"/>
      <c r="AG420" s="469"/>
      <c r="AH420" s="469"/>
      <c r="AI420" s="469"/>
      <c r="AJ420" s="469"/>
      <c r="AK420" s="123"/>
      <c r="AL420" s="469"/>
      <c r="AM420" s="469"/>
      <c r="AN420" s="469"/>
      <c r="AO420" s="469"/>
      <c r="AP420" s="123"/>
      <c r="AQ420" s="469"/>
      <c r="AR420" s="469"/>
      <c r="AS420" s="469"/>
      <c r="AT420" s="469"/>
      <c r="AU420" s="122"/>
      <c r="AV420" s="45"/>
      <c r="AW420" s="469"/>
      <c r="AX420" s="469"/>
      <c r="AY420" s="469"/>
      <c r="AZ420" s="469"/>
      <c r="BA420" s="123"/>
      <c r="BB420" s="122"/>
      <c r="BC420" s="469"/>
      <c r="BD420" s="469"/>
      <c r="BE420" s="469"/>
      <c r="BF420" s="40">
        <v>0</v>
      </c>
      <c r="BG420" s="469"/>
      <c r="BH420" s="469"/>
      <c r="BI420" s="469"/>
      <c r="BJ420" s="844"/>
      <c r="BK420" s="40">
        <v>15.3</v>
      </c>
      <c r="BL420" s="844">
        <v>6.2</v>
      </c>
      <c r="BM420" s="844">
        <v>6.6</v>
      </c>
      <c r="BN420" s="844">
        <v>6.9</v>
      </c>
      <c r="BO420" s="844">
        <f>BP420-SUM(BL420:BN420)</f>
        <v>6.5999999999999979</v>
      </c>
      <c r="BP420" s="40">
        <v>26.3</v>
      </c>
      <c r="BQ420" s="844">
        <v>6.2</v>
      </c>
      <c r="BR420" s="38">
        <v>6.5</v>
      </c>
      <c r="BS420" s="38">
        <v>7</v>
      </c>
      <c r="BT420" s="844">
        <f>BU420-SUM(BQ420:BS420)</f>
        <v>9.5</v>
      </c>
      <c r="BU420" s="40">
        <v>29.2</v>
      </c>
      <c r="BV420" s="1070">
        <v>6.2</v>
      </c>
      <c r="BW420" s="1070">
        <v>6.5</v>
      </c>
      <c r="BX420" s="1070">
        <v>7</v>
      </c>
      <c r="BY420" s="1070">
        <f>BZ420-SUM(BV420:BX420)</f>
        <v>9.5</v>
      </c>
      <c r="BZ420" s="40">
        <v>29.2</v>
      </c>
      <c r="CA420" s="941"/>
      <c r="CB420" s="941"/>
      <c r="CC420" s="941"/>
      <c r="CD420" s="941"/>
      <c r="CE420" s="40"/>
      <c r="CF420" s="941"/>
      <c r="CG420" s="941"/>
      <c r="CH420" s="941"/>
      <c r="CI420" s="941"/>
      <c r="CJ420" s="40"/>
      <c r="CK420" s="38"/>
      <c r="CL420" s="941"/>
      <c r="CM420" s="941"/>
      <c r="CN420" s="941"/>
      <c r="CO420" s="40"/>
      <c r="CP420" s="844"/>
      <c r="CQ420" s="844"/>
      <c r="CR420" s="844"/>
      <c r="CS420" s="844"/>
      <c r="CT420" s="40"/>
      <c r="CU420" s="844"/>
      <c r="CV420" s="844"/>
      <c r="CW420" s="844"/>
      <c r="CX420" s="844"/>
      <c r="CY420" s="40"/>
      <c r="CZ420" s="844"/>
      <c r="DA420" s="844"/>
      <c r="DB420" s="844"/>
      <c r="DC420" s="844"/>
      <c r="DD420" s="40"/>
      <c r="DE420" s="844"/>
      <c r="DF420" s="844"/>
      <c r="DG420" s="844"/>
      <c r="DH420" s="844"/>
      <c r="DI420" s="40"/>
      <c r="DJ420" s="844"/>
      <c r="DK420" s="844"/>
      <c r="DL420" s="844"/>
      <c r="DM420" s="844"/>
      <c r="DN420" s="40"/>
      <c r="DO420" s="844"/>
      <c r="DP420" s="844"/>
      <c r="DQ420" s="844"/>
      <c r="DR420" s="844"/>
      <c r="DS420" s="40"/>
      <c r="DT420" s="844"/>
      <c r="DU420" s="844"/>
      <c r="DV420" s="844"/>
      <c r="DW420" s="844"/>
      <c r="DX420" s="40"/>
      <c r="DY420" s="844"/>
      <c r="DZ420" s="844"/>
      <c r="EA420" s="844"/>
      <c r="EB420" s="844"/>
      <c r="EC420" s="40"/>
      <c r="ED420" s="16"/>
      <c r="EE420" s="16"/>
      <c r="EF420" s="16"/>
      <c r="EG420" s="16"/>
      <c r="EH420" s="16"/>
      <c r="EI420" s="16"/>
      <c r="EJ420" s="16"/>
      <c r="EK420" s="16"/>
      <c r="EL420" s="16"/>
      <c r="EM420" s="16"/>
      <c r="EN420" s="16"/>
      <c r="EO420" s="16"/>
      <c r="EP420" s="16"/>
      <c r="EQ420" s="16"/>
      <c r="ER420" s="16"/>
      <c r="ES420" s="16"/>
      <c r="ET420" s="16"/>
      <c r="EU420" s="16"/>
      <c r="EX420" s="16"/>
      <c r="EY420" s="228"/>
      <c r="EZ420" s="945"/>
      <c r="FA420" s="477"/>
      <c r="FB420" s="228"/>
      <c r="FC420" s="477"/>
      <c r="FD420" s="16"/>
    </row>
    <row r="421" spans="1:160" ht="15" x14ac:dyDescent="0.35">
      <c r="A421" s="490" t="s">
        <v>548</v>
      </c>
      <c r="B421" s="16"/>
      <c r="C421" s="16"/>
      <c r="D421" s="16"/>
      <c r="E421" s="16"/>
      <c r="F421" s="16"/>
      <c r="G421" s="16"/>
      <c r="H421" s="16"/>
      <c r="I421" s="16"/>
      <c r="J421" s="16"/>
      <c r="K421" s="16"/>
      <c r="L421" s="16"/>
      <c r="M421" s="16"/>
      <c r="N421" s="16"/>
      <c r="O421" s="16"/>
      <c r="P421" s="16"/>
      <c r="Q421" s="468"/>
      <c r="R421" s="469"/>
      <c r="S421" s="469"/>
      <c r="T421" s="469"/>
      <c r="U421" s="469"/>
      <c r="V421" s="468"/>
      <c r="W421" s="469"/>
      <c r="X421" s="469"/>
      <c r="Y421" s="469"/>
      <c r="Z421" s="469"/>
      <c r="AA421" s="468"/>
      <c r="AB421" s="469"/>
      <c r="AC421" s="469"/>
      <c r="AD421" s="469"/>
      <c r="AE421" s="469"/>
      <c r="AF421" s="468"/>
      <c r="AG421" s="469"/>
      <c r="AH421" s="469"/>
      <c r="AI421" s="469"/>
      <c r="AJ421" s="469"/>
      <c r="AK421" s="123"/>
      <c r="AL421" s="469"/>
      <c r="AM421" s="469"/>
      <c r="AN421" s="469"/>
      <c r="AO421" s="469"/>
      <c r="AP421" s="123"/>
      <c r="AQ421" s="469"/>
      <c r="AR421" s="469"/>
      <c r="AS421" s="469"/>
      <c r="AT421" s="469"/>
      <c r="AU421" s="122"/>
      <c r="AV421" s="45"/>
      <c r="AW421" s="469"/>
      <c r="AX421" s="469"/>
      <c r="AY421" s="469"/>
      <c r="AZ421" s="469"/>
      <c r="BA421" s="123"/>
      <c r="BB421" s="122"/>
      <c r="BC421" s="469"/>
      <c r="BD421" s="469"/>
      <c r="BE421" s="469"/>
      <c r="BF421" s="371">
        <v>0.7</v>
      </c>
      <c r="BG421" s="469"/>
      <c r="BH421" s="469"/>
      <c r="BI421" s="469"/>
      <c r="BJ421" s="844"/>
      <c r="BK421" s="371">
        <v>4.5999999999999996</v>
      </c>
      <c r="BL421" s="942">
        <v>0.5</v>
      </c>
      <c r="BM421" s="942">
        <v>1.7</v>
      </c>
      <c r="BN421" s="942">
        <v>1.8</v>
      </c>
      <c r="BO421" s="90">
        <f>BP421-SUM(BL421:BN421)</f>
        <v>2.5999999999999996</v>
      </c>
      <c r="BP421" s="371">
        <v>6.6</v>
      </c>
      <c r="BQ421" s="942">
        <v>0.8</v>
      </c>
      <c r="BR421" s="90">
        <v>2.2000000000000002</v>
      </c>
      <c r="BS421" s="90">
        <v>2.2000000000000002</v>
      </c>
      <c r="BT421" s="90">
        <f>BU421-SUM(BQ421:BS421)</f>
        <v>6.1000000000000005</v>
      </c>
      <c r="BU421" s="371">
        <v>11.3</v>
      </c>
      <c r="BV421" s="1304">
        <v>0.8</v>
      </c>
      <c r="BW421" s="1304">
        <v>2.2000000000000002</v>
      </c>
      <c r="BX421" s="1304">
        <v>2.2000000000000002</v>
      </c>
      <c r="BY421" s="1304">
        <f>BZ421-SUM(BV421:BX421)</f>
        <v>6.1000000000000005</v>
      </c>
      <c r="BZ421" s="371">
        <v>11.3</v>
      </c>
      <c r="CA421" s="941"/>
      <c r="CB421" s="941"/>
      <c r="CC421" s="941"/>
      <c r="CD421" s="941"/>
      <c r="CE421" s="40"/>
      <c r="CF421" s="941"/>
      <c r="CG421" s="941"/>
      <c r="CH421" s="941"/>
      <c r="CI421" s="941"/>
      <c r="CJ421" s="40"/>
      <c r="CK421" s="38"/>
      <c r="CL421" s="941"/>
      <c r="CM421" s="941"/>
      <c r="CN421" s="941"/>
      <c r="CO421" s="40"/>
      <c r="CP421" s="844"/>
      <c r="CQ421" s="844"/>
      <c r="CR421" s="844"/>
      <c r="CS421" s="844"/>
      <c r="CT421" s="40"/>
      <c r="CU421" s="844"/>
      <c r="CV421" s="844"/>
      <c r="CW421" s="844"/>
      <c r="CX421" s="844"/>
      <c r="CY421" s="40"/>
      <c r="CZ421" s="844"/>
      <c r="DA421" s="844"/>
      <c r="DB421" s="844"/>
      <c r="DC421" s="844"/>
      <c r="DD421" s="40"/>
      <c r="DE421" s="844"/>
      <c r="DF421" s="844"/>
      <c r="DG421" s="844"/>
      <c r="DH421" s="844"/>
      <c r="DI421" s="40"/>
      <c r="DJ421" s="844"/>
      <c r="DK421" s="844"/>
      <c r="DL421" s="844"/>
      <c r="DM421" s="844"/>
      <c r="DN421" s="40"/>
      <c r="DO421" s="844"/>
      <c r="DP421" s="844"/>
      <c r="DQ421" s="844"/>
      <c r="DR421" s="844"/>
      <c r="DS421" s="40"/>
      <c r="DT421" s="844"/>
      <c r="DU421" s="844"/>
      <c r="DV421" s="844"/>
      <c r="DW421" s="844"/>
      <c r="DX421" s="40"/>
      <c r="DY421" s="844"/>
      <c r="DZ421" s="844"/>
      <c r="EA421" s="844"/>
      <c r="EB421" s="844"/>
      <c r="EC421" s="40"/>
      <c r="ED421" s="16"/>
      <c r="EE421" s="16"/>
      <c r="EF421" s="16"/>
      <c r="EG421" s="16"/>
      <c r="EH421" s="16"/>
      <c r="EI421" s="16"/>
      <c r="EJ421" s="16"/>
      <c r="EK421" s="16"/>
      <c r="EL421" s="16"/>
      <c r="EM421" s="16"/>
      <c r="EN421" s="16"/>
      <c r="EO421" s="16"/>
      <c r="EP421" s="16"/>
      <c r="EQ421" s="16"/>
      <c r="ER421" s="16"/>
      <c r="ES421" s="16"/>
      <c r="ET421" s="16"/>
      <c r="EU421" s="16"/>
      <c r="EX421" s="16"/>
      <c r="EY421" s="228"/>
      <c r="EZ421" s="945"/>
      <c r="FA421" s="477"/>
      <c r="FB421" s="228"/>
      <c r="FC421" s="477"/>
      <c r="FD421" s="16"/>
    </row>
    <row r="422" spans="1:160" x14ac:dyDescent="0.2">
      <c r="A422" s="943" t="s">
        <v>14</v>
      </c>
      <c r="B422" s="25"/>
      <c r="C422" s="25"/>
      <c r="D422" s="25"/>
      <c r="E422" s="25"/>
      <c r="F422" s="25"/>
      <c r="G422" s="25"/>
      <c r="H422" s="25"/>
      <c r="I422" s="25"/>
      <c r="J422" s="25"/>
      <c r="K422" s="25"/>
      <c r="L422" s="25"/>
      <c r="M422" s="25"/>
      <c r="N422" s="25"/>
      <c r="O422" s="25"/>
      <c r="P422" s="25"/>
      <c r="Q422" s="300"/>
      <c r="R422" s="245"/>
      <c r="S422" s="245"/>
      <c r="T422" s="245"/>
      <c r="U422" s="245"/>
      <c r="V422" s="300"/>
      <c r="W422" s="245"/>
      <c r="X422" s="245"/>
      <c r="Y422" s="245"/>
      <c r="Z422" s="245"/>
      <c r="AA422" s="300"/>
      <c r="AB422" s="245"/>
      <c r="AC422" s="245"/>
      <c r="AD422" s="245"/>
      <c r="AE422" s="245"/>
      <c r="AF422" s="300"/>
      <c r="AG422" s="245"/>
      <c r="AH422" s="245"/>
      <c r="AI422" s="245"/>
      <c r="AJ422" s="245"/>
      <c r="AK422" s="300"/>
      <c r="AL422" s="245"/>
      <c r="AM422" s="245"/>
      <c r="AN422" s="245"/>
      <c r="AO422" s="245"/>
      <c r="AP422" s="300"/>
      <c r="AQ422" s="245"/>
      <c r="AR422" s="245"/>
      <c r="AS422" s="245"/>
      <c r="AT422" s="245"/>
      <c r="AU422" s="278"/>
      <c r="AV422" s="49"/>
      <c r="AW422" s="245"/>
      <c r="AX422" s="245"/>
      <c r="AY422" s="245"/>
      <c r="AZ422" s="245"/>
      <c r="BA422" s="300"/>
      <c r="BB422" s="278"/>
      <c r="BC422" s="245"/>
      <c r="BD422" s="245"/>
      <c r="BE422" s="245"/>
      <c r="BF422" s="48">
        <f>SUM(BF419:BF421)</f>
        <v>5</v>
      </c>
      <c r="BG422" s="245"/>
      <c r="BH422" s="245"/>
      <c r="BI422" s="245"/>
      <c r="BJ422" s="46"/>
      <c r="BK422" s="48">
        <f t="shared" ref="BK422:BU422" si="2463">SUM(BK419:BK421)</f>
        <v>48.4</v>
      </c>
      <c r="BL422" s="46">
        <f t="shared" si="2463"/>
        <v>18.2</v>
      </c>
      <c r="BM422" s="46">
        <f t="shared" si="2463"/>
        <v>25.999999999999996</v>
      </c>
      <c r="BN422" s="46">
        <f t="shared" si="2463"/>
        <v>27.099999999999998</v>
      </c>
      <c r="BO422" s="46">
        <f t="shared" si="2463"/>
        <v>18.800000000000004</v>
      </c>
      <c r="BP422" s="48">
        <f t="shared" si="2463"/>
        <v>90.1</v>
      </c>
      <c r="BQ422" s="46">
        <f t="shared" si="2463"/>
        <v>22.400000000000002</v>
      </c>
      <c r="BR422" s="46">
        <f t="shared" si="2463"/>
        <v>29.9</v>
      </c>
      <c r="BS422" s="46">
        <f t="shared" si="2463"/>
        <v>31</v>
      </c>
      <c r="BT422" s="46">
        <f t="shared" ref="BT422" si="2464">SUM(BT419:BT421)</f>
        <v>45.699999999999996</v>
      </c>
      <c r="BU422" s="48">
        <f t="shared" si="2463"/>
        <v>129</v>
      </c>
      <c r="BV422" s="1071">
        <f t="shared" ref="BV422:BZ422" si="2465">SUM(BV419:BV421)</f>
        <v>22.400000000000002</v>
      </c>
      <c r="BW422" s="1071">
        <f t="shared" si="2465"/>
        <v>29.9</v>
      </c>
      <c r="BX422" s="1071">
        <f t="shared" si="2465"/>
        <v>31</v>
      </c>
      <c r="BY422" s="1071">
        <f t="shared" si="2465"/>
        <v>45.699999999999996</v>
      </c>
      <c r="BZ422" s="48">
        <f t="shared" si="2465"/>
        <v>129</v>
      </c>
      <c r="CA422" s="820"/>
      <c r="CB422" s="820"/>
      <c r="CC422" s="820"/>
      <c r="CD422" s="820"/>
      <c r="CE422" s="48"/>
      <c r="CF422" s="820"/>
      <c r="CG422" s="820"/>
      <c r="CH422" s="820"/>
      <c r="CI422" s="820"/>
      <c r="CJ422" s="48"/>
      <c r="CK422" s="46"/>
      <c r="CL422" s="820"/>
      <c r="CM422" s="820"/>
      <c r="CN422" s="820"/>
      <c r="CO422" s="48"/>
      <c r="CP422" s="46"/>
      <c r="CQ422" s="46"/>
      <c r="CR422" s="46"/>
      <c r="CS422" s="46"/>
      <c r="CT422" s="48"/>
      <c r="CU422" s="46"/>
      <c r="CV422" s="46"/>
      <c r="CW422" s="46"/>
      <c r="CX422" s="46"/>
      <c r="CY422" s="48"/>
      <c r="CZ422" s="46"/>
      <c r="DA422" s="46"/>
      <c r="DB422" s="46"/>
      <c r="DC422" s="46"/>
      <c r="DD422" s="48"/>
      <c r="DE422" s="46"/>
      <c r="DF422" s="46"/>
      <c r="DG422" s="46"/>
      <c r="DH422" s="46"/>
      <c r="DI422" s="48"/>
      <c r="DJ422" s="46"/>
      <c r="DK422" s="46"/>
      <c r="DL422" s="46"/>
      <c r="DM422" s="46"/>
      <c r="DN422" s="48"/>
      <c r="DO422" s="46"/>
      <c r="DP422" s="46"/>
      <c r="DQ422" s="46"/>
      <c r="DR422" s="46"/>
      <c r="DS422" s="48"/>
      <c r="DT422" s="46"/>
      <c r="DU422" s="46"/>
      <c r="DV422" s="46"/>
      <c r="DW422" s="46"/>
      <c r="DX422" s="48"/>
      <c r="DY422" s="46"/>
      <c r="DZ422" s="46"/>
      <c r="EA422" s="46"/>
      <c r="EB422" s="46"/>
      <c r="EC422" s="48"/>
      <c r="ED422" s="25"/>
      <c r="EE422" s="25"/>
      <c r="EF422" s="25"/>
      <c r="EG422" s="25"/>
      <c r="EH422" s="25"/>
      <c r="EI422" s="25"/>
      <c r="EJ422" s="25"/>
      <c r="EK422" s="25"/>
      <c r="EL422" s="25"/>
      <c r="EM422" s="25"/>
      <c r="EN422" s="25"/>
      <c r="EO422" s="25"/>
      <c r="EP422" s="25"/>
      <c r="EQ422" s="25"/>
      <c r="ER422" s="25"/>
      <c r="ES422" s="25"/>
      <c r="ET422" s="25"/>
      <c r="EU422" s="25"/>
      <c r="EX422" s="25"/>
      <c r="EY422" s="294"/>
      <c r="EZ422" s="989"/>
      <c r="FA422" s="985"/>
      <c r="FB422" s="294"/>
      <c r="FC422" s="985"/>
      <c r="FD422" s="25"/>
    </row>
    <row r="423" spans="1:160" ht="4.5" customHeight="1" x14ac:dyDescent="0.2">
      <c r="A423" s="490"/>
      <c r="B423" s="16"/>
      <c r="C423" s="16"/>
      <c r="D423" s="16"/>
      <c r="E423" s="16"/>
      <c r="F423" s="16"/>
      <c r="G423" s="16"/>
      <c r="H423" s="16"/>
      <c r="I423" s="16"/>
      <c r="J423" s="16"/>
      <c r="K423" s="16"/>
      <c r="L423" s="16"/>
      <c r="M423" s="16"/>
      <c r="N423" s="16"/>
      <c r="O423" s="16"/>
      <c r="P423" s="16"/>
      <c r="Q423" s="468"/>
      <c r="R423" s="469"/>
      <c r="S423" s="469"/>
      <c r="T423" s="469"/>
      <c r="U423" s="469"/>
      <c r="V423" s="468"/>
      <c r="W423" s="469"/>
      <c r="X423" s="469"/>
      <c r="Y423" s="469"/>
      <c r="Z423" s="469"/>
      <c r="AA423" s="468"/>
      <c r="AB423" s="469"/>
      <c r="AC423" s="469"/>
      <c r="AD423" s="469"/>
      <c r="AE423" s="469"/>
      <c r="AF423" s="468"/>
      <c r="AG423" s="469"/>
      <c r="AH423" s="469"/>
      <c r="AI423" s="469"/>
      <c r="AJ423" s="469"/>
      <c r="AK423" s="123"/>
      <c r="AL423" s="469"/>
      <c r="AM423" s="469"/>
      <c r="AN423" s="469"/>
      <c r="AO423" s="469"/>
      <c r="AP423" s="123"/>
      <c r="AQ423" s="469"/>
      <c r="AR423" s="469"/>
      <c r="AS423" s="469"/>
      <c r="AT423" s="469"/>
      <c r="AU423" s="122"/>
      <c r="AV423" s="45"/>
      <c r="AW423" s="469"/>
      <c r="AX423" s="469"/>
      <c r="AY423" s="469"/>
      <c r="AZ423" s="469"/>
      <c r="BA423" s="123"/>
      <c r="BB423" s="122"/>
      <c r="BC423" s="469"/>
      <c r="BD423" s="469"/>
      <c r="BE423" s="469"/>
      <c r="BF423" s="123"/>
      <c r="BG423" s="469"/>
      <c r="BH423" s="469"/>
      <c r="BI423" s="469"/>
      <c r="BJ423" s="923"/>
      <c r="BK423" s="924"/>
      <c r="BL423" s="923"/>
      <c r="BM423" s="923"/>
      <c r="BN423" s="923"/>
      <c r="BO423" s="923"/>
      <c r="BP423" s="924"/>
      <c r="BQ423" s="923"/>
      <c r="BR423" s="925"/>
      <c r="BS423" s="925"/>
      <c r="BT423" s="925"/>
      <c r="BU423" s="924"/>
      <c r="BV423" s="1333"/>
      <c r="BW423" s="1333"/>
      <c r="BX423" s="1333"/>
      <c r="BY423" s="1333"/>
      <c r="BZ423" s="924"/>
      <c r="CA423" s="925"/>
      <c r="CB423" s="925"/>
      <c r="CC423" s="925"/>
      <c r="CD423" s="925"/>
      <c r="CE423" s="924"/>
      <c r="CF423" s="925"/>
      <c r="CG423" s="925"/>
      <c r="CH423" s="925"/>
      <c r="CI423" s="925"/>
      <c r="CJ423" s="924"/>
      <c r="CK423" s="1029"/>
      <c r="CL423" s="925"/>
      <c r="CM423" s="925"/>
      <c r="CN423" s="925"/>
      <c r="CO423" s="924"/>
      <c r="CP423" s="923"/>
      <c r="CQ423" s="923"/>
      <c r="CR423" s="923"/>
      <c r="CS423" s="923"/>
      <c r="CT423" s="924"/>
      <c r="CU423" s="923"/>
      <c r="CV423" s="923"/>
      <c r="CW423" s="923"/>
      <c r="CX423" s="923"/>
      <c r="CY423" s="924"/>
      <c r="CZ423" s="923"/>
      <c r="DA423" s="923"/>
      <c r="DB423" s="923"/>
      <c r="DC423" s="923"/>
      <c r="DD423" s="924"/>
      <c r="DE423" s="923"/>
      <c r="DF423" s="923"/>
      <c r="DG423" s="923"/>
      <c r="DH423" s="923"/>
      <c r="DI423" s="924"/>
      <c r="DJ423" s="923"/>
      <c r="DK423" s="923"/>
      <c r="DL423" s="923"/>
      <c r="DM423" s="923"/>
      <c r="DN423" s="924"/>
      <c r="DO423" s="923"/>
      <c r="DP423" s="923"/>
      <c r="DQ423" s="923"/>
      <c r="DR423" s="923"/>
      <c r="DS423" s="924"/>
      <c r="DT423" s="923"/>
      <c r="DU423" s="923"/>
      <c r="DV423" s="923"/>
      <c r="DW423" s="923"/>
      <c r="DX423" s="924"/>
      <c r="DY423" s="923"/>
      <c r="DZ423" s="923"/>
      <c r="EA423" s="923"/>
      <c r="EB423" s="923"/>
      <c r="EC423" s="924"/>
      <c r="ED423" s="16"/>
      <c r="EE423" s="16"/>
      <c r="EF423" s="16"/>
      <c r="EG423" s="16"/>
      <c r="EH423" s="16"/>
      <c r="EI423" s="16"/>
      <c r="EJ423" s="16"/>
      <c r="EK423" s="16"/>
      <c r="EL423" s="16"/>
      <c r="EM423" s="16"/>
      <c r="EN423" s="16"/>
      <c r="EO423" s="16"/>
      <c r="EP423" s="16"/>
      <c r="EQ423" s="16"/>
      <c r="ER423" s="16"/>
      <c r="ES423" s="16"/>
      <c r="ET423" s="16"/>
      <c r="EU423" s="16"/>
      <c r="EX423" s="16"/>
      <c r="EY423" s="228"/>
      <c r="EZ423" s="945"/>
      <c r="FA423" s="477"/>
      <c r="FB423" s="228"/>
      <c r="FC423" s="477"/>
      <c r="FD423" s="16"/>
    </row>
    <row r="424" spans="1:160" x14ac:dyDescent="0.2">
      <c r="A424" s="922" t="s">
        <v>13</v>
      </c>
      <c r="B424" s="118"/>
      <c r="C424" s="118"/>
      <c r="D424" s="118"/>
      <c r="E424" s="118"/>
      <c r="F424" s="118"/>
      <c r="G424" s="118"/>
      <c r="H424" s="118"/>
      <c r="I424" s="118"/>
      <c r="J424" s="118"/>
      <c r="K424" s="118"/>
      <c r="L424" s="118"/>
      <c r="M424" s="118"/>
      <c r="N424" s="118"/>
      <c r="O424" s="118"/>
      <c r="P424" s="118"/>
      <c r="Q424" s="243"/>
      <c r="R424" s="61"/>
      <c r="S424" s="61"/>
      <c r="T424" s="61"/>
      <c r="U424" s="61"/>
      <c r="V424" s="243"/>
      <c r="W424" s="61"/>
      <c r="X424" s="61"/>
      <c r="Y424" s="61"/>
      <c r="Z424" s="61"/>
      <c r="AA424" s="243"/>
      <c r="AB424" s="61"/>
      <c r="AC424" s="61"/>
      <c r="AD424" s="61"/>
      <c r="AE424" s="61"/>
      <c r="AF424" s="243"/>
      <c r="AG424" s="61"/>
      <c r="AH424" s="61"/>
      <c r="AI424" s="61"/>
      <c r="AJ424" s="61"/>
      <c r="AK424" s="243"/>
      <c r="AL424" s="61"/>
      <c r="AM424" s="61"/>
      <c r="AN424" s="61"/>
      <c r="AO424" s="61"/>
      <c r="AP424" s="243"/>
      <c r="AQ424" s="61"/>
      <c r="AR424" s="61"/>
      <c r="AS424" s="61"/>
      <c r="AT424" s="61"/>
      <c r="AU424" s="241"/>
      <c r="AV424" s="281"/>
      <c r="AW424" s="61"/>
      <c r="AX424" s="61"/>
      <c r="AY424" s="61"/>
      <c r="AZ424" s="61"/>
      <c r="BA424" s="243"/>
      <c r="BB424" s="241"/>
      <c r="BC424" s="61"/>
      <c r="BD424" s="61"/>
      <c r="BE424" s="61"/>
      <c r="BF424" s="243"/>
      <c r="BG424" s="61"/>
      <c r="BH424" s="61"/>
      <c r="BI424" s="61"/>
      <c r="BJ424" s="61"/>
      <c r="BK424" s="243"/>
      <c r="BL424" s="61"/>
      <c r="BM424" s="61"/>
      <c r="BN424" s="61"/>
      <c r="BO424" s="242"/>
      <c r="BP424" s="243"/>
      <c r="BQ424" s="242"/>
      <c r="BR424" s="242"/>
      <c r="BS424" s="242"/>
      <c r="BT424" s="242"/>
      <c r="BU424" s="243"/>
      <c r="BV424" s="1080"/>
      <c r="BW424" s="1080"/>
      <c r="BX424" s="1080"/>
      <c r="BY424" s="1080"/>
      <c r="BZ424" s="243"/>
      <c r="CA424" s="242"/>
      <c r="CB424" s="242"/>
      <c r="CC424" s="242"/>
      <c r="CD424" s="242"/>
      <c r="CE424" s="243"/>
      <c r="CF424" s="242"/>
      <c r="CG424" s="242"/>
      <c r="CH424" s="242"/>
      <c r="CI424" s="242"/>
      <c r="CJ424" s="243"/>
      <c r="CK424" s="242"/>
      <c r="CL424" s="242"/>
      <c r="CM424" s="242"/>
      <c r="CN424" s="242"/>
      <c r="CO424" s="243"/>
      <c r="CP424" s="298"/>
      <c r="CQ424" s="298"/>
      <c r="CR424" s="298"/>
      <c r="CS424" s="298"/>
      <c r="CT424" s="243"/>
      <c r="CU424" s="298"/>
      <c r="CV424" s="298"/>
      <c r="CW424" s="298"/>
      <c r="CX424" s="298"/>
      <c r="CY424" s="243"/>
      <c r="CZ424" s="298"/>
      <c r="DA424" s="298"/>
      <c r="DB424" s="298"/>
      <c r="DC424" s="298"/>
      <c r="DD424" s="243"/>
      <c r="DE424" s="298"/>
      <c r="DF424" s="298"/>
      <c r="DG424" s="298"/>
      <c r="DH424" s="298"/>
      <c r="DI424" s="243"/>
      <c r="DJ424" s="298"/>
      <c r="DK424" s="298"/>
      <c r="DL424" s="298"/>
      <c r="DM424" s="298"/>
      <c r="DN424" s="243"/>
      <c r="DO424" s="298"/>
      <c r="DP424" s="298"/>
      <c r="DQ424" s="298"/>
      <c r="DR424" s="298"/>
      <c r="DS424" s="243"/>
      <c r="DT424" s="298"/>
      <c r="DU424" s="298"/>
      <c r="DV424" s="298"/>
      <c r="DW424" s="298"/>
      <c r="DX424" s="243"/>
      <c r="DY424" s="298"/>
      <c r="DZ424" s="298"/>
      <c r="EA424" s="298"/>
      <c r="EB424" s="298"/>
      <c r="EC424" s="243"/>
      <c r="ED424" s="118"/>
      <c r="EE424" s="118"/>
      <c r="EF424" s="118"/>
      <c r="EG424" s="118"/>
      <c r="EH424" s="118"/>
      <c r="EI424" s="118"/>
      <c r="EJ424" s="118"/>
      <c r="EK424" s="118"/>
      <c r="EL424" s="118"/>
      <c r="EM424" s="118"/>
      <c r="EN424" s="118"/>
      <c r="EO424" s="118"/>
      <c r="EP424" s="118"/>
      <c r="EQ424" s="118"/>
      <c r="ER424" s="118"/>
      <c r="ES424" s="118"/>
      <c r="ET424" s="118"/>
      <c r="EU424" s="118"/>
      <c r="EX424" s="118"/>
      <c r="EY424" s="986"/>
      <c r="EZ424" s="992"/>
      <c r="FA424" s="987"/>
      <c r="FB424" s="986"/>
      <c r="FC424" s="987"/>
      <c r="FD424" s="118"/>
    </row>
    <row r="425" spans="1:160" x14ac:dyDescent="0.2">
      <c r="A425" s="490" t="s">
        <v>547</v>
      </c>
      <c r="B425" s="16"/>
      <c r="C425" s="16"/>
      <c r="D425" s="16"/>
      <c r="E425" s="16"/>
      <c r="F425" s="16"/>
      <c r="G425" s="16"/>
      <c r="H425" s="16"/>
      <c r="I425" s="16"/>
      <c r="J425" s="16"/>
      <c r="K425" s="16"/>
      <c r="L425" s="16"/>
      <c r="M425" s="16"/>
      <c r="N425" s="16"/>
      <c r="O425" s="16"/>
      <c r="P425" s="16"/>
      <c r="Q425" s="123"/>
      <c r="R425" s="21"/>
      <c r="S425" s="21"/>
      <c r="T425" s="21"/>
      <c r="U425" s="21"/>
      <c r="V425" s="123"/>
      <c r="W425" s="21"/>
      <c r="X425" s="21"/>
      <c r="Y425" s="21"/>
      <c r="Z425" s="21"/>
      <c r="AA425" s="123"/>
      <c r="AB425" s="21"/>
      <c r="AC425" s="21"/>
      <c r="AD425" s="21"/>
      <c r="AE425" s="21"/>
      <c r="AF425" s="123"/>
      <c r="AG425" s="21"/>
      <c r="AH425" s="21"/>
      <c r="AI425" s="21"/>
      <c r="AJ425" s="21"/>
      <c r="AK425" s="123"/>
      <c r="AL425" s="21"/>
      <c r="AM425" s="21"/>
      <c r="AN425" s="21"/>
      <c r="AO425" s="21"/>
      <c r="AP425" s="123"/>
      <c r="AQ425" s="21"/>
      <c r="AR425" s="21"/>
      <c r="AS425" s="21"/>
      <c r="AT425" s="21"/>
      <c r="AU425" s="122"/>
      <c r="AV425" s="45"/>
      <c r="AW425" s="21"/>
      <c r="AX425" s="21"/>
      <c r="AY425" s="21"/>
      <c r="AZ425" s="21"/>
      <c r="BA425" s="123"/>
      <c r="BB425" s="122"/>
      <c r="BC425" s="21"/>
      <c r="BD425" s="21"/>
      <c r="BE425" s="21"/>
      <c r="BF425" s="123"/>
      <c r="BG425" s="21"/>
      <c r="BH425" s="21"/>
      <c r="BI425" s="21"/>
      <c r="BJ425" s="38">
        <v>0</v>
      </c>
      <c r="BK425" s="123">
        <f>BK419/BF419-1</f>
        <v>5.6279069767441863</v>
      </c>
      <c r="BL425" s="38"/>
      <c r="BM425" s="38"/>
      <c r="BN425" s="38"/>
      <c r="BO425" s="38"/>
      <c r="BP425" s="123">
        <f>BP419/BK419-1</f>
        <v>1.0070175438596491</v>
      </c>
      <c r="BQ425" s="22">
        <f>BQ419/BL419-1</f>
        <v>0.33913043478260874</v>
      </c>
      <c r="BR425" s="22">
        <f>BR419/BM419-1</f>
        <v>0.19774011299435035</v>
      </c>
      <c r="BS425" s="22">
        <f>BS419/BN419-1</f>
        <v>0.18478260869565233</v>
      </c>
      <c r="BT425" s="22">
        <f t="shared" ref="BT425:BU428" si="2466">BT419/BO419-1</f>
        <v>2.1354166666666634</v>
      </c>
      <c r="BU425" s="123">
        <f>BU419/BP419-1</f>
        <v>0.54720279720279708</v>
      </c>
      <c r="BV425" s="1196">
        <f>BV419/BQ419-1</f>
        <v>0</v>
      </c>
      <c r="BW425" s="1196">
        <f>BW419/BR419-1</f>
        <v>0</v>
      </c>
      <c r="BX425" s="1196">
        <f>BX419/BS419-1</f>
        <v>0</v>
      </c>
      <c r="BY425" s="1196">
        <f t="shared" ref="BY425:BY428" si="2467">BY419/BT419-1</f>
        <v>0</v>
      </c>
      <c r="BZ425" s="123">
        <f>BZ419/BU419-1</f>
        <v>0</v>
      </c>
      <c r="CA425" s="38"/>
      <c r="CB425" s="820"/>
      <c r="CC425" s="38"/>
      <c r="CD425" s="38"/>
      <c r="CE425" s="40"/>
      <c r="CF425" s="38"/>
      <c r="CG425" s="38"/>
      <c r="CH425" s="38"/>
      <c r="CI425" s="38"/>
      <c r="CJ425" s="40"/>
      <c r="CK425" s="38"/>
      <c r="CL425" s="38"/>
      <c r="CM425" s="38"/>
      <c r="CN425" s="38"/>
      <c r="CO425" s="40"/>
      <c r="CP425" s="38"/>
      <c r="CQ425" s="38"/>
      <c r="CR425" s="38"/>
      <c r="CS425" s="38"/>
      <c r="CT425" s="40"/>
      <c r="CU425" s="38"/>
      <c r="CV425" s="38"/>
      <c r="CW425" s="38"/>
      <c r="CX425" s="38"/>
      <c r="CY425" s="40"/>
      <c r="CZ425" s="38"/>
      <c r="DA425" s="38"/>
      <c r="DB425" s="38"/>
      <c r="DC425" s="38"/>
      <c r="DD425" s="40"/>
      <c r="DE425" s="38"/>
      <c r="DF425" s="38"/>
      <c r="DG425" s="38"/>
      <c r="DH425" s="38"/>
      <c r="DI425" s="40"/>
      <c r="DJ425" s="38"/>
      <c r="DK425" s="38"/>
      <c r="DL425" s="38"/>
      <c r="DM425" s="38"/>
      <c r="DN425" s="40"/>
      <c r="DO425" s="38"/>
      <c r="DP425" s="38"/>
      <c r="DQ425" s="38"/>
      <c r="DR425" s="38"/>
      <c r="DS425" s="40"/>
      <c r="DT425" s="38"/>
      <c r="DU425" s="38"/>
      <c r="DV425" s="38"/>
      <c r="DW425" s="38"/>
      <c r="DX425" s="40"/>
      <c r="DY425" s="38"/>
      <c r="DZ425" s="38"/>
      <c r="EA425" s="38"/>
      <c r="EB425" s="38"/>
      <c r="EC425" s="40"/>
      <c r="ED425" s="16"/>
      <c r="EE425" s="16"/>
      <c r="EF425" s="16"/>
      <c r="EG425" s="16"/>
      <c r="EH425" s="16"/>
      <c r="EI425" s="16"/>
      <c r="EJ425" s="16"/>
      <c r="EK425" s="16"/>
      <c r="EL425" s="16"/>
      <c r="EM425" s="16"/>
      <c r="EN425" s="16"/>
      <c r="EO425" s="16"/>
      <c r="EP425" s="16"/>
      <c r="EQ425" s="16"/>
      <c r="ER425" s="16"/>
      <c r="ES425" s="16"/>
      <c r="ET425" s="16"/>
      <c r="EU425" s="16"/>
      <c r="EX425" s="16"/>
      <c r="EY425" s="228"/>
      <c r="EZ425" s="991"/>
      <c r="FA425" s="477"/>
      <c r="FB425" s="228"/>
      <c r="FC425" s="477"/>
      <c r="FD425" s="16"/>
    </row>
    <row r="426" spans="1:160" x14ac:dyDescent="0.2">
      <c r="A426" s="490" t="s">
        <v>12</v>
      </c>
      <c r="B426" s="16"/>
      <c r="C426" s="16"/>
      <c r="D426" s="16"/>
      <c r="E426" s="16"/>
      <c r="F426" s="16"/>
      <c r="G426" s="16"/>
      <c r="H426" s="16"/>
      <c r="I426" s="16"/>
      <c r="J426" s="16"/>
      <c r="K426" s="16"/>
      <c r="L426" s="16"/>
      <c r="M426" s="16"/>
      <c r="N426" s="16"/>
      <c r="O426" s="16"/>
      <c r="P426" s="16"/>
      <c r="Q426" s="123"/>
      <c r="R426" s="21"/>
      <c r="S426" s="21"/>
      <c r="T426" s="21"/>
      <c r="U426" s="21"/>
      <c r="V426" s="123"/>
      <c r="W426" s="21"/>
      <c r="X426" s="21"/>
      <c r="Y426" s="21"/>
      <c r="Z426" s="21"/>
      <c r="AA426" s="123"/>
      <c r="AB426" s="21"/>
      <c r="AC426" s="21"/>
      <c r="AD426" s="21"/>
      <c r="AE426" s="21"/>
      <c r="AF426" s="123"/>
      <c r="AG426" s="21"/>
      <c r="AH426" s="21"/>
      <c r="AI426" s="21"/>
      <c r="AJ426" s="21"/>
      <c r="AK426" s="123"/>
      <c r="AL426" s="21"/>
      <c r="AM426" s="21"/>
      <c r="AN426" s="21"/>
      <c r="AO426" s="21"/>
      <c r="AP426" s="123"/>
      <c r="AQ426" s="21"/>
      <c r="AR426" s="21"/>
      <c r="AS426" s="21"/>
      <c r="AT426" s="21"/>
      <c r="AU426" s="122"/>
      <c r="AV426" s="45"/>
      <c r="AW426" s="21"/>
      <c r="AX426" s="21"/>
      <c r="AY426" s="21"/>
      <c r="AZ426" s="21"/>
      <c r="BA426" s="123"/>
      <c r="BB426" s="122"/>
      <c r="BC426" s="21"/>
      <c r="BD426" s="21"/>
      <c r="BE426" s="21"/>
      <c r="BF426" s="123"/>
      <c r="BG426" s="21"/>
      <c r="BH426" s="21"/>
      <c r="BI426" s="21"/>
      <c r="BJ426" s="38"/>
      <c r="BK426" s="123"/>
      <c r="BL426" s="38"/>
      <c r="BM426" s="38"/>
      <c r="BN426" s="38"/>
      <c r="BO426" s="38"/>
      <c r="BP426" s="123">
        <f t="shared" ref="BP426:BQ428" si="2468">BP420/BK420-1</f>
        <v>0.71895424836601296</v>
      </c>
      <c r="BQ426" s="22">
        <f t="shared" si="2468"/>
        <v>0</v>
      </c>
      <c r="BR426" s="22">
        <f t="shared" ref="BR426:BS428" si="2469">BR420/BM420-1</f>
        <v>-1.5151515151515138E-2</v>
      </c>
      <c r="BS426" s="22">
        <f t="shared" si="2469"/>
        <v>1.4492753623188248E-2</v>
      </c>
      <c r="BT426" s="22">
        <f t="shared" si="2466"/>
        <v>0.43939393939393989</v>
      </c>
      <c r="BU426" s="123">
        <f t="shared" si="2466"/>
        <v>0.11026615969581743</v>
      </c>
      <c r="BV426" s="1196">
        <f t="shared" ref="BV426:BV428" si="2470">BV420/BQ420-1</f>
        <v>0</v>
      </c>
      <c r="BW426" s="1196">
        <f t="shared" ref="BW426:BW428" si="2471">BW420/BR420-1</f>
        <v>0</v>
      </c>
      <c r="BX426" s="1196">
        <f t="shared" ref="BX426:BX428" si="2472">BX420/BS420-1</f>
        <v>0</v>
      </c>
      <c r="BY426" s="1196">
        <f t="shared" si="2467"/>
        <v>0</v>
      </c>
      <c r="BZ426" s="123">
        <f t="shared" ref="BZ426:BZ428" si="2473">BZ420/BU420-1</f>
        <v>0</v>
      </c>
      <c r="CA426" s="38"/>
      <c r="CB426" s="845"/>
      <c r="CC426" s="38"/>
      <c r="CD426" s="38"/>
      <c r="CE426" s="924"/>
      <c r="CF426" s="38"/>
      <c r="CG426" s="845"/>
      <c r="CH426" s="38"/>
      <c r="CI426" s="38"/>
      <c r="CJ426" s="40"/>
      <c r="CK426" s="38"/>
      <c r="CL426" s="845"/>
      <c r="CM426" s="38"/>
      <c r="CN426" s="38"/>
      <c r="CO426" s="40"/>
      <c r="CP426" s="38"/>
      <c r="CQ426" s="845"/>
      <c r="CR426" s="38"/>
      <c r="CS426" s="38"/>
      <c r="CT426" s="40"/>
      <c r="CU426" s="38"/>
      <c r="CV426" s="845"/>
      <c r="CW426" s="38"/>
      <c r="CX426" s="38"/>
      <c r="CY426" s="40"/>
      <c r="CZ426" s="38"/>
      <c r="DA426" s="845"/>
      <c r="DB426" s="38"/>
      <c r="DC426" s="38"/>
      <c r="DD426" s="40"/>
      <c r="DE426" s="38"/>
      <c r="DF426" s="845"/>
      <c r="DG426" s="38"/>
      <c r="DH426" s="38"/>
      <c r="DI426" s="40"/>
      <c r="DJ426" s="38"/>
      <c r="DK426" s="845"/>
      <c r="DL426" s="38"/>
      <c r="DM426" s="38"/>
      <c r="DN426" s="40"/>
      <c r="DO426" s="38"/>
      <c r="DP426" s="845"/>
      <c r="DQ426" s="38"/>
      <c r="DR426" s="38"/>
      <c r="DS426" s="40"/>
      <c r="DT426" s="38"/>
      <c r="DU426" s="845"/>
      <c r="DV426" s="38"/>
      <c r="DW426" s="38"/>
      <c r="DX426" s="40"/>
      <c r="DY426" s="38"/>
      <c r="DZ426" s="845"/>
      <c r="EA426" s="38"/>
      <c r="EB426" s="38"/>
      <c r="EC426" s="40"/>
      <c r="ED426" s="16"/>
      <c r="EE426" s="16"/>
      <c r="EF426" s="16"/>
      <c r="EG426" s="16"/>
      <c r="EH426" s="16"/>
      <c r="EI426" s="16"/>
      <c r="EJ426" s="16"/>
      <c r="EK426" s="16"/>
      <c r="EL426" s="16"/>
      <c r="EM426" s="16"/>
      <c r="EN426" s="16"/>
      <c r="EO426" s="16"/>
      <c r="EP426" s="16"/>
      <c r="EQ426" s="16"/>
      <c r="ER426" s="16"/>
      <c r="ES426" s="16"/>
      <c r="ET426" s="16"/>
      <c r="EU426" s="16"/>
      <c r="EX426" s="16"/>
      <c r="EY426" s="228"/>
      <c r="EZ426" s="991"/>
      <c r="FA426" s="477"/>
      <c r="FB426" s="228"/>
      <c r="FC426" s="477"/>
      <c r="FD426" s="16"/>
    </row>
    <row r="427" spans="1:160" x14ac:dyDescent="0.2">
      <c r="A427" s="490" t="s">
        <v>548</v>
      </c>
      <c r="B427" s="16"/>
      <c r="C427" s="16"/>
      <c r="D427" s="16"/>
      <c r="E427" s="16"/>
      <c r="F427" s="16"/>
      <c r="G427" s="16"/>
      <c r="H427" s="16"/>
      <c r="I427" s="16"/>
      <c r="J427" s="16"/>
      <c r="K427" s="16"/>
      <c r="L427" s="16"/>
      <c r="M427" s="16"/>
      <c r="N427" s="16"/>
      <c r="O427" s="16"/>
      <c r="P427" s="16"/>
      <c r="Q427" s="123"/>
      <c r="R427" s="21"/>
      <c r="S427" s="21"/>
      <c r="T427" s="21"/>
      <c r="U427" s="21"/>
      <c r="V427" s="123"/>
      <c r="W427" s="21"/>
      <c r="X427" s="21"/>
      <c r="Y427" s="21"/>
      <c r="Z427" s="21"/>
      <c r="AA427" s="123"/>
      <c r="AB427" s="21"/>
      <c r="AC427" s="21"/>
      <c r="AD427" s="21"/>
      <c r="AE427" s="21"/>
      <c r="AF427" s="123"/>
      <c r="AG427" s="21"/>
      <c r="AH427" s="21"/>
      <c r="AI427" s="21"/>
      <c r="AJ427" s="21"/>
      <c r="AK427" s="123"/>
      <c r="AL427" s="21"/>
      <c r="AM427" s="21"/>
      <c r="AN427" s="21"/>
      <c r="AO427" s="21"/>
      <c r="AP427" s="123"/>
      <c r="AQ427" s="21"/>
      <c r="AR427" s="21"/>
      <c r="AS427" s="21"/>
      <c r="AT427" s="21"/>
      <c r="AU427" s="122"/>
      <c r="AV427" s="45"/>
      <c r="AW427" s="21"/>
      <c r="AX427" s="21"/>
      <c r="AY427" s="21"/>
      <c r="AZ427" s="21"/>
      <c r="BA427" s="123"/>
      <c r="BB427" s="122"/>
      <c r="BC427" s="21"/>
      <c r="BD427" s="21"/>
      <c r="BE427" s="21"/>
      <c r="BF427" s="123"/>
      <c r="BG427" s="21"/>
      <c r="BH427" s="21"/>
      <c r="BI427" s="21"/>
      <c r="BJ427" s="38">
        <f>BJ419+BJ425</f>
        <v>0</v>
      </c>
      <c r="BK427" s="835">
        <f>BK421/BF421-1</f>
        <v>5.5714285714285712</v>
      </c>
      <c r="BL427" s="38"/>
      <c r="BM427" s="38"/>
      <c r="BN427" s="38"/>
      <c r="BO427" s="38"/>
      <c r="BP427" s="835">
        <f t="shared" si="2468"/>
        <v>0.43478260869565211</v>
      </c>
      <c r="BQ427" s="834">
        <f t="shared" si="2468"/>
        <v>0.60000000000000009</v>
      </c>
      <c r="BR427" s="834">
        <f t="shared" si="2469"/>
        <v>0.29411764705882359</v>
      </c>
      <c r="BS427" s="834">
        <f t="shared" si="2469"/>
        <v>0.22222222222222232</v>
      </c>
      <c r="BT427" s="834">
        <f t="shared" si="2466"/>
        <v>1.3461538461538467</v>
      </c>
      <c r="BU427" s="835">
        <f t="shared" si="2466"/>
        <v>0.71212121212121238</v>
      </c>
      <c r="BV427" s="1335">
        <f t="shared" si="2470"/>
        <v>0</v>
      </c>
      <c r="BW427" s="1335">
        <f t="shared" si="2471"/>
        <v>0</v>
      </c>
      <c r="BX427" s="1335">
        <f t="shared" si="2472"/>
        <v>0</v>
      </c>
      <c r="BY427" s="1335">
        <f t="shared" si="2467"/>
        <v>0</v>
      </c>
      <c r="BZ427" s="835">
        <f t="shared" si="2473"/>
        <v>0</v>
      </c>
      <c r="CA427" s="38"/>
      <c r="CB427" s="38"/>
      <c r="CC427" s="38"/>
      <c r="CD427" s="38"/>
      <c r="CE427" s="40"/>
      <c r="CF427" s="38"/>
      <c r="CG427" s="38"/>
      <c r="CH427" s="38"/>
      <c r="CI427" s="38"/>
      <c r="CJ427" s="40"/>
      <c r="CK427" s="38"/>
      <c r="CL427" s="38"/>
      <c r="CM427" s="38"/>
      <c r="CN427" s="38"/>
      <c r="CO427" s="40"/>
      <c r="CP427" s="38"/>
      <c r="CQ427" s="38"/>
      <c r="CR427" s="38"/>
      <c r="CS427" s="38"/>
      <c r="CT427" s="40"/>
      <c r="CU427" s="38"/>
      <c r="CV427" s="38"/>
      <c r="CW427" s="38"/>
      <c r="CX427" s="38"/>
      <c r="CY427" s="40"/>
      <c r="CZ427" s="38"/>
      <c r="DA427" s="38"/>
      <c r="DB427" s="38"/>
      <c r="DC427" s="38"/>
      <c r="DD427" s="40"/>
      <c r="DE427" s="38"/>
      <c r="DF427" s="38"/>
      <c r="DG427" s="38"/>
      <c r="DH427" s="38"/>
      <c r="DI427" s="40"/>
      <c r="DJ427" s="38"/>
      <c r="DK427" s="38"/>
      <c r="DL427" s="38"/>
      <c r="DM427" s="38"/>
      <c r="DN427" s="40"/>
      <c r="DO427" s="38"/>
      <c r="DP427" s="38"/>
      <c r="DQ427" s="38"/>
      <c r="DR427" s="38"/>
      <c r="DS427" s="40"/>
      <c r="DT427" s="38"/>
      <c r="DU427" s="38"/>
      <c r="DV427" s="38"/>
      <c r="DW427" s="38"/>
      <c r="DX427" s="40"/>
      <c r="DY427" s="38"/>
      <c r="DZ427" s="38"/>
      <c r="EA427" s="38"/>
      <c r="EB427" s="38"/>
      <c r="EC427" s="40"/>
      <c r="ED427" s="16"/>
      <c r="EE427" s="16"/>
      <c r="EF427" s="16"/>
      <c r="EG427" s="16"/>
      <c r="EH427" s="16"/>
      <c r="EI427" s="16"/>
      <c r="EJ427" s="16"/>
      <c r="EK427" s="16"/>
      <c r="EL427" s="16"/>
      <c r="EM427" s="16"/>
      <c r="EN427" s="16"/>
      <c r="EO427" s="16"/>
      <c r="EP427" s="16"/>
      <c r="EQ427" s="16"/>
      <c r="ER427" s="16"/>
      <c r="ES427" s="16"/>
      <c r="ET427" s="16"/>
      <c r="EU427" s="16"/>
      <c r="EX427" s="16"/>
      <c r="EY427" s="228"/>
      <c r="EZ427" s="991"/>
      <c r="FA427" s="477"/>
      <c r="FB427" s="228"/>
      <c r="FC427" s="477"/>
      <c r="FD427" s="16"/>
    </row>
    <row r="428" spans="1:160" x14ac:dyDescent="0.2">
      <c r="A428" s="943" t="s">
        <v>14</v>
      </c>
      <c r="B428" s="16"/>
      <c r="C428" s="16"/>
      <c r="D428" s="16"/>
      <c r="E428" s="16"/>
      <c r="F428" s="16"/>
      <c r="G428" s="16"/>
      <c r="H428" s="16"/>
      <c r="I428" s="16"/>
      <c r="J428" s="16"/>
      <c r="K428" s="16"/>
      <c r="L428" s="16"/>
      <c r="M428" s="16"/>
      <c r="N428" s="16"/>
      <c r="O428" s="16"/>
      <c r="P428" s="16"/>
      <c r="Q428" s="123"/>
      <c r="R428" s="21"/>
      <c r="S428" s="21"/>
      <c r="T428" s="21"/>
      <c r="U428" s="21"/>
      <c r="V428" s="123"/>
      <c r="W428" s="21"/>
      <c r="X428" s="21"/>
      <c r="Y428" s="21"/>
      <c r="Z428" s="21"/>
      <c r="AA428" s="123"/>
      <c r="AB428" s="21"/>
      <c r="AC428" s="21"/>
      <c r="AD428" s="21"/>
      <c r="AE428" s="21"/>
      <c r="AF428" s="123"/>
      <c r="AG428" s="21"/>
      <c r="AH428" s="21"/>
      <c r="AI428" s="21"/>
      <c r="AJ428" s="21"/>
      <c r="AK428" s="123"/>
      <c r="AL428" s="21"/>
      <c r="AM428" s="21"/>
      <c r="AN428" s="21"/>
      <c r="AO428" s="21"/>
      <c r="AP428" s="123"/>
      <c r="AQ428" s="21"/>
      <c r="AR428" s="21"/>
      <c r="AS428" s="21"/>
      <c r="AT428" s="21"/>
      <c r="AU428" s="122"/>
      <c r="AV428" s="45"/>
      <c r="AW428" s="21"/>
      <c r="AX428" s="21"/>
      <c r="AY428" s="21"/>
      <c r="AZ428" s="21"/>
      <c r="BA428" s="123"/>
      <c r="BB428" s="122"/>
      <c r="BC428" s="21"/>
      <c r="BD428" s="21"/>
      <c r="BE428" s="21"/>
      <c r="BF428" s="123"/>
      <c r="BG428" s="21"/>
      <c r="BH428" s="21"/>
      <c r="BI428" s="21"/>
      <c r="BJ428" s="38"/>
      <c r="BK428" s="123">
        <f>BK422/BF422-1</f>
        <v>8.68</v>
      </c>
      <c r="BL428" s="38"/>
      <c r="BM428" s="38"/>
      <c r="BN428" s="38"/>
      <c r="BO428" s="38"/>
      <c r="BP428" s="123">
        <f t="shared" si="2468"/>
        <v>0.86157024793388426</v>
      </c>
      <c r="BQ428" s="22">
        <f t="shared" si="2468"/>
        <v>0.23076923076923084</v>
      </c>
      <c r="BR428" s="22">
        <f t="shared" si="2469"/>
        <v>0.15000000000000013</v>
      </c>
      <c r="BS428" s="22">
        <f t="shared" si="2469"/>
        <v>0.14391143911439119</v>
      </c>
      <c r="BT428" s="22">
        <f t="shared" si="2466"/>
        <v>1.4308510638297864</v>
      </c>
      <c r="BU428" s="123">
        <f t="shared" si="2466"/>
        <v>0.43174250832408445</v>
      </c>
      <c r="BV428" s="1196">
        <f t="shared" si="2470"/>
        <v>0</v>
      </c>
      <c r="BW428" s="1196">
        <f t="shared" si="2471"/>
        <v>0</v>
      </c>
      <c r="BX428" s="1196">
        <f t="shared" si="2472"/>
        <v>0</v>
      </c>
      <c r="BY428" s="1196">
        <f t="shared" si="2467"/>
        <v>0</v>
      </c>
      <c r="BZ428" s="123">
        <f t="shared" si="2473"/>
        <v>0</v>
      </c>
      <c r="CA428" s="38"/>
      <c r="CB428" s="38"/>
      <c r="CC428" s="38"/>
      <c r="CD428" s="38"/>
      <c r="CE428" s="40"/>
      <c r="CF428" s="38"/>
      <c r="CG428" s="38"/>
      <c r="CH428" s="38"/>
      <c r="CI428" s="38"/>
      <c r="CJ428" s="40"/>
      <c r="CK428" s="38"/>
      <c r="CL428" s="38"/>
      <c r="CM428" s="38"/>
      <c r="CN428" s="38"/>
      <c r="CO428" s="40"/>
      <c r="CP428" s="38"/>
      <c r="CQ428" s="38"/>
      <c r="CR428" s="38"/>
      <c r="CS428" s="38"/>
      <c r="CT428" s="40"/>
      <c r="CU428" s="38"/>
      <c r="CV428" s="38"/>
      <c r="CW428" s="38"/>
      <c r="CX428" s="38"/>
      <c r="CY428" s="40"/>
      <c r="CZ428" s="38"/>
      <c r="DA428" s="38"/>
      <c r="DB428" s="38"/>
      <c r="DC428" s="38"/>
      <c r="DD428" s="40"/>
      <c r="DE428" s="38"/>
      <c r="DF428" s="38"/>
      <c r="DG428" s="38"/>
      <c r="DH428" s="38"/>
      <c r="DI428" s="40"/>
      <c r="DJ428" s="38"/>
      <c r="DK428" s="38"/>
      <c r="DL428" s="38"/>
      <c r="DM428" s="38"/>
      <c r="DN428" s="40"/>
      <c r="DO428" s="38"/>
      <c r="DP428" s="38"/>
      <c r="DQ428" s="38"/>
      <c r="DR428" s="38"/>
      <c r="DS428" s="40"/>
      <c r="DT428" s="38"/>
      <c r="DU428" s="38"/>
      <c r="DV428" s="38"/>
      <c r="DW428" s="38"/>
      <c r="DX428" s="40"/>
      <c r="DY428" s="38"/>
      <c r="DZ428" s="38"/>
      <c r="EA428" s="38"/>
      <c r="EB428" s="38"/>
      <c r="EC428" s="40"/>
      <c r="ED428" s="16"/>
      <c r="EE428" s="16"/>
      <c r="EF428" s="16"/>
      <c r="EG428" s="16"/>
      <c r="EH428" s="16"/>
      <c r="EI428" s="16"/>
      <c r="EJ428" s="16"/>
      <c r="EK428" s="16"/>
      <c r="EL428" s="16"/>
      <c r="EM428" s="16"/>
      <c r="EN428" s="16"/>
      <c r="EO428" s="16"/>
      <c r="EP428" s="16"/>
      <c r="EQ428" s="16"/>
      <c r="ER428" s="16"/>
      <c r="ES428" s="16"/>
      <c r="ET428" s="16"/>
      <c r="EU428" s="16"/>
      <c r="EX428" s="16"/>
      <c r="EY428" s="228"/>
      <c r="EZ428" s="991"/>
      <c r="FA428" s="477"/>
      <c r="FB428" s="228"/>
      <c r="FC428" s="477"/>
      <c r="FD428" s="16"/>
    </row>
    <row r="429" spans="1:160" x14ac:dyDescent="0.2">
      <c r="A429" s="490"/>
      <c r="B429" s="16"/>
      <c r="C429" s="16"/>
      <c r="D429" s="16"/>
      <c r="E429" s="16"/>
      <c r="F429" s="16"/>
      <c r="G429" s="16"/>
      <c r="H429" s="16"/>
      <c r="I429" s="16"/>
      <c r="J429" s="16"/>
      <c r="K429" s="16"/>
      <c r="L429" s="16"/>
      <c r="M429" s="16"/>
      <c r="N429" s="16"/>
      <c r="O429" s="16"/>
      <c r="P429" s="16"/>
      <c r="Q429" s="123"/>
      <c r="R429" s="21"/>
      <c r="S429" s="21"/>
      <c r="T429" s="21"/>
      <c r="U429" s="21"/>
      <c r="V429" s="123"/>
      <c r="W429" s="21"/>
      <c r="X429" s="21"/>
      <c r="Y429" s="21"/>
      <c r="Z429" s="21"/>
      <c r="AA429" s="123"/>
      <c r="AB429" s="21"/>
      <c r="AC429" s="21"/>
      <c r="AD429" s="21"/>
      <c r="AE429" s="21"/>
      <c r="AF429" s="123"/>
      <c r="AG429" s="21"/>
      <c r="AH429" s="21"/>
      <c r="AI429" s="21"/>
      <c r="AJ429" s="21"/>
      <c r="AK429" s="123"/>
      <c r="AL429" s="21"/>
      <c r="AM429" s="21"/>
      <c r="AN429" s="21"/>
      <c r="AO429" s="21"/>
      <c r="AP429" s="123"/>
      <c r="AQ429" s="21"/>
      <c r="AR429" s="21"/>
      <c r="AS429" s="21"/>
      <c r="AT429" s="21"/>
      <c r="AU429" s="122"/>
      <c r="AV429" s="45"/>
      <c r="AW429" s="21"/>
      <c r="AX429" s="21"/>
      <c r="AY429" s="21"/>
      <c r="AZ429" s="21"/>
      <c r="BA429" s="123"/>
      <c r="BB429" s="122"/>
      <c r="BC429" s="21"/>
      <c r="BD429" s="21"/>
      <c r="BE429" s="21"/>
      <c r="BF429" s="123"/>
      <c r="BG429" s="21"/>
      <c r="BH429" s="21"/>
      <c r="BI429" s="21"/>
      <c r="BJ429" s="38"/>
      <c r="BK429" s="123"/>
      <c r="BL429" s="38"/>
      <c r="BM429" s="38"/>
      <c r="BN429" s="38"/>
      <c r="BO429" s="38"/>
      <c r="BP429" s="123"/>
      <c r="BQ429" s="38"/>
      <c r="BR429" s="38"/>
      <c r="BS429" s="38"/>
      <c r="BT429" s="38"/>
      <c r="BU429" s="123"/>
      <c r="BV429" s="1070"/>
      <c r="BW429" s="1070"/>
      <c r="BX429" s="1070"/>
      <c r="BY429" s="1070"/>
      <c r="BZ429" s="123"/>
      <c r="CA429" s="38"/>
      <c r="CB429" s="38"/>
      <c r="CC429" s="38"/>
      <c r="CD429" s="38"/>
      <c r="CE429" s="40"/>
      <c r="CF429" s="38"/>
      <c r="CG429" s="38"/>
      <c r="CH429" s="38"/>
      <c r="CI429" s="38"/>
      <c r="CJ429" s="40"/>
      <c r="CK429" s="38"/>
      <c r="CL429" s="38"/>
      <c r="CM429" s="38"/>
      <c r="CN429" s="38"/>
      <c r="CO429" s="40"/>
      <c r="CP429" s="38"/>
      <c r="CQ429" s="38"/>
      <c r="CR429" s="38"/>
      <c r="CS429" s="38"/>
      <c r="CT429" s="40"/>
      <c r="CU429" s="38"/>
      <c r="CV429" s="38"/>
      <c r="CW429" s="38"/>
      <c r="CX429" s="38"/>
      <c r="CY429" s="40"/>
      <c r="CZ429" s="38"/>
      <c r="DA429" s="38"/>
      <c r="DB429" s="38"/>
      <c r="DC429" s="38"/>
      <c r="DD429" s="40"/>
      <c r="DE429" s="38"/>
      <c r="DF429" s="38"/>
      <c r="DG429" s="38"/>
      <c r="DH429" s="38"/>
      <c r="DI429" s="40"/>
      <c r="DJ429" s="38"/>
      <c r="DK429" s="38"/>
      <c r="DL429" s="38"/>
      <c r="DM429" s="38"/>
      <c r="DN429" s="40"/>
      <c r="DO429" s="38"/>
      <c r="DP429" s="38"/>
      <c r="DQ429" s="38"/>
      <c r="DR429" s="38"/>
      <c r="DS429" s="40"/>
      <c r="DT429" s="38"/>
      <c r="DU429" s="38"/>
      <c r="DV429" s="38"/>
      <c r="DW429" s="38"/>
      <c r="DX429" s="40"/>
      <c r="DY429" s="38"/>
      <c r="DZ429" s="38"/>
      <c r="EA429" s="38"/>
      <c r="EB429" s="38"/>
      <c r="EC429" s="40"/>
      <c r="ED429" s="16"/>
      <c r="EE429" s="16"/>
      <c r="EF429" s="16"/>
      <c r="EG429" s="16"/>
      <c r="EH429" s="16"/>
      <c r="EI429" s="16"/>
      <c r="EJ429" s="16"/>
      <c r="EK429" s="16"/>
      <c r="EL429" s="16"/>
      <c r="EM429" s="16"/>
      <c r="EN429" s="16"/>
      <c r="EO429" s="16"/>
      <c r="EP429" s="16"/>
      <c r="EQ429" s="16"/>
      <c r="ER429" s="16"/>
      <c r="ES429" s="16"/>
      <c r="ET429" s="16"/>
      <c r="EU429" s="16"/>
      <c r="EX429" s="16"/>
      <c r="EY429" s="228"/>
      <c r="EZ429" s="991"/>
      <c r="FA429" s="477"/>
      <c r="FB429" s="228"/>
      <c r="FC429" s="477"/>
      <c r="FD429" s="16"/>
    </row>
    <row r="430" spans="1:160" x14ac:dyDescent="0.2">
      <c r="A430" s="491" t="s">
        <v>15</v>
      </c>
      <c r="B430" s="29"/>
      <c r="C430" s="29"/>
      <c r="D430" s="29"/>
      <c r="E430" s="29"/>
      <c r="F430" s="29"/>
      <c r="G430" s="29"/>
      <c r="H430" s="29"/>
      <c r="I430" s="29"/>
      <c r="J430" s="29"/>
      <c r="K430" s="29"/>
      <c r="L430" s="29"/>
      <c r="M430" s="29"/>
      <c r="N430" s="29"/>
      <c r="O430" s="29"/>
      <c r="P430" s="229"/>
      <c r="Q430" s="470"/>
      <c r="R430" s="110"/>
      <c r="S430" s="110"/>
      <c r="T430" s="110"/>
      <c r="U430" s="110"/>
      <c r="V430" s="470"/>
      <c r="W430" s="110"/>
      <c r="X430" s="110"/>
      <c r="Y430" s="110"/>
      <c r="Z430" s="110"/>
      <c r="AA430" s="470"/>
      <c r="AB430" s="110"/>
      <c r="AC430" s="110"/>
      <c r="AD430" s="110"/>
      <c r="AE430" s="110"/>
      <c r="AF430" s="470"/>
      <c r="AG430" s="110"/>
      <c r="AH430" s="110"/>
      <c r="AI430" s="110"/>
      <c r="AJ430" s="110"/>
      <c r="AK430" s="152"/>
      <c r="AL430" s="110"/>
      <c r="AM430" s="110"/>
      <c r="AN430" s="110"/>
      <c r="AO430" s="110"/>
      <c r="AP430" s="152"/>
      <c r="AQ430" s="110"/>
      <c r="AR430" s="110"/>
      <c r="AS430" s="110"/>
      <c r="AT430" s="110"/>
      <c r="AU430" s="200"/>
      <c r="AV430" s="45"/>
      <c r="AW430" s="110"/>
      <c r="AX430" s="110"/>
      <c r="AY430" s="110"/>
      <c r="AZ430" s="110"/>
      <c r="BA430" s="152"/>
      <c r="BB430" s="200"/>
      <c r="BC430" s="110"/>
      <c r="BD430" s="110"/>
      <c r="BE430" s="110"/>
      <c r="BF430" s="152">
        <f>BF422/BF19</f>
        <v>7.1736011477761836E-3</v>
      </c>
      <c r="BG430" s="110"/>
      <c r="BH430" s="110"/>
      <c r="BI430" s="110"/>
      <c r="BJ430" s="621"/>
      <c r="BK430" s="152">
        <f t="shared" ref="BK430:BZ430" si="2474">BK422/BK19</f>
        <v>6.035665294924554E-2</v>
      </c>
      <c r="BL430" s="110">
        <f t="shared" si="2474"/>
        <v>8.8092933204259441E-2</v>
      </c>
      <c r="BM430" s="944">
        <f t="shared" si="2474"/>
        <v>0.1152482269503546</v>
      </c>
      <c r="BN430" s="944">
        <f t="shared" si="2474"/>
        <v>0.10923014913341395</v>
      </c>
      <c r="BO430" s="110">
        <f t="shared" si="2474"/>
        <v>7.7270859021783822E-2</v>
      </c>
      <c r="BP430" s="152">
        <f t="shared" si="2474"/>
        <v>9.7553053269813769E-2</v>
      </c>
      <c r="BQ430" s="110">
        <f t="shared" si="2474"/>
        <v>0.10071942446043167</v>
      </c>
      <c r="BR430" s="110">
        <f t="shared" si="2474"/>
        <v>0.12309592424866199</v>
      </c>
      <c r="BS430" s="110">
        <f t="shared" si="2474"/>
        <v>0.11923076923076924</v>
      </c>
      <c r="BT430" s="110">
        <f t="shared" si="2474"/>
        <v>0.15003282994090608</v>
      </c>
      <c r="BU430" s="152">
        <f t="shared" si="2474"/>
        <v>0.12525487911447714</v>
      </c>
      <c r="BV430" s="1320">
        <f t="shared" si="2474"/>
        <v>5.2992666193517869E-2</v>
      </c>
      <c r="BW430" s="1320">
        <f t="shared" si="2474"/>
        <v>6.2644039388225436E-2</v>
      </c>
      <c r="BX430" s="1320">
        <f t="shared" si="2474"/>
        <v>6.0927672955974843E-2</v>
      </c>
      <c r="BY430" s="1320">
        <f t="shared" si="2474"/>
        <v>8.7935347315759083E-2</v>
      </c>
      <c r="BZ430" s="152">
        <f t="shared" si="2474"/>
        <v>6.6891366346901737E-2</v>
      </c>
      <c r="CA430" s="926"/>
      <c r="CB430" s="926"/>
      <c r="CC430" s="926"/>
      <c r="CD430" s="926"/>
      <c r="CE430" s="927"/>
      <c r="CF430" s="926"/>
      <c r="CG430" s="926"/>
      <c r="CH430" s="926"/>
      <c r="CI430" s="926"/>
      <c r="CJ430" s="927"/>
      <c r="CK430" s="926"/>
      <c r="CL430" s="926"/>
      <c r="CM430" s="926"/>
      <c r="CN430" s="926"/>
      <c r="CO430" s="927"/>
      <c r="CP430" s="926"/>
      <c r="CQ430" s="926"/>
      <c r="CR430" s="926"/>
      <c r="CS430" s="926"/>
      <c r="CT430" s="927"/>
      <c r="CU430" s="926"/>
      <c r="CV430" s="926"/>
      <c r="CW430" s="926"/>
      <c r="CX430" s="926"/>
      <c r="CY430" s="927"/>
      <c r="CZ430" s="926"/>
      <c r="DA430" s="926"/>
      <c r="DB430" s="926"/>
      <c r="DC430" s="926"/>
      <c r="DD430" s="927"/>
      <c r="DE430" s="926"/>
      <c r="DF430" s="926"/>
      <c r="DG430" s="926"/>
      <c r="DH430" s="926"/>
      <c r="DI430" s="927"/>
      <c r="DJ430" s="926"/>
      <c r="DK430" s="926"/>
      <c r="DL430" s="926"/>
      <c r="DM430" s="926"/>
      <c r="DN430" s="927"/>
      <c r="DO430" s="926"/>
      <c r="DP430" s="926"/>
      <c r="DQ430" s="926"/>
      <c r="DR430" s="926"/>
      <c r="DS430" s="927"/>
      <c r="DT430" s="926"/>
      <c r="DU430" s="926"/>
      <c r="DV430" s="926"/>
      <c r="DW430" s="926"/>
      <c r="DX430" s="927"/>
      <c r="DY430" s="926"/>
      <c r="DZ430" s="926"/>
      <c r="EA430" s="926"/>
      <c r="EB430" s="926"/>
      <c r="EC430" s="927"/>
      <c r="ED430" s="16"/>
      <c r="EE430" s="16"/>
      <c r="EF430" s="16"/>
      <c r="EG430" s="16"/>
      <c r="EH430" s="16"/>
      <c r="EI430" s="16"/>
      <c r="EJ430" s="16"/>
      <c r="EK430" s="16"/>
      <c r="EL430" s="16"/>
      <c r="EM430" s="16"/>
      <c r="EN430" s="16"/>
      <c r="EO430" s="16"/>
      <c r="EP430" s="16"/>
      <c r="EQ430" s="16"/>
      <c r="ER430" s="16"/>
      <c r="ES430" s="16"/>
      <c r="ET430" s="16"/>
      <c r="EU430" s="16"/>
      <c r="EX430" s="16"/>
      <c r="EY430" s="228"/>
      <c r="EZ430" s="945"/>
      <c r="FA430" s="477"/>
      <c r="FB430" s="228"/>
      <c r="FC430" s="477"/>
      <c r="FD430" s="16"/>
    </row>
    <row r="431" spans="1:160" x14ac:dyDescent="0.2">
      <c r="A431" s="23"/>
      <c r="B431" s="16"/>
      <c r="C431" s="16"/>
      <c r="D431" s="16"/>
      <c r="E431" s="16"/>
      <c r="F431" s="16"/>
      <c r="G431" s="16"/>
      <c r="H431" s="16"/>
      <c r="I431" s="16"/>
      <c r="J431" s="16"/>
      <c r="K431" s="16"/>
      <c r="L431" s="16"/>
      <c r="M431" s="16"/>
      <c r="N431" s="16"/>
      <c r="O431" s="16"/>
      <c r="P431" s="16"/>
      <c r="Q431" s="16"/>
      <c r="R431" s="16"/>
      <c r="S431" s="16"/>
      <c r="T431" s="16"/>
      <c r="U431" s="16"/>
      <c r="V431" s="16"/>
      <c r="W431" s="16"/>
      <c r="X431" s="16"/>
      <c r="Y431" s="16"/>
      <c r="Z431" s="16"/>
      <c r="AA431" s="16"/>
      <c r="AB431" s="16"/>
      <c r="AC431" s="16"/>
      <c r="AD431" s="16"/>
      <c r="AE431" s="16"/>
      <c r="AF431" s="16"/>
      <c r="AG431" s="16"/>
      <c r="AH431" s="16"/>
      <c r="AI431" s="16"/>
      <c r="AJ431" s="16"/>
      <c r="AK431" s="16"/>
      <c r="AL431" s="16"/>
      <c r="AM431" s="16"/>
      <c r="AN431" s="16"/>
      <c r="AO431" s="16"/>
      <c r="AP431" s="16"/>
      <c r="AQ431" s="16"/>
      <c r="AR431" s="16"/>
      <c r="AS431" s="16"/>
      <c r="AT431" s="16"/>
      <c r="AU431" s="16"/>
      <c r="AV431" s="45"/>
      <c r="AW431" s="16"/>
      <c r="AX431" s="16"/>
      <c r="AY431" s="21"/>
      <c r="AZ431" s="21"/>
      <c r="BA431" s="16"/>
      <c r="BB431" s="16"/>
      <c r="BC431" s="21"/>
      <c r="BD431" s="16"/>
      <c r="BE431" s="16"/>
      <c r="BF431" s="16"/>
      <c r="BG431" s="16"/>
      <c r="BH431" s="16"/>
      <c r="BI431" s="16"/>
      <c r="BJ431" s="16"/>
      <c r="BK431" s="15"/>
      <c r="BL431" s="15"/>
      <c r="BM431" s="15"/>
      <c r="BN431" s="15"/>
      <c r="BO431" s="15"/>
      <c r="BP431" s="16"/>
      <c r="BQ431" s="16"/>
      <c r="BR431" s="16"/>
      <c r="BS431" s="16"/>
      <c r="BT431" s="16"/>
      <c r="BU431" s="16"/>
      <c r="BV431" s="1310"/>
      <c r="BW431" s="1310"/>
      <c r="BX431" s="1310"/>
      <c r="BY431" s="1310"/>
      <c r="BZ431" s="16"/>
      <c r="CA431" s="16"/>
      <c r="CB431" s="16"/>
      <c r="CC431" s="16"/>
      <c r="CD431" s="16"/>
      <c r="CE431" s="16"/>
      <c r="CF431" s="16"/>
      <c r="CG431" s="16"/>
      <c r="CH431" s="16"/>
      <c r="CI431" s="16"/>
      <c r="CJ431" s="16"/>
      <c r="CK431" s="16"/>
      <c r="CL431" s="16"/>
      <c r="CM431" s="16"/>
      <c r="CN431" s="16"/>
      <c r="CO431" s="16"/>
      <c r="CP431" s="16"/>
      <c r="CQ431" s="16"/>
      <c r="CR431" s="16"/>
      <c r="CS431" s="16"/>
      <c r="CT431" s="16"/>
      <c r="CU431" s="16"/>
      <c r="CV431" s="16"/>
      <c r="CW431" s="16"/>
      <c r="CX431" s="16"/>
      <c r="CY431" s="16"/>
      <c r="CZ431" s="16"/>
      <c r="DA431" s="16"/>
      <c r="DB431" s="16"/>
      <c r="DC431" s="16"/>
      <c r="DD431" s="16"/>
      <c r="DE431" s="16"/>
      <c r="DF431" s="16"/>
      <c r="DG431" s="16"/>
      <c r="DH431" s="16"/>
      <c r="DI431" s="16"/>
      <c r="DJ431" s="16"/>
      <c r="DK431" s="16"/>
      <c r="DL431" s="16"/>
      <c r="DM431" s="16"/>
      <c r="DN431" s="16"/>
      <c r="DO431" s="16"/>
      <c r="DP431" s="16"/>
      <c r="DQ431" s="16"/>
      <c r="DR431" s="16"/>
      <c r="DS431" s="16"/>
      <c r="DT431" s="16"/>
      <c r="DU431" s="16"/>
      <c r="DV431" s="16"/>
      <c r="DW431" s="16"/>
      <c r="DX431" s="16"/>
      <c r="DY431" s="16"/>
      <c r="DZ431" s="16"/>
      <c r="EA431" s="16"/>
      <c r="EB431" s="16"/>
      <c r="EC431" s="16"/>
      <c r="ED431" s="16"/>
      <c r="EE431" s="16"/>
      <c r="EF431" s="16"/>
      <c r="EG431" s="16"/>
      <c r="EH431" s="16"/>
      <c r="EI431" s="16"/>
      <c r="EJ431" s="16"/>
      <c r="EK431" s="16"/>
      <c r="EL431" s="16"/>
      <c r="EM431" s="16"/>
      <c r="EN431" s="16"/>
      <c r="EO431" s="16"/>
      <c r="EP431" s="16"/>
      <c r="EQ431" s="16"/>
      <c r="ER431" s="16"/>
      <c r="ES431" s="16"/>
      <c r="ET431" s="16"/>
      <c r="EU431" s="16"/>
      <c r="EX431" s="16"/>
      <c r="EY431" s="228"/>
      <c r="EZ431" s="945"/>
      <c r="FA431" s="477"/>
      <c r="FB431" s="228"/>
      <c r="FC431" s="477"/>
      <c r="FD431" s="16"/>
    </row>
    <row r="432" spans="1:160" x14ac:dyDescent="0.2">
      <c r="A432" s="23"/>
      <c r="B432" s="16"/>
      <c r="C432" s="16"/>
      <c r="D432" s="16"/>
      <c r="E432" s="16"/>
      <c r="F432" s="16"/>
      <c r="G432" s="16"/>
      <c r="H432" s="16"/>
      <c r="I432" s="16"/>
      <c r="J432" s="16"/>
      <c r="K432" s="16"/>
      <c r="L432" s="16"/>
      <c r="M432" s="16"/>
      <c r="N432" s="16"/>
      <c r="O432" s="16"/>
      <c r="P432" s="16"/>
      <c r="Q432" s="16"/>
      <c r="R432" s="16"/>
      <c r="S432" s="16"/>
      <c r="T432" s="16"/>
      <c r="U432" s="16"/>
      <c r="V432" s="16"/>
      <c r="W432" s="16"/>
      <c r="X432" s="16"/>
      <c r="Y432" s="16"/>
      <c r="Z432" s="16"/>
      <c r="AA432" s="16"/>
      <c r="AB432" s="16"/>
      <c r="AC432" s="16"/>
      <c r="AD432" s="16"/>
      <c r="AE432" s="16"/>
      <c r="AF432" s="16"/>
      <c r="AG432" s="16"/>
      <c r="AH432" s="16"/>
      <c r="AI432" s="16"/>
      <c r="AJ432" s="16"/>
      <c r="AK432" s="16"/>
      <c r="AL432" s="16"/>
      <c r="AM432" s="16"/>
      <c r="AN432" s="16"/>
      <c r="AO432" s="16"/>
      <c r="AP432" s="16"/>
      <c r="AQ432" s="16"/>
      <c r="AR432" s="16"/>
      <c r="AS432" s="16"/>
      <c r="AT432" s="16"/>
      <c r="AU432" s="16"/>
      <c r="AV432" s="45"/>
      <c r="AW432" s="16"/>
      <c r="AX432" s="16"/>
      <c r="AY432" s="21"/>
      <c r="AZ432" s="21"/>
      <c r="BA432" s="16"/>
      <c r="BB432" s="16"/>
      <c r="BC432" s="21"/>
      <c r="BD432" s="16"/>
      <c r="BE432" s="16"/>
      <c r="BF432" s="16"/>
      <c r="BG432" s="16"/>
      <c r="BH432" s="16"/>
      <c r="BI432" s="16"/>
      <c r="BJ432" s="16"/>
      <c r="BK432" s="15"/>
      <c r="BL432" s="15"/>
      <c r="BM432" s="15"/>
      <c r="BN432" s="15"/>
      <c r="BO432" s="15"/>
      <c r="BP432" s="16"/>
      <c r="BQ432" s="16"/>
      <c r="BR432" s="16"/>
      <c r="BS432" s="16"/>
      <c r="BT432" s="16"/>
      <c r="BU432" s="16"/>
      <c r="BV432" s="1310"/>
      <c r="BW432" s="1310"/>
      <c r="BX432" s="1310"/>
      <c r="BY432" s="1310"/>
      <c r="BZ432" s="16"/>
      <c r="CA432" s="16"/>
      <c r="CB432" s="16"/>
      <c r="CC432" s="16"/>
      <c r="CD432" s="16"/>
      <c r="CE432" s="16"/>
      <c r="CF432" s="16"/>
      <c r="CG432" s="16"/>
      <c r="CH432" s="16"/>
      <c r="CI432" s="16"/>
      <c r="CJ432" s="16"/>
      <c r="CK432" s="16"/>
      <c r="CL432" s="16"/>
      <c r="CM432" s="16"/>
      <c r="CN432" s="16"/>
      <c r="CO432" s="16"/>
      <c r="CP432" s="16"/>
      <c r="CQ432" s="16"/>
      <c r="CR432" s="16"/>
      <c r="CS432" s="16"/>
      <c r="CT432" s="16"/>
      <c r="CU432" s="16"/>
      <c r="CV432" s="16"/>
      <c r="CW432" s="16"/>
      <c r="CX432" s="16"/>
      <c r="CY432" s="16"/>
      <c r="CZ432" s="16"/>
      <c r="DA432" s="16"/>
      <c r="DB432" s="16"/>
      <c r="DC432" s="16"/>
      <c r="DD432" s="16"/>
      <c r="DE432" s="16"/>
      <c r="DF432" s="16"/>
      <c r="DG432" s="16"/>
      <c r="DH432" s="16"/>
      <c r="DI432" s="16"/>
      <c r="DJ432" s="16"/>
      <c r="DK432" s="16"/>
      <c r="DL432" s="16"/>
      <c r="DM432" s="16"/>
      <c r="DN432" s="16"/>
      <c r="DO432" s="16"/>
      <c r="DP432" s="16"/>
      <c r="DQ432" s="16"/>
      <c r="DR432" s="16"/>
      <c r="DS432" s="16"/>
      <c r="DT432" s="16"/>
      <c r="DU432" s="16"/>
      <c r="DV432" s="16"/>
      <c r="DW432" s="16"/>
      <c r="DX432" s="16"/>
      <c r="DY432" s="16"/>
      <c r="DZ432" s="16"/>
      <c r="EA432" s="16"/>
      <c r="EB432" s="16"/>
      <c r="EC432" s="16"/>
      <c r="ED432" s="16"/>
      <c r="EE432" s="16"/>
      <c r="EF432" s="16"/>
      <c r="EG432" s="16"/>
      <c r="EH432" s="16"/>
      <c r="EI432" s="16"/>
      <c r="EJ432" s="16"/>
      <c r="EK432" s="16"/>
      <c r="EL432" s="16"/>
      <c r="EM432" s="16"/>
      <c r="EN432" s="16"/>
      <c r="EO432" s="16"/>
      <c r="EP432" s="16"/>
      <c r="EQ432" s="16"/>
      <c r="ER432" s="16"/>
      <c r="ES432" s="16"/>
      <c r="ET432" s="16"/>
      <c r="EU432" s="16"/>
      <c r="EX432" s="16"/>
      <c r="EY432" s="228"/>
      <c r="EZ432" s="945"/>
      <c r="FA432" s="477"/>
      <c r="FB432" s="228"/>
      <c r="FC432" s="477"/>
      <c r="FD432" s="16"/>
    </row>
    <row r="433" spans="1:160" x14ac:dyDescent="0.2">
      <c r="A433" s="23"/>
      <c r="B433" s="16"/>
      <c r="C433" s="16"/>
      <c r="D433" s="16"/>
      <c r="E433" s="16"/>
      <c r="F433" s="16"/>
      <c r="G433" s="16"/>
      <c r="H433" s="16"/>
      <c r="I433" s="16"/>
      <c r="J433" s="16"/>
      <c r="K433" s="16"/>
      <c r="L433" s="16"/>
      <c r="M433" s="16"/>
      <c r="N433" s="16"/>
      <c r="O433" s="16"/>
      <c r="P433" s="16"/>
      <c r="Q433" s="16"/>
      <c r="R433" s="16"/>
      <c r="S433" s="16"/>
      <c r="T433" s="16"/>
      <c r="U433" s="16"/>
      <c r="V433" s="16"/>
      <c r="W433" s="16"/>
      <c r="X433" s="16"/>
      <c r="Y433" s="16"/>
      <c r="Z433" s="16"/>
      <c r="AA433" s="16"/>
      <c r="AB433" s="16"/>
      <c r="AC433" s="16"/>
      <c r="AD433" s="16"/>
      <c r="AE433" s="16"/>
      <c r="AF433" s="16"/>
      <c r="AG433" s="16"/>
      <c r="AH433" s="16"/>
      <c r="AI433" s="16"/>
      <c r="AJ433" s="16"/>
      <c r="AK433" s="16"/>
      <c r="AL433" s="16"/>
      <c r="AM433" s="16"/>
      <c r="AN433" s="16"/>
      <c r="AO433" s="16"/>
      <c r="AP433" s="16"/>
      <c r="AQ433" s="16"/>
      <c r="AR433" s="16"/>
      <c r="AS433" s="16"/>
      <c r="AT433" s="16"/>
      <c r="AU433" s="16"/>
      <c r="AV433" s="45"/>
      <c r="AW433" s="16"/>
      <c r="AX433" s="16"/>
      <c r="AY433" s="21"/>
      <c r="AZ433" s="21"/>
      <c r="BA433" s="16"/>
      <c r="BB433" s="16"/>
      <c r="BC433" s="21"/>
      <c r="BD433" s="16"/>
      <c r="BE433" s="16"/>
      <c r="BF433" s="16"/>
      <c r="BG433" s="16"/>
      <c r="BH433" s="16"/>
      <c r="BI433" s="16"/>
      <c r="BJ433" s="16"/>
      <c r="BK433" s="15"/>
      <c r="BL433" s="15"/>
      <c r="BM433" s="15"/>
      <c r="BN433" s="15"/>
      <c r="BO433" s="15"/>
      <c r="BP433" s="16"/>
      <c r="BQ433" s="16"/>
      <c r="BR433" s="16"/>
      <c r="BS433" s="16"/>
      <c r="BT433" s="16"/>
      <c r="BU433" s="16"/>
      <c r="BV433" s="1310"/>
      <c r="BW433" s="1310"/>
      <c r="BX433" s="1310"/>
      <c r="BY433" s="1310"/>
      <c r="BZ433" s="16"/>
      <c r="CA433" s="16"/>
      <c r="CB433" s="16"/>
      <c r="CC433" s="16"/>
      <c r="CD433" s="16"/>
      <c r="CE433" s="16"/>
      <c r="CF433" s="16"/>
      <c r="CG433" s="16"/>
      <c r="CH433" s="16"/>
      <c r="CI433" s="16"/>
      <c r="CJ433" s="16"/>
      <c r="CK433" s="16"/>
      <c r="CL433" s="16"/>
      <c r="CM433" s="16"/>
      <c r="CN433" s="16"/>
      <c r="CO433" s="16"/>
      <c r="CP433" s="16"/>
      <c r="CQ433" s="16"/>
      <c r="CR433" s="16"/>
      <c r="CS433" s="16"/>
      <c r="CT433" s="16"/>
      <c r="CU433" s="16"/>
      <c r="CV433" s="16"/>
      <c r="CW433" s="16"/>
      <c r="CX433" s="16"/>
      <c r="CY433" s="16"/>
      <c r="CZ433" s="16"/>
      <c r="DA433" s="16"/>
      <c r="DB433" s="16"/>
      <c r="DC433" s="16"/>
      <c r="DD433" s="16"/>
      <c r="DE433" s="16"/>
      <c r="DF433" s="16"/>
      <c r="DG433" s="16"/>
      <c r="DH433" s="16"/>
      <c r="DI433" s="16"/>
      <c r="DJ433" s="16"/>
      <c r="DK433" s="16"/>
      <c r="DL433" s="16"/>
      <c r="DM433" s="16"/>
      <c r="DN433" s="16"/>
      <c r="DO433" s="16"/>
      <c r="DP433" s="16"/>
      <c r="DQ433" s="16"/>
      <c r="DR433" s="16"/>
      <c r="DS433" s="16"/>
      <c r="DT433" s="16"/>
      <c r="DU433" s="16"/>
      <c r="DV433" s="16"/>
      <c r="DW433" s="16"/>
      <c r="DX433" s="16"/>
      <c r="DY433" s="16"/>
      <c r="DZ433" s="16"/>
      <c r="EA433" s="16"/>
      <c r="EB433" s="16"/>
      <c r="EC433" s="16"/>
      <c r="ED433" s="16"/>
      <c r="EE433" s="16"/>
      <c r="EF433" s="16"/>
      <c r="EG433" s="16"/>
      <c r="EH433" s="16"/>
      <c r="EI433" s="16"/>
      <c r="EJ433" s="16"/>
      <c r="EK433" s="16"/>
      <c r="EL433" s="16"/>
      <c r="EM433" s="16"/>
      <c r="EN433" s="16"/>
      <c r="EO433" s="16"/>
      <c r="EP433" s="16"/>
      <c r="EQ433" s="16"/>
      <c r="ER433" s="16"/>
      <c r="ES433" s="16"/>
      <c r="ET433" s="16"/>
      <c r="EU433" s="16"/>
      <c r="EX433" s="16"/>
      <c r="EY433" s="228"/>
      <c r="EZ433" s="945"/>
      <c r="FA433" s="477"/>
      <c r="FB433" s="228"/>
      <c r="FC433" s="477"/>
      <c r="FD433" s="16"/>
    </row>
    <row r="434" spans="1:160" x14ac:dyDescent="0.2">
      <c r="A434" s="23"/>
      <c r="B434" s="16"/>
      <c r="C434" s="16"/>
      <c r="D434" s="16"/>
      <c r="E434" s="16"/>
      <c r="F434" s="16"/>
      <c r="G434" s="16"/>
      <c r="H434" s="16"/>
      <c r="I434" s="16"/>
      <c r="J434" s="16"/>
      <c r="K434" s="16"/>
      <c r="L434" s="16"/>
      <c r="M434" s="16"/>
      <c r="N434" s="16"/>
      <c r="O434" s="16"/>
      <c r="P434" s="16"/>
      <c r="Q434" s="16"/>
      <c r="R434" s="16"/>
      <c r="S434" s="16"/>
      <c r="T434" s="16"/>
      <c r="U434" s="16"/>
      <c r="V434" s="16"/>
      <c r="W434" s="16"/>
      <c r="X434" s="16"/>
      <c r="Y434" s="16"/>
      <c r="Z434" s="16"/>
      <c r="AA434" s="16"/>
      <c r="AB434" s="16"/>
      <c r="AC434" s="16"/>
      <c r="AD434" s="16"/>
      <c r="AE434" s="16"/>
      <c r="AF434" s="16"/>
      <c r="AG434" s="16"/>
      <c r="AH434" s="16"/>
      <c r="AI434" s="16"/>
      <c r="AJ434" s="16"/>
      <c r="AK434" s="16"/>
      <c r="AL434" s="16"/>
      <c r="AM434" s="16"/>
      <c r="AN434" s="16"/>
      <c r="AO434" s="16"/>
      <c r="AP434" s="16"/>
      <c r="AQ434" s="16"/>
      <c r="AR434" s="16"/>
      <c r="AS434" s="16"/>
      <c r="AT434" s="16"/>
      <c r="AU434" s="16"/>
      <c r="AV434" s="45"/>
      <c r="AW434" s="16"/>
      <c r="AX434" s="16"/>
      <c r="AY434" s="21"/>
      <c r="AZ434" s="21"/>
      <c r="BA434" s="16"/>
      <c r="BB434" s="16"/>
      <c r="BC434" s="21"/>
      <c r="BD434" s="16"/>
      <c r="BE434" s="16"/>
      <c r="BF434" s="16"/>
      <c r="BG434" s="16"/>
      <c r="BH434" s="16"/>
      <c r="BI434" s="16"/>
      <c r="BJ434" s="16"/>
      <c r="BK434" s="15"/>
      <c r="BL434" s="15"/>
      <c r="BM434" s="15"/>
      <c r="BN434" s="15"/>
      <c r="BO434" s="15"/>
      <c r="BP434" s="16"/>
      <c r="BQ434" s="16"/>
      <c r="BR434" s="16"/>
      <c r="BS434" s="16"/>
      <c r="BT434" s="16"/>
      <c r="BU434" s="16"/>
      <c r="BV434" s="1310"/>
      <c r="BW434" s="1310"/>
      <c r="BX434" s="1310"/>
      <c r="BY434" s="1310"/>
      <c r="BZ434" s="16"/>
      <c r="CA434" s="16"/>
      <c r="CB434" s="16"/>
      <c r="CC434" s="16"/>
      <c r="CD434" s="16"/>
      <c r="CE434" s="16"/>
      <c r="CF434" s="16"/>
      <c r="CG434" s="16"/>
      <c r="CH434" s="16"/>
      <c r="CI434" s="16"/>
      <c r="CJ434" s="16"/>
      <c r="CK434" s="16"/>
      <c r="CL434" s="16"/>
      <c r="CM434" s="16"/>
      <c r="CN434" s="16"/>
      <c r="CO434" s="16"/>
      <c r="CP434" s="16"/>
      <c r="CQ434" s="16"/>
      <c r="CR434" s="16"/>
      <c r="CS434" s="16"/>
      <c r="CT434" s="16"/>
      <c r="CU434" s="16"/>
      <c r="CV434" s="16"/>
      <c r="CW434" s="16"/>
      <c r="CX434" s="16"/>
      <c r="CY434" s="16"/>
      <c r="CZ434" s="16"/>
      <c r="DA434" s="16"/>
      <c r="DB434" s="16"/>
      <c r="DC434" s="16"/>
      <c r="DD434" s="16"/>
      <c r="DE434" s="16"/>
      <c r="DF434" s="16"/>
      <c r="DG434" s="16"/>
      <c r="DH434" s="16"/>
      <c r="DI434" s="16"/>
      <c r="DJ434" s="16"/>
      <c r="DK434" s="16"/>
      <c r="DL434" s="16"/>
      <c r="DM434" s="16"/>
      <c r="DN434" s="16"/>
      <c r="DO434" s="16"/>
      <c r="DP434" s="16"/>
      <c r="DQ434" s="16"/>
      <c r="DR434" s="16"/>
      <c r="DS434" s="16"/>
      <c r="DT434" s="16"/>
      <c r="DU434" s="16"/>
      <c r="DV434" s="16"/>
      <c r="DW434" s="16"/>
      <c r="DX434" s="16"/>
      <c r="DY434" s="16"/>
      <c r="DZ434" s="16"/>
      <c r="EA434" s="16"/>
      <c r="EB434" s="16"/>
      <c r="EC434" s="16"/>
      <c r="ED434" s="16"/>
      <c r="EE434" s="16"/>
      <c r="EF434" s="16"/>
      <c r="EG434" s="16"/>
      <c r="EH434" s="16"/>
      <c r="EI434" s="16"/>
      <c r="EJ434" s="16"/>
      <c r="EK434" s="16"/>
      <c r="EL434" s="16"/>
      <c r="EM434" s="16"/>
      <c r="EN434" s="16"/>
      <c r="EO434" s="16"/>
      <c r="EP434" s="16"/>
      <c r="EQ434" s="16"/>
      <c r="ER434" s="16"/>
      <c r="ES434" s="16"/>
      <c r="ET434" s="16"/>
      <c r="EU434" s="16"/>
      <c r="EX434" s="16"/>
      <c r="EY434" s="228"/>
      <c r="EZ434" s="945"/>
      <c r="FA434" s="477"/>
      <c r="FB434" s="228"/>
      <c r="FC434" s="477"/>
      <c r="FD434" s="16"/>
    </row>
    <row r="435" spans="1:160" x14ac:dyDescent="0.2">
      <c r="A435" s="140" t="s">
        <v>26</v>
      </c>
      <c r="B435" s="16"/>
      <c r="C435" s="16"/>
      <c r="D435" s="16"/>
      <c r="E435" s="16"/>
      <c r="F435" s="16"/>
      <c r="G435" s="16"/>
      <c r="H435" s="16"/>
      <c r="I435" s="16"/>
      <c r="J435" s="16"/>
      <c r="K435" s="16"/>
      <c r="L435" s="16"/>
      <c r="M435" s="16"/>
      <c r="N435" s="16"/>
      <c r="O435" s="16"/>
      <c r="P435" s="16"/>
      <c r="Q435" s="16"/>
      <c r="R435" s="16"/>
      <c r="S435" s="16"/>
      <c r="T435" s="16"/>
      <c r="U435" s="16"/>
      <c r="V435" s="16"/>
      <c r="W435" s="16"/>
      <c r="X435" s="16"/>
      <c r="Y435" s="16"/>
      <c r="Z435" s="16"/>
      <c r="AA435" s="16"/>
      <c r="AB435" s="16"/>
      <c r="AC435" s="16"/>
      <c r="AD435" s="16"/>
      <c r="AE435" s="16"/>
      <c r="AF435" s="16"/>
      <c r="AG435" s="16"/>
      <c r="AH435" s="16"/>
      <c r="AI435" s="16"/>
      <c r="AJ435" s="16"/>
      <c r="AK435" s="16"/>
      <c r="AL435" s="16"/>
      <c r="AM435" s="16"/>
      <c r="AN435" s="16"/>
      <c r="AO435" s="16"/>
      <c r="AP435" s="16"/>
      <c r="AQ435" s="16"/>
      <c r="AR435" s="16"/>
      <c r="AS435" s="16"/>
      <c r="AT435" s="16"/>
      <c r="AU435" s="16"/>
      <c r="AV435" s="45"/>
      <c r="AW435" s="16"/>
      <c r="AX435" s="16"/>
      <c r="AY435" s="21"/>
      <c r="AZ435" s="21"/>
      <c r="BA435" s="16"/>
      <c r="BB435" s="16"/>
      <c r="BC435" s="21"/>
      <c r="BD435" s="16"/>
      <c r="BE435" s="16"/>
      <c r="BF435" s="16"/>
      <c r="BG435" s="16"/>
      <c r="BH435" s="16"/>
      <c r="BI435" s="16"/>
      <c r="BJ435" s="16"/>
      <c r="BK435" s="15"/>
      <c r="BL435" s="15"/>
      <c r="BM435" s="15"/>
      <c r="BN435" s="15"/>
      <c r="BO435" s="15"/>
      <c r="BP435" s="16"/>
      <c r="BQ435" s="16"/>
      <c r="BR435" s="16"/>
      <c r="BS435" s="16"/>
      <c r="BT435" s="16"/>
      <c r="BU435" s="16"/>
      <c r="BV435" s="1310"/>
      <c r="BW435" s="1310"/>
      <c r="BX435" s="1310"/>
      <c r="BY435" s="1310"/>
      <c r="BZ435" s="16"/>
      <c r="CA435" s="16"/>
      <c r="CB435" s="16"/>
      <c r="CC435" s="16"/>
      <c r="CD435" s="16"/>
      <c r="CE435" s="16"/>
      <c r="CF435" s="16"/>
      <c r="CG435" s="16"/>
      <c r="CH435" s="16"/>
      <c r="CI435" s="16"/>
      <c r="CJ435" s="16"/>
      <c r="CK435" s="16"/>
      <c r="CL435" s="16"/>
      <c r="CM435" s="16"/>
      <c r="CN435" s="16"/>
      <c r="CO435" s="16"/>
      <c r="CP435" s="16"/>
      <c r="CQ435" s="16"/>
      <c r="CR435" s="16"/>
      <c r="CS435" s="16"/>
      <c r="CT435" s="16"/>
      <c r="CU435" s="16"/>
      <c r="CV435" s="16"/>
      <c r="CW435" s="16"/>
      <c r="CX435" s="16"/>
      <c r="CY435" s="16"/>
      <c r="CZ435" s="16"/>
      <c r="DA435" s="16"/>
      <c r="DB435" s="16"/>
      <c r="DC435" s="16"/>
      <c r="DD435" s="16"/>
      <c r="DE435" s="16"/>
      <c r="DF435" s="16"/>
      <c r="DG435" s="16"/>
      <c r="DH435" s="16"/>
      <c r="DI435" s="16"/>
      <c r="DJ435" s="16"/>
      <c r="DK435" s="16"/>
      <c r="DL435" s="16"/>
      <c r="DM435" s="16"/>
      <c r="DN435" s="16"/>
      <c r="DO435" s="16"/>
      <c r="DP435" s="16"/>
      <c r="DQ435" s="16"/>
      <c r="DR435" s="16"/>
      <c r="DS435" s="16"/>
      <c r="DT435" s="16"/>
      <c r="DU435" s="16"/>
      <c r="DV435" s="16"/>
      <c r="DW435" s="16"/>
      <c r="DX435" s="16"/>
      <c r="DY435" s="16"/>
      <c r="DZ435" s="16"/>
      <c r="EA435" s="16"/>
      <c r="EB435" s="16"/>
      <c r="EC435" s="16"/>
      <c r="ED435" s="16"/>
      <c r="EE435" s="16"/>
      <c r="EF435" s="16"/>
      <c r="EG435" s="16"/>
      <c r="EH435" s="16"/>
      <c r="EI435" s="16"/>
      <c r="EJ435" s="16"/>
      <c r="EK435" s="16"/>
      <c r="EL435" s="16"/>
      <c r="EM435" s="16"/>
      <c r="EN435" s="16"/>
      <c r="EO435" s="16"/>
      <c r="EP435" s="16"/>
      <c r="EQ435" s="16"/>
      <c r="ER435" s="16"/>
      <c r="ES435" s="16"/>
      <c r="ET435" s="16"/>
      <c r="EU435" s="16"/>
      <c r="EX435" s="16"/>
      <c r="EY435" s="228"/>
      <c r="EZ435" s="945"/>
      <c r="FA435" s="477"/>
      <c r="FB435" s="228"/>
      <c r="FC435" s="477"/>
      <c r="FD435" s="16"/>
    </row>
    <row r="436" spans="1:160" x14ac:dyDescent="0.2">
      <c r="A436" s="230" t="s">
        <v>27</v>
      </c>
      <c r="B436" s="118"/>
      <c r="C436" s="118"/>
      <c r="D436" s="118"/>
      <c r="E436" s="118"/>
      <c r="F436" s="118"/>
      <c r="G436" s="118"/>
      <c r="H436" s="118"/>
      <c r="I436" s="118"/>
      <c r="J436" s="118"/>
      <c r="K436" s="118"/>
      <c r="L436" s="118"/>
      <c r="M436" s="118"/>
      <c r="N436" s="118"/>
      <c r="O436" s="118"/>
      <c r="P436" s="118"/>
      <c r="Q436" s="118"/>
      <c r="R436" s="118"/>
      <c r="S436" s="118"/>
      <c r="T436" s="118"/>
      <c r="U436" s="118"/>
      <c r="V436" s="118"/>
      <c r="W436" s="118"/>
      <c r="X436" s="118"/>
      <c r="Y436" s="118"/>
      <c r="Z436" s="118"/>
      <c r="AA436" s="118"/>
      <c r="AB436" s="118"/>
      <c r="AC436" s="118"/>
      <c r="AD436" s="118"/>
      <c r="AE436" s="118"/>
      <c r="AF436" s="118"/>
      <c r="AG436" s="118"/>
      <c r="AH436" s="118"/>
      <c r="AI436" s="118"/>
      <c r="AJ436" s="118"/>
      <c r="AK436" s="118"/>
      <c r="AL436" s="118"/>
      <c r="AM436" s="118"/>
      <c r="AN436" s="118"/>
      <c r="AO436" s="118"/>
      <c r="AP436" s="118"/>
      <c r="AQ436" s="118"/>
      <c r="AR436" s="118"/>
      <c r="AS436" s="118"/>
      <c r="AT436" s="118"/>
      <c r="AU436" s="118"/>
      <c r="AV436" s="45"/>
      <c r="AW436" s="866">
        <f>SUM(AW9,AR9,AQ9,AO9)</f>
        <v>14813.8</v>
      </c>
      <c r="AX436" s="866">
        <f>SUM(AX9,AS9,AR9,AQ9)</f>
        <v>14894.600000000002</v>
      </c>
      <c r="AY436" s="866">
        <f>SUM(AY9,AT9,AS9,AR9)</f>
        <v>14858.8</v>
      </c>
      <c r="AZ436" s="843">
        <f>SUM(AW9,AX9,AY9,AZ9)</f>
        <v>14671.800000000001</v>
      </c>
      <c r="BA436" s="866">
        <f>AZ436</f>
        <v>14671.800000000001</v>
      </c>
      <c r="BB436" s="866">
        <f>SUM(AX9,AY9,AZ9,BB9)</f>
        <v>14694.6</v>
      </c>
      <c r="BC436" s="866">
        <f>SUM(AY9,AZ9,BB9,BC9)</f>
        <v>14828.5</v>
      </c>
      <c r="BD436" s="866">
        <f>SUM(AZ9,BB9,BC9,BD9)</f>
        <v>15095.4</v>
      </c>
      <c r="BE436" s="843">
        <f>SUM(BB9,BC9,BD9,BE9)</f>
        <v>15292</v>
      </c>
      <c r="BF436" s="867">
        <f>BE436</f>
        <v>15292</v>
      </c>
      <c r="BG436" s="866">
        <f>SUM(BC9,BD9,BE9,BG9)</f>
        <v>15489.5</v>
      </c>
      <c r="BH436" s="866">
        <f>SUM(BD9,BE9,BG9,BH9)</f>
        <v>15603.7</v>
      </c>
      <c r="BI436" s="866">
        <f>SUM(BE9,BG9,BH9,BI9)</f>
        <v>15621.500000000002</v>
      </c>
      <c r="BJ436" s="843">
        <f>SUM(BG9,BH9,BI9,BJ9)</f>
        <v>15841.800000000001</v>
      </c>
      <c r="BK436" s="867">
        <f>BJ436</f>
        <v>15841.800000000001</v>
      </c>
      <c r="BL436" s="866">
        <f>SUM(BH9,BI9,BJ9,BL9)</f>
        <v>15888.300000000001</v>
      </c>
      <c r="BM436" s="866">
        <f>SUM(BI9,BJ9,BL9,BM9)</f>
        <v>16019.7</v>
      </c>
      <c r="BN436" s="866">
        <f>SUM(BJ9,BL9,BM9,BN9)</f>
        <v>16156.899999999998</v>
      </c>
      <c r="BO436" s="843">
        <f>SUM(BL9,BM9,BN9,BO9)</f>
        <v>16301</v>
      </c>
      <c r="BP436" s="867">
        <f>BO436</f>
        <v>16301</v>
      </c>
      <c r="BQ436" s="866">
        <f>SUM(BM9,BN9,BO9,BQ9)</f>
        <v>16458.399999999998</v>
      </c>
      <c r="BR436" s="866">
        <f>SUM(BN9,BO9,BQ9,BR9)</f>
        <v>16637.7</v>
      </c>
      <c r="BS436" s="866">
        <f>SUM(BO9,BQ9,BR9,BS9)</f>
        <v>16893.100000000002</v>
      </c>
      <c r="BT436" s="843">
        <f>SUM(BQ9,BR9,BS9,BT9)</f>
        <v>17017.100000000002</v>
      </c>
      <c r="BU436" s="867">
        <f>BT436</f>
        <v>17017.100000000002</v>
      </c>
      <c r="BV436" s="1336">
        <f>SUM(BR9,BS9,BT9,BV9)</f>
        <v>17092</v>
      </c>
      <c r="BW436" s="1336">
        <f>SUM(BS9,BT9,BV9,BW9)</f>
        <v>17205.2</v>
      </c>
      <c r="BX436" s="1336">
        <f>SUM(BT9,BV9,BW9,BX9)</f>
        <v>17258.599999999999</v>
      </c>
      <c r="BY436" s="1337">
        <f>SUM(BV9,BW9,BX9,BY9)</f>
        <v>17279.445744449666</v>
      </c>
      <c r="BZ436" s="867">
        <f>BY436</f>
        <v>17279.445744449666</v>
      </c>
      <c r="CA436" s="866">
        <f>SUM(BR9,BS9,BT9,CA9)</f>
        <v>18535.203399116755</v>
      </c>
      <c r="CB436" s="866">
        <f>SUM(BS9,BT9,CA9,CB9)</f>
        <v>20245.729645289404</v>
      </c>
      <c r="CC436" s="866">
        <f>SUM(BT9,CA9,CB9,CC9)</f>
        <v>21899.129645289402</v>
      </c>
      <c r="CD436" s="843">
        <f>SUM(CA9,CB9,CC9,CD9)</f>
        <v>23484.074609791729</v>
      </c>
      <c r="CE436" s="867">
        <f>CD436</f>
        <v>23484.074609791729</v>
      </c>
      <c r="CF436" s="866">
        <f>SUM(CB9,CC9,CD9,CF9)</f>
        <v>23678.471210674979</v>
      </c>
      <c r="CG436" s="866">
        <f>SUM(CC9,CD9,CF9,CG9)</f>
        <v>23887.044964502329</v>
      </c>
      <c r="CH436" s="866">
        <f>SUM(CD9,CF9,CG9,CH9)</f>
        <v>24233.544964502325</v>
      </c>
      <c r="CI436" s="843">
        <f>SUM(CF9,CG9,CH9,CI9)</f>
        <v>24614.399999999998</v>
      </c>
      <c r="CJ436" s="867">
        <f>CI436</f>
        <v>24614.399999999998</v>
      </c>
      <c r="CK436" s="866">
        <f>SUM(CG9,CH9,CI9,CK9)</f>
        <v>24943.9</v>
      </c>
      <c r="CL436" s="866">
        <f>SUM(CH9,CI9,CK9,CL9)</f>
        <v>26229.300000000003</v>
      </c>
      <c r="CM436" s="866">
        <f>SUM(CI9,CK9,CL9,CM9)</f>
        <v>27806.799999999996</v>
      </c>
      <c r="CN436" s="843">
        <f>SUM(CK9,CL9,CM9,CN9)</f>
        <v>29468.1</v>
      </c>
      <c r="CO436" s="867">
        <f>CN436</f>
        <v>29468.1</v>
      </c>
      <c r="CP436" s="866">
        <f>SUM(CL9,CM9,CN9,CP9)</f>
        <v>31137.399999999998</v>
      </c>
      <c r="CQ436" s="866">
        <f>SUM(CM9,CN9,CP9,CQ9)</f>
        <v>31732.379763857032</v>
      </c>
      <c r="CR436" s="866">
        <f>SUM(CN9,CP9,CQ9,CR9)</f>
        <v>32223.550022427782</v>
      </c>
      <c r="CS436" s="843">
        <f>SUM(CP9,CQ9,CR9,CS9)</f>
        <v>32765.942583858625</v>
      </c>
      <c r="CT436" s="867">
        <f>CS436</f>
        <v>32765.942583858625</v>
      </c>
      <c r="CU436" s="866">
        <f>SUM(CQ9,CR9,CS9,CU9)</f>
        <v>33352.299368568667</v>
      </c>
      <c r="CV436" s="866">
        <f>SUM(CR9,CS9,CU9,CV9)</f>
        <v>33963.468376589073</v>
      </c>
      <c r="CW436" s="866">
        <f>SUM(CS9,CU9,CV9,CW9)</f>
        <v>34616.416341442848</v>
      </c>
      <c r="CX436" s="843">
        <f>SUM(CU9,CV9,CW9,CX9)</f>
        <v>35282.556049009247</v>
      </c>
      <c r="CY436" s="867">
        <f>CX436</f>
        <v>35282.556049009247</v>
      </c>
      <c r="CZ436" s="866">
        <f>SUM(CV9,CW9,CX9,CZ9)</f>
        <v>36030.737809525235</v>
      </c>
      <c r="DA436" s="866">
        <f>SUM(CW9,CX9,CZ9,DA9)</f>
        <v>36707.686718467063</v>
      </c>
      <c r="DB436" s="866">
        <f>SUM(CX9,CZ9,DA9,DB9)</f>
        <v>37423.853294512912</v>
      </c>
      <c r="DC436" s="843">
        <f>SUM(CZ9,DA9,DB9,DC9)</f>
        <v>38131.661518210669</v>
      </c>
      <c r="DD436" s="867">
        <f>DC436</f>
        <v>38131.661518210669</v>
      </c>
      <c r="DE436" s="866">
        <f>SUM(DA9,DB9,DC9,DE9)</f>
        <v>38711.954988580852</v>
      </c>
      <c r="DF436" s="866">
        <f>SUM(DB9,DC9,DE9,DF9)</f>
        <v>39420.650279134061</v>
      </c>
      <c r="DG436" s="866">
        <f>SUM(DC9,DE9,DF9,DG9)</f>
        <v>40171.372749193892</v>
      </c>
      <c r="DH436" s="843">
        <f>SUM(DE9,DF9,DG9,DH9)</f>
        <v>40915.289634026383</v>
      </c>
      <c r="DI436" s="867">
        <f>DH436</f>
        <v>40915.289634026383</v>
      </c>
      <c r="DJ436" s="866">
        <f>SUM(DF9,DG9,DH9,DJ9)</f>
        <v>41633.9311476687</v>
      </c>
      <c r="DK436" s="866">
        <f>SUM(DG9,DH9,DJ9,DK9)</f>
        <v>42394.278875265518</v>
      </c>
      <c r="DL436" s="866">
        <f>SUM(DH9,DJ9,DK9,DL9)</f>
        <v>43204.108605451504</v>
      </c>
      <c r="DM436" s="843">
        <f>SUM(DJ9,DK9,DL9,DM9)</f>
        <v>44006.530578098704</v>
      </c>
      <c r="DN436" s="867">
        <f>DM436</f>
        <v>44006.530578098704</v>
      </c>
      <c r="DO436" s="866">
        <f>SUM(DK9,DL9,DM9,DO9)</f>
        <v>44779.155139439499</v>
      </c>
      <c r="DP436" s="866">
        <f>SUM(DL9,DM9,DO9,DP9)</f>
        <v>45589.936381661049</v>
      </c>
      <c r="DQ436" s="866">
        <f>SUM(DM9,DO9,DP9,DQ9)</f>
        <v>46448.458139149916</v>
      </c>
      <c r="DR436" s="843">
        <f>SUM(DO9,DP9,DQ9,DR9)</f>
        <v>47299.308802877604</v>
      </c>
      <c r="DS436" s="867">
        <f>DR436</f>
        <v>47299.308802877604</v>
      </c>
      <c r="DT436" s="866">
        <f>SUM(DP9,DQ9,DR9,DT9)</f>
        <v>48249.295766529387</v>
      </c>
      <c r="DU436" s="866">
        <f>SUM(DQ9,DR9,DT9,DU9)</f>
        <v>49103.718789803199</v>
      </c>
      <c r="DV436" s="866">
        <f>SUM(DR9,DT9,DU9,DV9)</f>
        <v>50007.191569389761</v>
      </c>
      <c r="DW436" s="843">
        <f>SUM(DT9,DU9,DV9,DW9)</f>
        <v>50902.814782973968</v>
      </c>
      <c r="DX436" s="867">
        <f>DW436</f>
        <v>50902.814782973968</v>
      </c>
      <c r="DY436" s="866">
        <f>SUM(DU9,DV9,DW9,DY9)</f>
        <v>51631.169755800052</v>
      </c>
      <c r="DZ436" s="866">
        <f>SUM(DV9,DW9,DY9,DZ9)</f>
        <v>52529.521515678607</v>
      </c>
      <c r="EA436" s="866">
        <f>SUM(DW9,DY9,DZ9,EA9)</f>
        <v>53479.910642951894</v>
      </c>
      <c r="EB436" s="843">
        <f>SUM(DY9,DZ9,EA9,EB9)</f>
        <v>54422.235815707012</v>
      </c>
      <c r="EC436" s="867">
        <f>EB436</f>
        <v>54422.235815707012</v>
      </c>
      <c r="ED436" s="118"/>
      <c r="EE436" s="118"/>
      <c r="EF436" s="118"/>
      <c r="EG436" s="118"/>
      <c r="EH436" s="118"/>
      <c r="EI436" s="118"/>
      <c r="EJ436" s="118"/>
      <c r="EK436" s="118"/>
      <c r="EL436" s="118"/>
      <c r="EM436" s="118"/>
      <c r="EN436" s="118"/>
      <c r="EO436" s="118"/>
      <c r="EP436" s="118"/>
      <c r="EQ436" s="118"/>
      <c r="ER436" s="118"/>
      <c r="ES436" s="118"/>
      <c r="ET436" s="118"/>
      <c r="EU436" s="118"/>
      <c r="EX436" s="118"/>
      <c r="EY436" s="986"/>
      <c r="EZ436" s="992"/>
      <c r="FA436" s="987"/>
      <c r="FB436" s="986"/>
      <c r="FC436" s="987"/>
      <c r="FD436" s="118"/>
    </row>
    <row r="437" spans="1:160" x14ac:dyDescent="0.2">
      <c r="A437" s="230" t="s">
        <v>28</v>
      </c>
      <c r="B437" s="118"/>
      <c r="C437" s="118"/>
      <c r="D437" s="118"/>
      <c r="E437" s="118"/>
      <c r="F437" s="118"/>
      <c r="G437" s="118"/>
      <c r="H437" s="118"/>
      <c r="I437" s="118"/>
      <c r="J437" s="118"/>
      <c r="K437" s="118"/>
      <c r="L437" s="118"/>
      <c r="M437" s="118"/>
      <c r="N437" s="118"/>
      <c r="O437" s="118"/>
      <c r="P437" s="118"/>
      <c r="Q437" s="118"/>
      <c r="R437" s="118"/>
      <c r="S437" s="118"/>
      <c r="T437" s="118"/>
      <c r="U437" s="118"/>
      <c r="V437" s="118"/>
      <c r="W437" s="118"/>
      <c r="X437" s="118"/>
      <c r="Y437" s="118"/>
      <c r="Z437" s="118"/>
      <c r="AA437" s="118"/>
      <c r="AB437" s="118"/>
      <c r="AC437" s="118"/>
      <c r="AD437" s="118"/>
      <c r="AE437" s="118"/>
      <c r="AF437" s="118"/>
      <c r="AG437" s="118"/>
      <c r="AH437" s="118"/>
      <c r="AI437" s="118"/>
      <c r="AJ437" s="118"/>
      <c r="AK437" s="118"/>
      <c r="AL437" s="118"/>
      <c r="AM437" s="118"/>
      <c r="AN437" s="118"/>
      <c r="AO437" s="118"/>
      <c r="AP437" s="118"/>
      <c r="AQ437" s="118"/>
      <c r="AR437" s="118"/>
      <c r="AS437" s="118"/>
      <c r="AT437" s="118"/>
      <c r="AU437" s="118"/>
      <c r="AV437" s="45"/>
      <c r="AW437" s="866">
        <f>SUM(AW20,AR20,AQ20,AO20)</f>
        <v>596.9</v>
      </c>
      <c r="AX437" s="866">
        <f>SUM(AX20,AS20,AR20,AQ20)</f>
        <v>623</v>
      </c>
      <c r="AY437" s="866">
        <f>SUM(AY20,AT20,AS20,AR20)</f>
        <v>600</v>
      </c>
      <c r="AZ437" s="843">
        <f>SUM(AW20,AX20,AY20,AZ20)</f>
        <v>2404.3000000000002</v>
      </c>
      <c r="BA437" s="866">
        <f>AZ437</f>
        <v>2404.3000000000002</v>
      </c>
      <c r="BB437" s="866">
        <f>SUM(AX20,AY20,AZ20,BB20)</f>
        <v>2359.4</v>
      </c>
      <c r="BC437" s="866">
        <f>SUM(AY20,AZ20,BB20,BC20)</f>
        <v>2331.8000000000002</v>
      </c>
      <c r="BD437" s="866">
        <f>SUM(AZ20,BB20,BC20,BD20)</f>
        <v>2339.5</v>
      </c>
      <c r="BE437" s="843">
        <f>SUM(BB20,BC20,BD20,BE20)</f>
        <v>2335.6999999999998</v>
      </c>
      <c r="BF437" s="867">
        <f>BE437</f>
        <v>2335.6999999999998</v>
      </c>
      <c r="BG437" s="866">
        <f>SUM(BC20,BD20,BE20,BG20)</f>
        <v>2353.6</v>
      </c>
      <c r="BH437" s="866">
        <f>SUM(BD20,BE20,BG20,BH20)</f>
        <v>2299</v>
      </c>
      <c r="BI437" s="866">
        <f>SUM(BE20,BG20,BH20,BI20)</f>
        <v>2147</v>
      </c>
      <c r="BJ437" s="843">
        <f>SUM(BG20,BH20,BI20,BJ20)</f>
        <v>1970.8999999999999</v>
      </c>
      <c r="BK437" s="867">
        <f>BJ437</f>
        <v>1970.8999999999999</v>
      </c>
      <c r="BL437" s="866">
        <f>SUM(BH20,BI20,BJ20,BL20)</f>
        <v>1728.7</v>
      </c>
      <c r="BM437" s="866">
        <f>SUM(BI20,BJ20,BL20,BM20)</f>
        <v>1466.2</v>
      </c>
      <c r="BN437" s="866">
        <f>SUM(BJ20,BL20,BM20,BN20)</f>
        <v>1285.5999999999999</v>
      </c>
      <c r="BO437" s="843">
        <f>SUM(BL20,BM20,BN20,BO20)</f>
        <v>1146.3</v>
      </c>
      <c r="BP437" s="867">
        <f>BO437</f>
        <v>1146.3</v>
      </c>
      <c r="BQ437" s="866">
        <f>SUM(BM20,BN20,BO20,BQ20)</f>
        <v>1059.5000000000002</v>
      </c>
      <c r="BR437" s="866">
        <f>SUM(BN20,BO20,BQ20,BR20)</f>
        <v>1042.3999999999999</v>
      </c>
      <c r="BS437" s="866">
        <f>SUM(BO20,BQ20,BR20,BS20)</f>
        <v>1046.1999999999998</v>
      </c>
      <c r="BT437" s="843">
        <f>SUM(BQ20,BR20,BS20,BT20)</f>
        <v>1197.3000000000002</v>
      </c>
      <c r="BU437" s="867">
        <f>BT437</f>
        <v>1197.3000000000002</v>
      </c>
      <c r="BV437" s="1336">
        <f>SUM(BR20,BS20,BT20,BV20)</f>
        <v>1888</v>
      </c>
      <c r="BW437" s="1336">
        <f>SUM(BS20,BT20,BV20,BW20)</f>
        <v>2685.5</v>
      </c>
      <c r="BX437" s="1336">
        <f>SUM(BT20,BV20,BW20,BX20)</f>
        <v>3517.4000000000005</v>
      </c>
      <c r="BY437" s="1337">
        <f>SUM(BV20,BW20,BX20,BY20)</f>
        <v>4191.7</v>
      </c>
      <c r="BZ437" s="867">
        <f>BY437</f>
        <v>4191.7</v>
      </c>
      <c r="CA437" s="866">
        <f>SUM(BR20,BS20,BT20,CA20)</f>
        <v>1889.6999999999998</v>
      </c>
      <c r="CB437" s="866">
        <f>SUM(BS20,BT20,CA20,CB20)</f>
        <v>2670.7</v>
      </c>
      <c r="CC437" s="866">
        <f>SUM(BT20,CA20,CB20,CC20)</f>
        <v>3411.5</v>
      </c>
      <c r="CD437" s="843">
        <f>SUM(CA20,CB20,CC20,CD20)</f>
        <v>4052.2</v>
      </c>
      <c r="CE437" s="867">
        <f>CD437</f>
        <v>4052.2</v>
      </c>
      <c r="CF437" s="866">
        <f>SUM(CB20,CC20,CD20,CF20)</f>
        <v>4037.3999999999996</v>
      </c>
      <c r="CG437" s="866">
        <f>SUM(CC20,CD20,CF20,CG20)</f>
        <v>4035.3999999999996</v>
      </c>
      <c r="CH437" s="866">
        <f>SUM(CD20,CF20,CG20,CH20)</f>
        <v>4091.3999999999996</v>
      </c>
      <c r="CI437" s="843">
        <f>SUM(CF20,CG20,CH20,CI20)</f>
        <v>4145.78</v>
      </c>
      <c r="CJ437" s="867">
        <f>CI437</f>
        <v>4145.78</v>
      </c>
      <c r="CK437" s="866">
        <f>SUM(CG20,CH20,CI20,CK20)</f>
        <v>4227.8799999999992</v>
      </c>
      <c r="CL437" s="866">
        <f>SUM(CH20,CI20,CK20,CL20)</f>
        <v>4320.38</v>
      </c>
      <c r="CM437" s="866">
        <f>SUM(CI20,CK20,CL20,CM20)</f>
        <v>4453.2800000000007</v>
      </c>
      <c r="CN437" s="843">
        <f>SUM(CK20,CL20,CM20,CN20)</f>
        <v>4576.1000000000004</v>
      </c>
      <c r="CO437" s="867">
        <f>CN437</f>
        <v>4576.1000000000004</v>
      </c>
      <c r="CP437" s="866">
        <f>SUM(CL20,CM20,CN20,CP20)</f>
        <v>4829.3</v>
      </c>
      <c r="CQ437" s="866">
        <f>SUM(CM20,CN20,CP20,CQ20)</f>
        <v>5066.3482480838693</v>
      </c>
      <c r="CR437" s="866">
        <f>SUM(CN20,CP20,CQ20,CR20)</f>
        <v>5287.7394241615712</v>
      </c>
      <c r="CS437" s="843">
        <f>SUM(CP20,CQ20,CR20,CS20)</f>
        <v>5513.745035851698</v>
      </c>
      <c r="CT437" s="867">
        <f>CS437</f>
        <v>5513.745035851698</v>
      </c>
      <c r="CU437" s="866">
        <f>SUM(CQ20,CR20,CS20,CU20)</f>
        <v>5589.4020053629756</v>
      </c>
      <c r="CV437" s="866">
        <f>SUM(CR20,CS20,CU20,CV20)</f>
        <v>5676.5825705504849</v>
      </c>
      <c r="CW437" s="866">
        <f>SUM(CS20,CU20,CV20,CW20)</f>
        <v>5767.8807380083072</v>
      </c>
      <c r="CX437" s="843">
        <f>SUM(CU20,CV20,CW20,CX20)</f>
        <v>5866.2161208955768</v>
      </c>
      <c r="CY437" s="867">
        <f>CX437</f>
        <v>5866.2161208955768</v>
      </c>
      <c r="CZ437" s="866">
        <f>SUM(CV20,CW20,CX20,CZ20)</f>
        <v>5970.2236213807892</v>
      </c>
      <c r="DA437" s="866">
        <f>SUM(CW20,CX20,CZ20,DA20)</f>
        <v>6066.898232360566</v>
      </c>
      <c r="DB437" s="866">
        <f>SUM(CX20,CZ20,DA20,DB20)</f>
        <v>6170.1836412433368</v>
      </c>
      <c r="DC437" s="843">
        <f>SUM(CZ20,DA20,DB20,DC20)</f>
        <v>6278.7238028023548</v>
      </c>
      <c r="DD437" s="867">
        <f>DC437</f>
        <v>6278.7238028023548</v>
      </c>
      <c r="DE437" s="866">
        <f>SUM(DA20,DB20,DC20,DE20)</f>
        <v>6390.7302590260015</v>
      </c>
      <c r="DF437" s="866">
        <f>SUM(DB20,DC20,DE20,DF20)</f>
        <v>6488.2878444573507</v>
      </c>
      <c r="DG437" s="866">
        <f>SUM(DC20,DE20,DF20,DG20)</f>
        <v>6619.2670082710165</v>
      </c>
      <c r="DH437" s="843">
        <f>SUM(DE20,DF20,DG20,DH20)</f>
        <v>6753.8781559724466</v>
      </c>
      <c r="DI437" s="867">
        <f>DH437</f>
        <v>6753.8781559724466</v>
      </c>
      <c r="DJ437" s="866">
        <f>SUM(DF20,DG20,DH20,DJ20)</f>
        <v>6854.4172985176456</v>
      </c>
      <c r="DK437" s="866">
        <f>SUM(DG20,DH20,DJ20,DK20)</f>
        <v>6963.0712816454707</v>
      </c>
      <c r="DL437" s="866">
        <f>SUM(DH20,DJ20,DK20,DL20)</f>
        <v>7081.0813671028136</v>
      </c>
      <c r="DM437" s="843">
        <f>SUM(DJ20,DK20,DL20,DM20)</f>
        <v>7202.9043152701779</v>
      </c>
      <c r="DN437" s="867">
        <f>DM437</f>
        <v>7202.9043152701779</v>
      </c>
      <c r="DO437" s="866">
        <f>SUM(DK20,DL20,DM20,DO20)</f>
        <v>7314.1226700189309</v>
      </c>
      <c r="DP437" s="866">
        <f>SUM(DL20,DM20,DO20,DP20)</f>
        <v>7431.6393387486969</v>
      </c>
      <c r="DQ437" s="866">
        <f>SUM(DM20,DO20,DP20,DQ20)</f>
        <v>7557.0138403393039</v>
      </c>
      <c r="DR437" s="843">
        <f>SUM(DO20,DP20,DQ20,DR20)</f>
        <v>7685.5026814390149</v>
      </c>
      <c r="DS437" s="867">
        <f>DR437</f>
        <v>7685.5026814390149</v>
      </c>
      <c r="DT437" s="866">
        <f>SUM(DP20,DQ20,DR20,DT20)</f>
        <v>7823.1378532771196</v>
      </c>
      <c r="DU437" s="866">
        <f>SUM(DQ20,DR20,DT20,DU20)</f>
        <v>7946.1702123415234</v>
      </c>
      <c r="DV437" s="866">
        <f>SUM(DR20,DT20,DU20,DV20)</f>
        <v>8077.3366005807366</v>
      </c>
      <c r="DW437" s="843">
        <f>SUM(DT20,DU20,DV20,DW20)</f>
        <v>8211.8196752399926</v>
      </c>
      <c r="DX437" s="867">
        <f>DW437</f>
        <v>8211.8196752399926</v>
      </c>
      <c r="DY437" s="866">
        <f>SUM(DU20,DV20,DW20,DY20)</f>
        <v>8313.2258850023463</v>
      </c>
      <c r="DZ437" s="866">
        <f>SUM(DV20,DW20,DY20,DZ20)</f>
        <v>8441.8719652173804</v>
      </c>
      <c r="EA437" s="866">
        <f>SUM(DW20,DY20,DZ20,EA20)</f>
        <v>8579.0822957865003</v>
      </c>
      <c r="EB437" s="843">
        <f>SUM(DY20,DZ20,EA20,EB20)</f>
        <v>8719.8176232313835</v>
      </c>
      <c r="EC437" s="867">
        <f>EB437</f>
        <v>8719.8176232313835</v>
      </c>
      <c r="ED437" s="118"/>
      <c r="EE437" s="118"/>
      <c r="EF437" s="118"/>
      <c r="EG437" s="118"/>
      <c r="EH437" s="118"/>
      <c r="EI437" s="118"/>
      <c r="EJ437" s="118"/>
      <c r="EK437" s="118"/>
      <c r="EL437" s="118"/>
      <c r="EM437" s="118"/>
      <c r="EN437" s="118"/>
      <c r="EO437" s="118"/>
      <c r="EP437" s="118"/>
      <c r="EQ437" s="118"/>
      <c r="ER437" s="118"/>
      <c r="ES437" s="118"/>
      <c r="ET437" s="118"/>
      <c r="EU437" s="118"/>
      <c r="EX437" s="118"/>
      <c r="EY437" s="986"/>
      <c r="EZ437" s="992"/>
      <c r="FA437" s="987"/>
      <c r="FB437" s="986"/>
      <c r="FC437" s="987"/>
      <c r="FD437" s="118"/>
    </row>
    <row r="438" spans="1:160" x14ac:dyDescent="0.2">
      <c r="A438" s="230" t="s">
        <v>29</v>
      </c>
      <c r="B438" s="118"/>
      <c r="C438" s="118"/>
      <c r="D438" s="118"/>
      <c r="E438" s="118"/>
      <c r="F438" s="118"/>
      <c r="G438" s="118"/>
      <c r="H438" s="118"/>
      <c r="I438" s="118"/>
      <c r="J438" s="118"/>
      <c r="K438" s="118"/>
      <c r="L438" s="118"/>
      <c r="M438" s="118"/>
      <c r="N438" s="118"/>
      <c r="O438" s="118"/>
      <c r="P438" s="118"/>
      <c r="Q438" s="118"/>
      <c r="R438" s="118"/>
      <c r="S438" s="118"/>
      <c r="T438" s="118"/>
      <c r="U438" s="118"/>
      <c r="V438" s="118"/>
      <c r="W438" s="118"/>
      <c r="X438" s="118"/>
      <c r="Y438" s="118"/>
      <c r="Z438" s="118"/>
      <c r="AA438" s="118"/>
      <c r="AB438" s="118"/>
      <c r="AC438" s="118"/>
      <c r="AD438" s="118"/>
      <c r="AE438" s="118"/>
      <c r="AF438" s="118"/>
      <c r="AG438" s="118"/>
      <c r="AH438" s="118"/>
      <c r="AI438" s="118"/>
      <c r="AJ438" s="118"/>
      <c r="AK438" s="118"/>
      <c r="AL438" s="118"/>
      <c r="AM438" s="118"/>
      <c r="AN438" s="118"/>
      <c r="AO438" s="118"/>
      <c r="AP438" s="118"/>
      <c r="AQ438" s="118"/>
      <c r="AR438" s="118"/>
      <c r="AS438" s="118"/>
      <c r="AT438" s="118"/>
      <c r="AU438" s="118"/>
      <c r="AV438" s="45"/>
      <c r="AW438" s="866">
        <f>SUM(AW42,AR42,AQ42,AO42)</f>
        <v>106.19999999999997</v>
      </c>
      <c r="AX438" s="866">
        <f>SUM(AX42,AS42,AR42,AQ42)</f>
        <v>117.29999999999994</v>
      </c>
      <c r="AY438" s="866">
        <f>SUM(AY42,AT42,AS42,AR42)</f>
        <v>115.99999999999994</v>
      </c>
      <c r="AZ438" s="843">
        <f>SUM(AW42,AX42,AY42,AZ42)</f>
        <v>453.39999999999986</v>
      </c>
      <c r="BA438" s="866">
        <f>AZ438</f>
        <v>453.39999999999986</v>
      </c>
      <c r="BB438" s="866">
        <f>SUM(AX42,AY42,AZ42,BB42)</f>
        <v>467.19999999999987</v>
      </c>
      <c r="BC438" s="866">
        <f>SUM(AY42,AZ42,BB42,BC42)</f>
        <v>499.79999999999984</v>
      </c>
      <c r="BD438" s="866">
        <f>SUM(AZ42,BB42,BC42,BD42)</f>
        <v>544.79999999999995</v>
      </c>
      <c r="BE438" s="843">
        <f>SUM(BB42,BC42,BD42,BE42)</f>
        <v>584.99999999999989</v>
      </c>
      <c r="BF438" s="867">
        <f>BE438</f>
        <v>584.99999999999989</v>
      </c>
      <c r="BG438" s="866">
        <f>SUM(BC42,BD42,BE42,BG42)</f>
        <v>609.09999999999991</v>
      </c>
      <c r="BH438" s="866">
        <f>SUM(BD42,BE42,BG42,BH42)</f>
        <v>632.0999999999998</v>
      </c>
      <c r="BI438" s="866">
        <f>SUM(BE42,BG42,BH42,BI42)</f>
        <v>633.99999999999966</v>
      </c>
      <c r="BJ438" s="843">
        <f>SUM(BG42,BH42,BI42,BJ42)</f>
        <v>652.09999999999991</v>
      </c>
      <c r="BK438" s="867">
        <f>BJ438</f>
        <v>652.09999999999991</v>
      </c>
      <c r="BL438" s="866">
        <f>SUM(BH42,BI42,BJ42,BL42)</f>
        <v>652.99999999999989</v>
      </c>
      <c r="BM438" s="866">
        <f>SUM(BI42,BJ42,BL42,BM42)</f>
        <v>642.59999999999991</v>
      </c>
      <c r="BN438" s="866">
        <f>SUM(BJ42,BL42,BM42,BN42)</f>
        <v>655.7</v>
      </c>
      <c r="BO438" s="843">
        <f>SUM(BL42,BM42,BN42,BO42)</f>
        <v>665.59999999999991</v>
      </c>
      <c r="BP438" s="867">
        <f>BO438</f>
        <v>665.59999999999991</v>
      </c>
      <c r="BQ438" s="866">
        <f>SUM(BM42,BN42,BO42,BQ42)</f>
        <v>680.30000000000007</v>
      </c>
      <c r="BR438" s="866">
        <f>SUM(BN42,BO42,BQ42,BR42)</f>
        <v>700.60000000000014</v>
      </c>
      <c r="BS438" s="866">
        <f>SUM(BO42,BQ42,BR42,BS42)</f>
        <v>718.99999999999989</v>
      </c>
      <c r="BT438" s="843">
        <f>SUM(BQ42,BR42,BS42,BT42)</f>
        <v>761.1</v>
      </c>
      <c r="BU438" s="867">
        <f>BT438</f>
        <v>761.1</v>
      </c>
      <c r="BV438" s="1336">
        <f>SUM(BR42,BS42,BT42,BV42)</f>
        <v>933.59999999999991</v>
      </c>
      <c r="BW438" s="1336">
        <f>SUM(BS42,BT42,BV42,BW42)</f>
        <v>1148.8</v>
      </c>
      <c r="BX438" s="1336">
        <f>SUM(BT42,BV42,BW42,BX42)</f>
        <v>1368.6999999999998</v>
      </c>
      <c r="BY438" s="1337">
        <f>SUM(BV42,BW42,BX42,BY42)</f>
        <v>1542.3999999999996</v>
      </c>
      <c r="BZ438" s="867">
        <f>BY438</f>
        <v>1542.3999999999996</v>
      </c>
      <c r="CA438" s="866">
        <f>SUM(BR42,BS42,BT42,CA42)</f>
        <v>956.5</v>
      </c>
      <c r="CB438" s="866">
        <f>SUM(BS42,BT42,CA42,CB42)</f>
        <v>1201.4999999999998</v>
      </c>
      <c r="CC438" s="866">
        <f>SUM(BT42,CA42,CB42,CC42)</f>
        <v>1447.8</v>
      </c>
      <c r="CD438" s="843">
        <f>SUM(CA42,CB42,CC42,CD42)</f>
        <v>1666.2</v>
      </c>
      <c r="CE438" s="867">
        <f>CD438</f>
        <v>1666.2</v>
      </c>
      <c r="CF438" s="866">
        <f>SUM(CB42,CC42,CD42,CF42)</f>
        <v>1718.9</v>
      </c>
      <c r="CG438" s="866">
        <f>SUM(CC42,CD42,CF42,CG42)</f>
        <v>1770.2</v>
      </c>
      <c r="CH438" s="866">
        <f>SUM(CD42,CF42,CG42,CH42)</f>
        <v>1818.3999999999996</v>
      </c>
      <c r="CI438" s="843">
        <f>SUM(CF42,CG42,CH42,CI42)</f>
        <v>1888.1799999999996</v>
      </c>
      <c r="CJ438" s="867">
        <f>CI438</f>
        <v>1888.1799999999996</v>
      </c>
      <c r="CK438" s="866">
        <f>SUM(CG42,CH42,CI42,CK42)</f>
        <v>1923.7799999999997</v>
      </c>
      <c r="CL438" s="866">
        <f>SUM(CH42,CI42,CK42,CL42)</f>
        <v>1975.6799999999998</v>
      </c>
      <c r="CM438" s="866">
        <f>SUM(CI42,CK42,CL42,CM42)</f>
        <v>2051.88</v>
      </c>
      <c r="CN438" s="843">
        <f>SUM(CK42,CL42,CM42,CN42)</f>
        <v>2145.8000000000002</v>
      </c>
      <c r="CO438" s="867">
        <f>CN438</f>
        <v>2145.8000000000002</v>
      </c>
      <c r="CP438" s="866">
        <f>SUM(CL42,CM42,CN42,CP42)</f>
        <v>2200.1999999999998</v>
      </c>
      <c r="CQ438" s="866">
        <f>SUM(CM42,CN42,CP42,CQ42)</f>
        <v>2230.8243428910173</v>
      </c>
      <c r="CR438" s="866">
        <f>SUM(CN42,CP42,CQ42,CR42)</f>
        <v>2267.1620158702622</v>
      </c>
      <c r="CS438" s="843">
        <f>SUM(CP42,CQ42,CR42,CS42)</f>
        <v>2290.0702006775587</v>
      </c>
      <c r="CT438" s="867">
        <f>CS438</f>
        <v>2290.0702006775587</v>
      </c>
      <c r="CU438" s="866">
        <f>SUM(CQ42,CR42,CS42,CU42)</f>
        <v>2336.5475478756653</v>
      </c>
      <c r="CV438" s="866">
        <f>SUM(CR42,CS42,CU42,CV42)</f>
        <v>2390.2145820150854</v>
      </c>
      <c r="CW438" s="866">
        <f>SUM(CS42,CU42,CV42,CW42)</f>
        <v>2453.3412913073594</v>
      </c>
      <c r="CX438" s="843">
        <f>SUM(CU42,CV42,CW42,CX42)</f>
        <v>2521.0450757143949</v>
      </c>
      <c r="CY438" s="867">
        <f>CX438</f>
        <v>2521.0450757143949</v>
      </c>
      <c r="CZ438" s="866">
        <f>SUM(CV42,CW42,CX42,CZ42)</f>
        <v>2564.4093186053487</v>
      </c>
      <c r="DA438" s="866">
        <f>SUM(CW42,CX42,CZ42,DA42)</f>
        <v>2629.1146061095474</v>
      </c>
      <c r="DB438" s="866">
        <f>SUM(CX42,CZ42,DA42,DB42)</f>
        <v>2699.0356072447839</v>
      </c>
      <c r="DC438" s="843">
        <f>SUM(CZ42,DA42,DB42,DC42)</f>
        <v>2772.4727570816549</v>
      </c>
      <c r="DD438" s="867">
        <f>DC438</f>
        <v>2772.4727570816549</v>
      </c>
      <c r="DE438" s="866">
        <f>SUM(DA42,DB42,DC42,DE42)</f>
        <v>2834.5490210664211</v>
      </c>
      <c r="DF438" s="866">
        <f>SUM(DB42,DC42,DE42,DF42)</f>
        <v>2875.0663955245327</v>
      </c>
      <c r="DG438" s="866">
        <f>SUM(DC42,DE42,DF42,DG42)</f>
        <v>2926.0215826893723</v>
      </c>
      <c r="DH438" s="843">
        <f>SUM(DE42,DF42,DG42,DH42)</f>
        <v>2987.8048540367531</v>
      </c>
      <c r="DI438" s="867">
        <f>DH438</f>
        <v>2987.8048540367531</v>
      </c>
      <c r="DJ438" s="866">
        <f>SUM(DF42,DG42,DH42,DJ42)</f>
        <v>3064.893749375447</v>
      </c>
      <c r="DK438" s="866">
        <f>SUM(DG42,DH42,DJ42,DK42)</f>
        <v>3149.6610731574638</v>
      </c>
      <c r="DL438" s="866">
        <f>SUM(DH42,DJ42,DK42,DL42)</f>
        <v>3242.286883304404</v>
      </c>
      <c r="DM438" s="843">
        <f>SUM(DJ42,DK42,DL42,DM42)</f>
        <v>3339.0783931678916</v>
      </c>
      <c r="DN438" s="867">
        <f>DM438</f>
        <v>3339.0783931678916</v>
      </c>
      <c r="DO438" s="866">
        <f>SUM(DK42,DL42,DM42,DO42)</f>
        <v>3409.4760950737914</v>
      </c>
      <c r="DP438" s="866">
        <f>SUM(DL42,DM42,DO42,DP42)</f>
        <v>3485.0305016759698</v>
      </c>
      <c r="DQ438" s="866">
        <f>SUM(DM42,DO42,DP42,DQ42)</f>
        <v>3566.979045654919</v>
      </c>
      <c r="DR438" s="843">
        <f>SUM(DO42,DP42,DQ42,DR42)</f>
        <v>3653.1888661841122</v>
      </c>
      <c r="DS438" s="867">
        <f>DR438</f>
        <v>3653.1888661841122</v>
      </c>
      <c r="DT438" s="866">
        <f>SUM(DP42,DQ42,DR42,DT42)</f>
        <v>3677.2476495642536</v>
      </c>
      <c r="DU438" s="866">
        <f>SUM(DQ42,DR42,DT42,DU42)</f>
        <v>3693.6351247867237</v>
      </c>
      <c r="DV438" s="866">
        <f>SUM(DR42,DT42,DU42,DV42)</f>
        <v>3711.6982351899278</v>
      </c>
      <c r="DW438" s="843">
        <f>SUM(DT42,DU42,DV42,DW42)</f>
        <v>3739.334057456037</v>
      </c>
      <c r="DX438" s="867">
        <f>DW438</f>
        <v>3739.334057456037</v>
      </c>
      <c r="DY438" s="866">
        <f>SUM(DU42,DV42,DW42,DY42)</f>
        <v>3808.0396698383101</v>
      </c>
      <c r="DZ438" s="866">
        <f>SUM(DV42,DW42,DY42,DZ42)</f>
        <v>3890.5060336982283</v>
      </c>
      <c r="EA438" s="866">
        <f>SUM(DW42,DY42,DZ42,EA42)</f>
        <v>3979.959229370992</v>
      </c>
      <c r="EB438" s="843">
        <f>SUM(DY42,DZ42,EA42,EB42)</f>
        <v>4074.6932956238297</v>
      </c>
      <c r="EC438" s="867">
        <f>EB438</f>
        <v>4074.6932956238297</v>
      </c>
      <c r="ED438" s="118"/>
      <c r="EE438" s="118"/>
      <c r="EF438" s="118"/>
      <c r="EG438" s="118"/>
      <c r="EH438" s="118"/>
      <c r="EI438" s="118"/>
      <c r="EJ438" s="118"/>
      <c r="EK438" s="118"/>
      <c r="EL438" s="118"/>
      <c r="EM438" s="118"/>
      <c r="EN438" s="118"/>
      <c r="EO438" s="118"/>
      <c r="EP438" s="118"/>
      <c r="EQ438" s="118"/>
      <c r="ER438" s="118"/>
      <c r="ES438" s="118"/>
      <c r="ET438" s="118"/>
      <c r="EU438" s="118"/>
      <c r="EX438" s="118"/>
      <c r="EY438" s="986"/>
      <c r="EZ438" s="992"/>
      <c r="FA438" s="987"/>
      <c r="FB438" s="986"/>
      <c r="FC438" s="987"/>
      <c r="FD438" s="118"/>
    </row>
    <row r="439" spans="1:160" x14ac:dyDescent="0.2">
      <c r="A439" s="230" t="s">
        <v>32</v>
      </c>
      <c r="B439" s="118"/>
      <c r="C439" s="118"/>
      <c r="D439" s="118"/>
      <c r="E439" s="118"/>
      <c r="F439" s="118"/>
      <c r="G439" s="118"/>
      <c r="H439" s="118"/>
      <c r="I439" s="118"/>
      <c r="J439" s="118"/>
      <c r="K439" s="118"/>
      <c r="L439" s="118"/>
      <c r="M439" s="118"/>
      <c r="N439" s="118"/>
      <c r="O439" s="118"/>
      <c r="P439" s="118"/>
      <c r="Q439" s="118"/>
      <c r="R439" s="118"/>
      <c r="S439" s="118"/>
      <c r="T439" s="118"/>
      <c r="U439" s="118"/>
      <c r="V439" s="118"/>
      <c r="W439" s="118"/>
      <c r="X439" s="118"/>
      <c r="Y439" s="118"/>
      <c r="Z439" s="118"/>
      <c r="AA439" s="118"/>
      <c r="AB439" s="118"/>
      <c r="AC439" s="118"/>
      <c r="AD439" s="118"/>
      <c r="AE439" s="118"/>
      <c r="AF439" s="118"/>
      <c r="AG439" s="118"/>
      <c r="AH439" s="118"/>
      <c r="AI439" s="118"/>
      <c r="AJ439" s="118"/>
      <c r="AK439" s="118"/>
      <c r="AL439" s="118"/>
      <c r="AM439" s="118"/>
      <c r="AN439" s="118"/>
      <c r="AO439" s="118"/>
      <c r="AP439" s="118"/>
      <c r="AQ439" s="118"/>
      <c r="AR439" s="118"/>
      <c r="AS439" s="118"/>
      <c r="AT439" s="118"/>
      <c r="AU439" s="118"/>
      <c r="AV439" s="45"/>
      <c r="AW439" s="866">
        <f>SUM(AW57,AR57,AQ57,AO57)</f>
        <v>-63.600000000000023</v>
      </c>
      <c r="AX439" s="866">
        <f>SUM(AX57,AS57,AR57,AQ57)</f>
        <v>14.999999999999936</v>
      </c>
      <c r="AY439" s="866">
        <f>SUM(AY57,AT57,AS57,AR57)</f>
        <v>104.19999999999987</v>
      </c>
      <c r="AZ439" s="843">
        <f>SUM(AW57,AX57,AY57,AZ57)</f>
        <v>161.59999999999988</v>
      </c>
      <c r="BA439" s="866">
        <f>AZ439</f>
        <v>161.59999999999988</v>
      </c>
      <c r="BB439" s="866">
        <f>SUM(AX57,AY57,AZ57,BB57)</f>
        <v>149.1999999999999</v>
      </c>
      <c r="BC439" s="866">
        <f>SUM(AY57,AZ57,BB57,BC57)</f>
        <v>145.59999999999988</v>
      </c>
      <c r="BD439" s="866">
        <f>SUM(AZ57,BB57,BC57,BD57)</f>
        <v>146.79999999999995</v>
      </c>
      <c r="BE439" s="843">
        <f>SUM(BB57,BC57,BD57,BE57)</f>
        <v>177.39999999999981</v>
      </c>
      <c r="BF439" s="867">
        <f>BE439</f>
        <v>177.39999999999981</v>
      </c>
      <c r="BG439" s="866">
        <f>SUM(BC57,BD57,BE57,BG57)</f>
        <v>191.0999999999998</v>
      </c>
      <c r="BH439" s="866">
        <f>SUM(BD57,BE57,BG57,BH57)</f>
        <v>206.79999999999978</v>
      </c>
      <c r="BI439" s="866">
        <f>SUM(BE57,BG57,BH57,BI57)</f>
        <v>216.89999999999969</v>
      </c>
      <c r="BJ439" s="843">
        <f>SUM(BG57,BH57,BI57,BJ57)</f>
        <v>249.49999999999983</v>
      </c>
      <c r="BK439" s="867">
        <f>BJ439</f>
        <v>249.49999999999983</v>
      </c>
      <c r="BL439" s="866">
        <f>SUM(BH57,BI57,BJ57,BL57)</f>
        <v>266.19999999999987</v>
      </c>
      <c r="BM439" s="866">
        <f>SUM(BI57,BJ57,BL57,BM57)</f>
        <v>280.29999999999995</v>
      </c>
      <c r="BN439" s="866">
        <f>SUM(BJ57,BL57,BM57,BN57)</f>
        <v>297.90000000000003</v>
      </c>
      <c r="BO439" s="843">
        <f>SUM(BL57,BM57,BN57,BO57)</f>
        <v>305.79999999999995</v>
      </c>
      <c r="BP439" s="867">
        <f>BO439</f>
        <v>305.79999999999995</v>
      </c>
      <c r="BQ439" s="866">
        <f>SUM(BM57,BN57,BO57,BQ57)</f>
        <v>319.8</v>
      </c>
      <c r="BR439" s="866">
        <f>SUM(BN57,BO57,BQ57,BR57)</f>
        <v>331.09999999999997</v>
      </c>
      <c r="BS439" s="866">
        <f>SUM(BO57,BQ57,BR57,BS57)</f>
        <v>385.09999999999991</v>
      </c>
      <c r="BT439" s="843">
        <f>SUM(BQ57,BR57,BS57,BT57)</f>
        <v>331.71199999999999</v>
      </c>
      <c r="BU439" s="867">
        <f>BT439</f>
        <v>331.71199999999999</v>
      </c>
      <c r="BV439" s="1336">
        <f>SUM(BR57,BS57,BT57,BV57)</f>
        <v>321.81199999999984</v>
      </c>
      <c r="BW439" s="1336">
        <f>SUM(BS57,BT57,BV57,BW57)</f>
        <v>346.61199999999991</v>
      </c>
      <c r="BX439" s="1336">
        <f>SUM(BT57,BV57,BW57,BX57)</f>
        <v>333.61199999999991</v>
      </c>
      <c r="BY439" s="1337">
        <f>SUM(BV57,BW57,BX57,BY57)</f>
        <v>407.29999999999973</v>
      </c>
      <c r="BZ439" s="867">
        <f>BY439</f>
        <v>407.29999999999973</v>
      </c>
      <c r="CA439" s="866">
        <f>SUM(BR57,BS57,BT57,CA57)</f>
        <v>335.01199999999989</v>
      </c>
      <c r="CB439" s="866">
        <f>SUM(BS57,BT57,CA57,CB57)</f>
        <v>388.71199999999976</v>
      </c>
      <c r="CC439" s="866">
        <f>SUM(BT57,CA57,CB57,CC57)</f>
        <v>404.61199999999997</v>
      </c>
      <c r="CD439" s="843">
        <f>SUM(CA57,CB57,CC57,CD57)</f>
        <v>520</v>
      </c>
      <c r="CE439" s="867">
        <f>CD439</f>
        <v>520</v>
      </c>
      <c r="CF439" s="866">
        <f>SUM(CB57,CC57,CD57,CF57)</f>
        <v>587.20000000000005</v>
      </c>
      <c r="CG439" s="866">
        <f>SUM(CC57,CD57,CF57,CG57)</f>
        <v>638.6</v>
      </c>
      <c r="CH439" s="866">
        <f>SUM(CD57,CF57,CG57,CH57)</f>
        <v>688.39999999999964</v>
      </c>
      <c r="CI439" s="843">
        <f>SUM(CF57,CG57,CH57,CI57)</f>
        <v>744.1799999999995</v>
      </c>
      <c r="CJ439" s="867">
        <f>CI439</f>
        <v>744.1799999999995</v>
      </c>
      <c r="CK439" s="866">
        <f>SUM(CG57,CH57,CI57,CK57)</f>
        <v>772.67999999999972</v>
      </c>
      <c r="CL439" s="866">
        <f>SUM(CH57,CI57,CK57,CL57)</f>
        <v>821.9799999999999</v>
      </c>
      <c r="CM439" s="866">
        <f>SUM(CI57,CK57,CL57,CM57)</f>
        <v>896.18000000000006</v>
      </c>
      <c r="CN439" s="843">
        <f>SUM(CK57,CL57,CM57,CN57)</f>
        <v>1001.4000000000003</v>
      </c>
      <c r="CO439" s="867">
        <f>CN439</f>
        <v>1001.4000000000003</v>
      </c>
      <c r="CP439" s="866">
        <f>SUM(CL57,CM57,CN57,CP57)</f>
        <v>1144.1000000000001</v>
      </c>
      <c r="CQ439" s="866">
        <f>SUM(CM57,CN57,CP57,CQ57)</f>
        <v>1189.225728144929</v>
      </c>
      <c r="CR439" s="866">
        <f>SUM(CN57,CP57,CQ57,CR57)</f>
        <v>1238.7560339005877</v>
      </c>
      <c r="CS439" s="843">
        <f>SUM(CP57,CQ57,CR57,CS57)</f>
        <v>1272.2281586384452</v>
      </c>
      <c r="CT439" s="867">
        <f>CS439</f>
        <v>1272.2281586384452</v>
      </c>
      <c r="CU439" s="866">
        <f>SUM(CQ57,CR57,CS57,CU57)</f>
        <v>1242.3877871576669</v>
      </c>
      <c r="CV439" s="866">
        <f>SUM(CR57,CS57,CU57,CV57)</f>
        <v>1291.7980835132671</v>
      </c>
      <c r="CW439" s="866">
        <f>SUM(CS57,CU57,CV57,CW57)</f>
        <v>1342.0789751229224</v>
      </c>
      <c r="CX439" s="843">
        <f>SUM(CU57,CV57,CW57,CX57)</f>
        <v>1395.6925390557371</v>
      </c>
      <c r="CY439" s="867">
        <f>CX439</f>
        <v>1395.6925390557371</v>
      </c>
      <c r="CZ439" s="866">
        <f>SUM(CV57,CW57,CX57,CZ57)</f>
        <v>1430.8679351765902</v>
      </c>
      <c r="DA439" s="866">
        <f>SUM(CW57,CX57,CZ57,DA57)</f>
        <v>1483.086413474289</v>
      </c>
      <c r="DB439" s="866">
        <f>SUM(CX57,CZ57,DA57,DB57)</f>
        <v>1539.3247663307861</v>
      </c>
      <c r="DC439" s="843">
        <f>SUM(CZ57,DA57,DB57,DC57)</f>
        <v>1598.4573085625038</v>
      </c>
      <c r="DD439" s="867">
        <f>DC439</f>
        <v>1598.4573085625038</v>
      </c>
      <c r="DE439" s="866">
        <f>SUM(DA57,DB57,DC57,DE57)</f>
        <v>1642.8137428193361</v>
      </c>
      <c r="DF439" s="866">
        <f>SUM(DB57,DC57,DE57,DF57)</f>
        <v>1675.6007744718122</v>
      </c>
      <c r="DG439" s="866">
        <f>SUM(DC57,DE57,DF57,DG57)</f>
        <v>1714.658468032166</v>
      </c>
      <c r="DH439" s="843">
        <f>SUM(DE57,DF57,DG57,DH57)</f>
        <v>1728.4132980169086</v>
      </c>
      <c r="DI439" s="867">
        <f>DH439</f>
        <v>1728.4132980169086</v>
      </c>
      <c r="DJ439" s="866">
        <f>SUM(DF57,DG57,DH57,DJ57)</f>
        <v>1782.4150906593054</v>
      </c>
      <c r="DK439" s="866">
        <f>SUM(DG57,DH57,DJ57,DK57)</f>
        <v>1839.3629806660088</v>
      </c>
      <c r="DL439" s="866">
        <f>SUM(DH57,DJ57,DK57,DL57)</f>
        <v>1903.7606588795502</v>
      </c>
      <c r="DM439" s="843">
        <f>SUM(DJ57,DK57,DL57,DM57)</f>
        <v>1999.2277555728069</v>
      </c>
      <c r="DN439" s="867">
        <f>DM439</f>
        <v>1999.2277555728069</v>
      </c>
      <c r="DO439" s="866">
        <f>SUM(DK57,DL57,DM57,DO57)</f>
        <v>2054.1782748150672</v>
      </c>
      <c r="DP439" s="866">
        <f>SUM(DL57,DM57,DO57,DP57)</f>
        <v>2117.0682780947136</v>
      </c>
      <c r="DQ439" s="866">
        <f>SUM(DM57,DO57,DP57,DQ57)</f>
        <v>2184.8221394603006</v>
      </c>
      <c r="DR439" s="843">
        <f>SUM(DO57,DP57,DQ57,DR57)</f>
        <v>2255.3852234688184</v>
      </c>
      <c r="DS439" s="867">
        <f>DR439</f>
        <v>2255.3852234688184</v>
      </c>
      <c r="DT439" s="866">
        <f>SUM(DP57,DQ57,DR57,DT57)</f>
        <v>2275.8869425380699</v>
      </c>
      <c r="DU439" s="866">
        <f>SUM(DQ57,DR57,DT57,DU57)</f>
        <v>2292.1478009015418</v>
      </c>
      <c r="DV439" s="866">
        <f>SUM(DR57,DT57,DU57,DV57)</f>
        <v>2322.2740731337271</v>
      </c>
      <c r="DW439" s="843">
        <f>SUM(DT57,DU57,DV57,DW57)</f>
        <v>2359.3939662277971</v>
      </c>
      <c r="DX439" s="867">
        <f>DW439</f>
        <v>2359.3939662277971</v>
      </c>
      <c r="DY439" s="866">
        <f>SUM(DU57,DV57,DW57,DY57)</f>
        <v>2429.5062690028317</v>
      </c>
      <c r="DZ439" s="866">
        <f>SUM(DV57,DW57,DY57,DZ57)</f>
        <v>2511.3112965350265</v>
      </c>
      <c r="EA439" s="866">
        <f>SUM(DW57,DY57,DZ57,EA57)</f>
        <v>2585.6931188140343</v>
      </c>
      <c r="EB439" s="843">
        <f>SUM(DY57,DZ57,EA57,EB57)</f>
        <v>2663.6617838076609</v>
      </c>
      <c r="EC439" s="867">
        <f>EB439</f>
        <v>2663.6617838076609</v>
      </c>
      <c r="ED439" s="118"/>
      <c r="EE439" s="118"/>
      <c r="EF439" s="118"/>
      <c r="EG439" s="118"/>
      <c r="EH439" s="118"/>
      <c r="EI439" s="118"/>
      <c r="EJ439" s="118"/>
      <c r="EK439" s="118"/>
      <c r="EL439" s="118"/>
      <c r="EM439" s="118"/>
      <c r="EN439" s="118"/>
      <c r="EO439" s="118"/>
      <c r="EP439" s="118"/>
      <c r="EQ439" s="118"/>
      <c r="ER439" s="118"/>
      <c r="ES439" s="118"/>
      <c r="ET439" s="118"/>
      <c r="EU439" s="118"/>
      <c r="EX439" s="118"/>
      <c r="EY439" s="986"/>
      <c r="EZ439" s="992"/>
      <c r="FA439" s="987"/>
      <c r="FB439" s="986"/>
      <c r="FC439" s="987"/>
      <c r="FD439" s="118"/>
    </row>
    <row r="440" spans="1:160" x14ac:dyDescent="0.2">
      <c r="A440" s="230" t="s">
        <v>30</v>
      </c>
      <c r="B440" s="118"/>
      <c r="C440" s="118"/>
      <c r="D440" s="118"/>
      <c r="E440" s="118"/>
      <c r="F440" s="118"/>
      <c r="G440" s="118"/>
      <c r="H440" s="118"/>
      <c r="I440" s="118"/>
      <c r="J440" s="118"/>
      <c r="K440" s="118"/>
      <c r="L440" s="118"/>
      <c r="M440" s="118"/>
      <c r="N440" s="118"/>
      <c r="O440" s="118"/>
      <c r="P440" s="118"/>
      <c r="Q440" s="118"/>
      <c r="R440" s="118"/>
      <c r="S440" s="118"/>
      <c r="T440" s="118"/>
      <c r="U440" s="118"/>
      <c r="V440" s="118"/>
      <c r="W440" s="118"/>
      <c r="X440" s="118"/>
      <c r="Y440" s="118"/>
      <c r="Z440" s="118"/>
      <c r="AA440" s="118"/>
      <c r="AB440" s="118"/>
      <c r="AC440" s="118"/>
      <c r="AD440" s="118"/>
      <c r="AE440" s="118"/>
      <c r="AF440" s="118"/>
      <c r="AG440" s="118"/>
      <c r="AH440" s="118"/>
      <c r="AI440" s="118"/>
      <c r="AJ440" s="118"/>
      <c r="AK440" s="118"/>
      <c r="AL440" s="118"/>
      <c r="AM440" s="118"/>
      <c r="AN440" s="118"/>
      <c r="AO440" s="118"/>
      <c r="AP440" s="118"/>
      <c r="AQ440" s="118"/>
      <c r="AR440" s="118"/>
      <c r="AS440" s="118"/>
      <c r="AT440" s="118"/>
      <c r="AU440" s="118"/>
      <c r="AV440" s="45"/>
      <c r="AW440" s="868">
        <f>AW439/AVERAGE(AO67,AQ67,AR67,AW67)</f>
        <v>-0.46465753424657552</v>
      </c>
      <c r="AX440" s="868">
        <f>AX439/AVERAGE(AQ67,AR67,AS67,AX67)</f>
        <v>0.10938924339106608</v>
      </c>
      <c r="AY440" s="868">
        <f>AY439/AVERAGE(AR67,AS67,AT67,AY67)</f>
        <v>0.75836972343522469</v>
      </c>
      <c r="AZ440" s="868">
        <f>AZ439/AVERAGE(AW67,AX67,AY67,AZ67)</f>
        <v>1.1742052679382371</v>
      </c>
      <c r="BA440" s="868">
        <f>AZ440</f>
        <v>1.1742052679382371</v>
      </c>
      <c r="BB440" s="868">
        <f>BB439/AVERAGE(AX67,AY67,AZ67,BB67)</f>
        <v>0.7836134453781507</v>
      </c>
      <c r="BC440" s="868">
        <f>BC439/AVERAGE(AY67,AZ67,BB67,BC67)</f>
        <v>0.59905369265583164</v>
      </c>
      <c r="BD440" s="868">
        <f>BD439/AVERAGE(AZ67,BB67,BC67,BD67)</f>
        <v>0.49653306274310827</v>
      </c>
      <c r="BE440" s="868">
        <f>BE439/AVERAGE(BB67,BC67,BD67,BE67)</f>
        <v>0.50936759744454752</v>
      </c>
      <c r="BF440" s="868">
        <f>BE440</f>
        <v>0.50936759744454752</v>
      </c>
      <c r="BG440" s="868">
        <f>BG439/AVERAGE(BC67,BD67,BE67,BG67)</f>
        <v>0.54729004081048138</v>
      </c>
      <c r="BH440" s="868">
        <f>BH439/AVERAGE(BD67,BE67,BG67,BH67)</f>
        <v>0.58959372772630014</v>
      </c>
      <c r="BI440" s="868">
        <f>BI439/AVERAGE(BE67,BG67,BH67,BI67)</f>
        <v>0.6154500957650556</v>
      </c>
      <c r="BJ440" s="868">
        <f>BJ439/AVERAGE(BG67,BH67,BI67,BJ67)</f>
        <v>0.70385781789971036</v>
      </c>
      <c r="BK440" s="868">
        <f>BJ440</f>
        <v>0.70385781789971036</v>
      </c>
      <c r="BL440" s="868">
        <f>BL439/AVERAGE(BH67,BI67,BJ67,BL67)</f>
        <v>0.74822570444803571</v>
      </c>
      <c r="BM440" s="868">
        <f>BM439/AVERAGE(BI67,BJ67,BL67,BM67)</f>
        <v>0.78614500070116378</v>
      </c>
      <c r="BN440" s="868">
        <f>BN439/AVERAGE(BJ67,BL67,BM67,BN67)</f>
        <v>0.83369481564402159</v>
      </c>
      <c r="BO440" s="868">
        <f>BO439/AVERAGE(BL67,BM67,BN67,BO67)</f>
        <v>0.85460769929434754</v>
      </c>
      <c r="BP440" s="868">
        <f>BO440</f>
        <v>0.85460769929434754</v>
      </c>
      <c r="BQ440" s="868">
        <f>BQ439/AVERAGE(BM67,BN67,BO67,BQ67)</f>
        <v>0.89242360820426969</v>
      </c>
      <c r="BR440" s="868">
        <f>BR439/AVERAGE(BN67,BO67,BQ67,BR67)</f>
        <v>0.9228625182914082</v>
      </c>
      <c r="BS440" s="868">
        <f>BS439/AVERAGE(BO67,BQ67,BR67,BS67)</f>
        <v>1.0725525692800442</v>
      </c>
      <c r="BT440" s="868">
        <f>BT439/AVERAGE(BQ67,BR67,BS67,BT67)</f>
        <v>0.91223650739085593</v>
      </c>
      <c r="BU440" s="868">
        <f>BT440</f>
        <v>0.91223650739085593</v>
      </c>
      <c r="BV440" s="1338">
        <f>BV439/AVERAGE(BR67,BS67,BT67,BV67)</f>
        <v>0.81917271223113097</v>
      </c>
      <c r="BW440" s="1338">
        <f>BW439/AVERAGE(BS67,BT67,BV67,BW67)</f>
        <v>0.82130679462117151</v>
      </c>
      <c r="BX440" s="1338">
        <f>BX439/AVERAGE(BT67,BV67,BW67,BX67)</f>
        <v>0.73930637119113551</v>
      </c>
      <c r="BY440" s="1338">
        <f>BY439/AVERAGE(BV67,BW67,BX67,BY67)</f>
        <v>0.8554925435832802</v>
      </c>
      <c r="BZ440" s="868">
        <f>BY440</f>
        <v>0.8554925435832802</v>
      </c>
      <c r="CA440" s="868">
        <f>CA439/AVERAGE(BR67,BS67,BT67,CA67)</f>
        <v>0.85763071999999974</v>
      </c>
      <c r="CB440" s="868">
        <f>CB439/AVERAGE(BS67,BT67,CA67,CB67)</f>
        <v>0.92578029175349752</v>
      </c>
      <c r="CC440" s="868">
        <f>CC439/AVERAGE(BT67,CA67,CB67,CC67)</f>
        <v>0.90073909171861077</v>
      </c>
      <c r="CD440" s="868">
        <f>CD439/AVERAGE(CA67,CB67,CC67,CD67)</f>
        <v>1.0977411864048976</v>
      </c>
      <c r="CE440" s="868">
        <f>CD440</f>
        <v>1.0977411864048976</v>
      </c>
      <c r="CF440" s="868">
        <f>CF439/AVERAGE(CB67,CC67,CD67,CF67)</f>
        <v>1.2388185654008439</v>
      </c>
      <c r="CG440" s="868">
        <f>CG439/AVERAGE(CC67,CD67,CF67,CG67)</f>
        <v>1.3517489548605601</v>
      </c>
      <c r="CH440" s="868">
        <f>CH439/AVERAGE(CD67,CF67,CG67,CH67)</f>
        <v>1.4617262979084822</v>
      </c>
      <c r="CI440" s="868">
        <f>CI439/AVERAGE(CF67,CG67,CH67,CI67)</f>
        <v>1.5834459279748914</v>
      </c>
      <c r="CJ440" s="868">
        <f>CI440</f>
        <v>1.5834459279748914</v>
      </c>
      <c r="CK440" s="868">
        <f>CK439/AVERAGE(CG67,CH67,CI67,CK67)</f>
        <v>1.6370338983050841</v>
      </c>
      <c r="CL440" s="868">
        <f>CL439/AVERAGE(CH67,CI67,CK67,CL67)</f>
        <v>1.7342264887388572</v>
      </c>
      <c r="CM440" s="868">
        <f>CM439/AVERAGE(CI67,CK67,CL67,CM67)</f>
        <v>1.8828299805662063</v>
      </c>
      <c r="CN440" s="868">
        <f>CN439/AVERAGE(CK67,CL67,CM67,CN67)</f>
        <v>2.0979416540093236</v>
      </c>
      <c r="CO440" s="868">
        <f>CN440</f>
        <v>2.0979416540093236</v>
      </c>
      <c r="CP440" s="868">
        <f>CP439/AVERAGE(CL67,CM67,CN67,CP67)</f>
        <v>2.4001678292337552</v>
      </c>
      <c r="CQ440" s="868">
        <f>CQ439/AVERAGE(CM67,CN67,CP67,CQ67)</f>
        <v>2.4963818360898715</v>
      </c>
      <c r="CR440" s="868">
        <f>CR439/AVERAGE(CN67,CP67,CQ67,CR67)</f>
        <v>2.6037213219095872</v>
      </c>
      <c r="CS440" s="868">
        <f>CS439/AVERAGE(CP67,CQ67,CR67,CS67)</f>
        <v>2.6754078027777966</v>
      </c>
      <c r="CT440" s="868">
        <f>CS440</f>
        <v>2.6754078027777966</v>
      </c>
      <c r="CU440" s="868">
        <f>CU439/AVERAGE(CQ67,CR67,CS67,CU67)</f>
        <v>2.6098623241818086</v>
      </c>
      <c r="CV440" s="868">
        <f>CV439/AVERAGE(CR67,CS67,CU67,CV67)</f>
        <v>2.7136909166230825</v>
      </c>
      <c r="CW440" s="868">
        <f>CW439/AVERAGE(CS67,CU67,CV67,CW67)</f>
        <v>2.8194200263685181</v>
      </c>
      <c r="CX440" s="868">
        <f>CX439/AVERAGE(CU67,CV67,CW67,CX67)</f>
        <v>2.9322302483193732</v>
      </c>
      <c r="CY440" s="868">
        <f>CX440</f>
        <v>2.9322302483193732</v>
      </c>
      <c r="CZ440" s="868">
        <f>CZ439/AVERAGE(CV67,CW67,CX67,CZ67)</f>
        <v>3.0062412390661337</v>
      </c>
      <c r="DA440" s="868">
        <f>DA439/AVERAGE(CW67,CX67,CZ67,DA67)</f>
        <v>3.1159930479779718</v>
      </c>
      <c r="DB440" s="868">
        <f>DB439/AVERAGE(CX67,CZ67,DA67,DB67)</f>
        <v>3.2342793092811974</v>
      </c>
      <c r="DC440" s="868">
        <f>DC439/AVERAGE(CZ67,DA67,DB67,DC67)</f>
        <v>3.3587450959002152</v>
      </c>
      <c r="DD440" s="868">
        <f>DC440</f>
        <v>3.3587450959002152</v>
      </c>
      <c r="DE440" s="868">
        <f>DE439/AVERAGE(DA67,DB67,DC67,DE67)</f>
        <v>3.4520857466146806</v>
      </c>
      <c r="DF440" s="868">
        <f>DF439/AVERAGE(DB67,DC67,DE67,DF67)</f>
        <v>3.521032289221405</v>
      </c>
      <c r="DG440" s="868">
        <f>DG439/AVERAGE(DC67,DE67,DF67,DG67)</f>
        <v>3.6032608929310972</v>
      </c>
      <c r="DH440" s="868">
        <f>DH439/AVERAGE(DE67,DF67,DG67,DH67)</f>
        <v>3.6324255420520202</v>
      </c>
      <c r="DI440" s="868">
        <f>DH440</f>
        <v>3.6324255420520202</v>
      </c>
      <c r="DJ440" s="868">
        <f>DJ439/AVERAGE(DF67,DG67,DH67,DJ67)</f>
        <v>3.7460761259297297</v>
      </c>
      <c r="DK440" s="868">
        <f>DK439/AVERAGE(DG67,DH67,DJ67,DK67)</f>
        <v>3.8658223757673484</v>
      </c>
      <c r="DL440" s="868">
        <f>DL439/AVERAGE(DH67,DJ67,DK67,DL67)</f>
        <v>4.0013534879010457</v>
      </c>
      <c r="DM440" s="868">
        <f>DM439/AVERAGE(DJ67,DK67,DL67,DM67)</f>
        <v>4.202332149762575</v>
      </c>
      <c r="DN440" s="868">
        <f>DM440</f>
        <v>4.202332149762575</v>
      </c>
      <c r="DO440" s="868">
        <f>DO439/AVERAGE(DK67,DL67,DM67,DO67)</f>
        <v>4.3180369590706533</v>
      </c>
      <c r="DP440" s="868">
        <f>DP439/AVERAGE(DL67,DM67,DO67,DP67)</f>
        <v>4.4503106928271023</v>
      </c>
      <c r="DQ440" s="868">
        <f>DQ439/AVERAGE(DM67,DO67,DP67,DQ67)</f>
        <v>4.5929665889842601</v>
      </c>
      <c r="DR440" s="868">
        <f>DR439/AVERAGE(DO67,DP67,DQ67,DR67)</f>
        <v>4.7417008378315151</v>
      </c>
      <c r="DS440" s="868">
        <f>DR440</f>
        <v>4.7417008378315151</v>
      </c>
      <c r="DT440" s="868">
        <f>DT439/AVERAGE(DP67,DQ67,DR67,DT67)</f>
        <v>4.7850429206403131</v>
      </c>
      <c r="DU440" s="868">
        <f>DU439/AVERAGE(DQ67,DR67,DT67,DU67)</f>
        <v>4.8193181358082837</v>
      </c>
      <c r="DV440" s="868">
        <f>DV439/AVERAGE(DR67,DT67,DU67,DV67)</f>
        <v>4.8829235652113931</v>
      </c>
      <c r="DW440" s="868">
        <f>DW439/AVERAGE(DT67,DU67,DV67,DW67)</f>
        <v>4.961420582716543</v>
      </c>
      <c r="DX440" s="868">
        <f>DW440</f>
        <v>4.961420582716543</v>
      </c>
      <c r="DY440" s="868">
        <f>DY439/AVERAGE(DU67,DV67,DW67,DY67)</f>
        <v>5.1091315082705373</v>
      </c>
      <c r="DZ440" s="868">
        <f>DZ439/AVERAGE(DV67,DW67,DY67,DZ67)</f>
        <v>5.2812662190786197</v>
      </c>
      <c r="EA440" s="868">
        <f>EA439/AVERAGE(DW67,DY67,DZ67,EA67)</f>
        <v>5.4380080672946365</v>
      </c>
      <c r="EB440" s="868">
        <f>EB439/AVERAGE(DY67,DZ67,EA67,EB67)</f>
        <v>5.6025303051139765</v>
      </c>
      <c r="EC440" s="868">
        <f>EB440</f>
        <v>5.6025303051139765</v>
      </c>
      <c r="ED440" s="118"/>
      <c r="EE440" s="118"/>
      <c r="EF440" s="118"/>
      <c r="EG440" s="118"/>
      <c r="EH440" s="118"/>
      <c r="EI440" s="118"/>
      <c r="EJ440" s="118"/>
      <c r="EK440" s="118"/>
      <c r="EL440" s="118"/>
      <c r="EM440" s="118"/>
      <c r="EN440" s="118"/>
      <c r="EO440" s="118"/>
      <c r="EP440" s="118"/>
      <c r="EQ440" s="118"/>
      <c r="ER440" s="118"/>
      <c r="ES440" s="118"/>
      <c r="ET440" s="118"/>
      <c r="EU440" s="118"/>
      <c r="EX440" s="118"/>
      <c r="EY440" s="986"/>
      <c r="EZ440" s="992"/>
      <c r="FA440" s="987"/>
      <c r="FB440" s="986"/>
      <c r="FC440" s="987"/>
      <c r="FD440" s="118"/>
    </row>
    <row r="441" spans="1:160" x14ac:dyDescent="0.2">
      <c r="A441" s="23"/>
      <c r="B441" s="16"/>
      <c r="C441" s="16"/>
      <c r="D441" s="16"/>
      <c r="E441" s="16"/>
      <c r="F441" s="16"/>
      <c r="G441" s="16"/>
      <c r="H441" s="16"/>
      <c r="I441" s="16"/>
      <c r="J441" s="16"/>
      <c r="K441" s="16"/>
      <c r="L441" s="16"/>
      <c r="M441" s="16"/>
      <c r="N441" s="16"/>
      <c r="O441" s="16"/>
      <c r="P441" s="16"/>
      <c r="Q441" s="16"/>
      <c r="R441" s="16"/>
      <c r="S441" s="16"/>
      <c r="T441" s="16"/>
      <c r="U441" s="16"/>
      <c r="V441" s="16"/>
      <c r="W441" s="16"/>
      <c r="X441" s="16"/>
      <c r="Y441" s="16"/>
      <c r="Z441" s="16"/>
      <c r="AA441" s="16"/>
      <c r="AB441" s="16"/>
      <c r="AC441" s="16"/>
      <c r="AD441" s="16"/>
      <c r="AE441" s="16"/>
      <c r="AF441" s="16"/>
      <c r="AG441" s="16"/>
      <c r="AH441" s="16"/>
      <c r="AI441" s="16"/>
      <c r="AJ441" s="16"/>
      <c r="AK441" s="16"/>
      <c r="AL441" s="16"/>
      <c r="AM441" s="16"/>
      <c r="AN441" s="16"/>
      <c r="AO441" s="16"/>
      <c r="AP441" s="16"/>
      <c r="AQ441" s="16"/>
      <c r="AR441" s="16"/>
      <c r="AS441" s="16"/>
      <c r="AT441" s="16"/>
      <c r="AU441" s="16"/>
      <c r="AV441" s="45"/>
      <c r="AW441" s="16"/>
      <c r="AX441" s="16"/>
      <c r="AY441" s="21"/>
      <c r="AZ441" s="21"/>
      <c r="BA441" s="16"/>
      <c r="BB441" s="16"/>
      <c r="BC441" s="21"/>
      <c r="BD441" s="16"/>
      <c r="BE441" s="16"/>
      <c r="BF441" s="16"/>
      <c r="BG441" s="16"/>
      <c r="BH441" s="16"/>
      <c r="BI441" s="16"/>
      <c r="BJ441" s="16"/>
      <c r="BK441" s="15"/>
      <c r="BL441" s="15"/>
      <c r="BM441" s="15"/>
      <c r="BN441" s="15"/>
      <c r="BO441" s="15"/>
      <c r="BP441" s="16"/>
      <c r="BQ441" s="16"/>
      <c r="BR441" s="16"/>
      <c r="BS441" s="16"/>
      <c r="BT441" s="16"/>
      <c r="BU441" s="16"/>
      <c r="BV441" s="1310"/>
      <c r="BW441" s="1310"/>
      <c r="BX441" s="1310"/>
      <c r="BY441" s="1310"/>
      <c r="BZ441" s="16"/>
      <c r="CA441" s="16"/>
      <c r="CB441" s="16"/>
      <c r="CC441" s="16"/>
      <c r="CD441" s="16"/>
      <c r="CE441" s="16"/>
      <c r="CF441" s="16"/>
      <c r="CG441" s="16"/>
      <c r="CH441" s="16"/>
      <c r="CI441" s="16"/>
      <c r="CJ441" s="16"/>
      <c r="CK441" s="16"/>
      <c r="CL441" s="16"/>
      <c r="CM441" s="16"/>
      <c r="CN441" s="16"/>
      <c r="CO441" s="16"/>
      <c r="CP441" s="16"/>
      <c r="CQ441" s="16"/>
      <c r="CR441" s="16"/>
      <c r="CS441" s="16"/>
      <c r="CT441" s="16"/>
      <c r="CU441" s="16"/>
      <c r="CV441" s="16"/>
      <c r="CW441" s="16"/>
      <c r="CX441" s="16"/>
      <c r="CY441" s="16"/>
      <c r="CZ441" s="16"/>
      <c r="DA441" s="16"/>
      <c r="DB441" s="16"/>
      <c r="DC441" s="16"/>
      <c r="DD441" s="16"/>
      <c r="DE441" s="16"/>
      <c r="DF441" s="16"/>
      <c r="DG441" s="16"/>
      <c r="DH441" s="16"/>
      <c r="DI441" s="16"/>
      <c r="DJ441" s="16"/>
      <c r="DK441" s="16"/>
      <c r="DL441" s="16"/>
      <c r="DM441" s="16"/>
      <c r="DN441" s="16"/>
      <c r="DO441" s="16"/>
      <c r="DP441" s="16"/>
      <c r="DQ441" s="16"/>
      <c r="DR441" s="16"/>
      <c r="DS441" s="16"/>
      <c r="DT441" s="16"/>
      <c r="DU441" s="16"/>
      <c r="DV441" s="16"/>
      <c r="DW441" s="16"/>
      <c r="DX441" s="16"/>
      <c r="DY441" s="16"/>
      <c r="DZ441" s="16"/>
      <c r="EA441" s="16"/>
      <c r="EB441" s="16"/>
      <c r="EC441" s="16"/>
      <c r="ED441" s="16"/>
      <c r="EE441" s="16"/>
      <c r="EF441" s="16"/>
      <c r="EG441" s="16"/>
      <c r="EH441" s="16"/>
      <c r="EI441" s="16"/>
      <c r="EJ441" s="16"/>
      <c r="EK441" s="16"/>
      <c r="EL441" s="16"/>
      <c r="EM441" s="16"/>
      <c r="EN441" s="16"/>
      <c r="EO441" s="16"/>
      <c r="EP441" s="16"/>
      <c r="EQ441" s="16"/>
      <c r="ER441" s="16"/>
      <c r="ES441" s="16"/>
      <c r="ET441" s="16"/>
      <c r="EU441" s="16"/>
      <c r="EX441" s="16"/>
      <c r="EY441" s="228"/>
      <c r="EZ441" s="945"/>
      <c r="FA441" s="477"/>
      <c r="FB441" s="228"/>
      <c r="FC441" s="477"/>
      <c r="FD441" s="16"/>
    </row>
    <row r="442" spans="1:160" x14ac:dyDescent="0.2">
      <c r="A442" s="256" t="s">
        <v>125</v>
      </c>
      <c r="B442" s="255"/>
      <c r="C442" s="255"/>
      <c r="D442" s="255"/>
      <c r="E442" s="255"/>
      <c r="F442" s="255"/>
      <c r="G442" s="255"/>
      <c r="H442" s="255"/>
      <c r="I442" s="255"/>
      <c r="J442" s="255"/>
      <c r="K442" s="255"/>
      <c r="L442" s="255"/>
      <c r="M442" s="255"/>
      <c r="N442" s="255"/>
      <c r="O442" s="255"/>
      <c r="P442" s="255"/>
      <c r="Q442" s="255"/>
      <c r="R442" s="255"/>
      <c r="S442" s="255"/>
      <c r="T442" s="255"/>
      <c r="U442" s="255"/>
      <c r="V442" s="255"/>
      <c r="W442" s="255"/>
      <c r="X442" s="255"/>
      <c r="Y442" s="255"/>
      <c r="Z442" s="255"/>
      <c r="AA442" s="457"/>
      <c r="AB442" s="457"/>
      <c r="AC442" s="457"/>
      <c r="AD442" s="457"/>
      <c r="AE442" s="457"/>
      <c r="AF442" s="457"/>
      <c r="AG442" s="457"/>
      <c r="AH442" s="457"/>
      <c r="AI442" s="457"/>
      <c r="AJ442" s="457"/>
      <c r="AK442" s="457"/>
      <c r="AL442" s="457"/>
      <c r="AM442" s="457"/>
      <c r="AN442" s="457"/>
      <c r="AO442" s="457"/>
      <c r="AP442" s="457"/>
      <c r="AQ442" s="457"/>
      <c r="AR442" s="457"/>
      <c r="AS442" s="457"/>
      <c r="AT442" s="457"/>
      <c r="AU442" s="457"/>
      <c r="AV442" s="45"/>
      <c r="AW442" s="457">
        <f>(AW39-AN39)/(AW20-AN20)</f>
        <v>0.13218294521695423</v>
      </c>
      <c r="AX442" s="457">
        <f>(AX39-AO39)/(AX20-AO20)</f>
        <v>0.1329052969502407</v>
      </c>
      <c r="AY442" s="457"/>
      <c r="AZ442" s="457"/>
      <c r="BA442" s="457">
        <f>(BA39-AQ39)/(BA20-AQ20)</f>
        <v>7.3784469492159915E-2</v>
      </c>
      <c r="BB442" s="457">
        <f>(BB39-AQ39)/(BB20-AQ20)</f>
        <v>0.11594202898550725</v>
      </c>
      <c r="BC442" s="457">
        <f>(BC39-AR39)/(BC20-AR20)</f>
        <v>0.16627477326167273</v>
      </c>
      <c r="BD442" s="457">
        <f>(BD39-AW39)/(BD20-AW20)</f>
        <v>3.027777777777763</v>
      </c>
      <c r="BE442" s="457">
        <f>(BE39-AX39)/(BE20-AX20)</f>
        <v>-0.12028301886792213</v>
      </c>
      <c r="BF442" s="457"/>
      <c r="BG442" s="457">
        <f t="shared" ref="BG442:BZ442" si="2475">(BG39-BB39)/(BG20-BB20)</f>
        <v>1.1229050279329604</v>
      </c>
      <c r="BH442" s="457">
        <f t="shared" si="2475"/>
        <v>-0.52930402930402864</v>
      </c>
      <c r="BI442" s="457">
        <f t="shared" si="2475"/>
        <v>0.11710526315789514</v>
      </c>
      <c r="BJ442" s="457">
        <f t="shared" si="2475"/>
        <v>-0.13628620102214756</v>
      </c>
      <c r="BK442" s="457">
        <f t="shared" si="2475"/>
        <v>-0.15131578947368507</v>
      </c>
      <c r="BL442" s="457">
        <f t="shared" si="2475"/>
        <v>-7.5557390586292378E-2</v>
      </c>
      <c r="BM442" s="457">
        <f t="shared" si="2475"/>
        <v>-2.0190476190476564E-2</v>
      </c>
      <c r="BN442" s="457">
        <f t="shared" si="2475"/>
        <v>-0.28626799557032162</v>
      </c>
      <c r="BO442" s="457">
        <f t="shared" si="2475"/>
        <v>-0.20961952620244026</v>
      </c>
      <c r="BP442" s="457">
        <f t="shared" si="2475"/>
        <v>-0.12672811059907818</v>
      </c>
      <c r="BQ442" s="457">
        <f t="shared" si="2475"/>
        <v>-0.33294930875576084</v>
      </c>
      <c r="BR442" s="457">
        <f t="shared" si="2475"/>
        <v>-1.0701754385964872</v>
      </c>
      <c r="BS442" s="457">
        <f t="shared" si="2475"/>
        <v>-38.052631578947839</v>
      </c>
      <c r="BT442" s="457">
        <f t="shared" si="2475"/>
        <v>-1.6042356055592308</v>
      </c>
      <c r="BU442" s="457">
        <f t="shared" si="2475"/>
        <v>-6.6627450980391805</v>
      </c>
      <c r="BV442" s="1339">
        <f t="shared" si="2475"/>
        <v>0.1841609960909221</v>
      </c>
      <c r="BW442" s="1339">
        <f t="shared" si="2475"/>
        <v>0.2170532915360503</v>
      </c>
      <c r="BX442" s="1339">
        <f t="shared" si="2475"/>
        <v>0.42577232840485629</v>
      </c>
      <c r="BY442" s="1339">
        <f t="shared" si="2475"/>
        <v>0.57852587868901062</v>
      </c>
      <c r="BZ442" s="457">
        <f t="shared" si="2475"/>
        <v>0.34885118888592037</v>
      </c>
      <c r="CA442" s="457">
        <f>(CA39-BQ39)/(CA20-BQ20)</f>
        <v>0.13402657423454636</v>
      </c>
      <c r="CB442" s="457">
        <f>(CB39-BR39)/(CB20-BR20)</f>
        <v>0.19282970550576176</v>
      </c>
      <c r="CC442" s="457">
        <f>(CC39-BS39)/(CC20-BS20)</f>
        <v>0.46314794816414701</v>
      </c>
      <c r="CD442" s="457">
        <f>(CD39-BT39)/(CD20-BT20)</f>
        <v>0.66068362728265972</v>
      </c>
      <c r="CE442" s="457">
        <f>(CE39-BU39)/(CE20-BU20)</f>
        <v>0.35370766051350311</v>
      </c>
      <c r="CF442" s="457">
        <f t="shared" ref="CF442:DK442" si="2476">(CF39-CA39)/(CF20-CA20)</f>
        <v>-7.1959459459459678</v>
      </c>
      <c r="CG442" s="457">
        <f t="shared" si="2476"/>
        <v>-60.950000000006945</v>
      </c>
      <c r="CH442" s="457">
        <f t="shared" si="2476"/>
        <v>1.3660714285714279</v>
      </c>
      <c r="CI442" s="457">
        <f t="shared" si="2476"/>
        <v>3.118425891872004</v>
      </c>
      <c r="CJ442" s="457">
        <f t="shared" si="2476"/>
        <v>5.0703141696943437</v>
      </c>
      <c r="CK442" s="457">
        <f t="shared" si="2476"/>
        <v>6.8209500609015136E-2</v>
      </c>
      <c r="CL442" s="457">
        <f t="shared" si="2476"/>
        <v>-0.10378378378378096</v>
      </c>
      <c r="CM442" s="457">
        <f t="shared" si="2476"/>
        <v>0.44243792325056541</v>
      </c>
      <c r="CN442" s="457">
        <f t="shared" si="2476"/>
        <v>0.11740758834066203</v>
      </c>
      <c r="CO442" s="457">
        <f t="shared" si="2476"/>
        <v>0.16085703662390796</v>
      </c>
      <c r="CP442" s="457">
        <f t="shared" si="2476"/>
        <v>0.33333333333333226</v>
      </c>
      <c r="CQ442" s="457">
        <f t="shared" si="2476"/>
        <v>0.19184631377033617</v>
      </c>
      <c r="CR442" s="457">
        <f t="shared" si="2476"/>
        <v>0.16333384000862114</v>
      </c>
      <c r="CS442" s="457">
        <f t="shared" si="2476"/>
        <v>0.15373766187629095</v>
      </c>
      <c r="CT442" s="457">
        <f t="shared" si="2476"/>
        <v>0.21413548853611164</v>
      </c>
      <c r="CU442" s="457">
        <f t="shared" si="2476"/>
        <v>0.66445030130858607</v>
      </c>
      <c r="CV442" s="457">
        <f t="shared" si="2476"/>
        <v>0.71057387982286679</v>
      </c>
      <c r="CW442" s="457">
        <f t="shared" si="2476"/>
        <v>0.68792450418800988</v>
      </c>
      <c r="CX442" s="457">
        <f t="shared" si="2476"/>
        <v>0.68146859475948218</v>
      </c>
      <c r="CY442" s="457">
        <f t="shared" si="2476"/>
        <v>0.68668682533544534</v>
      </c>
      <c r="CZ442" s="457">
        <f t="shared" si="2476"/>
        <v>0.4063436498890392</v>
      </c>
      <c r="DA442" s="457">
        <f t="shared" si="2476"/>
        <v>0.65091013336845871</v>
      </c>
      <c r="DB442" s="457">
        <f t="shared" si="2476"/>
        <v>0.66352360499450136</v>
      </c>
      <c r="DC442" s="457">
        <f t="shared" si="2476"/>
        <v>0.66448710704257508</v>
      </c>
      <c r="DD442" s="457">
        <f t="shared" si="2476"/>
        <v>0.5959770614459925</v>
      </c>
      <c r="DE442" s="457">
        <f t="shared" si="2476"/>
        <v>0.64305762381561626</v>
      </c>
      <c r="DF442" s="457">
        <f t="shared" si="2476"/>
        <v>0.57838780556253366</v>
      </c>
      <c r="DG442" s="457">
        <f t="shared" si="2476"/>
        <v>0.49555023161582185</v>
      </c>
      <c r="DH442" s="457">
        <f t="shared" si="2476"/>
        <v>0.50291811348014592</v>
      </c>
      <c r="DI442" s="457">
        <f t="shared" si="2476"/>
        <v>0.54941696529393369</v>
      </c>
      <c r="DJ442" s="457">
        <f t="shared" si="2476"/>
        <v>0.75845199277495945</v>
      </c>
      <c r="DK442" s="457">
        <f t="shared" si="2476"/>
        <v>0.76400790785223816</v>
      </c>
      <c r="DL442" s="457">
        <f t="shared" ref="DL442:EC442" si="2477">(DL39-DG39)/(DL20-DG20)</f>
        <v>0.77184385880312711</v>
      </c>
      <c r="DM442" s="457">
        <f t="shared" si="2477"/>
        <v>0.77547666012781102</v>
      </c>
      <c r="DN442" s="457">
        <f t="shared" si="2477"/>
        <v>0.76793483166487186</v>
      </c>
      <c r="DO442" s="457">
        <f t="shared" si="2477"/>
        <v>0.622574420796149</v>
      </c>
      <c r="DP442" s="457">
        <f t="shared" si="2477"/>
        <v>0.63592574462957241</v>
      </c>
      <c r="DQ442" s="457">
        <f t="shared" si="2477"/>
        <v>0.65053519323916742</v>
      </c>
      <c r="DR442" s="457">
        <f t="shared" si="2477"/>
        <v>0.6619611021929811</v>
      </c>
      <c r="DS442" s="457">
        <f t="shared" si="2477"/>
        <v>0.64357598393253213</v>
      </c>
      <c r="DT442" s="457">
        <f t="shared" si="2477"/>
        <v>0.16078849060623082</v>
      </c>
      <c r="DU442" s="457">
        <f t="shared" si="2477"/>
        <v>0.12675492521469719</v>
      </c>
      <c r="DV442" s="457">
        <f t="shared" si="2477"/>
        <v>0.13519754880152229</v>
      </c>
      <c r="DW442" s="457">
        <f t="shared" si="2477"/>
        <v>0.19720774418314674</v>
      </c>
      <c r="DX442" s="457">
        <f t="shared" si="2477"/>
        <v>0.15576085881967489</v>
      </c>
      <c r="DY442" s="457">
        <f t="shared" si="2477"/>
        <v>0.67167377194375333</v>
      </c>
      <c r="DZ442" s="457">
        <f t="shared" si="2477"/>
        <v>0.63515691246286587</v>
      </c>
      <c r="EA442" s="457">
        <f t="shared" si="2477"/>
        <v>0.64999240481170339</v>
      </c>
      <c r="EB442" s="457">
        <f t="shared" si="2477"/>
        <v>0.66552871217531318</v>
      </c>
      <c r="EC442" s="457">
        <f t="shared" si="2477"/>
        <v>0.65486763046661922</v>
      </c>
      <c r="ED442" s="16"/>
      <c r="EE442" s="545"/>
      <c r="EF442" s="545"/>
      <c r="EG442" s="545"/>
      <c r="EH442" s="545"/>
      <c r="EI442" s="545"/>
      <c r="EJ442" s="545"/>
      <c r="EK442" s="545"/>
      <c r="EL442" s="545"/>
      <c r="EM442" s="545"/>
      <c r="EN442" s="545"/>
      <c r="EO442" s="545"/>
      <c r="EP442" s="545"/>
      <c r="EQ442" s="545"/>
      <c r="ER442" s="545"/>
      <c r="ES442" s="16"/>
      <c r="ET442" s="16"/>
      <c r="EU442" s="16"/>
      <c r="EX442" s="16"/>
      <c r="EY442" s="228"/>
      <c r="EZ442" s="945"/>
      <c r="FA442" s="477"/>
      <c r="FB442" s="228"/>
      <c r="FC442" s="477"/>
      <c r="FD442" s="16"/>
    </row>
    <row r="443" spans="1:160" x14ac:dyDescent="0.2">
      <c r="A443" s="230" t="s">
        <v>413</v>
      </c>
      <c r="B443" s="118"/>
      <c r="C443" s="118"/>
      <c r="D443" s="118"/>
      <c r="E443" s="118"/>
      <c r="F443" s="118"/>
      <c r="G443" s="118"/>
      <c r="H443" s="118"/>
      <c r="I443" s="118"/>
      <c r="J443" s="118"/>
      <c r="K443" s="118"/>
      <c r="L443" s="118"/>
      <c r="M443" s="118"/>
      <c r="N443" s="118"/>
      <c r="O443" s="118"/>
      <c r="P443" s="118"/>
      <c r="Q443" s="43"/>
      <c r="R443" s="118"/>
      <c r="S443" s="118"/>
      <c r="T443" s="118"/>
      <c r="U443" s="118"/>
      <c r="V443" s="43"/>
      <c r="W443" s="43"/>
      <c r="X443" s="43"/>
      <c r="Y443" s="43"/>
      <c r="Z443" s="43"/>
      <c r="AA443" s="43"/>
      <c r="AB443" s="43"/>
      <c r="AC443" s="43"/>
      <c r="AD443" s="43"/>
      <c r="AE443" s="43"/>
      <c r="AF443" s="148"/>
      <c r="AG443" s="43"/>
      <c r="AH443" s="43"/>
      <c r="AI443" s="43"/>
      <c r="AJ443" s="43"/>
      <c r="AK443" s="43"/>
      <c r="AL443" s="43"/>
      <c r="AM443" s="43"/>
      <c r="AN443" s="43"/>
      <c r="AO443" s="43"/>
      <c r="AP443" s="43"/>
      <c r="AQ443" s="43"/>
      <c r="AR443" s="43"/>
      <c r="AS443" s="43"/>
      <c r="AT443" s="43"/>
      <c r="AU443" s="43"/>
      <c r="AV443" s="45"/>
      <c r="AW443" s="43">
        <f>'CF '!AS11/AW20</f>
        <v>4.6071368738482173E-2</v>
      </c>
      <c r="AX443" s="43">
        <f>'CF '!AT11/AX20</f>
        <v>5.1043338683788103E-2</v>
      </c>
      <c r="AY443" s="43">
        <f>'CF '!AY11/AY20</f>
        <v>4.2666666666666672E-2</v>
      </c>
      <c r="AZ443" s="43">
        <f>'CF '!AZ11/AZ20</f>
        <v>5.6810403832991109E-2</v>
      </c>
      <c r="BA443" s="43">
        <f>'CF '!BA11/BA20</f>
        <v>4.9120326082435634E-2</v>
      </c>
      <c r="BB443" s="43">
        <f>'CF '!BB11/BB20</f>
        <v>6.3405797101449279E-2</v>
      </c>
      <c r="BC443" s="43">
        <f>'CF '!BC11/BC20</f>
        <v>5.6768558951965066E-2</v>
      </c>
      <c r="BD443" s="43">
        <f>'CF '!BD11/BD20</f>
        <v>5.6442323514892208E-2</v>
      </c>
      <c r="BE443" s="43">
        <f>'CF '!BE11/BE20</f>
        <v>5.735446090251467E-2</v>
      </c>
      <c r="BF443" s="43">
        <f>'CF '!BF11/BF20</f>
        <v>5.8397910690585274E-2</v>
      </c>
      <c r="BG443" s="43">
        <f>'CF '!BG11/BG20</f>
        <v>5.9659589401649414E-2</v>
      </c>
      <c r="BH443" s="43">
        <f>'CF '!BH11/BH20</f>
        <v>6.1760355029585816E-2</v>
      </c>
      <c r="BI443" s="43">
        <f>'CF '!BI11/BI20</f>
        <v>6.2760588106210213E-2</v>
      </c>
      <c r="BJ443" s="43">
        <f>'CF '!BJ11/BJ20</f>
        <v>4.4993819530284307E-2</v>
      </c>
      <c r="BK443" s="43">
        <f>'CF '!BK11/BK20</f>
        <v>5.7943071693135118E-2</v>
      </c>
      <c r="BL443" s="43">
        <f>'CF '!BL11/BL20</f>
        <v>5.0656087885260916E-2</v>
      </c>
      <c r="BM443" s="43">
        <f>'CF '!BM11/BM20</f>
        <v>5.7491915199425078E-2</v>
      </c>
      <c r="BN443" s="43">
        <f>'CF '!BN11/BN20</f>
        <v>5.7433660487095584E-2</v>
      </c>
      <c r="BO443" s="43">
        <f>'CF '!BO11/BO20</f>
        <v>6.561085972850679E-2</v>
      </c>
      <c r="BP443" s="43">
        <f>'CF '!BP11/BP20</f>
        <v>5.7402076245310997E-2</v>
      </c>
      <c r="BQ443" s="43">
        <f>'CF '!BQ11/BQ20</f>
        <v>6.8078040680780397E-2</v>
      </c>
      <c r="BR443" s="43">
        <f>'CF '!BR11/BR20</f>
        <v>6.0490045941807062E-2</v>
      </c>
      <c r="BS443" s="148">
        <v>0.06</v>
      </c>
      <c r="BT443" s="148">
        <v>0.06</v>
      </c>
      <c r="BU443" s="43">
        <f>'CF '!BU11/BU20</f>
        <v>6.0886995740415929E-2</v>
      </c>
      <c r="BV443" s="1340">
        <f>'CF '!BV11/BV20</f>
        <v>5.4637183340489483E-2</v>
      </c>
      <c r="BW443" s="1340">
        <f>'CF '!BW11/BW20</f>
        <v>4.8361197695286663E-2</v>
      </c>
      <c r="BX443" s="1340">
        <v>0.06</v>
      </c>
      <c r="BY443" s="1340">
        <v>0.06</v>
      </c>
      <c r="BZ443" s="43">
        <f>'CF '!BZ11/BZ20</f>
        <v>4.3419137819977575E-2</v>
      </c>
      <c r="CA443" s="148">
        <v>0.06</v>
      </c>
      <c r="CB443" s="148">
        <v>0.06</v>
      </c>
      <c r="CC443" s="148">
        <v>0.06</v>
      </c>
      <c r="CD443" s="148">
        <v>0.06</v>
      </c>
      <c r="CE443" s="43">
        <f>'CF '!BZ11/CE20</f>
        <v>4.4913873945017523E-2</v>
      </c>
      <c r="CF443" s="43">
        <f>'CF '!CA11/CF20</f>
        <v>4.5835601524224279E-2</v>
      </c>
      <c r="CG443" s="43">
        <f>'CF '!CB11/CG20</f>
        <v>4.1915016343010959E-2</v>
      </c>
      <c r="CH443" s="43">
        <f>'CF '!CC11/CH20</f>
        <v>4.0252858603699926E-2</v>
      </c>
      <c r="CI443" s="43">
        <f>'CF '!CD11/CI20</f>
        <v>3.8780615091147927E-2</v>
      </c>
      <c r="CJ443" s="43">
        <f>'CF '!CE11/CJ20</f>
        <v>4.151209181384443E-2</v>
      </c>
      <c r="CK443" s="43">
        <f>'CF '!CF11/CK20</f>
        <v>4.3373975614631223E-2</v>
      </c>
      <c r="CL443" s="148">
        <v>0.06</v>
      </c>
      <c r="CM443" s="148">
        <v>0.06</v>
      </c>
      <c r="CN443" s="148">
        <v>0.06</v>
      </c>
      <c r="CO443" s="43">
        <f>'CF '!CJ11/CO20</f>
        <v>3.9575184108738878E-2</v>
      </c>
      <c r="CP443" s="148">
        <v>0.06</v>
      </c>
      <c r="CQ443" s="148">
        <v>0.06</v>
      </c>
      <c r="CR443" s="148">
        <v>0.06</v>
      </c>
      <c r="CS443" s="148">
        <v>0.06</v>
      </c>
      <c r="CT443" s="43">
        <f>'CF '!CO11/CT20</f>
        <v>3.7911096993571161E-2</v>
      </c>
      <c r="CU443" s="148">
        <v>0.06</v>
      </c>
      <c r="CV443" s="148">
        <v>0.06</v>
      </c>
      <c r="CW443" s="148">
        <v>0.06</v>
      </c>
      <c r="CX443" s="148">
        <v>0.06</v>
      </c>
      <c r="CY443" s="43">
        <f>'CF '!CT11/CY20</f>
        <v>3.7212701165224633E-2</v>
      </c>
      <c r="CZ443" s="148">
        <v>0.06</v>
      </c>
      <c r="DA443" s="148">
        <v>0.06</v>
      </c>
      <c r="DB443" s="148">
        <v>0.06</v>
      </c>
      <c r="DC443" s="148">
        <v>0.06</v>
      </c>
      <c r="DD443" s="43">
        <f>'CF '!CY11/DD20</f>
        <v>3.6148223729282287E-2</v>
      </c>
      <c r="DE443" s="148">
        <v>0.06</v>
      </c>
      <c r="DF443" s="148">
        <v>0.06</v>
      </c>
      <c r="DG443" s="148">
        <v>0.06</v>
      </c>
      <c r="DH443" s="148">
        <v>0.06</v>
      </c>
      <c r="DI443" s="43">
        <f>'CF '!DD11/DI20</f>
        <v>3.770464332748831E-2</v>
      </c>
      <c r="DJ443" s="148">
        <v>0.06</v>
      </c>
      <c r="DK443" s="148">
        <v>0.06</v>
      </c>
      <c r="DL443" s="148">
        <v>0.06</v>
      </c>
      <c r="DM443" s="148">
        <v>0.06</v>
      </c>
      <c r="DN443" s="43">
        <f>'CF '!DI11/DN20</f>
        <v>3.6942574464281917E-2</v>
      </c>
      <c r="DO443" s="148">
        <v>0.06</v>
      </c>
      <c r="DP443" s="148">
        <v>0.06</v>
      </c>
      <c r="DQ443" s="148">
        <v>0.06</v>
      </c>
      <c r="DR443" s="148">
        <v>0.06</v>
      </c>
      <c r="DS443" s="43">
        <f>'CF '!DN11/DS20</f>
        <v>3.57238392361654E-2</v>
      </c>
      <c r="DT443" s="148">
        <v>0.06</v>
      </c>
      <c r="DU443" s="148">
        <v>0.06</v>
      </c>
      <c r="DV443" s="148">
        <v>0.06</v>
      </c>
      <c r="DW443" s="148">
        <v>0.06</v>
      </c>
      <c r="DX443" s="43">
        <f>'CF '!DS11/DX20</f>
        <v>3.4536602146728448E-2</v>
      </c>
      <c r="DY443" s="148">
        <v>0.06</v>
      </c>
      <c r="DZ443" s="148">
        <v>0.06</v>
      </c>
      <c r="EA443" s="148">
        <v>0.06</v>
      </c>
      <c r="EB443" s="148">
        <v>0.06</v>
      </c>
      <c r="EC443" s="43">
        <f>'CF '!DX11/EC20</f>
        <v>3.3386892236709036E-2</v>
      </c>
      <c r="ED443" s="16"/>
      <c r="EE443" s="545"/>
      <c r="EF443" s="545"/>
      <c r="EG443" s="545"/>
      <c r="EH443" s="545"/>
      <c r="EI443" s="545"/>
      <c r="EJ443" s="545"/>
      <c r="EK443" s="545"/>
      <c r="EL443" s="545"/>
      <c r="EM443" s="545"/>
      <c r="EN443" s="545"/>
      <c r="EO443" s="545"/>
      <c r="EP443" s="545"/>
      <c r="EQ443" s="545"/>
      <c r="ER443" s="545"/>
      <c r="ES443" s="16"/>
      <c r="ET443" s="16"/>
      <c r="EU443" s="16"/>
      <c r="EX443" s="16"/>
      <c r="EY443" s="228"/>
      <c r="EZ443" s="945"/>
      <c r="FA443" s="477"/>
      <c r="FB443" s="228"/>
      <c r="FC443" s="477"/>
      <c r="FD443" s="16"/>
    </row>
    <row r="444" spans="1:160" x14ac:dyDescent="0.2">
      <c r="A444" s="118" t="s">
        <v>126</v>
      </c>
      <c r="B444" s="118"/>
      <c r="C444" s="118"/>
      <c r="D444" s="118"/>
      <c r="E444" s="118"/>
      <c r="F444" s="118"/>
      <c r="G444" s="118"/>
      <c r="H444" s="118"/>
      <c r="I444" s="118"/>
      <c r="J444" s="118"/>
      <c r="K444" s="118"/>
      <c r="L444" s="118"/>
      <c r="M444" s="118"/>
      <c r="N444" s="118"/>
      <c r="O444" s="118"/>
      <c r="P444" s="118"/>
      <c r="Q444" s="118"/>
      <c r="R444" s="118"/>
      <c r="S444" s="118"/>
      <c r="T444" s="118"/>
      <c r="U444" s="118"/>
      <c r="V444" s="118"/>
      <c r="W444" s="118"/>
      <c r="X444" s="118"/>
      <c r="Y444" s="118"/>
      <c r="Z444" s="118"/>
      <c r="AA444" s="658">
        <f>'CF '!AA11</f>
        <v>88</v>
      </c>
      <c r="AB444" s="658">
        <f>'CF '!AB11</f>
        <v>22</v>
      </c>
      <c r="AC444" s="658">
        <f>'CF '!AC11</f>
        <v>21</v>
      </c>
      <c r="AD444" s="658">
        <f>'CF '!AD11</f>
        <v>22</v>
      </c>
      <c r="AE444" s="658">
        <f>'CF '!AE11</f>
        <v>24</v>
      </c>
      <c r="AF444" s="658">
        <f>'CF '!AF11</f>
        <v>89</v>
      </c>
      <c r="AG444" s="658">
        <f>'CF '!AG11</f>
        <v>21</v>
      </c>
      <c r="AH444" s="658">
        <f>'CF '!AH11</f>
        <v>23</v>
      </c>
      <c r="AI444" s="658">
        <f>'CF '!AI11</f>
        <v>26</v>
      </c>
      <c r="AJ444" s="658">
        <f>'CF '!AJ11</f>
        <v>26</v>
      </c>
      <c r="AK444" s="658">
        <f>'CF '!AK11</f>
        <v>96</v>
      </c>
      <c r="AL444" s="658">
        <f>'CF '!AL11</f>
        <v>26</v>
      </c>
      <c r="AM444" s="658">
        <f>'CF '!AM11</f>
        <v>23</v>
      </c>
      <c r="AN444" s="658">
        <f>'CF '!AN11</f>
        <v>23</v>
      </c>
      <c r="AO444" s="658">
        <f>'CF '!AO11</f>
        <v>26.099999999999994</v>
      </c>
      <c r="AP444" s="658">
        <f>'CF '!AP11</f>
        <v>98.1</v>
      </c>
      <c r="AQ444" s="658">
        <f>'CF '!AQ11</f>
        <v>25.1</v>
      </c>
      <c r="AR444" s="658">
        <f>'CF '!AR11</f>
        <v>27.299999999999997</v>
      </c>
      <c r="AS444" s="658"/>
      <c r="AT444" s="658"/>
      <c r="AU444" s="658">
        <f>'CF '!AY11</f>
        <v>25.6</v>
      </c>
      <c r="AV444" s="45"/>
      <c r="AW444" s="658">
        <f>'CF '!AS11</f>
        <v>27.500000000000007</v>
      </c>
      <c r="AX444" s="658">
        <f>'CF '!AT11</f>
        <v>31.79999999999999</v>
      </c>
      <c r="AY444" s="658">
        <f>'CF '!AY11</f>
        <v>25.6</v>
      </c>
      <c r="AZ444" s="658">
        <f>'CF '!AZ11</f>
        <v>33.200000000000003</v>
      </c>
      <c r="BA444" s="658">
        <f>'CF '!BB11</f>
        <v>35</v>
      </c>
      <c r="BB444" s="658">
        <f>'CF '!BB11</f>
        <v>35</v>
      </c>
      <c r="BC444" s="668">
        <f>'CF '!BC11</f>
        <v>33.799999999999997</v>
      </c>
      <c r="BD444" s="658">
        <f>'CF '!BD11</f>
        <v>34.299999999999997</v>
      </c>
      <c r="BE444" s="658">
        <f>'CF '!BE11</f>
        <v>33.300000000000011</v>
      </c>
      <c r="BF444" s="658">
        <f>'CF '!BF11</f>
        <v>136.4</v>
      </c>
      <c r="BG444" s="658">
        <f>'CF '!BG11</f>
        <v>34</v>
      </c>
      <c r="BH444" s="658">
        <f>'CF '!BH11</f>
        <v>33.400000000000006</v>
      </c>
      <c r="BI444" s="658">
        <f>'CF '!BI11</f>
        <v>28.599999999999994</v>
      </c>
      <c r="BJ444" s="658">
        <f>'CF '!BJ11</f>
        <v>18.200000000000003</v>
      </c>
      <c r="BK444" s="658">
        <f>'CF '!BK11</f>
        <v>114.2</v>
      </c>
      <c r="BL444" s="658">
        <f>'CF '!BL11</f>
        <v>16.600000000000001</v>
      </c>
      <c r="BM444" s="658">
        <f>'CF '!BM11</f>
        <v>16</v>
      </c>
      <c r="BN444" s="658">
        <f>'CF '!BN11</f>
        <v>15.799999999999997</v>
      </c>
      <c r="BO444" s="658">
        <f>'CF '!BO11</f>
        <v>17.399999999999999</v>
      </c>
      <c r="BP444" s="658">
        <f>'CF '!BP11</f>
        <v>65.8</v>
      </c>
      <c r="BQ444" s="658">
        <f>'CF '!BQ11</f>
        <v>16.399999999999999</v>
      </c>
      <c r="BR444" s="658">
        <f>'CF '!BR11</f>
        <v>15.800000000000004</v>
      </c>
      <c r="BS444" s="658">
        <f>'CF '!BS11</f>
        <v>16.5</v>
      </c>
      <c r="BT444" s="658">
        <f>'CF '!BT11</f>
        <v>24.200000000000003</v>
      </c>
      <c r="BU444" s="658">
        <f>'CF '!BU11</f>
        <v>72.900000000000006</v>
      </c>
      <c r="BV444" s="1341">
        <f>'CF '!BV11</f>
        <v>50.9</v>
      </c>
      <c r="BW444" s="1341">
        <f>'CF '!BW11</f>
        <v>51.199999999999996</v>
      </c>
      <c r="BX444" s="1341">
        <f>'CF '!BX11</f>
        <v>35.700000000000024</v>
      </c>
      <c r="BY444" s="1341">
        <f>'CF '!BY11</f>
        <v>44.199999999999989</v>
      </c>
      <c r="BZ444" s="658">
        <f>'CF '!BZ11</f>
        <v>182</v>
      </c>
      <c r="CA444" s="658">
        <f>'CF '!BV11</f>
        <v>50.9</v>
      </c>
      <c r="CB444" s="658">
        <f>'CF '!BW11</f>
        <v>51.199999999999996</v>
      </c>
      <c r="CC444" s="658">
        <f>'CF '!BX11</f>
        <v>35.700000000000024</v>
      </c>
      <c r="CD444" s="658">
        <f>'CF '!BY11</f>
        <v>44.199999999999989</v>
      </c>
      <c r="CE444" s="658">
        <f>'CF '!BZ11</f>
        <v>182</v>
      </c>
      <c r="CF444" s="658">
        <f>'CF '!CA11</f>
        <v>42.1</v>
      </c>
      <c r="CG444" s="658">
        <f>'CF '!CB11</f>
        <v>43.6</v>
      </c>
      <c r="CH444" s="658">
        <f>'CF '!CC11</f>
        <v>43.300000000000004</v>
      </c>
      <c r="CI444" s="658">
        <f>'CF '!CD11</f>
        <v>43.099999999999987</v>
      </c>
      <c r="CJ444" s="658">
        <f>'CF '!CE11</f>
        <v>172.1</v>
      </c>
      <c r="CK444" s="658">
        <f>'CF '!CF11</f>
        <v>43.4</v>
      </c>
      <c r="CL444" s="658">
        <f>'CF '!CG11</f>
        <v>45.300000000000004</v>
      </c>
      <c r="CM444" s="658">
        <f>'CF '!CH11</f>
        <v>46.2</v>
      </c>
      <c r="CN444" s="658">
        <f>'CF '!CI11</f>
        <v>46.199999999999967</v>
      </c>
      <c r="CO444" s="658">
        <f>'CF '!CJ11</f>
        <v>181.1</v>
      </c>
      <c r="CP444" s="658">
        <f>'CF '!CK11</f>
        <v>47</v>
      </c>
      <c r="CQ444" s="658">
        <f>'CF '!CL11</f>
        <v>54.40251031041111</v>
      </c>
      <c r="CR444" s="658">
        <f>'CF '!CM11</f>
        <v>53.742002046448995</v>
      </c>
      <c r="CS444" s="658">
        <f>'CF '!CN11</f>
        <v>53.887610495135164</v>
      </c>
      <c r="CT444" s="658">
        <f>'CF '!CO11</f>
        <v>209.03212285199527</v>
      </c>
      <c r="CU444" s="658">
        <f>'CF '!CP11</f>
        <v>50.398301010244019</v>
      </c>
      <c r="CV444" s="658">
        <f>'CF '!CQ11</f>
        <v>56.306061999392234</v>
      </c>
      <c r="CW444" s="658">
        <f>'CF '!CR11</f>
        <v>55.585714757027056</v>
      </c>
      <c r="CX444" s="658">
        <f>'CF '!CS11</f>
        <v>56.007669710847033</v>
      </c>
      <c r="CY444" s="658">
        <f>'CF '!CT11</f>
        <v>218.29774747751034</v>
      </c>
      <c r="CZ444" s="658">
        <f>'CF '!CU11</f>
        <v>52.694006538201222</v>
      </c>
      <c r="DA444" s="658">
        <f>'CF '!CV11</f>
        <v>58.511040577400586</v>
      </c>
      <c r="DB444" s="658">
        <f>'CF '!CW11</f>
        <v>57.756009047035583</v>
      </c>
      <c r="DC444" s="658">
        <f>'CF '!CX11</f>
        <v>58.003656595432204</v>
      </c>
      <c r="DD444" s="658">
        <f>'CF '!CY11</f>
        <v>226.9647127580696</v>
      </c>
      <c r="DE444" s="658">
        <f>'CF '!CZ11</f>
        <v>60.54137743178174</v>
      </c>
      <c r="DF444" s="658">
        <f>'CF '!DA11</f>
        <v>60.593531031894813</v>
      </c>
      <c r="DG444" s="658">
        <f>'CF '!DB11</f>
        <v>62.168871247166372</v>
      </c>
      <c r="DH444" s="658">
        <f>'CF '!DC11</f>
        <v>71.348787237412679</v>
      </c>
      <c r="DI444" s="658">
        <f>'CF '!DD11</f>
        <v>254.65256694825558</v>
      </c>
      <c r="DJ444" s="658">
        <f>'CF '!DE11</f>
        <v>63.090320380183108</v>
      </c>
      <c r="DK444" s="658">
        <f>'CF '!DF11</f>
        <v>63.215710422109495</v>
      </c>
      <c r="DL444" s="658">
        <f>'CF '!DG11</f>
        <v>64.968535657024489</v>
      </c>
      <c r="DM444" s="658">
        <f>'CF '!DH11</f>
        <v>74.819262566648973</v>
      </c>
      <c r="DN444" s="658">
        <f>'CF '!DI11</f>
        <v>266.0938290259661</v>
      </c>
      <c r="DO444" s="658">
        <f>'CF '!DJ11</f>
        <v>65.971188152727422</v>
      </c>
      <c r="DP444" s="658">
        <f>'CF '!DK11</f>
        <v>64.873967790299375</v>
      </c>
      <c r="DQ444" s="658">
        <f>'CF '!DL11</f>
        <v>66.603728716464303</v>
      </c>
      <c r="DR444" s="658">
        <f>'CF '!DM11</f>
        <v>77.106777581354308</v>
      </c>
      <c r="DS444" s="658">
        <f>'CF '!DN11</f>
        <v>274.55566224084538</v>
      </c>
      <c r="DT444" s="658">
        <f>'CF '!DO11</f>
        <v>69.635932087753289</v>
      </c>
      <c r="DU444" s="658">
        <f>'CF '!DP11</f>
        <v>66.468997666667036</v>
      </c>
      <c r="DV444" s="658">
        <f>'CF '!DQ11</f>
        <v>68.167998379578023</v>
      </c>
      <c r="DW444" s="658">
        <f>'CF '!DR11</f>
        <v>79.33542089044208</v>
      </c>
      <c r="DX444" s="658">
        <f>'CF '!DS11</f>
        <v>283.60834902444043</v>
      </c>
      <c r="DY444" s="658">
        <f>'CF '!DT11</f>
        <v>71.977570753942317</v>
      </c>
      <c r="DZ444" s="658">
        <f>'CF '!DU11</f>
        <v>67.99255214915226</v>
      </c>
      <c r="EA444" s="658">
        <f>'CF '!DV11</f>
        <v>69.656781427461453</v>
      </c>
      <c r="EB444" s="658">
        <f>'CF '!DW11</f>
        <v>81.500706980026536</v>
      </c>
      <c r="EC444" s="658">
        <f>'CF '!DX11</f>
        <v>291.12761131058255</v>
      </c>
      <c r="ED444" s="118"/>
      <c r="EE444" s="545"/>
      <c r="EF444" s="545"/>
      <c r="EG444" s="545"/>
      <c r="EH444" s="545"/>
      <c r="EI444" s="545"/>
      <c r="EJ444" s="545"/>
      <c r="EK444" s="545"/>
      <c r="EL444" s="545"/>
      <c r="EM444" s="545"/>
      <c r="EN444" s="545"/>
      <c r="EO444" s="545"/>
      <c r="EP444" s="545"/>
      <c r="EQ444" s="545"/>
      <c r="ER444" s="545"/>
      <c r="ES444" s="118"/>
      <c r="ET444" s="118"/>
      <c r="EU444" s="118"/>
      <c r="EX444" s="118"/>
      <c r="EY444" s="986"/>
      <c r="EZ444" s="992"/>
      <c r="FA444" s="987"/>
      <c r="FB444" s="986"/>
      <c r="FC444" s="987"/>
      <c r="FD444" s="118"/>
    </row>
    <row r="445" spans="1:160" x14ac:dyDescent="0.2">
      <c r="A445" s="23" t="s">
        <v>563</v>
      </c>
      <c r="B445" s="16"/>
      <c r="C445" s="16"/>
      <c r="D445" s="16"/>
      <c r="E445" s="16"/>
      <c r="F445" s="16"/>
      <c r="G445" s="16"/>
      <c r="H445" s="16"/>
      <c r="I445" s="16"/>
      <c r="J445" s="16"/>
      <c r="K445" s="16"/>
      <c r="L445" s="16"/>
      <c r="M445" s="16"/>
      <c r="N445" s="16"/>
      <c r="O445" s="16"/>
      <c r="P445" s="16"/>
      <c r="Q445" s="16"/>
      <c r="R445" s="16"/>
      <c r="S445" s="16"/>
      <c r="T445" s="16"/>
      <c r="U445" s="16"/>
      <c r="V445" s="16"/>
      <c r="W445" s="16"/>
      <c r="X445" s="16"/>
      <c r="Y445" s="16"/>
      <c r="Z445" s="16"/>
      <c r="AA445" s="34"/>
      <c r="AB445" s="34"/>
      <c r="AC445" s="34"/>
      <c r="AD445" s="34"/>
      <c r="AE445" s="34"/>
      <c r="AF445" s="34">
        <f t="shared" ref="AF445:AR445" si="2478">AF444/AA444-1</f>
        <v>1.1363636363636465E-2</v>
      </c>
      <c r="AG445" s="34">
        <f t="shared" si="2478"/>
        <v>-4.5454545454545414E-2</v>
      </c>
      <c r="AH445" s="34">
        <f t="shared" si="2478"/>
        <v>9.5238095238095344E-2</v>
      </c>
      <c r="AI445" s="34">
        <f t="shared" si="2478"/>
        <v>0.18181818181818188</v>
      </c>
      <c r="AJ445" s="34">
        <f t="shared" si="2478"/>
        <v>8.3333333333333259E-2</v>
      </c>
      <c r="AK445" s="34">
        <f t="shared" si="2478"/>
        <v>7.8651685393258397E-2</v>
      </c>
      <c r="AL445" s="34">
        <f t="shared" si="2478"/>
        <v>0.23809523809523814</v>
      </c>
      <c r="AM445" s="34">
        <f t="shared" si="2478"/>
        <v>0</v>
      </c>
      <c r="AN445" s="34">
        <f t="shared" si="2478"/>
        <v>-0.11538461538461542</v>
      </c>
      <c r="AO445" s="34">
        <f t="shared" si="2478"/>
        <v>3.8461538461536104E-3</v>
      </c>
      <c r="AP445" s="34">
        <f t="shared" si="2478"/>
        <v>2.1874999999999867E-2</v>
      </c>
      <c r="AQ445" s="34">
        <f t="shared" si="2478"/>
        <v>-3.4615384615384603E-2</v>
      </c>
      <c r="AR445" s="34">
        <f t="shared" si="2478"/>
        <v>0.18695652173913024</v>
      </c>
      <c r="AS445" s="34"/>
      <c r="AT445" s="34"/>
      <c r="AU445" s="34">
        <f>AU444/AP444-1</f>
        <v>-0.73904179408766568</v>
      </c>
      <c r="AV445" s="45"/>
      <c r="AW445" s="34">
        <f>AW444/AN444-1</f>
        <v>0.19565217391304368</v>
      </c>
      <c r="AX445" s="34">
        <f>AX444/AO444-1</f>
        <v>0.21839080459770099</v>
      </c>
      <c r="AY445" s="34"/>
      <c r="AZ445" s="34"/>
      <c r="BA445" s="34">
        <f>BA444/AQ444-1</f>
        <v>0.39442231075697198</v>
      </c>
      <c r="BB445" s="34">
        <f>BB444/AQ444-1</f>
        <v>0.39442231075697198</v>
      </c>
      <c r="BC445" s="22">
        <f>BC444/AR444-1</f>
        <v>0.23809523809523814</v>
      </c>
      <c r="BD445" s="34">
        <f>BD444/AW444-1</f>
        <v>0.24727272727272687</v>
      </c>
      <c r="BE445" s="34">
        <f>BE444/AX444-1</f>
        <v>4.7169811320755484E-2</v>
      </c>
      <c r="BF445" s="34"/>
      <c r="BG445" s="34">
        <f>BG444/BB444-1</f>
        <v>-2.8571428571428581E-2</v>
      </c>
      <c r="BH445" s="34">
        <f>BH444/BC444-1</f>
        <v>-1.1834319526626946E-2</v>
      </c>
      <c r="BI445" s="34">
        <f>BI444/BD444-1</f>
        <v>-0.16618075801749277</v>
      </c>
      <c r="BJ445" s="34">
        <f>BJ444/BE444-1</f>
        <v>-0.45345345345345356</v>
      </c>
      <c r="BK445" s="34">
        <f>BK444/BF444-1</f>
        <v>-0.16275659824046917</v>
      </c>
      <c r="BL445" s="34">
        <f t="shared" ref="BL445:BU445" si="2479">BL444/BG444-1</f>
        <v>-0.5117647058823529</v>
      </c>
      <c r="BM445" s="34">
        <f t="shared" si="2479"/>
        <v>-0.52095808383233533</v>
      </c>
      <c r="BN445" s="34">
        <f t="shared" si="2479"/>
        <v>-0.4475524475524475</v>
      </c>
      <c r="BO445" s="34">
        <f t="shared" si="2479"/>
        <v>-4.3956043956044133E-2</v>
      </c>
      <c r="BP445" s="34">
        <f>BP444/BK444-1</f>
        <v>-0.42381786339754823</v>
      </c>
      <c r="BQ445" s="34">
        <f>BQ444/BL444-1</f>
        <v>-1.2048192771084487E-2</v>
      </c>
      <c r="BR445" s="34">
        <f>BR444/BM444-1</f>
        <v>-1.2499999999999734E-2</v>
      </c>
      <c r="BS445" s="34">
        <f>BS444/BN444-1</f>
        <v>4.4303797468354666E-2</v>
      </c>
      <c r="BT445" s="34">
        <f>BT444/BO444-1</f>
        <v>0.39080459770114961</v>
      </c>
      <c r="BU445" s="34">
        <f t="shared" si="2479"/>
        <v>0.10790273556231011</v>
      </c>
      <c r="BV445" s="1342">
        <f>BV444/BQ444-1</f>
        <v>2.1036585365853662</v>
      </c>
      <c r="BW445" s="1342">
        <f>BW444/BR444-1</f>
        <v>2.2405063291139231</v>
      </c>
      <c r="BX445" s="1342">
        <f>BX444/BS444-1</f>
        <v>1.1636363636363649</v>
      </c>
      <c r="BY445" s="1342">
        <f>BY444/BT444-1</f>
        <v>0.82644628099173478</v>
      </c>
      <c r="BZ445" s="34">
        <f t="shared" ref="BZ445" si="2480">BZ444/BU444-1</f>
        <v>1.4965706447187928</v>
      </c>
      <c r="CA445" s="34">
        <f>CA444/BQ444-1</f>
        <v>2.1036585365853662</v>
      </c>
      <c r="CB445" s="34">
        <f>CB444/BR444-1</f>
        <v>2.2405063291139231</v>
      </c>
      <c r="CC445" s="34">
        <f>CC444/BS444-1</f>
        <v>1.1636363636363649</v>
      </c>
      <c r="CD445" s="34">
        <f>CD444/BT444-1</f>
        <v>0.82644628099173478</v>
      </c>
      <c r="CE445" s="34">
        <f>CE444/BU444-1</f>
        <v>1.4965706447187928</v>
      </c>
      <c r="CF445" s="34">
        <f t="shared" ref="CF445:CG445" si="2481">CF444/CA444-1</f>
        <v>-0.17288801571709234</v>
      </c>
      <c r="CG445" s="34">
        <f t="shared" si="2481"/>
        <v>-0.14843749999999989</v>
      </c>
      <c r="CH445" s="34">
        <f t="shared" ref="CH445:DF445" si="2482">CH444/CC444-1</f>
        <v>0.21288515406162389</v>
      </c>
      <c r="CI445" s="34">
        <f t="shared" si="2482"/>
        <v>-2.4886877828054321E-2</v>
      </c>
      <c r="CJ445" s="34">
        <f t="shared" si="2482"/>
        <v>-5.4395604395604424E-2</v>
      </c>
      <c r="CK445" s="34">
        <f t="shared" si="2482"/>
        <v>3.0878859857482066E-2</v>
      </c>
      <c r="CL445" s="34">
        <f t="shared" si="2482"/>
        <v>3.8990825688073549E-2</v>
      </c>
      <c r="CM445" s="34">
        <f t="shared" si="2482"/>
        <v>6.6974595842956175E-2</v>
      </c>
      <c r="CN445" s="34">
        <f t="shared" si="2482"/>
        <v>7.1925754060324421E-2</v>
      </c>
      <c r="CO445" s="34">
        <f t="shared" si="2482"/>
        <v>5.2295177222545064E-2</v>
      </c>
      <c r="CP445" s="34">
        <f t="shared" si="2482"/>
        <v>8.2949308755760454E-2</v>
      </c>
      <c r="CQ445" s="34">
        <f t="shared" si="2482"/>
        <v>0.20093841744836882</v>
      </c>
      <c r="CR445" s="34">
        <f t="shared" si="2482"/>
        <v>0.16324679754218607</v>
      </c>
      <c r="CS445" s="34">
        <f t="shared" si="2482"/>
        <v>0.16639849556569697</v>
      </c>
      <c r="CT445" s="34">
        <f t="shared" si="2482"/>
        <v>0.15423590752068073</v>
      </c>
      <c r="CU445" s="34">
        <f t="shared" si="2482"/>
        <v>7.230427681370255E-2</v>
      </c>
      <c r="CV445" s="34">
        <f t="shared" si="2482"/>
        <v>3.4990144353997499E-2</v>
      </c>
      <c r="CW445" s="34">
        <f t="shared" si="2482"/>
        <v>3.4306736637472968E-2</v>
      </c>
      <c r="CX445" s="34">
        <f t="shared" si="2482"/>
        <v>3.934223834072692E-2</v>
      </c>
      <c r="CY445" s="34">
        <f t="shared" si="2482"/>
        <v>4.4326319319234919E-2</v>
      </c>
      <c r="CZ445" s="34">
        <f t="shared" si="2482"/>
        <v>4.5551248394079202E-2</v>
      </c>
      <c r="DA445" s="34">
        <f t="shared" si="2482"/>
        <v>3.9160589458949513E-2</v>
      </c>
      <c r="DB445" s="34">
        <f t="shared" si="2482"/>
        <v>3.9044101519521535E-2</v>
      </c>
      <c r="DC445" s="34">
        <f t="shared" si="2482"/>
        <v>3.5637742025153463E-2</v>
      </c>
      <c r="DD445" s="34">
        <f t="shared" si="2482"/>
        <v>3.970249524197289E-2</v>
      </c>
      <c r="DE445" s="34">
        <f t="shared" si="2482"/>
        <v>0.14892340531918857</v>
      </c>
      <c r="DF445" s="34">
        <f t="shared" si="2482"/>
        <v>3.5591410338010165E-2</v>
      </c>
      <c r="DG445" s="34">
        <f t="shared" ref="DG445:DX445" si="2483">DG444/DB444-1</f>
        <v>7.6405248093527778E-2</v>
      </c>
      <c r="DH445" s="34">
        <f t="shared" si="2483"/>
        <v>0.23007395438982381</v>
      </c>
      <c r="DI445" s="34">
        <f t="shared" si="2483"/>
        <v>0.12199188963660412</v>
      </c>
      <c r="DJ445" s="34">
        <f t="shared" si="2483"/>
        <v>4.2102493476854352E-2</v>
      </c>
      <c r="DK445" s="34">
        <f t="shared" si="2483"/>
        <v>4.3274906505026633E-2</v>
      </c>
      <c r="DL445" s="34">
        <f t="shared" si="2483"/>
        <v>4.5033219257390344E-2</v>
      </c>
      <c r="DM445" s="34">
        <f t="shared" si="2483"/>
        <v>4.8640985552961258E-2</v>
      </c>
      <c r="DN445" s="34">
        <f t="shared" si="2483"/>
        <v>4.4928909277538676E-2</v>
      </c>
      <c r="DO445" s="34">
        <f t="shared" si="2483"/>
        <v>4.5662595389976968E-2</v>
      </c>
      <c r="DP445" s="34">
        <f t="shared" si="2483"/>
        <v>2.6231728744598781E-2</v>
      </c>
      <c r="DQ445" s="34">
        <f t="shared" si="2483"/>
        <v>2.5168999776632894E-2</v>
      </c>
      <c r="DR445" s="34">
        <f t="shared" si="2483"/>
        <v>3.0573878119523279E-2</v>
      </c>
      <c r="DS445" s="34">
        <f t="shared" si="2483"/>
        <v>3.1800185843669171E-2</v>
      </c>
      <c r="DT445" s="34">
        <f t="shared" si="2483"/>
        <v>5.5550673523444116E-2</v>
      </c>
      <c r="DU445" s="34">
        <f t="shared" si="2483"/>
        <v>2.4586593524285272E-2</v>
      </c>
      <c r="DV445" s="34">
        <f t="shared" si="2483"/>
        <v>2.3486217562576739E-2</v>
      </c>
      <c r="DW445" s="34">
        <f t="shared" si="2483"/>
        <v>2.8903338707630066E-2</v>
      </c>
      <c r="DX445" s="34">
        <f t="shared" si="2483"/>
        <v>3.2972136541310482E-2</v>
      </c>
      <c r="DY445" s="34">
        <f t="shared" ref="DY445" si="2484">DY444/DT444-1</f>
        <v>3.3626873310723449E-2</v>
      </c>
      <c r="DZ445" s="34">
        <f t="shared" ref="DZ445" si="2485">DZ444/DU444-1</f>
        <v>2.292127963363666E-2</v>
      </c>
      <c r="EA445" s="34">
        <f t="shared" ref="EA445" si="2486">EA444/DV444-1</f>
        <v>2.1839911443394255E-2</v>
      </c>
      <c r="EB445" s="34">
        <f t="shared" ref="EB445" si="2487">EB444/DW444-1</f>
        <v>2.7292803961733503E-2</v>
      </c>
      <c r="EC445" s="34">
        <f t="shared" ref="EC445" si="2488">EC444/DX444-1</f>
        <v>2.6512838257431337E-2</v>
      </c>
      <c r="ED445" s="16"/>
      <c r="EE445" s="545"/>
      <c r="EF445" s="545"/>
      <c r="EG445" s="545"/>
      <c r="EH445" s="545"/>
      <c r="EI445" s="545"/>
      <c r="EJ445" s="545"/>
      <c r="EK445" s="545"/>
      <c r="EL445" s="545"/>
      <c r="EM445" s="545"/>
      <c r="EN445" s="545"/>
      <c r="EO445" s="545"/>
      <c r="EP445" s="545"/>
      <c r="EQ445" s="545"/>
      <c r="ER445" s="545"/>
      <c r="ES445" s="16"/>
      <c r="ET445" s="16"/>
      <c r="EU445" s="16"/>
      <c r="EX445" s="16"/>
      <c r="EY445" s="228"/>
      <c r="EZ445" s="945"/>
      <c r="FA445" s="477"/>
      <c r="FB445" s="228"/>
      <c r="FC445" s="477"/>
      <c r="FD445" s="16"/>
    </row>
    <row r="446" spans="1:160" x14ac:dyDescent="0.2">
      <c r="A446" s="253" t="s">
        <v>484</v>
      </c>
      <c r="B446" s="255"/>
      <c r="C446" s="255"/>
      <c r="D446" s="255"/>
      <c r="E446" s="255"/>
      <c r="F446" s="255"/>
      <c r="G446" s="255"/>
      <c r="H446" s="255"/>
      <c r="I446" s="255"/>
      <c r="J446" s="255"/>
      <c r="K446" s="255"/>
      <c r="L446" s="255"/>
      <c r="M446" s="255"/>
      <c r="N446" s="255"/>
      <c r="O446" s="255"/>
      <c r="P446" s="255"/>
      <c r="Q446" s="255"/>
      <c r="R446" s="255"/>
      <c r="S446" s="255"/>
      <c r="T446" s="255"/>
      <c r="U446" s="255"/>
      <c r="V446" s="436">
        <f>U446</f>
        <v>0</v>
      </c>
      <c r="W446" s="161">
        <f>W20+U20+T20+S20</f>
        <v>0</v>
      </c>
      <c r="X446" s="161">
        <f>X20+W20+U20+T20</f>
        <v>0</v>
      </c>
      <c r="Y446" s="161">
        <f>Y20+X20+W20+U20</f>
        <v>0</v>
      </c>
      <c r="Z446" s="161">
        <f>Z20+Y20+X20+W20</f>
        <v>0</v>
      </c>
      <c r="AA446" s="436">
        <f>Z446</f>
        <v>0</v>
      </c>
      <c r="AB446" s="161">
        <f>AB20+Z20+Y20+X20</f>
        <v>0</v>
      </c>
      <c r="AC446" s="161">
        <f>AC20+AB20+Z20+Y20</f>
        <v>0</v>
      </c>
      <c r="AD446" s="161">
        <f>AD20+AC20+AB20+Z20</f>
        <v>0</v>
      </c>
      <c r="AE446" s="161">
        <f>AE20+AD20+AC20+AB20</f>
        <v>0</v>
      </c>
      <c r="AF446" s="436">
        <f>AE446</f>
        <v>0</v>
      </c>
      <c r="AG446" s="161">
        <f>AG20+AE20+AD20+AC20</f>
        <v>0</v>
      </c>
      <c r="AH446" s="161">
        <f>AH20+AG20+AE20+AD20</f>
        <v>0</v>
      </c>
      <c r="AI446" s="161">
        <f>AI20+AH20+AG20+AE20</f>
        <v>0</v>
      </c>
      <c r="AJ446" s="161">
        <f>AJ20+AI20+AH20+AG20</f>
        <v>0</v>
      </c>
      <c r="AK446" s="436">
        <f>AJ446</f>
        <v>0</v>
      </c>
      <c r="AL446" s="161">
        <f>AL20+AJ20+AI20+AH20</f>
        <v>0</v>
      </c>
      <c r="AM446" s="161">
        <f>AM20+AL20+AJ20+AI20</f>
        <v>0</v>
      </c>
      <c r="AN446" s="161">
        <f>AN20+AM20+AL20+AJ20</f>
        <v>0</v>
      </c>
      <c r="AO446" s="161">
        <f>AO20+AN20+AM20+AL20</f>
        <v>0</v>
      </c>
      <c r="AP446" s="436">
        <f>AO446</f>
        <v>0</v>
      </c>
      <c r="AQ446" s="161">
        <f>AQ20+AO20+AN20+AM20</f>
        <v>0</v>
      </c>
      <c r="AR446" s="161">
        <f>AR20+AQ20+AO20+AN20</f>
        <v>0</v>
      </c>
      <c r="AS446" s="161"/>
      <c r="AT446" s="161"/>
      <c r="AU446" s="664">
        <f>AT446</f>
        <v>0</v>
      </c>
      <c r="AV446" s="45"/>
      <c r="AW446" s="161">
        <f>AW20+AR20+AQ20+AO20</f>
        <v>596.9</v>
      </c>
      <c r="AX446" s="161">
        <f>AX20+AW20+AR20+AQ20</f>
        <v>1219.9000000000001</v>
      </c>
      <c r="AY446" s="161">
        <f>AY20+AX20+AW20+AR20</f>
        <v>1819.9</v>
      </c>
      <c r="AZ446" s="161"/>
      <c r="BA446" s="436">
        <f>AY446</f>
        <v>1819.9</v>
      </c>
      <c r="BB446" s="664">
        <f>BB20+AZ20+AY20+AX20</f>
        <v>2359.4</v>
      </c>
      <c r="BC446" s="161">
        <f>BC20+BB20+AY20+AX20</f>
        <v>2370.4</v>
      </c>
      <c r="BD446" s="161">
        <f>BD20+BC20+BB20+AZ20</f>
        <v>2339.5</v>
      </c>
      <c r="BE446" s="161">
        <f>BE20+BD20+BC20+BB20</f>
        <v>2335.6999999999998</v>
      </c>
      <c r="BF446" s="436">
        <f>BE446</f>
        <v>2335.6999999999998</v>
      </c>
      <c r="BG446" s="161">
        <f>BG20+BE20+BD20+BC20</f>
        <v>2353.6</v>
      </c>
      <c r="BH446" s="161">
        <f>BH20+BG20+BE20+BD20</f>
        <v>2299</v>
      </c>
      <c r="BI446" s="161">
        <f>BI20+BH20+BG20+BE20</f>
        <v>2147</v>
      </c>
      <c r="BJ446" s="161">
        <f>BJ20+BI20+BH20+BG20</f>
        <v>1970.9</v>
      </c>
      <c r="BK446" s="436">
        <f>BJ446</f>
        <v>1970.9</v>
      </c>
      <c r="BL446" s="161">
        <f>BL20+BJ20+BI20+BH20</f>
        <v>1728.7</v>
      </c>
      <c r="BM446" s="161">
        <f>BM20+BL20+BJ20+BI20</f>
        <v>1466.2</v>
      </c>
      <c r="BN446" s="161">
        <f>BN20+BM20+BL20+BJ20</f>
        <v>1285.6000000000001</v>
      </c>
      <c r="BO446" s="161">
        <f>BO20+BN20+BM20+BL20</f>
        <v>1146.3</v>
      </c>
      <c r="BP446" s="436">
        <f>BO446</f>
        <v>1146.3</v>
      </c>
      <c r="BQ446" s="161">
        <f>BQ20+BO20+BN20+BM20</f>
        <v>1059.5</v>
      </c>
      <c r="BR446" s="161">
        <f>BR20+BQ20+BO20+BN20</f>
        <v>1042.4000000000001</v>
      </c>
      <c r="BS446" s="161">
        <f>BS20+BR20+BQ20+BO20</f>
        <v>1046.1999999999998</v>
      </c>
      <c r="BT446" s="161">
        <f>BT20+BS20+BR20+BQ20</f>
        <v>1197.3000000000002</v>
      </c>
      <c r="BU446" s="436">
        <f>BT446</f>
        <v>1197.3000000000002</v>
      </c>
      <c r="BV446" s="1343">
        <f>BV20+BT20+BS20+BR20</f>
        <v>1888.0000000000002</v>
      </c>
      <c r="BW446" s="1343">
        <f>BW20+BV20+BT20+BS20</f>
        <v>2685.5</v>
      </c>
      <c r="BX446" s="1343">
        <f>BX20+BW20+BV20+BT20</f>
        <v>3517.4</v>
      </c>
      <c r="BY446" s="1343">
        <f>BY20+BX20+BW20+BV20</f>
        <v>4191.6999999999989</v>
      </c>
      <c r="BZ446" s="436">
        <f>BY446</f>
        <v>4191.6999999999989</v>
      </c>
      <c r="CA446" s="161">
        <f>CA20+BT20+BS20+BR20</f>
        <v>1889.7</v>
      </c>
      <c r="CB446" s="161">
        <f>CB20+CA20+BT20+BS20</f>
        <v>2670.7</v>
      </c>
      <c r="CC446" s="161">
        <f>CC20+CB20+CA20+BT20</f>
        <v>3411.5</v>
      </c>
      <c r="CD446" s="161">
        <f>CD20+CC20+CB20+CA20</f>
        <v>4052.2</v>
      </c>
      <c r="CE446" s="436">
        <f>CD446</f>
        <v>4052.2</v>
      </c>
      <c r="CF446" s="161">
        <f>CF20+CD20+CC20+CB20</f>
        <v>4037.3999999999996</v>
      </c>
      <c r="CG446" s="161">
        <f>CG20+CF20+CD20+CC20</f>
        <v>4035.3999999999996</v>
      </c>
      <c r="CH446" s="161">
        <f>CH20+CG20+CF20+CD20</f>
        <v>4091.3999999999996</v>
      </c>
      <c r="CI446" s="161">
        <f>CI20+CH20+CG20+CF20</f>
        <v>4145.78</v>
      </c>
      <c r="CJ446" s="436">
        <f>CI446</f>
        <v>4145.78</v>
      </c>
      <c r="CK446" s="161">
        <f>CK20+CI20+CH20+CG20</f>
        <v>4227.88</v>
      </c>
      <c r="CL446" s="161">
        <f>CL20+CK20+CI20+CH20</f>
        <v>4320.38</v>
      </c>
      <c r="CM446" s="161">
        <f>CM20+CL20+CK20+CI20</f>
        <v>4453.2800000000007</v>
      </c>
      <c r="CN446" s="161">
        <f>CN20+CM20+CL20+CK20</f>
        <v>4576.1000000000004</v>
      </c>
      <c r="CO446" s="436">
        <f>CN446</f>
        <v>4576.1000000000004</v>
      </c>
      <c r="CP446" s="161">
        <f>CP20+CN20+CM20+CL20</f>
        <v>4829.3</v>
      </c>
      <c r="CQ446" s="161">
        <f>CQ20+CP20+CN20+CM20</f>
        <v>5066.3482480838684</v>
      </c>
      <c r="CR446" s="161">
        <f>CR20+CQ20+CP20+CN20</f>
        <v>5287.7394241615712</v>
      </c>
      <c r="CS446" s="161">
        <f>CS20+CR20+CQ20+CP20</f>
        <v>5513.745035851699</v>
      </c>
      <c r="CT446" s="436">
        <f>CS446</f>
        <v>5513.745035851699</v>
      </c>
      <c r="CU446" s="161">
        <f>CU20+CS20+CR20+CQ20</f>
        <v>5589.4020053629765</v>
      </c>
      <c r="CV446" s="161">
        <f>CV20+CU20+CS20+CR20</f>
        <v>5676.5825705504849</v>
      </c>
      <c r="CW446" s="161">
        <f>CW20+CV20+CU20+CS20</f>
        <v>5767.8807380083072</v>
      </c>
      <c r="CX446" s="161">
        <f>CX20+CW20+CV20+CU20</f>
        <v>5866.2161208955768</v>
      </c>
      <c r="CY446" s="436">
        <f>CX446</f>
        <v>5866.2161208955768</v>
      </c>
      <c r="CZ446" s="161">
        <f>CZ20+CX20+CW20+CV20</f>
        <v>5970.2236213807892</v>
      </c>
      <c r="DA446" s="161">
        <f>DA20+CZ20+CX20+CW20</f>
        <v>6066.8982323605651</v>
      </c>
      <c r="DB446" s="161">
        <f>DB20+DA20+CZ20+CX20</f>
        <v>6170.1836412433368</v>
      </c>
      <c r="DC446" s="161">
        <f>DC20+DB20+DA20+CZ20</f>
        <v>6278.7238028023548</v>
      </c>
      <c r="DD446" s="436">
        <f>DC446</f>
        <v>6278.7238028023548</v>
      </c>
      <c r="DE446" s="161">
        <f>DE20+DC20+DB20+DA20</f>
        <v>6390.7302590260015</v>
      </c>
      <c r="DF446" s="161">
        <f>DF20+DE20+DC20+DB20</f>
        <v>6488.2878444573507</v>
      </c>
      <c r="DG446" s="161">
        <f>DG20+DF20+DE20+DC20</f>
        <v>6619.2670082710165</v>
      </c>
      <c r="DH446" s="161">
        <f>DH20+DG20+DF20+DE20</f>
        <v>6753.8781559724466</v>
      </c>
      <c r="DI446" s="436">
        <f>DH446</f>
        <v>6753.8781559724466</v>
      </c>
      <c r="DJ446" s="161">
        <f>DJ20+DH20+DG20+DF20</f>
        <v>6854.4172985176456</v>
      </c>
      <c r="DK446" s="161">
        <f>DK20+DJ20+DH20+DG20</f>
        <v>6963.0712816454716</v>
      </c>
      <c r="DL446" s="161">
        <f>DL20+DK20+DJ20+DH20</f>
        <v>7081.0813671028136</v>
      </c>
      <c r="DM446" s="161">
        <f>DM20+DL20+DK20+DJ20</f>
        <v>7202.9043152701779</v>
      </c>
      <c r="DN446" s="436">
        <f>DM446</f>
        <v>7202.9043152701779</v>
      </c>
      <c r="DO446" s="161">
        <f>DO20+DM20+DL20+DK20</f>
        <v>7314.1226700189309</v>
      </c>
      <c r="DP446" s="161">
        <f>DP20+DO20+DM20+DL20</f>
        <v>7431.6393387486978</v>
      </c>
      <c r="DQ446" s="161">
        <f>DQ20+DP20+DO20+DM20</f>
        <v>7557.0138403393048</v>
      </c>
      <c r="DR446" s="161">
        <f>DR20+DQ20+DP20+DO20</f>
        <v>7685.5026814390139</v>
      </c>
      <c r="DS446" s="436">
        <f>DR446</f>
        <v>7685.5026814390139</v>
      </c>
      <c r="DT446" s="161">
        <f>DT20+DR20+DQ20+DP20</f>
        <v>7823.1378532771196</v>
      </c>
      <c r="DU446" s="161">
        <f>DU20+DT20+DR20+DQ20</f>
        <v>7946.1702123415234</v>
      </c>
      <c r="DV446" s="161">
        <f>DV20+DU20+DT20+DR20</f>
        <v>8077.3366005807366</v>
      </c>
      <c r="DW446" s="161">
        <f>DW20+DV20+DU20+DT20</f>
        <v>8211.8196752399926</v>
      </c>
      <c r="DX446" s="436">
        <f>DW446</f>
        <v>8211.8196752399926</v>
      </c>
      <c r="DY446" s="161">
        <f>DY20+DW20+DV20+DU20</f>
        <v>8313.2258850023482</v>
      </c>
      <c r="DZ446" s="161">
        <f>DZ20+DY20+DW20+DV20</f>
        <v>8441.8719652173804</v>
      </c>
      <c r="EA446" s="161">
        <f>EA20+DZ20+DY20+DW20</f>
        <v>8579.0822957865003</v>
      </c>
      <c r="EB446" s="161">
        <f>EB20+EA20+DZ20+DY20</f>
        <v>8719.8176232313835</v>
      </c>
      <c r="EC446" s="436">
        <f>EB446</f>
        <v>8719.8176232313835</v>
      </c>
      <c r="ED446" s="16"/>
      <c r="EE446" s="545"/>
      <c r="EF446" s="545"/>
      <c r="EG446" s="545"/>
      <c r="EH446" s="545"/>
      <c r="EI446" s="545"/>
      <c r="EJ446" s="545"/>
      <c r="EK446" s="545"/>
      <c r="EL446" s="545"/>
      <c r="EM446" s="545"/>
      <c r="EN446" s="545"/>
      <c r="EO446" s="545"/>
      <c r="EP446" s="545"/>
      <c r="EQ446" s="545"/>
      <c r="ER446" s="545"/>
      <c r="ES446" s="16"/>
      <c r="ET446" s="16"/>
      <c r="EU446" s="16"/>
      <c r="EX446" s="16"/>
      <c r="EY446" s="228"/>
      <c r="EZ446" s="991"/>
      <c r="FA446" s="477"/>
      <c r="FB446" s="228"/>
      <c r="FC446" s="477"/>
      <c r="FD446" s="16"/>
    </row>
    <row r="447" spans="1:160" x14ac:dyDescent="0.2">
      <c r="A447" s="45" t="s">
        <v>139</v>
      </c>
      <c r="B447" s="21"/>
      <c r="C447" s="21"/>
      <c r="D447" s="21"/>
      <c r="E447" s="21"/>
      <c r="F447" s="21"/>
      <c r="G447" s="21"/>
      <c r="H447" s="21"/>
      <c r="I447" s="21"/>
      <c r="J447" s="21"/>
      <c r="K447" s="21"/>
      <c r="L447" s="21"/>
      <c r="M447" s="21"/>
      <c r="N447" s="21"/>
      <c r="O447" s="21"/>
      <c r="P447" s="21"/>
      <c r="Q447" s="21"/>
      <c r="R447" s="21"/>
      <c r="S447" s="21"/>
      <c r="T447" s="21"/>
      <c r="U447" s="21"/>
      <c r="V447" s="85"/>
      <c r="W447" s="53"/>
      <c r="X447" s="53"/>
      <c r="Y447" s="53"/>
      <c r="Z447" s="53"/>
      <c r="AA447" s="85"/>
      <c r="AB447" s="53">
        <f>AB39+Z39+Y39+X39</f>
        <v>0</v>
      </c>
      <c r="AC447" s="53">
        <f>AC39+AB39+Z39+Y39</f>
        <v>0</v>
      </c>
      <c r="AD447" s="53">
        <f>AD39+AC39+AB39+Z39</f>
        <v>0</v>
      </c>
      <c r="AE447" s="53">
        <f>AE39+AD39+AC39+AB39</f>
        <v>0</v>
      </c>
      <c r="AF447" s="85">
        <f>AE447</f>
        <v>0</v>
      </c>
      <c r="AG447" s="53">
        <f>AG39+AE39+AD39+AC39</f>
        <v>0</v>
      </c>
      <c r="AH447" s="53">
        <f>AH39+AG39+AE39+AD39</f>
        <v>0</v>
      </c>
      <c r="AI447" s="53">
        <f>AI39+AH39+AG39+AE39</f>
        <v>0</v>
      </c>
      <c r="AJ447" s="53">
        <f>AJ39+AI39+AH39+AG39</f>
        <v>0</v>
      </c>
      <c r="AK447" s="85">
        <f>AJ447</f>
        <v>0</v>
      </c>
      <c r="AL447" s="53">
        <f>AL39+AJ39+AI39+AH39</f>
        <v>0</v>
      </c>
      <c r="AM447" s="53">
        <f>AM39+AL39+AJ39+AI39</f>
        <v>0</v>
      </c>
      <c r="AN447" s="53">
        <f>AN39+AM39+AL39+AJ39</f>
        <v>0</v>
      </c>
      <c r="AO447" s="53">
        <f>AO39+AN39+AM39+AL39</f>
        <v>0</v>
      </c>
      <c r="AP447" s="85">
        <f>AO447</f>
        <v>0</v>
      </c>
      <c r="AQ447" s="53">
        <f>AQ39+AO39+AN39+AM39</f>
        <v>0</v>
      </c>
      <c r="AR447" s="53">
        <f>AR39+AQ39+AO39+AN39</f>
        <v>0</v>
      </c>
      <c r="AS447" s="53"/>
      <c r="AT447" s="53"/>
      <c r="AU447" s="86">
        <f>AT447</f>
        <v>0</v>
      </c>
      <c r="AV447" s="45"/>
      <c r="AW447" s="53">
        <f>AW39+AR39+AQ39+AO39</f>
        <v>78.899999999999977</v>
      </c>
      <c r="AX447" s="53">
        <f>AX39+AW39+AR39+AQ39</f>
        <v>161.69999999999993</v>
      </c>
      <c r="AY447" s="53">
        <f>AY39+AX39+AW39+AR39</f>
        <v>252.49999999999989</v>
      </c>
      <c r="AZ447" s="53"/>
      <c r="BA447" s="85">
        <f>AY447</f>
        <v>252.49999999999989</v>
      </c>
      <c r="BB447" s="86">
        <f>BB39+AZ39+AY39+AX39</f>
        <v>162.49999999999989</v>
      </c>
      <c r="BC447" s="53">
        <f>BC39+BB39+AY39+AX39</f>
        <v>336.59999999999985</v>
      </c>
      <c r="BD447" s="53">
        <f>BD39+BC39+BB39+AZ39</f>
        <v>199.49999999999994</v>
      </c>
      <c r="BE447" s="53">
        <f>BE39+BD39+BC39+BB39</f>
        <v>362.49999999999983</v>
      </c>
      <c r="BF447" s="85">
        <f>BE447</f>
        <v>362.49999999999983</v>
      </c>
      <c r="BG447" s="53">
        <f>BG39+BE39+BD39+BC39</f>
        <v>382.5999999999998</v>
      </c>
      <c r="BH447" s="53">
        <f>BH39+BG39+BE39+BD39</f>
        <v>411.49999999999977</v>
      </c>
      <c r="BI447" s="53">
        <f>BI39+BH39+BG39+BE39</f>
        <v>393.6999999999997</v>
      </c>
      <c r="BJ447" s="53">
        <f>BJ39+BI39+BH39+BG39</f>
        <v>417.69999999999987</v>
      </c>
      <c r="BK447" s="85">
        <f>BJ447</f>
        <v>417.69999999999987</v>
      </c>
      <c r="BL447" s="53">
        <f>BL39+BJ39+BI39+BH39</f>
        <v>435.99999999999989</v>
      </c>
      <c r="BM447" s="53">
        <f>BM39+BL39+BJ39+BI39</f>
        <v>441.29999999999995</v>
      </c>
      <c r="BN447" s="53">
        <f>BN39+BM39+BL39+BJ39</f>
        <v>493.00000000000006</v>
      </c>
      <c r="BO447" s="53">
        <f>BO39+BN39+BM39+BL39</f>
        <v>522.20000000000005</v>
      </c>
      <c r="BP447" s="85">
        <f>BO447</f>
        <v>522.20000000000005</v>
      </c>
      <c r="BQ447" s="53">
        <f>BQ39+BO39+BN39+BM39</f>
        <v>551.1</v>
      </c>
      <c r="BR447" s="53">
        <f>BR39+BQ39+BO39+BN39</f>
        <v>569.4</v>
      </c>
      <c r="BS447" s="53">
        <f>BS39+BR39+BQ39+BO39</f>
        <v>424.7999999999999</v>
      </c>
      <c r="BT447" s="53">
        <f>BT39+BS39+BR39+BQ39</f>
        <v>182.4</v>
      </c>
      <c r="BU447" s="85">
        <f>BT447</f>
        <v>182.4</v>
      </c>
      <c r="BV447" s="1303">
        <f>BV39+BT39+BS39+BR39</f>
        <v>309.59999999999991</v>
      </c>
      <c r="BW447" s="1303">
        <f>BW39+BV39+BT39+BS39</f>
        <v>482.69999999999993</v>
      </c>
      <c r="BX447" s="1303">
        <f>BX39+BW39+BV39+BT39</f>
        <v>836.9</v>
      </c>
      <c r="BY447" s="1303">
        <f>BY39+BX39+BW39+BV39</f>
        <v>1226.9999999999995</v>
      </c>
      <c r="BZ447" s="85">
        <f>BY447</f>
        <v>1226.9999999999995</v>
      </c>
      <c r="CA447" s="53">
        <f>CA39+BT39+BS39+BR39</f>
        <v>275.19999999999993</v>
      </c>
      <c r="CB447" s="53">
        <f>CB39+CA39+BT39+BS39</f>
        <v>425.79999999999984</v>
      </c>
      <c r="CC447" s="53">
        <f>CC39+CB39+CA39+BT39</f>
        <v>768.89999999999986</v>
      </c>
      <c r="CD447" s="53">
        <f>CD39+CC39+CB39+CA39</f>
        <v>1192.2</v>
      </c>
      <c r="CE447" s="85">
        <f>CD447</f>
        <v>1192.2</v>
      </c>
      <c r="CF447" s="53">
        <f>CF39+CD39+CC39+CB39</f>
        <v>1298.7</v>
      </c>
      <c r="CG447" s="53">
        <f>CG39+CF39+CD39+CC39</f>
        <v>1420.6</v>
      </c>
      <c r="CH447" s="53">
        <f>CH39+CG39+CF39+CD39</f>
        <v>1497.0999999999995</v>
      </c>
      <c r="CI447" s="53">
        <f>CI39+CH39+CG39+CF39</f>
        <v>1666.6799999999996</v>
      </c>
      <c r="CJ447" s="85">
        <f>CI447</f>
        <v>1666.6799999999996</v>
      </c>
      <c r="CK447" s="53">
        <f>CK39+CI39+CH39+CG39</f>
        <v>1672.2799999999997</v>
      </c>
      <c r="CL447" s="53">
        <f>CL39+CK39+CI39+CH39</f>
        <v>1662.68</v>
      </c>
      <c r="CM447" s="53">
        <f>CM39+CL39+CK39+CI39</f>
        <v>1721.48</v>
      </c>
      <c r="CN447" s="53">
        <f>CN39+CM39+CL39+CK39</f>
        <v>1735.9000000000003</v>
      </c>
      <c r="CO447" s="85">
        <f>CN447</f>
        <v>1735.9000000000003</v>
      </c>
      <c r="CP447" s="53">
        <f>CP39+CN39+CM39+CL39</f>
        <v>1820.3</v>
      </c>
      <c r="CQ447" s="53">
        <f>CQ39+CP39+CN39+CM39</f>
        <v>1865.7768325806064</v>
      </c>
      <c r="CR447" s="53">
        <f>CR39+CQ39+CP39+CN39</f>
        <v>1901.9375035134024</v>
      </c>
      <c r="CS447" s="53">
        <f>CS39+CR39+CQ39+CP39</f>
        <v>1936.6830778255635</v>
      </c>
      <c r="CT447" s="85">
        <f>CS447</f>
        <v>1936.6830778255635</v>
      </c>
      <c r="CU447" s="53">
        <f>CU39+CS39+CR39+CQ39</f>
        <v>1986.9533740134259</v>
      </c>
      <c r="CV447" s="53">
        <f>CV39+CU39+CS39+CR39</f>
        <v>2048.9016064638649</v>
      </c>
      <c r="CW447" s="53">
        <f>CW39+CV39+CU39+CS39</f>
        <v>2111.707853045561</v>
      </c>
      <c r="CX447" s="53">
        <f>CX39+CW39+CV39+CU39</f>
        <v>2178.7203282368846</v>
      </c>
      <c r="CY447" s="85">
        <f>CX447</f>
        <v>2178.7203282368846</v>
      </c>
      <c r="CZ447" s="53">
        <f>CZ39+CX39+CW39+CV39</f>
        <v>2220.9831155998813</v>
      </c>
      <c r="DA447" s="53">
        <f>DA39+CZ39+CX39+CW39</f>
        <v>2283.9095995260714</v>
      </c>
      <c r="DB447" s="53">
        <f>DB39+DA39+CZ39+CX39</f>
        <v>2352.4419063712999</v>
      </c>
      <c r="DC447" s="53">
        <f>DC39+DB39+DA39+CZ39</f>
        <v>2424.5654443235853</v>
      </c>
      <c r="DD447" s="85">
        <f>DC447</f>
        <v>2424.5654443235853</v>
      </c>
      <c r="DE447" s="53">
        <f>DE39+DC39+DB39+DA39</f>
        <v>2496.592049914771</v>
      </c>
      <c r="DF447" s="53">
        <f>DF39+DE39+DC39+DB39</f>
        <v>2553.0181676683887</v>
      </c>
      <c r="DG447" s="53">
        <f>DG39+DF39+DE39+DC39</f>
        <v>2617.9249226330971</v>
      </c>
      <c r="DH447" s="53">
        <f>DH39+DG39+DF39+DE39</f>
        <v>2685.6233070884973</v>
      </c>
      <c r="DI447" s="85">
        <f>DH447</f>
        <v>2685.6233070884973</v>
      </c>
      <c r="DJ447" s="53">
        <f>DJ39+DH39+DG39+DF39</f>
        <v>2761.8774201037895</v>
      </c>
      <c r="DK447" s="53">
        <f>DK39+DJ39+DH39+DG39</f>
        <v>2844.8899224330921</v>
      </c>
      <c r="DL447" s="53">
        <f>DL39+DK39+DJ39+DH39</f>
        <v>2935.9752821701732</v>
      </c>
      <c r="DM447" s="53">
        <f>DM39+DL39+DK39+DJ39</f>
        <v>3030.4461351419254</v>
      </c>
      <c r="DN447" s="85">
        <f>DM447</f>
        <v>3030.4461351419254</v>
      </c>
      <c r="DO447" s="53">
        <f>DO39+DM39+DL39+DK39</f>
        <v>3099.6878379315303</v>
      </c>
      <c r="DP447" s="53">
        <f>DP39+DO39+DM39+DL39</f>
        <v>3174.4197129998943</v>
      </c>
      <c r="DQ447" s="53">
        <f>DQ39+DP39+DO39+DM39</f>
        <v>3255.9802386194037</v>
      </c>
      <c r="DR447" s="53">
        <f>DR39+DQ39+DP39+DO39</f>
        <v>3341.0348534932664</v>
      </c>
      <c r="DS447" s="85">
        <f>DR447</f>
        <v>3341.0348534932664</v>
      </c>
      <c r="DT447" s="53">
        <f>DT39+DR39+DQ39+DP39</f>
        <v>3363.1650050274443</v>
      </c>
      <c r="DU447" s="53">
        <f>DU39+DT39+DR39+DQ39</f>
        <v>3378.759962499641</v>
      </c>
      <c r="DV447" s="53">
        <f>DV39+DU39+DT39+DR39</f>
        <v>3396.4933366747318</v>
      </c>
      <c r="DW447" s="53">
        <f>DW39+DV39+DU39+DT39</f>
        <v>3423.0144404590974</v>
      </c>
      <c r="DX447" s="85">
        <f>DW447</f>
        <v>3423.0144404590974</v>
      </c>
      <c r="DY447" s="53">
        <f>DY39+DW39+DV39+DU39</f>
        <v>3491.126331868697</v>
      </c>
      <c r="DZ447" s="53">
        <f>DZ39+DY39+DW39+DV39</f>
        <v>3572.8367789785279</v>
      </c>
      <c r="EA447" s="53">
        <f>EA39+DZ39+DY39+DW39</f>
        <v>3662.0224517101583</v>
      </c>
      <c r="EB447" s="53">
        <f>EB39+EA39+DZ39+DY39</f>
        <v>3755.6858529421229</v>
      </c>
      <c r="EC447" s="85">
        <f>EB447</f>
        <v>3755.6858529421229</v>
      </c>
      <c r="ED447" s="16"/>
      <c r="EE447" s="545"/>
      <c r="EF447" s="545"/>
      <c r="EG447" s="545"/>
      <c r="EH447" s="545"/>
      <c r="EI447" s="545"/>
      <c r="EJ447" s="545"/>
      <c r="EK447" s="545"/>
      <c r="EL447" s="545"/>
      <c r="EM447" s="545"/>
      <c r="EN447" s="545"/>
      <c r="EO447" s="545"/>
      <c r="EP447" s="545"/>
      <c r="EQ447" s="545"/>
      <c r="ER447" s="545"/>
      <c r="ES447" s="16"/>
      <c r="ET447" s="16"/>
      <c r="EU447" s="16"/>
      <c r="EX447" s="16"/>
      <c r="EY447" s="228"/>
      <c r="EZ447" s="991"/>
      <c r="FA447" s="477"/>
      <c r="FB447" s="228"/>
      <c r="FC447" s="477"/>
      <c r="FD447" s="16"/>
    </row>
    <row r="448" spans="1:160" x14ac:dyDescent="0.2">
      <c r="A448" s="45" t="s">
        <v>485</v>
      </c>
      <c r="B448" s="21"/>
      <c r="C448" s="21"/>
      <c r="D448" s="21"/>
      <c r="E448" s="21"/>
      <c r="F448" s="21"/>
      <c r="G448" s="21"/>
      <c r="H448" s="21"/>
      <c r="I448" s="21"/>
      <c r="J448" s="21"/>
      <c r="K448" s="21"/>
      <c r="L448" s="21"/>
      <c r="M448" s="21"/>
      <c r="N448" s="21"/>
      <c r="O448" s="21"/>
      <c r="P448" s="21"/>
      <c r="Q448" s="21"/>
      <c r="R448" s="21"/>
      <c r="S448" s="21"/>
      <c r="T448" s="21"/>
      <c r="U448" s="21"/>
      <c r="V448" s="85">
        <f>U448</f>
        <v>0</v>
      </c>
      <c r="W448" s="53">
        <f>W41+U41+T41+S41</f>
        <v>0</v>
      </c>
      <c r="X448" s="53">
        <f>X41+W41+U41+T41</f>
        <v>0</v>
      </c>
      <c r="Y448" s="53">
        <f>Y41+X41+W41+U41</f>
        <v>0</v>
      </c>
      <c r="Z448" s="53">
        <f>Z41+Y41+X41+W41</f>
        <v>0</v>
      </c>
      <c r="AA448" s="85">
        <f>Z448</f>
        <v>0</v>
      </c>
      <c r="AB448" s="53">
        <f>AB41+Z41+Y41+X41</f>
        <v>0</v>
      </c>
      <c r="AC448" s="53">
        <f>AC41+AB41+Z41+Y41</f>
        <v>0</v>
      </c>
      <c r="AD448" s="53">
        <f>AD41+AC41+AB41+Z41</f>
        <v>0</v>
      </c>
      <c r="AE448" s="53">
        <f>AE41+AD41+AC41+AB41</f>
        <v>0</v>
      </c>
      <c r="AF448" s="85">
        <f>AE448</f>
        <v>0</v>
      </c>
      <c r="AG448" s="53">
        <f>AG41+AE41+AD41+AC41</f>
        <v>0</v>
      </c>
      <c r="AH448" s="53">
        <f>AH41+AG41+AE41+AD41</f>
        <v>0</v>
      </c>
      <c r="AI448" s="53">
        <f>AI41+AH41+AG41+AE41</f>
        <v>0</v>
      </c>
      <c r="AJ448" s="53">
        <f>AJ41+AI41+AH41+AG41</f>
        <v>0</v>
      </c>
      <c r="AK448" s="85">
        <f>AJ448</f>
        <v>0</v>
      </c>
      <c r="AL448" s="53">
        <f>AL41+AJ41+AI41+AH41</f>
        <v>0</v>
      </c>
      <c r="AM448" s="53">
        <f>AM41+AL41+AJ41+AI41</f>
        <v>0</v>
      </c>
      <c r="AN448" s="53">
        <f>AN41+AM41+AL41+AJ41</f>
        <v>0</v>
      </c>
      <c r="AO448" s="53">
        <f>AO41+AN41+AM41+AL41</f>
        <v>0</v>
      </c>
      <c r="AP448" s="85">
        <f>AO448</f>
        <v>0</v>
      </c>
      <c r="AQ448" s="53">
        <f>AQ41+AO41+AN41+AM41</f>
        <v>0</v>
      </c>
      <c r="AR448" s="53">
        <f>AR41+AQ41+AO41+AN41</f>
        <v>0</v>
      </c>
      <c r="AS448" s="53"/>
      <c r="AT448" s="53"/>
      <c r="AU448" s="86">
        <f>AT448</f>
        <v>0</v>
      </c>
      <c r="AV448" s="45"/>
      <c r="AW448" s="53">
        <f>AW41+AR41+AQ41+AO41</f>
        <v>106.39999999999998</v>
      </c>
      <c r="AX448" s="53">
        <f>AX41+AW41+AR41+AQ41</f>
        <v>220.99999999999991</v>
      </c>
      <c r="AY448" s="53">
        <f>AY41+AX41+AW41+AR41</f>
        <v>337.39999999999986</v>
      </c>
      <c r="AZ448" s="53"/>
      <c r="BA448" s="85">
        <f>AY448</f>
        <v>337.39999999999986</v>
      </c>
      <c r="BB448" s="86">
        <f>BB41+AZ41+AY41+AX41</f>
        <v>288.09999999999991</v>
      </c>
      <c r="BC448" s="53">
        <f>BC41+BB41+AY41+AX41</f>
        <v>462.79999999999984</v>
      </c>
      <c r="BD448" s="53">
        <f>BD41+BC41+BB41+AZ41</f>
        <v>335.79999999999995</v>
      </c>
      <c r="BE448" s="53">
        <f>BE41+BD41+BC41+BB41</f>
        <v>498.89999999999986</v>
      </c>
      <c r="BF448" s="85">
        <f>BE448</f>
        <v>498.89999999999986</v>
      </c>
      <c r="BG448" s="53">
        <f>BG41+BE41+BD41+BC41</f>
        <v>517.99999999999977</v>
      </c>
      <c r="BH448" s="53">
        <f>BH41+BG41+BE41+BD41</f>
        <v>546.49999999999977</v>
      </c>
      <c r="BI448" s="53">
        <f>BI41+BH41+BG41+BE41</f>
        <v>522.99999999999977</v>
      </c>
      <c r="BJ448" s="53">
        <f>BJ41+BI41+BH41+BG41</f>
        <v>531.89999999999986</v>
      </c>
      <c r="BK448" s="85">
        <f>BJ448</f>
        <v>531.89999999999986</v>
      </c>
      <c r="BL448" s="53">
        <f>BL41+BJ41+BI41+BH41</f>
        <v>532.79999999999984</v>
      </c>
      <c r="BM448" s="53">
        <f>BM41+BL41+BJ41+BI41</f>
        <v>520.69999999999993</v>
      </c>
      <c r="BN448" s="53">
        <f>BN41+BM41+BL41+BJ41</f>
        <v>559.6</v>
      </c>
      <c r="BO448" s="53">
        <f>BO41+BN41+BM41+BL41</f>
        <v>588</v>
      </c>
      <c r="BP448" s="85">
        <f>BO448</f>
        <v>588</v>
      </c>
      <c r="BQ448" s="53">
        <f>BQ41+BO41+BN41+BM41</f>
        <v>616.70000000000005</v>
      </c>
      <c r="BR448" s="53">
        <f>BR41+BQ41+BO41+BN41</f>
        <v>634.79999999999995</v>
      </c>
      <c r="BS448" s="53">
        <f>BS41+BR41+BQ41+BO41</f>
        <v>490.9</v>
      </c>
      <c r="BT448" s="53">
        <f>BT41+BS41+BR41+BQ41</f>
        <v>255.3</v>
      </c>
      <c r="BU448" s="85">
        <f>BT448</f>
        <v>255.3</v>
      </c>
      <c r="BV448" s="1303">
        <f>BV41+BT41+BS41+BR41</f>
        <v>416.99999999999989</v>
      </c>
      <c r="BW448" s="1303">
        <f>BW41+BV41+BT41+BS41</f>
        <v>625.5</v>
      </c>
      <c r="BX448" s="1303">
        <f>BX41+BW41+BV41+BT41</f>
        <v>998.90000000000009</v>
      </c>
      <c r="BY448" s="1303">
        <f>BY41+BX41+BW41+BV41</f>
        <v>1408.9999999999998</v>
      </c>
      <c r="BZ448" s="85">
        <f>BY448</f>
        <v>1408.9999999999998</v>
      </c>
      <c r="CA448" s="53">
        <f>CA41+BT41+BS41+BR41</f>
        <v>382.59999999999991</v>
      </c>
      <c r="CB448" s="53">
        <f>CB41+CA41+BT41+BS41</f>
        <v>568.5999999999998</v>
      </c>
      <c r="CC448" s="53">
        <f>CC41+CB41+CA41+BT41</f>
        <v>930.9</v>
      </c>
      <c r="CD448" s="53">
        <f>CD41+CC41+CB41+CA41</f>
        <v>1374.2000000000003</v>
      </c>
      <c r="CE448" s="85">
        <f>CD448</f>
        <v>1374.2000000000003</v>
      </c>
      <c r="CF448" s="53">
        <f>CF41+CD41+CC41+CB41</f>
        <v>1471.9</v>
      </c>
      <c r="CG448" s="53">
        <f>CG41+CF41+CD41+CC41</f>
        <v>1586.2000000000003</v>
      </c>
      <c r="CH448" s="53">
        <f>CH41+CG41+CF41+CD41</f>
        <v>1670.2999999999995</v>
      </c>
      <c r="CI448" s="53">
        <f>CI41+CH41+CG41+CF41</f>
        <v>1838.7799999999997</v>
      </c>
      <c r="CJ448" s="85">
        <f>CI448</f>
        <v>1838.7799999999997</v>
      </c>
      <c r="CK448" s="53">
        <f>CK41+CI41+CH41+CG41</f>
        <v>1845.6799999999998</v>
      </c>
      <c r="CL448" s="53">
        <f>CL41+CK41+CI41+CH41</f>
        <v>1837.78</v>
      </c>
      <c r="CM448" s="53">
        <f>CM41+CL41+CK41+CI41</f>
        <v>1899.4800000000002</v>
      </c>
      <c r="CN448" s="53">
        <f>CN41+CM41+CL41+CK41</f>
        <v>1917.0000000000005</v>
      </c>
      <c r="CO448" s="85">
        <f>CN448</f>
        <v>1917.0000000000005</v>
      </c>
      <c r="CP448" s="53">
        <f>CP41+CN41+CM41+CL41</f>
        <v>2005</v>
      </c>
      <c r="CQ448" s="53">
        <f>CQ41+CP41+CN41+CM41</f>
        <v>2059.5793428910174</v>
      </c>
      <c r="CR448" s="53">
        <f>CR41+CQ41+CP41+CN41</f>
        <v>2103.2820158702625</v>
      </c>
      <c r="CS448" s="53">
        <f>CS41+CR41+CQ41+CP41</f>
        <v>2145.7152006775586</v>
      </c>
      <c r="CT448" s="85">
        <f>CS448</f>
        <v>2145.7152006775586</v>
      </c>
      <c r="CU448" s="53">
        <f>CU41+CS41+CR41+CQ41</f>
        <v>2199.3837978756651</v>
      </c>
      <c r="CV448" s="53">
        <f>CV41+CU41+CS41+CR41</f>
        <v>2263.2355820150851</v>
      </c>
      <c r="CW448" s="53">
        <f>CW41+CV41+CU41+CS41</f>
        <v>2327.8855413073593</v>
      </c>
      <c r="CX448" s="53">
        <f>CX41+CW41+CV41+CU41</f>
        <v>2397.0180757143944</v>
      </c>
      <c r="CY448" s="85">
        <f>CX448</f>
        <v>2397.0180757143944</v>
      </c>
      <c r="CZ448" s="53">
        <f>CZ41+CX41+CW41+CV41</f>
        <v>2441.5765686053487</v>
      </c>
      <c r="DA448" s="53">
        <f>DA41+CZ41+CX41+CW41</f>
        <v>2506.7080311095474</v>
      </c>
      <c r="DB448" s="53">
        <f>DB41+DA41+CZ41+CX41</f>
        <v>2577.4106322447838</v>
      </c>
      <c r="DC448" s="53">
        <f>DC41+DB41+DA41+CZ41</f>
        <v>2651.5301570816546</v>
      </c>
      <c r="DD448" s="85">
        <f>DC448</f>
        <v>2651.5301570816546</v>
      </c>
      <c r="DE448" s="53">
        <f>DE41+DC41+DB41+DA41</f>
        <v>2731.404133566421</v>
      </c>
      <c r="DF448" s="53">
        <f>DF41+DE41+DC41+DB41</f>
        <v>2789.9127417745331</v>
      </c>
      <c r="DG448" s="53">
        <f>DG41+DF41+DE41+DC41</f>
        <v>2859.2323589393718</v>
      </c>
      <c r="DH448" s="53">
        <f>DH41+DG41+DF41+DE41</f>
        <v>2940.2758740367531</v>
      </c>
      <c r="DI448" s="85">
        <f>DH448</f>
        <v>2940.2758740367531</v>
      </c>
      <c r="DJ448" s="53">
        <f>DJ41+DH41+DG41+DF41</f>
        <v>3019.0789300004462</v>
      </c>
      <c r="DK448" s="53">
        <f>DK41+DJ41+DH41+DG41</f>
        <v>3104.7136117199634</v>
      </c>
      <c r="DL448" s="53">
        <f>DL41+DK41+DJ41+DH41</f>
        <v>3198.5986358669034</v>
      </c>
      <c r="DM448" s="53">
        <f>DM41+DL41+DK41+DJ41</f>
        <v>3296.5399641678914</v>
      </c>
      <c r="DN448" s="85">
        <f>DM448</f>
        <v>3296.5399641678914</v>
      </c>
      <c r="DO448" s="53">
        <f>DO41+DM41+DL41+DK41</f>
        <v>3368.662534730041</v>
      </c>
      <c r="DP448" s="53">
        <f>DP41+DO41+DM41+DL41</f>
        <v>3445.0526671665943</v>
      </c>
      <c r="DQ448" s="53">
        <f>DQ41+DP41+DO41+DM41</f>
        <v>3528.2483858455435</v>
      </c>
      <c r="DR448" s="53">
        <f>DR41+DQ41+DP41+DO41</f>
        <v>3615.5905157341117</v>
      </c>
      <c r="DS448" s="85">
        <f>DR448</f>
        <v>3615.5905157341117</v>
      </c>
      <c r="DT448" s="53">
        <f>DT41+DR41+DQ41+DP41</f>
        <v>3641.3854112033159</v>
      </c>
      <c r="DU448" s="53">
        <f>DU41+DT41+DR41+DQ41</f>
        <v>3658.5753985518804</v>
      </c>
      <c r="DV448" s="53">
        <f>DV41+DU41+DT41+DR41</f>
        <v>3677.8730423900843</v>
      </c>
      <c r="DW448" s="53">
        <f>DW41+DV41+DU41+DT41</f>
        <v>3706.6227894835379</v>
      </c>
      <c r="DX448" s="85">
        <f>DW448</f>
        <v>3706.6227894835379</v>
      </c>
      <c r="DY448" s="53">
        <f>DY41+DW41+DV41+DU41</f>
        <v>3777.0763195593263</v>
      </c>
      <c r="DZ448" s="53">
        <f>DZ41+DY41+DW41+DV41</f>
        <v>3860.3103211516418</v>
      </c>
      <c r="EA448" s="53">
        <f>EA41+DZ41+DY41+DW41</f>
        <v>3950.9847769311564</v>
      </c>
      <c r="EB448" s="53">
        <f>EB41+EA41+DZ41+DY41</f>
        <v>4046.8134642527057</v>
      </c>
      <c r="EC448" s="85">
        <f>EB448</f>
        <v>4046.8134642527057</v>
      </c>
      <c r="ED448" s="16"/>
      <c r="EE448" s="545"/>
      <c r="EF448" s="545"/>
      <c r="EG448" s="545"/>
      <c r="EH448" s="545"/>
      <c r="EI448" s="545"/>
      <c r="EJ448" s="545"/>
      <c r="EK448" s="545"/>
      <c r="EL448" s="545"/>
      <c r="EM448" s="545"/>
      <c r="EN448" s="545"/>
      <c r="EO448" s="545"/>
      <c r="EP448" s="545"/>
      <c r="EQ448" s="545"/>
      <c r="ER448" s="545"/>
      <c r="ES448" s="16"/>
      <c r="ET448" s="16"/>
      <c r="EU448" s="16"/>
      <c r="EX448" s="16"/>
      <c r="EY448" s="228"/>
      <c r="EZ448" s="991"/>
      <c r="FA448" s="477"/>
      <c r="FB448" s="228"/>
      <c r="FC448" s="477"/>
      <c r="FD448" s="16"/>
    </row>
    <row r="449" spans="1:160" x14ac:dyDescent="0.2">
      <c r="A449" s="288" t="s">
        <v>486</v>
      </c>
      <c r="B449" s="29"/>
      <c r="C449" s="29"/>
      <c r="D449" s="29"/>
      <c r="E449" s="29"/>
      <c r="F449" s="29"/>
      <c r="G449" s="29"/>
      <c r="H449" s="29"/>
      <c r="I449" s="29"/>
      <c r="J449" s="29"/>
      <c r="K449" s="29"/>
      <c r="L449" s="29"/>
      <c r="M449" s="29"/>
      <c r="N449" s="29"/>
      <c r="O449" s="29"/>
      <c r="P449" s="29"/>
      <c r="Q449" s="29"/>
      <c r="R449" s="29"/>
      <c r="S449" s="29"/>
      <c r="T449" s="29"/>
      <c r="U449" s="29"/>
      <c r="V449" s="448">
        <f>U449</f>
        <v>0</v>
      </c>
      <c r="W449" s="446">
        <f>W61+U61+T61+S61</f>
        <v>-3.5219030401904799E-2</v>
      </c>
      <c r="X449" s="447">
        <f>X61+W61+U61+T61</f>
        <v>-8.8355561767218455E-2</v>
      </c>
      <c r="Y449" s="447">
        <f>Y61+X61+W61+U61</f>
        <v>2.0532384163763143E-4</v>
      </c>
      <c r="Z449" s="447">
        <f>Z61+Y61+X61+W61</f>
        <v>0.11235088093525536</v>
      </c>
      <c r="AA449" s="448">
        <f>Z449</f>
        <v>0.11235088093525536</v>
      </c>
      <c r="AB449" s="446">
        <f>AB61+Z61+Y61+X61</f>
        <v>-0.13909280158827883</v>
      </c>
      <c r="AC449" s="447">
        <f>AC61+AB61+Z61+Y61</f>
        <v>-0.35701854128523625</v>
      </c>
      <c r="AD449" s="447">
        <f>AD61+AC61+AB61+Z61</f>
        <v>-0.64966105954715347</v>
      </c>
      <c r="AE449" s="447">
        <f>AE61+AD61+AC61+AB61</f>
        <v>-0.93136037401668248</v>
      </c>
      <c r="AF449" s="448">
        <f>AE449</f>
        <v>-0.93136037401668248</v>
      </c>
      <c r="AG449" s="446">
        <f>AG61+AE61+AD61+AC61</f>
        <v>-0.96508374808546615</v>
      </c>
      <c r="AH449" s="447">
        <f>AH61+AG61+AE61+AD61</f>
        <v>-1.0275965314104323</v>
      </c>
      <c r="AI449" s="447">
        <f>AI61+AH61+AG61+AE61</f>
        <v>-1.1144239896664621</v>
      </c>
      <c r="AJ449" s="447">
        <f>AJ61+AI61+AH61+AG61</f>
        <v>-1.1930412490204483</v>
      </c>
      <c r="AK449" s="448">
        <f>AJ449</f>
        <v>-1.1930412490204483</v>
      </c>
      <c r="AL449" s="446">
        <f>AL61+AJ61+AI61+AH61</f>
        <v>-1.1270333077143906</v>
      </c>
      <c r="AM449" s="447">
        <f>AM61+AL61+AJ61+AI61</f>
        <v>-1.0982707122960811</v>
      </c>
      <c r="AN449" s="447">
        <f>AN61+AM61+AL61+AJ61</f>
        <v>-1.0195050010504869</v>
      </c>
      <c r="AO449" s="447">
        <f>AO61+AN61+AM61+AL61</f>
        <v>-1.0044023658947958</v>
      </c>
      <c r="AP449" s="448">
        <f>AO449</f>
        <v>-1.0044023658947958</v>
      </c>
      <c r="AQ449" s="446">
        <f>AQ61+AO61+AN61+AM61</f>
        <v>-0.99371803185016727</v>
      </c>
      <c r="AR449" s="447">
        <f>AR61+AQ61+AO61+AN61</f>
        <v>-0.96668335065901767</v>
      </c>
      <c r="AS449" s="447"/>
      <c r="AT449" s="447"/>
      <c r="AU449" s="887">
        <f>AT449</f>
        <v>0</v>
      </c>
      <c r="AV449" s="45"/>
      <c r="AW449" s="447">
        <f>AW61+AR61+AQ61+AO61</f>
        <v>-0.46591023338619164</v>
      </c>
      <c r="AX449" s="447">
        <f>AX61+AW61+AR61+AQ61</f>
        <v>0.10642586190700132</v>
      </c>
      <c r="AY449" s="447">
        <f>AY61+AX61+AW61+AR61</f>
        <v>0.75539388263564167</v>
      </c>
      <c r="AZ449" s="447"/>
      <c r="BA449" s="448">
        <f>AY449</f>
        <v>0.75539388263564167</v>
      </c>
      <c r="BB449" s="795">
        <f>BB61+AZ61+AY61+AX61</f>
        <v>0.96352150430077133</v>
      </c>
      <c r="BC449" s="447">
        <f>BC61+BB61+AY61+AX61</f>
        <v>0.95527979245668826</v>
      </c>
      <c r="BD449" s="447">
        <f>BD61+BC61+BB61+AZ61</f>
        <v>0.50666261336575946</v>
      </c>
      <c r="BE449" s="447">
        <f>BE61+BD61+BC61+BB61</f>
        <v>0.50937226403522562</v>
      </c>
      <c r="BF449" s="448">
        <f>BE449</f>
        <v>0.50937226403522562</v>
      </c>
      <c r="BG449" s="446">
        <f>BG61+BE61+BD61+BC61</f>
        <v>0.54750486718696068</v>
      </c>
      <c r="BH449" s="447">
        <f>BH61+BG61+BE61+BD61</f>
        <v>0.58942348276866208</v>
      </c>
      <c r="BI449" s="447">
        <f>BI61+BH61+BG61+BE61</f>
        <v>0.61494810336042949</v>
      </c>
      <c r="BJ449" s="447">
        <f>BJ61+BI61+BH61+BG61</f>
        <v>0.70311453376312305</v>
      </c>
      <c r="BK449" s="448">
        <f>BJ449</f>
        <v>0.70311453376312305</v>
      </c>
      <c r="BL449" s="446">
        <f>BL61+BJ61+BI61+BH61</f>
        <v>0.74818768906065625</v>
      </c>
      <c r="BM449" s="447">
        <f>BM61+BL61+BJ61+BI61</f>
        <v>0.78609335036326033</v>
      </c>
      <c r="BN449" s="447">
        <f>BN61+BM61+BL61+BJ61</f>
        <v>0.83367853193580099</v>
      </c>
      <c r="BO449" s="447">
        <f>BO61+BN61+BM61+BL61</f>
        <v>0.85442762755468804</v>
      </c>
      <c r="BP449" s="448">
        <f>BO449</f>
        <v>0.85442762755468804</v>
      </c>
      <c r="BQ449" s="446">
        <f>BQ61+BO61+BN61+BM61</f>
        <v>0.89246012018431586</v>
      </c>
      <c r="BR449" s="447">
        <f>BR61+BQ61+BO61+BN61</f>
        <v>0.92289641252319199</v>
      </c>
      <c r="BS449" s="447">
        <f>BS61+BR61+BQ61+BO61</f>
        <v>1.0725318150342174</v>
      </c>
      <c r="BT449" s="447">
        <f>BT61+BS61+BR61+BQ61</f>
        <v>0.91853936947788251</v>
      </c>
      <c r="BU449" s="448">
        <f>BT449</f>
        <v>0.91853936947788251</v>
      </c>
      <c r="BV449" s="1344">
        <f>BV61+BT61+BS61+BR61</f>
        <v>0.84880214390390951</v>
      </c>
      <c r="BW449" s="1345">
        <f>BW61+BV61+BT61+BS61</f>
        <v>0.84135203890148835</v>
      </c>
      <c r="BX449" s="1345">
        <f>BX61+BW61+BV61+BT61</f>
        <v>0.72128704113988695</v>
      </c>
      <c r="BY449" s="1345">
        <f>BY61+BX61+BW61+BV61</f>
        <v>0.8554925435832802</v>
      </c>
      <c r="BZ449" s="448">
        <f>BY449</f>
        <v>0.8554925435832802</v>
      </c>
      <c r="CA449" s="446">
        <f>CA61+BT61+BS61+BR61</f>
        <v>0.87952430174746143</v>
      </c>
      <c r="CB449" s="447">
        <f>CB61+CA61+BT61+BS61</f>
        <v>0.93258923364487223</v>
      </c>
      <c r="CC449" s="447">
        <f>CC61+CB61+CA61+BT61</f>
        <v>0.87295846969934365</v>
      </c>
      <c r="CD449" s="447">
        <f>CD61+CC61+CB61+CA61</f>
        <v>1.0956952843496932</v>
      </c>
      <c r="CE449" s="448">
        <f>CD449</f>
        <v>1.0956952843496932</v>
      </c>
      <c r="CF449" s="446">
        <f>CF61+CD61+CC61+CB61</f>
        <v>1.2387516888394745</v>
      </c>
      <c r="CG449" s="447">
        <f>CG61+CF61+CD61+CC61</f>
        <v>1.3520565379604881</v>
      </c>
      <c r="CH449" s="447">
        <f>CH61+CG61+CF61+CD61</f>
        <v>1.4618676384332376</v>
      </c>
      <c r="CI449" s="447">
        <f>CI61+CH61+CG61+CF61</f>
        <v>1.5830080304601117</v>
      </c>
      <c r="CJ449" s="448">
        <f>CI449</f>
        <v>1.5830080304601117</v>
      </c>
      <c r="CK449" s="446">
        <f>CK61+CI61+CH61+CG61</f>
        <v>1.6376621274149394</v>
      </c>
      <c r="CL449" s="447">
        <f>CL61+CK61+CI61+CH61</f>
        <v>1.734036040559032</v>
      </c>
      <c r="CM449" s="447">
        <f>CM61+CL61+CK61+CI61</f>
        <v>1.8819179578027854</v>
      </c>
      <c r="CN449" s="447">
        <f>CN61+CM61+CL61+CK61</f>
        <v>2.0978588692309463</v>
      </c>
      <c r="CO449" s="448">
        <f>CN449</f>
        <v>2.0978588692309463</v>
      </c>
      <c r="CP449" s="446">
        <f>CP61+CN61+CM61+CL61</f>
        <v>2.4009415257700741</v>
      </c>
      <c r="CQ449" s="447">
        <f>CQ61+CP61+CN61+CM61</f>
        <v>2.4968331008366214</v>
      </c>
      <c r="CR449" s="447">
        <f>CR61+CQ61+CP61+CN61</f>
        <v>2.6038389915279549</v>
      </c>
      <c r="CS449" s="447">
        <f>CS61+CR61+CQ61+CP61</f>
        <v>2.6755816068173974</v>
      </c>
      <c r="CT449" s="448">
        <f>CS449</f>
        <v>2.6755816068173974</v>
      </c>
      <c r="CU449" s="446">
        <f>CU61+CS61+CR61+CQ61</f>
        <v>2.6100554718132747</v>
      </c>
      <c r="CV449" s="447">
        <f>CV61+CU61+CS61+CR61</f>
        <v>2.713714830408823</v>
      </c>
      <c r="CW449" s="447">
        <f>CW61+CV61+CU61+CS61</f>
        <v>2.8194327441636506</v>
      </c>
      <c r="CX449" s="447">
        <f>CX61+CW61+CV61+CU61</f>
        <v>2.9324503428725563</v>
      </c>
      <c r="CY449" s="448">
        <f>CX449</f>
        <v>2.9324503428725563</v>
      </c>
      <c r="CZ449" s="446">
        <f>CZ61+CX61+CW61+CV61</f>
        <v>3.0064566687231418</v>
      </c>
      <c r="DA449" s="447">
        <f>DA61+CZ61+CX61+CW61</f>
        <v>3.1160193459656371</v>
      </c>
      <c r="DB449" s="447">
        <f>DB61+DA61+CZ61+CX61</f>
        <v>3.234294798429473</v>
      </c>
      <c r="DC449" s="447">
        <f>DC61+DB61+DA61+CZ61</f>
        <v>3.3590053412344436</v>
      </c>
      <c r="DD449" s="448">
        <f>DC449</f>
        <v>3.3590053412344436</v>
      </c>
      <c r="DE449" s="446">
        <f>DE61+DC61+DB61+DA61</f>
        <v>3.4523385889711893</v>
      </c>
      <c r="DF449" s="447">
        <f>DF61+DE61+DC61+DB61</f>
        <v>3.5211580276782701</v>
      </c>
      <c r="DG449" s="447">
        <f>DG61+DF61+DE61+DC61</f>
        <v>3.6033833162469349</v>
      </c>
      <c r="DH449" s="447">
        <f>DH61+DG61+DF61+DE61</f>
        <v>3.632625814580591</v>
      </c>
      <c r="DI449" s="448">
        <f>DH449</f>
        <v>3.632625814580591</v>
      </c>
      <c r="DJ449" s="446">
        <f>DJ61+DH61+DG61+DF61</f>
        <v>3.7462753765418664</v>
      </c>
      <c r="DK449" s="447">
        <f>DK61+DJ61+DH61+DG61</f>
        <v>3.865789120091347</v>
      </c>
      <c r="DL449" s="447">
        <f>DL61+DK61+DJ61+DH61</f>
        <v>4.0013126794209937</v>
      </c>
      <c r="DM449" s="447">
        <f>DM61+DL61+DK61+DJ61</f>
        <v>4.2027202321690265</v>
      </c>
      <c r="DN449" s="448">
        <f>DM449</f>
        <v>4.2027202321690265</v>
      </c>
      <c r="DO449" s="446">
        <f>DO61+DM61+DL61+DK61</f>
        <v>4.318417114579046</v>
      </c>
      <c r="DP449" s="447">
        <f>DP61+DO61+DM61+DL61</f>
        <v>4.450416698538521</v>
      </c>
      <c r="DQ449" s="447">
        <f>DQ61+DP61+DO61+DM61</f>
        <v>4.5930640469546908</v>
      </c>
      <c r="DR449" s="447">
        <f>DR61+DQ61+DP61+DO61</f>
        <v>4.7421537936854765</v>
      </c>
      <c r="DS449" s="448">
        <f>DR449</f>
        <v>4.7421537936854765</v>
      </c>
      <c r="DT449" s="446">
        <f>DT61+DR61+DQ61+DP61</f>
        <v>4.7854663163541291</v>
      </c>
      <c r="DU449" s="447">
        <f>DU61+DT61+DR61+DQ61</f>
        <v>4.819662980204515</v>
      </c>
      <c r="DV449" s="447">
        <f>DV61+DU61+DT61+DR61</f>
        <v>4.8832776976578174</v>
      </c>
      <c r="DW449" s="447">
        <f>DW61+DV61+DU61+DT61</f>
        <v>4.9620110103954547</v>
      </c>
      <c r="DX449" s="448">
        <f>DW449</f>
        <v>4.9620110103954547</v>
      </c>
      <c r="DY449" s="446">
        <f>DY61+DW61+DV61+DU61</f>
        <v>5.1097087148985185</v>
      </c>
      <c r="DZ449" s="447">
        <f>DZ61+DY61+DW61+DV61</f>
        <v>5.2814385877230778</v>
      </c>
      <c r="EA449" s="447">
        <f>EA61+DZ61+DY61+DW61</f>
        <v>5.4381743394570918</v>
      </c>
      <c r="EB449" s="447">
        <f>EB61+EA61+DZ61+DY61</f>
        <v>5.6031484278216368</v>
      </c>
      <c r="EC449" s="448">
        <f>EB449</f>
        <v>5.6031484278216368</v>
      </c>
      <c r="ED449" s="16"/>
      <c r="EE449" s="545"/>
      <c r="EF449" s="545"/>
      <c r="EG449" s="545"/>
      <c r="EH449" s="545"/>
      <c r="EI449" s="545"/>
      <c r="EJ449" s="545"/>
      <c r="EK449" s="545"/>
      <c r="EL449" s="545"/>
      <c r="EM449" s="545"/>
      <c r="EN449" s="545"/>
      <c r="EO449" s="545"/>
      <c r="EP449" s="545"/>
      <c r="EQ449" s="545"/>
      <c r="ER449" s="545"/>
      <c r="ES449" s="16"/>
      <c r="ET449" s="16"/>
      <c r="EU449" s="16"/>
      <c r="EX449" s="16"/>
      <c r="EY449" s="228"/>
      <c r="EZ449" s="991"/>
      <c r="FA449" s="477"/>
      <c r="FB449" s="228"/>
      <c r="FC449" s="477"/>
      <c r="FD449" s="16"/>
    </row>
    <row r="450" spans="1:160" x14ac:dyDescent="0.2">
      <c r="A450" s="23" t="s">
        <v>438</v>
      </c>
      <c r="B450" s="16"/>
      <c r="C450" s="16"/>
      <c r="D450" s="16"/>
      <c r="E450" s="16"/>
      <c r="F450" s="16"/>
      <c r="G450" s="16"/>
      <c r="H450" s="16"/>
      <c r="I450" s="16"/>
      <c r="J450" s="16"/>
      <c r="K450" s="16"/>
      <c r="L450" s="16"/>
      <c r="M450" s="16"/>
      <c r="N450" s="16"/>
      <c r="O450" s="16"/>
      <c r="P450" s="16"/>
      <c r="Q450" s="16"/>
      <c r="R450" s="16"/>
      <c r="S450" s="16"/>
      <c r="T450" s="16"/>
      <c r="U450" s="16"/>
      <c r="V450" s="16"/>
      <c r="W450" s="16"/>
      <c r="X450" s="16"/>
      <c r="Y450" s="16"/>
      <c r="Z450" s="16"/>
      <c r="AA450" s="78"/>
      <c r="AB450" s="16"/>
      <c r="AC450" s="16"/>
      <c r="AD450" s="16"/>
      <c r="AE450" s="16"/>
      <c r="AF450" s="16"/>
      <c r="AG450" s="16"/>
      <c r="AH450" s="16"/>
      <c r="AI450" s="16"/>
      <c r="AJ450" s="16"/>
      <c r="AK450" s="16"/>
      <c r="AL450" s="16"/>
      <c r="AM450" s="16"/>
      <c r="AN450" s="16"/>
      <c r="AO450" s="16"/>
      <c r="AP450" s="16"/>
      <c r="AQ450" s="16"/>
      <c r="AR450" s="16"/>
      <c r="AS450" s="16"/>
      <c r="AT450" s="16"/>
      <c r="AU450" s="16"/>
      <c r="AV450" s="21"/>
      <c r="AW450" s="16"/>
      <c r="AX450" s="16"/>
      <c r="AY450" s="21"/>
      <c r="AZ450" s="21"/>
      <c r="BA450" s="16"/>
      <c r="BB450" s="16"/>
      <c r="BC450" s="21"/>
      <c r="BD450" s="16"/>
      <c r="BE450" s="16"/>
      <c r="BF450" s="16"/>
      <c r="BG450" s="16"/>
      <c r="BH450" s="16"/>
      <c r="BI450" s="16"/>
      <c r="BJ450" s="16"/>
      <c r="BK450" s="16"/>
      <c r="BL450" s="16"/>
      <c r="BM450" s="16"/>
      <c r="BN450" s="16"/>
      <c r="BO450" s="16"/>
      <c r="BP450" s="16"/>
      <c r="BQ450" s="16"/>
      <c r="BR450" s="16"/>
      <c r="BS450" s="16"/>
      <c r="BT450" s="16"/>
      <c r="BU450" s="16"/>
      <c r="BV450" s="16"/>
      <c r="BW450" s="16"/>
      <c r="BX450" s="16"/>
      <c r="BY450" s="16"/>
      <c r="BZ450" s="16"/>
      <c r="CA450" s="16"/>
      <c r="CB450" s="16"/>
      <c r="CC450" s="16"/>
      <c r="CD450" s="16"/>
      <c r="CE450" s="16"/>
      <c r="CF450" s="16"/>
      <c r="CG450" s="16"/>
      <c r="CH450" s="16"/>
      <c r="CI450" s="16"/>
      <c r="CJ450" s="16"/>
      <c r="CK450" s="16"/>
      <c r="CL450" s="16"/>
      <c r="CM450" s="16"/>
      <c r="CN450" s="16"/>
      <c r="CO450" s="16"/>
      <c r="CP450" s="16"/>
      <c r="CQ450" s="16"/>
      <c r="CR450" s="16"/>
      <c r="CS450" s="16"/>
      <c r="CT450" s="16"/>
      <c r="CU450" s="16"/>
      <c r="CV450" s="16"/>
      <c r="CW450" s="16"/>
      <c r="CX450" s="16"/>
      <c r="CY450" s="16"/>
      <c r="CZ450" s="16"/>
      <c r="DA450" s="16"/>
      <c r="DB450" s="16"/>
      <c r="DC450" s="16"/>
      <c r="DD450" s="16"/>
      <c r="DE450" s="16"/>
      <c r="DF450" s="16"/>
      <c r="DG450" s="16"/>
      <c r="DH450" s="16"/>
      <c r="DI450" s="16"/>
      <c r="DJ450" s="16"/>
      <c r="DK450" s="16"/>
      <c r="DL450" s="16"/>
      <c r="DM450" s="16"/>
      <c r="DN450" s="16"/>
      <c r="DO450" s="16"/>
      <c r="DP450" s="16"/>
      <c r="DQ450" s="16"/>
      <c r="DR450" s="16"/>
      <c r="DS450" s="16"/>
      <c r="DT450" s="16"/>
      <c r="DU450" s="16"/>
      <c r="DV450" s="16"/>
      <c r="DW450" s="16"/>
      <c r="DX450" s="16"/>
      <c r="DY450" s="16"/>
      <c r="DZ450" s="16"/>
      <c r="EA450" s="16"/>
      <c r="EB450" s="16"/>
      <c r="EC450" s="16"/>
      <c r="ED450" s="16"/>
      <c r="EE450" s="16"/>
      <c r="EF450" s="16"/>
      <c r="EG450" s="16"/>
      <c r="EH450" s="16"/>
      <c r="EI450" s="16"/>
      <c r="EJ450" s="16"/>
      <c r="EK450" s="16"/>
      <c r="EL450" s="16"/>
      <c r="EM450" s="16"/>
      <c r="EN450" s="16"/>
      <c r="EO450" s="16"/>
      <c r="EP450" s="16"/>
      <c r="EQ450" s="16"/>
      <c r="ER450" s="16"/>
      <c r="ES450" s="16"/>
      <c r="ET450" s="16"/>
      <c r="EU450" s="16"/>
      <c r="EX450" s="16"/>
      <c r="EY450" s="228"/>
      <c r="EZ450" s="945"/>
      <c r="FA450" s="477"/>
      <c r="FB450" s="228"/>
      <c r="FC450" s="477"/>
      <c r="FD450" s="16"/>
    </row>
    <row r="451" spans="1:160" x14ac:dyDescent="0.2">
      <c r="A451" s="23"/>
      <c r="B451" s="16"/>
      <c r="C451" s="16"/>
      <c r="D451" s="16"/>
      <c r="E451" s="16"/>
      <c r="F451" s="16"/>
      <c r="G451" s="16"/>
      <c r="H451" s="16"/>
      <c r="I451" s="16"/>
      <c r="J451" s="16"/>
      <c r="K451" s="16"/>
      <c r="L451" s="16"/>
      <c r="M451" s="16"/>
      <c r="N451" s="16"/>
      <c r="O451" s="16"/>
      <c r="P451" s="16"/>
      <c r="Q451" s="16"/>
      <c r="R451" s="16"/>
      <c r="S451" s="16"/>
      <c r="T451" s="16"/>
      <c r="U451" s="16"/>
      <c r="V451" s="16"/>
      <c r="W451" s="16"/>
      <c r="X451" s="16"/>
      <c r="Y451" s="16"/>
      <c r="Z451" s="16"/>
      <c r="AA451" s="16"/>
      <c r="AB451" s="16"/>
      <c r="AC451" s="16"/>
      <c r="AD451" s="16"/>
      <c r="AE451" s="16"/>
      <c r="AF451" s="16"/>
      <c r="AG451" s="16"/>
      <c r="AH451" s="16"/>
      <c r="AI451" s="16"/>
      <c r="AJ451" s="16"/>
      <c r="AK451" s="16"/>
      <c r="AL451" s="16"/>
      <c r="AM451" s="16"/>
      <c r="AN451" s="16"/>
      <c r="AO451" s="16"/>
      <c r="AP451" s="16"/>
      <c r="AQ451" s="16"/>
      <c r="AR451" s="16"/>
      <c r="AS451" s="16"/>
      <c r="AT451" s="16"/>
      <c r="AU451" s="16"/>
      <c r="AV451" s="21"/>
      <c r="AW451" s="16"/>
      <c r="AX451" s="16"/>
      <c r="AY451" s="21"/>
      <c r="AZ451" s="21"/>
      <c r="BA451" s="16"/>
      <c r="BB451" s="16"/>
      <c r="BC451" s="21"/>
      <c r="BD451" s="16"/>
      <c r="BE451" s="16"/>
      <c r="BF451" s="16"/>
      <c r="BG451" s="16"/>
      <c r="BH451" s="16"/>
      <c r="BI451" s="16"/>
      <c r="BJ451" s="16"/>
      <c r="BK451" s="15"/>
      <c r="BL451" s="15"/>
      <c r="BM451" s="15"/>
      <c r="BN451" s="15"/>
      <c r="BO451" s="15"/>
      <c r="BP451" s="16"/>
      <c r="BQ451" s="16"/>
      <c r="BR451" s="16"/>
      <c r="BS451" s="16"/>
      <c r="BT451" s="16"/>
      <c r="BU451" s="16"/>
      <c r="BV451" s="16"/>
      <c r="BW451" s="16"/>
      <c r="BX451" s="16"/>
      <c r="BY451" s="16"/>
      <c r="BZ451" s="16"/>
      <c r="CA451" s="16"/>
      <c r="CB451" s="16"/>
      <c r="CC451" s="16"/>
      <c r="CD451" s="16"/>
      <c r="CE451" s="16"/>
      <c r="CF451" s="16"/>
      <c r="CG451" s="16"/>
      <c r="CH451" s="16"/>
      <c r="CI451" s="16"/>
      <c r="CJ451" s="16"/>
      <c r="CK451" s="16"/>
      <c r="CL451" s="16"/>
      <c r="CM451" s="16"/>
      <c r="CN451" s="16"/>
      <c r="CO451" s="16"/>
      <c r="CP451" s="16"/>
      <c r="CQ451" s="16"/>
      <c r="CR451" s="16"/>
      <c r="CS451" s="16"/>
      <c r="CT451" s="16"/>
      <c r="CU451" s="16"/>
      <c r="CV451" s="16"/>
      <c r="CW451" s="16"/>
      <c r="CX451" s="16"/>
      <c r="CY451" s="16"/>
      <c r="CZ451" s="16"/>
      <c r="DA451" s="16"/>
      <c r="DB451" s="16"/>
      <c r="DC451" s="16"/>
      <c r="DD451" s="16"/>
      <c r="DE451" s="16">
        <f t="shared" ref="DE451:DN451" si="2489">DE439/CZ439-1</f>
        <v>0.14812394801242701</v>
      </c>
      <c r="DF451" s="16">
        <f t="shared" si="2489"/>
        <v>0.1298065704388307</v>
      </c>
      <c r="DG451" s="16">
        <f t="shared" si="2489"/>
        <v>0.113902995349912</v>
      </c>
      <c r="DH451" s="16">
        <f t="shared" si="2489"/>
        <v>8.1300882268338093E-2</v>
      </c>
      <c r="DI451" s="16">
        <f t="shared" si="2489"/>
        <v>8.1300882268338093E-2</v>
      </c>
      <c r="DJ451" s="16">
        <f t="shared" si="2489"/>
        <v>8.4976978339851739E-2</v>
      </c>
      <c r="DK451" s="16">
        <f t="shared" si="2489"/>
        <v>9.7733427132019601E-2</v>
      </c>
      <c r="DL451" s="16">
        <f t="shared" si="2489"/>
        <v>0.11028563085476017</v>
      </c>
      <c r="DM451" s="16">
        <f t="shared" si="2489"/>
        <v>0.15668385441527022</v>
      </c>
      <c r="DN451" s="16">
        <f t="shared" si="2489"/>
        <v>0.15668385441527022</v>
      </c>
      <c r="DO451" s="16"/>
      <c r="DP451" s="16"/>
      <c r="DQ451" s="16"/>
      <c r="DR451" s="16"/>
      <c r="DS451" s="16"/>
      <c r="DT451" s="16"/>
      <c r="DU451" s="16"/>
      <c r="DV451" s="16"/>
      <c r="DW451" s="16"/>
      <c r="DX451" s="16"/>
      <c r="DY451" s="16"/>
      <c r="DZ451" s="16"/>
      <c r="EA451" s="16"/>
      <c r="EB451" s="16"/>
      <c r="EC451" s="16"/>
      <c r="ED451" s="16"/>
      <c r="EE451" s="16"/>
      <c r="EF451" s="16"/>
      <c r="EG451" s="16"/>
      <c r="EH451" s="16"/>
      <c r="EI451" s="16"/>
      <c r="EJ451" s="16"/>
      <c r="EK451" s="16"/>
      <c r="EL451" s="16"/>
      <c r="EM451" s="16"/>
      <c r="EN451" s="16"/>
      <c r="EO451" s="16"/>
      <c r="EP451" s="16"/>
      <c r="EQ451" s="16"/>
      <c r="ER451" s="16"/>
      <c r="ES451" s="16"/>
      <c r="ET451" s="16"/>
      <c r="EU451" s="16"/>
      <c r="EX451" s="16"/>
      <c r="EY451" s="228"/>
      <c r="EZ451" s="945"/>
      <c r="FA451" s="477"/>
      <c r="FB451" s="228"/>
      <c r="FC451" s="477"/>
      <c r="FD451" s="16"/>
    </row>
    <row r="452" spans="1:160" x14ac:dyDescent="0.2">
      <c r="A452" s="23"/>
      <c r="B452" s="16"/>
      <c r="C452" s="16"/>
      <c r="D452" s="16"/>
      <c r="E452" s="16"/>
      <c r="F452" s="16"/>
      <c r="G452" s="16"/>
      <c r="H452" s="16"/>
      <c r="I452" s="16"/>
      <c r="J452" s="16"/>
      <c r="K452" s="16"/>
      <c r="L452" s="16"/>
      <c r="M452" s="16"/>
      <c r="N452" s="16"/>
      <c r="O452" s="16"/>
      <c r="P452" s="16"/>
      <c r="Q452" s="16"/>
      <c r="R452" s="16"/>
      <c r="S452" s="16"/>
      <c r="T452" s="16"/>
      <c r="U452" s="16"/>
      <c r="V452" s="16"/>
      <c r="W452" s="16"/>
      <c r="X452" s="16"/>
      <c r="Y452" s="16"/>
      <c r="Z452" s="16"/>
      <c r="AA452" s="16"/>
      <c r="AB452" s="16"/>
      <c r="AC452" s="16"/>
      <c r="AD452" s="16"/>
      <c r="AE452" s="16"/>
      <c r="AF452" s="16"/>
      <c r="AG452" s="16"/>
      <c r="AH452" s="16"/>
      <c r="AI452" s="16"/>
      <c r="AJ452" s="16"/>
      <c r="AK452" s="16"/>
      <c r="AL452" s="16"/>
      <c r="AM452" s="16"/>
      <c r="AN452" s="16"/>
      <c r="AO452" s="16"/>
      <c r="AP452" s="16"/>
      <c r="AQ452" s="16"/>
      <c r="AR452" s="16"/>
      <c r="AS452" s="16"/>
      <c r="AT452" s="16"/>
      <c r="AU452" s="16"/>
      <c r="AV452" s="21"/>
      <c r="AW452" s="866">
        <f>SUM(AW40,AR40,AQ40,AO40)</f>
        <v>0</v>
      </c>
      <c r="AX452" s="866">
        <f>SUM(AX40,AS40,AR40,AQ40)</f>
        <v>0</v>
      </c>
      <c r="AY452" s="866">
        <f>SUM(AY40,AT40,AS40,AR40)</f>
        <v>0</v>
      </c>
      <c r="AZ452" s="843">
        <f>SUM(AW40,AX40,AY40,AZ40)</f>
        <v>0</v>
      </c>
      <c r="BA452" s="866">
        <f>AZ452</f>
        <v>0</v>
      </c>
      <c r="BB452" s="866">
        <f>SUM(AX40,AY40,AZ40,BB40)</f>
        <v>0</v>
      </c>
      <c r="BC452" s="866">
        <f>SUM(AY40,AZ40,BB40,BC40)</f>
        <v>0</v>
      </c>
      <c r="BD452" s="866">
        <f>SUM(AZ40,BB40,BC40,BD40)</f>
        <v>0</v>
      </c>
      <c r="BE452" s="843">
        <f>SUM(BB40,BC40,BD40,BE40)</f>
        <v>0</v>
      </c>
      <c r="BF452" s="867">
        <f>BE452</f>
        <v>0</v>
      </c>
      <c r="BG452" s="16"/>
      <c r="BH452" s="16"/>
      <c r="BI452" s="16"/>
      <c r="BJ452" s="16"/>
      <c r="BK452" s="15"/>
      <c r="BL452" s="15"/>
      <c r="BM452" s="15"/>
      <c r="BN452" s="15"/>
      <c r="BO452" s="15"/>
      <c r="BP452" s="16"/>
      <c r="BQ452" s="16"/>
      <c r="BR452" s="16"/>
      <c r="BS452" s="16"/>
      <c r="BT452" s="16"/>
      <c r="BU452" s="16"/>
      <c r="BV452" s="16"/>
      <c r="BW452" s="16"/>
      <c r="BX452" s="16"/>
      <c r="BY452" s="16"/>
      <c r="BZ452" s="16"/>
      <c r="CA452" s="16"/>
      <c r="CB452" s="16"/>
      <c r="CC452" s="16"/>
      <c r="CD452" s="16"/>
      <c r="CE452" s="16"/>
      <c r="CF452" s="16"/>
      <c r="CG452" s="16"/>
      <c r="CH452" s="16"/>
      <c r="CI452" s="16"/>
      <c r="CJ452" s="16"/>
      <c r="CK452" s="16"/>
      <c r="CL452" s="16"/>
      <c r="CM452" s="16"/>
      <c r="CN452" s="16"/>
      <c r="CO452" s="16"/>
      <c r="CP452" s="16"/>
      <c r="CQ452" s="16"/>
      <c r="CR452" s="16"/>
      <c r="CS452" s="16"/>
      <c r="CT452" s="16"/>
      <c r="CU452" s="16"/>
      <c r="CV452" s="16"/>
      <c r="CW452" s="16"/>
      <c r="CX452" s="16"/>
      <c r="CY452" s="16"/>
      <c r="CZ452" s="16"/>
      <c r="DA452" s="16"/>
      <c r="DB452" s="16"/>
      <c r="DC452" s="16"/>
      <c r="DD452" s="16"/>
      <c r="DE452" s="16"/>
      <c r="DF452" s="16"/>
      <c r="DG452" s="16"/>
      <c r="DH452" s="16"/>
      <c r="DI452" s="16"/>
      <c r="DJ452" s="16"/>
      <c r="DK452" s="16"/>
      <c r="DL452" s="16"/>
      <c r="DM452" s="16"/>
      <c r="DN452" s="16"/>
      <c r="DO452" s="16"/>
      <c r="DP452" s="16"/>
      <c r="DQ452" s="16"/>
      <c r="DR452" s="16"/>
      <c r="DS452" s="16"/>
      <c r="DT452" s="16"/>
      <c r="DU452" s="16"/>
      <c r="DV452" s="16"/>
      <c r="DW452" s="16"/>
      <c r="DX452" s="16"/>
      <c r="DY452" s="16"/>
      <c r="DZ452" s="16"/>
      <c r="EA452" s="16"/>
      <c r="EB452" s="16"/>
      <c r="EC452" s="16"/>
      <c r="ED452" s="16"/>
      <c r="EE452" s="16"/>
      <c r="EF452" s="16"/>
      <c r="EG452" s="16"/>
      <c r="EH452" s="16"/>
      <c r="EI452" s="16"/>
      <c r="EJ452" s="16"/>
      <c r="EK452" s="16"/>
      <c r="EL452" s="16"/>
      <c r="EM452" s="16"/>
      <c r="EN452" s="16"/>
      <c r="EO452" s="16"/>
      <c r="EP452" s="16"/>
      <c r="EQ452" s="16"/>
      <c r="ER452" s="16"/>
      <c r="ES452" s="16"/>
      <c r="ET452" s="16"/>
      <c r="EU452" s="16"/>
      <c r="EX452" s="16"/>
      <c r="EY452" s="228"/>
      <c r="EZ452" s="945"/>
      <c r="FA452" s="477"/>
      <c r="FB452" s="228"/>
      <c r="FC452" s="477"/>
      <c r="FD452" s="16"/>
    </row>
    <row r="453" spans="1:160" x14ac:dyDescent="0.2">
      <c r="A453" s="23"/>
      <c r="B453" s="16"/>
      <c r="C453" s="16"/>
      <c r="D453" s="16"/>
      <c r="E453" s="16"/>
      <c r="F453" s="16"/>
      <c r="G453" s="16"/>
      <c r="H453" s="16"/>
      <c r="I453" s="16"/>
      <c r="J453" s="16"/>
      <c r="K453" s="16"/>
      <c r="L453" s="16"/>
      <c r="M453" s="16"/>
      <c r="N453" s="16"/>
      <c r="O453" s="16"/>
      <c r="P453" s="16"/>
      <c r="Q453" s="16"/>
      <c r="R453" s="16"/>
      <c r="S453" s="16"/>
      <c r="T453" s="16"/>
      <c r="U453" s="16"/>
      <c r="V453" s="16"/>
      <c r="W453" s="16"/>
      <c r="X453" s="16"/>
      <c r="Y453" s="16"/>
      <c r="Z453" s="16"/>
      <c r="AA453" s="16"/>
      <c r="AB453" s="16"/>
      <c r="AC453" s="16"/>
      <c r="AD453" s="16"/>
      <c r="AE453" s="16"/>
      <c r="AF453" s="16"/>
      <c r="AG453" s="16"/>
      <c r="AH453" s="16"/>
      <c r="AI453" s="16"/>
      <c r="AJ453" s="16"/>
      <c r="AK453" s="16"/>
      <c r="AL453" s="16"/>
      <c r="AM453" s="16"/>
      <c r="AN453" s="16"/>
      <c r="AO453" s="16"/>
      <c r="AP453" s="16"/>
      <c r="AQ453" s="16"/>
      <c r="AR453" s="16"/>
      <c r="AS453" s="16"/>
      <c r="AT453" s="16"/>
      <c r="AU453" s="16"/>
      <c r="AV453" s="21"/>
      <c r="AW453" s="16"/>
      <c r="AX453" s="16"/>
      <c r="AY453" s="21"/>
      <c r="AZ453" s="21"/>
      <c r="BA453" s="16"/>
      <c r="BB453" s="16"/>
      <c r="BC453" s="21"/>
      <c r="BD453" s="16"/>
      <c r="BE453" s="16"/>
      <c r="BF453" s="16"/>
      <c r="BG453" s="16"/>
      <c r="BH453" s="16"/>
      <c r="BI453" s="16"/>
      <c r="BJ453" s="16"/>
      <c r="BK453" s="15"/>
      <c r="BL453" s="15"/>
      <c r="BM453" s="15"/>
      <c r="BN453" s="15"/>
      <c r="BO453" s="15"/>
      <c r="BP453" s="16"/>
      <c r="BQ453" s="16"/>
      <c r="BR453" s="16"/>
      <c r="BS453" s="16"/>
      <c r="BT453" s="16"/>
      <c r="BU453" s="16"/>
      <c r="BV453" s="16"/>
      <c r="BW453" s="16"/>
      <c r="BX453" s="16"/>
      <c r="BY453" s="16"/>
      <c r="BZ453" s="16"/>
      <c r="CA453" s="16"/>
      <c r="CB453" s="16"/>
      <c r="CC453" s="16"/>
      <c r="CD453" s="16"/>
      <c r="CE453" s="16"/>
      <c r="CF453" s="16"/>
      <c r="CG453" s="16"/>
      <c r="CH453" s="16"/>
      <c r="CI453" s="16"/>
      <c r="CJ453" s="16"/>
      <c r="CK453" s="16"/>
      <c r="CL453" s="16"/>
      <c r="CM453" s="16"/>
      <c r="CN453" s="16"/>
      <c r="CO453" s="16"/>
      <c r="CP453" s="16"/>
      <c r="CQ453" s="16"/>
      <c r="CR453" s="16"/>
      <c r="CS453" s="16"/>
      <c r="CT453" s="16"/>
      <c r="CU453" s="16"/>
      <c r="CV453" s="16"/>
      <c r="CW453" s="16"/>
      <c r="CX453" s="16"/>
      <c r="CY453" s="16"/>
      <c r="CZ453" s="16"/>
      <c r="DA453" s="16"/>
      <c r="DB453" s="16"/>
      <c r="DC453" s="16"/>
      <c r="DD453" s="16"/>
      <c r="DE453" s="16"/>
      <c r="DF453" s="16"/>
      <c r="DG453" s="16"/>
      <c r="DH453" s="16"/>
      <c r="DI453" s="16"/>
      <c r="DJ453" s="16"/>
      <c r="DK453" s="16"/>
      <c r="DL453" s="16"/>
      <c r="DM453" s="16"/>
      <c r="DN453" s="16"/>
      <c r="DO453" s="16"/>
      <c r="DP453" s="16"/>
      <c r="DQ453" s="16"/>
      <c r="DR453" s="16"/>
      <c r="DS453" s="16"/>
      <c r="DT453" s="16"/>
      <c r="DU453" s="16"/>
      <c r="DV453" s="16"/>
      <c r="DW453" s="16"/>
      <c r="DX453" s="16"/>
      <c r="DY453" s="16"/>
      <c r="DZ453" s="16"/>
      <c r="EA453" s="16"/>
      <c r="EB453" s="16"/>
      <c r="EC453" s="16"/>
      <c r="ED453" s="16"/>
      <c r="EE453" s="16"/>
      <c r="EF453" s="16"/>
      <c r="EG453" s="16"/>
      <c r="EH453" s="16"/>
      <c r="EI453" s="16"/>
      <c r="EJ453" s="16"/>
      <c r="EK453" s="16"/>
      <c r="EL453" s="16"/>
      <c r="EM453" s="16"/>
      <c r="EN453" s="16"/>
      <c r="EO453" s="16"/>
      <c r="EP453" s="16"/>
      <c r="EQ453" s="16"/>
      <c r="ER453" s="16"/>
      <c r="ES453" s="16"/>
      <c r="ET453" s="16"/>
      <c r="EU453" s="16"/>
      <c r="EX453" s="16"/>
      <c r="EY453" s="228"/>
      <c r="EZ453" s="945"/>
      <c r="FA453" s="477"/>
      <c r="FB453" s="228"/>
      <c r="FC453" s="477"/>
      <c r="FD453" s="16"/>
    </row>
    <row r="454" spans="1:160" x14ac:dyDescent="0.2">
      <c r="A454" s="23"/>
      <c r="B454" s="16"/>
      <c r="C454" s="16"/>
      <c r="D454" s="16"/>
      <c r="E454" s="16"/>
      <c r="F454" s="16"/>
      <c r="G454" s="16"/>
      <c r="H454" s="16"/>
      <c r="I454" s="16"/>
      <c r="J454" s="16"/>
      <c r="K454" s="16"/>
      <c r="L454" s="16"/>
      <c r="M454" s="16"/>
      <c r="N454" s="16"/>
      <c r="O454" s="16"/>
      <c r="P454" s="16"/>
      <c r="Q454" s="16"/>
      <c r="R454" s="16"/>
      <c r="S454" s="16"/>
      <c r="T454" s="16"/>
      <c r="U454" s="16"/>
      <c r="V454" s="16"/>
      <c r="W454" s="16"/>
      <c r="X454" s="16"/>
      <c r="Y454" s="16"/>
      <c r="Z454" s="16"/>
      <c r="AA454" s="16"/>
      <c r="AB454" s="16"/>
      <c r="AC454" s="16"/>
      <c r="AD454" s="16"/>
      <c r="AE454" s="16"/>
      <c r="AF454" s="16"/>
      <c r="AG454" s="16"/>
      <c r="AH454" s="16"/>
      <c r="AI454" s="16"/>
      <c r="AJ454" s="16"/>
      <c r="AK454" s="16"/>
      <c r="AL454" s="16"/>
      <c r="AM454" s="16"/>
      <c r="AN454" s="16"/>
      <c r="AO454" s="16"/>
      <c r="AP454" s="16"/>
      <c r="AQ454" s="16"/>
      <c r="AR454" s="16"/>
      <c r="AS454" s="16"/>
      <c r="AT454" s="16"/>
      <c r="AU454" s="16"/>
      <c r="AV454" s="21"/>
      <c r="AW454" s="16"/>
      <c r="AX454" s="16"/>
      <c r="AY454" s="21"/>
      <c r="AZ454" s="21"/>
      <c r="BA454" s="16"/>
      <c r="BB454" s="16"/>
      <c r="BC454" s="21"/>
      <c r="BD454" s="16"/>
      <c r="BE454" s="16"/>
      <c r="BF454" s="16"/>
      <c r="BG454" s="16"/>
      <c r="BH454" s="16"/>
      <c r="BI454" s="16"/>
      <c r="BJ454" s="16"/>
      <c r="BK454" s="15"/>
      <c r="BL454" s="15"/>
      <c r="BM454" s="15"/>
      <c r="BN454" s="15"/>
      <c r="BO454" s="15"/>
      <c r="BP454" s="16"/>
      <c r="BQ454" s="16"/>
      <c r="BR454" s="16"/>
      <c r="BS454" s="16"/>
      <c r="BT454" s="16"/>
      <c r="BU454" s="16"/>
      <c r="BV454" s="16"/>
      <c r="BW454" s="16"/>
      <c r="BX454" s="16"/>
      <c r="BY454" s="16"/>
      <c r="BZ454" s="16"/>
      <c r="CA454" s="16"/>
      <c r="CB454" s="16"/>
      <c r="CC454" s="16"/>
      <c r="CD454" s="16"/>
      <c r="CE454" s="16"/>
      <c r="CF454" s="16"/>
      <c r="CG454" s="16"/>
      <c r="CH454" s="16"/>
      <c r="CI454" s="16"/>
      <c r="CJ454" s="16"/>
      <c r="CK454" s="16"/>
      <c r="CL454" s="16"/>
      <c r="CM454" s="16"/>
      <c r="CN454" s="16"/>
      <c r="CO454" s="16"/>
      <c r="CP454" s="16"/>
      <c r="CQ454" s="16"/>
      <c r="CR454" s="16"/>
      <c r="CS454" s="16"/>
      <c r="CT454" s="16"/>
      <c r="CU454" s="16"/>
      <c r="CV454" s="16"/>
      <c r="CW454" s="16"/>
      <c r="CX454" s="16"/>
      <c r="CY454" s="16"/>
      <c r="CZ454" s="16"/>
      <c r="DA454" s="16"/>
      <c r="DB454" s="16"/>
      <c r="DC454" s="16"/>
      <c r="DD454" s="16"/>
      <c r="DE454" s="16"/>
      <c r="DF454" s="16"/>
      <c r="DG454" s="16"/>
      <c r="DH454" s="16"/>
      <c r="DI454" s="16"/>
      <c r="DJ454" s="16"/>
      <c r="DK454" s="16"/>
      <c r="DL454" s="16"/>
      <c r="DM454" s="16"/>
      <c r="DN454" s="16"/>
      <c r="DO454" s="16"/>
      <c r="DP454" s="16"/>
      <c r="DQ454" s="16"/>
      <c r="DR454" s="16"/>
      <c r="DS454" s="16"/>
      <c r="DT454" s="16"/>
      <c r="DU454" s="16"/>
      <c r="DV454" s="16"/>
      <c r="DW454" s="16"/>
      <c r="DX454" s="16"/>
      <c r="DY454" s="16"/>
      <c r="DZ454" s="16"/>
      <c r="EA454" s="16"/>
      <c r="EB454" s="16"/>
      <c r="EC454" s="16"/>
      <c r="ED454" s="16"/>
      <c r="EE454" s="16"/>
      <c r="EF454" s="16"/>
      <c r="EG454" s="16"/>
      <c r="EH454" s="16"/>
      <c r="EI454" s="16"/>
      <c r="EJ454" s="16"/>
      <c r="EK454" s="16"/>
      <c r="EL454" s="16"/>
      <c r="EM454" s="16"/>
      <c r="EN454" s="16"/>
      <c r="EO454" s="16"/>
      <c r="EP454" s="16"/>
      <c r="EQ454" s="16"/>
      <c r="ER454" s="16"/>
      <c r="ES454" s="16"/>
      <c r="ET454" s="16"/>
      <c r="EU454" s="16"/>
      <c r="EX454" s="16"/>
      <c r="EY454" s="228"/>
      <c r="EZ454" s="945"/>
      <c r="FA454" s="477"/>
      <c r="FB454" s="228"/>
      <c r="FC454" s="477"/>
      <c r="FD454" s="16"/>
    </row>
    <row r="455" spans="1:160" x14ac:dyDescent="0.2">
      <c r="A455" s="23"/>
      <c r="B455" s="16"/>
      <c r="C455" s="16"/>
      <c r="D455" s="16"/>
      <c r="E455" s="16"/>
      <c r="F455" s="16"/>
      <c r="G455" s="16"/>
      <c r="H455" s="16"/>
      <c r="I455" s="16"/>
      <c r="J455" s="16"/>
      <c r="K455" s="16"/>
      <c r="L455" s="16"/>
      <c r="M455" s="16"/>
      <c r="N455" s="16"/>
      <c r="O455" s="16"/>
      <c r="P455" s="16"/>
      <c r="Q455" s="16"/>
      <c r="R455" s="16"/>
      <c r="S455" s="16"/>
      <c r="T455" s="16"/>
      <c r="U455" s="16"/>
      <c r="V455" s="16"/>
      <c r="W455" s="16"/>
      <c r="X455" s="16"/>
      <c r="Y455" s="16"/>
      <c r="Z455" s="16"/>
      <c r="AA455" s="16"/>
      <c r="AB455" s="16"/>
      <c r="AC455" s="16"/>
      <c r="AD455" s="16"/>
      <c r="AE455" s="16"/>
      <c r="AF455" s="16"/>
      <c r="AG455" s="16"/>
      <c r="AH455" s="16"/>
      <c r="AI455" s="16"/>
      <c r="AJ455" s="16"/>
      <c r="AK455" s="16"/>
      <c r="AL455" s="16"/>
      <c r="AM455" s="16"/>
      <c r="AN455" s="16"/>
      <c r="AO455" s="16"/>
      <c r="AP455" s="16"/>
      <c r="AQ455" s="16"/>
      <c r="AR455" s="16"/>
      <c r="AS455" s="16"/>
      <c r="AT455" s="16"/>
      <c r="AU455" s="16"/>
      <c r="AV455" s="21"/>
      <c r="AW455" s="16"/>
      <c r="AX455" s="16"/>
      <c r="AY455" s="21"/>
      <c r="AZ455" s="21"/>
      <c r="BA455" s="16"/>
      <c r="BB455" s="16"/>
      <c r="BC455" s="21"/>
      <c r="BD455" s="16"/>
      <c r="BE455" s="16"/>
      <c r="BF455" s="16"/>
      <c r="BG455" s="16"/>
      <c r="BH455" s="16"/>
      <c r="BI455" s="16"/>
      <c r="BJ455" s="16"/>
      <c r="BK455" s="15"/>
      <c r="BL455" s="15"/>
      <c r="BM455" s="15"/>
      <c r="BN455" s="15"/>
      <c r="BO455" s="15"/>
      <c r="BP455" s="16"/>
      <c r="BQ455" s="16"/>
      <c r="BR455" s="16"/>
      <c r="BS455" s="16"/>
      <c r="BT455" s="16"/>
      <c r="BU455" s="16"/>
      <c r="BV455" s="16"/>
      <c r="BW455" s="16"/>
      <c r="BX455" s="16"/>
      <c r="BY455" s="16"/>
      <c r="BZ455" s="16"/>
      <c r="CA455" s="16"/>
      <c r="CB455" s="16"/>
      <c r="CC455" s="16"/>
      <c r="CD455" s="16"/>
      <c r="CE455" s="16"/>
      <c r="CF455" s="16"/>
      <c r="CG455" s="16"/>
      <c r="CH455" s="16"/>
      <c r="CI455" s="16"/>
      <c r="CJ455" s="16"/>
      <c r="CK455" s="16"/>
      <c r="CL455" s="16"/>
      <c r="CM455" s="16"/>
      <c r="CN455" s="16"/>
      <c r="CO455" s="16"/>
      <c r="CP455" s="16"/>
      <c r="CQ455" s="16"/>
      <c r="CR455" s="16"/>
      <c r="CS455" s="16"/>
      <c r="CT455" s="16"/>
      <c r="CU455" s="16"/>
      <c r="CV455" s="16"/>
      <c r="CW455" s="16"/>
      <c r="CX455" s="16"/>
      <c r="CY455" s="16"/>
      <c r="CZ455" s="16"/>
      <c r="DA455" s="16"/>
      <c r="DB455" s="16"/>
      <c r="DC455" s="16"/>
      <c r="DD455" s="16"/>
      <c r="DE455" s="16"/>
      <c r="DF455" s="16"/>
      <c r="DG455" s="16"/>
      <c r="DH455" s="16"/>
      <c r="DI455" s="16"/>
      <c r="DJ455" s="16"/>
      <c r="DK455" s="16"/>
      <c r="DL455" s="16"/>
      <c r="DM455" s="16"/>
      <c r="DN455" s="16"/>
      <c r="DO455" s="16"/>
      <c r="DP455" s="16"/>
      <c r="DQ455" s="16"/>
      <c r="DR455" s="16"/>
      <c r="DS455" s="16"/>
      <c r="DT455" s="16"/>
      <c r="DU455" s="16"/>
      <c r="DV455" s="16"/>
      <c r="DW455" s="16"/>
      <c r="DX455" s="16"/>
      <c r="DY455" s="16"/>
      <c r="DZ455" s="16"/>
      <c r="EA455" s="16"/>
      <c r="EB455" s="16"/>
      <c r="EC455" s="16"/>
      <c r="ED455" s="16"/>
      <c r="EE455" s="16"/>
      <c r="EF455" s="16"/>
      <c r="EG455" s="16"/>
      <c r="EH455" s="16"/>
      <c r="EI455" s="16"/>
      <c r="EJ455" s="16"/>
      <c r="EK455" s="16"/>
      <c r="EL455" s="16"/>
      <c r="EM455" s="16"/>
      <c r="EN455" s="16"/>
      <c r="EO455" s="16"/>
      <c r="EP455" s="16"/>
      <c r="EQ455" s="16"/>
      <c r="ER455" s="16"/>
      <c r="ES455" s="16"/>
      <c r="ET455" s="16"/>
      <c r="EU455" s="16"/>
      <c r="EX455" s="16"/>
      <c r="EY455" s="228"/>
      <c r="EZ455" s="945"/>
      <c r="FA455" s="477"/>
      <c r="FB455" s="228"/>
      <c r="FC455" s="477"/>
      <c r="FD455" s="16"/>
    </row>
    <row r="456" spans="1:160" x14ac:dyDescent="0.2">
      <c r="A456" s="23"/>
      <c r="B456" s="16"/>
      <c r="C456" s="16"/>
      <c r="D456" s="16"/>
      <c r="E456" s="16"/>
      <c r="F456" s="16"/>
      <c r="G456" s="16"/>
      <c r="H456" s="16"/>
      <c r="I456" s="16"/>
      <c r="J456" s="16"/>
      <c r="K456" s="16"/>
      <c r="L456" s="16"/>
      <c r="M456" s="16"/>
      <c r="N456" s="16"/>
      <c r="O456" s="16"/>
      <c r="P456" s="16"/>
      <c r="Q456" s="16"/>
      <c r="R456" s="16"/>
      <c r="S456" s="16"/>
      <c r="T456" s="16"/>
      <c r="U456" s="16"/>
      <c r="V456" s="16"/>
      <c r="W456" s="16"/>
      <c r="X456" s="16"/>
      <c r="Y456" s="16"/>
      <c r="Z456" s="16"/>
      <c r="AA456" s="16"/>
      <c r="AB456" s="16"/>
      <c r="AC456" s="16"/>
      <c r="AD456" s="16"/>
      <c r="AE456" s="16"/>
      <c r="AF456" s="16"/>
      <c r="AG456" s="16"/>
      <c r="AH456" s="16"/>
      <c r="AI456" s="16"/>
      <c r="AJ456" s="16"/>
      <c r="AK456" s="16"/>
      <c r="AL456" s="16"/>
      <c r="AM456" s="16"/>
      <c r="AN456" s="16"/>
      <c r="AO456" s="16"/>
      <c r="AP456" s="16"/>
      <c r="AQ456" s="16"/>
      <c r="AR456" s="16"/>
      <c r="AS456" s="16"/>
      <c r="AT456" s="16"/>
      <c r="AU456" s="16"/>
      <c r="AV456" s="21"/>
      <c r="AW456" s="16"/>
      <c r="AX456" s="16"/>
      <c r="AY456" s="21"/>
      <c r="AZ456" s="21"/>
      <c r="BA456" s="16"/>
      <c r="BB456" s="16"/>
      <c r="BC456" s="21"/>
      <c r="BD456" s="16"/>
      <c r="BE456" s="16"/>
      <c r="BF456" s="16"/>
      <c r="BG456" s="16"/>
      <c r="BH456" s="16"/>
      <c r="BI456" s="16"/>
      <c r="BJ456" s="16"/>
      <c r="BK456" s="15"/>
      <c r="BL456" s="15"/>
      <c r="BM456" s="15"/>
      <c r="BN456" s="15"/>
      <c r="BO456" s="15"/>
      <c r="BP456" s="16"/>
      <c r="BQ456" s="16"/>
      <c r="BR456" s="16"/>
      <c r="BS456" s="16"/>
      <c r="BT456" s="16"/>
      <c r="BU456" s="16"/>
      <c r="BV456" s="16"/>
      <c r="BW456" s="16"/>
      <c r="BX456" s="16"/>
      <c r="BY456" s="16"/>
      <c r="BZ456" s="16"/>
      <c r="CA456" s="16"/>
      <c r="CB456" s="16"/>
      <c r="CC456" s="16"/>
      <c r="CD456" s="16"/>
      <c r="CE456" s="16"/>
      <c r="CF456" s="16"/>
      <c r="CG456" s="16"/>
      <c r="CH456" s="16"/>
      <c r="CI456" s="16"/>
      <c r="CJ456" s="16"/>
      <c r="CK456" s="16"/>
      <c r="CL456" s="16"/>
      <c r="CM456" s="16"/>
      <c r="CN456" s="16"/>
      <c r="CO456" s="16"/>
      <c r="CP456" s="16"/>
      <c r="CQ456" s="16"/>
      <c r="CR456" s="16"/>
      <c r="CS456" s="16"/>
      <c r="CT456" s="16"/>
      <c r="CU456" s="16"/>
      <c r="CV456" s="16"/>
      <c r="CW456" s="16"/>
      <c r="CX456" s="16"/>
      <c r="CY456" s="16"/>
      <c r="CZ456" s="16"/>
      <c r="DA456" s="16"/>
      <c r="DB456" s="16"/>
      <c r="DC456" s="16"/>
      <c r="DD456" s="16"/>
      <c r="DE456" s="16"/>
      <c r="DF456" s="16"/>
      <c r="DG456" s="16"/>
      <c r="DH456" s="16"/>
      <c r="DI456" s="16"/>
      <c r="DJ456" s="16"/>
      <c r="DK456" s="16"/>
      <c r="DL456" s="16"/>
      <c r="DM456" s="16"/>
      <c r="DN456" s="16"/>
      <c r="DO456" s="16"/>
      <c r="DP456" s="16"/>
      <c r="DQ456" s="16"/>
      <c r="DR456" s="16"/>
      <c r="DS456" s="16"/>
      <c r="DT456" s="16"/>
      <c r="DU456" s="16"/>
      <c r="DV456" s="16"/>
      <c r="DW456" s="16"/>
      <c r="DX456" s="16"/>
      <c r="DY456" s="16"/>
      <c r="DZ456" s="16"/>
      <c r="EA456" s="16"/>
      <c r="EB456" s="16"/>
      <c r="EC456" s="16"/>
      <c r="ED456" s="16"/>
      <c r="EE456" s="16"/>
      <c r="EF456" s="16"/>
      <c r="EG456" s="16"/>
      <c r="EH456" s="16"/>
      <c r="EI456" s="16"/>
      <c r="EJ456" s="16"/>
      <c r="EK456" s="16"/>
      <c r="EL456" s="16"/>
      <c r="EM456" s="16"/>
      <c r="EN456" s="16"/>
      <c r="EO456" s="16"/>
      <c r="EP456" s="16"/>
      <c r="EQ456" s="16"/>
      <c r="ER456" s="16"/>
      <c r="ES456" s="16"/>
      <c r="ET456" s="16"/>
      <c r="EU456" s="16"/>
      <c r="EX456" s="16"/>
      <c r="EY456" s="228"/>
      <c r="EZ456" s="945"/>
      <c r="FA456" s="477"/>
      <c r="FB456" s="228"/>
      <c r="FC456" s="477"/>
      <c r="FD456" s="16"/>
    </row>
    <row r="457" spans="1:160" x14ac:dyDescent="0.2">
      <c r="A457" s="23"/>
      <c r="B457" s="16"/>
      <c r="C457" s="16"/>
      <c r="D457" s="16"/>
      <c r="E457" s="16"/>
      <c r="F457" s="16"/>
      <c r="G457" s="16"/>
      <c r="H457" s="16"/>
      <c r="I457" s="16"/>
      <c r="J457" s="16"/>
      <c r="K457" s="16"/>
      <c r="L457" s="16"/>
      <c r="M457" s="16"/>
      <c r="N457" s="16"/>
      <c r="O457" s="16"/>
      <c r="P457" s="16"/>
      <c r="Q457" s="16"/>
      <c r="R457" s="16"/>
      <c r="S457" s="16"/>
      <c r="T457" s="16"/>
      <c r="U457" s="16"/>
      <c r="V457" s="16"/>
      <c r="W457" s="16"/>
      <c r="X457" s="16"/>
      <c r="Y457" s="16"/>
      <c r="Z457" s="16"/>
      <c r="AA457" s="16"/>
      <c r="AB457" s="16"/>
      <c r="AC457" s="16"/>
      <c r="AD457" s="16"/>
      <c r="AE457" s="16"/>
      <c r="AF457" s="16"/>
      <c r="AG457" s="16"/>
      <c r="AH457" s="16"/>
      <c r="AI457" s="16"/>
      <c r="AJ457" s="16"/>
      <c r="AK457" s="16"/>
      <c r="AL457" s="16"/>
      <c r="AM457" s="16"/>
      <c r="AN457" s="16"/>
      <c r="AO457" s="16"/>
      <c r="AP457" s="16"/>
      <c r="AQ457" s="16"/>
      <c r="AR457" s="16"/>
      <c r="AS457" s="16"/>
      <c r="AT457" s="16"/>
      <c r="AU457" s="16"/>
      <c r="AV457" s="21"/>
      <c r="AW457" s="16"/>
      <c r="AX457" s="16"/>
      <c r="AY457" s="21"/>
      <c r="AZ457" s="21"/>
      <c r="BA457" s="16"/>
      <c r="BB457" s="16"/>
      <c r="BC457" s="21"/>
      <c r="BD457" s="16"/>
      <c r="BE457" s="16"/>
      <c r="BF457" s="16"/>
      <c r="BG457" s="16"/>
      <c r="BH457" s="16"/>
      <c r="BI457" s="16"/>
      <c r="BJ457" s="16"/>
      <c r="BK457" s="15"/>
      <c r="BL457" s="15"/>
      <c r="BM457" s="15"/>
      <c r="BN457" s="15"/>
      <c r="BO457" s="15"/>
      <c r="BP457" s="16"/>
      <c r="BQ457" s="16"/>
      <c r="BR457" s="16"/>
      <c r="BS457" s="16"/>
      <c r="BT457" s="16"/>
      <c r="BU457" s="16"/>
      <c r="BV457" s="16"/>
      <c r="BW457" s="16"/>
      <c r="BX457" s="16"/>
      <c r="BY457" s="16"/>
      <c r="BZ457" s="16"/>
      <c r="CA457" s="16"/>
      <c r="CB457" s="16"/>
      <c r="CC457" s="16"/>
      <c r="CD457" s="16"/>
      <c r="CE457" s="16"/>
      <c r="CF457" s="16"/>
      <c r="CG457" s="16"/>
      <c r="CH457" s="16"/>
      <c r="CI457" s="16"/>
      <c r="CJ457" s="16"/>
      <c r="CK457" s="16"/>
      <c r="CL457" s="16"/>
      <c r="CM457" s="16"/>
      <c r="CN457" s="16"/>
      <c r="CO457" s="16"/>
      <c r="CP457" s="16"/>
      <c r="CQ457" s="16"/>
      <c r="CR457" s="16"/>
      <c r="CS457" s="16"/>
      <c r="CT457" s="16"/>
      <c r="CU457" s="16"/>
      <c r="CV457" s="16"/>
      <c r="CW457" s="16"/>
      <c r="CX457" s="16"/>
      <c r="CY457" s="16"/>
      <c r="CZ457" s="16"/>
      <c r="DA457" s="16"/>
      <c r="DB457" s="16"/>
      <c r="DC457" s="16"/>
      <c r="DD457" s="16"/>
      <c r="DE457" s="16"/>
      <c r="DF457" s="16"/>
      <c r="DG457" s="16"/>
      <c r="DH457" s="16"/>
      <c r="DI457" s="16"/>
      <c r="DJ457" s="16"/>
      <c r="DK457" s="16"/>
      <c r="DL457" s="16"/>
      <c r="DM457" s="16"/>
      <c r="DN457" s="16"/>
      <c r="DO457" s="16"/>
      <c r="DP457" s="16"/>
      <c r="DQ457" s="16"/>
      <c r="DR457" s="16"/>
      <c r="DS457" s="16"/>
      <c r="DT457" s="16"/>
      <c r="DU457" s="16"/>
      <c r="DV457" s="16"/>
      <c r="DW457" s="16"/>
      <c r="DX457" s="16"/>
      <c r="DY457" s="16"/>
      <c r="DZ457" s="16"/>
      <c r="EA457" s="16"/>
      <c r="EB457" s="16"/>
      <c r="EC457" s="16"/>
      <c r="ED457" s="16"/>
      <c r="EE457" s="16"/>
      <c r="EF457" s="16"/>
      <c r="EG457" s="16"/>
      <c r="EH457" s="16"/>
      <c r="EI457" s="16"/>
      <c r="EJ457" s="16"/>
      <c r="EK457" s="16"/>
      <c r="EL457" s="16"/>
      <c r="EM457" s="16"/>
      <c r="EN457" s="16"/>
      <c r="EO457" s="16"/>
      <c r="EP457" s="16"/>
      <c r="EQ457" s="16"/>
      <c r="ER457" s="16"/>
      <c r="ES457" s="16"/>
      <c r="ET457" s="16"/>
      <c r="EU457" s="16"/>
      <c r="EX457" s="16"/>
      <c r="EY457" s="228"/>
      <c r="EZ457" s="945"/>
      <c r="FA457" s="477"/>
      <c r="FB457" s="228"/>
      <c r="FC457" s="477"/>
      <c r="FD457" s="16"/>
    </row>
    <row r="458" spans="1:160" x14ac:dyDescent="0.2">
      <c r="A458" s="23"/>
      <c r="B458" s="16"/>
      <c r="C458" s="16"/>
      <c r="D458" s="16"/>
      <c r="E458" s="16"/>
      <c r="F458" s="16"/>
      <c r="G458" s="16"/>
      <c r="H458" s="16"/>
      <c r="I458" s="16"/>
      <c r="J458" s="16"/>
      <c r="K458" s="16"/>
      <c r="L458" s="16"/>
      <c r="M458" s="16"/>
      <c r="N458" s="16"/>
      <c r="O458" s="16"/>
      <c r="P458" s="16"/>
      <c r="Q458" s="16"/>
      <c r="R458" s="16"/>
      <c r="S458" s="16"/>
      <c r="T458" s="16"/>
      <c r="U458" s="16"/>
      <c r="V458" s="16"/>
      <c r="W458" s="16"/>
      <c r="X458" s="16"/>
      <c r="Y458" s="16"/>
      <c r="Z458" s="16"/>
      <c r="AA458" s="16"/>
      <c r="AB458" s="16"/>
      <c r="AC458" s="16"/>
      <c r="AD458" s="16"/>
      <c r="AE458" s="16"/>
      <c r="AF458" s="16"/>
      <c r="AG458" s="16"/>
      <c r="AH458" s="16"/>
      <c r="AI458" s="16"/>
      <c r="AJ458" s="16"/>
      <c r="AK458" s="16"/>
      <c r="AL458" s="16"/>
      <c r="AM458" s="16"/>
      <c r="AN458" s="16"/>
      <c r="AO458" s="16"/>
      <c r="AP458" s="16"/>
      <c r="AQ458" s="16"/>
      <c r="AR458" s="16"/>
      <c r="AS458" s="16"/>
      <c r="AT458" s="16"/>
      <c r="AU458" s="16"/>
      <c r="AV458" s="21"/>
      <c r="AW458" s="16"/>
      <c r="AX458" s="16"/>
      <c r="AY458" s="21"/>
      <c r="AZ458" s="21"/>
      <c r="BA458" s="16"/>
      <c r="BB458" s="16"/>
      <c r="BC458" s="21"/>
      <c r="BD458" s="16"/>
      <c r="BE458" s="16"/>
      <c r="BF458" s="16"/>
      <c r="BG458" s="16"/>
      <c r="BH458" s="16"/>
      <c r="BI458" s="16"/>
      <c r="BJ458" s="16"/>
      <c r="BK458" s="15"/>
      <c r="BL458" s="15"/>
      <c r="BM458" s="15"/>
      <c r="BN458" s="15"/>
      <c r="BO458" s="15"/>
      <c r="BP458" s="16"/>
      <c r="BQ458" s="16"/>
      <c r="BR458" s="16"/>
      <c r="BS458" s="16"/>
      <c r="BT458" s="16"/>
      <c r="BU458" s="16"/>
      <c r="BV458" s="16"/>
      <c r="BW458" s="16"/>
      <c r="BX458" s="16"/>
      <c r="BY458" s="16"/>
      <c r="BZ458" s="16"/>
      <c r="CA458" s="16"/>
      <c r="CB458" s="16"/>
      <c r="CC458" s="16"/>
      <c r="CD458" s="16"/>
      <c r="CE458" s="16"/>
      <c r="CF458" s="16"/>
      <c r="CG458" s="16"/>
      <c r="CH458" s="16"/>
      <c r="CI458" s="16"/>
      <c r="CJ458" s="16"/>
      <c r="CK458" s="16"/>
      <c r="CL458" s="16"/>
      <c r="CM458" s="16"/>
      <c r="CN458" s="16"/>
      <c r="CO458" s="16"/>
      <c r="CP458" s="16"/>
      <c r="CQ458" s="16"/>
      <c r="CR458" s="16"/>
      <c r="CS458" s="16"/>
      <c r="CT458" s="16"/>
      <c r="CU458" s="16"/>
      <c r="CV458" s="16"/>
      <c r="CW458" s="16"/>
      <c r="CX458" s="16"/>
      <c r="CY458" s="16"/>
      <c r="CZ458" s="16"/>
      <c r="DA458" s="16"/>
      <c r="DB458" s="16"/>
      <c r="DC458" s="16"/>
      <c r="DD458" s="16"/>
      <c r="DE458" s="16"/>
      <c r="DF458" s="16"/>
      <c r="DG458" s="16"/>
      <c r="DH458" s="16"/>
      <c r="DI458" s="16"/>
      <c r="DJ458" s="16"/>
      <c r="DK458" s="16"/>
      <c r="DL458" s="16"/>
      <c r="DM458" s="16"/>
      <c r="DN458" s="16"/>
      <c r="DO458" s="16"/>
      <c r="DP458" s="16"/>
      <c r="DQ458" s="16"/>
      <c r="DR458" s="16"/>
      <c r="DS458" s="16"/>
      <c r="DT458" s="16"/>
      <c r="DU458" s="16"/>
      <c r="DV458" s="16"/>
      <c r="DW458" s="16"/>
      <c r="DX458" s="16"/>
      <c r="DY458" s="16"/>
      <c r="DZ458" s="16"/>
      <c r="EA458" s="16"/>
      <c r="EB458" s="16"/>
      <c r="EC458" s="16"/>
      <c r="ED458" s="16"/>
      <c r="EE458" s="16"/>
      <c r="EF458" s="16"/>
      <c r="EG458" s="16"/>
      <c r="EH458" s="16"/>
      <c r="EI458" s="16"/>
      <c r="EJ458" s="16"/>
      <c r="EK458" s="16"/>
      <c r="EL458" s="16"/>
      <c r="EM458" s="16"/>
      <c r="EN458" s="16"/>
      <c r="EO458" s="16"/>
      <c r="EP458" s="16"/>
      <c r="EQ458" s="16"/>
      <c r="ER458" s="16"/>
      <c r="ES458" s="16"/>
      <c r="ET458" s="16"/>
      <c r="EU458" s="16"/>
      <c r="EX458" s="16"/>
      <c r="EY458" s="228"/>
      <c r="EZ458" s="945"/>
      <c r="FA458" s="477"/>
      <c r="FB458" s="228"/>
      <c r="FC458" s="477"/>
      <c r="FD458" s="16"/>
    </row>
    <row r="459" spans="1:160" x14ac:dyDescent="0.2">
      <c r="A459" s="23"/>
      <c r="B459" s="16"/>
      <c r="C459" s="16"/>
      <c r="D459" s="16"/>
      <c r="E459" s="16"/>
      <c r="F459" s="16"/>
      <c r="G459" s="16"/>
      <c r="H459" s="16"/>
      <c r="I459" s="16"/>
      <c r="J459" s="16"/>
      <c r="K459" s="16"/>
      <c r="L459" s="16"/>
      <c r="M459" s="16"/>
      <c r="N459" s="16"/>
      <c r="O459" s="16"/>
      <c r="P459" s="16"/>
      <c r="Q459" s="16"/>
      <c r="R459" s="16"/>
      <c r="S459" s="16"/>
      <c r="T459" s="16"/>
      <c r="U459" s="16"/>
      <c r="V459" s="16"/>
      <c r="W459" s="16"/>
      <c r="X459" s="16"/>
      <c r="Y459" s="16"/>
      <c r="Z459" s="16"/>
      <c r="AA459" s="16"/>
      <c r="AB459" s="16"/>
      <c r="AC459" s="16"/>
      <c r="AD459" s="16"/>
      <c r="AE459" s="16"/>
      <c r="AF459" s="16"/>
      <c r="AG459" s="16"/>
      <c r="AH459" s="16"/>
      <c r="AI459" s="16"/>
      <c r="AJ459" s="16"/>
      <c r="AK459" s="16"/>
      <c r="AL459" s="16"/>
      <c r="AM459" s="16"/>
      <c r="AN459" s="16"/>
      <c r="AO459" s="16"/>
      <c r="AP459" s="16"/>
      <c r="AQ459" s="16"/>
      <c r="AR459" s="16"/>
      <c r="AS459" s="16"/>
      <c r="AT459" s="16"/>
      <c r="AU459" s="16"/>
      <c r="AV459" s="21"/>
      <c r="AW459" s="16"/>
      <c r="AX459" s="16"/>
      <c r="AY459" s="21"/>
      <c r="AZ459" s="21"/>
      <c r="BA459" s="16"/>
      <c r="BB459" s="16"/>
      <c r="BC459" s="21"/>
      <c r="BD459" s="16"/>
      <c r="BE459" s="16"/>
      <c r="BF459" s="16"/>
      <c r="BG459" s="16"/>
      <c r="BH459" s="16"/>
      <c r="BI459" s="16"/>
      <c r="BJ459" s="16"/>
      <c r="BK459" s="15"/>
      <c r="BL459" s="15"/>
      <c r="BM459" s="15"/>
      <c r="BN459" s="15"/>
      <c r="BO459" s="15"/>
      <c r="BP459" s="16"/>
      <c r="BQ459" s="16"/>
      <c r="BR459" s="16"/>
      <c r="BS459" s="16"/>
      <c r="BT459" s="16"/>
      <c r="BU459" s="16"/>
      <c r="BV459" s="16"/>
      <c r="BW459" s="16"/>
      <c r="BX459" s="16"/>
      <c r="BY459" s="16"/>
      <c r="BZ459" s="16"/>
      <c r="CA459" s="16"/>
      <c r="CB459" s="16"/>
      <c r="CC459" s="16"/>
      <c r="CD459" s="16"/>
      <c r="CE459" s="16"/>
      <c r="CF459" s="16"/>
      <c r="CG459" s="16"/>
      <c r="CH459" s="16"/>
      <c r="CI459" s="16"/>
      <c r="CJ459" s="16"/>
      <c r="CK459" s="16"/>
      <c r="CL459" s="16"/>
      <c r="CM459" s="16"/>
      <c r="CN459" s="16"/>
      <c r="CO459" s="16"/>
      <c r="CP459" s="16"/>
      <c r="CQ459" s="16"/>
      <c r="CR459" s="16"/>
      <c r="CS459" s="16"/>
      <c r="CT459" s="16"/>
      <c r="CU459" s="16"/>
      <c r="CV459" s="16"/>
      <c r="CW459" s="16"/>
      <c r="CX459" s="16"/>
      <c r="CY459" s="16"/>
      <c r="CZ459" s="16"/>
      <c r="DA459" s="16"/>
      <c r="DB459" s="16"/>
      <c r="DC459" s="16"/>
      <c r="DD459" s="16"/>
      <c r="DE459" s="16"/>
      <c r="DF459" s="16"/>
      <c r="DG459" s="16"/>
      <c r="DH459" s="16"/>
      <c r="DI459" s="16"/>
      <c r="DJ459" s="16"/>
      <c r="DK459" s="16"/>
      <c r="DL459" s="16"/>
      <c r="DM459" s="16"/>
      <c r="DN459" s="16"/>
      <c r="DO459" s="16"/>
      <c r="DP459" s="16"/>
      <c r="DQ459" s="16"/>
      <c r="DR459" s="16"/>
      <c r="DS459" s="16"/>
      <c r="DT459" s="16"/>
      <c r="DU459" s="16"/>
      <c r="DV459" s="16"/>
      <c r="DW459" s="16"/>
      <c r="DX459" s="16"/>
      <c r="DY459" s="16"/>
      <c r="DZ459" s="16"/>
      <c r="EA459" s="16"/>
      <c r="EB459" s="16"/>
      <c r="EC459" s="16"/>
      <c r="ED459" s="16"/>
      <c r="EE459" s="16"/>
      <c r="EF459" s="16"/>
      <c r="EG459" s="16"/>
      <c r="EH459" s="16"/>
      <c r="EI459" s="16"/>
      <c r="EJ459" s="16"/>
      <c r="EK459" s="16"/>
      <c r="EL459" s="16"/>
      <c r="EM459" s="16"/>
      <c r="EN459" s="16"/>
      <c r="EO459" s="16"/>
      <c r="EP459" s="16"/>
      <c r="EQ459" s="16"/>
      <c r="ER459" s="16"/>
      <c r="ES459" s="16"/>
      <c r="ET459" s="16"/>
      <c r="EU459" s="16"/>
      <c r="EX459" s="16"/>
      <c r="EY459" s="228"/>
      <c r="EZ459" s="945"/>
      <c r="FA459" s="477"/>
      <c r="FB459" s="228"/>
      <c r="FC459" s="477"/>
      <c r="FD459" s="16"/>
    </row>
    <row r="460" spans="1:160" x14ac:dyDescent="0.2">
      <c r="A460" s="23"/>
      <c r="B460" s="16"/>
      <c r="C460" s="16"/>
      <c r="D460" s="16"/>
      <c r="E460" s="16"/>
      <c r="F460" s="16"/>
      <c r="G460" s="16"/>
      <c r="H460" s="16"/>
      <c r="I460" s="16"/>
      <c r="J460" s="16"/>
      <c r="K460" s="16"/>
      <c r="L460" s="16"/>
      <c r="M460" s="16"/>
      <c r="N460" s="16"/>
      <c r="O460" s="16"/>
      <c r="P460" s="16"/>
      <c r="Q460" s="16"/>
      <c r="R460" s="16"/>
      <c r="S460" s="16"/>
      <c r="T460" s="16"/>
      <c r="U460" s="16"/>
      <c r="V460" s="16"/>
      <c r="W460" s="16"/>
      <c r="X460" s="16"/>
      <c r="Y460" s="16"/>
      <c r="Z460" s="16"/>
      <c r="AA460" s="16"/>
      <c r="AB460" s="16"/>
      <c r="AC460" s="16"/>
      <c r="AD460" s="16"/>
      <c r="AE460" s="16"/>
      <c r="AF460" s="16"/>
      <c r="AG460" s="16"/>
      <c r="AH460" s="16"/>
      <c r="AI460" s="16"/>
      <c r="AJ460" s="16"/>
      <c r="AK460" s="16"/>
      <c r="AL460" s="16"/>
      <c r="AM460" s="16"/>
      <c r="AN460" s="16"/>
      <c r="AO460" s="16"/>
      <c r="AP460" s="16"/>
      <c r="AQ460" s="16"/>
      <c r="AR460" s="16"/>
      <c r="AS460" s="16"/>
      <c r="AT460" s="16"/>
      <c r="AU460" s="16"/>
      <c r="AV460" s="21"/>
      <c r="AW460" s="16"/>
      <c r="AX460" s="16"/>
      <c r="AY460" s="21"/>
      <c r="AZ460" s="21"/>
      <c r="BA460" s="16"/>
      <c r="BB460" s="16"/>
      <c r="BC460" s="21"/>
      <c r="BD460" s="16"/>
      <c r="BE460" s="16"/>
      <c r="BF460" s="16"/>
      <c r="BG460" s="16"/>
      <c r="BH460" s="16"/>
      <c r="BI460" s="16"/>
      <c r="BJ460" s="16"/>
      <c r="BK460" s="15"/>
      <c r="BL460" s="15"/>
      <c r="BM460" s="15"/>
      <c r="BN460" s="15"/>
      <c r="BO460" s="15"/>
      <c r="BP460" s="16"/>
      <c r="BQ460" s="16"/>
      <c r="BR460" s="16"/>
      <c r="BS460" s="16"/>
      <c r="BT460" s="16"/>
      <c r="BU460" s="16"/>
      <c r="BV460" s="16"/>
      <c r="BW460" s="16"/>
      <c r="BX460" s="16"/>
      <c r="BY460" s="16"/>
      <c r="BZ460" s="16"/>
      <c r="CA460" s="16"/>
      <c r="CB460" s="16"/>
      <c r="CC460" s="16"/>
      <c r="CD460" s="16"/>
      <c r="CE460" s="16"/>
      <c r="CF460" s="16"/>
      <c r="CG460" s="16"/>
      <c r="CH460" s="16"/>
      <c r="CI460" s="16"/>
      <c r="CJ460" s="16"/>
      <c r="CK460" s="16"/>
      <c r="CL460" s="16"/>
      <c r="CM460" s="16"/>
      <c r="CN460" s="16"/>
      <c r="CO460" s="16"/>
      <c r="CP460" s="16"/>
      <c r="CQ460" s="16"/>
      <c r="CR460" s="16"/>
      <c r="CS460" s="16"/>
      <c r="CT460" s="16"/>
      <c r="CU460" s="16"/>
      <c r="CV460" s="16"/>
      <c r="CW460" s="16"/>
      <c r="CX460" s="16"/>
      <c r="CY460" s="16"/>
      <c r="CZ460" s="16"/>
      <c r="DA460" s="16"/>
      <c r="DB460" s="16"/>
      <c r="DC460" s="16"/>
      <c r="DD460" s="16"/>
      <c r="DE460" s="16"/>
      <c r="DF460" s="16"/>
      <c r="DG460" s="16"/>
      <c r="DH460" s="16"/>
      <c r="DI460" s="16"/>
      <c r="DJ460" s="16"/>
      <c r="DK460" s="16"/>
      <c r="DL460" s="16"/>
      <c r="DM460" s="16"/>
      <c r="DN460" s="16"/>
      <c r="DO460" s="16"/>
      <c r="DP460" s="16"/>
      <c r="DQ460" s="16"/>
      <c r="DR460" s="16"/>
      <c r="DS460" s="16"/>
      <c r="DT460" s="16"/>
      <c r="DU460" s="16"/>
      <c r="DV460" s="16"/>
      <c r="DW460" s="16"/>
      <c r="DX460" s="16"/>
      <c r="DY460" s="16"/>
      <c r="DZ460" s="16"/>
      <c r="EA460" s="16"/>
      <c r="EB460" s="16"/>
      <c r="EC460" s="16"/>
      <c r="ED460" s="16"/>
      <c r="EE460" s="16"/>
      <c r="EF460" s="16"/>
      <c r="EG460" s="16"/>
      <c r="EH460" s="16"/>
      <c r="EI460" s="16"/>
      <c r="EJ460" s="16"/>
      <c r="EK460" s="16"/>
      <c r="EL460" s="16"/>
      <c r="EM460" s="16"/>
      <c r="EN460" s="16"/>
      <c r="EO460" s="16"/>
      <c r="EP460" s="16"/>
      <c r="EQ460" s="16"/>
      <c r="ER460" s="16"/>
      <c r="ES460" s="16"/>
      <c r="ET460" s="16"/>
      <c r="EU460" s="16"/>
      <c r="EX460" s="16"/>
      <c r="EY460" s="228"/>
      <c r="EZ460" s="945"/>
      <c r="FA460" s="477"/>
      <c r="FB460" s="228"/>
      <c r="FC460" s="477"/>
      <c r="FD460" s="16"/>
    </row>
    <row r="461" spans="1:160" x14ac:dyDescent="0.2">
      <c r="A461" s="23"/>
      <c r="B461" s="16"/>
      <c r="C461" s="16"/>
      <c r="D461" s="16"/>
      <c r="E461" s="16"/>
      <c r="F461" s="16"/>
      <c r="G461" s="16"/>
      <c r="H461" s="16"/>
      <c r="I461" s="16"/>
      <c r="J461" s="16"/>
      <c r="K461" s="16"/>
      <c r="L461" s="16"/>
      <c r="M461" s="16"/>
      <c r="N461" s="16"/>
      <c r="O461" s="16"/>
      <c r="P461" s="16"/>
      <c r="Q461" s="16"/>
      <c r="R461" s="16"/>
      <c r="S461" s="16"/>
      <c r="T461" s="16"/>
      <c r="U461" s="16"/>
      <c r="V461" s="16"/>
      <c r="W461" s="16"/>
      <c r="X461" s="16"/>
      <c r="Y461" s="16"/>
      <c r="Z461" s="16"/>
      <c r="AA461" s="16"/>
      <c r="AB461" s="16"/>
      <c r="AC461" s="16"/>
      <c r="AD461" s="16"/>
      <c r="AE461" s="16"/>
      <c r="AF461" s="16"/>
      <c r="AG461" s="16"/>
      <c r="AH461" s="16"/>
      <c r="AI461" s="16"/>
      <c r="AJ461" s="16"/>
      <c r="AK461" s="16"/>
      <c r="AL461" s="16"/>
      <c r="AM461" s="16"/>
      <c r="AN461" s="16"/>
      <c r="AO461" s="16"/>
      <c r="AP461" s="16"/>
      <c r="AQ461" s="16"/>
      <c r="AR461" s="16"/>
      <c r="AS461" s="16"/>
      <c r="AT461" s="16"/>
      <c r="AU461" s="16"/>
      <c r="AV461" s="21"/>
      <c r="AW461" s="16"/>
      <c r="AX461" s="16"/>
      <c r="AY461" s="21"/>
      <c r="AZ461" s="21"/>
      <c r="BA461" s="16"/>
      <c r="BB461" s="16"/>
      <c r="BC461" s="21"/>
      <c r="BD461" s="16"/>
      <c r="BE461" s="16"/>
      <c r="BF461" s="16"/>
      <c r="BG461" s="16"/>
      <c r="BH461" s="16"/>
      <c r="BI461" s="16"/>
      <c r="BJ461" s="16"/>
      <c r="BK461" s="15"/>
      <c r="BL461" s="15"/>
      <c r="BM461" s="15"/>
      <c r="BN461" s="15"/>
      <c r="BO461" s="15"/>
      <c r="BP461" s="16"/>
      <c r="BQ461" s="16"/>
      <c r="BR461" s="16"/>
      <c r="BS461" s="16"/>
      <c r="BT461" s="16"/>
      <c r="BU461" s="16"/>
      <c r="BV461" s="16"/>
      <c r="BW461" s="16"/>
      <c r="BX461" s="16"/>
      <c r="BY461" s="16"/>
      <c r="BZ461" s="16"/>
      <c r="CA461" s="16"/>
      <c r="CB461" s="16"/>
      <c r="CC461" s="16"/>
      <c r="CD461" s="16"/>
      <c r="CE461" s="16"/>
      <c r="CF461" s="16"/>
      <c r="CG461" s="16"/>
      <c r="CH461" s="16"/>
      <c r="CI461" s="16"/>
      <c r="CJ461" s="16"/>
      <c r="CK461" s="16"/>
      <c r="CL461" s="16"/>
      <c r="CM461" s="16"/>
      <c r="CN461" s="16"/>
      <c r="CO461" s="16"/>
      <c r="CP461" s="16"/>
      <c r="CQ461" s="16"/>
      <c r="CR461" s="16"/>
      <c r="CS461" s="16"/>
      <c r="CT461" s="16"/>
      <c r="CU461" s="16"/>
      <c r="CV461" s="16"/>
      <c r="CW461" s="16"/>
      <c r="CX461" s="16"/>
      <c r="CY461" s="16"/>
      <c r="CZ461" s="16"/>
      <c r="DA461" s="16"/>
      <c r="DB461" s="16"/>
      <c r="DC461" s="16"/>
      <c r="DD461" s="16"/>
      <c r="DE461" s="16"/>
      <c r="DF461" s="16"/>
      <c r="DG461" s="16"/>
      <c r="DH461" s="16"/>
      <c r="DI461" s="16"/>
      <c r="DJ461" s="16"/>
      <c r="DK461" s="16"/>
      <c r="DL461" s="16"/>
      <c r="DM461" s="16"/>
      <c r="DN461" s="16"/>
      <c r="DO461" s="16"/>
      <c r="DP461" s="16"/>
      <c r="DQ461" s="16"/>
      <c r="DR461" s="16"/>
      <c r="DS461" s="16"/>
      <c r="DT461" s="16"/>
      <c r="DU461" s="16"/>
      <c r="DV461" s="16"/>
      <c r="DW461" s="16"/>
      <c r="DX461" s="16"/>
      <c r="DY461" s="16"/>
      <c r="DZ461" s="16"/>
      <c r="EA461" s="16"/>
      <c r="EB461" s="16"/>
      <c r="EC461" s="16"/>
      <c r="ED461" s="16"/>
      <c r="EE461" s="16"/>
      <c r="EF461" s="16"/>
      <c r="EG461" s="16"/>
      <c r="EH461" s="16"/>
      <c r="EI461" s="16"/>
      <c r="EJ461" s="16"/>
      <c r="EK461" s="16"/>
      <c r="EL461" s="16"/>
      <c r="EM461" s="16"/>
      <c r="EN461" s="16"/>
      <c r="EO461" s="16"/>
      <c r="EP461" s="16"/>
      <c r="EQ461" s="16"/>
      <c r="ER461" s="16"/>
      <c r="ES461" s="16"/>
      <c r="ET461" s="16"/>
      <c r="EU461" s="16"/>
      <c r="EX461" s="16"/>
      <c r="EY461" s="228"/>
      <c r="EZ461" s="945"/>
      <c r="FA461" s="477"/>
      <c r="FB461" s="228"/>
      <c r="FC461" s="477"/>
      <c r="FD461" s="16"/>
    </row>
    <row r="462" spans="1:160" x14ac:dyDescent="0.2">
      <c r="A462" s="23"/>
      <c r="B462" s="16"/>
      <c r="C462" s="16"/>
      <c r="D462" s="16"/>
      <c r="E462" s="16"/>
      <c r="F462" s="16"/>
      <c r="G462" s="16"/>
      <c r="H462" s="16"/>
      <c r="I462" s="16"/>
      <c r="J462" s="16"/>
      <c r="K462" s="16"/>
      <c r="L462" s="16"/>
      <c r="M462" s="16"/>
      <c r="N462" s="16"/>
      <c r="O462" s="16"/>
      <c r="P462" s="16"/>
      <c r="Q462" s="16"/>
      <c r="R462" s="16"/>
      <c r="S462" s="16"/>
      <c r="T462" s="16"/>
      <c r="U462" s="16"/>
      <c r="V462" s="16"/>
      <c r="W462" s="16"/>
      <c r="X462" s="16"/>
      <c r="Y462" s="16"/>
      <c r="Z462" s="16"/>
      <c r="AA462" s="16"/>
      <c r="AB462" s="16"/>
      <c r="AC462" s="16"/>
      <c r="AD462" s="16"/>
      <c r="AE462" s="16"/>
      <c r="AF462" s="16"/>
      <c r="AG462" s="16"/>
      <c r="AH462" s="16"/>
      <c r="AI462" s="16"/>
      <c r="AJ462" s="16"/>
      <c r="AK462" s="16"/>
      <c r="AL462" s="16"/>
      <c r="AM462" s="16"/>
      <c r="AN462" s="16"/>
      <c r="AO462" s="16"/>
      <c r="AP462" s="16"/>
      <c r="AQ462" s="16"/>
      <c r="AR462" s="16"/>
      <c r="AS462" s="16"/>
      <c r="AT462" s="16"/>
      <c r="AU462" s="16"/>
      <c r="AV462" s="21"/>
      <c r="AW462" s="16"/>
      <c r="AX462" s="16"/>
      <c r="AY462" s="21"/>
      <c r="AZ462" s="21"/>
      <c r="BA462" s="16"/>
      <c r="BB462" s="16"/>
      <c r="BC462" s="21"/>
      <c r="BD462" s="16"/>
      <c r="BE462" s="16"/>
      <c r="BF462" s="16"/>
      <c r="BG462" s="16"/>
      <c r="BH462" s="16"/>
      <c r="BI462" s="16"/>
      <c r="BJ462" s="16"/>
      <c r="BK462" s="15"/>
      <c r="BL462" s="15"/>
      <c r="BM462" s="15"/>
      <c r="BN462" s="15"/>
      <c r="BO462" s="15"/>
      <c r="BP462" s="16"/>
      <c r="BQ462" s="16"/>
      <c r="BR462" s="16"/>
      <c r="BS462" s="16"/>
      <c r="BT462" s="16"/>
      <c r="BU462" s="16"/>
      <c r="BV462" s="16"/>
      <c r="BW462" s="16"/>
      <c r="BX462" s="16"/>
      <c r="BY462" s="16"/>
      <c r="BZ462" s="16"/>
      <c r="CA462" s="16"/>
      <c r="CB462" s="16"/>
      <c r="CC462" s="16"/>
      <c r="CD462" s="16"/>
      <c r="CE462" s="16"/>
      <c r="CF462" s="16"/>
      <c r="CG462" s="16"/>
      <c r="CH462" s="16"/>
      <c r="CI462" s="16"/>
      <c r="CJ462" s="16"/>
      <c r="CK462" s="16"/>
      <c r="CL462" s="16"/>
      <c r="CM462" s="16"/>
      <c r="CN462" s="16"/>
      <c r="CO462" s="16"/>
      <c r="CP462" s="16"/>
      <c r="CQ462" s="16"/>
      <c r="CR462" s="16"/>
      <c r="CS462" s="16"/>
      <c r="CT462" s="16"/>
      <c r="CU462" s="16"/>
      <c r="CV462" s="16"/>
      <c r="CW462" s="16"/>
      <c r="CX462" s="16"/>
      <c r="CY462" s="16"/>
      <c r="CZ462" s="16"/>
      <c r="DA462" s="16"/>
      <c r="DB462" s="16"/>
      <c r="DC462" s="16"/>
      <c r="DD462" s="16"/>
      <c r="DE462" s="16"/>
      <c r="DF462" s="16"/>
      <c r="DG462" s="16"/>
      <c r="DH462" s="16"/>
      <c r="DI462" s="16"/>
      <c r="DJ462" s="16"/>
      <c r="DK462" s="16"/>
      <c r="DL462" s="16"/>
      <c r="DM462" s="16"/>
      <c r="DN462" s="16"/>
      <c r="DO462" s="16"/>
      <c r="DP462" s="16"/>
      <c r="DQ462" s="16"/>
      <c r="DR462" s="16"/>
      <c r="DS462" s="16"/>
      <c r="DT462" s="16"/>
      <c r="DU462" s="16"/>
      <c r="DV462" s="16"/>
      <c r="DW462" s="16"/>
      <c r="DX462" s="16"/>
      <c r="DY462" s="16"/>
      <c r="DZ462" s="16"/>
      <c r="EA462" s="16"/>
      <c r="EB462" s="16"/>
      <c r="EC462" s="16"/>
      <c r="ED462" s="16"/>
      <c r="EE462" s="16"/>
      <c r="EF462" s="16"/>
      <c r="EG462" s="16"/>
      <c r="EH462" s="16"/>
      <c r="EI462" s="16"/>
      <c r="EJ462" s="16"/>
      <c r="EK462" s="16"/>
      <c r="EL462" s="16"/>
      <c r="EM462" s="16"/>
      <c r="EN462" s="16"/>
      <c r="EO462" s="16"/>
      <c r="EP462" s="16"/>
      <c r="EQ462" s="16"/>
      <c r="ER462" s="16"/>
      <c r="ES462" s="16"/>
      <c r="ET462" s="16"/>
      <c r="EU462" s="16"/>
      <c r="EX462" s="16"/>
      <c r="EY462" s="228"/>
      <c r="EZ462" s="945"/>
      <c r="FA462" s="477"/>
      <c r="FB462" s="228"/>
      <c r="FC462" s="477"/>
      <c r="FD462" s="16"/>
    </row>
    <row r="463" spans="1:160" x14ac:dyDescent="0.2">
      <c r="A463" s="23"/>
      <c r="B463" s="16"/>
      <c r="C463" s="16"/>
      <c r="D463" s="16"/>
      <c r="E463" s="16"/>
      <c r="F463" s="16"/>
      <c r="G463" s="16"/>
      <c r="H463" s="16"/>
      <c r="I463" s="16"/>
      <c r="J463" s="16"/>
      <c r="K463" s="16"/>
      <c r="L463" s="16"/>
      <c r="M463" s="16"/>
      <c r="N463" s="16"/>
      <c r="O463" s="16"/>
      <c r="P463" s="16"/>
      <c r="Q463" s="16"/>
      <c r="R463" s="16"/>
      <c r="S463" s="16"/>
      <c r="T463" s="16"/>
      <c r="U463" s="16"/>
      <c r="V463" s="16"/>
      <c r="W463" s="16"/>
      <c r="X463" s="16"/>
      <c r="Y463" s="16"/>
      <c r="Z463" s="16"/>
      <c r="AA463" s="16"/>
      <c r="AB463" s="16"/>
      <c r="AC463" s="16"/>
      <c r="AD463" s="16"/>
      <c r="AE463" s="16"/>
      <c r="AF463" s="16"/>
      <c r="AG463" s="16"/>
      <c r="AH463" s="16"/>
      <c r="AI463" s="16"/>
      <c r="AJ463" s="16"/>
      <c r="AK463" s="16"/>
      <c r="AL463" s="16"/>
      <c r="AM463" s="16"/>
      <c r="AN463" s="16"/>
      <c r="AO463" s="16"/>
      <c r="AP463" s="16"/>
      <c r="AQ463" s="16"/>
      <c r="AR463" s="16"/>
      <c r="AS463" s="16"/>
      <c r="AT463" s="16"/>
      <c r="AU463" s="16"/>
      <c r="AV463" s="21"/>
      <c r="AW463" s="16"/>
      <c r="AX463" s="16"/>
      <c r="AY463" s="21"/>
      <c r="AZ463" s="21"/>
      <c r="BA463" s="16"/>
      <c r="BB463" s="16"/>
      <c r="BC463" s="21"/>
      <c r="BD463" s="16"/>
      <c r="BE463" s="16"/>
      <c r="BF463" s="16"/>
      <c r="BG463" s="16"/>
      <c r="BH463" s="16"/>
      <c r="BI463" s="16"/>
      <c r="BJ463" s="16"/>
      <c r="BK463" s="15"/>
      <c r="BL463" s="15"/>
      <c r="BM463" s="15"/>
      <c r="BN463" s="15"/>
      <c r="BO463" s="15"/>
      <c r="BP463" s="16"/>
      <c r="BQ463" s="16"/>
      <c r="BR463" s="16"/>
      <c r="BS463" s="16"/>
      <c r="BT463" s="16"/>
      <c r="BU463" s="16"/>
      <c r="BV463" s="16"/>
      <c r="BW463" s="16"/>
      <c r="BX463" s="16"/>
      <c r="BY463" s="16"/>
      <c r="BZ463" s="16"/>
      <c r="CA463" s="16"/>
      <c r="CB463" s="16"/>
      <c r="CC463" s="16"/>
      <c r="CD463" s="16"/>
      <c r="CE463" s="16"/>
      <c r="CF463" s="16"/>
      <c r="CG463" s="16"/>
      <c r="CH463" s="16"/>
      <c r="CI463" s="16"/>
      <c r="CJ463" s="16"/>
      <c r="CK463" s="16"/>
      <c r="CL463" s="16"/>
      <c r="CM463" s="16"/>
      <c r="CN463" s="16"/>
      <c r="CO463" s="16"/>
      <c r="CP463" s="16"/>
      <c r="CQ463" s="16"/>
      <c r="CR463" s="16"/>
      <c r="CS463" s="16"/>
      <c r="CT463" s="16"/>
      <c r="CU463" s="16"/>
      <c r="CV463" s="16"/>
      <c r="CW463" s="16"/>
      <c r="CX463" s="16"/>
      <c r="CY463" s="16"/>
      <c r="CZ463" s="16"/>
      <c r="DA463" s="16"/>
      <c r="DB463" s="16"/>
      <c r="DC463" s="16"/>
      <c r="DD463" s="16"/>
      <c r="DE463" s="16"/>
      <c r="DF463" s="16"/>
      <c r="DG463" s="16"/>
      <c r="DH463" s="16"/>
      <c r="DI463" s="16"/>
      <c r="DJ463" s="16"/>
      <c r="DK463" s="16"/>
      <c r="DL463" s="16"/>
      <c r="DM463" s="16"/>
      <c r="DN463" s="16"/>
      <c r="DO463" s="16"/>
      <c r="DP463" s="16"/>
      <c r="DQ463" s="16"/>
      <c r="DR463" s="16"/>
      <c r="DS463" s="16"/>
      <c r="DT463" s="16"/>
      <c r="DU463" s="16"/>
      <c r="DV463" s="16"/>
      <c r="DW463" s="16"/>
      <c r="DX463" s="16"/>
      <c r="DY463" s="16"/>
      <c r="DZ463" s="16"/>
      <c r="EA463" s="16"/>
      <c r="EB463" s="16"/>
      <c r="EC463" s="16"/>
      <c r="ED463" s="16"/>
      <c r="EE463" s="16"/>
      <c r="EF463" s="16"/>
      <c r="EG463" s="16"/>
      <c r="EH463" s="16"/>
      <c r="EI463" s="16"/>
      <c r="EJ463" s="16"/>
      <c r="EK463" s="16"/>
      <c r="EL463" s="16"/>
      <c r="EM463" s="16"/>
      <c r="EN463" s="16"/>
      <c r="EO463" s="16"/>
      <c r="EP463" s="16"/>
      <c r="EQ463" s="16"/>
      <c r="ER463" s="16"/>
      <c r="ES463" s="16"/>
      <c r="ET463" s="16"/>
      <c r="EU463" s="16"/>
      <c r="EX463" s="16"/>
      <c r="EY463" s="228"/>
      <c r="EZ463" s="945"/>
      <c r="FA463" s="477"/>
      <c r="FB463" s="228"/>
      <c r="FC463" s="477"/>
      <c r="FD463" s="16"/>
    </row>
    <row r="464" spans="1:160" x14ac:dyDescent="0.2">
      <c r="A464" s="23"/>
      <c r="B464" s="16"/>
      <c r="C464" s="16"/>
      <c r="D464" s="16"/>
      <c r="E464" s="16"/>
      <c r="F464" s="16"/>
      <c r="G464" s="16"/>
      <c r="H464" s="16"/>
      <c r="I464" s="16"/>
      <c r="J464" s="16"/>
      <c r="K464" s="16"/>
      <c r="L464" s="16"/>
      <c r="M464" s="16"/>
      <c r="N464" s="16"/>
      <c r="O464" s="16"/>
      <c r="P464" s="16"/>
      <c r="Q464" s="16"/>
      <c r="R464" s="16"/>
      <c r="S464" s="16"/>
      <c r="T464" s="16"/>
      <c r="U464" s="16"/>
      <c r="V464" s="16"/>
      <c r="W464" s="16"/>
      <c r="X464" s="16"/>
      <c r="Y464" s="16"/>
      <c r="Z464" s="16"/>
      <c r="AA464" s="16"/>
      <c r="AB464" s="16"/>
      <c r="AC464" s="16"/>
      <c r="AD464" s="16"/>
      <c r="AE464" s="16"/>
      <c r="AF464" s="16"/>
      <c r="AG464" s="16"/>
      <c r="AH464" s="16"/>
      <c r="AI464" s="16"/>
      <c r="AJ464" s="16"/>
      <c r="AK464" s="16"/>
      <c r="AL464" s="16"/>
      <c r="AM464" s="16"/>
      <c r="AN464" s="16"/>
      <c r="AO464" s="16"/>
      <c r="AP464" s="16"/>
      <c r="AQ464" s="16"/>
      <c r="AR464" s="16"/>
      <c r="AS464" s="16"/>
      <c r="AT464" s="16"/>
      <c r="AU464" s="16"/>
      <c r="AV464" s="21"/>
      <c r="AW464" s="16"/>
      <c r="AX464" s="16"/>
      <c r="AY464" s="21"/>
      <c r="AZ464" s="21"/>
      <c r="BA464" s="16"/>
      <c r="BB464" s="16"/>
      <c r="BC464" s="21"/>
      <c r="BD464" s="16"/>
      <c r="BE464" s="16"/>
      <c r="BF464" s="16"/>
      <c r="BG464" s="16"/>
      <c r="BH464" s="16"/>
      <c r="BI464" s="16"/>
      <c r="BJ464" s="16"/>
      <c r="BK464" s="15"/>
      <c r="BL464" s="15"/>
      <c r="BM464" s="15"/>
      <c r="BN464" s="15"/>
      <c r="BO464" s="15"/>
      <c r="BP464" s="16"/>
      <c r="BQ464" s="16"/>
      <c r="BR464" s="16"/>
      <c r="BS464" s="16"/>
      <c r="BT464" s="16"/>
      <c r="BU464" s="16"/>
      <c r="BV464" s="16"/>
      <c r="BW464" s="16"/>
      <c r="BX464" s="16"/>
      <c r="BY464" s="16"/>
      <c r="BZ464" s="16"/>
      <c r="CA464" s="16"/>
      <c r="CB464" s="16"/>
      <c r="CC464" s="16"/>
      <c r="CD464" s="16"/>
      <c r="CE464" s="16"/>
      <c r="CF464" s="16"/>
      <c r="CG464" s="16"/>
      <c r="CH464" s="16"/>
      <c r="CI464" s="16"/>
      <c r="CJ464" s="16"/>
      <c r="CK464" s="16"/>
      <c r="CL464" s="16"/>
      <c r="CM464" s="16"/>
      <c r="CN464" s="16"/>
      <c r="CO464" s="16"/>
      <c r="CP464" s="16"/>
      <c r="CQ464" s="16"/>
      <c r="CR464" s="16"/>
      <c r="CS464" s="16"/>
      <c r="CT464" s="16"/>
      <c r="CU464" s="16"/>
      <c r="CV464" s="16"/>
      <c r="CW464" s="16"/>
      <c r="CX464" s="16"/>
      <c r="CY464" s="16"/>
      <c r="CZ464" s="16"/>
      <c r="DA464" s="16"/>
      <c r="DB464" s="16"/>
      <c r="DC464" s="16"/>
      <c r="DD464" s="16"/>
      <c r="DE464" s="16"/>
      <c r="DF464" s="16"/>
      <c r="DG464" s="16"/>
      <c r="DH464" s="16"/>
      <c r="DI464" s="16"/>
      <c r="DJ464" s="16"/>
      <c r="DK464" s="16"/>
      <c r="DL464" s="16"/>
      <c r="DM464" s="16"/>
      <c r="DN464" s="16"/>
      <c r="DO464" s="16"/>
      <c r="DP464" s="16"/>
      <c r="DQ464" s="16"/>
      <c r="DR464" s="16"/>
      <c r="DS464" s="16"/>
      <c r="DT464" s="16"/>
      <c r="DU464" s="16"/>
      <c r="DV464" s="16"/>
      <c r="DW464" s="16"/>
      <c r="DX464" s="16"/>
      <c r="DY464" s="16"/>
      <c r="DZ464" s="16"/>
      <c r="EA464" s="16"/>
      <c r="EB464" s="16"/>
      <c r="EC464" s="16"/>
      <c r="ED464" s="16"/>
      <c r="EE464" s="16"/>
      <c r="EF464" s="16"/>
      <c r="EG464" s="16"/>
      <c r="EH464" s="16"/>
      <c r="EI464" s="16"/>
      <c r="EJ464" s="16"/>
      <c r="EK464" s="16"/>
      <c r="EL464" s="16"/>
      <c r="EM464" s="16"/>
      <c r="EN464" s="16"/>
      <c r="EO464" s="16"/>
      <c r="EP464" s="16"/>
      <c r="EQ464" s="16"/>
      <c r="ER464" s="16"/>
      <c r="ES464" s="16"/>
      <c r="ET464" s="16"/>
      <c r="EU464" s="16"/>
      <c r="EX464" s="16"/>
      <c r="EY464" s="228"/>
      <c r="EZ464" s="945"/>
      <c r="FA464" s="477"/>
      <c r="FB464" s="228"/>
      <c r="FC464" s="477"/>
      <c r="FD464" s="16"/>
    </row>
    <row r="465" spans="1:160" x14ac:dyDescent="0.2">
      <c r="A465" s="23"/>
      <c r="B465" s="16"/>
      <c r="C465" s="16"/>
      <c r="D465" s="16"/>
      <c r="E465" s="16"/>
      <c r="F465" s="16"/>
      <c r="G465" s="16"/>
      <c r="H465" s="16"/>
      <c r="I465" s="16"/>
      <c r="J465" s="16"/>
      <c r="K465" s="16"/>
      <c r="L465" s="16"/>
      <c r="M465" s="16"/>
      <c r="N465" s="16"/>
      <c r="O465" s="16"/>
      <c r="P465" s="16"/>
      <c r="Q465" s="16"/>
      <c r="R465" s="16"/>
      <c r="S465" s="16"/>
      <c r="T465" s="16"/>
      <c r="U465" s="16"/>
      <c r="V465" s="16"/>
      <c r="W465" s="16"/>
      <c r="X465" s="16"/>
      <c r="Y465" s="16"/>
      <c r="Z465" s="16"/>
      <c r="AA465" s="16"/>
      <c r="AB465" s="16"/>
      <c r="AC465" s="16"/>
      <c r="AD465" s="16"/>
      <c r="AE465" s="16"/>
      <c r="AF465" s="16"/>
      <c r="AG465" s="16"/>
      <c r="AH465" s="16"/>
      <c r="AI465" s="16"/>
      <c r="AJ465" s="16"/>
      <c r="AK465" s="16"/>
      <c r="AL465" s="16"/>
      <c r="AM465" s="16"/>
      <c r="AN465" s="16"/>
      <c r="AO465" s="16"/>
      <c r="AP465" s="16"/>
      <c r="AQ465" s="16"/>
      <c r="AR465" s="16"/>
      <c r="AS465" s="16"/>
      <c r="AT465" s="16"/>
      <c r="AU465" s="16"/>
      <c r="AV465" s="21"/>
      <c r="AW465" s="16"/>
      <c r="AX465" s="16"/>
      <c r="AY465" s="16"/>
      <c r="AZ465" s="16"/>
      <c r="BA465" s="16"/>
      <c r="BB465" s="16"/>
      <c r="BC465" s="16"/>
      <c r="BD465" s="16"/>
      <c r="BE465" s="16"/>
      <c r="BF465" s="16"/>
      <c r="BG465" s="16"/>
      <c r="BH465" s="16"/>
      <c r="BI465" s="16"/>
      <c r="BJ465" s="16"/>
      <c r="BK465" s="15"/>
      <c r="BL465" s="15"/>
      <c r="BM465" s="15"/>
      <c r="BN465" s="15"/>
      <c r="BO465" s="15"/>
      <c r="BP465" s="16"/>
      <c r="BQ465" s="16"/>
      <c r="BR465" s="16"/>
      <c r="BS465" s="16"/>
      <c r="BT465" s="16"/>
      <c r="BU465" s="16"/>
      <c r="BV465" s="16"/>
      <c r="BW465" s="16"/>
      <c r="BX465" s="16"/>
      <c r="BY465" s="16"/>
      <c r="BZ465" s="16"/>
      <c r="CA465" s="16"/>
      <c r="CB465" s="16"/>
      <c r="CC465" s="16"/>
      <c r="CD465" s="16"/>
      <c r="CE465" s="16"/>
      <c r="CF465" s="16"/>
      <c r="CG465" s="16"/>
      <c r="CH465" s="16"/>
      <c r="CI465" s="16"/>
      <c r="CJ465" s="16"/>
      <c r="CK465" s="16"/>
      <c r="CL465" s="16"/>
      <c r="CM465" s="16"/>
      <c r="CN465" s="16"/>
      <c r="CO465" s="16"/>
      <c r="CP465" s="16"/>
      <c r="CQ465" s="16"/>
      <c r="CR465" s="16"/>
      <c r="CS465" s="16"/>
      <c r="CT465" s="16"/>
      <c r="CU465" s="16"/>
      <c r="CV465" s="16"/>
      <c r="CW465" s="16"/>
      <c r="CX465" s="16"/>
      <c r="CY465" s="16"/>
      <c r="CZ465" s="16"/>
      <c r="DA465" s="16"/>
      <c r="DB465" s="16"/>
      <c r="DC465" s="16"/>
      <c r="DD465" s="16"/>
      <c r="DE465" s="16"/>
      <c r="DF465" s="16"/>
      <c r="DG465" s="16"/>
      <c r="DH465" s="16"/>
      <c r="DI465" s="16"/>
      <c r="DJ465" s="16"/>
      <c r="DK465" s="16"/>
      <c r="DL465" s="16"/>
      <c r="DM465" s="16"/>
      <c r="DN465" s="16"/>
      <c r="DO465" s="16"/>
      <c r="DP465" s="16"/>
      <c r="DQ465" s="16"/>
      <c r="DR465" s="16"/>
      <c r="DS465" s="16"/>
      <c r="DT465" s="16"/>
      <c r="DU465" s="16"/>
      <c r="DV465" s="16"/>
      <c r="DW465" s="16"/>
      <c r="DX465" s="16"/>
      <c r="DY465" s="16"/>
      <c r="DZ465" s="16"/>
      <c r="EA465" s="16"/>
      <c r="EB465" s="16"/>
      <c r="EC465" s="16"/>
      <c r="ED465" s="16"/>
      <c r="EE465" s="16"/>
      <c r="EF465" s="16"/>
      <c r="EG465" s="16"/>
      <c r="EH465" s="16"/>
      <c r="EI465" s="16"/>
      <c r="EJ465" s="16"/>
      <c r="EK465" s="16"/>
      <c r="EL465" s="16"/>
      <c r="EM465" s="16"/>
      <c r="EN465" s="16"/>
      <c r="EO465" s="16"/>
      <c r="EP465" s="16"/>
      <c r="EQ465" s="16"/>
      <c r="ER465" s="16"/>
      <c r="ES465" s="16"/>
      <c r="ET465" s="16"/>
      <c r="EU465" s="16"/>
      <c r="EX465" s="16"/>
      <c r="EY465" s="228"/>
      <c r="EZ465" s="945"/>
      <c r="FA465" s="477"/>
      <c r="FB465" s="228"/>
      <c r="FC465" s="477"/>
      <c r="FD465" s="16"/>
    </row>
    <row r="466" spans="1:160" x14ac:dyDescent="0.2">
      <c r="A466" s="23"/>
      <c r="B466" s="16"/>
      <c r="C466" s="16"/>
      <c r="D466" s="16"/>
      <c r="E466" s="16"/>
      <c r="F466" s="16"/>
      <c r="G466" s="16"/>
      <c r="H466" s="16"/>
      <c r="I466" s="16"/>
      <c r="J466" s="16"/>
      <c r="K466" s="16"/>
      <c r="L466" s="16"/>
      <c r="M466" s="16"/>
      <c r="N466" s="16"/>
      <c r="O466" s="16"/>
      <c r="P466" s="16"/>
      <c r="Q466" s="16"/>
      <c r="R466" s="16"/>
      <c r="S466" s="16"/>
      <c r="T466" s="16"/>
      <c r="U466" s="16"/>
      <c r="V466" s="16"/>
      <c r="W466" s="16"/>
      <c r="X466" s="16"/>
      <c r="Y466" s="16"/>
      <c r="Z466" s="16"/>
      <c r="AA466" s="16"/>
      <c r="AB466" s="16"/>
      <c r="AC466" s="16"/>
      <c r="AD466" s="16"/>
      <c r="AE466" s="16"/>
      <c r="AF466" s="16"/>
      <c r="AG466" s="16"/>
      <c r="AH466" s="16"/>
      <c r="AI466" s="16"/>
      <c r="AJ466" s="16"/>
      <c r="AK466" s="16"/>
      <c r="AL466" s="16"/>
      <c r="AM466" s="16"/>
      <c r="AN466" s="16"/>
      <c r="AO466" s="16"/>
      <c r="AP466" s="16"/>
      <c r="AQ466" s="16"/>
      <c r="AR466" s="16"/>
      <c r="AS466" s="16"/>
      <c r="AT466" s="16"/>
      <c r="AU466" s="16"/>
      <c r="AV466" s="21"/>
      <c r="AW466" s="16"/>
      <c r="AX466" s="16"/>
      <c r="AY466" s="21"/>
      <c r="AZ466" s="21"/>
      <c r="BA466" s="16"/>
      <c r="BB466" s="16"/>
      <c r="BC466" s="21"/>
      <c r="BD466" s="16"/>
      <c r="BE466" s="16"/>
      <c r="BF466" s="16"/>
      <c r="BG466" s="16"/>
      <c r="BH466" s="16"/>
      <c r="BI466" s="16"/>
      <c r="BJ466" s="16"/>
      <c r="BK466" s="15"/>
      <c r="BL466" s="15"/>
      <c r="BM466" s="15"/>
      <c r="BN466" s="15"/>
      <c r="BO466" s="15"/>
      <c r="BP466" s="16"/>
      <c r="BQ466" s="16"/>
      <c r="BR466" s="16"/>
      <c r="BS466" s="16"/>
      <c r="BT466" s="16"/>
      <c r="BU466" s="16"/>
      <c r="BV466" s="16"/>
      <c r="BW466" s="16"/>
      <c r="BX466" s="16"/>
      <c r="BY466" s="16"/>
      <c r="BZ466" s="16"/>
      <c r="CA466" s="16"/>
      <c r="CB466" s="16"/>
      <c r="CC466" s="16"/>
      <c r="CD466" s="16"/>
      <c r="CE466" s="16"/>
      <c r="CF466" s="16"/>
      <c r="CG466" s="16"/>
      <c r="CH466" s="16"/>
      <c r="CI466" s="16"/>
      <c r="CJ466" s="16"/>
      <c r="CK466" s="16"/>
      <c r="CL466" s="16"/>
      <c r="CM466" s="16"/>
      <c r="CN466" s="16"/>
      <c r="CO466" s="16"/>
      <c r="CP466" s="16"/>
      <c r="CQ466" s="16"/>
      <c r="CR466" s="16"/>
      <c r="CS466" s="16"/>
      <c r="CT466" s="16"/>
      <c r="CU466" s="16"/>
      <c r="CV466" s="16"/>
      <c r="CW466" s="16"/>
      <c r="CX466" s="16"/>
      <c r="CY466" s="16"/>
      <c r="CZ466" s="16"/>
      <c r="DA466" s="16"/>
      <c r="DB466" s="16"/>
      <c r="DC466" s="16"/>
      <c r="DD466" s="16"/>
      <c r="DE466" s="16"/>
      <c r="DF466" s="16"/>
      <c r="DG466" s="16"/>
      <c r="DH466" s="16"/>
      <c r="DI466" s="16"/>
      <c r="DJ466" s="16"/>
      <c r="DK466" s="16"/>
      <c r="DL466" s="16"/>
      <c r="DM466" s="16"/>
      <c r="DN466" s="16"/>
      <c r="DO466" s="16"/>
      <c r="DP466" s="16"/>
      <c r="DQ466" s="16"/>
      <c r="DR466" s="16"/>
      <c r="DS466" s="16"/>
      <c r="DT466" s="16"/>
      <c r="DU466" s="16"/>
      <c r="DV466" s="16"/>
      <c r="DW466" s="16"/>
      <c r="DX466" s="16"/>
      <c r="DY466" s="16"/>
      <c r="DZ466" s="16"/>
      <c r="EA466" s="16"/>
      <c r="EB466" s="16"/>
      <c r="EC466" s="16"/>
      <c r="ED466" s="16"/>
      <c r="EE466" s="16"/>
      <c r="EF466" s="16"/>
      <c r="EG466" s="16"/>
      <c r="EH466" s="16"/>
      <c r="EI466" s="16"/>
      <c r="EJ466" s="16"/>
      <c r="EK466" s="16"/>
      <c r="EL466" s="16"/>
      <c r="EM466" s="16"/>
      <c r="EN466" s="16"/>
      <c r="EO466" s="16"/>
      <c r="EP466" s="16"/>
      <c r="EQ466" s="16"/>
      <c r="ER466" s="16"/>
      <c r="ES466" s="16"/>
      <c r="ET466" s="16"/>
      <c r="EU466" s="16"/>
      <c r="EX466" s="16"/>
      <c r="EY466" s="228"/>
      <c r="EZ466" s="945"/>
      <c r="FA466" s="477"/>
      <c r="FB466" s="228"/>
      <c r="FC466" s="477"/>
      <c r="FD466" s="16"/>
    </row>
    <row r="467" spans="1:160" x14ac:dyDescent="0.2">
      <c r="A467" s="23"/>
      <c r="B467" s="16"/>
      <c r="C467" s="16"/>
      <c r="D467" s="16"/>
      <c r="E467" s="16"/>
      <c r="F467" s="16"/>
      <c r="G467" s="16"/>
      <c r="H467" s="16"/>
      <c r="I467" s="16"/>
      <c r="J467" s="16"/>
      <c r="K467" s="16"/>
      <c r="L467" s="16"/>
      <c r="M467" s="16"/>
      <c r="N467" s="16"/>
      <c r="O467" s="16"/>
      <c r="P467" s="16"/>
      <c r="Q467" s="16"/>
      <c r="R467" s="16"/>
      <c r="S467" s="16"/>
      <c r="T467" s="16"/>
      <c r="U467" s="16"/>
      <c r="V467" s="16"/>
      <c r="W467" s="16"/>
      <c r="X467" s="16"/>
      <c r="Y467" s="16"/>
      <c r="Z467" s="16"/>
      <c r="AA467" s="16"/>
      <c r="AB467" s="16"/>
      <c r="AC467" s="16"/>
      <c r="AD467" s="16"/>
      <c r="AE467" s="16"/>
      <c r="AF467" s="16"/>
      <c r="AG467" s="16"/>
      <c r="AH467" s="16"/>
      <c r="AI467" s="16"/>
      <c r="AJ467" s="16"/>
      <c r="AK467" s="16"/>
      <c r="AL467" s="16"/>
      <c r="AM467" s="16"/>
      <c r="AN467" s="16"/>
      <c r="AO467" s="16"/>
      <c r="AP467" s="16"/>
      <c r="AQ467" s="16"/>
      <c r="AR467" s="16"/>
      <c r="AS467" s="16"/>
      <c r="AT467" s="16"/>
      <c r="AU467" s="16"/>
      <c r="AV467" s="21"/>
      <c r="AW467" s="866">
        <f>SUM(AW60,AR60,AQ60,AO60)</f>
        <v>-1.3999999999999986</v>
      </c>
      <c r="AX467" s="866">
        <f>SUM(AX60,AS60,AR60,AQ60)</f>
        <v>-0.59999999999999787</v>
      </c>
      <c r="AY467" s="866">
        <f>SUM(AY60,AT60,AS60,AR60)</f>
        <v>-11.199999999999998</v>
      </c>
      <c r="AZ467" s="843">
        <f>SUM(AW60,AX60,AY60,AZ60)</f>
        <v>116.2</v>
      </c>
      <c r="BA467" s="866">
        <f>AZ467</f>
        <v>116.2</v>
      </c>
      <c r="BB467" s="866">
        <f>SUM(AX60,AY60,AZ60,BB60)</f>
        <v>150.69999999999999</v>
      </c>
      <c r="BC467" s="866">
        <f>SUM(AY60,AZ60,BB60,BC60)</f>
        <v>165.9</v>
      </c>
      <c r="BD467" s="866">
        <f>SUM(AZ60,BB60,BC60,BD60)</f>
        <v>191.7</v>
      </c>
      <c r="BE467" s="843">
        <f>SUM(BB60,BC60,BD60,BE60)</f>
        <v>89.3</v>
      </c>
      <c r="BF467" s="867">
        <f>BE467</f>
        <v>89.3</v>
      </c>
      <c r="BG467" s="16"/>
      <c r="BH467" s="16"/>
      <c r="BI467" s="16"/>
      <c r="BJ467" s="16"/>
      <c r="BK467" s="15"/>
      <c r="BL467" s="15"/>
      <c r="BM467" s="15"/>
      <c r="BN467" s="15"/>
      <c r="BO467" s="15"/>
      <c r="BP467" s="16"/>
      <c r="BQ467" s="16"/>
      <c r="BR467" s="16"/>
      <c r="BS467" s="16"/>
      <c r="BT467" s="16"/>
      <c r="BU467" s="16"/>
      <c r="BV467" s="16"/>
      <c r="BW467" s="16"/>
      <c r="BX467" s="16"/>
      <c r="BY467" s="16"/>
      <c r="BZ467" s="16"/>
      <c r="CA467" s="16"/>
      <c r="CB467" s="16"/>
      <c r="CC467" s="16"/>
      <c r="CD467" s="16"/>
      <c r="CE467" s="16"/>
      <c r="CF467" s="16"/>
      <c r="CG467" s="16"/>
      <c r="CH467" s="16"/>
      <c r="CI467" s="16"/>
      <c r="CJ467" s="16"/>
      <c r="CK467" s="16"/>
      <c r="CL467" s="16"/>
      <c r="CM467" s="16"/>
      <c r="CN467" s="16"/>
      <c r="CO467" s="16"/>
      <c r="CP467" s="16"/>
      <c r="CQ467" s="16"/>
      <c r="CR467" s="16"/>
      <c r="CS467" s="16"/>
      <c r="CT467" s="16"/>
      <c r="CU467" s="16"/>
      <c r="CV467" s="16"/>
      <c r="CW467" s="16"/>
      <c r="CX467" s="16"/>
      <c r="CY467" s="16"/>
      <c r="CZ467" s="16"/>
      <c r="DA467" s="16"/>
      <c r="DB467" s="16"/>
      <c r="DC467" s="16"/>
      <c r="DD467" s="16"/>
      <c r="DE467" s="16"/>
      <c r="DF467" s="16"/>
      <c r="DG467" s="16"/>
      <c r="DH467" s="16"/>
      <c r="DI467" s="16"/>
      <c r="DJ467" s="16"/>
      <c r="DK467" s="16"/>
      <c r="DL467" s="16"/>
      <c r="DM467" s="16"/>
      <c r="DN467" s="16"/>
      <c r="DO467" s="16"/>
      <c r="DP467" s="16"/>
      <c r="DQ467" s="16"/>
      <c r="DR467" s="16"/>
      <c r="DS467" s="16"/>
      <c r="DT467" s="16"/>
      <c r="DU467" s="16"/>
      <c r="DV467" s="16"/>
      <c r="DW467" s="16"/>
      <c r="DX467" s="16"/>
      <c r="DY467" s="16"/>
      <c r="DZ467" s="16"/>
      <c r="EA467" s="16"/>
      <c r="EB467" s="16"/>
      <c r="EC467" s="16"/>
      <c r="ED467" s="16"/>
      <c r="EE467" s="16"/>
      <c r="EF467" s="16"/>
      <c r="EG467" s="16"/>
      <c r="EH467" s="16"/>
      <c r="EI467" s="16"/>
      <c r="EJ467" s="16"/>
      <c r="EK467" s="16"/>
      <c r="EL467" s="16"/>
      <c r="EM467" s="16"/>
      <c r="EN467" s="16"/>
      <c r="EO467" s="16"/>
      <c r="EP467" s="16"/>
      <c r="EQ467" s="16"/>
      <c r="ER467" s="16"/>
      <c r="ES467" s="16"/>
      <c r="ET467" s="16"/>
      <c r="EU467" s="16"/>
      <c r="EX467" s="16"/>
      <c r="EY467" s="228"/>
      <c r="EZ467" s="945"/>
      <c r="FA467" s="477"/>
      <c r="FB467" s="228"/>
      <c r="FC467" s="477"/>
      <c r="FD467" s="16"/>
    </row>
  </sheetData>
  <mergeCells count="1">
    <mergeCell ref="AV8:AV36"/>
  </mergeCells>
  <phoneticPr fontId="7" type="noConversion"/>
  <conditionalFormatting sqref="AW364:BU364 CA364:CD364">
    <cfRule type="expression" dxfId="11" priority="14" stopIfTrue="1">
      <formula>AW364&lt;&gt;AW34</formula>
    </cfRule>
  </conditionalFormatting>
  <conditionalFormatting sqref="CF364:CI364">
    <cfRule type="expression" dxfId="10" priority="12" stopIfTrue="1">
      <formula>CF364&lt;&gt;CF34</formula>
    </cfRule>
  </conditionalFormatting>
  <conditionalFormatting sqref="CK364:CN364">
    <cfRule type="expression" dxfId="9" priority="11" stopIfTrue="1">
      <formula>CK364&lt;&gt;CK34</formula>
    </cfRule>
  </conditionalFormatting>
  <conditionalFormatting sqref="CP364:CS364">
    <cfRule type="expression" dxfId="8" priority="10" stopIfTrue="1">
      <formula>CP364&lt;&gt;CP34</formula>
    </cfRule>
  </conditionalFormatting>
  <conditionalFormatting sqref="CU364:CX364">
    <cfRule type="expression" dxfId="7" priority="9" stopIfTrue="1">
      <formula>CU364&lt;&gt;CU34</formula>
    </cfRule>
  </conditionalFormatting>
  <conditionalFormatting sqref="CZ364:DC364">
    <cfRule type="expression" dxfId="6" priority="8" stopIfTrue="1">
      <formula>CZ364&lt;&gt;CZ34</formula>
    </cfRule>
  </conditionalFormatting>
  <conditionalFormatting sqref="DE364:DH364">
    <cfRule type="expression" dxfId="5" priority="7" stopIfTrue="1">
      <formula>DE364&lt;&gt;DE34</formula>
    </cfRule>
  </conditionalFormatting>
  <conditionalFormatting sqref="DJ364:DM364">
    <cfRule type="expression" dxfId="4" priority="6" stopIfTrue="1">
      <formula>DJ364&lt;&gt;DJ34</formula>
    </cfRule>
  </conditionalFormatting>
  <conditionalFormatting sqref="DO364:DR364">
    <cfRule type="expression" dxfId="3" priority="5" stopIfTrue="1">
      <formula>DO364&lt;&gt;DO34</formula>
    </cfRule>
  </conditionalFormatting>
  <conditionalFormatting sqref="DT364:DW364">
    <cfRule type="expression" dxfId="2" priority="4" stopIfTrue="1">
      <formula>DT364&lt;&gt;DT34</formula>
    </cfRule>
  </conditionalFormatting>
  <conditionalFormatting sqref="BV364:BZ364">
    <cfRule type="expression" dxfId="1" priority="2" stopIfTrue="1">
      <formula>BV364&lt;&gt;BV34</formula>
    </cfRule>
  </conditionalFormatting>
  <conditionalFormatting sqref="DY364:EB364">
    <cfRule type="expression" dxfId="0" priority="1" stopIfTrue="1">
      <formula>DY364&lt;&gt;DY34</formula>
    </cfRule>
  </conditionalFormatting>
  <printOptions horizontalCentered="1" verticalCentered="1"/>
  <pageMargins left="0" right="0" top="0" bottom="0" header="0" footer="0"/>
  <pageSetup scale="17" orientation="landscape" r:id="rId1"/>
  <headerFooter alignWithMargins="0">
    <oddHeader>&amp;L&amp;8John S. Glass, (617) 856-8752
Jon M. Tower, (617) 856-8750&amp;C&amp;8Burger King Holdings, Inc.&amp;R&amp;8Morgan Stanley</oddHead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L229"/>
  <sheetViews>
    <sheetView showGridLines="0" zoomScaleNormal="100" workbookViewId="0">
      <pane xSplit="1" ySplit="7" topLeftCell="BK8" activePane="bottomRight" state="frozen"/>
      <selection pane="topRight"/>
      <selection pane="bottomLeft"/>
      <selection pane="bottomRight" activeCell="CI49" sqref="CI49"/>
    </sheetView>
  </sheetViews>
  <sheetFormatPr defaultRowHeight="12.75" outlineLevelRow="2" outlineLevelCol="2" x14ac:dyDescent="0.2"/>
  <cols>
    <col min="1" max="1" width="34.85546875" customWidth="1"/>
    <col min="2" max="42" width="8.140625" hidden="1" customWidth="1" outlineLevel="1"/>
    <col min="43" max="43" width="8.140625" hidden="1" customWidth="1" outlineLevel="1" collapsed="1"/>
    <col min="44" max="62" width="8.140625" hidden="1" customWidth="1" outlineLevel="1"/>
    <col min="63" max="63" width="8.140625" customWidth="1" collapsed="1"/>
    <col min="64" max="67" width="8.140625" hidden="1" customWidth="1" outlineLevel="1"/>
    <col min="68" max="68" width="8.140625" customWidth="1" collapsed="1"/>
    <col min="69" max="72" width="8.140625" hidden="1" customWidth="1" outlineLevel="1"/>
    <col min="73" max="73" width="8.140625" customWidth="1" collapsed="1"/>
    <col min="74" max="74" width="8.140625" style="1066" hidden="1" customWidth="1" outlineLevel="1"/>
    <col min="75" max="75" width="8.140625" style="1401" hidden="1" customWidth="1" outlineLevel="1"/>
    <col min="76" max="77" width="8.140625" style="1066" hidden="1" customWidth="1" outlineLevel="1"/>
    <col min="78" max="78" width="8.140625" customWidth="1" collapsed="1"/>
    <col min="79" max="81" width="8.140625" hidden="1" customWidth="1" outlineLevel="1"/>
    <col min="82" max="82" width="8.140625" style="1066" hidden="1" customWidth="1" outlineLevel="1"/>
    <col min="83" max="83" width="8.140625" customWidth="1" collapsed="1"/>
    <col min="84" max="84" width="8.140625" style="1066" customWidth="1" outlineLevel="1"/>
    <col min="85" max="85" width="8.7109375" style="1066" customWidth="1" outlineLevel="1"/>
    <col min="86" max="86" width="8.140625" customWidth="1" outlineLevel="1"/>
    <col min="87" max="87" width="8.140625" style="1066" customWidth="1" outlineLevel="1"/>
    <col min="88" max="88" width="8.140625" style="1066" customWidth="1"/>
    <col min="89" max="89" width="8.7109375" style="1066" customWidth="1" outlineLevel="2"/>
    <col min="90" max="92" width="8.140625" customWidth="1" outlineLevel="2"/>
    <col min="93" max="93" width="8.140625" customWidth="1" outlineLevel="1"/>
    <col min="94" max="97" width="8.140625" hidden="1" customWidth="1" outlineLevel="2"/>
    <col min="98" max="98" width="8.140625" customWidth="1" outlineLevel="1" collapsed="1"/>
    <col min="99" max="102" width="8.140625" hidden="1" customWidth="1" outlineLevel="2"/>
    <col min="103" max="103" width="8.140625" customWidth="1" outlineLevel="1" collapsed="1"/>
    <col min="104" max="107" width="8.140625" hidden="1" customWidth="1" outlineLevel="2"/>
    <col min="108" max="108" width="8.140625" customWidth="1" outlineLevel="1" collapsed="1"/>
    <col min="109" max="112" width="8.140625" hidden="1" customWidth="1" outlineLevel="2"/>
    <col min="113" max="113" width="8.140625" customWidth="1" outlineLevel="1" collapsed="1"/>
    <col min="114" max="117" width="8.140625" hidden="1" customWidth="1" outlineLevel="2"/>
    <col min="118" max="118" width="8.140625" customWidth="1" outlineLevel="1" collapsed="1"/>
    <col min="119" max="122" width="8.140625" hidden="1" customWidth="1" outlineLevel="2"/>
    <col min="123" max="123" width="8.140625" customWidth="1" outlineLevel="1" collapsed="1"/>
    <col min="124" max="127" width="8.140625" hidden="1" customWidth="1" outlineLevel="2"/>
    <col min="128" max="128" width="8.140625" customWidth="1" outlineLevel="1" collapsed="1"/>
    <col min="137" max="137" width="28.42578125" customWidth="1"/>
  </cols>
  <sheetData>
    <row r="1" spans="1:136" ht="51" customHeight="1" x14ac:dyDescent="0.2">
      <c r="A1" s="32"/>
      <c r="B1" s="67"/>
      <c r="C1" s="67"/>
      <c r="D1" s="67"/>
      <c r="E1" s="67"/>
      <c r="F1" s="68"/>
      <c r="G1" s="67"/>
      <c r="H1" s="67"/>
      <c r="I1" s="67"/>
      <c r="J1" s="67"/>
      <c r="K1" s="68"/>
      <c r="L1" s="67"/>
      <c r="M1" s="16"/>
      <c r="N1" s="16"/>
      <c r="O1" s="16"/>
      <c r="P1" s="154"/>
      <c r="Q1" s="67"/>
      <c r="R1" s="16"/>
      <c r="S1" s="16"/>
      <c r="T1" s="16"/>
      <c r="U1" s="155"/>
      <c r="V1" s="67"/>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67"/>
      <c r="AW1" s="16"/>
      <c r="AX1" s="16"/>
      <c r="AY1" s="16"/>
      <c r="AZ1" s="16"/>
      <c r="BA1" s="16"/>
      <c r="BB1" s="16"/>
      <c r="BC1" s="16"/>
      <c r="BD1" s="16"/>
      <c r="BE1" s="16"/>
      <c r="BF1" s="16"/>
      <c r="BG1" s="16"/>
      <c r="BH1" s="16"/>
      <c r="BI1" s="16"/>
      <c r="BJ1" s="16"/>
      <c r="BK1" s="16"/>
      <c r="BL1" s="16"/>
      <c r="BM1" s="16"/>
      <c r="BN1" s="16"/>
      <c r="BO1" s="16"/>
      <c r="BP1" s="16"/>
      <c r="BQ1" s="55"/>
      <c r="BR1" s="55"/>
      <c r="BS1" s="55"/>
      <c r="BT1" s="55"/>
      <c r="BU1" s="55"/>
      <c r="BV1" s="16"/>
      <c r="BW1" s="1353"/>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row>
    <row r="2" spans="1:136" x14ac:dyDescent="0.2">
      <c r="A2" s="19" t="s">
        <v>496</v>
      </c>
      <c r="B2" s="44"/>
      <c r="C2" s="67"/>
      <c r="D2" s="67"/>
      <c r="E2" s="67"/>
      <c r="F2" s="67"/>
      <c r="G2" s="67"/>
      <c r="H2" s="67"/>
      <c r="I2" s="67"/>
      <c r="J2" s="172"/>
      <c r="K2" s="67"/>
      <c r="L2" s="67"/>
      <c r="M2" s="16"/>
      <c r="N2" s="16"/>
      <c r="O2" s="16"/>
      <c r="P2" s="67"/>
      <c r="Q2" s="67"/>
      <c r="R2" s="16"/>
      <c r="S2" s="16"/>
      <c r="T2" s="16"/>
      <c r="U2" s="67"/>
      <c r="V2" s="67"/>
      <c r="W2" s="16"/>
      <c r="X2" s="16"/>
      <c r="Y2" s="16"/>
      <c r="Z2" s="16"/>
      <c r="AA2" s="150"/>
      <c r="AB2" s="16"/>
      <c r="AC2" s="16"/>
      <c r="AD2" s="150"/>
      <c r="AE2" s="16"/>
      <c r="AF2" s="16"/>
      <c r="AG2" s="16"/>
      <c r="AH2" s="16"/>
      <c r="AI2" s="16"/>
      <c r="AJ2" s="16"/>
      <c r="AK2" s="16"/>
      <c r="AL2" s="16"/>
      <c r="AM2" s="16"/>
      <c r="AN2" s="16"/>
      <c r="AO2" s="16"/>
      <c r="AP2" s="16"/>
      <c r="AQ2" s="16"/>
      <c r="AR2" s="16"/>
      <c r="AS2" s="16"/>
      <c r="AT2" s="16"/>
      <c r="AU2" s="16"/>
      <c r="AV2" s="17"/>
      <c r="AW2" s="16"/>
      <c r="AX2" s="16"/>
      <c r="AY2" s="16"/>
      <c r="AZ2" s="16"/>
      <c r="BA2" s="16"/>
      <c r="BB2" s="16"/>
      <c r="BC2" s="16"/>
      <c r="BD2" s="16"/>
      <c r="BE2" s="16"/>
      <c r="BF2" s="150"/>
      <c r="BG2" s="16"/>
      <c r="BH2" s="16"/>
      <c r="BI2" s="16"/>
      <c r="BJ2" s="16"/>
      <c r="BK2" s="78"/>
      <c r="BL2" s="78"/>
      <c r="BM2" s="78"/>
      <c r="BN2" s="78"/>
      <c r="BO2" s="78"/>
      <c r="BP2" s="78"/>
      <c r="BQ2" s="78"/>
      <c r="BR2" s="78"/>
      <c r="BS2" s="78"/>
      <c r="BT2" s="78"/>
      <c r="BU2" s="78"/>
      <c r="BV2" s="78"/>
      <c r="BW2" s="1354"/>
      <c r="BX2" s="78"/>
      <c r="BY2" s="78"/>
      <c r="BZ2" s="78"/>
      <c r="CA2" s="78"/>
      <c r="CB2" s="78"/>
      <c r="CC2" s="78"/>
      <c r="CD2" s="78"/>
      <c r="CE2" s="78"/>
      <c r="CF2" s="78"/>
      <c r="CG2" s="78"/>
      <c r="CH2" s="78"/>
      <c r="CI2" s="78"/>
      <c r="CJ2" s="78"/>
      <c r="CK2" s="78"/>
      <c r="CL2" s="78"/>
      <c r="CM2" s="78"/>
      <c r="CN2" s="78"/>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16"/>
      <c r="DZ2" s="16"/>
      <c r="EA2" s="16"/>
      <c r="EB2" s="16"/>
      <c r="EC2" s="16"/>
      <c r="ED2" s="16"/>
      <c r="EE2" s="16"/>
      <c r="EF2" s="16"/>
    </row>
    <row r="3" spans="1:136" x14ac:dyDescent="0.2">
      <c r="A3" s="21"/>
      <c r="B3" s="67"/>
      <c r="C3" s="67"/>
      <c r="D3" s="67"/>
      <c r="E3" s="67"/>
      <c r="F3" s="67"/>
      <c r="G3" s="67"/>
      <c r="H3" s="67"/>
      <c r="I3" s="67"/>
      <c r="J3" s="67"/>
      <c r="K3" s="67"/>
      <c r="L3" s="67"/>
      <c r="M3" s="16"/>
      <c r="N3" s="16"/>
      <c r="O3" s="16"/>
      <c r="P3" s="149"/>
      <c r="Q3" s="67"/>
      <c r="R3" s="16"/>
      <c r="S3" s="16"/>
      <c r="T3" s="16"/>
      <c r="U3" s="149"/>
      <c r="V3" s="67"/>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7"/>
      <c r="AW3" s="16"/>
      <c r="AX3" s="16"/>
      <c r="AY3" s="16"/>
      <c r="AZ3" s="16"/>
      <c r="BA3" s="16"/>
      <c r="BB3" s="16"/>
      <c r="BC3" s="16"/>
      <c r="BD3" s="16"/>
      <c r="BE3" s="16"/>
      <c r="BF3" s="16"/>
      <c r="BG3" s="16"/>
      <c r="BH3" s="16"/>
      <c r="BI3" s="16"/>
      <c r="BJ3" s="16"/>
      <c r="BK3" s="16"/>
      <c r="BL3" s="16"/>
      <c r="BM3" s="16"/>
      <c r="BN3" s="16"/>
      <c r="BO3" s="16"/>
      <c r="BP3" s="16"/>
      <c r="BQ3" s="78"/>
      <c r="BR3" s="55"/>
      <c r="BS3" s="55"/>
      <c r="BT3" s="55"/>
      <c r="BU3" s="16"/>
      <c r="BV3" s="55"/>
      <c r="BW3" s="1355"/>
      <c r="BX3" s="55"/>
      <c r="BY3" s="55"/>
      <c r="BZ3" s="78"/>
      <c r="CA3" s="55"/>
      <c r="CB3" s="55"/>
      <c r="CC3" s="55"/>
      <c r="CD3" s="55"/>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row>
    <row r="4" spans="1:136" hidden="1" outlineLevel="1" x14ac:dyDescent="0.2">
      <c r="BV4"/>
      <c r="BW4"/>
      <c r="BX4"/>
      <c r="BY4"/>
      <c r="CD4"/>
      <c r="CF4"/>
      <c r="CG4"/>
      <c r="CI4"/>
      <c r="CJ4"/>
      <c r="CK4"/>
    </row>
    <row r="5" spans="1:136" ht="18" collapsed="1" x14ac:dyDescent="0.25">
      <c r="A5" s="460" t="s">
        <v>589</v>
      </c>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1164"/>
      <c r="AW5" s="4"/>
      <c r="AX5" s="4"/>
      <c r="AY5" s="4"/>
      <c r="AZ5" s="4"/>
      <c r="BA5" s="4"/>
      <c r="BB5" s="4"/>
      <c r="BC5" s="4"/>
      <c r="BD5" s="4"/>
      <c r="BE5" s="4"/>
      <c r="BF5" s="4"/>
      <c r="BG5" s="4"/>
      <c r="BH5" s="4"/>
      <c r="BI5" s="4"/>
      <c r="BJ5" s="4"/>
      <c r="BK5" s="4"/>
      <c r="BL5" s="4"/>
      <c r="BM5" s="4"/>
      <c r="BN5" s="4"/>
      <c r="BO5" s="4"/>
      <c r="BP5" s="4"/>
      <c r="BQ5" s="4"/>
      <c r="BR5" s="4"/>
      <c r="BS5" s="4"/>
      <c r="BT5" s="4"/>
      <c r="BU5" s="4"/>
      <c r="BV5" s="4"/>
      <c r="BW5" s="1356"/>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208"/>
      <c r="DY5" s="37"/>
      <c r="DZ5" s="37"/>
      <c r="EA5" s="37"/>
      <c r="EB5" s="37"/>
      <c r="EC5" s="37"/>
      <c r="ED5" s="37"/>
      <c r="EE5" s="37"/>
      <c r="EF5" s="37"/>
    </row>
    <row r="6" spans="1:136" x14ac:dyDescent="0.2">
      <c r="A6" s="19"/>
      <c r="B6" s="21"/>
      <c r="C6" s="21"/>
      <c r="D6" s="21"/>
      <c r="E6" s="21"/>
      <c r="F6" s="21"/>
      <c r="G6" s="21"/>
      <c r="H6" s="21"/>
      <c r="I6" s="21"/>
      <c r="J6" s="21"/>
      <c r="K6" s="21"/>
      <c r="L6" s="21"/>
      <c r="M6" s="21"/>
      <c r="N6" s="21"/>
      <c r="O6" s="21"/>
      <c r="P6" s="21"/>
      <c r="Q6" s="21"/>
      <c r="R6" s="21"/>
      <c r="S6" s="63"/>
      <c r="T6" s="21"/>
      <c r="U6" s="21"/>
      <c r="V6" s="315">
        <v>38533</v>
      </c>
      <c r="W6" s="315"/>
      <c r="X6" s="315"/>
      <c r="Y6" s="315"/>
      <c r="Z6" s="315"/>
      <c r="AA6" s="315">
        <v>38898</v>
      </c>
      <c r="AB6" s="315">
        <v>38990</v>
      </c>
      <c r="AC6" s="315">
        <v>39082</v>
      </c>
      <c r="AD6" s="315">
        <v>39172</v>
      </c>
      <c r="AE6" s="315">
        <v>39263</v>
      </c>
      <c r="AF6" s="315">
        <v>39263</v>
      </c>
      <c r="AG6" s="315">
        <v>39355</v>
      </c>
      <c r="AH6" s="315">
        <v>39447</v>
      </c>
      <c r="AI6" s="315">
        <v>39538</v>
      </c>
      <c r="AJ6" s="315">
        <v>39629</v>
      </c>
      <c r="AK6" s="315">
        <v>39629</v>
      </c>
      <c r="AL6" s="315">
        <v>39721</v>
      </c>
      <c r="AM6" s="315">
        <v>39813</v>
      </c>
      <c r="AN6" s="315">
        <v>39903</v>
      </c>
      <c r="AO6" s="315">
        <v>39994</v>
      </c>
      <c r="AP6" s="315">
        <f>AO6</f>
        <v>39994</v>
      </c>
      <c r="AQ6" s="315">
        <v>40086</v>
      </c>
      <c r="AR6" s="315">
        <v>40178</v>
      </c>
      <c r="AS6" s="315">
        <v>40268</v>
      </c>
      <c r="AT6" s="315">
        <v>40359</v>
      </c>
      <c r="AU6" s="315">
        <f>AT6</f>
        <v>40359</v>
      </c>
      <c r="AV6" s="881"/>
      <c r="AW6" s="315">
        <f>AS6</f>
        <v>40268</v>
      </c>
      <c r="AX6" s="315">
        <f>AT6</f>
        <v>40359</v>
      </c>
      <c r="AY6" s="315">
        <v>40451</v>
      </c>
      <c r="AZ6" s="315">
        <v>40543</v>
      </c>
      <c r="BA6" s="315">
        <f>IS!BA7</f>
        <v>40543</v>
      </c>
      <c r="BB6" s="315">
        <f>IS!BB7</f>
        <v>40633</v>
      </c>
      <c r="BC6" s="315">
        <f>IS!BC7</f>
        <v>40724</v>
      </c>
      <c r="BD6" s="315">
        <f>IS!BD7</f>
        <v>40816</v>
      </c>
      <c r="BE6" s="315">
        <f>IS!BE7</f>
        <v>40908</v>
      </c>
      <c r="BF6" s="315">
        <f>IS!BF7</f>
        <v>40908</v>
      </c>
      <c r="BG6" s="315">
        <f>IS!BG7</f>
        <v>40999</v>
      </c>
      <c r="BH6" s="315">
        <f>IS!BH7</f>
        <v>41090</v>
      </c>
      <c r="BI6" s="315">
        <f>IS!BI7</f>
        <v>41182</v>
      </c>
      <c r="BJ6" s="315">
        <f>IS!BJ7</f>
        <v>41274</v>
      </c>
      <c r="BK6" s="315">
        <f>IS!BK7</f>
        <v>41274</v>
      </c>
      <c r="BL6" s="315">
        <f>IS!BL7</f>
        <v>41364</v>
      </c>
      <c r="BM6" s="315">
        <f>IS!BM7</f>
        <v>41455</v>
      </c>
      <c r="BN6" s="315">
        <f>IS!BN7</f>
        <v>41547</v>
      </c>
      <c r="BO6" s="315">
        <f>IS!BO7</f>
        <v>41639</v>
      </c>
      <c r="BP6" s="315">
        <f>IS!BP7</f>
        <v>41639</v>
      </c>
      <c r="BQ6" s="315">
        <f>IS!BQ7</f>
        <v>41729</v>
      </c>
      <c r="BR6" s="315">
        <f>IS!BR7</f>
        <v>41820</v>
      </c>
      <c r="BS6" s="315">
        <f>IS!BS7</f>
        <v>41912</v>
      </c>
      <c r="BT6" s="315">
        <f>IS!BT7</f>
        <v>42004</v>
      </c>
      <c r="BU6" s="315">
        <f>IS!BU7</f>
        <v>42004</v>
      </c>
      <c r="BV6" s="315">
        <f>IS!CA7</f>
        <v>42094</v>
      </c>
      <c r="BW6" s="1357">
        <f>IS!CB7</f>
        <v>42185</v>
      </c>
      <c r="BX6" s="315">
        <f>IS!CC7</f>
        <v>42277</v>
      </c>
      <c r="BY6" s="315">
        <f>IS!CD7</f>
        <v>42369</v>
      </c>
      <c r="BZ6" s="315">
        <f>IS!CE7</f>
        <v>42369</v>
      </c>
      <c r="CA6" s="315">
        <f>IS!CF7</f>
        <v>42460</v>
      </c>
      <c r="CB6" s="315">
        <f>IS!CG7</f>
        <v>42551</v>
      </c>
      <c r="CC6" s="315">
        <f>IS!CH7</f>
        <v>42643</v>
      </c>
      <c r="CD6" s="315">
        <f>IS!CI7</f>
        <v>42735</v>
      </c>
      <c r="CE6" s="315">
        <f>IS!CJ7</f>
        <v>42735</v>
      </c>
      <c r="CF6" s="315">
        <f>IS!CK7</f>
        <v>42825</v>
      </c>
      <c r="CG6" s="315">
        <f>IS!CL7</f>
        <v>42916</v>
      </c>
      <c r="CH6" s="315">
        <f>IS!CM7</f>
        <v>43008</v>
      </c>
      <c r="CI6" s="315">
        <f>IS!CN7</f>
        <v>43100</v>
      </c>
      <c r="CJ6" s="315">
        <f>IS!CO7</f>
        <v>43100</v>
      </c>
      <c r="CK6" s="315">
        <f>IS!CP7</f>
        <v>43190</v>
      </c>
      <c r="CL6" s="315">
        <f>IS!CQ7</f>
        <v>43281</v>
      </c>
      <c r="CM6" s="315">
        <f>IS!CR7</f>
        <v>43373</v>
      </c>
      <c r="CN6" s="315">
        <f>IS!CS7</f>
        <v>43465</v>
      </c>
      <c r="CO6" s="315">
        <f>IS!CT7</f>
        <v>43465</v>
      </c>
      <c r="CP6" s="315">
        <f>IS!CU7</f>
        <v>43555</v>
      </c>
      <c r="CQ6" s="315">
        <f>IS!CV7</f>
        <v>43646</v>
      </c>
      <c r="CR6" s="315">
        <f>IS!CW7</f>
        <v>43738</v>
      </c>
      <c r="CS6" s="315">
        <f>IS!CX7</f>
        <v>43830</v>
      </c>
      <c r="CT6" s="315">
        <f>IS!CY7</f>
        <v>43830</v>
      </c>
      <c r="CU6" s="315">
        <f>IS!CZ7</f>
        <v>43921</v>
      </c>
      <c r="CV6" s="315">
        <f>IS!DA7</f>
        <v>44012</v>
      </c>
      <c r="CW6" s="315">
        <f>IS!DB7</f>
        <v>44104</v>
      </c>
      <c r="CX6" s="315">
        <f>IS!DC7</f>
        <v>44196</v>
      </c>
      <c r="CY6" s="315">
        <f>IS!DD7</f>
        <v>44196</v>
      </c>
      <c r="CZ6" s="315">
        <f>IS!DE7</f>
        <v>44286</v>
      </c>
      <c r="DA6" s="315">
        <f>IS!DF7</f>
        <v>44377</v>
      </c>
      <c r="DB6" s="315">
        <f>IS!DG7</f>
        <v>44469</v>
      </c>
      <c r="DC6" s="315">
        <f>IS!DH7</f>
        <v>44561</v>
      </c>
      <c r="DD6" s="315">
        <f>IS!DI7</f>
        <v>44561</v>
      </c>
      <c r="DE6" s="315">
        <f>IS!DJ7</f>
        <v>44651</v>
      </c>
      <c r="DF6" s="315">
        <f>IS!DK7</f>
        <v>44742</v>
      </c>
      <c r="DG6" s="315">
        <f>IS!DL7</f>
        <v>44834</v>
      </c>
      <c r="DH6" s="315">
        <f>IS!DM7</f>
        <v>44926</v>
      </c>
      <c r="DI6" s="315">
        <f>IS!DN7</f>
        <v>44926</v>
      </c>
      <c r="DJ6" s="315">
        <f>IS!DO7</f>
        <v>45016</v>
      </c>
      <c r="DK6" s="315">
        <f>IS!DP7</f>
        <v>45107</v>
      </c>
      <c r="DL6" s="315">
        <f>IS!DQ7</f>
        <v>45199</v>
      </c>
      <c r="DM6" s="315">
        <f>IS!DR7</f>
        <v>45291</v>
      </c>
      <c r="DN6" s="315">
        <f>IS!DS7</f>
        <v>45291</v>
      </c>
      <c r="DO6" s="315">
        <f>IS!DT7</f>
        <v>45382</v>
      </c>
      <c r="DP6" s="315">
        <f>IS!DU7</f>
        <v>45473</v>
      </c>
      <c r="DQ6" s="315">
        <f>IS!DV7</f>
        <v>45565</v>
      </c>
      <c r="DR6" s="315">
        <f>IS!DW7</f>
        <v>45657</v>
      </c>
      <c r="DS6" s="315">
        <f>IS!DX7</f>
        <v>45657</v>
      </c>
      <c r="DT6" s="315">
        <f>IS!DY7</f>
        <v>45382</v>
      </c>
      <c r="DU6" s="315">
        <f>IS!DZ7</f>
        <v>45473</v>
      </c>
      <c r="DV6" s="315">
        <f>IS!EA7</f>
        <v>45565</v>
      </c>
      <c r="DW6" s="315">
        <f>IS!EB7</f>
        <v>45657</v>
      </c>
      <c r="DX6" s="315">
        <f>IS!EC7</f>
        <v>45657</v>
      </c>
      <c r="DY6" s="21"/>
      <c r="DZ6" s="21"/>
      <c r="EA6" s="21"/>
      <c r="EB6" s="21"/>
      <c r="EC6" s="21"/>
      <c r="ED6" s="21"/>
      <c r="EE6" s="21"/>
      <c r="EF6" s="21"/>
    </row>
    <row r="7" spans="1:136" x14ac:dyDescent="0.2">
      <c r="A7" s="1039" t="s">
        <v>573</v>
      </c>
      <c r="B7" s="10" t="s">
        <v>246</v>
      </c>
      <c r="C7" s="10" t="s">
        <v>142</v>
      </c>
      <c r="D7" s="10" t="s">
        <v>143</v>
      </c>
      <c r="E7" s="10" t="s">
        <v>144</v>
      </c>
      <c r="F7" s="10" t="s">
        <v>145</v>
      </c>
      <c r="G7" s="10" t="s">
        <v>245</v>
      </c>
      <c r="H7" s="10" t="s">
        <v>146</v>
      </c>
      <c r="I7" s="10" t="s">
        <v>148</v>
      </c>
      <c r="J7" s="10" t="s">
        <v>149</v>
      </c>
      <c r="K7" s="10" t="s">
        <v>150</v>
      </c>
      <c r="L7" s="10" t="s">
        <v>244</v>
      </c>
      <c r="M7" s="10" t="s">
        <v>240</v>
      </c>
      <c r="N7" s="10" t="s">
        <v>241</v>
      </c>
      <c r="O7" s="10" t="s">
        <v>242</v>
      </c>
      <c r="P7" s="10" t="s">
        <v>243</v>
      </c>
      <c r="Q7" s="10" t="s">
        <v>234</v>
      </c>
      <c r="R7" s="10" t="s">
        <v>236</v>
      </c>
      <c r="S7" s="10" t="s">
        <v>237</v>
      </c>
      <c r="T7" s="10" t="s">
        <v>238</v>
      </c>
      <c r="U7" s="10" t="s">
        <v>239</v>
      </c>
      <c r="V7" s="10" t="s">
        <v>235</v>
      </c>
      <c r="W7" s="10" t="s">
        <v>257</v>
      </c>
      <c r="X7" s="10" t="s">
        <v>258</v>
      </c>
      <c r="Y7" s="10" t="s">
        <v>259</v>
      </c>
      <c r="Z7" s="10" t="s">
        <v>260</v>
      </c>
      <c r="AA7" s="10" t="s">
        <v>256</v>
      </c>
      <c r="AB7" s="10" t="s">
        <v>268</v>
      </c>
      <c r="AC7" s="10" t="s">
        <v>364</v>
      </c>
      <c r="AD7" s="10" t="s">
        <v>439</v>
      </c>
      <c r="AE7" s="10" t="s">
        <v>490</v>
      </c>
      <c r="AF7" s="10" t="s">
        <v>491</v>
      </c>
      <c r="AG7" s="10" t="s">
        <v>493</v>
      </c>
      <c r="AH7" s="10" t="s">
        <v>508</v>
      </c>
      <c r="AI7" s="10" t="s">
        <v>3</v>
      </c>
      <c r="AJ7" s="10" t="s">
        <v>72</v>
      </c>
      <c r="AK7" s="10" t="s">
        <v>73</v>
      </c>
      <c r="AL7" s="10" t="s">
        <v>516</v>
      </c>
      <c r="AM7" s="10" t="s">
        <v>132</v>
      </c>
      <c r="AN7" s="10" t="s">
        <v>93</v>
      </c>
      <c r="AO7" s="10" t="s">
        <v>398</v>
      </c>
      <c r="AP7" s="10" t="s">
        <v>399</v>
      </c>
      <c r="AQ7" s="10" t="s">
        <v>481</v>
      </c>
      <c r="AR7" s="10" t="s">
        <v>397</v>
      </c>
      <c r="AS7" s="10" t="s">
        <v>478</v>
      </c>
      <c r="AT7" s="10" t="s">
        <v>20</v>
      </c>
      <c r="AU7" s="10" t="s">
        <v>517</v>
      </c>
      <c r="AV7" s="1040"/>
      <c r="AW7" s="10" t="s">
        <v>127</v>
      </c>
      <c r="AX7" s="1041" t="s">
        <v>128</v>
      </c>
      <c r="AY7" s="1041" t="s">
        <v>129</v>
      </c>
      <c r="AZ7" s="1041" t="s">
        <v>130</v>
      </c>
      <c r="BA7" s="10" t="str">
        <f>IS!BA8</f>
        <v>2010A</v>
      </c>
      <c r="BB7" s="10" t="str">
        <f>IS!BB8</f>
        <v>1Q11A</v>
      </c>
      <c r="BC7" s="10" t="str">
        <f>IS!BC8</f>
        <v>2Q11A</v>
      </c>
      <c r="BD7" s="10" t="str">
        <f>IS!BD8</f>
        <v>3Q11A</v>
      </c>
      <c r="BE7" s="10" t="str">
        <f>IS!BE8</f>
        <v>4Q11A</v>
      </c>
      <c r="BF7" s="10" t="str">
        <f>IS!BF8</f>
        <v>2011A</v>
      </c>
      <c r="BG7" s="10" t="str">
        <f>IS!BG8</f>
        <v>1Q12A</v>
      </c>
      <c r="BH7" s="10" t="str">
        <f>IS!BH8</f>
        <v>2Q12A</v>
      </c>
      <c r="BI7" s="10" t="str">
        <f>IS!BI8</f>
        <v>3Q12A</v>
      </c>
      <c r="BJ7" s="10" t="str">
        <f>IS!BJ8</f>
        <v>4Q12A</v>
      </c>
      <c r="BK7" s="10" t="str">
        <f>IS!BK8</f>
        <v>2012A</v>
      </c>
      <c r="BL7" s="10" t="str">
        <f>IS!BL8</f>
        <v>1Q13A</v>
      </c>
      <c r="BM7" s="10" t="str">
        <f>IS!BM8</f>
        <v>2Q13A</v>
      </c>
      <c r="BN7" s="10" t="str">
        <f>IS!BN8</f>
        <v>3Q13A</v>
      </c>
      <c r="BO7" s="10" t="str">
        <f>IS!BO8</f>
        <v>4Q13A</v>
      </c>
      <c r="BP7" s="10" t="str">
        <f>IS!BP8</f>
        <v>2013A</v>
      </c>
      <c r="BQ7" s="10" t="str">
        <f>IS!BQ8</f>
        <v>1Q14A</v>
      </c>
      <c r="BR7" s="10" t="str">
        <f>IS!BR8</f>
        <v>2Q14A</v>
      </c>
      <c r="BS7" s="10" t="str">
        <f>IS!BS8</f>
        <v>3Q14A</v>
      </c>
      <c r="BT7" s="10" t="str">
        <f>IS!BT8</f>
        <v>4Q14A</v>
      </c>
      <c r="BU7" s="10" t="str">
        <f>IS!BU8</f>
        <v>2014A</v>
      </c>
      <c r="BV7" s="10" t="s">
        <v>747</v>
      </c>
      <c r="BW7" s="1347" t="str">
        <f>IS!CB8</f>
        <v>2Q15A</v>
      </c>
      <c r="BX7" s="10" t="str">
        <f>IS!CC8</f>
        <v>3Q15A</v>
      </c>
      <c r="BY7" s="10" t="str">
        <f>IS!CD8</f>
        <v>4Q15A</v>
      </c>
      <c r="BZ7" s="10" t="str">
        <f>IS!CE8</f>
        <v>2015A</v>
      </c>
      <c r="CA7" s="10" t="str">
        <f>IS!CF8</f>
        <v>1Q16A</v>
      </c>
      <c r="CB7" s="10" t="str">
        <f>IS!CG8</f>
        <v>2Q16A</v>
      </c>
      <c r="CC7" s="10" t="str">
        <f>IS!CH8</f>
        <v>3Q16A</v>
      </c>
      <c r="CD7" s="10" t="str">
        <f>IS!CI8</f>
        <v>4Q16A</v>
      </c>
      <c r="CE7" s="10" t="str">
        <f>IS!CJ8</f>
        <v>2016A</v>
      </c>
      <c r="CF7" s="10" t="str">
        <f>IS!CK8</f>
        <v>1Q17A</v>
      </c>
      <c r="CG7" s="10" t="str">
        <f>IS!CL8</f>
        <v>2Q17A</v>
      </c>
      <c r="CH7" s="10" t="str">
        <f>IS!CM8</f>
        <v>3Q17A</v>
      </c>
      <c r="CI7" s="10" t="str">
        <f>IS!CN8</f>
        <v>4Q17A</v>
      </c>
      <c r="CJ7" s="10" t="str">
        <f>IS!CO8</f>
        <v>2017A</v>
      </c>
      <c r="CK7" s="10" t="str">
        <f>IS!CP8</f>
        <v>1Q18A</v>
      </c>
      <c r="CL7" s="14" t="str">
        <f>IS!CQ8</f>
        <v>2Q18E</v>
      </c>
      <c r="CM7" s="14" t="str">
        <f>IS!CR8</f>
        <v>3Q18E</v>
      </c>
      <c r="CN7" s="14" t="str">
        <f>IS!CS8</f>
        <v>4Q18E</v>
      </c>
      <c r="CO7" s="14" t="str">
        <f>IS!CT8</f>
        <v>2018E</v>
      </c>
      <c r="CP7" s="14" t="str">
        <f>IS!CU8</f>
        <v>1Q19E</v>
      </c>
      <c r="CQ7" s="14" t="str">
        <f>IS!CV8</f>
        <v>2Q19E</v>
      </c>
      <c r="CR7" s="14" t="str">
        <f>IS!CW8</f>
        <v>3Q19E</v>
      </c>
      <c r="CS7" s="14" t="str">
        <f>IS!CX8</f>
        <v>4Q19E</v>
      </c>
      <c r="CT7" s="14" t="str">
        <f>IS!CY8</f>
        <v>2019E</v>
      </c>
      <c r="CU7" s="14" t="str">
        <f>IS!CZ8</f>
        <v>1Q20E</v>
      </c>
      <c r="CV7" s="14" t="str">
        <f>IS!DA8</f>
        <v>2Q20E</v>
      </c>
      <c r="CW7" s="14" t="str">
        <f>IS!DB8</f>
        <v>3Q20E</v>
      </c>
      <c r="CX7" s="14" t="str">
        <f>IS!DC8</f>
        <v>4Q20E</v>
      </c>
      <c r="CY7" s="14" t="str">
        <f>IS!DD8</f>
        <v>2020E</v>
      </c>
      <c r="CZ7" s="14" t="str">
        <f>IS!DE8</f>
        <v>1Q21E</v>
      </c>
      <c r="DA7" s="14" t="str">
        <f>IS!DF8</f>
        <v>2Q21E</v>
      </c>
      <c r="DB7" s="14" t="str">
        <f>IS!DG8</f>
        <v>3Q21E</v>
      </c>
      <c r="DC7" s="14" t="str">
        <f>IS!DH8</f>
        <v>4Q21E</v>
      </c>
      <c r="DD7" s="14" t="str">
        <f>IS!DI8</f>
        <v>2021E</v>
      </c>
      <c r="DE7" s="14" t="str">
        <f>IS!DJ8</f>
        <v>1Q22E</v>
      </c>
      <c r="DF7" s="14" t="str">
        <f>IS!DK8</f>
        <v>2Q22E</v>
      </c>
      <c r="DG7" s="14" t="str">
        <f>IS!DL8</f>
        <v>3Q22E</v>
      </c>
      <c r="DH7" s="14" t="str">
        <f>IS!DM8</f>
        <v>4Q22E</v>
      </c>
      <c r="DI7" s="14" t="str">
        <f>IS!DN8</f>
        <v>2022E</v>
      </c>
      <c r="DJ7" s="14" t="str">
        <f>IS!DO8</f>
        <v>1Q23E</v>
      </c>
      <c r="DK7" s="14" t="str">
        <f>IS!DP8</f>
        <v>2Q23E</v>
      </c>
      <c r="DL7" s="14" t="str">
        <f>IS!DQ8</f>
        <v>3Q23E</v>
      </c>
      <c r="DM7" s="14" t="str">
        <f>IS!DR8</f>
        <v>4Q23E</v>
      </c>
      <c r="DN7" s="14" t="str">
        <f>IS!DS8</f>
        <v>2023E</v>
      </c>
      <c r="DO7" s="14" t="str">
        <f>IS!DT8</f>
        <v>1Q24E</v>
      </c>
      <c r="DP7" s="14" t="str">
        <f>IS!DU8</f>
        <v>2Q24E</v>
      </c>
      <c r="DQ7" s="14" t="str">
        <f>IS!DV8</f>
        <v>3Q24E</v>
      </c>
      <c r="DR7" s="14" t="str">
        <f>IS!DW8</f>
        <v>4Q24E</v>
      </c>
      <c r="DS7" s="1042" t="str">
        <f>IS!DX8</f>
        <v>2024E</v>
      </c>
      <c r="DT7" s="14" t="str">
        <f>IS!DY8</f>
        <v>1Q25E</v>
      </c>
      <c r="DU7" s="14" t="str">
        <f>IS!DZ8</f>
        <v>2Q25E</v>
      </c>
      <c r="DV7" s="14" t="str">
        <f>IS!EA8</f>
        <v>3Q25E</v>
      </c>
      <c r="DW7" s="14" t="str">
        <f>IS!EB8</f>
        <v>4Q25E</v>
      </c>
      <c r="DX7" s="1042" t="str">
        <f>IS!EC8</f>
        <v>2025E</v>
      </c>
      <c r="DY7" s="173"/>
      <c r="DZ7" s="173"/>
      <c r="EA7" s="173"/>
      <c r="EB7" s="173"/>
      <c r="EC7" s="173"/>
      <c r="ED7" s="173"/>
      <c r="EE7" s="173"/>
      <c r="EF7" s="173"/>
    </row>
    <row r="8" spans="1:136" x14ac:dyDescent="0.2">
      <c r="A8" s="509" t="s">
        <v>181</v>
      </c>
      <c r="B8" s="45"/>
      <c r="C8" s="21"/>
      <c r="D8" s="21"/>
      <c r="E8" s="21"/>
      <c r="F8" s="21"/>
      <c r="G8" s="45"/>
      <c r="H8" s="21"/>
      <c r="I8" s="21"/>
      <c r="J8" s="21"/>
      <c r="K8" s="21"/>
      <c r="L8" s="45"/>
      <c r="M8" s="21"/>
      <c r="N8" s="21"/>
      <c r="O8" s="21"/>
      <c r="P8" s="21"/>
      <c r="Q8" s="45"/>
      <c r="R8" s="21"/>
      <c r="S8" s="63"/>
      <c r="T8" s="21"/>
      <c r="U8" s="21"/>
      <c r="V8" s="169"/>
      <c r="W8" s="21"/>
      <c r="X8" s="21"/>
      <c r="Y8" s="21"/>
      <c r="Z8" s="21"/>
      <c r="AA8" s="169"/>
      <c r="AB8" s="21"/>
      <c r="AC8" s="21"/>
      <c r="AD8" s="21"/>
      <c r="AE8" s="21"/>
      <c r="AF8" s="45"/>
      <c r="AG8" s="21"/>
      <c r="AH8" s="21"/>
      <c r="AI8" s="21"/>
      <c r="AJ8" s="21"/>
      <c r="AK8" s="45"/>
      <c r="AL8" s="21"/>
      <c r="AM8" s="21"/>
      <c r="AN8" s="21"/>
      <c r="AO8" s="21"/>
      <c r="AP8" s="574"/>
      <c r="AQ8" s="16"/>
      <c r="AR8" s="16"/>
      <c r="AS8" s="16"/>
      <c r="AT8" s="16"/>
      <c r="AU8" s="574"/>
      <c r="AV8" s="1801" t="s">
        <v>1</v>
      </c>
      <c r="AW8" s="21"/>
      <c r="AX8" s="16"/>
      <c r="AY8" s="16"/>
      <c r="AZ8" s="21"/>
      <c r="BA8" s="45"/>
      <c r="BB8" s="16"/>
      <c r="BC8" s="16"/>
      <c r="BD8" s="16"/>
      <c r="BE8" s="16"/>
      <c r="BF8" s="574"/>
      <c r="BG8" s="16"/>
      <c r="BH8" s="16"/>
      <c r="BI8" s="16"/>
      <c r="BJ8" s="16"/>
      <c r="BK8" s="574"/>
      <c r="BL8" s="16"/>
      <c r="BM8" s="16"/>
      <c r="BN8" s="16"/>
      <c r="BO8" s="16"/>
      <c r="BP8" s="574"/>
      <c r="BQ8" s="16"/>
      <c r="BR8" s="16"/>
      <c r="BS8" s="16"/>
      <c r="BT8" s="16"/>
      <c r="BU8" s="574"/>
      <c r="BV8" s="16"/>
      <c r="BW8" s="1353"/>
      <c r="BX8" s="16"/>
      <c r="BY8" s="16"/>
      <c r="BZ8" s="574"/>
      <c r="CA8" s="16"/>
      <c r="CB8" s="16"/>
      <c r="CC8" s="16"/>
      <c r="CD8" s="16"/>
      <c r="CE8" s="574"/>
      <c r="CF8" s="16"/>
      <c r="CG8" s="16"/>
      <c r="CH8" s="16"/>
      <c r="CI8" s="16"/>
      <c r="CJ8" s="574"/>
      <c r="CK8" s="16"/>
      <c r="CL8" s="16"/>
      <c r="CM8" s="16"/>
      <c r="CN8" s="16"/>
      <c r="CO8" s="597"/>
      <c r="CP8" s="16"/>
      <c r="CQ8" s="16"/>
      <c r="CR8" s="16"/>
      <c r="CS8" s="16"/>
      <c r="CT8" s="597"/>
      <c r="CU8" s="16"/>
      <c r="CV8" s="16"/>
      <c r="CW8" s="16"/>
      <c r="CX8" s="16"/>
      <c r="CY8" s="597"/>
      <c r="CZ8" s="16"/>
      <c r="DA8" s="16"/>
      <c r="DB8" s="16"/>
      <c r="DC8" s="16"/>
      <c r="DD8" s="597"/>
      <c r="DE8" s="16"/>
      <c r="DF8" s="16"/>
      <c r="DG8" s="16"/>
      <c r="DH8" s="16"/>
      <c r="DI8" s="597"/>
      <c r="DJ8" s="16"/>
      <c r="DK8" s="16"/>
      <c r="DL8" s="16"/>
      <c r="DM8" s="16"/>
      <c r="DN8" s="597"/>
      <c r="DO8" s="16"/>
      <c r="DP8" s="16"/>
      <c r="DQ8" s="16"/>
      <c r="DR8" s="16"/>
      <c r="DS8" s="597"/>
      <c r="DT8" s="16"/>
      <c r="DU8" s="16"/>
      <c r="DV8" s="16"/>
      <c r="DW8" s="16"/>
      <c r="DX8" s="597"/>
      <c r="DY8" s="16"/>
      <c r="DZ8" s="16"/>
      <c r="EA8" s="16"/>
      <c r="EB8" s="16"/>
      <c r="EC8" s="16"/>
      <c r="ED8" s="16"/>
      <c r="EE8" s="16"/>
      <c r="EF8" s="16"/>
    </row>
    <row r="9" spans="1:136" x14ac:dyDescent="0.2">
      <c r="A9" s="496" t="s">
        <v>182</v>
      </c>
      <c r="B9" s="45"/>
      <c r="C9" s="21"/>
      <c r="D9" s="21"/>
      <c r="E9" s="21"/>
      <c r="F9" s="21"/>
      <c r="G9" s="45"/>
      <c r="H9" s="21"/>
      <c r="I9" s="21"/>
      <c r="J9" s="21"/>
      <c r="K9" s="21"/>
      <c r="L9" s="45"/>
      <c r="M9" s="21"/>
      <c r="N9" s="21"/>
      <c r="O9" s="21"/>
      <c r="P9" s="21"/>
      <c r="Q9" s="45"/>
      <c r="R9" s="21"/>
      <c r="S9" s="63"/>
      <c r="T9" s="21"/>
      <c r="U9" s="21"/>
      <c r="V9" s="169"/>
      <c r="W9" s="21"/>
      <c r="X9" s="21"/>
      <c r="Y9" s="21"/>
      <c r="Z9" s="21"/>
      <c r="AA9" s="169"/>
      <c r="AB9" s="21"/>
      <c r="AC9" s="21"/>
      <c r="AD9" s="21"/>
      <c r="AE9" s="21"/>
      <c r="AF9" s="45"/>
      <c r="AG9" s="21"/>
      <c r="AH9" s="21"/>
      <c r="AI9" s="21"/>
      <c r="AJ9" s="21"/>
      <c r="AK9" s="45"/>
      <c r="AL9" s="21"/>
      <c r="AM9" s="21"/>
      <c r="AN9" s="21"/>
      <c r="AO9" s="21"/>
      <c r="AP9" s="574"/>
      <c r="AQ9" s="16"/>
      <c r="AR9" s="16"/>
      <c r="AS9" s="16"/>
      <c r="AT9" s="16"/>
      <c r="AU9" s="574"/>
      <c r="AV9" s="1801"/>
      <c r="AW9" s="21"/>
      <c r="AX9" s="16"/>
      <c r="AY9" s="16"/>
      <c r="AZ9" s="21"/>
      <c r="BA9" s="45"/>
      <c r="BB9" s="16"/>
      <c r="BC9" s="16"/>
      <c r="BD9" s="16"/>
      <c r="BE9" s="16"/>
      <c r="BF9" s="574"/>
      <c r="BG9" s="16"/>
      <c r="BH9" s="16"/>
      <c r="BI9" s="16"/>
      <c r="BJ9" s="16"/>
      <c r="BK9" s="574"/>
      <c r="BL9" s="16"/>
      <c r="BM9" s="16"/>
      <c r="BN9" s="16"/>
      <c r="BO9" s="16"/>
      <c r="BP9" s="574"/>
      <c r="BQ9" s="16"/>
      <c r="BR9" s="16"/>
      <c r="BS9" s="16"/>
      <c r="BT9" s="16"/>
      <c r="BU9" s="574"/>
      <c r="BV9" s="16"/>
      <c r="BW9" s="1353"/>
      <c r="BX9" s="16"/>
      <c r="BY9" s="16"/>
      <c r="BZ9" s="574"/>
      <c r="CA9" s="16"/>
      <c r="CB9" s="16"/>
      <c r="CC9" s="16"/>
      <c r="CD9" s="16"/>
      <c r="CE9" s="574"/>
      <c r="CF9" s="16"/>
      <c r="CG9" s="16"/>
      <c r="CH9" s="16"/>
      <c r="CI9" s="16"/>
      <c r="CJ9" s="574"/>
      <c r="CK9" s="16"/>
      <c r="CL9" s="16"/>
      <c r="CM9" s="16"/>
      <c r="CN9" s="16"/>
      <c r="CO9" s="597"/>
      <c r="CP9" s="16"/>
      <c r="CQ9" s="16"/>
      <c r="CR9" s="16"/>
      <c r="CS9" s="16"/>
      <c r="CT9" s="597"/>
      <c r="CU9" s="16"/>
      <c r="CV9" s="16"/>
      <c r="CW9" s="16"/>
      <c r="CX9" s="16"/>
      <c r="CY9" s="597"/>
      <c r="CZ9" s="16"/>
      <c r="DA9" s="16"/>
      <c r="DB9" s="16"/>
      <c r="DC9" s="16"/>
      <c r="DD9" s="597"/>
      <c r="DE9" s="16"/>
      <c r="DF9" s="16"/>
      <c r="DG9" s="16"/>
      <c r="DH9" s="16"/>
      <c r="DI9" s="597"/>
      <c r="DJ9" s="16"/>
      <c r="DK9" s="16"/>
      <c r="DL9" s="16"/>
      <c r="DM9" s="16"/>
      <c r="DN9" s="597"/>
      <c r="DO9" s="16"/>
      <c r="DP9" s="16"/>
      <c r="DQ9" s="16"/>
      <c r="DR9" s="16"/>
      <c r="DS9" s="597"/>
      <c r="DT9" s="16"/>
      <c r="DU9" s="16"/>
      <c r="DV9" s="16"/>
      <c r="DW9" s="16"/>
      <c r="DX9" s="597"/>
      <c r="DY9" s="16"/>
      <c r="DZ9" s="16"/>
      <c r="EA9" s="16"/>
      <c r="EB9" s="16"/>
      <c r="EC9" s="16"/>
      <c r="ED9" s="16"/>
      <c r="EE9" s="16"/>
      <c r="EF9" s="16"/>
    </row>
    <row r="10" spans="1:136" x14ac:dyDescent="0.2">
      <c r="A10" s="497" t="s">
        <v>183</v>
      </c>
      <c r="B10" s="174"/>
      <c r="C10" s="20"/>
      <c r="D10" s="20"/>
      <c r="E10" s="20"/>
      <c r="F10" s="20"/>
      <c r="G10" s="174"/>
      <c r="H10" s="20"/>
      <c r="I10" s="20"/>
      <c r="J10" s="20"/>
      <c r="K10" s="20"/>
      <c r="L10" s="174"/>
      <c r="M10" s="20"/>
      <c r="N10" s="20"/>
      <c r="O10" s="20"/>
      <c r="P10" s="20"/>
      <c r="Q10" s="174"/>
      <c r="R10" s="20"/>
      <c r="S10" s="177"/>
      <c r="T10" s="20"/>
      <c r="U10" s="20">
        <f t="shared" ref="U10:U21" si="0">V10</f>
        <v>432</v>
      </c>
      <c r="V10" s="174">
        <v>432</v>
      </c>
      <c r="W10" s="20" t="s">
        <v>540</v>
      </c>
      <c r="X10" s="20" t="s">
        <v>540</v>
      </c>
      <c r="Y10" s="20" t="s">
        <v>540</v>
      </c>
      <c r="Z10" s="38">
        <v>259</v>
      </c>
      <c r="AA10" s="40">
        <f>Z10</f>
        <v>259</v>
      </c>
      <c r="AB10" s="38">
        <v>146</v>
      </c>
      <c r="AC10" s="38">
        <v>135</v>
      </c>
      <c r="AD10" s="38">
        <v>142</v>
      </c>
      <c r="AE10" s="38">
        <f>AF10</f>
        <v>170</v>
      </c>
      <c r="AF10" s="40">
        <v>170</v>
      </c>
      <c r="AG10" s="38">
        <v>162</v>
      </c>
      <c r="AH10" s="38">
        <v>183</v>
      </c>
      <c r="AI10" s="38">
        <v>167</v>
      </c>
      <c r="AJ10" s="38">
        <v>166</v>
      </c>
      <c r="AK10" s="40">
        <v>166</v>
      </c>
      <c r="AL10" s="38">
        <v>118</v>
      </c>
      <c r="AM10" s="38">
        <v>124</v>
      </c>
      <c r="AN10" s="38">
        <v>140</v>
      </c>
      <c r="AO10" s="38">
        <v>121.7</v>
      </c>
      <c r="AP10" s="853">
        <f>AO10</f>
        <v>121.7</v>
      </c>
      <c r="AQ10" s="38">
        <v>132.5</v>
      </c>
      <c r="AR10" s="38">
        <v>139.9</v>
      </c>
      <c r="AS10" s="38">
        <v>158.1</v>
      </c>
      <c r="AT10" s="38">
        <v>187.6</v>
      </c>
      <c r="AU10" s="853">
        <f>AT10</f>
        <v>187.6</v>
      </c>
      <c r="AV10" s="1801"/>
      <c r="AW10" s="38">
        <f t="shared" ref="AW10:AX15" si="1">AS10</f>
        <v>158.1</v>
      </c>
      <c r="AX10" s="38">
        <f t="shared" si="1"/>
        <v>187.6</v>
      </c>
      <c r="AY10" s="38">
        <v>247.9</v>
      </c>
      <c r="AZ10" s="38">
        <v>207</v>
      </c>
      <c r="BA10" s="40">
        <f>AZ10</f>
        <v>207</v>
      </c>
      <c r="BB10" s="38">
        <v>267.10000000000002</v>
      </c>
      <c r="BC10" s="38">
        <f>282.2+394.2</f>
        <v>676.4</v>
      </c>
      <c r="BD10" s="38">
        <f>468.5+394.1</f>
        <v>862.6</v>
      </c>
      <c r="BE10" s="38">
        <v>459</v>
      </c>
      <c r="BF10" s="853">
        <f>BE10</f>
        <v>459</v>
      </c>
      <c r="BG10" s="38">
        <v>429.8</v>
      </c>
      <c r="BH10" s="38">
        <v>377.7</v>
      </c>
      <c r="BI10" s="38">
        <v>482.8</v>
      </c>
      <c r="BJ10" s="38">
        <v>546.70000000000005</v>
      </c>
      <c r="BK10" s="853">
        <f>BJ10</f>
        <v>546.70000000000005</v>
      </c>
      <c r="BL10" s="38">
        <v>598.79999999999995</v>
      </c>
      <c r="BM10" s="38">
        <v>654.1</v>
      </c>
      <c r="BN10" s="38">
        <v>764.3</v>
      </c>
      <c r="BO10" s="38">
        <v>786.9</v>
      </c>
      <c r="BP10" s="853">
        <f>BO10</f>
        <v>786.9</v>
      </c>
      <c r="BQ10" s="38">
        <v>863.1</v>
      </c>
      <c r="BR10" s="38">
        <v>904.7</v>
      </c>
      <c r="BS10" s="38">
        <v>1013.7</v>
      </c>
      <c r="BT10" s="38">
        <v>1803.2</v>
      </c>
      <c r="BU10" s="853">
        <f>BT10</f>
        <v>1803.2</v>
      </c>
      <c r="BV10" s="38">
        <v>1021.9</v>
      </c>
      <c r="BW10" s="1348">
        <v>688.9</v>
      </c>
      <c r="BX10" s="38">
        <v>975.5</v>
      </c>
      <c r="BY10" s="38">
        <v>757.8</v>
      </c>
      <c r="BZ10" s="853">
        <f>BY10</f>
        <v>757.8</v>
      </c>
      <c r="CA10" s="38">
        <v>825.9</v>
      </c>
      <c r="CB10" s="38">
        <v>998.1</v>
      </c>
      <c r="CC10" s="38">
        <v>1274.4000000000001</v>
      </c>
      <c r="CD10" s="38">
        <v>1460.4</v>
      </c>
      <c r="CE10" s="853">
        <f>CD10</f>
        <v>1460.4</v>
      </c>
      <c r="CF10" s="38">
        <v>923.9</v>
      </c>
      <c r="CG10" s="38">
        <v>3435.5</v>
      </c>
      <c r="CH10" s="38">
        <v>3607.1</v>
      </c>
      <c r="CI10" s="38">
        <v>1073.4000000000001</v>
      </c>
      <c r="CJ10" s="853">
        <f>CI10</f>
        <v>1073.4000000000001</v>
      </c>
      <c r="CK10" s="38">
        <v>852.4</v>
      </c>
      <c r="CL10" s="1070">
        <f>CK10+'CF '!CL74</f>
        <v>935.38424829506721</v>
      </c>
      <c r="CM10" s="1070">
        <f>CL10+'CF '!CM74</f>
        <v>1027.71809665518</v>
      </c>
      <c r="CN10" s="1070">
        <f>CM10+'CF '!CN74</f>
        <v>1545.2036277047257</v>
      </c>
      <c r="CO10" s="1091">
        <f>CN10</f>
        <v>1545.2036277047257</v>
      </c>
      <c r="CP10" s="1070">
        <f>CO10+'CF '!CP74</f>
        <v>1327.7932213713621</v>
      </c>
      <c r="CQ10" s="1070">
        <f>CP10+'CF '!CQ74</f>
        <v>1343.7520719715656</v>
      </c>
      <c r="CR10" s="1070">
        <f>CQ10+'CF '!CR74</f>
        <v>1471.0482325030589</v>
      </c>
      <c r="CS10" s="1070">
        <f>CR10+'CF '!CS74</f>
        <v>2046.8802340869402</v>
      </c>
      <c r="CT10" s="1091">
        <f>CS10</f>
        <v>2046.8802340869402</v>
      </c>
      <c r="CU10" s="1070">
        <f>CT10+'CF '!CU74</f>
        <v>1821.5713381088854</v>
      </c>
      <c r="CV10" s="1070">
        <f>CU10+'CF '!CV74</f>
        <v>1862.2164360808745</v>
      </c>
      <c r="CW10" s="1070">
        <f>CV10+'CF '!CW74</f>
        <v>2024.3112114208122</v>
      </c>
      <c r="CX10" s="1070">
        <f>CW10+'CF '!CX74</f>
        <v>2663.2723976584775</v>
      </c>
      <c r="CY10" s="1091">
        <f>CX10</f>
        <v>2663.2723976584775</v>
      </c>
      <c r="CZ10" s="1070">
        <f>CY10+'CF '!CZ74</f>
        <v>2452.2149585647617</v>
      </c>
      <c r="DA10" s="1070">
        <f>CZ10+'CF '!DA74</f>
        <v>2511.6738981101403</v>
      </c>
      <c r="DB10" s="1070">
        <f>DA10+'CF '!DB74</f>
        <v>2708.6185114464729</v>
      </c>
      <c r="DC10" s="1070">
        <f>DB10+'CF '!DC74</f>
        <v>2778.667863069224</v>
      </c>
      <c r="DD10" s="1091">
        <f>DC10</f>
        <v>2778.667863069224</v>
      </c>
      <c r="DE10" s="1070">
        <f>DD10+'CF '!DE74</f>
        <v>2583.4557657617265</v>
      </c>
      <c r="DF10" s="1070">
        <f>DE10+'CF '!DF74</f>
        <v>2678.0120563957416</v>
      </c>
      <c r="DG10" s="1070">
        <f>DF10+'CF '!DG74</f>
        <v>2919.2130399990237</v>
      </c>
      <c r="DH10" s="1070">
        <f>DG10+'CF '!DH74</f>
        <v>3709.003451105159</v>
      </c>
      <c r="DI10" s="1091">
        <f>DH10</f>
        <v>3709.003451105159</v>
      </c>
      <c r="DJ10" s="1070">
        <f>DI10+'CF '!DJ74</f>
        <v>3504.8986228915442</v>
      </c>
      <c r="DK10" s="1070">
        <f>DJ10+'CF '!DK74</f>
        <v>3628.1014805667623</v>
      </c>
      <c r="DL10" s="1070">
        <f>DK10+'CF '!DL74</f>
        <v>3908.005116647003</v>
      </c>
      <c r="DM10" s="1070">
        <f>DL10+'CF '!DM74</f>
        <v>4770.0973409518883</v>
      </c>
      <c r="DN10" s="1091">
        <f>DM10</f>
        <v>4770.0973409518883</v>
      </c>
      <c r="DO10" s="1070">
        <f>DN10+'CF '!DO74</f>
        <v>4546.2661560677534</v>
      </c>
      <c r="DP10" s="1070">
        <f>DO10+'CF '!DP74</f>
        <v>4656.1053747558653</v>
      </c>
      <c r="DQ10" s="1070">
        <f>DP10+'CF '!DQ74</f>
        <v>4944.065755233747</v>
      </c>
      <c r="DR10" s="1070">
        <f>DQ10+'CF '!DR74</f>
        <v>5862.2197670922296</v>
      </c>
      <c r="DS10" s="1091">
        <f>DR10</f>
        <v>5862.2197670922296</v>
      </c>
      <c r="DT10" s="1070">
        <f>DS10+'CF '!DT74</f>
        <v>5638.0622162631307</v>
      </c>
      <c r="DU10" s="1070">
        <f>DT10+'CF '!DU74</f>
        <v>5770.3699817933812</v>
      </c>
      <c r="DV10" s="1070">
        <f>DU10+'CF '!DV74</f>
        <v>6078.0303062797366</v>
      </c>
      <c r="DW10" s="1070">
        <f>DV10+'CF '!DW74</f>
        <v>7054.9707667042403</v>
      </c>
      <c r="DX10" s="1091">
        <f>DW10</f>
        <v>7054.9707667042403</v>
      </c>
      <c r="DY10" s="16"/>
      <c r="DZ10" s="16"/>
      <c r="EA10" s="16"/>
      <c r="EB10" s="16"/>
      <c r="EC10" s="16"/>
      <c r="ED10" s="16"/>
      <c r="EE10" s="16"/>
      <c r="EF10" s="16"/>
    </row>
    <row r="11" spans="1:136" x14ac:dyDescent="0.2">
      <c r="A11" s="497" t="s">
        <v>617</v>
      </c>
      <c r="B11" s="174"/>
      <c r="C11" s="20"/>
      <c r="D11" s="20"/>
      <c r="E11" s="20"/>
      <c r="F11" s="20"/>
      <c r="G11" s="174"/>
      <c r="H11" s="20"/>
      <c r="I11" s="20"/>
      <c r="J11" s="20"/>
      <c r="K11" s="20"/>
      <c r="L11" s="174"/>
      <c r="M11" s="20"/>
      <c r="N11" s="20"/>
      <c r="O11" s="20"/>
      <c r="P11" s="20"/>
      <c r="Q11" s="174"/>
      <c r="R11" s="20"/>
      <c r="S11" s="177"/>
      <c r="T11" s="20"/>
      <c r="U11" s="20">
        <f t="shared" si="0"/>
        <v>0</v>
      </c>
      <c r="V11" s="174"/>
      <c r="W11" s="20" t="s">
        <v>540</v>
      </c>
      <c r="X11" s="20" t="s">
        <v>540</v>
      </c>
      <c r="Y11" s="20" t="s">
        <v>540</v>
      </c>
      <c r="Z11" s="38">
        <v>0</v>
      </c>
      <c r="AA11" s="40">
        <v>0</v>
      </c>
      <c r="AB11" s="38">
        <v>11</v>
      </c>
      <c r="AC11" s="38">
        <v>0</v>
      </c>
      <c r="AD11" s="38">
        <v>0</v>
      </c>
      <c r="AE11" s="39">
        <f>AF11</f>
        <v>0</v>
      </c>
      <c r="AF11" s="40">
        <v>0</v>
      </c>
      <c r="AG11" s="38"/>
      <c r="AH11" s="38"/>
      <c r="AI11" s="38"/>
      <c r="AJ11" s="38"/>
      <c r="AK11" s="40"/>
      <c r="AL11" s="38"/>
      <c r="AM11" s="38"/>
      <c r="AN11" s="38"/>
      <c r="AO11" s="38"/>
      <c r="AP11" s="853"/>
      <c r="AQ11" s="38"/>
      <c r="AR11" s="38"/>
      <c r="AS11" s="38"/>
      <c r="AT11" s="38"/>
      <c r="AU11" s="853"/>
      <c r="AV11" s="1801"/>
      <c r="AW11" s="38">
        <f t="shared" si="1"/>
        <v>0</v>
      </c>
      <c r="AX11" s="38">
        <f t="shared" si="1"/>
        <v>0</v>
      </c>
      <c r="AY11" s="38"/>
      <c r="AZ11" s="38"/>
      <c r="BA11" s="40"/>
      <c r="BB11" s="38"/>
      <c r="BC11" s="38"/>
      <c r="BD11" s="38"/>
      <c r="BE11" s="38"/>
      <c r="BF11" s="853"/>
      <c r="BG11" s="38"/>
      <c r="BH11" s="38"/>
      <c r="BI11" s="38"/>
      <c r="BJ11" s="38"/>
      <c r="BK11" s="853"/>
      <c r="BL11" s="38"/>
      <c r="BM11" s="38"/>
      <c r="BN11" s="38"/>
      <c r="BO11" s="38"/>
      <c r="BP11" s="853"/>
      <c r="BQ11" s="38"/>
      <c r="BR11" s="38"/>
      <c r="BS11" s="38"/>
      <c r="BT11" s="38">
        <v>84.5</v>
      </c>
      <c r="BU11" s="853">
        <f t="shared" ref="BU11" si="2">BT11</f>
        <v>84.5</v>
      </c>
      <c r="BV11" s="38">
        <v>0</v>
      </c>
      <c r="BW11" s="1348">
        <f t="shared" ref="BW11:DS11" si="3">BV11</f>
        <v>0</v>
      </c>
      <c r="BX11" s="38">
        <f t="shared" si="3"/>
        <v>0</v>
      </c>
      <c r="BY11" s="38">
        <f t="shared" si="3"/>
        <v>0</v>
      </c>
      <c r="BZ11" s="853">
        <f t="shared" si="3"/>
        <v>0</v>
      </c>
      <c r="CA11" s="38">
        <v>0</v>
      </c>
      <c r="CB11" s="38">
        <v>0</v>
      </c>
      <c r="CC11" s="38">
        <f t="shared" si="3"/>
        <v>0</v>
      </c>
      <c r="CD11" s="38">
        <f t="shared" si="3"/>
        <v>0</v>
      </c>
      <c r="CE11" s="853">
        <f t="shared" si="3"/>
        <v>0</v>
      </c>
      <c r="CF11" s="38">
        <f>CE11</f>
        <v>0</v>
      </c>
      <c r="CG11" s="38">
        <f t="shared" si="3"/>
        <v>0</v>
      </c>
      <c r="CH11" s="38">
        <f t="shared" si="3"/>
        <v>0</v>
      </c>
      <c r="CI11" s="38">
        <v>0</v>
      </c>
      <c r="CJ11" s="853">
        <f t="shared" si="3"/>
        <v>0</v>
      </c>
      <c r="CK11" s="38">
        <v>0</v>
      </c>
      <c r="CL11" s="1070">
        <f t="shared" si="3"/>
        <v>0</v>
      </c>
      <c r="CM11" s="1070">
        <f t="shared" si="3"/>
        <v>0</v>
      </c>
      <c r="CN11" s="1070">
        <f t="shared" si="3"/>
        <v>0</v>
      </c>
      <c r="CO11" s="1091">
        <f t="shared" si="3"/>
        <v>0</v>
      </c>
      <c r="CP11" s="1070">
        <f>CO11</f>
        <v>0</v>
      </c>
      <c r="CQ11" s="1070">
        <f t="shared" si="3"/>
        <v>0</v>
      </c>
      <c r="CR11" s="1070">
        <f t="shared" si="3"/>
        <v>0</v>
      </c>
      <c r="CS11" s="1070">
        <f t="shared" si="3"/>
        <v>0</v>
      </c>
      <c r="CT11" s="1091">
        <f t="shared" si="3"/>
        <v>0</v>
      </c>
      <c r="CU11" s="1070">
        <f>CT11</f>
        <v>0</v>
      </c>
      <c r="CV11" s="1070">
        <f t="shared" si="3"/>
        <v>0</v>
      </c>
      <c r="CW11" s="1070">
        <f t="shared" si="3"/>
        <v>0</v>
      </c>
      <c r="CX11" s="1070">
        <f t="shared" si="3"/>
        <v>0</v>
      </c>
      <c r="CY11" s="1091">
        <f t="shared" si="3"/>
        <v>0</v>
      </c>
      <c r="CZ11" s="1070">
        <f>CY11</f>
        <v>0</v>
      </c>
      <c r="DA11" s="1070">
        <f t="shared" si="3"/>
        <v>0</v>
      </c>
      <c r="DB11" s="1070">
        <f t="shared" si="3"/>
        <v>0</v>
      </c>
      <c r="DC11" s="1070">
        <f t="shared" si="3"/>
        <v>0</v>
      </c>
      <c r="DD11" s="1091">
        <f t="shared" si="3"/>
        <v>0</v>
      </c>
      <c r="DE11" s="1070">
        <f>DD11</f>
        <v>0</v>
      </c>
      <c r="DF11" s="1070">
        <f t="shared" si="3"/>
        <v>0</v>
      </c>
      <c r="DG11" s="1070">
        <f t="shared" si="3"/>
        <v>0</v>
      </c>
      <c r="DH11" s="1070">
        <f t="shared" si="3"/>
        <v>0</v>
      </c>
      <c r="DI11" s="1091">
        <f t="shared" si="3"/>
        <v>0</v>
      </c>
      <c r="DJ11" s="1070">
        <f>DI11</f>
        <v>0</v>
      </c>
      <c r="DK11" s="1070">
        <f t="shared" si="3"/>
        <v>0</v>
      </c>
      <c r="DL11" s="1070">
        <f t="shared" si="3"/>
        <v>0</v>
      </c>
      <c r="DM11" s="1070">
        <f t="shared" si="3"/>
        <v>0</v>
      </c>
      <c r="DN11" s="1091">
        <f t="shared" si="3"/>
        <v>0</v>
      </c>
      <c r="DO11" s="1070">
        <f>DN11</f>
        <v>0</v>
      </c>
      <c r="DP11" s="1070">
        <f t="shared" si="3"/>
        <v>0</v>
      </c>
      <c r="DQ11" s="1070">
        <f t="shared" si="3"/>
        <v>0</v>
      </c>
      <c r="DR11" s="1070">
        <f t="shared" si="3"/>
        <v>0</v>
      </c>
      <c r="DS11" s="1091">
        <f t="shared" si="3"/>
        <v>0</v>
      </c>
      <c r="DT11" s="1070">
        <f>DS11</f>
        <v>0</v>
      </c>
      <c r="DU11" s="1070">
        <f t="shared" ref="DU11" si="4">DT11</f>
        <v>0</v>
      </c>
      <c r="DV11" s="1070">
        <f t="shared" ref="DV11" si="5">DU11</f>
        <v>0</v>
      </c>
      <c r="DW11" s="1070">
        <f t="shared" ref="DW11" si="6">DV11</f>
        <v>0</v>
      </c>
      <c r="DX11" s="1091">
        <f t="shared" ref="DX11:DX21" si="7">DW11</f>
        <v>0</v>
      </c>
      <c r="DY11" s="16"/>
      <c r="DZ11" s="16"/>
      <c r="EA11" s="78"/>
      <c r="EB11" s="16"/>
      <c r="EC11" s="16"/>
      <c r="ED11" s="16"/>
      <c r="EE11" s="16"/>
      <c r="EF11" s="16"/>
    </row>
    <row r="12" spans="1:136" x14ac:dyDescent="0.2">
      <c r="A12" s="497" t="s">
        <v>261</v>
      </c>
      <c r="B12" s="174"/>
      <c r="C12" s="20"/>
      <c r="D12" s="20"/>
      <c r="E12" s="20"/>
      <c r="F12" s="20"/>
      <c r="G12" s="174"/>
      <c r="H12" s="20"/>
      <c r="I12" s="20"/>
      <c r="J12" s="20"/>
      <c r="K12" s="20"/>
      <c r="L12" s="174"/>
      <c r="M12" s="36"/>
      <c r="N12" s="20"/>
      <c r="O12" s="20"/>
      <c r="P12" s="20"/>
      <c r="Q12" s="174"/>
      <c r="R12" s="36"/>
      <c r="S12" s="180"/>
      <c r="T12" s="20"/>
      <c r="U12" s="20">
        <f t="shared" si="0"/>
        <v>110</v>
      </c>
      <c r="V12" s="174">
        <v>110</v>
      </c>
      <c r="W12" s="20" t="s">
        <v>540</v>
      </c>
      <c r="X12" s="20" t="s">
        <v>540</v>
      </c>
      <c r="Y12" s="20" t="s">
        <v>540</v>
      </c>
      <c r="Z12" s="38">
        <v>109</v>
      </c>
      <c r="AA12" s="40">
        <f t="shared" ref="AA12:AA21" si="8">Z12</f>
        <v>109</v>
      </c>
      <c r="AB12" s="38">
        <v>115</v>
      </c>
      <c r="AC12" s="38">
        <v>117</v>
      </c>
      <c r="AD12" s="38">
        <v>112</v>
      </c>
      <c r="AE12" s="38">
        <f>AF12</f>
        <v>125</v>
      </c>
      <c r="AF12" s="40">
        <v>125</v>
      </c>
      <c r="AG12" s="38">
        <v>122</v>
      </c>
      <c r="AH12" s="38">
        <v>137</v>
      </c>
      <c r="AI12" s="38">
        <v>128</v>
      </c>
      <c r="AJ12" s="38">
        <v>139</v>
      </c>
      <c r="AK12" s="40">
        <v>139</v>
      </c>
      <c r="AL12" s="38">
        <v>125</v>
      </c>
      <c r="AM12" s="38">
        <v>135</v>
      </c>
      <c r="AN12" s="38">
        <v>122</v>
      </c>
      <c r="AO12" s="38">
        <v>130</v>
      </c>
      <c r="AP12" s="853">
        <f>AO12</f>
        <v>130</v>
      </c>
      <c r="AQ12" s="38">
        <v>127.1</v>
      </c>
      <c r="AR12" s="38">
        <v>132.80000000000001</v>
      </c>
      <c r="AS12" s="38">
        <v>139.30000000000001</v>
      </c>
      <c r="AT12" s="38">
        <v>142.9</v>
      </c>
      <c r="AU12" s="853">
        <f>AT12</f>
        <v>142.9</v>
      </c>
      <c r="AV12" s="1801"/>
      <c r="AW12" s="38">
        <f t="shared" si="1"/>
        <v>139.30000000000001</v>
      </c>
      <c r="AX12" s="38">
        <f t="shared" si="1"/>
        <v>142.9</v>
      </c>
      <c r="AY12" s="38">
        <v>142</v>
      </c>
      <c r="AZ12" s="38">
        <v>153.5</v>
      </c>
      <c r="BA12" s="40">
        <f t="shared" ref="BA12:BA22" si="9">AZ12</f>
        <v>153.5</v>
      </c>
      <c r="BB12" s="38">
        <v>139.1</v>
      </c>
      <c r="BC12" s="38">
        <v>144.5</v>
      </c>
      <c r="BD12" s="38">
        <v>139.6</v>
      </c>
      <c r="BE12" s="38">
        <v>152.80000000000001</v>
      </c>
      <c r="BF12" s="853">
        <f>BE12</f>
        <v>152.80000000000001</v>
      </c>
      <c r="BG12" s="38">
        <v>149.30000000000001</v>
      </c>
      <c r="BH12" s="38">
        <v>150.5</v>
      </c>
      <c r="BI12" s="38">
        <v>156.5</v>
      </c>
      <c r="BJ12" s="38">
        <v>179</v>
      </c>
      <c r="BK12" s="853">
        <f t="shared" ref="BK12:BK21" si="10">BJ12</f>
        <v>179</v>
      </c>
      <c r="BL12" s="38">
        <v>173.4</v>
      </c>
      <c r="BM12" s="38">
        <v>171.7</v>
      </c>
      <c r="BN12" s="38">
        <v>164.6</v>
      </c>
      <c r="BO12" s="38">
        <v>179.7</v>
      </c>
      <c r="BP12" s="853">
        <f>BO12</f>
        <v>179.7</v>
      </c>
      <c r="BQ12" s="38">
        <v>168.5</v>
      </c>
      <c r="BR12" s="38">
        <v>170.4</v>
      </c>
      <c r="BS12" s="38">
        <v>167.6</v>
      </c>
      <c r="BT12" s="38">
        <v>439.9</v>
      </c>
      <c r="BU12" s="853">
        <f>BT12</f>
        <v>439.9</v>
      </c>
      <c r="BV12" s="38">
        <v>361.5</v>
      </c>
      <c r="BW12" s="1348">
        <v>360.2</v>
      </c>
      <c r="BX12" s="38">
        <v>371.5</v>
      </c>
      <c r="BY12" s="38">
        <v>422</v>
      </c>
      <c r="BZ12" s="853">
        <f t="shared" ref="BZ12:BZ21" si="11">BY12</f>
        <v>422</v>
      </c>
      <c r="CA12" s="38">
        <v>366.4</v>
      </c>
      <c r="CB12" s="38">
        <v>380.2</v>
      </c>
      <c r="CC12" s="38">
        <v>374.3</v>
      </c>
      <c r="CD12" s="38">
        <v>403.5</v>
      </c>
      <c r="CE12" s="853">
        <f t="shared" ref="CE12:CE21" si="12">CD12</f>
        <v>403.5</v>
      </c>
      <c r="CF12" s="38">
        <v>362</v>
      </c>
      <c r="CG12" s="38">
        <v>388.8</v>
      </c>
      <c r="CH12" s="38">
        <v>421.9</v>
      </c>
      <c r="CI12" s="38">
        <v>455.9</v>
      </c>
      <c r="CJ12" s="853">
        <f t="shared" ref="CJ12:CJ21" si="13">CI12</f>
        <v>455.9</v>
      </c>
      <c r="CK12" s="38">
        <v>467.6</v>
      </c>
      <c r="CL12" s="1070">
        <f>CL209*CL215/365</f>
        <v>455.93123726501091</v>
      </c>
      <c r="CM12" s="1070">
        <f>CM209*CM215/365</f>
        <v>500.95598369151872</v>
      </c>
      <c r="CN12" s="1070">
        <f>CN209*CN215/365</f>
        <v>549.31412378330663</v>
      </c>
      <c r="CO12" s="1091">
        <f t="shared" ref="CO12:CO21" si="14">CN12</f>
        <v>549.31412378330663</v>
      </c>
      <c r="CP12" s="1070">
        <f>CP209*CP215/365</f>
        <v>478.57638484095986</v>
      </c>
      <c r="CQ12" s="1070">
        <f>CQ209*CQ215/365</f>
        <v>510.84749569020045</v>
      </c>
      <c r="CR12" s="1070">
        <f>CR209*CR215/365</f>
        <v>546.44416775179286</v>
      </c>
      <c r="CS12" s="1070">
        <f>CS209*CS215/365</f>
        <v>584.42952066525925</v>
      </c>
      <c r="CT12" s="1091">
        <f t="shared" ref="CT12:CT21" si="15">CS12</f>
        <v>584.42952066525925</v>
      </c>
      <c r="CU12" s="1070">
        <f>CU209*CU215/365</f>
        <v>511.18313455912789</v>
      </c>
      <c r="CV12" s="1070">
        <f>CV209*CV215/365</f>
        <v>545.97281552589993</v>
      </c>
      <c r="CW12" s="1070">
        <f>CW209*CW215/365</f>
        <v>584.55800628762699</v>
      </c>
      <c r="CX12" s="1070">
        <f>CX209*CX215/365</f>
        <v>625.52614271925722</v>
      </c>
      <c r="CY12" s="1091">
        <f t="shared" ref="CY12:CY21" si="16">CX12</f>
        <v>625.52614271925722</v>
      </c>
      <c r="CZ12" s="1070">
        <f>CZ209*CZ215/365</f>
        <v>547.18779950410431</v>
      </c>
      <c r="DA12" s="1070">
        <f>DA209*DA215/365</f>
        <v>583.89454490693356</v>
      </c>
      <c r="DB12" s="1070">
        <f>DB209*DB215/365</f>
        <v>627.10378659988623</v>
      </c>
      <c r="DC12" s="1070">
        <f>DC209*DC215/365</f>
        <v>672.86402205105617</v>
      </c>
      <c r="DD12" s="1091">
        <f t="shared" ref="DD12:DD21" si="17">DC12</f>
        <v>672.86402205105617</v>
      </c>
      <c r="DE12" s="1070">
        <f>DE209*DE215/365</f>
        <v>586.88966150018155</v>
      </c>
      <c r="DF12" s="1070">
        <f>DF209*DF215/365</f>
        <v>626.62129588225093</v>
      </c>
      <c r="DG12" s="1070">
        <f>DG209*DG215/365</f>
        <v>670.85569036321021</v>
      </c>
      <c r="DH12" s="1070">
        <f>DH209*DH215/365</f>
        <v>717.59884559596026</v>
      </c>
      <c r="DI12" s="1091">
        <f t="shared" ref="DI12:DI21" si="18">DH12</f>
        <v>717.59884559596026</v>
      </c>
      <c r="DJ12" s="1070">
        <f>DJ209*DJ215/365</f>
        <v>626.25060468765741</v>
      </c>
      <c r="DK12" s="1070">
        <f>DK209*DK215/365</f>
        <v>668.78871185069215</v>
      </c>
      <c r="DL12" s="1070">
        <f>DL209*DL215/365</f>
        <v>715.94513240558695</v>
      </c>
      <c r="DM12" s="1070">
        <f>DM209*DM215/365</f>
        <v>765.67834454405408</v>
      </c>
      <c r="DN12" s="1091">
        <f t="shared" ref="DN12:DN21" si="19">DM12</f>
        <v>765.67834454405408</v>
      </c>
      <c r="DO12" s="1070">
        <f>DO209*DO215/365</f>
        <v>669.83355792650627</v>
      </c>
      <c r="DP12" s="1070">
        <f>DP209*DP215/365</f>
        <v>715.09241746290468</v>
      </c>
      <c r="DQ12" s="1070">
        <f>DQ209*DQ215/365</f>
        <v>765.24007288672885</v>
      </c>
      <c r="DR12" s="1070">
        <f>DR209*DR215/365</f>
        <v>818.11336945038613</v>
      </c>
      <c r="DS12" s="1091">
        <f t="shared" ref="DS12:DS21" si="20">DR12</f>
        <v>818.11336945038613</v>
      </c>
      <c r="DT12" s="1070">
        <f>DT209*DT215/365</f>
        <v>711.79592854358452</v>
      </c>
      <c r="DU12" s="1070">
        <f>DU209*DU215/365</f>
        <v>759.70165126135134</v>
      </c>
      <c r="DV12" s="1070">
        <f>DV209*DV215/365</f>
        <v>812.77503785801116</v>
      </c>
      <c r="DW12" s="1070">
        <f>DW209*DW215/365</f>
        <v>868.72333524861506</v>
      </c>
      <c r="DX12" s="1091">
        <f t="shared" si="7"/>
        <v>868.72333524861506</v>
      </c>
      <c r="DY12" s="16"/>
      <c r="DZ12" s="16"/>
      <c r="EA12" s="78"/>
      <c r="EB12" s="16"/>
      <c r="EC12" s="16"/>
      <c r="ED12" s="16"/>
      <c r="EE12" s="16"/>
      <c r="EF12" s="16"/>
    </row>
    <row r="13" spans="1:136" x14ac:dyDescent="0.2">
      <c r="A13" s="497" t="s">
        <v>184</v>
      </c>
      <c r="B13" s="174"/>
      <c r="C13" s="20"/>
      <c r="D13" s="20"/>
      <c r="E13" s="20"/>
      <c r="F13" s="20"/>
      <c r="G13" s="174"/>
      <c r="H13" s="20"/>
      <c r="I13" s="20"/>
      <c r="J13" s="20"/>
      <c r="K13" s="20"/>
      <c r="L13" s="174"/>
      <c r="M13" s="36"/>
      <c r="N13" s="20"/>
      <c r="O13" s="20"/>
      <c r="P13" s="20"/>
      <c r="Q13" s="174"/>
      <c r="R13" s="36"/>
      <c r="S13" s="180"/>
      <c r="T13" s="20"/>
      <c r="U13" s="20">
        <f t="shared" si="0"/>
        <v>35</v>
      </c>
      <c r="V13" s="174">
        <v>35</v>
      </c>
      <c r="W13" s="20" t="s">
        <v>540</v>
      </c>
      <c r="X13" s="20" t="s">
        <v>540</v>
      </c>
      <c r="Y13" s="20" t="s">
        <v>540</v>
      </c>
      <c r="Z13" s="38">
        <v>40</v>
      </c>
      <c r="AA13" s="40">
        <f t="shared" si="8"/>
        <v>40</v>
      </c>
      <c r="AB13" s="38">
        <v>49</v>
      </c>
      <c r="AC13" s="38">
        <v>51</v>
      </c>
      <c r="AD13" s="38">
        <v>60</v>
      </c>
      <c r="AE13" s="38">
        <f>AF13</f>
        <v>66</v>
      </c>
      <c r="AF13" s="40">
        <v>66</v>
      </c>
      <c r="AG13" s="38">
        <v>59</v>
      </c>
      <c r="AH13" s="38">
        <v>52</v>
      </c>
      <c r="AI13" s="38">
        <v>53</v>
      </c>
      <c r="AJ13" s="38">
        <v>54</v>
      </c>
      <c r="AK13" s="40">
        <v>54</v>
      </c>
      <c r="AL13" s="38">
        <v>91</v>
      </c>
      <c r="AM13" s="38">
        <v>57</v>
      </c>
      <c r="AN13" s="38">
        <v>48</v>
      </c>
      <c r="AO13" s="38">
        <v>86.4</v>
      </c>
      <c r="AP13" s="853">
        <f t="shared" ref="AP13:AP21" si="21">AO13</f>
        <v>86.4</v>
      </c>
      <c r="AQ13" s="38">
        <v>80.8</v>
      </c>
      <c r="AR13" s="38">
        <v>70.599999999999994</v>
      </c>
      <c r="AS13" s="38">
        <v>75</v>
      </c>
      <c r="AT13" s="38">
        <v>88.4</v>
      </c>
      <c r="AU13" s="853">
        <f t="shared" ref="AU13:AU21" si="22">AT13</f>
        <v>88.4</v>
      </c>
      <c r="AV13" s="1801"/>
      <c r="AW13" s="38">
        <f t="shared" si="1"/>
        <v>75</v>
      </c>
      <c r="AX13" s="38">
        <f t="shared" si="1"/>
        <v>88.4</v>
      </c>
      <c r="AY13" s="38">
        <v>60.7</v>
      </c>
      <c r="AZ13" s="38">
        <v>172.5</v>
      </c>
      <c r="BA13" s="40">
        <f t="shared" si="9"/>
        <v>172.5</v>
      </c>
      <c r="BB13" s="38">
        <v>173.6</v>
      </c>
      <c r="BC13" s="38">
        <v>158.30000000000001</v>
      </c>
      <c r="BD13" s="38">
        <v>71.5</v>
      </c>
      <c r="BE13" s="38">
        <v>69.2</v>
      </c>
      <c r="BF13" s="853">
        <f>BE13</f>
        <v>69.2</v>
      </c>
      <c r="BG13" s="38">
        <v>93.9</v>
      </c>
      <c r="BH13" s="38">
        <v>146.1</v>
      </c>
      <c r="BI13" s="38">
        <v>107.3</v>
      </c>
      <c r="BJ13" s="38">
        <v>91.3</v>
      </c>
      <c r="BK13" s="853">
        <f t="shared" si="10"/>
        <v>91.3</v>
      </c>
      <c r="BL13" s="38">
        <v>115.3</v>
      </c>
      <c r="BM13" s="38">
        <v>100.3</v>
      </c>
      <c r="BN13" s="38">
        <v>99.6</v>
      </c>
      <c r="BO13" s="38">
        <v>69.8</v>
      </c>
      <c r="BP13" s="853">
        <f>BO13</f>
        <v>69.8</v>
      </c>
      <c r="BQ13" s="38">
        <v>95.5</v>
      </c>
      <c r="BR13" s="38">
        <v>82.4</v>
      </c>
      <c r="BS13" s="38">
        <v>101.5</v>
      </c>
      <c r="BT13" s="38">
        <v>194.9</v>
      </c>
      <c r="BU13" s="853">
        <f>BT13</f>
        <v>194.9</v>
      </c>
      <c r="BV13" s="38">
        <v>198.7</v>
      </c>
      <c r="BW13" s="1348">
        <v>196.9</v>
      </c>
      <c r="BX13" s="38">
        <v>154.69999999999999</v>
      </c>
      <c r="BY13" s="38">
        <v>132.19999999999999</v>
      </c>
      <c r="BZ13" s="853">
        <f t="shared" si="11"/>
        <v>132.19999999999999</v>
      </c>
      <c r="CA13" s="38">
        <v>229.8</v>
      </c>
      <c r="CB13" s="38">
        <v>217.5</v>
      </c>
      <c r="CC13" s="38">
        <v>170.8</v>
      </c>
      <c r="CD13" s="38">
        <f>103.6+71.8</f>
        <v>175.39999999999998</v>
      </c>
      <c r="CE13" s="853">
        <f t="shared" si="12"/>
        <v>175.39999999999998</v>
      </c>
      <c r="CF13" s="38">
        <v>83.3</v>
      </c>
      <c r="CG13" s="38">
        <v>89.5</v>
      </c>
      <c r="CH13" s="38">
        <v>91.9</v>
      </c>
      <c r="CI13" s="38">
        <f>59+78</f>
        <v>137</v>
      </c>
      <c r="CJ13" s="853">
        <f t="shared" si="13"/>
        <v>137</v>
      </c>
      <c r="CK13" s="38">
        <f>87.8+74.6</f>
        <v>162.39999999999998</v>
      </c>
      <c r="CL13" s="1070">
        <f>CL209*CL216/365</f>
        <v>104.95330693214629</v>
      </c>
      <c r="CM13" s="1070">
        <f>CM209*CM216/365</f>
        <v>109.12030078514002</v>
      </c>
      <c r="CN13" s="1070">
        <f>CN209*CN216/365</f>
        <v>165.07136424284494</v>
      </c>
      <c r="CO13" s="1091">
        <f t="shared" si="14"/>
        <v>165.07136424284494</v>
      </c>
      <c r="CP13" s="1070">
        <f>CP209*CP216/365</f>
        <v>110.12544988191149</v>
      </c>
      <c r="CQ13" s="1070">
        <f>CQ209*CQ216/365</f>
        <v>117.5947810295086</v>
      </c>
      <c r="CR13" s="1070">
        <f>CR209*CR216/365</f>
        <v>119.02872485515469</v>
      </c>
      <c r="CS13" s="1070">
        <f>CS209*CS216/365</f>
        <v>175.62369890576997</v>
      </c>
      <c r="CT13" s="1091">
        <f t="shared" si="15"/>
        <v>175.62369890576997</v>
      </c>
      <c r="CU13" s="1070">
        <f>CU209*CU216/365</f>
        <v>117.62860527286009</v>
      </c>
      <c r="CV13" s="1070">
        <f>CV209*CV216/365</f>
        <v>125.68047065218119</v>
      </c>
      <c r="CW13" s="1070">
        <f>CW209*CW216/365</f>
        <v>127.33083853480188</v>
      </c>
      <c r="CX13" s="1070">
        <f>CX209*CX216/365</f>
        <v>187.97341862807249</v>
      </c>
      <c r="CY13" s="1091">
        <f t="shared" si="16"/>
        <v>187.97341862807249</v>
      </c>
      <c r="CZ13" s="1070">
        <f>CZ209*CZ216/365</f>
        <v>125.91365662622069</v>
      </c>
      <c r="DA13" s="1070">
        <f>DA209*DA216/365</f>
        <v>134.40988109354566</v>
      </c>
      <c r="DB13" s="1070">
        <f>DB209*DB216/365</f>
        <v>136.59833607141394</v>
      </c>
      <c r="DC13" s="1070">
        <f>DC209*DC216/365</f>
        <v>202.19866422679249</v>
      </c>
      <c r="DD13" s="1091">
        <f t="shared" si="17"/>
        <v>202.19866422679249</v>
      </c>
      <c r="DE13" s="1070">
        <f>DE209*DE216/365</f>
        <v>135.04947183139538</v>
      </c>
      <c r="DF13" s="1070">
        <f>DF209*DF216/365</f>
        <v>144.24538575478769</v>
      </c>
      <c r="DG13" s="1070">
        <f>DG209*DG216/365</f>
        <v>146.12855639814887</v>
      </c>
      <c r="DH13" s="1070">
        <f>DH209*DH216/365</f>
        <v>215.64167985664963</v>
      </c>
      <c r="DI13" s="1091">
        <f t="shared" si="18"/>
        <v>215.64167985664963</v>
      </c>
      <c r="DJ13" s="1070">
        <f>DJ209*DJ216/365</f>
        <v>144.10683804000516</v>
      </c>
      <c r="DK13" s="1070">
        <f>DK209*DK216/365</f>
        <v>153.95213402941602</v>
      </c>
      <c r="DL13" s="1070">
        <f>DL209*DL216/365</f>
        <v>155.95012483544309</v>
      </c>
      <c r="DM13" s="1070">
        <f>DM209*DM216/365</f>
        <v>230.08978548483316</v>
      </c>
      <c r="DN13" s="1091">
        <f t="shared" si="19"/>
        <v>230.08978548483316</v>
      </c>
      <c r="DO13" s="1070">
        <f>DO209*DO216/365</f>
        <v>154.13573308087837</v>
      </c>
      <c r="DP13" s="1070">
        <f>DP209*DP216/365</f>
        <v>164.6110374560956</v>
      </c>
      <c r="DQ13" s="1070">
        <f>DQ209*DQ216/365</f>
        <v>166.68775230692199</v>
      </c>
      <c r="DR13" s="1070">
        <f>DR209*DR216/365</f>
        <v>245.84674624852582</v>
      </c>
      <c r="DS13" s="1091">
        <f t="shared" si="20"/>
        <v>245.84674624852582</v>
      </c>
      <c r="DT13" s="1070">
        <f>DT209*DT216/365</f>
        <v>163.79171504884138</v>
      </c>
      <c r="DU13" s="1070">
        <f>DU209*DU216/365</f>
        <v>174.87988114169482</v>
      </c>
      <c r="DV13" s="1070">
        <f>DV209*DV216/365</f>
        <v>177.04201464600905</v>
      </c>
      <c r="DW13" s="1070">
        <f>DW209*DW216/365</f>
        <v>261.05526854367247</v>
      </c>
      <c r="DX13" s="1091">
        <f t="shared" si="7"/>
        <v>261.05526854367247</v>
      </c>
      <c r="DY13" s="162"/>
      <c r="DZ13" s="162"/>
      <c r="EA13" s="78"/>
      <c r="EB13" s="162"/>
      <c r="EC13" s="162"/>
      <c r="ED13" s="16"/>
      <c r="EE13" s="162"/>
      <c r="EF13" s="162"/>
    </row>
    <row r="14" spans="1:136" x14ac:dyDescent="0.2">
      <c r="A14" s="497" t="s">
        <v>618</v>
      </c>
      <c r="B14" s="174"/>
      <c r="C14" s="20"/>
      <c r="D14" s="20"/>
      <c r="E14" s="20"/>
      <c r="F14" s="20"/>
      <c r="G14" s="174"/>
      <c r="H14" s="20"/>
      <c r="I14" s="20"/>
      <c r="J14" s="20"/>
      <c r="K14" s="20"/>
      <c r="L14" s="174"/>
      <c r="M14" s="36"/>
      <c r="N14" s="20"/>
      <c r="O14" s="20"/>
      <c r="P14" s="20"/>
      <c r="Q14" s="174"/>
      <c r="R14" s="36"/>
      <c r="S14" s="180"/>
      <c r="T14" s="20"/>
      <c r="U14" s="20"/>
      <c r="V14" s="174"/>
      <c r="W14" s="20"/>
      <c r="X14" s="20"/>
      <c r="Y14" s="20"/>
      <c r="Z14" s="38"/>
      <c r="AA14" s="40"/>
      <c r="AB14" s="38"/>
      <c r="AC14" s="38"/>
      <c r="AD14" s="38"/>
      <c r="AE14" s="38"/>
      <c r="AF14" s="40"/>
      <c r="AG14" s="38"/>
      <c r="AH14" s="38"/>
      <c r="AI14" s="38"/>
      <c r="AJ14" s="38"/>
      <c r="AK14" s="40"/>
      <c r="AL14" s="38"/>
      <c r="AM14" s="38"/>
      <c r="AN14" s="38"/>
      <c r="AO14" s="38"/>
      <c r="AP14" s="853"/>
      <c r="AQ14" s="38"/>
      <c r="AR14" s="38"/>
      <c r="AS14" s="38"/>
      <c r="AT14" s="38"/>
      <c r="AU14" s="853"/>
      <c r="AV14" s="1801"/>
      <c r="AW14" s="38"/>
      <c r="AX14" s="38"/>
      <c r="AY14" s="38"/>
      <c r="AZ14" s="38"/>
      <c r="BA14" s="40"/>
      <c r="BB14" s="38"/>
      <c r="BC14" s="38"/>
      <c r="BD14" s="38"/>
      <c r="BE14" s="38"/>
      <c r="BF14" s="853"/>
      <c r="BG14" s="38"/>
      <c r="BH14" s="38"/>
      <c r="BI14" s="38"/>
      <c r="BJ14" s="38"/>
      <c r="BK14" s="853"/>
      <c r="BL14" s="38"/>
      <c r="BM14" s="38"/>
      <c r="BN14" s="38"/>
      <c r="BO14" s="38"/>
      <c r="BP14" s="853"/>
      <c r="BQ14" s="38"/>
      <c r="BR14" s="38"/>
      <c r="BS14" s="38"/>
      <c r="BT14" s="38">
        <v>53</v>
      </c>
      <c r="BU14" s="853">
        <f t="shared" ref="BU14" si="23">BT14</f>
        <v>53</v>
      </c>
      <c r="BV14" s="38">
        <v>44.4</v>
      </c>
      <c r="BW14" s="1348">
        <v>54</v>
      </c>
      <c r="BX14" s="38">
        <v>58.6</v>
      </c>
      <c r="BY14" s="38">
        <v>57.5</v>
      </c>
      <c r="BZ14" s="853">
        <f t="shared" si="11"/>
        <v>57.5</v>
      </c>
      <c r="CA14" s="38">
        <v>50.9</v>
      </c>
      <c r="CB14" s="38">
        <v>44.7</v>
      </c>
      <c r="CC14" s="38">
        <v>57.7</v>
      </c>
      <c r="CD14" s="38">
        <v>57.7</v>
      </c>
      <c r="CE14" s="853">
        <f t="shared" si="12"/>
        <v>57.7</v>
      </c>
      <c r="CF14" s="38">
        <v>85.7</v>
      </c>
      <c r="CG14" s="38">
        <v>92.8</v>
      </c>
      <c r="CH14" s="1676">
        <v>0</v>
      </c>
      <c r="CI14" s="1447">
        <f>83.3</f>
        <v>83.3</v>
      </c>
      <c r="CJ14" s="853">
        <f t="shared" si="13"/>
        <v>83.3</v>
      </c>
      <c r="CK14" s="38">
        <v>0</v>
      </c>
      <c r="CL14" s="1070">
        <f t="shared" ref="CL14:CN14" si="24">CK14</f>
        <v>0</v>
      </c>
      <c r="CM14" s="1070">
        <f t="shared" si="24"/>
        <v>0</v>
      </c>
      <c r="CN14" s="1070">
        <f t="shared" si="24"/>
        <v>0</v>
      </c>
      <c r="CO14" s="1091">
        <f t="shared" si="14"/>
        <v>0</v>
      </c>
      <c r="CP14" s="1070">
        <f>CO14</f>
        <v>0</v>
      </c>
      <c r="CQ14" s="1070">
        <f t="shared" ref="CQ14:CS14" si="25">CP14</f>
        <v>0</v>
      </c>
      <c r="CR14" s="1070">
        <f t="shared" si="25"/>
        <v>0</v>
      </c>
      <c r="CS14" s="1070">
        <f t="shared" si="25"/>
        <v>0</v>
      </c>
      <c r="CT14" s="1091">
        <f t="shared" si="15"/>
        <v>0</v>
      </c>
      <c r="CU14" s="1070">
        <f>CT14</f>
        <v>0</v>
      </c>
      <c r="CV14" s="1070">
        <f t="shared" ref="CV14:CX14" si="26">CU14</f>
        <v>0</v>
      </c>
      <c r="CW14" s="1070">
        <f t="shared" si="26"/>
        <v>0</v>
      </c>
      <c r="CX14" s="1070">
        <f t="shared" si="26"/>
        <v>0</v>
      </c>
      <c r="CY14" s="1091">
        <f t="shared" si="16"/>
        <v>0</v>
      </c>
      <c r="CZ14" s="1070">
        <f>CY14</f>
        <v>0</v>
      </c>
      <c r="DA14" s="1070">
        <f t="shared" ref="DA14:DC14" si="27">CZ14</f>
        <v>0</v>
      </c>
      <c r="DB14" s="1070">
        <f t="shared" si="27"/>
        <v>0</v>
      </c>
      <c r="DC14" s="1070">
        <f t="shared" si="27"/>
        <v>0</v>
      </c>
      <c r="DD14" s="1091">
        <f t="shared" si="17"/>
        <v>0</v>
      </c>
      <c r="DE14" s="1070">
        <f>DD14</f>
        <v>0</v>
      </c>
      <c r="DF14" s="1070">
        <f t="shared" ref="DF14:DH14" si="28">DE14</f>
        <v>0</v>
      </c>
      <c r="DG14" s="1070">
        <f t="shared" si="28"/>
        <v>0</v>
      </c>
      <c r="DH14" s="1070">
        <f t="shared" si="28"/>
        <v>0</v>
      </c>
      <c r="DI14" s="1091">
        <f t="shared" si="18"/>
        <v>0</v>
      </c>
      <c r="DJ14" s="1070">
        <f>DI14</f>
        <v>0</v>
      </c>
      <c r="DK14" s="1070">
        <f t="shared" ref="DK14:DM14" si="29">DJ14</f>
        <v>0</v>
      </c>
      <c r="DL14" s="1070">
        <f t="shared" si="29"/>
        <v>0</v>
      </c>
      <c r="DM14" s="1070">
        <f t="shared" si="29"/>
        <v>0</v>
      </c>
      <c r="DN14" s="1091">
        <f t="shared" si="19"/>
        <v>0</v>
      </c>
      <c r="DO14" s="1070">
        <f>DN14</f>
        <v>0</v>
      </c>
      <c r="DP14" s="1070">
        <f t="shared" ref="DP14:DR14" si="30">DO14</f>
        <v>0</v>
      </c>
      <c r="DQ14" s="1070">
        <f t="shared" si="30"/>
        <v>0</v>
      </c>
      <c r="DR14" s="1070">
        <f t="shared" si="30"/>
        <v>0</v>
      </c>
      <c r="DS14" s="1091">
        <f t="shared" si="20"/>
        <v>0</v>
      </c>
      <c r="DT14" s="1070">
        <f>DS14</f>
        <v>0</v>
      </c>
      <c r="DU14" s="1070">
        <f t="shared" ref="DU14" si="31">DT14</f>
        <v>0</v>
      </c>
      <c r="DV14" s="1070">
        <f t="shared" ref="DV14" si="32">DU14</f>
        <v>0</v>
      </c>
      <c r="DW14" s="1070">
        <f t="shared" ref="DW14" si="33">DV14</f>
        <v>0</v>
      </c>
      <c r="DX14" s="1091">
        <f t="shared" si="7"/>
        <v>0</v>
      </c>
      <c r="DY14" s="162"/>
      <c r="DZ14" s="162"/>
      <c r="EA14" s="78"/>
      <c r="EB14" s="162"/>
      <c r="EC14" s="162"/>
      <c r="ED14" s="16"/>
      <c r="EE14" s="162"/>
      <c r="EF14" s="162"/>
    </row>
    <row r="15" spans="1:136" x14ac:dyDescent="0.2">
      <c r="A15" s="497" t="s">
        <v>262</v>
      </c>
      <c r="B15" s="174"/>
      <c r="C15" s="20"/>
      <c r="D15" s="20"/>
      <c r="E15" s="20"/>
      <c r="F15" s="20"/>
      <c r="G15" s="174"/>
      <c r="H15" s="20"/>
      <c r="I15" s="20"/>
      <c r="J15" s="20"/>
      <c r="K15" s="20"/>
      <c r="L15" s="174"/>
      <c r="M15" s="36"/>
      <c r="N15" s="20"/>
      <c r="O15" s="20"/>
      <c r="P15" s="20"/>
      <c r="Q15" s="174"/>
      <c r="R15" s="36"/>
      <c r="S15" s="180"/>
      <c r="T15" s="20"/>
      <c r="U15" s="20">
        <f t="shared" si="0"/>
        <v>57</v>
      </c>
      <c r="V15" s="174">
        <v>57</v>
      </c>
      <c r="W15" s="20" t="s">
        <v>540</v>
      </c>
      <c r="X15" s="20" t="s">
        <v>540</v>
      </c>
      <c r="Y15" s="20" t="s">
        <v>540</v>
      </c>
      <c r="Z15" s="38">
        <v>45</v>
      </c>
      <c r="AA15" s="40">
        <f t="shared" si="8"/>
        <v>45</v>
      </c>
      <c r="AB15" s="38">
        <v>44</v>
      </c>
      <c r="AC15" s="38">
        <v>38</v>
      </c>
      <c r="AD15" s="38">
        <v>35</v>
      </c>
      <c r="AE15" s="38">
        <f>AF15</f>
        <v>43</v>
      </c>
      <c r="AF15" s="40">
        <v>43</v>
      </c>
      <c r="AG15" s="38">
        <v>48</v>
      </c>
      <c r="AH15" s="38">
        <v>46</v>
      </c>
      <c r="AI15" s="38">
        <v>55</v>
      </c>
      <c r="AJ15" s="38">
        <v>45</v>
      </c>
      <c r="AK15" s="40">
        <v>45</v>
      </c>
      <c r="AL15" s="38">
        <v>30</v>
      </c>
      <c r="AM15" s="38">
        <v>35</v>
      </c>
      <c r="AN15" s="38">
        <v>38</v>
      </c>
      <c r="AO15" s="38">
        <v>32.5</v>
      </c>
      <c r="AP15" s="853">
        <f t="shared" si="21"/>
        <v>32.5</v>
      </c>
      <c r="AQ15" s="38">
        <v>30</v>
      </c>
      <c r="AR15" s="38">
        <v>26.3</v>
      </c>
      <c r="AS15" s="38">
        <v>17.8</v>
      </c>
      <c r="AT15" s="38">
        <v>15.1</v>
      </c>
      <c r="AU15" s="853">
        <f t="shared" si="22"/>
        <v>15.1</v>
      </c>
      <c r="AV15" s="1801"/>
      <c r="AW15" s="38">
        <f t="shared" si="1"/>
        <v>17.8</v>
      </c>
      <c r="AX15" s="38">
        <f t="shared" si="1"/>
        <v>15.1</v>
      </c>
      <c r="AY15" s="38">
        <v>43.1</v>
      </c>
      <c r="AZ15" s="38">
        <v>23.2</v>
      </c>
      <c r="BA15" s="40">
        <f t="shared" si="9"/>
        <v>23.2</v>
      </c>
      <c r="BB15" s="38">
        <v>26.4</v>
      </c>
      <c r="BC15" s="38">
        <v>27.6</v>
      </c>
      <c r="BD15" s="38">
        <v>30.3</v>
      </c>
      <c r="BE15" s="38">
        <v>43.1</v>
      </c>
      <c r="BF15" s="853">
        <f>BE15</f>
        <v>43.1</v>
      </c>
      <c r="BG15" s="38">
        <v>46.3</v>
      </c>
      <c r="BH15" s="38">
        <v>22.9</v>
      </c>
      <c r="BI15" s="38">
        <v>26.5</v>
      </c>
      <c r="BJ15" s="38">
        <v>73.5</v>
      </c>
      <c r="BK15" s="853">
        <f t="shared" si="10"/>
        <v>73.5</v>
      </c>
      <c r="BL15" s="38">
        <v>70.900000000000006</v>
      </c>
      <c r="BM15" s="38">
        <v>41.1</v>
      </c>
      <c r="BN15" s="38">
        <v>38</v>
      </c>
      <c r="BO15" s="38">
        <v>38</v>
      </c>
      <c r="BP15" s="853">
        <f t="shared" ref="BP15:BU15" si="34">BO15</f>
        <v>38</v>
      </c>
      <c r="BQ15" s="38">
        <v>19.899999999999999</v>
      </c>
      <c r="BR15" s="38">
        <v>20</v>
      </c>
      <c r="BS15" s="38">
        <v>79.8</v>
      </c>
      <c r="BT15" s="38">
        <v>85.6</v>
      </c>
      <c r="BU15" s="853">
        <f t="shared" si="34"/>
        <v>85.6</v>
      </c>
      <c r="BV15" s="38">
        <v>96.8</v>
      </c>
      <c r="BW15" s="1348">
        <v>104.3</v>
      </c>
      <c r="BX15" s="38">
        <v>81.3</v>
      </c>
      <c r="BY15" s="38">
        <v>0</v>
      </c>
      <c r="BZ15" s="853">
        <f t="shared" si="11"/>
        <v>0</v>
      </c>
      <c r="CA15" s="38">
        <f>BZ15</f>
        <v>0</v>
      </c>
      <c r="CB15" s="38">
        <v>0</v>
      </c>
      <c r="CC15" s="38">
        <f>CB15</f>
        <v>0</v>
      </c>
      <c r="CD15" s="38">
        <f>CC15</f>
        <v>0</v>
      </c>
      <c r="CE15" s="853">
        <f t="shared" si="12"/>
        <v>0</v>
      </c>
      <c r="CF15" s="38">
        <v>122.2</v>
      </c>
      <c r="CG15" s="38">
        <v>106.9</v>
      </c>
      <c r="CH15" s="38">
        <v>108.1</v>
      </c>
      <c r="CI15" s="38">
        <v>0</v>
      </c>
      <c r="CJ15" s="853">
        <f t="shared" si="13"/>
        <v>0</v>
      </c>
      <c r="CK15" s="38">
        <f>CJ15</f>
        <v>0</v>
      </c>
      <c r="CL15" s="1070">
        <f>CK15</f>
        <v>0</v>
      </c>
      <c r="CM15" s="1070">
        <f>CL15</f>
        <v>0</v>
      </c>
      <c r="CN15" s="1070">
        <f>CM15</f>
        <v>0</v>
      </c>
      <c r="CO15" s="1091">
        <f t="shared" si="14"/>
        <v>0</v>
      </c>
      <c r="CP15" s="1070">
        <f>CO15</f>
        <v>0</v>
      </c>
      <c r="CQ15" s="1070">
        <f>CP15</f>
        <v>0</v>
      </c>
      <c r="CR15" s="1070">
        <f>CQ15</f>
        <v>0</v>
      </c>
      <c r="CS15" s="1070">
        <f>CR15</f>
        <v>0</v>
      </c>
      <c r="CT15" s="1091">
        <f t="shared" si="15"/>
        <v>0</v>
      </c>
      <c r="CU15" s="1070">
        <f>CT15</f>
        <v>0</v>
      </c>
      <c r="CV15" s="1070">
        <f>CU15</f>
        <v>0</v>
      </c>
      <c r="CW15" s="1070">
        <f>CV15</f>
        <v>0</v>
      </c>
      <c r="CX15" s="1070">
        <f>CW15</f>
        <v>0</v>
      </c>
      <c r="CY15" s="1091">
        <f t="shared" si="16"/>
        <v>0</v>
      </c>
      <c r="CZ15" s="1070">
        <f>CY15</f>
        <v>0</v>
      </c>
      <c r="DA15" s="1070">
        <f>CZ15</f>
        <v>0</v>
      </c>
      <c r="DB15" s="1070">
        <f>DA15</f>
        <v>0</v>
      </c>
      <c r="DC15" s="1070">
        <f>DB15</f>
        <v>0</v>
      </c>
      <c r="DD15" s="1091">
        <f t="shared" si="17"/>
        <v>0</v>
      </c>
      <c r="DE15" s="1070">
        <f>DD15</f>
        <v>0</v>
      </c>
      <c r="DF15" s="1070">
        <f>DE15</f>
        <v>0</v>
      </c>
      <c r="DG15" s="1070">
        <f>DF15</f>
        <v>0</v>
      </c>
      <c r="DH15" s="1070">
        <f>DG15</f>
        <v>0</v>
      </c>
      <c r="DI15" s="1091">
        <f t="shared" si="18"/>
        <v>0</v>
      </c>
      <c r="DJ15" s="1070">
        <f>DI15</f>
        <v>0</v>
      </c>
      <c r="DK15" s="1070">
        <f>DJ15</f>
        <v>0</v>
      </c>
      <c r="DL15" s="1070">
        <f>DK15</f>
        <v>0</v>
      </c>
      <c r="DM15" s="1070">
        <f>DL15</f>
        <v>0</v>
      </c>
      <c r="DN15" s="1091">
        <f t="shared" si="19"/>
        <v>0</v>
      </c>
      <c r="DO15" s="1070">
        <f>DN15</f>
        <v>0</v>
      </c>
      <c r="DP15" s="1070">
        <f>DO15</f>
        <v>0</v>
      </c>
      <c r="DQ15" s="1070">
        <f>DP15</f>
        <v>0</v>
      </c>
      <c r="DR15" s="1070">
        <f>DQ15</f>
        <v>0</v>
      </c>
      <c r="DS15" s="1091">
        <f t="shared" si="20"/>
        <v>0</v>
      </c>
      <c r="DT15" s="1070">
        <f>DS15</f>
        <v>0</v>
      </c>
      <c r="DU15" s="1070">
        <f>DT15</f>
        <v>0</v>
      </c>
      <c r="DV15" s="1070">
        <f>DU15</f>
        <v>0</v>
      </c>
      <c r="DW15" s="1070">
        <f>DV15</f>
        <v>0</v>
      </c>
      <c r="DX15" s="1091">
        <f t="shared" si="7"/>
        <v>0</v>
      </c>
      <c r="DY15" s="16"/>
      <c r="DZ15" s="16"/>
      <c r="EA15" s="78"/>
      <c r="EB15" s="16"/>
      <c r="EC15" s="16"/>
      <c r="ED15" s="16"/>
      <c r="EE15" s="16"/>
      <c r="EF15" s="16"/>
    </row>
    <row r="16" spans="1:136" x14ac:dyDescent="0.2">
      <c r="A16" s="496" t="s">
        <v>185</v>
      </c>
      <c r="B16" s="183"/>
      <c r="C16" s="184"/>
      <c r="D16" s="184"/>
      <c r="E16" s="184"/>
      <c r="F16" s="184"/>
      <c r="G16" s="183"/>
      <c r="H16" s="184"/>
      <c r="I16" s="184"/>
      <c r="J16" s="184"/>
      <c r="K16" s="184"/>
      <c r="L16" s="183"/>
      <c r="M16" s="184"/>
      <c r="N16" s="184"/>
      <c r="O16" s="184"/>
      <c r="P16" s="184"/>
      <c r="Q16" s="183"/>
      <c r="R16" s="184"/>
      <c r="S16" s="185"/>
      <c r="T16" s="184"/>
      <c r="U16" s="184">
        <f t="shared" si="0"/>
        <v>634</v>
      </c>
      <c r="V16" s="183">
        <f>SUM(V10:V15)</f>
        <v>634</v>
      </c>
      <c r="W16" s="20" t="s">
        <v>540</v>
      </c>
      <c r="X16" s="20" t="s">
        <v>540</v>
      </c>
      <c r="Y16" s="20" t="s">
        <v>540</v>
      </c>
      <c r="Z16" s="46">
        <f>SUM(Z10:Z15)</f>
        <v>453</v>
      </c>
      <c r="AA16" s="48">
        <f t="shared" si="8"/>
        <v>453</v>
      </c>
      <c r="AB16" s="46">
        <f t="shared" ref="AB16:AK16" si="35">SUM(AB10:AB15)</f>
        <v>365</v>
      </c>
      <c r="AC16" s="46">
        <f t="shared" si="35"/>
        <v>341</v>
      </c>
      <c r="AD16" s="46">
        <f t="shared" si="35"/>
        <v>349</v>
      </c>
      <c r="AE16" s="46">
        <f t="shared" si="35"/>
        <v>404</v>
      </c>
      <c r="AF16" s="48">
        <f t="shared" si="35"/>
        <v>404</v>
      </c>
      <c r="AG16" s="46">
        <f t="shared" si="35"/>
        <v>391</v>
      </c>
      <c r="AH16" s="46">
        <f t="shared" si="35"/>
        <v>418</v>
      </c>
      <c r="AI16" s="46">
        <f t="shared" si="35"/>
        <v>403</v>
      </c>
      <c r="AJ16" s="46">
        <f t="shared" si="35"/>
        <v>404</v>
      </c>
      <c r="AK16" s="48">
        <f t="shared" si="35"/>
        <v>404</v>
      </c>
      <c r="AL16" s="46">
        <f>SUM(AL10:AL15)</f>
        <v>364</v>
      </c>
      <c r="AM16" s="46">
        <f>SUM(AM10:AM15)</f>
        <v>351</v>
      </c>
      <c r="AN16" s="46">
        <f>SUM(AN10:AN15)</f>
        <v>348</v>
      </c>
      <c r="AO16" s="46">
        <f>SUM(AO10:AO15)</f>
        <v>370.6</v>
      </c>
      <c r="AP16" s="573">
        <f t="shared" si="21"/>
        <v>370.6</v>
      </c>
      <c r="AQ16" s="46">
        <f t="shared" ref="AQ16:BE16" si="36">SUM(AQ10:AQ15)</f>
        <v>370.40000000000003</v>
      </c>
      <c r="AR16" s="46">
        <f t="shared" si="36"/>
        <v>369.60000000000008</v>
      </c>
      <c r="AS16" s="46">
        <f t="shared" si="36"/>
        <v>390.2</v>
      </c>
      <c r="AT16" s="46">
        <f t="shared" si="36"/>
        <v>434</v>
      </c>
      <c r="AU16" s="573">
        <f t="shared" si="22"/>
        <v>434</v>
      </c>
      <c r="AV16" s="1801"/>
      <c r="AW16" s="46">
        <f>SUM(AW10:AW15)</f>
        <v>390.2</v>
      </c>
      <c r="AX16" s="46">
        <f t="shared" si="36"/>
        <v>434</v>
      </c>
      <c r="AY16" s="46">
        <f t="shared" si="36"/>
        <v>493.7</v>
      </c>
      <c r="AZ16" s="46">
        <f t="shared" si="36"/>
        <v>556.20000000000005</v>
      </c>
      <c r="BA16" s="48">
        <f t="shared" si="9"/>
        <v>556.20000000000005</v>
      </c>
      <c r="BB16" s="46">
        <f t="shared" si="36"/>
        <v>606.20000000000005</v>
      </c>
      <c r="BC16" s="46">
        <f t="shared" si="36"/>
        <v>1006.8000000000001</v>
      </c>
      <c r="BD16" s="46">
        <f t="shared" si="36"/>
        <v>1104</v>
      </c>
      <c r="BE16" s="46">
        <f t="shared" si="36"/>
        <v>724.1</v>
      </c>
      <c r="BF16" s="573">
        <f t="shared" ref="BF16:BF21" si="37">BE16</f>
        <v>724.1</v>
      </c>
      <c r="BG16" s="46">
        <f>SUM(BG10:BG15)</f>
        <v>719.3</v>
      </c>
      <c r="BH16" s="46">
        <f>SUM(BH10:BH15)</f>
        <v>697.2</v>
      </c>
      <c r="BI16" s="46">
        <f>SUM(BI10:BI15)</f>
        <v>773.09999999999991</v>
      </c>
      <c r="BJ16" s="46">
        <f>SUM(BJ10:BJ15)</f>
        <v>890.5</v>
      </c>
      <c r="BK16" s="573">
        <f t="shared" si="10"/>
        <v>890.5</v>
      </c>
      <c r="BL16" s="46">
        <f>SUM(BL10:BL15)</f>
        <v>958.39999999999986</v>
      </c>
      <c r="BM16" s="46">
        <f>SUM(BM10:BM15)</f>
        <v>967.19999999999993</v>
      </c>
      <c r="BN16" s="46">
        <f>SUM(BN10:BN15)</f>
        <v>1066.5</v>
      </c>
      <c r="BO16" s="46">
        <f>SUM(BO10:BO15)</f>
        <v>1074.3999999999999</v>
      </c>
      <c r="BP16" s="573">
        <f>BO16</f>
        <v>1074.3999999999999</v>
      </c>
      <c r="BQ16" s="46">
        <f>SUM(BQ10:BQ15)</f>
        <v>1147</v>
      </c>
      <c r="BR16" s="46">
        <f>SUM(BR10:BR15)</f>
        <v>1177.5000000000002</v>
      </c>
      <c r="BS16" s="46">
        <f>SUM(BS10:BS15)</f>
        <v>1362.6</v>
      </c>
      <c r="BT16" s="46">
        <f>SUM(BT10:BT15)</f>
        <v>2661.1</v>
      </c>
      <c r="BU16" s="573">
        <f>BT16</f>
        <v>2661.1</v>
      </c>
      <c r="BV16" s="46">
        <f>SUM(BV10:BV15)</f>
        <v>1723.3000000000002</v>
      </c>
      <c r="BW16" s="1102">
        <f>SUM(BW10:BW15)</f>
        <v>1404.3</v>
      </c>
      <c r="BX16" s="46">
        <f>SUM(BX10:BX15)</f>
        <v>1641.6</v>
      </c>
      <c r="BY16" s="46">
        <f>SUM(BY10:BY15)</f>
        <v>1369.5</v>
      </c>
      <c r="BZ16" s="573">
        <f t="shared" si="11"/>
        <v>1369.5</v>
      </c>
      <c r="CA16" s="46">
        <f>SUM(CA10:CA15)</f>
        <v>1473</v>
      </c>
      <c r="CB16" s="46">
        <f>SUM(CB10:CB15)</f>
        <v>1640.5</v>
      </c>
      <c r="CC16" s="46">
        <f>SUM(CC10:CC15)</f>
        <v>1877.2</v>
      </c>
      <c r="CD16" s="46">
        <f>SUM(CD10:CD15)</f>
        <v>2097</v>
      </c>
      <c r="CE16" s="573">
        <f t="shared" si="12"/>
        <v>2097</v>
      </c>
      <c r="CF16" s="46">
        <f>SUM(CF10:CF15)</f>
        <v>1577.1000000000001</v>
      </c>
      <c r="CG16" s="46">
        <f>SUM(CG10:CG15)</f>
        <v>4113.5</v>
      </c>
      <c r="CH16" s="46">
        <f>SUM(CH10:CH15)</f>
        <v>4229</v>
      </c>
      <c r="CI16" s="46">
        <f>SUM(CI10:CI15)</f>
        <v>1749.6000000000001</v>
      </c>
      <c r="CJ16" s="573">
        <f t="shared" si="13"/>
        <v>1749.6000000000001</v>
      </c>
      <c r="CK16" s="46">
        <f>SUM(CK10:CK15)</f>
        <v>1482.4</v>
      </c>
      <c r="CL16" s="1071">
        <f>SUM(CL10:CL15)</f>
        <v>1496.2687924922243</v>
      </c>
      <c r="CM16" s="1071">
        <f>SUM(CM10:CM15)</f>
        <v>1637.7943811318387</v>
      </c>
      <c r="CN16" s="1071">
        <f>SUM(CN10:CN15)</f>
        <v>2259.5891157308774</v>
      </c>
      <c r="CO16" s="1092">
        <f t="shared" si="14"/>
        <v>2259.5891157308774</v>
      </c>
      <c r="CP16" s="1071">
        <f>SUM(CP10:CP15)</f>
        <v>1916.4950560942334</v>
      </c>
      <c r="CQ16" s="1071">
        <f>SUM(CQ10:CQ15)</f>
        <v>1972.1943486912746</v>
      </c>
      <c r="CR16" s="1071">
        <f>SUM(CR10:CR15)</f>
        <v>2136.5211251100068</v>
      </c>
      <c r="CS16" s="1071">
        <f>SUM(CS10:CS15)</f>
        <v>2806.933453657969</v>
      </c>
      <c r="CT16" s="1092">
        <f t="shared" si="15"/>
        <v>2806.933453657969</v>
      </c>
      <c r="CU16" s="1071">
        <f>SUM(CU10:CU15)</f>
        <v>2450.3830779408736</v>
      </c>
      <c r="CV16" s="1071">
        <f>SUM(CV10:CV15)</f>
        <v>2533.8697222589558</v>
      </c>
      <c r="CW16" s="1071">
        <f>SUM(CW10:CW15)</f>
        <v>2736.2000562432413</v>
      </c>
      <c r="CX16" s="1071">
        <f>SUM(CX10:CX15)</f>
        <v>3476.7719590058073</v>
      </c>
      <c r="CY16" s="1092">
        <f t="shared" si="16"/>
        <v>3476.7719590058073</v>
      </c>
      <c r="CZ16" s="1071">
        <f>SUM(CZ10:CZ15)</f>
        <v>3125.3164146950867</v>
      </c>
      <c r="DA16" s="1071">
        <f>SUM(DA10:DA15)</f>
        <v>3229.9783241106197</v>
      </c>
      <c r="DB16" s="1071">
        <f>SUM(DB10:DB15)</f>
        <v>3472.3206341177734</v>
      </c>
      <c r="DC16" s="1071">
        <f>SUM(DC10:DC15)</f>
        <v>3653.7305493470726</v>
      </c>
      <c r="DD16" s="1092">
        <f t="shared" si="17"/>
        <v>3653.7305493470726</v>
      </c>
      <c r="DE16" s="1071">
        <f>SUM(DE10:DE15)</f>
        <v>3305.3948990933036</v>
      </c>
      <c r="DF16" s="1071">
        <f>SUM(DF10:DF15)</f>
        <v>3448.8787380327799</v>
      </c>
      <c r="DG16" s="1071">
        <f>SUM(DG10:DG15)</f>
        <v>3736.1972867603827</v>
      </c>
      <c r="DH16" s="1071">
        <f>SUM(DH10:DH15)</f>
        <v>4642.2439765577692</v>
      </c>
      <c r="DI16" s="1092">
        <f t="shared" si="18"/>
        <v>4642.2439765577692</v>
      </c>
      <c r="DJ16" s="1071">
        <f>SUM(DJ10:DJ15)</f>
        <v>4275.2560656192063</v>
      </c>
      <c r="DK16" s="1071">
        <f>SUM(DK10:DK15)</f>
        <v>4450.8423264468702</v>
      </c>
      <c r="DL16" s="1071">
        <f>SUM(DL10:DL15)</f>
        <v>4779.9003738880328</v>
      </c>
      <c r="DM16" s="1071">
        <f>SUM(DM10:DM15)</f>
        <v>5765.8654709807761</v>
      </c>
      <c r="DN16" s="1092">
        <f t="shared" si="19"/>
        <v>5765.8654709807761</v>
      </c>
      <c r="DO16" s="1071">
        <f>SUM(DO10:DO15)</f>
        <v>5370.2354470751379</v>
      </c>
      <c r="DP16" s="1071">
        <f>SUM(DP10:DP15)</f>
        <v>5535.8088296748656</v>
      </c>
      <c r="DQ16" s="1071">
        <f>SUM(DQ10:DQ15)</f>
        <v>5875.9935804273973</v>
      </c>
      <c r="DR16" s="1071">
        <f>SUM(DR10:DR15)</f>
        <v>6926.1798827911416</v>
      </c>
      <c r="DS16" s="1092">
        <f t="shared" si="20"/>
        <v>6926.1798827911416</v>
      </c>
      <c r="DT16" s="1071">
        <f>SUM(DT10:DT15)</f>
        <v>6513.6498598555563</v>
      </c>
      <c r="DU16" s="1071">
        <f>SUM(DU10:DU15)</f>
        <v>6704.9515141964275</v>
      </c>
      <c r="DV16" s="1071">
        <f>SUM(DV10:DV15)</f>
        <v>7067.847358783757</v>
      </c>
      <c r="DW16" s="1071">
        <f>SUM(DW10:DW15)</f>
        <v>8184.7493704965273</v>
      </c>
      <c r="DX16" s="1092">
        <f t="shared" si="7"/>
        <v>8184.7493704965273</v>
      </c>
      <c r="DY16" s="25"/>
      <c r="DZ16" s="25"/>
      <c r="EA16" s="25"/>
      <c r="EB16" s="25"/>
      <c r="EC16" s="25"/>
      <c r="ED16" s="25"/>
      <c r="EE16" s="25"/>
      <c r="EF16" s="25"/>
    </row>
    <row r="17" spans="1:136" x14ac:dyDescent="0.2">
      <c r="A17" s="497" t="s">
        <v>187</v>
      </c>
      <c r="B17" s="174"/>
      <c r="C17" s="186"/>
      <c r="D17" s="184"/>
      <c r="E17" s="184"/>
      <c r="F17" s="184"/>
      <c r="G17" s="174"/>
      <c r="H17" s="184"/>
      <c r="I17" s="184"/>
      <c r="J17" s="184"/>
      <c r="K17" s="184"/>
      <c r="L17" s="174"/>
      <c r="M17" s="37"/>
      <c r="N17" s="37"/>
      <c r="O17" s="37"/>
      <c r="P17" s="37"/>
      <c r="Q17" s="49"/>
      <c r="R17" s="37"/>
      <c r="S17" s="531"/>
      <c r="T17" s="37"/>
      <c r="U17" s="37">
        <f t="shared" si="0"/>
        <v>899</v>
      </c>
      <c r="V17" s="45">
        <v>899</v>
      </c>
      <c r="W17" s="20" t="s">
        <v>540</v>
      </c>
      <c r="X17" s="20" t="s">
        <v>540</v>
      </c>
      <c r="Y17" s="20" t="s">
        <v>540</v>
      </c>
      <c r="Z17" s="38">
        <v>886</v>
      </c>
      <c r="AA17" s="40">
        <f t="shared" si="8"/>
        <v>886</v>
      </c>
      <c r="AB17" s="38">
        <v>871</v>
      </c>
      <c r="AC17" s="38">
        <v>866</v>
      </c>
      <c r="AD17" s="38">
        <v>857</v>
      </c>
      <c r="AE17" s="38">
        <f>AF17</f>
        <v>879</v>
      </c>
      <c r="AF17" s="40">
        <v>879</v>
      </c>
      <c r="AG17" s="38">
        <v>881</v>
      </c>
      <c r="AH17" s="38">
        <v>886</v>
      </c>
      <c r="AI17" s="38">
        <v>892</v>
      </c>
      <c r="AJ17" s="38">
        <v>961</v>
      </c>
      <c r="AK17" s="40">
        <v>961</v>
      </c>
      <c r="AL17" s="38">
        <v>961</v>
      </c>
      <c r="AM17" s="38">
        <v>958</v>
      </c>
      <c r="AN17" s="38">
        <v>959</v>
      </c>
      <c r="AO17" s="38">
        <v>1013.2</v>
      </c>
      <c r="AP17" s="853">
        <f t="shared" si="21"/>
        <v>1013.2</v>
      </c>
      <c r="AQ17" s="38">
        <v>1023.6</v>
      </c>
      <c r="AR17" s="38">
        <v>1022</v>
      </c>
      <c r="AS17" s="38">
        <v>1014.9</v>
      </c>
      <c r="AT17" s="38">
        <v>1014.1</v>
      </c>
      <c r="AU17" s="853">
        <f t="shared" si="22"/>
        <v>1014.1</v>
      </c>
      <c r="AV17" s="1801"/>
      <c r="AW17" s="38">
        <f t="shared" ref="AW17:AX21" si="38">AS17</f>
        <v>1014.9</v>
      </c>
      <c r="AX17" s="38">
        <f t="shared" si="38"/>
        <v>1014.1</v>
      </c>
      <c r="AY17" s="38">
        <v>995.7</v>
      </c>
      <c r="AZ17" s="38">
        <v>1110.7</v>
      </c>
      <c r="BA17" s="40">
        <f t="shared" si="9"/>
        <v>1110.7</v>
      </c>
      <c r="BB17" s="38">
        <v>1171.7</v>
      </c>
      <c r="BC17" s="38">
        <v>1117.9000000000001</v>
      </c>
      <c r="BD17" s="38">
        <v>1025.3</v>
      </c>
      <c r="BE17" s="38">
        <v>1026.5</v>
      </c>
      <c r="BF17" s="853">
        <f t="shared" si="37"/>
        <v>1026.5</v>
      </c>
      <c r="BG17" s="38">
        <v>1005.2</v>
      </c>
      <c r="BH17" s="38">
        <v>906.9</v>
      </c>
      <c r="BI17" s="38">
        <v>878.5</v>
      </c>
      <c r="BJ17" s="38">
        <v>885.2</v>
      </c>
      <c r="BK17" s="853">
        <f t="shared" si="10"/>
        <v>885.2</v>
      </c>
      <c r="BL17" s="38">
        <v>856.5</v>
      </c>
      <c r="BM17" s="38">
        <v>818.1</v>
      </c>
      <c r="BN17" s="38">
        <v>804.6</v>
      </c>
      <c r="BO17" s="38">
        <v>801.5</v>
      </c>
      <c r="BP17" s="853">
        <f>BO17</f>
        <v>801.5</v>
      </c>
      <c r="BQ17" s="38">
        <v>792.1</v>
      </c>
      <c r="BR17" s="38">
        <v>786.1</v>
      </c>
      <c r="BS17" s="38">
        <v>774.3</v>
      </c>
      <c r="BT17" s="38">
        <v>2539.6</v>
      </c>
      <c r="BU17" s="853">
        <f>BT17</f>
        <v>2539.6</v>
      </c>
      <c r="BV17" s="38">
        <v>2400.5</v>
      </c>
      <c r="BW17" s="1348">
        <v>2393</v>
      </c>
      <c r="BX17" s="38">
        <v>2212</v>
      </c>
      <c r="BY17" s="38">
        <v>2150.6</v>
      </c>
      <c r="BZ17" s="853">
        <f t="shared" si="11"/>
        <v>2150.6</v>
      </c>
      <c r="CA17" s="38">
        <v>2169.6</v>
      </c>
      <c r="CB17" s="38">
        <v>2140.5</v>
      </c>
      <c r="CC17" s="38">
        <v>2095.8000000000002</v>
      </c>
      <c r="CD17" s="38">
        <v>2054.6999999999998</v>
      </c>
      <c r="CE17" s="853">
        <f t="shared" si="12"/>
        <v>2054.6999999999998</v>
      </c>
      <c r="CF17" s="38">
        <v>2140.4</v>
      </c>
      <c r="CG17" s="38">
        <v>2153.5</v>
      </c>
      <c r="CH17" s="38">
        <v>2158.1999999999998</v>
      </c>
      <c r="CI17" s="38">
        <v>2133.3000000000002</v>
      </c>
      <c r="CJ17" s="853">
        <f t="shared" si="13"/>
        <v>2133.3000000000002</v>
      </c>
      <c r="CK17" s="38">
        <v>2072.6999999999998</v>
      </c>
      <c r="CL17" s="1070">
        <f>CK17-'CF '!CL43-'CF '!CL44-'CF '!CL11+'CF '!CL16</f>
        <v>2027.4879961656522</v>
      </c>
      <c r="CM17" s="1070">
        <f>CL17-'CF '!CM43-'CF '!CM44-'CF '!CM11+'CF '!CM16</f>
        <v>1979.8985293795079</v>
      </c>
      <c r="CN17" s="1070">
        <f>CM17-'CF '!CN43-'CF '!CN44-'CF '!CN11+'CF '!CN16</f>
        <v>1949.4366773606848</v>
      </c>
      <c r="CO17" s="1091">
        <f t="shared" si="14"/>
        <v>1949.4366773606848</v>
      </c>
      <c r="CP17" s="1070">
        <f>CO17-'CF '!CP43-'CF '!CP44-'CF '!CP11+'CF '!CP16</f>
        <v>1904.485881422394</v>
      </c>
      <c r="CQ17" s="1070">
        <f>CP17-'CF '!CQ43-'CF '!CQ44-'CF '!CQ11+'CF '!CQ16</f>
        <v>1857.9552753962182</v>
      </c>
      <c r="CR17" s="1070">
        <f>CQ17-'CF '!CR43-'CF '!CR44-'CF '!CR11+'CF '!CR16</f>
        <v>1808.9149061516723</v>
      </c>
      <c r="CS17" s="1070">
        <f>CR17-'CF '!CS43-'CF '!CS44-'CF '!CS11+'CF '!CS16</f>
        <v>1777.9105679046338</v>
      </c>
      <c r="CT17" s="1091">
        <f t="shared" si="15"/>
        <v>1777.9105679046338</v>
      </c>
      <c r="CU17" s="1070">
        <f>CT17-'CF '!CU43-'CF '!CU44-'CF '!CU11+'CF '!CU16</f>
        <v>1731.090241485347</v>
      </c>
      <c r="CV17" s="1070">
        <f>CU17-'CF '!CV43-'CF '!CV44-'CF '!CV11+'CF '!CV16</f>
        <v>1683.0033079303785</v>
      </c>
      <c r="CW17" s="1070">
        <f>CV17-'CF '!CW43-'CF '!CW44-'CF '!CW11+'CF '!CW16</f>
        <v>1632.2370297393541</v>
      </c>
      <c r="CX17" s="1070">
        <f>CW17-'CF '!CX43-'CF '!CX44-'CF '!CX11+'CF '!CX16</f>
        <v>1600.9779906220463</v>
      </c>
      <c r="CY17" s="1091">
        <f t="shared" si="16"/>
        <v>1600.9779906220463</v>
      </c>
      <c r="CZ17" s="1070">
        <f>CY17-'CF '!CZ43-'CF '!CZ44-'CF '!CZ11+'CF '!CZ16</f>
        <v>1546.7692444090358</v>
      </c>
      <c r="DA17" s="1070">
        <f>CZ17-'CF '!DA43-'CF '!DA44-'CF '!DA11+'CF '!DA16</f>
        <v>1497.2543958822941</v>
      </c>
      <c r="DB17" s="1070">
        <f>DA17-'CF '!DB43-'CF '!DB44-'CF '!DB11+'CF '!DB16</f>
        <v>1442.6387931808883</v>
      </c>
      <c r="DC17" s="1070">
        <f>DB17-'CF '!DC43-'CF '!DC44-'CF '!DC11+'CF '!DC16</f>
        <v>1400.1941605505001</v>
      </c>
      <c r="DD17" s="1091">
        <f t="shared" si="17"/>
        <v>1400.1941605505001</v>
      </c>
      <c r="DE17" s="1070">
        <f>DD17-'CF '!DE43-'CF '!DE44-'CF '!DE11+'CF '!DE16</f>
        <v>1343.8484346955397</v>
      </c>
      <c r="DF17" s="1070">
        <f>DE17-'CF '!DF43-'CF '!DF44-'CF '!DF11+'CF '!DF16</f>
        <v>1292.4404350047434</v>
      </c>
      <c r="DG17" s="1070">
        <f>DF17-'CF '!DG43-'CF '!DG44-'CF '!DG11+'CF '!DG16</f>
        <v>1235.5329061396969</v>
      </c>
      <c r="DH17" s="1070">
        <f>DG17-'CF '!DH43-'CF '!DH44-'CF '!DH11+'CF '!DH16</f>
        <v>1191.5721770276768</v>
      </c>
      <c r="DI17" s="1091">
        <f t="shared" si="18"/>
        <v>1191.5721770276768</v>
      </c>
      <c r="DJ17" s="1070">
        <f>DI17-'CF '!DJ43-'CF '!DJ44-'CF '!DJ11+'CF '!DJ16</f>
        <v>1132.8013052215492</v>
      </c>
      <c r="DK17" s="1070">
        <f>DJ17-'CF '!DK43-'CF '!DK44-'CF '!DK11+'CF '!DK16</f>
        <v>1080.5235417463421</v>
      </c>
      <c r="DL17" s="1070">
        <f>DK17-'CF '!DL43-'CF '!DL44-'CF '!DL11+'CF '!DL16</f>
        <v>1022.5202434593461</v>
      </c>
      <c r="DM17" s="1070">
        <f>DL17-'CF '!DM43-'CF '!DM44-'CF '!DM11+'CF '!DM16</f>
        <v>978.33331763903323</v>
      </c>
      <c r="DN17" s="1091">
        <f t="shared" si="19"/>
        <v>978.33331763903323</v>
      </c>
      <c r="DO17" s="1070">
        <f>DN17-'CF '!DO43-'CF '!DO44-'CF '!DO11+'CF '!DO16</f>
        <v>916.46166772292088</v>
      </c>
      <c r="DP17" s="1070">
        <f>DO17-'CF '!DP43-'CF '!DP44-'CF '!DP11+'CF '!DP16</f>
        <v>863.41437620668569</v>
      </c>
      <c r="DQ17" s="1070">
        <f>DP17-'CF '!DQ43-'CF '!DQ44-'CF '!DQ11+'CF '!DQ16</f>
        <v>804.4111514791839</v>
      </c>
      <c r="DR17" s="1070">
        <f>DQ17-'CF '!DR43-'CF '!DR44-'CF '!DR11+'CF '!DR16</f>
        <v>760.15306483094787</v>
      </c>
      <c r="DS17" s="1091">
        <f t="shared" si="20"/>
        <v>760.15306483094787</v>
      </c>
      <c r="DT17" s="1070">
        <f>DS17-'CF '!DT43-'CF '!DT44-'CF '!DT11+'CF '!DT16</f>
        <v>696.35529239898199</v>
      </c>
      <c r="DU17" s="1070">
        <f>DT17-'CF '!DU43-'CF '!DU44-'CF '!DU11+'CF '!DU16</f>
        <v>642.64761423784807</v>
      </c>
      <c r="DV17" s="1070">
        <f>DU17-'CF '!DV43-'CF '!DV44-'CF '!DV11+'CF '!DV16</f>
        <v>582.74595373944408</v>
      </c>
      <c r="DW17" s="1070">
        <f>DV17-'CF '!DW43-'CF '!DW44-'CF '!DW11+'CF '!DW16</f>
        <v>538.58036700341324</v>
      </c>
      <c r="DX17" s="1091">
        <f t="shared" si="7"/>
        <v>538.58036700341324</v>
      </c>
      <c r="DY17" s="25"/>
      <c r="DZ17" s="25"/>
      <c r="EA17" s="78"/>
      <c r="EB17" s="25"/>
      <c r="EC17" s="25"/>
      <c r="ED17" s="471"/>
      <c r="EE17" s="25"/>
      <c r="EF17" s="25"/>
    </row>
    <row r="18" spans="1:136" x14ac:dyDescent="0.2">
      <c r="A18" s="497" t="s">
        <v>263</v>
      </c>
      <c r="B18" s="174"/>
      <c r="C18" s="20"/>
      <c r="D18" s="20"/>
      <c r="E18" s="20"/>
      <c r="F18" s="20"/>
      <c r="G18" s="174"/>
      <c r="H18" s="20"/>
      <c r="I18" s="20"/>
      <c r="J18" s="20"/>
      <c r="K18" s="20"/>
      <c r="L18" s="174"/>
      <c r="M18" s="20"/>
      <c r="N18" s="20"/>
      <c r="O18" s="20"/>
      <c r="P18" s="20"/>
      <c r="Q18" s="174"/>
      <c r="R18" s="20"/>
      <c r="S18" s="180"/>
      <c r="T18" s="20"/>
      <c r="U18" s="20">
        <f t="shared" si="0"/>
        <v>995</v>
      </c>
      <c r="V18" s="174">
        <v>995</v>
      </c>
      <c r="W18" s="20" t="s">
        <v>540</v>
      </c>
      <c r="X18" s="20" t="s">
        <v>540</v>
      </c>
      <c r="Y18" s="20" t="s">
        <v>540</v>
      </c>
      <c r="Z18" s="38">
        <v>975</v>
      </c>
      <c r="AA18" s="40">
        <f t="shared" si="8"/>
        <v>975</v>
      </c>
      <c r="AB18" s="38">
        <v>969</v>
      </c>
      <c r="AC18" s="38">
        <v>980</v>
      </c>
      <c r="AD18" s="38">
        <v>982</v>
      </c>
      <c r="AE18" s="38">
        <f>AF18</f>
        <v>986</v>
      </c>
      <c r="AF18" s="40">
        <v>986</v>
      </c>
      <c r="AG18" s="38">
        <v>995</v>
      </c>
      <c r="AH18" s="38">
        <v>1002</v>
      </c>
      <c r="AI18" s="38">
        <v>1023</v>
      </c>
      <c r="AJ18" s="38">
        <v>1055</v>
      </c>
      <c r="AK18" s="40">
        <v>1055</v>
      </c>
      <c r="AL18" s="38">
        <v>1077</v>
      </c>
      <c r="AM18" s="38">
        <v>1073</v>
      </c>
      <c r="AN18" s="38">
        <v>1053</v>
      </c>
      <c r="AO18" s="38">
        <v>1062.7</v>
      </c>
      <c r="AP18" s="853">
        <f t="shared" si="21"/>
        <v>1062.7</v>
      </c>
      <c r="AQ18" s="38">
        <v>1072.4000000000001</v>
      </c>
      <c r="AR18" s="38">
        <v>1064.8</v>
      </c>
      <c r="AS18" s="38">
        <v>1050.7</v>
      </c>
      <c r="AT18" s="38">
        <v>1025.4000000000001</v>
      </c>
      <c r="AU18" s="853">
        <f t="shared" si="22"/>
        <v>1025.4000000000001</v>
      </c>
      <c r="AV18" s="1801"/>
      <c r="AW18" s="38">
        <f t="shared" si="38"/>
        <v>1050.7</v>
      </c>
      <c r="AX18" s="38">
        <f t="shared" si="38"/>
        <v>1025.4000000000001</v>
      </c>
      <c r="AY18" s="38">
        <v>1048</v>
      </c>
      <c r="AZ18" s="38">
        <v>2893.9</v>
      </c>
      <c r="BA18" s="40">
        <f t="shared" si="9"/>
        <v>2893.9</v>
      </c>
      <c r="BB18" s="38">
        <v>2976.8</v>
      </c>
      <c r="BC18" s="38">
        <v>2938.9</v>
      </c>
      <c r="BD18" s="38">
        <v>2864.9</v>
      </c>
      <c r="BE18" s="38">
        <v>2823.3</v>
      </c>
      <c r="BF18" s="853">
        <f t="shared" si="37"/>
        <v>2823.3</v>
      </c>
      <c r="BG18" s="38">
        <v>2842.2</v>
      </c>
      <c r="BH18" s="38">
        <v>2784.6</v>
      </c>
      <c r="BI18" s="38">
        <v>2789.7</v>
      </c>
      <c r="BJ18" s="38">
        <v>2811.2</v>
      </c>
      <c r="BK18" s="853">
        <f t="shared" si="10"/>
        <v>2811.2</v>
      </c>
      <c r="BL18" s="38">
        <v>2773.2</v>
      </c>
      <c r="BM18" s="38">
        <v>2774.3</v>
      </c>
      <c r="BN18" s="38">
        <v>2799.3</v>
      </c>
      <c r="BO18" s="38">
        <v>2796</v>
      </c>
      <c r="BP18" s="853">
        <f t="shared" ref="BP18:BU18" si="39">BO18</f>
        <v>2796</v>
      </c>
      <c r="BQ18" s="38">
        <v>2787.8</v>
      </c>
      <c r="BR18" s="38">
        <v>2773.7</v>
      </c>
      <c r="BS18" s="38">
        <v>2693.1</v>
      </c>
      <c r="BT18" s="38">
        <v>9441.1</v>
      </c>
      <c r="BU18" s="853">
        <f t="shared" si="39"/>
        <v>9441.1</v>
      </c>
      <c r="BV18" s="38">
        <v>8819.7000000000007</v>
      </c>
      <c r="BW18" s="1348">
        <v>8898.1</v>
      </c>
      <c r="BX18" s="38">
        <v>9408.9</v>
      </c>
      <c r="BY18" s="38">
        <v>9147.7999999999993</v>
      </c>
      <c r="BZ18" s="853">
        <f t="shared" si="11"/>
        <v>9147.7999999999993</v>
      </c>
      <c r="CA18" s="38">
        <v>9539.5</v>
      </c>
      <c r="CB18" s="38">
        <v>9541.2000000000007</v>
      </c>
      <c r="CC18" s="38">
        <v>9434</v>
      </c>
      <c r="CD18" s="38">
        <v>9228</v>
      </c>
      <c r="CE18" s="853">
        <f t="shared" si="12"/>
        <v>9228</v>
      </c>
      <c r="CF18" s="38">
        <v>10293.5</v>
      </c>
      <c r="CG18" s="38">
        <v>10841.6</v>
      </c>
      <c r="CH18" s="38">
        <v>11121.8</v>
      </c>
      <c r="CI18" s="38">
        <v>11062.2</v>
      </c>
      <c r="CJ18" s="853">
        <f t="shared" si="13"/>
        <v>11062.2</v>
      </c>
      <c r="CK18" s="38">
        <v>10904.6</v>
      </c>
      <c r="CL18" s="1070">
        <f t="shared" ref="CL18:CN19" si="40">CK18</f>
        <v>10904.6</v>
      </c>
      <c r="CM18" s="1070">
        <f t="shared" si="40"/>
        <v>10904.6</v>
      </c>
      <c r="CN18" s="1070">
        <f t="shared" si="40"/>
        <v>10904.6</v>
      </c>
      <c r="CO18" s="1091">
        <f t="shared" si="14"/>
        <v>10904.6</v>
      </c>
      <c r="CP18" s="1070">
        <f t="shared" ref="CP18:CS19" si="41">CO18</f>
        <v>10904.6</v>
      </c>
      <c r="CQ18" s="1070">
        <f t="shared" si="41"/>
        <v>10904.6</v>
      </c>
      <c r="CR18" s="1070">
        <f t="shared" si="41"/>
        <v>10904.6</v>
      </c>
      <c r="CS18" s="1070">
        <f t="shared" si="41"/>
        <v>10904.6</v>
      </c>
      <c r="CT18" s="1091">
        <f t="shared" si="15"/>
        <v>10904.6</v>
      </c>
      <c r="CU18" s="1070">
        <f t="shared" ref="CU18:CX19" si="42">CT18</f>
        <v>10904.6</v>
      </c>
      <c r="CV18" s="1070">
        <f t="shared" si="42"/>
        <v>10904.6</v>
      </c>
      <c r="CW18" s="1070">
        <f t="shared" si="42"/>
        <v>10904.6</v>
      </c>
      <c r="CX18" s="1070">
        <f t="shared" si="42"/>
        <v>10904.6</v>
      </c>
      <c r="CY18" s="1091">
        <f t="shared" si="16"/>
        <v>10904.6</v>
      </c>
      <c r="CZ18" s="1070">
        <f t="shared" ref="CZ18:DC19" si="43">CY18</f>
        <v>10904.6</v>
      </c>
      <c r="DA18" s="1070">
        <f t="shared" si="43"/>
        <v>10904.6</v>
      </c>
      <c r="DB18" s="1070">
        <f t="shared" si="43"/>
        <v>10904.6</v>
      </c>
      <c r="DC18" s="1070">
        <f t="shared" si="43"/>
        <v>10904.6</v>
      </c>
      <c r="DD18" s="1091">
        <f t="shared" si="17"/>
        <v>10904.6</v>
      </c>
      <c r="DE18" s="1070">
        <f t="shared" ref="DE18:DH19" si="44">DD18</f>
        <v>10904.6</v>
      </c>
      <c r="DF18" s="1070">
        <f t="shared" si="44"/>
        <v>10904.6</v>
      </c>
      <c r="DG18" s="1070">
        <f t="shared" si="44"/>
        <v>10904.6</v>
      </c>
      <c r="DH18" s="1070">
        <f t="shared" si="44"/>
        <v>10904.6</v>
      </c>
      <c r="DI18" s="1091">
        <f t="shared" si="18"/>
        <v>10904.6</v>
      </c>
      <c r="DJ18" s="1070">
        <f t="shared" ref="DJ18:DM19" si="45">DI18</f>
        <v>10904.6</v>
      </c>
      <c r="DK18" s="1070">
        <f t="shared" si="45"/>
        <v>10904.6</v>
      </c>
      <c r="DL18" s="1070">
        <f t="shared" si="45"/>
        <v>10904.6</v>
      </c>
      <c r="DM18" s="1070">
        <f t="shared" si="45"/>
        <v>10904.6</v>
      </c>
      <c r="DN18" s="1091">
        <f t="shared" si="19"/>
        <v>10904.6</v>
      </c>
      <c r="DO18" s="1070">
        <f t="shared" ref="DO18:DR19" si="46">DN18</f>
        <v>10904.6</v>
      </c>
      <c r="DP18" s="1070">
        <f t="shared" si="46"/>
        <v>10904.6</v>
      </c>
      <c r="DQ18" s="1070">
        <f t="shared" si="46"/>
        <v>10904.6</v>
      </c>
      <c r="DR18" s="1070">
        <f t="shared" si="46"/>
        <v>10904.6</v>
      </c>
      <c r="DS18" s="1091">
        <f t="shared" si="20"/>
        <v>10904.6</v>
      </c>
      <c r="DT18" s="1070">
        <f t="shared" ref="DT18:DT19" si="47">DS18</f>
        <v>10904.6</v>
      </c>
      <c r="DU18" s="1070">
        <f t="shared" ref="DU18:DU19" si="48">DT18</f>
        <v>10904.6</v>
      </c>
      <c r="DV18" s="1070">
        <f t="shared" ref="DV18:DV19" si="49">DU18</f>
        <v>10904.6</v>
      </c>
      <c r="DW18" s="1070">
        <f t="shared" ref="DW18:DW19" si="50">DV18</f>
        <v>10904.6</v>
      </c>
      <c r="DX18" s="1091">
        <f t="shared" si="7"/>
        <v>10904.6</v>
      </c>
      <c r="DY18" s="16"/>
      <c r="DZ18" s="16"/>
      <c r="EA18" s="78"/>
      <c r="EB18" s="16"/>
      <c r="EC18" s="16"/>
      <c r="ED18" s="471"/>
      <c r="EE18" s="16"/>
      <c r="EF18" s="16"/>
    </row>
    <row r="19" spans="1:136" x14ac:dyDescent="0.2">
      <c r="A19" s="497" t="s">
        <v>264</v>
      </c>
      <c r="B19" s="174"/>
      <c r="C19" s="20"/>
      <c r="D19" s="20"/>
      <c r="E19" s="20"/>
      <c r="F19" s="20"/>
      <c r="G19" s="174"/>
      <c r="H19" s="20"/>
      <c r="I19" s="20"/>
      <c r="J19" s="20"/>
      <c r="K19" s="20"/>
      <c r="L19" s="174"/>
      <c r="M19" s="20"/>
      <c r="N19" s="20"/>
      <c r="O19" s="20"/>
      <c r="P19" s="20"/>
      <c r="Q19" s="174"/>
      <c r="R19" s="20"/>
      <c r="S19" s="180"/>
      <c r="T19" s="20"/>
      <c r="U19" s="20">
        <f t="shared" si="0"/>
        <v>17</v>
      </c>
      <c r="V19" s="174">
        <v>17</v>
      </c>
      <c r="W19" s="20" t="s">
        <v>540</v>
      </c>
      <c r="X19" s="20" t="s">
        <v>540</v>
      </c>
      <c r="Y19" s="20" t="s">
        <v>540</v>
      </c>
      <c r="Z19" s="38">
        <v>20</v>
      </c>
      <c r="AA19" s="40">
        <f t="shared" si="8"/>
        <v>20</v>
      </c>
      <c r="AB19" s="38">
        <v>20</v>
      </c>
      <c r="AC19" s="38">
        <v>22</v>
      </c>
      <c r="AD19" s="38">
        <v>23</v>
      </c>
      <c r="AE19" s="38">
        <f>AF19</f>
        <v>23</v>
      </c>
      <c r="AF19" s="40">
        <v>23</v>
      </c>
      <c r="AG19" s="38">
        <v>23</v>
      </c>
      <c r="AH19" s="38">
        <v>23</v>
      </c>
      <c r="AI19" s="38">
        <v>23</v>
      </c>
      <c r="AJ19" s="38">
        <v>27</v>
      </c>
      <c r="AK19" s="40">
        <v>27</v>
      </c>
      <c r="AL19" s="38">
        <v>27</v>
      </c>
      <c r="AM19" s="38">
        <v>26</v>
      </c>
      <c r="AN19" s="38">
        <v>26</v>
      </c>
      <c r="AO19" s="38">
        <v>26.4</v>
      </c>
      <c r="AP19" s="853">
        <f t="shared" si="21"/>
        <v>26.4</v>
      </c>
      <c r="AQ19" s="38">
        <v>26.4</v>
      </c>
      <c r="AR19" s="38">
        <v>26.4</v>
      </c>
      <c r="AS19" s="38">
        <v>30.8</v>
      </c>
      <c r="AT19" s="38">
        <v>31</v>
      </c>
      <c r="AU19" s="853">
        <f t="shared" si="22"/>
        <v>31</v>
      </c>
      <c r="AV19" s="1801"/>
      <c r="AW19" s="38">
        <f t="shared" si="38"/>
        <v>30.8</v>
      </c>
      <c r="AX19" s="38">
        <f t="shared" si="38"/>
        <v>31</v>
      </c>
      <c r="AY19" s="38">
        <v>31.3</v>
      </c>
      <c r="AZ19" s="38">
        <v>666.5</v>
      </c>
      <c r="BA19" s="40">
        <f t="shared" si="9"/>
        <v>666.5</v>
      </c>
      <c r="BB19" s="38">
        <v>529</v>
      </c>
      <c r="BC19" s="38">
        <v>634.4</v>
      </c>
      <c r="BD19" s="38">
        <v>690.2</v>
      </c>
      <c r="BE19" s="38">
        <v>657.7</v>
      </c>
      <c r="BF19" s="853">
        <f t="shared" si="37"/>
        <v>657.7</v>
      </c>
      <c r="BG19" s="38">
        <v>663.1</v>
      </c>
      <c r="BH19" s="38">
        <v>639.79999999999995</v>
      </c>
      <c r="BI19" s="38">
        <v>640.6</v>
      </c>
      <c r="BJ19" s="38">
        <v>619.20000000000005</v>
      </c>
      <c r="BK19" s="853">
        <f t="shared" si="10"/>
        <v>619.20000000000005</v>
      </c>
      <c r="BL19" s="38">
        <v>613.20000000000005</v>
      </c>
      <c r="BM19" s="38">
        <v>619.5</v>
      </c>
      <c r="BN19" s="38">
        <v>626.5</v>
      </c>
      <c r="BO19" s="38">
        <v>630</v>
      </c>
      <c r="BP19" s="853">
        <f t="shared" ref="BP19:BU19" si="51">BO19</f>
        <v>630</v>
      </c>
      <c r="BQ19" s="38">
        <v>630.20000000000005</v>
      </c>
      <c r="BR19" s="38">
        <v>629</v>
      </c>
      <c r="BS19" s="38">
        <v>612.9</v>
      </c>
      <c r="BT19" s="38">
        <v>5851.3</v>
      </c>
      <c r="BU19" s="853">
        <f t="shared" si="51"/>
        <v>5851.3</v>
      </c>
      <c r="BV19" s="38">
        <v>5360.2</v>
      </c>
      <c r="BW19" s="1348">
        <v>5437.9</v>
      </c>
      <c r="BX19" s="38">
        <v>4617.3</v>
      </c>
      <c r="BY19" s="38">
        <v>4574.3999999999996</v>
      </c>
      <c r="BZ19" s="853">
        <f t="shared" si="11"/>
        <v>4574.3999999999996</v>
      </c>
      <c r="CA19" s="38">
        <v>4797.7</v>
      </c>
      <c r="CB19" s="38">
        <v>4815.7</v>
      </c>
      <c r="CC19" s="38">
        <v>4762</v>
      </c>
      <c r="CD19" s="38">
        <v>4675.1000000000004</v>
      </c>
      <c r="CE19" s="853">
        <f t="shared" si="12"/>
        <v>4675.1000000000004</v>
      </c>
      <c r="CF19" s="38">
        <v>5787.3</v>
      </c>
      <c r="CG19" s="38">
        <v>5683.7</v>
      </c>
      <c r="CH19" s="38">
        <v>5810.3</v>
      </c>
      <c r="CI19" s="38">
        <v>5782.3</v>
      </c>
      <c r="CJ19" s="853">
        <f t="shared" si="13"/>
        <v>5782.3</v>
      </c>
      <c r="CK19" s="38">
        <v>5693.5</v>
      </c>
      <c r="CL19" s="1070">
        <f t="shared" si="40"/>
        <v>5693.5</v>
      </c>
      <c r="CM19" s="1070">
        <f t="shared" si="40"/>
        <v>5693.5</v>
      </c>
      <c r="CN19" s="1070">
        <f t="shared" si="40"/>
        <v>5693.5</v>
      </c>
      <c r="CO19" s="1091">
        <f t="shared" si="14"/>
        <v>5693.5</v>
      </c>
      <c r="CP19" s="1070">
        <f t="shared" si="41"/>
        <v>5693.5</v>
      </c>
      <c r="CQ19" s="1070">
        <f t="shared" si="41"/>
        <v>5693.5</v>
      </c>
      <c r="CR19" s="1070">
        <f t="shared" si="41"/>
        <v>5693.5</v>
      </c>
      <c r="CS19" s="1070">
        <f t="shared" si="41"/>
        <v>5693.5</v>
      </c>
      <c r="CT19" s="1091">
        <f t="shared" si="15"/>
        <v>5693.5</v>
      </c>
      <c r="CU19" s="1070">
        <f t="shared" si="42"/>
        <v>5693.5</v>
      </c>
      <c r="CV19" s="1070">
        <f t="shared" si="42"/>
        <v>5693.5</v>
      </c>
      <c r="CW19" s="1070">
        <f t="shared" si="42"/>
        <v>5693.5</v>
      </c>
      <c r="CX19" s="1070">
        <f t="shared" si="42"/>
        <v>5693.5</v>
      </c>
      <c r="CY19" s="1091">
        <f t="shared" si="16"/>
        <v>5693.5</v>
      </c>
      <c r="CZ19" s="1070">
        <f t="shared" si="43"/>
        <v>5693.5</v>
      </c>
      <c r="DA19" s="1070">
        <f t="shared" si="43"/>
        <v>5693.5</v>
      </c>
      <c r="DB19" s="1070">
        <f t="shared" si="43"/>
        <v>5693.5</v>
      </c>
      <c r="DC19" s="1070">
        <f t="shared" si="43"/>
        <v>5693.5</v>
      </c>
      <c r="DD19" s="1091">
        <f t="shared" si="17"/>
        <v>5693.5</v>
      </c>
      <c r="DE19" s="1070">
        <f t="shared" si="44"/>
        <v>5693.5</v>
      </c>
      <c r="DF19" s="1070">
        <f t="shared" si="44"/>
        <v>5693.5</v>
      </c>
      <c r="DG19" s="1070">
        <f t="shared" si="44"/>
        <v>5693.5</v>
      </c>
      <c r="DH19" s="1070">
        <f t="shared" si="44"/>
        <v>5693.5</v>
      </c>
      <c r="DI19" s="1091">
        <f t="shared" si="18"/>
        <v>5693.5</v>
      </c>
      <c r="DJ19" s="1070">
        <f t="shared" si="45"/>
        <v>5693.5</v>
      </c>
      <c r="DK19" s="1070">
        <f t="shared" si="45"/>
        <v>5693.5</v>
      </c>
      <c r="DL19" s="1070">
        <f t="shared" si="45"/>
        <v>5693.5</v>
      </c>
      <c r="DM19" s="1070">
        <f t="shared" si="45"/>
        <v>5693.5</v>
      </c>
      <c r="DN19" s="1091">
        <f t="shared" si="19"/>
        <v>5693.5</v>
      </c>
      <c r="DO19" s="1070">
        <f t="shared" si="46"/>
        <v>5693.5</v>
      </c>
      <c r="DP19" s="1070">
        <f t="shared" si="46"/>
        <v>5693.5</v>
      </c>
      <c r="DQ19" s="1070">
        <f t="shared" si="46"/>
        <v>5693.5</v>
      </c>
      <c r="DR19" s="1070">
        <f t="shared" si="46"/>
        <v>5693.5</v>
      </c>
      <c r="DS19" s="1091">
        <f t="shared" si="20"/>
        <v>5693.5</v>
      </c>
      <c r="DT19" s="1070">
        <f t="shared" si="47"/>
        <v>5693.5</v>
      </c>
      <c r="DU19" s="1070">
        <f t="shared" si="48"/>
        <v>5693.5</v>
      </c>
      <c r="DV19" s="1070">
        <f t="shared" si="49"/>
        <v>5693.5</v>
      </c>
      <c r="DW19" s="1070">
        <f t="shared" si="50"/>
        <v>5693.5</v>
      </c>
      <c r="DX19" s="1091">
        <f t="shared" si="7"/>
        <v>5693.5</v>
      </c>
      <c r="DY19" s="16"/>
      <c r="DZ19" s="16"/>
      <c r="EA19" s="78"/>
      <c r="EB19" s="16"/>
      <c r="EC19" s="16"/>
      <c r="ED19" s="471"/>
      <c r="EE19" s="16"/>
      <c r="EF19" s="16"/>
    </row>
    <row r="20" spans="1:136" x14ac:dyDescent="0.2">
      <c r="A20" s="497" t="s">
        <v>265</v>
      </c>
      <c r="B20" s="174"/>
      <c r="C20" s="20"/>
      <c r="D20" s="20"/>
      <c r="E20" s="20"/>
      <c r="F20" s="20"/>
      <c r="G20" s="174"/>
      <c r="H20" s="20"/>
      <c r="I20" s="20"/>
      <c r="J20" s="20"/>
      <c r="K20" s="20"/>
      <c r="L20" s="174"/>
      <c r="M20" s="20"/>
      <c r="N20" s="20"/>
      <c r="O20" s="20"/>
      <c r="P20" s="20"/>
      <c r="Q20" s="174"/>
      <c r="R20" s="20"/>
      <c r="S20" s="180"/>
      <c r="T20" s="20"/>
      <c r="U20" s="20">
        <f t="shared" si="0"/>
        <v>149</v>
      </c>
      <c r="V20" s="174">
        <v>149</v>
      </c>
      <c r="W20" s="20" t="s">
        <v>540</v>
      </c>
      <c r="X20" s="20" t="s">
        <v>540</v>
      </c>
      <c r="Y20" s="20" t="s">
        <v>540</v>
      </c>
      <c r="Z20" s="38">
        <v>148</v>
      </c>
      <c r="AA20" s="40">
        <f t="shared" si="8"/>
        <v>148</v>
      </c>
      <c r="AB20" s="38">
        <v>146</v>
      </c>
      <c r="AC20" s="38">
        <v>146</v>
      </c>
      <c r="AD20" s="38">
        <v>144</v>
      </c>
      <c r="AE20" s="38">
        <f>AF20</f>
        <v>142</v>
      </c>
      <c r="AF20" s="40">
        <v>142</v>
      </c>
      <c r="AG20" s="38">
        <v>138</v>
      </c>
      <c r="AH20" s="38">
        <v>135</v>
      </c>
      <c r="AI20" s="38">
        <v>135</v>
      </c>
      <c r="AJ20" s="38">
        <v>135</v>
      </c>
      <c r="AK20" s="40">
        <v>135</v>
      </c>
      <c r="AL20" s="38">
        <v>132</v>
      </c>
      <c r="AM20" s="38">
        <v>132</v>
      </c>
      <c r="AN20" s="38">
        <v>132</v>
      </c>
      <c r="AO20" s="38">
        <v>135.30000000000001</v>
      </c>
      <c r="AP20" s="853">
        <f t="shared" si="21"/>
        <v>135.30000000000001</v>
      </c>
      <c r="AQ20" s="38">
        <v>135.4</v>
      </c>
      <c r="AR20" s="38">
        <v>135.5</v>
      </c>
      <c r="AS20" s="38">
        <v>138.69999999999999</v>
      </c>
      <c r="AT20" s="38">
        <v>138.5</v>
      </c>
      <c r="AU20" s="853">
        <f t="shared" si="22"/>
        <v>138.5</v>
      </c>
      <c r="AV20" s="1801"/>
      <c r="AW20" s="38">
        <f t="shared" si="38"/>
        <v>138.69999999999999</v>
      </c>
      <c r="AX20" s="38">
        <f t="shared" si="38"/>
        <v>138.5</v>
      </c>
      <c r="AY20" s="38">
        <v>140.6</v>
      </c>
      <c r="AZ20" s="38">
        <v>255.5</v>
      </c>
      <c r="BA20" s="40">
        <f t="shared" si="9"/>
        <v>255.5</v>
      </c>
      <c r="BB20" s="38">
        <v>138.19999999999999</v>
      </c>
      <c r="BC20" s="38">
        <v>255.1</v>
      </c>
      <c r="BD20" s="38">
        <v>250.2</v>
      </c>
      <c r="BE20" s="38">
        <v>242.2</v>
      </c>
      <c r="BF20" s="853">
        <f t="shared" si="37"/>
        <v>242.2</v>
      </c>
      <c r="BG20" s="38">
        <v>239.2</v>
      </c>
      <c r="BH20" s="38">
        <v>232.9</v>
      </c>
      <c r="BI20" s="38">
        <v>229.1</v>
      </c>
      <c r="BJ20" s="38">
        <v>180.4</v>
      </c>
      <c r="BK20" s="853">
        <f t="shared" si="10"/>
        <v>180.4</v>
      </c>
      <c r="BL20" s="38">
        <v>176.3</v>
      </c>
      <c r="BM20" s="38">
        <v>171.4</v>
      </c>
      <c r="BN20" s="38">
        <v>167.4</v>
      </c>
      <c r="BO20" s="38">
        <v>163.1</v>
      </c>
      <c r="BP20" s="853">
        <f>BO20</f>
        <v>163.1</v>
      </c>
      <c r="BQ20" s="38">
        <v>156.4</v>
      </c>
      <c r="BR20" s="38">
        <v>151.4</v>
      </c>
      <c r="BS20" s="38">
        <v>145.1</v>
      </c>
      <c r="BT20" s="38">
        <v>140.5</v>
      </c>
      <c r="BU20" s="853">
        <f>BT20</f>
        <v>140.5</v>
      </c>
      <c r="BV20" s="38">
        <v>135.1</v>
      </c>
      <c r="BW20" s="1348">
        <v>130.80000000000001</v>
      </c>
      <c r="BX20" s="38">
        <v>123.4</v>
      </c>
      <c r="BY20" s="38">
        <v>117.2</v>
      </c>
      <c r="BZ20" s="853">
        <f t="shared" si="11"/>
        <v>117.2</v>
      </c>
      <c r="CA20" s="38">
        <v>111.2</v>
      </c>
      <c r="CB20" s="38">
        <v>106.5</v>
      </c>
      <c r="CC20" s="38">
        <v>100.1</v>
      </c>
      <c r="CD20" s="38">
        <v>91.9</v>
      </c>
      <c r="CE20" s="853">
        <f t="shared" si="12"/>
        <v>91.9</v>
      </c>
      <c r="CF20" s="38">
        <v>85.3</v>
      </c>
      <c r="CG20" s="38">
        <v>81.5</v>
      </c>
      <c r="CH20" s="38">
        <v>76.099999999999994</v>
      </c>
      <c r="CI20" s="38">
        <v>71.3</v>
      </c>
      <c r="CJ20" s="853">
        <f t="shared" si="13"/>
        <v>71.3</v>
      </c>
      <c r="CK20" s="38">
        <v>66.900000000000006</v>
      </c>
      <c r="CL20" s="1070">
        <f>CK20-'CF '!CL45</f>
        <v>66.900000000000006</v>
      </c>
      <c r="CM20" s="1070">
        <f>CL20-'CF '!CM45</f>
        <v>66.900000000000006</v>
      </c>
      <c r="CN20" s="1070">
        <f>CM20-'CF '!CN45</f>
        <v>66.900000000000006</v>
      </c>
      <c r="CO20" s="1091">
        <f t="shared" si="14"/>
        <v>66.900000000000006</v>
      </c>
      <c r="CP20" s="1070">
        <f>CO20-'CF '!CP45</f>
        <v>66.900000000000006</v>
      </c>
      <c r="CQ20" s="1070">
        <f>CP20-'CF '!CQ45</f>
        <v>66.900000000000006</v>
      </c>
      <c r="CR20" s="1070">
        <f>CQ20-'CF '!CR45</f>
        <v>66.900000000000006</v>
      </c>
      <c r="CS20" s="1070">
        <f>CR20-'CF '!CS45</f>
        <v>66.900000000000006</v>
      </c>
      <c r="CT20" s="1091">
        <f t="shared" si="15"/>
        <v>66.900000000000006</v>
      </c>
      <c r="CU20" s="1070">
        <f>CT20-'CF '!CU45</f>
        <v>66.900000000000006</v>
      </c>
      <c r="CV20" s="1070">
        <f>CU20-'CF '!CV45</f>
        <v>66.900000000000006</v>
      </c>
      <c r="CW20" s="1070">
        <f>CV20-'CF '!CW45</f>
        <v>66.900000000000006</v>
      </c>
      <c r="CX20" s="1070">
        <f>CW20-'CF '!CX45</f>
        <v>66.900000000000006</v>
      </c>
      <c r="CY20" s="1091">
        <f t="shared" si="16"/>
        <v>66.900000000000006</v>
      </c>
      <c r="CZ20" s="1070">
        <f>CY20-'CF '!CZ45</f>
        <v>66.900000000000006</v>
      </c>
      <c r="DA20" s="1070">
        <f>CZ20-'CF '!DA45</f>
        <v>66.900000000000006</v>
      </c>
      <c r="DB20" s="1070">
        <f>DA20-'CF '!DB45</f>
        <v>66.900000000000006</v>
      </c>
      <c r="DC20" s="1070">
        <f>DB20-'CF '!DC45</f>
        <v>66.900000000000006</v>
      </c>
      <c r="DD20" s="1091">
        <f t="shared" si="17"/>
        <v>66.900000000000006</v>
      </c>
      <c r="DE20" s="1070">
        <f>DD20-'CF '!DE45</f>
        <v>66.900000000000006</v>
      </c>
      <c r="DF20" s="1070">
        <f>DE20-'CF '!DF45</f>
        <v>66.900000000000006</v>
      </c>
      <c r="DG20" s="1070">
        <f>DF20-'CF '!DG45</f>
        <v>66.900000000000006</v>
      </c>
      <c r="DH20" s="1070">
        <f>DG20-'CF '!DH45</f>
        <v>66.900000000000006</v>
      </c>
      <c r="DI20" s="1091">
        <f t="shared" si="18"/>
        <v>66.900000000000006</v>
      </c>
      <c r="DJ20" s="1070">
        <f>DI20-'CF '!DJ45</f>
        <v>66.900000000000006</v>
      </c>
      <c r="DK20" s="1070">
        <f>DJ20-'CF '!DK45</f>
        <v>66.900000000000006</v>
      </c>
      <c r="DL20" s="1070">
        <f>DK20-'CF '!DL45</f>
        <v>66.900000000000006</v>
      </c>
      <c r="DM20" s="1070">
        <f>DL20-'CF '!DM45</f>
        <v>66.900000000000006</v>
      </c>
      <c r="DN20" s="1091">
        <f t="shared" si="19"/>
        <v>66.900000000000006</v>
      </c>
      <c r="DO20" s="1070">
        <f>DN20-'CF '!DO45</f>
        <v>66.900000000000006</v>
      </c>
      <c r="DP20" s="1070">
        <f>DO20-'CF '!DP45</f>
        <v>66.900000000000006</v>
      </c>
      <c r="DQ20" s="1070">
        <f>DP20-'CF '!DQ45</f>
        <v>66.900000000000006</v>
      </c>
      <c r="DR20" s="1070">
        <f>DQ20-'CF '!DR45</f>
        <v>66.900000000000006</v>
      </c>
      <c r="DS20" s="1091">
        <f t="shared" si="20"/>
        <v>66.900000000000006</v>
      </c>
      <c r="DT20" s="1070">
        <f>DS20-'CF '!DT45</f>
        <v>66.900000000000006</v>
      </c>
      <c r="DU20" s="1070">
        <f>DT20-'CF '!DU45</f>
        <v>66.900000000000006</v>
      </c>
      <c r="DV20" s="1070">
        <f>DU20-'CF '!DV45</f>
        <v>66.900000000000006</v>
      </c>
      <c r="DW20" s="1070">
        <f>DV20-'CF '!DW45</f>
        <v>66.900000000000006</v>
      </c>
      <c r="DX20" s="1091">
        <f t="shared" si="7"/>
        <v>66.900000000000006</v>
      </c>
      <c r="DY20" s="16"/>
      <c r="DZ20" s="16"/>
      <c r="EA20" s="78"/>
      <c r="EB20" s="16"/>
      <c r="EC20" s="16"/>
      <c r="ED20" s="471"/>
      <c r="EE20" s="16"/>
      <c r="EF20" s="16"/>
    </row>
    <row r="21" spans="1:136" ht="10.5" customHeight="1" x14ac:dyDescent="0.2">
      <c r="A21" s="497" t="s">
        <v>266</v>
      </c>
      <c r="B21" s="174"/>
      <c r="C21" s="20"/>
      <c r="D21" s="20"/>
      <c r="E21" s="20"/>
      <c r="F21" s="20"/>
      <c r="G21" s="174"/>
      <c r="H21" s="20"/>
      <c r="I21" s="20"/>
      <c r="J21" s="20"/>
      <c r="K21" s="20"/>
      <c r="L21" s="174"/>
      <c r="M21" s="20"/>
      <c r="N21" s="20"/>
      <c r="O21" s="20"/>
      <c r="P21" s="20"/>
      <c r="Q21" s="174"/>
      <c r="R21" s="20"/>
      <c r="S21" s="180"/>
      <c r="T21" s="20"/>
      <c r="U21" s="20">
        <f t="shared" si="0"/>
        <v>29</v>
      </c>
      <c r="V21" s="174">
        <v>29</v>
      </c>
      <c r="W21" s="20" t="s">
        <v>540</v>
      </c>
      <c r="X21" s="20" t="s">
        <v>540</v>
      </c>
      <c r="Y21" s="20" t="s">
        <v>540</v>
      </c>
      <c r="Z21" s="38">
        <v>70</v>
      </c>
      <c r="AA21" s="40">
        <f t="shared" si="8"/>
        <v>70</v>
      </c>
      <c r="AB21" s="38">
        <v>42</v>
      </c>
      <c r="AC21" s="38">
        <v>76</v>
      </c>
      <c r="AD21" s="38">
        <v>78</v>
      </c>
      <c r="AE21" s="38">
        <f>AF21</f>
        <v>83</v>
      </c>
      <c r="AF21" s="40">
        <v>83</v>
      </c>
      <c r="AG21" s="38">
        <v>102</v>
      </c>
      <c r="AH21" s="38">
        <v>108</v>
      </c>
      <c r="AI21" s="38">
        <v>104</v>
      </c>
      <c r="AJ21" s="38">
        <v>105</v>
      </c>
      <c r="AK21" s="40">
        <v>105</v>
      </c>
      <c r="AL21" s="38">
        <v>101</v>
      </c>
      <c r="AM21" s="38">
        <v>97</v>
      </c>
      <c r="AN21" s="38">
        <v>94</v>
      </c>
      <c r="AO21" s="38">
        <v>98.9</v>
      </c>
      <c r="AP21" s="853">
        <f t="shared" si="21"/>
        <v>98.9</v>
      </c>
      <c r="AQ21" s="38">
        <v>99.4</v>
      </c>
      <c r="AR21" s="38">
        <v>98</v>
      </c>
      <c r="AS21" s="38">
        <v>103.4</v>
      </c>
      <c r="AT21" s="38">
        <v>104.2</v>
      </c>
      <c r="AU21" s="853">
        <f t="shared" si="22"/>
        <v>104.2</v>
      </c>
      <c r="AV21" s="1801"/>
      <c r="AW21" s="38">
        <f t="shared" si="38"/>
        <v>103.4</v>
      </c>
      <c r="AX21" s="38">
        <f t="shared" si="38"/>
        <v>104.2</v>
      </c>
      <c r="AY21" s="38">
        <v>116.1</v>
      </c>
      <c r="AZ21" s="38">
        <v>200.3</v>
      </c>
      <c r="BA21" s="40">
        <f t="shared" si="9"/>
        <v>200.3</v>
      </c>
      <c r="BB21" s="38">
        <v>231.1</v>
      </c>
      <c r="BC21" s="38">
        <v>207.1</v>
      </c>
      <c r="BD21" s="38">
        <v>127.3</v>
      </c>
      <c r="BE21" s="38">
        <v>134.6</v>
      </c>
      <c r="BF21" s="853">
        <f t="shared" si="37"/>
        <v>134.6</v>
      </c>
      <c r="BG21" s="38">
        <v>102.9</v>
      </c>
      <c r="BH21" s="38">
        <v>185.1</v>
      </c>
      <c r="BI21" s="38">
        <v>169.2</v>
      </c>
      <c r="BJ21" s="38">
        <v>177.5</v>
      </c>
      <c r="BK21" s="853">
        <f t="shared" si="10"/>
        <v>177.5</v>
      </c>
      <c r="BL21" s="38">
        <v>194.7</v>
      </c>
      <c r="BM21" s="38">
        <v>313</v>
      </c>
      <c r="BN21" s="38">
        <v>306.89999999999998</v>
      </c>
      <c r="BO21" s="38">
        <v>363.5</v>
      </c>
      <c r="BP21" s="853">
        <f t="shared" ref="BP21:BU21" si="52">BO21</f>
        <v>363.5</v>
      </c>
      <c r="BQ21" s="38">
        <v>297.2</v>
      </c>
      <c r="BR21" s="38">
        <v>236.4</v>
      </c>
      <c r="BS21" s="38">
        <v>215.1</v>
      </c>
      <c r="BT21" s="38">
        <v>530.4</v>
      </c>
      <c r="BU21" s="853">
        <f t="shared" si="52"/>
        <v>530.4</v>
      </c>
      <c r="BV21" s="38">
        <v>936.6</v>
      </c>
      <c r="BW21" s="1348">
        <v>763.6</v>
      </c>
      <c r="BX21" s="38">
        <v>1031.5</v>
      </c>
      <c r="BY21" s="38">
        <v>1051.5999999999999</v>
      </c>
      <c r="BZ21" s="853">
        <f t="shared" si="11"/>
        <v>1051.5999999999999</v>
      </c>
      <c r="CA21" s="38">
        <v>865.5</v>
      </c>
      <c r="CB21" s="38">
        <v>877.4</v>
      </c>
      <c r="CC21" s="38">
        <v>924.3</v>
      </c>
      <c r="CD21" s="38">
        <f>717.9+260.3</f>
        <v>978.2</v>
      </c>
      <c r="CE21" s="853">
        <f t="shared" si="12"/>
        <v>978.2</v>
      </c>
      <c r="CF21" s="38">
        <f>659.8+279</f>
        <v>938.8</v>
      </c>
      <c r="CG21" s="38">
        <v>363.1</v>
      </c>
      <c r="CH21" s="38">
        <f>421.3+110.8</f>
        <v>532.1</v>
      </c>
      <c r="CI21" s="38">
        <v>424.8</v>
      </c>
      <c r="CJ21" s="853">
        <f t="shared" si="13"/>
        <v>424.8</v>
      </c>
      <c r="CK21" s="38">
        <v>539.4</v>
      </c>
      <c r="CL21" s="1070">
        <f>CK21+-'CF '!CL36</f>
        <v>553.15</v>
      </c>
      <c r="CM21" s="1070">
        <f>CL21+-'CF '!CM36</f>
        <v>566.9</v>
      </c>
      <c r="CN21" s="1070">
        <f>CM21+-'CF '!CN36</f>
        <v>580.65</v>
      </c>
      <c r="CO21" s="1091">
        <f t="shared" si="14"/>
        <v>580.65</v>
      </c>
      <c r="CP21" s="1070">
        <f>CO21+-'CF '!CP36</f>
        <v>591.9</v>
      </c>
      <c r="CQ21" s="1070">
        <f>CP21+-'CF '!CQ36</f>
        <v>603.15</v>
      </c>
      <c r="CR21" s="1070">
        <f>CQ21+-'CF '!CR36</f>
        <v>614.4</v>
      </c>
      <c r="CS21" s="1070">
        <f>CR21+-'CF '!CS36</f>
        <v>625.65</v>
      </c>
      <c r="CT21" s="1091">
        <f t="shared" si="15"/>
        <v>625.65</v>
      </c>
      <c r="CU21" s="1070">
        <f>CT21+-'CF '!CU36</f>
        <v>636.9</v>
      </c>
      <c r="CV21" s="1070">
        <f>CU21+-'CF '!CV36</f>
        <v>648.15</v>
      </c>
      <c r="CW21" s="1070">
        <f>CV21+-'CF '!CW36</f>
        <v>659.4</v>
      </c>
      <c r="CX21" s="1070">
        <f>CW21+-'CF '!CX36</f>
        <v>670.65</v>
      </c>
      <c r="CY21" s="1091">
        <f t="shared" si="16"/>
        <v>670.65</v>
      </c>
      <c r="CZ21" s="1070">
        <f>CY21+-'CF '!CZ36</f>
        <v>681.9</v>
      </c>
      <c r="DA21" s="1070">
        <f>CZ21+-'CF '!DA36</f>
        <v>693.15</v>
      </c>
      <c r="DB21" s="1070">
        <f>DA21+-'CF '!DB36</f>
        <v>704.4</v>
      </c>
      <c r="DC21" s="1070">
        <f>DB21+-'CF '!DC36</f>
        <v>715.65</v>
      </c>
      <c r="DD21" s="1091">
        <f t="shared" si="17"/>
        <v>715.65</v>
      </c>
      <c r="DE21" s="1070">
        <f>DD21</f>
        <v>715.65</v>
      </c>
      <c r="DF21" s="1070">
        <f>DE21</f>
        <v>715.65</v>
      </c>
      <c r="DG21" s="1070">
        <f>DF21</f>
        <v>715.65</v>
      </c>
      <c r="DH21" s="1070">
        <f>DG21</f>
        <v>715.65</v>
      </c>
      <c r="DI21" s="1091">
        <f t="shared" si="18"/>
        <v>715.65</v>
      </c>
      <c r="DJ21" s="1070">
        <f>DI21</f>
        <v>715.65</v>
      </c>
      <c r="DK21" s="1070">
        <f>DJ21</f>
        <v>715.65</v>
      </c>
      <c r="DL21" s="1070">
        <f>DK21</f>
        <v>715.65</v>
      </c>
      <c r="DM21" s="1070">
        <f>DL21</f>
        <v>715.65</v>
      </c>
      <c r="DN21" s="1091">
        <f t="shared" si="19"/>
        <v>715.65</v>
      </c>
      <c r="DO21" s="1070">
        <f>DN21</f>
        <v>715.65</v>
      </c>
      <c r="DP21" s="1070">
        <f>DO21</f>
        <v>715.65</v>
      </c>
      <c r="DQ21" s="1070">
        <f>DP21</f>
        <v>715.65</v>
      </c>
      <c r="DR21" s="1070">
        <f>DQ21</f>
        <v>715.65</v>
      </c>
      <c r="DS21" s="1091">
        <f t="shared" si="20"/>
        <v>715.65</v>
      </c>
      <c r="DT21" s="1070">
        <f>DS21</f>
        <v>715.65</v>
      </c>
      <c r="DU21" s="1070">
        <f>DT21</f>
        <v>715.65</v>
      </c>
      <c r="DV21" s="1070">
        <f>DU21</f>
        <v>715.65</v>
      </c>
      <c r="DW21" s="1070">
        <f>DV21</f>
        <v>715.65</v>
      </c>
      <c r="DX21" s="1091">
        <f t="shared" si="7"/>
        <v>715.65</v>
      </c>
      <c r="DY21" s="16"/>
      <c r="DZ21" s="16"/>
      <c r="EA21" s="78"/>
      <c r="EB21" s="16"/>
      <c r="EC21" s="16"/>
      <c r="ED21" s="471"/>
      <c r="EE21" s="16"/>
      <c r="EF21" s="16"/>
    </row>
    <row r="22" spans="1:136" x14ac:dyDescent="0.2">
      <c r="A22" s="500" t="s">
        <v>188</v>
      </c>
      <c r="B22" s="167"/>
      <c r="C22" s="168"/>
      <c r="D22" s="168"/>
      <c r="E22" s="168"/>
      <c r="F22" s="168"/>
      <c r="G22" s="167"/>
      <c r="H22" s="168"/>
      <c r="I22" s="168"/>
      <c r="J22" s="168"/>
      <c r="K22" s="168"/>
      <c r="L22" s="167"/>
      <c r="M22" s="168"/>
      <c r="N22" s="168"/>
      <c r="O22" s="168"/>
      <c r="P22" s="168"/>
      <c r="Q22" s="167"/>
      <c r="R22" s="168"/>
      <c r="S22" s="187"/>
      <c r="T22" s="168"/>
      <c r="U22" s="168">
        <f>SUM(U16:U21)</f>
        <v>2723</v>
      </c>
      <c r="V22" s="167">
        <f>SUM(V16:V21)</f>
        <v>2723</v>
      </c>
      <c r="W22" s="168"/>
      <c r="X22" s="168"/>
      <c r="Y22" s="168"/>
      <c r="Z22" s="335">
        <f t="shared" ref="Z22:AY22" si="53">SUM(Z16:Z21)</f>
        <v>2552</v>
      </c>
      <c r="AA22" s="798">
        <f t="shared" si="53"/>
        <v>2552</v>
      </c>
      <c r="AB22" s="335">
        <f t="shared" si="53"/>
        <v>2413</v>
      </c>
      <c r="AC22" s="335">
        <f t="shared" si="53"/>
        <v>2431</v>
      </c>
      <c r="AD22" s="335">
        <f t="shared" si="53"/>
        <v>2433</v>
      </c>
      <c r="AE22" s="335">
        <f t="shared" si="53"/>
        <v>2517</v>
      </c>
      <c r="AF22" s="798">
        <f t="shared" si="53"/>
        <v>2517</v>
      </c>
      <c r="AG22" s="335">
        <f t="shared" si="53"/>
        <v>2530</v>
      </c>
      <c r="AH22" s="335">
        <f t="shared" si="53"/>
        <v>2572</v>
      </c>
      <c r="AI22" s="335">
        <f t="shared" si="53"/>
        <v>2580</v>
      </c>
      <c r="AJ22" s="335">
        <f t="shared" si="53"/>
        <v>2687</v>
      </c>
      <c r="AK22" s="798">
        <f t="shared" si="53"/>
        <v>2687</v>
      </c>
      <c r="AL22" s="335">
        <f t="shared" si="53"/>
        <v>2662</v>
      </c>
      <c r="AM22" s="335">
        <f t="shared" si="53"/>
        <v>2637</v>
      </c>
      <c r="AN22" s="335">
        <f t="shared" si="53"/>
        <v>2612</v>
      </c>
      <c r="AO22" s="335">
        <f t="shared" si="53"/>
        <v>2707.1000000000004</v>
      </c>
      <c r="AP22" s="855">
        <f t="shared" si="53"/>
        <v>2707.1000000000004</v>
      </c>
      <c r="AQ22" s="335">
        <f t="shared" si="53"/>
        <v>2727.6000000000004</v>
      </c>
      <c r="AR22" s="335">
        <f t="shared" si="53"/>
        <v>2716.3</v>
      </c>
      <c r="AS22" s="335">
        <f t="shared" si="53"/>
        <v>2728.7000000000003</v>
      </c>
      <c r="AT22" s="335">
        <f t="shared" si="53"/>
        <v>2747.2</v>
      </c>
      <c r="AU22" s="855">
        <f t="shared" si="53"/>
        <v>2747.2</v>
      </c>
      <c r="AV22" s="1801"/>
      <c r="AW22" s="335">
        <f>SUM(AW16:AW21)</f>
        <v>2728.7000000000003</v>
      </c>
      <c r="AX22" s="335">
        <f t="shared" si="53"/>
        <v>2747.2</v>
      </c>
      <c r="AY22" s="335">
        <f t="shared" si="53"/>
        <v>2825.4</v>
      </c>
      <c r="AZ22" s="335">
        <f>SUM(AZ16:AZ21)</f>
        <v>5683.1</v>
      </c>
      <c r="BA22" s="798">
        <f t="shared" si="9"/>
        <v>5683.1</v>
      </c>
      <c r="BB22" s="335">
        <f t="shared" ref="BB22:BK22" si="54">SUM(BB16:BB21)</f>
        <v>5653.0000000000009</v>
      </c>
      <c r="BC22" s="335">
        <f t="shared" si="54"/>
        <v>6160.2000000000007</v>
      </c>
      <c r="BD22" s="335">
        <f t="shared" si="54"/>
        <v>6061.9000000000005</v>
      </c>
      <c r="BE22" s="335">
        <f t="shared" si="54"/>
        <v>5608.4</v>
      </c>
      <c r="BF22" s="855">
        <f t="shared" si="54"/>
        <v>5608.4</v>
      </c>
      <c r="BG22" s="335">
        <f t="shared" si="54"/>
        <v>5571.9</v>
      </c>
      <c r="BH22" s="335">
        <f t="shared" si="54"/>
        <v>5446.5</v>
      </c>
      <c r="BI22" s="335">
        <f t="shared" si="54"/>
        <v>5480.2</v>
      </c>
      <c r="BJ22" s="335">
        <f t="shared" si="54"/>
        <v>5563.9999999999991</v>
      </c>
      <c r="BK22" s="855">
        <f t="shared" si="54"/>
        <v>5563.9999999999991</v>
      </c>
      <c r="BL22" s="335">
        <f t="shared" ref="BL22:BU22" si="55">SUM(BL16:BL21)</f>
        <v>5572.2999999999993</v>
      </c>
      <c r="BM22" s="335">
        <f t="shared" si="55"/>
        <v>5663.5</v>
      </c>
      <c r="BN22" s="335">
        <f t="shared" si="55"/>
        <v>5771.1999999999989</v>
      </c>
      <c r="BO22" s="335">
        <f>SUM(BO16:BO21)</f>
        <v>5828.5</v>
      </c>
      <c r="BP22" s="855">
        <f t="shared" si="55"/>
        <v>5828.5</v>
      </c>
      <c r="BQ22" s="335">
        <f t="shared" si="55"/>
        <v>5810.6999999999989</v>
      </c>
      <c r="BR22" s="335">
        <f t="shared" si="55"/>
        <v>5754.0999999999995</v>
      </c>
      <c r="BS22" s="335">
        <f t="shared" si="55"/>
        <v>5803.1</v>
      </c>
      <c r="BT22" s="335">
        <f t="shared" si="55"/>
        <v>21164</v>
      </c>
      <c r="BU22" s="855">
        <f t="shared" si="55"/>
        <v>21164</v>
      </c>
      <c r="BV22" s="335">
        <f t="shared" ref="BV22:DA22" si="56">SUM(BV16:BV21)</f>
        <v>19375.399999999998</v>
      </c>
      <c r="BW22" s="1349">
        <f t="shared" si="56"/>
        <v>19027.7</v>
      </c>
      <c r="BX22" s="335">
        <f t="shared" si="56"/>
        <v>19034.7</v>
      </c>
      <c r="BY22" s="335">
        <f t="shared" si="56"/>
        <v>18411.099999999999</v>
      </c>
      <c r="BZ22" s="855">
        <f t="shared" si="56"/>
        <v>18411.099999999999</v>
      </c>
      <c r="CA22" s="335">
        <f t="shared" si="56"/>
        <v>18956.5</v>
      </c>
      <c r="CB22" s="335">
        <f t="shared" si="56"/>
        <v>19121.800000000003</v>
      </c>
      <c r="CC22" s="335">
        <f t="shared" si="56"/>
        <v>19193.399999999998</v>
      </c>
      <c r="CD22" s="335">
        <f t="shared" si="56"/>
        <v>19124.900000000005</v>
      </c>
      <c r="CE22" s="855">
        <f t="shared" si="56"/>
        <v>19124.900000000005</v>
      </c>
      <c r="CF22" s="335">
        <f t="shared" si="56"/>
        <v>20822.399999999998</v>
      </c>
      <c r="CG22" s="335">
        <f t="shared" si="56"/>
        <v>23236.899999999998</v>
      </c>
      <c r="CH22" s="335">
        <f t="shared" si="56"/>
        <v>23927.499999999996</v>
      </c>
      <c r="CI22" s="335">
        <f t="shared" si="56"/>
        <v>21223.5</v>
      </c>
      <c r="CJ22" s="855">
        <f t="shared" si="56"/>
        <v>21223.5</v>
      </c>
      <c r="CK22" s="335">
        <f t="shared" si="56"/>
        <v>20759.500000000004</v>
      </c>
      <c r="CL22" s="1093">
        <f t="shared" si="56"/>
        <v>20741.906788657878</v>
      </c>
      <c r="CM22" s="1093">
        <f t="shared" si="56"/>
        <v>20849.59291051135</v>
      </c>
      <c r="CN22" s="1093">
        <f t="shared" si="56"/>
        <v>21454.675793091566</v>
      </c>
      <c r="CO22" s="1094">
        <f t="shared" si="56"/>
        <v>21454.675793091566</v>
      </c>
      <c r="CP22" s="1093">
        <f t="shared" si="56"/>
        <v>21077.880937516631</v>
      </c>
      <c r="CQ22" s="1093">
        <f t="shared" si="56"/>
        <v>21098.299624087496</v>
      </c>
      <c r="CR22" s="1093">
        <f t="shared" si="56"/>
        <v>21224.836031261682</v>
      </c>
      <c r="CS22" s="1093">
        <f t="shared" si="56"/>
        <v>21875.494021562605</v>
      </c>
      <c r="CT22" s="1094">
        <f t="shared" si="56"/>
        <v>21875.494021562605</v>
      </c>
      <c r="CU22" s="1093">
        <f t="shared" si="56"/>
        <v>21483.373319426224</v>
      </c>
      <c r="CV22" s="1093">
        <f t="shared" si="56"/>
        <v>21530.023030189339</v>
      </c>
      <c r="CW22" s="1093">
        <f t="shared" si="56"/>
        <v>21692.837085982599</v>
      </c>
      <c r="CX22" s="1093">
        <f t="shared" si="56"/>
        <v>22413.399949627856</v>
      </c>
      <c r="CY22" s="1094">
        <f t="shared" si="56"/>
        <v>22413.399949627856</v>
      </c>
      <c r="CZ22" s="1093">
        <f t="shared" si="56"/>
        <v>22018.985659104124</v>
      </c>
      <c r="DA22" s="1093">
        <f t="shared" si="56"/>
        <v>22085.382719992918</v>
      </c>
      <c r="DB22" s="1093">
        <f t="shared" ref="DB22:DS22" si="57">SUM(DB16:DB21)</f>
        <v>22284.359427298667</v>
      </c>
      <c r="DC22" s="1093">
        <f t="shared" si="57"/>
        <v>22434.574709897577</v>
      </c>
      <c r="DD22" s="1094">
        <f t="shared" si="57"/>
        <v>22434.574709897577</v>
      </c>
      <c r="DE22" s="1093">
        <f t="shared" si="57"/>
        <v>22029.893333788845</v>
      </c>
      <c r="DF22" s="1093">
        <f t="shared" si="57"/>
        <v>22121.969173037527</v>
      </c>
      <c r="DG22" s="1093">
        <f t="shared" si="57"/>
        <v>22352.380192900084</v>
      </c>
      <c r="DH22" s="1093">
        <f t="shared" si="57"/>
        <v>23214.46615358545</v>
      </c>
      <c r="DI22" s="1094">
        <f t="shared" si="57"/>
        <v>23214.46615358545</v>
      </c>
      <c r="DJ22" s="1093">
        <f t="shared" si="57"/>
        <v>22788.707370840759</v>
      </c>
      <c r="DK22" s="1093">
        <f t="shared" si="57"/>
        <v>22912.015868193215</v>
      </c>
      <c r="DL22" s="1093">
        <f t="shared" si="57"/>
        <v>23183.070617347381</v>
      </c>
      <c r="DM22" s="1093">
        <f t="shared" si="57"/>
        <v>24124.848788619813</v>
      </c>
      <c r="DN22" s="1094">
        <f t="shared" si="57"/>
        <v>24124.848788619813</v>
      </c>
      <c r="DO22" s="1093">
        <f t="shared" si="57"/>
        <v>23667.34711479806</v>
      </c>
      <c r="DP22" s="1093">
        <f t="shared" si="57"/>
        <v>23779.873205881555</v>
      </c>
      <c r="DQ22" s="1093">
        <f t="shared" si="57"/>
        <v>24061.054731906584</v>
      </c>
      <c r="DR22" s="1093">
        <f t="shared" si="57"/>
        <v>25066.982947622091</v>
      </c>
      <c r="DS22" s="1094">
        <f t="shared" si="57"/>
        <v>25066.982947622091</v>
      </c>
      <c r="DT22" s="1093">
        <f t="shared" ref="DT22:DX22" si="58">SUM(DT16:DT21)</f>
        <v>24590.655152254541</v>
      </c>
      <c r="DU22" s="1093">
        <f t="shared" si="58"/>
        <v>24728.24912843428</v>
      </c>
      <c r="DV22" s="1093">
        <f t="shared" si="58"/>
        <v>25031.243312523206</v>
      </c>
      <c r="DW22" s="1093">
        <f t="shared" si="58"/>
        <v>26103.979737499943</v>
      </c>
      <c r="DX22" s="1094">
        <f t="shared" si="58"/>
        <v>26103.979737499943</v>
      </c>
      <c r="DY22" s="37"/>
      <c r="DZ22" s="37"/>
      <c r="EA22" s="37"/>
      <c r="EB22" s="37"/>
      <c r="EC22" s="37"/>
      <c r="ED22" s="471"/>
      <c r="EE22" s="37"/>
      <c r="EF22" s="37"/>
    </row>
    <row r="23" spans="1:136" x14ac:dyDescent="0.2">
      <c r="A23" s="509"/>
      <c r="B23" s="123"/>
      <c r="C23" s="22"/>
      <c r="D23" s="22"/>
      <c r="E23" s="22"/>
      <c r="F23" s="22"/>
      <c r="G23" s="123"/>
      <c r="H23" s="22"/>
      <c r="I23" s="22"/>
      <c r="J23" s="22"/>
      <c r="K23" s="22"/>
      <c r="L23" s="123"/>
      <c r="M23" s="22"/>
      <c r="N23" s="22"/>
      <c r="O23" s="22"/>
      <c r="P23" s="22"/>
      <c r="Q23" s="123"/>
      <c r="R23" s="22"/>
      <c r="S23" s="163"/>
      <c r="T23" s="22"/>
      <c r="U23" s="22"/>
      <c r="V23" s="123"/>
      <c r="W23" s="22"/>
      <c r="X23" s="22"/>
      <c r="Y23" s="22"/>
      <c r="Z23" s="38"/>
      <c r="AA23" s="675"/>
      <c r="AB23" s="38"/>
      <c r="AC23" s="38"/>
      <c r="AD23" s="38"/>
      <c r="AE23" s="38"/>
      <c r="AF23" s="40"/>
      <c r="AG23" s="38"/>
      <c r="AH23" s="38"/>
      <c r="AI23" s="38"/>
      <c r="AJ23" s="38"/>
      <c r="AK23" s="40"/>
      <c r="AL23" s="38"/>
      <c r="AM23" s="38"/>
      <c r="AN23" s="38"/>
      <c r="AO23" s="38"/>
      <c r="AP23" s="853"/>
      <c r="AQ23" s="38"/>
      <c r="AR23" s="38"/>
      <c r="AS23" s="38"/>
      <c r="AT23" s="38"/>
      <c r="AU23" s="853"/>
      <c r="AV23" s="1801"/>
      <c r="AW23" s="38"/>
      <c r="AX23" s="38"/>
      <c r="AY23" s="38"/>
      <c r="AZ23" s="38"/>
      <c r="BA23" s="40"/>
      <c r="BB23" s="38"/>
      <c r="BC23" s="38"/>
      <c r="BD23" s="38"/>
      <c r="BE23" s="38"/>
      <c r="BF23" s="853"/>
      <c r="BG23" s="38"/>
      <c r="BH23" s="38"/>
      <c r="BI23" s="38"/>
      <c r="BJ23" s="38"/>
      <c r="BK23" s="853"/>
      <c r="BL23" s="38"/>
      <c r="BM23" s="38"/>
      <c r="BN23" s="41"/>
      <c r="BO23" s="41"/>
      <c r="BP23" s="854"/>
      <c r="BQ23" s="38"/>
      <c r="BR23" s="38"/>
      <c r="BS23" s="41"/>
      <c r="BT23" s="41"/>
      <c r="BU23" s="853"/>
      <c r="BV23" s="38"/>
      <c r="BW23" s="1348"/>
      <c r="BX23" s="38"/>
      <c r="BY23" s="38"/>
      <c r="BZ23" s="853"/>
      <c r="CA23" s="38"/>
      <c r="CB23" s="38"/>
      <c r="CC23" s="38"/>
      <c r="CD23" s="38"/>
      <c r="CE23" s="853"/>
      <c r="CF23" s="38"/>
      <c r="CG23" s="38"/>
      <c r="CH23" s="38"/>
      <c r="CI23" s="38"/>
      <c r="CJ23" s="853"/>
      <c r="CK23" s="38"/>
      <c r="CL23" s="1070"/>
      <c r="CM23" s="1070"/>
      <c r="CN23" s="1070"/>
      <c r="CO23" s="1091"/>
      <c r="CP23" s="1070"/>
      <c r="CQ23" s="1070"/>
      <c r="CR23" s="1070"/>
      <c r="CS23" s="1070"/>
      <c r="CT23" s="1091"/>
      <c r="CU23" s="1070"/>
      <c r="CV23" s="1070"/>
      <c r="CW23" s="1070"/>
      <c r="CX23" s="1070"/>
      <c r="CY23" s="1091"/>
      <c r="CZ23" s="1070"/>
      <c r="DA23" s="1070"/>
      <c r="DB23" s="1070"/>
      <c r="DC23" s="1070"/>
      <c r="DD23" s="1091"/>
      <c r="DE23" s="1070"/>
      <c r="DF23" s="1070"/>
      <c r="DG23" s="1070"/>
      <c r="DH23" s="1070"/>
      <c r="DI23" s="1091"/>
      <c r="DJ23" s="1070"/>
      <c r="DK23" s="1070"/>
      <c r="DL23" s="1070"/>
      <c r="DM23" s="1070"/>
      <c r="DN23" s="1091"/>
      <c r="DO23" s="1070"/>
      <c r="DP23" s="1070"/>
      <c r="DQ23" s="1070"/>
      <c r="DR23" s="1070"/>
      <c r="DS23" s="1091"/>
      <c r="DT23" s="1070"/>
      <c r="DU23" s="1070"/>
      <c r="DV23" s="1070"/>
      <c r="DW23" s="1070"/>
      <c r="DX23" s="1091"/>
      <c r="DY23" s="16"/>
      <c r="DZ23" s="16"/>
      <c r="EA23" s="16"/>
      <c r="EB23" s="16"/>
      <c r="EC23" s="16"/>
      <c r="ED23" s="16"/>
      <c r="EE23" s="16"/>
      <c r="EF23" s="16"/>
    </row>
    <row r="24" spans="1:136" x14ac:dyDescent="0.2">
      <c r="A24" s="496" t="s">
        <v>191</v>
      </c>
      <c r="B24" s="174"/>
      <c r="C24" s="186"/>
      <c r="D24" s="184"/>
      <c r="E24" s="184"/>
      <c r="F24" s="184"/>
      <c r="G24" s="174"/>
      <c r="H24" s="184"/>
      <c r="I24" s="184"/>
      <c r="J24" s="184"/>
      <c r="K24" s="184"/>
      <c r="L24" s="174"/>
      <c r="M24" s="532"/>
      <c r="N24" s="532"/>
      <c r="O24" s="532"/>
      <c r="P24" s="532"/>
      <c r="Q24" s="165"/>
      <c r="R24" s="532"/>
      <c r="S24" s="533"/>
      <c r="T24" s="532"/>
      <c r="U24" s="532"/>
      <c r="V24" s="165"/>
      <c r="W24" s="532"/>
      <c r="X24" s="532"/>
      <c r="Y24" s="532"/>
      <c r="Z24" s="856"/>
      <c r="AA24" s="857"/>
      <c r="AB24" s="856"/>
      <c r="AC24" s="856"/>
      <c r="AD24" s="856"/>
      <c r="AE24" s="856"/>
      <c r="AF24" s="858"/>
      <c r="AG24" s="856"/>
      <c r="AH24" s="856"/>
      <c r="AI24" s="856"/>
      <c r="AJ24" s="856"/>
      <c r="AK24" s="858"/>
      <c r="AL24" s="856"/>
      <c r="AM24" s="856"/>
      <c r="AN24" s="856"/>
      <c r="AO24" s="856"/>
      <c r="AP24" s="859"/>
      <c r="AQ24" s="860"/>
      <c r="AR24" s="860"/>
      <c r="AS24" s="860"/>
      <c r="AT24" s="860"/>
      <c r="AU24" s="859"/>
      <c r="AV24" s="1801"/>
      <c r="AW24" s="856"/>
      <c r="AX24" s="860"/>
      <c r="AY24" s="860"/>
      <c r="AZ24" s="856"/>
      <c r="BA24" s="858"/>
      <c r="BB24" s="860"/>
      <c r="BC24" s="860"/>
      <c r="BD24" s="860"/>
      <c r="BE24" s="860"/>
      <c r="BF24" s="859"/>
      <c r="BG24" s="860"/>
      <c r="BH24" s="860"/>
      <c r="BI24" s="860"/>
      <c r="BJ24" s="860"/>
      <c r="BK24" s="859"/>
      <c r="BL24" s="860"/>
      <c r="BM24" s="860"/>
      <c r="BN24" s="860"/>
      <c r="BO24" s="860"/>
      <c r="BP24" s="861"/>
      <c r="BQ24" s="860"/>
      <c r="BR24" s="860"/>
      <c r="BS24" s="860"/>
      <c r="BT24" s="860"/>
      <c r="BU24" s="859"/>
      <c r="BV24" s="860"/>
      <c r="BW24" s="1358"/>
      <c r="BX24" s="860"/>
      <c r="BY24" s="860"/>
      <c r="BZ24" s="859"/>
      <c r="CA24" s="860"/>
      <c r="CB24" s="860"/>
      <c r="CC24" s="860"/>
      <c r="CD24" s="860"/>
      <c r="CE24" s="859"/>
      <c r="CF24" s="860"/>
      <c r="CG24" s="860"/>
      <c r="CH24" s="860"/>
      <c r="CI24" s="860"/>
      <c r="CJ24" s="859"/>
      <c r="CK24" s="860"/>
      <c r="CL24" s="1095"/>
      <c r="CM24" s="1095"/>
      <c r="CN24" s="1095"/>
      <c r="CO24" s="1096"/>
      <c r="CP24" s="1095"/>
      <c r="CQ24" s="1095"/>
      <c r="CR24" s="1095"/>
      <c r="CS24" s="1095"/>
      <c r="CT24" s="1096"/>
      <c r="CU24" s="1095"/>
      <c r="CV24" s="1095"/>
      <c r="CW24" s="1095"/>
      <c r="CX24" s="1095"/>
      <c r="CY24" s="1096"/>
      <c r="CZ24" s="1095"/>
      <c r="DA24" s="1095"/>
      <c r="DB24" s="1095"/>
      <c r="DC24" s="1095"/>
      <c r="DD24" s="1096"/>
      <c r="DE24" s="1095"/>
      <c r="DF24" s="1095"/>
      <c r="DG24" s="1095"/>
      <c r="DH24" s="1095"/>
      <c r="DI24" s="1096"/>
      <c r="DJ24" s="1095"/>
      <c r="DK24" s="1095"/>
      <c r="DL24" s="1095"/>
      <c r="DM24" s="1095"/>
      <c r="DN24" s="1096"/>
      <c r="DO24" s="1095"/>
      <c r="DP24" s="1095"/>
      <c r="DQ24" s="1095"/>
      <c r="DR24" s="1095"/>
      <c r="DS24" s="1096"/>
      <c r="DT24" s="1095"/>
      <c r="DU24" s="1095"/>
      <c r="DV24" s="1095"/>
      <c r="DW24" s="1095"/>
      <c r="DX24" s="1096"/>
      <c r="DY24" s="188"/>
      <c r="DZ24" s="188"/>
      <c r="EA24" s="188"/>
      <c r="EB24" s="188"/>
      <c r="EC24" s="188"/>
      <c r="ED24" s="188"/>
      <c r="EE24" s="188"/>
      <c r="EF24" s="188"/>
    </row>
    <row r="25" spans="1:136" x14ac:dyDescent="0.2">
      <c r="A25" s="497" t="s">
        <v>269</v>
      </c>
      <c r="B25" s="174"/>
      <c r="C25" s="20"/>
      <c r="D25" s="20"/>
      <c r="E25" s="20"/>
      <c r="F25" s="20"/>
      <c r="G25" s="174"/>
      <c r="H25" s="20"/>
      <c r="I25" s="20"/>
      <c r="J25" s="20"/>
      <c r="K25" s="20"/>
      <c r="L25" s="174"/>
      <c r="M25" s="20"/>
      <c r="N25" s="20"/>
      <c r="O25" s="20"/>
      <c r="P25" s="20"/>
      <c r="Q25" s="174"/>
      <c r="R25" s="20"/>
      <c r="S25" s="180"/>
      <c r="T25" s="20"/>
      <c r="U25" s="20">
        <f t="shared" ref="U25:U46" si="59">V25</f>
        <v>83</v>
      </c>
      <c r="V25" s="174">
        <v>83</v>
      </c>
      <c r="W25" s="20" t="s">
        <v>540</v>
      </c>
      <c r="X25" s="20" t="s">
        <v>540</v>
      </c>
      <c r="Y25" s="20" t="s">
        <v>540</v>
      </c>
      <c r="Z25" s="38">
        <v>100</v>
      </c>
      <c r="AA25" s="40">
        <f t="shared" ref="AA25:AA46" si="60">Z25</f>
        <v>100</v>
      </c>
      <c r="AB25" s="38">
        <v>61</v>
      </c>
      <c r="AC25" s="38">
        <v>73</v>
      </c>
      <c r="AD25" s="38">
        <v>74</v>
      </c>
      <c r="AE25" s="38">
        <f>AF25</f>
        <v>106</v>
      </c>
      <c r="AF25" s="40">
        <v>106</v>
      </c>
      <c r="AG25" s="38">
        <v>69</v>
      </c>
      <c r="AH25" s="38">
        <v>79</v>
      </c>
      <c r="AI25" s="38">
        <v>79</v>
      </c>
      <c r="AJ25" s="38">
        <v>130</v>
      </c>
      <c r="AK25" s="40">
        <v>130</v>
      </c>
      <c r="AL25" s="38">
        <v>94</v>
      </c>
      <c r="AM25" s="38">
        <v>78</v>
      </c>
      <c r="AN25" s="38">
        <v>70</v>
      </c>
      <c r="AO25" s="38">
        <v>127</v>
      </c>
      <c r="AP25" s="853">
        <f t="shared" ref="AP25:AP37" si="61">AO25</f>
        <v>127</v>
      </c>
      <c r="AQ25" s="38">
        <v>83.9</v>
      </c>
      <c r="AR25" s="38">
        <v>105</v>
      </c>
      <c r="AS25" s="38">
        <v>73.5</v>
      </c>
      <c r="AT25" s="38">
        <v>106.9</v>
      </c>
      <c r="AU25" s="853">
        <f t="shared" ref="AU25:AU37" si="62">AT25</f>
        <v>106.9</v>
      </c>
      <c r="AV25" s="1801"/>
      <c r="AW25" s="38">
        <f t="shared" ref="AW25:AX31" si="63">AS25</f>
        <v>73.5</v>
      </c>
      <c r="AX25" s="38">
        <f t="shared" si="63"/>
        <v>106.9</v>
      </c>
      <c r="AY25" s="38">
        <v>94.7</v>
      </c>
      <c r="AZ25" s="38">
        <v>90.5</v>
      </c>
      <c r="BA25" s="40">
        <f t="shared" ref="BA25:BA37" si="64">AZ25</f>
        <v>90.5</v>
      </c>
      <c r="BB25" s="38">
        <v>75.2</v>
      </c>
      <c r="BC25" s="38">
        <v>59</v>
      </c>
      <c r="BD25" s="38">
        <v>84.9</v>
      </c>
      <c r="BE25" s="38">
        <v>98.4</v>
      </c>
      <c r="BF25" s="853">
        <f t="shared" ref="BF25:BF37" si="65">BE25</f>
        <v>98.4</v>
      </c>
      <c r="BG25" s="38">
        <v>89.7</v>
      </c>
      <c r="BH25" s="38">
        <v>82.1</v>
      </c>
      <c r="BI25" s="38">
        <v>62</v>
      </c>
      <c r="BJ25" s="38">
        <v>68.7</v>
      </c>
      <c r="BK25" s="853">
        <f t="shared" ref="BK25:BK37" si="66">BJ25</f>
        <v>68.7</v>
      </c>
      <c r="BL25" s="38">
        <v>50.4</v>
      </c>
      <c r="BM25" s="38">
        <v>41.5</v>
      </c>
      <c r="BN25" s="38">
        <v>25.8</v>
      </c>
      <c r="BO25" s="38">
        <v>31.1</v>
      </c>
      <c r="BP25" s="853">
        <f>BO25</f>
        <v>31.1</v>
      </c>
      <c r="BQ25" s="38">
        <v>41.7</v>
      </c>
      <c r="BR25" s="38">
        <v>24.1</v>
      </c>
      <c r="BS25" s="38">
        <v>34</v>
      </c>
      <c r="BT25" s="38">
        <v>223</v>
      </c>
      <c r="BU25" s="853">
        <f>BT25</f>
        <v>223</v>
      </c>
      <c r="BV25" s="38">
        <v>233.9</v>
      </c>
      <c r="BW25" s="1348">
        <v>250.8</v>
      </c>
      <c r="BX25" s="38">
        <v>337.5</v>
      </c>
      <c r="BY25" s="38">
        <v>361.5</v>
      </c>
      <c r="BZ25" s="853">
        <f t="shared" ref="BZ25:BZ37" si="67">BY25</f>
        <v>361.5</v>
      </c>
      <c r="CA25" s="38">
        <v>361.3</v>
      </c>
      <c r="CB25" s="38">
        <v>359.9</v>
      </c>
      <c r="CC25" s="38">
        <v>352.1</v>
      </c>
      <c r="CD25" s="38">
        <v>369.8</v>
      </c>
      <c r="CE25" s="853">
        <f t="shared" ref="CE25" si="68">CD25</f>
        <v>369.8</v>
      </c>
      <c r="CF25" s="38">
        <v>391.4</v>
      </c>
      <c r="CG25" s="38">
        <v>376.1</v>
      </c>
      <c r="CH25" s="38">
        <v>365.2</v>
      </c>
      <c r="CI25" s="38">
        <v>412.9</v>
      </c>
      <c r="CJ25" s="853">
        <f t="shared" ref="CJ25" si="69">CI25</f>
        <v>412.9</v>
      </c>
      <c r="CK25" s="38">
        <v>416.4</v>
      </c>
      <c r="CL25" s="1070">
        <f t="shared" ref="CL25:CN25" si="70">CL217*CL210/365</f>
        <v>398.09526441755327</v>
      </c>
      <c r="CM25" s="1070">
        <f t="shared" si="70"/>
        <v>379.65107584855065</v>
      </c>
      <c r="CN25" s="1070">
        <f t="shared" si="70"/>
        <v>425.1611328076749</v>
      </c>
      <c r="CO25" s="1091">
        <f t="shared" ref="CO25" si="71">CN25</f>
        <v>425.1611328076749</v>
      </c>
      <c r="CP25" s="1070">
        <f>CP217*CP210/365</f>
        <v>428.30894746973064</v>
      </c>
      <c r="CQ25" s="1070">
        <f t="shared" ref="CQ25:CS25" si="72">CQ217*CQ210/365</f>
        <v>409.96422090059934</v>
      </c>
      <c r="CR25" s="1070">
        <f t="shared" si="72"/>
        <v>393.94287511542228</v>
      </c>
      <c r="CS25" s="1070">
        <f t="shared" si="72"/>
        <v>442.78753838554866</v>
      </c>
      <c r="CT25" s="1091">
        <f t="shared" ref="CT25" si="73">CS25</f>
        <v>442.78753838554866</v>
      </c>
      <c r="CU25" s="1070">
        <f>CU217*CU210/365</f>
        <v>448.81048326671328</v>
      </c>
      <c r="CV25" s="1070">
        <f t="shared" ref="CV25:CX25" si="74">CV217*CV210/365</f>
        <v>431.38121371859319</v>
      </c>
      <c r="CW25" s="1070">
        <f t="shared" si="74"/>
        <v>416.20524992568011</v>
      </c>
      <c r="CX25" s="1070">
        <f t="shared" si="74"/>
        <v>469.61228325719861</v>
      </c>
      <c r="CY25" s="1091">
        <f t="shared" ref="CY25" si="75">CX25</f>
        <v>469.61228325719861</v>
      </c>
      <c r="CZ25" s="1070">
        <f>CZ217*CZ210/365</f>
        <v>479.81428141792543</v>
      </c>
      <c r="DA25" s="1070">
        <f t="shared" ref="DA25:DC25" si="76">DA217*DA210/365</f>
        <v>460.67407119118764</v>
      </c>
      <c r="DB25" s="1070">
        <f t="shared" si="76"/>
        <v>448.07720398247051</v>
      </c>
      <c r="DC25" s="1070">
        <f t="shared" si="76"/>
        <v>509.18672043184745</v>
      </c>
      <c r="DD25" s="1091">
        <f t="shared" ref="DD25" si="77">DC25</f>
        <v>509.18672043184745</v>
      </c>
      <c r="DE25" s="1070">
        <f>DE217*DE210/365</f>
        <v>512.13891866490519</v>
      </c>
      <c r="DF25" s="1070">
        <f t="shared" ref="DF25:DH25" si="78">DF217*DF210/365</f>
        <v>489.17393877390941</v>
      </c>
      <c r="DG25" s="1070">
        <f t="shared" si="78"/>
        <v>469.04943016503739</v>
      </c>
      <c r="DH25" s="1070">
        <f t="shared" si="78"/>
        <v>525.72141678096204</v>
      </c>
      <c r="DI25" s="1091">
        <f t="shared" ref="DI25" si="79">DH25</f>
        <v>525.72141678096204</v>
      </c>
      <c r="DJ25" s="1070">
        <f>DJ217*DJ210/365</f>
        <v>532.18722968687825</v>
      </c>
      <c r="DK25" s="1070">
        <f t="shared" ref="DK25:DM25" si="80">DK217*DK210/365</f>
        <v>511.49061675634943</v>
      </c>
      <c r="DL25" s="1070">
        <f t="shared" si="80"/>
        <v>493.44797943763336</v>
      </c>
      <c r="DM25" s="1070">
        <f t="shared" si="80"/>
        <v>556.20678551878723</v>
      </c>
      <c r="DN25" s="1091">
        <f t="shared" ref="DN25" si="81">DM25</f>
        <v>556.20678551878723</v>
      </c>
      <c r="DO25" s="1070">
        <f>DO217*DO210/365</f>
        <v>579.50406973525844</v>
      </c>
      <c r="DP25" s="1070">
        <f t="shared" ref="DP25:DR25" si="82">DP217*DP210/365</f>
        <v>571.35004101965023</v>
      </c>
      <c r="DQ25" s="1070">
        <f t="shared" si="82"/>
        <v>565.59441519726681</v>
      </c>
      <c r="DR25" s="1070">
        <f t="shared" si="82"/>
        <v>652.59499303753466</v>
      </c>
      <c r="DS25" s="1091">
        <f t="shared" ref="DS25" si="83">DR25</f>
        <v>652.59499303753466</v>
      </c>
      <c r="DT25" s="1070">
        <f>DT217*DT210/365</f>
        <v>658.79921027299008</v>
      </c>
      <c r="DU25" s="1070">
        <f t="shared" ref="DU25:DW25" si="84">DU217*DU210/365</f>
        <v>633.01325822426259</v>
      </c>
      <c r="DV25" s="1070">
        <f t="shared" si="84"/>
        <v>610.51447882567152</v>
      </c>
      <c r="DW25" s="1070">
        <f t="shared" si="84"/>
        <v>687.95081091246152</v>
      </c>
      <c r="DX25" s="1091">
        <f t="shared" ref="DX25:DX29" si="85">DW25</f>
        <v>687.95081091246152</v>
      </c>
      <c r="DY25" s="16"/>
      <c r="DZ25" s="16"/>
      <c r="EA25" s="78"/>
      <c r="EB25" s="16"/>
      <c r="EC25" s="16"/>
      <c r="ED25" s="471"/>
      <c r="EE25" s="16"/>
      <c r="EF25" s="16"/>
    </row>
    <row r="26" spans="1:136" x14ac:dyDescent="0.2">
      <c r="A26" s="497" t="s">
        <v>270</v>
      </c>
      <c r="B26" s="174"/>
      <c r="C26" s="20"/>
      <c r="D26" s="20"/>
      <c r="E26" s="20"/>
      <c r="F26" s="20"/>
      <c r="G26" s="174"/>
      <c r="H26" s="20"/>
      <c r="I26" s="20"/>
      <c r="J26" s="20"/>
      <c r="K26" s="20"/>
      <c r="L26" s="174"/>
      <c r="M26" s="20"/>
      <c r="N26" s="20"/>
      <c r="O26" s="20"/>
      <c r="P26" s="20"/>
      <c r="Q26" s="174"/>
      <c r="R26" s="20"/>
      <c r="S26" s="180"/>
      <c r="T26" s="20"/>
      <c r="U26" s="20">
        <f t="shared" si="59"/>
        <v>59</v>
      </c>
      <c r="V26" s="174">
        <v>59</v>
      </c>
      <c r="W26" s="20" t="s">
        <v>540</v>
      </c>
      <c r="X26" s="20" t="s">
        <v>540</v>
      </c>
      <c r="Y26" s="20" t="s">
        <v>540</v>
      </c>
      <c r="Z26" s="38">
        <v>49</v>
      </c>
      <c r="AA26" s="40">
        <f t="shared" si="60"/>
        <v>49</v>
      </c>
      <c r="AB26" s="38">
        <v>68</v>
      </c>
      <c r="AC26" s="38">
        <v>54</v>
      </c>
      <c r="AD26" s="38">
        <v>62</v>
      </c>
      <c r="AE26" s="38">
        <f>AF26</f>
        <v>64</v>
      </c>
      <c r="AF26" s="40">
        <v>64</v>
      </c>
      <c r="AG26" s="38">
        <v>97</v>
      </c>
      <c r="AH26" s="38">
        <v>95</v>
      </c>
      <c r="AI26" s="38">
        <v>95</v>
      </c>
      <c r="AJ26" s="38">
        <v>77</v>
      </c>
      <c r="AK26" s="40">
        <v>77</v>
      </c>
      <c r="AL26" s="38">
        <v>90</v>
      </c>
      <c r="AM26" s="38">
        <v>79</v>
      </c>
      <c r="AN26" s="38">
        <v>73</v>
      </c>
      <c r="AO26" s="38">
        <v>67.8</v>
      </c>
      <c r="AP26" s="853">
        <f t="shared" si="61"/>
        <v>67.8</v>
      </c>
      <c r="AQ26" s="38">
        <v>90.8</v>
      </c>
      <c r="AR26" s="38">
        <v>72</v>
      </c>
      <c r="AS26" s="38">
        <v>83.3</v>
      </c>
      <c r="AT26" s="38">
        <v>71.900000000000006</v>
      </c>
      <c r="AU26" s="853">
        <f t="shared" si="62"/>
        <v>71.900000000000006</v>
      </c>
      <c r="AV26" s="1801"/>
      <c r="AW26" s="38">
        <f t="shared" si="63"/>
        <v>83.3</v>
      </c>
      <c r="AX26" s="38">
        <f t="shared" si="63"/>
        <v>71.900000000000006</v>
      </c>
      <c r="AY26" s="38">
        <v>79.599999999999994</v>
      </c>
      <c r="AZ26" s="38">
        <v>82.5</v>
      </c>
      <c r="BA26" s="40">
        <f t="shared" si="64"/>
        <v>82.5</v>
      </c>
      <c r="BB26" s="38">
        <v>90.5</v>
      </c>
      <c r="BC26" s="38">
        <v>85.3</v>
      </c>
      <c r="BD26" s="38">
        <v>86.9</v>
      </c>
      <c r="BE26" s="38">
        <v>97.4</v>
      </c>
      <c r="BF26" s="853">
        <f t="shared" si="65"/>
        <v>97.4</v>
      </c>
      <c r="BG26" s="38">
        <v>96.3</v>
      </c>
      <c r="BH26" s="38">
        <v>93.8</v>
      </c>
      <c r="BI26" s="38">
        <v>87.4</v>
      </c>
      <c r="BJ26" s="38">
        <v>66.5</v>
      </c>
      <c r="BK26" s="853">
        <f t="shared" si="66"/>
        <v>66.5</v>
      </c>
      <c r="BL26" s="38">
        <v>87.5</v>
      </c>
      <c r="BM26" s="38">
        <v>97.8</v>
      </c>
      <c r="BN26" s="38">
        <v>101.2</v>
      </c>
      <c r="BO26" s="38">
        <v>56.5</v>
      </c>
      <c r="BP26" s="853">
        <f t="shared" ref="BP26:BU26" si="86">BO26</f>
        <v>56.5</v>
      </c>
      <c r="BQ26" s="38">
        <v>75.8</v>
      </c>
      <c r="BR26" s="38">
        <v>72.8</v>
      </c>
      <c r="BS26" s="38">
        <v>59.5</v>
      </c>
      <c r="BT26" s="38">
        <v>25.9</v>
      </c>
      <c r="BU26" s="853">
        <f t="shared" si="86"/>
        <v>25.9</v>
      </c>
      <c r="BV26" s="38">
        <v>35.700000000000003</v>
      </c>
      <c r="BW26" s="1348">
        <v>39</v>
      </c>
      <c r="BX26" s="38">
        <v>47.4</v>
      </c>
      <c r="BY26" s="38">
        <v>45.2</v>
      </c>
      <c r="BZ26" s="853">
        <f t="shared" si="67"/>
        <v>45.2</v>
      </c>
      <c r="CA26" s="38">
        <v>0</v>
      </c>
      <c r="CB26" s="38">
        <v>0</v>
      </c>
      <c r="CC26" s="38">
        <f>CB26</f>
        <v>0</v>
      </c>
      <c r="CD26" s="38">
        <f>CC26</f>
        <v>0</v>
      </c>
      <c r="CE26" s="853">
        <f t="shared" ref="CE26:CE37" si="87">CD26</f>
        <v>0</v>
      </c>
      <c r="CF26" s="38">
        <f>CE26</f>
        <v>0</v>
      </c>
      <c r="CG26" s="38">
        <f>CF26</f>
        <v>0</v>
      </c>
      <c r="CH26" s="38">
        <v>0</v>
      </c>
      <c r="CI26" s="38">
        <v>0</v>
      </c>
      <c r="CJ26" s="853">
        <f t="shared" ref="CJ26:CJ37" si="88">CI26</f>
        <v>0</v>
      </c>
      <c r="CK26" s="38">
        <v>0</v>
      </c>
      <c r="CL26" s="1070">
        <f>CK26</f>
        <v>0</v>
      </c>
      <c r="CM26" s="1070">
        <f>CL26</f>
        <v>0</v>
      </c>
      <c r="CN26" s="1070">
        <f>CM26</f>
        <v>0</v>
      </c>
      <c r="CO26" s="1091">
        <f t="shared" ref="CO26:CO37" si="89">CN26</f>
        <v>0</v>
      </c>
      <c r="CP26" s="1070">
        <f>CO26</f>
        <v>0</v>
      </c>
      <c r="CQ26" s="1070">
        <f>CP26</f>
        <v>0</v>
      </c>
      <c r="CR26" s="1070">
        <f>CQ26</f>
        <v>0</v>
      </c>
      <c r="CS26" s="1070">
        <f>CR26</f>
        <v>0</v>
      </c>
      <c r="CT26" s="1091">
        <f t="shared" ref="CT26:CT37" si="90">CS26</f>
        <v>0</v>
      </c>
      <c r="CU26" s="1070">
        <f>CT26</f>
        <v>0</v>
      </c>
      <c r="CV26" s="1070">
        <f>CU26</f>
        <v>0</v>
      </c>
      <c r="CW26" s="1070">
        <f>CV26</f>
        <v>0</v>
      </c>
      <c r="CX26" s="1070">
        <f>CW26</f>
        <v>0</v>
      </c>
      <c r="CY26" s="1091">
        <f t="shared" ref="CY26:CY37" si="91">CX26</f>
        <v>0</v>
      </c>
      <c r="CZ26" s="1070">
        <f>CY26</f>
        <v>0</v>
      </c>
      <c r="DA26" s="1070">
        <f>CZ26</f>
        <v>0</v>
      </c>
      <c r="DB26" s="1070">
        <f>DA26</f>
        <v>0</v>
      </c>
      <c r="DC26" s="1070">
        <f>DB26</f>
        <v>0</v>
      </c>
      <c r="DD26" s="1091">
        <f t="shared" ref="DD26:DD37" si="92">DC26</f>
        <v>0</v>
      </c>
      <c r="DE26" s="1070">
        <f>DD26</f>
        <v>0</v>
      </c>
      <c r="DF26" s="1070">
        <f>DE26</f>
        <v>0</v>
      </c>
      <c r="DG26" s="1070">
        <f>DF26</f>
        <v>0</v>
      </c>
      <c r="DH26" s="1070">
        <f>DG26</f>
        <v>0</v>
      </c>
      <c r="DI26" s="1091">
        <f t="shared" ref="DI26:DI37" si="93">DH26</f>
        <v>0</v>
      </c>
      <c r="DJ26" s="1070">
        <f>DI26</f>
        <v>0</v>
      </c>
      <c r="DK26" s="1070">
        <f>DJ26</f>
        <v>0</v>
      </c>
      <c r="DL26" s="1070">
        <f>DK26</f>
        <v>0</v>
      </c>
      <c r="DM26" s="1070">
        <f>DL26</f>
        <v>0</v>
      </c>
      <c r="DN26" s="1091">
        <f t="shared" ref="DN26:DN37" si="94">DM26</f>
        <v>0</v>
      </c>
      <c r="DO26" s="1070">
        <f>DN26</f>
        <v>0</v>
      </c>
      <c r="DP26" s="1070">
        <f>DO26</f>
        <v>0</v>
      </c>
      <c r="DQ26" s="1070">
        <f>DP26</f>
        <v>0</v>
      </c>
      <c r="DR26" s="1070">
        <f>DQ26</f>
        <v>0</v>
      </c>
      <c r="DS26" s="1091">
        <f t="shared" ref="DS26:DS37" si="95">DR26</f>
        <v>0</v>
      </c>
      <c r="DT26" s="1070">
        <f>DS26</f>
        <v>0</v>
      </c>
      <c r="DU26" s="1070">
        <f>DT26</f>
        <v>0</v>
      </c>
      <c r="DV26" s="1070">
        <f>DU26</f>
        <v>0</v>
      </c>
      <c r="DW26" s="1070">
        <f>DV26</f>
        <v>0</v>
      </c>
      <c r="DX26" s="1091">
        <f t="shared" si="85"/>
        <v>0</v>
      </c>
      <c r="DY26" s="16"/>
      <c r="DZ26" s="16"/>
      <c r="EA26" s="78"/>
      <c r="EB26" s="16"/>
      <c r="EC26" s="16"/>
      <c r="ED26" s="471"/>
      <c r="EE26" s="16"/>
      <c r="EF26" s="16"/>
    </row>
    <row r="27" spans="1:136" x14ac:dyDescent="0.2">
      <c r="A27" s="497" t="s">
        <v>192</v>
      </c>
      <c r="B27" s="174"/>
      <c r="C27" s="20"/>
      <c r="D27" s="20"/>
      <c r="E27" s="20"/>
      <c r="F27" s="20"/>
      <c r="G27" s="174"/>
      <c r="H27" s="20"/>
      <c r="I27" s="20"/>
      <c r="J27" s="20"/>
      <c r="K27" s="20"/>
      <c r="L27" s="174"/>
      <c r="M27" s="20"/>
      <c r="N27" s="20"/>
      <c r="O27" s="20"/>
      <c r="P27" s="20"/>
      <c r="Q27" s="174"/>
      <c r="R27" s="20"/>
      <c r="S27" s="180"/>
      <c r="T27" s="20"/>
      <c r="U27" s="20">
        <f t="shared" si="59"/>
        <v>248</v>
      </c>
      <c r="V27" s="174">
        <v>248</v>
      </c>
      <c r="W27" s="20" t="s">
        <v>540</v>
      </c>
      <c r="X27" s="20" t="s">
        <v>540</v>
      </c>
      <c r="Y27" s="20" t="s">
        <v>540</v>
      </c>
      <c r="Z27" s="38">
        <v>338</v>
      </c>
      <c r="AA27" s="40">
        <f t="shared" si="60"/>
        <v>338</v>
      </c>
      <c r="AB27" s="38">
        <v>248</v>
      </c>
      <c r="AC27" s="38">
        <v>253</v>
      </c>
      <c r="AD27" s="38">
        <v>252</v>
      </c>
      <c r="AE27" s="38">
        <f>AF27</f>
        <v>259</v>
      </c>
      <c r="AF27" s="40">
        <v>259</v>
      </c>
      <c r="AG27" s="38">
        <v>239</v>
      </c>
      <c r="AH27" s="38">
        <v>251</v>
      </c>
      <c r="AI27" s="38">
        <v>258</v>
      </c>
      <c r="AJ27" s="38">
        <v>242</v>
      </c>
      <c r="AK27" s="40">
        <v>242</v>
      </c>
      <c r="AL27" s="38">
        <v>214</v>
      </c>
      <c r="AM27" s="38">
        <v>215</v>
      </c>
      <c r="AN27" s="38">
        <v>222</v>
      </c>
      <c r="AO27" s="38">
        <v>220</v>
      </c>
      <c r="AP27" s="853">
        <f t="shared" si="61"/>
        <v>220</v>
      </c>
      <c r="AQ27" s="38">
        <v>214</v>
      </c>
      <c r="AR27" s="38">
        <v>198.7</v>
      </c>
      <c r="AS27" s="38">
        <v>221.5</v>
      </c>
      <c r="AT27" s="38">
        <v>200.9</v>
      </c>
      <c r="AU27" s="853">
        <f t="shared" si="62"/>
        <v>200.9</v>
      </c>
      <c r="AV27" s="1801"/>
      <c r="AW27" s="38">
        <f t="shared" si="63"/>
        <v>221.5</v>
      </c>
      <c r="AX27" s="38">
        <f t="shared" si="63"/>
        <v>200.9</v>
      </c>
      <c r="AY27" s="38">
        <v>230.4</v>
      </c>
      <c r="AZ27" s="38">
        <v>247.5</v>
      </c>
      <c r="BA27" s="40">
        <f t="shared" si="64"/>
        <v>247.5</v>
      </c>
      <c r="BB27" s="38">
        <v>263.60000000000002</v>
      </c>
      <c r="BC27" s="38">
        <v>231.9</v>
      </c>
      <c r="BD27" s="38">
        <v>237.4</v>
      </c>
      <c r="BE27" s="38">
        <v>242.7</v>
      </c>
      <c r="BF27" s="853">
        <f t="shared" si="65"/>
        <v>242.7</v>
      </c>
      <c r="BG27" s="38">
        <v>227.3</v>
      </c>
      <c r="BH27" s="38">
        <v>192.5</v>
      </c>
      <c r="BI27" s="38">
        <v>212.8</v>
      </c>
      <c r="BJ27" s="38">
        <v>206.8</v>
      </c>
      <c r="BK27" s="853">
        <f t="shared" si="66"/>
        <v>206.8</v>
      </c>
      <c r="BL27" s="38">
        <v>207.4</v>
      </c>
      <c r="BM27" s="38">
        <v>159.5</v>
      </c>
      <c r="BN27" s="38">
        <v>182</v>
      </c>
      <c r="BO27" s="38">
        <v>177</v>
      </c>
      <c r="BP27" s="853">
        <f>BO27</f>
        <v>177</v>
      </c>
      <c r="BQ27" s="38">
        <v>168.1</v>
      </c>
      <c r="BR27" s="38">
        <v>156.4</v>
      </c>
      <c r="BS27" s="38">
        <v>411.4</v>
      </c>
      <c r="BT27" s="38">
        <v>318.8</v>
      </c>
      <c r="BU27" s="853">
        <f>BT27</f>
        <v>318.8</v>
      </c>
      <c r="BV27" s="38">
        <v>465</v>
      </c>
      <c r="BW27" s="1348">
        <v>492.4</v>
      </c>
      <c r="BX27" s="38">
        <v>608.6</v>
      </c>
      <c r="BY27" s="38">
        <v>441.3</v>
      </c>
      <c r="BZ27" s="853">
        <f t="shared" si="67"/>
        <v>441.3</v>
      </c>
      <c r="CA27" s="38">
        <v>479.6</v>
      </c>
      <c r="CB27" s="38">
        <v>473.2</v>
      </c>
      <c r="CC27" s="38">
        <v>506.8</v>
      </c>
      <c r="CD27" s="38">
        <v>469.3</v>
      </c>
      <c r="CE27" s="853">
        <f t="shared" si="87"/>
        <v>469.3</v>
      </c>
      <c r="CF27" s="38">
        <v>496.4</v>
      </c>
      <c r="CG27" s="38">
        <v>492.1</v>
      </c>
      <c r="CH27" s="38">
        <v>530.6</v>
      </c>
      <c r="CI27" s="38">
        <v>838.2</v>
      </c>
      <c r="CJ27" s="853">
        <f t="shared" si="88"/>
        <v>838.2</v>
      </c>
      <c r="CK27" s="38">
        <v>636.6</v>
      </c>
      <c r="CL27" s="1070">
        <f>CL218*CL209/365</f>
        <v>577.06728872971155</v>
      </c>
      <c r="CM27" s="1070">
        <f>CM218*CM209/365</f>
        <v>630.0242828791653</v>
      </c>
      <c r="CN27" s="1070">
        <f>CN218*CN209/365</f>
        <v>1009.9475730536687</v>
      </c>
      <c r="CO27" s="1091">
        <f t="shared" si="89"/>
        <v>1009.9475730536687</v>
      </c>
      <c r="CP27" s="1070">
        <f>CP218*CP209/365</f>
        <v>656.2577829697583</v>
      </c>
      <c r="CQ27" s="1070">
        <f>CQ218*CQ209/365</f>
        <v>646.57420943710815</v>
      </c>
      <c r="CR27" s="1070">
        <f>CR218*CR209/365</f>
        <v>687.23222424532196</v>
      </c>
      <c r="CS27" s="1070">
        <f>CS218*CS209/365</f>
        <v>1074.5093753490246</v>
      </c>
      <c r="CT27" s="1091">
        <f t="shared" si="90"/>
        <v>1074.5093753490246</v>
      </c>
      <c r="CU27" s="1070">
        <f>CU218*CU209/365</f>
        <v>700.97046407500306</v>
      </c>
      <c r="CV27" s="1070">
        <f>CV218*CV209/365</f>
        <v>691.03195092668557</v>
      </c>
      <c r="CW27" s="1070">
        <f>CW218*CW209/365</f>
        <v>735.16586427166351</v>
      </c>
      <c r="CX27" s="1070">
        <f>CX218*CX209/365</f>
        <v>1150.0680255040172</v>
      </c>
      <c r="CY27" s="1091">
        <f t="shared" si="91"/>
        <v>1150.0680255040172</v>
      </c>
      <c r="CZ27" s="1070">
        <f>CZ218*CZ209/365</f>
        <v>750.34260683380489</v>
      </c>
      <c r="DA27" s="1070">
        <f>DA218*DA209/365</f>
        <v>739.02907805736118</v>
      </c>
      <c r="DB27" s="1070">
        <f>DB218*DB209/365</f>
        <v>788.67330924365876</v>
      </c>
      <c r="DC27" s="1070">
        <f>DC218*DC209/365</f>
        <v>1237.1016084299083</v>
      </c>
      <c r="DD27" s="1091">
        <f t="shared" si="92"/>
        <v>1237.1016084299083</v>
      </c>
      <c r="DE27" s="1070">
        <f>DE218*DE209/365</f>
        <v>804.78460764831527</v>
      </c>
      <c r="DF27" s="1070">
        <f>DF218*DF209/365</f>
        <v>793.1078696081679</v>
      </c>
      <c r="DG27" s="1070">
        <f>DG218*DG209/365</f>
        <v>843.69762812685315</v>
      </c>
      <c r="DH27" s="1070">
        <f>DH218*DH209/365</f>
        <v>1319.3493142762313</v>
      </c>
      <c r="DI27" s="1091">
        <f t="shared" si="93"/>
        <v>1319.3493142762313</v>
      </c>
      <c r="DJ27" s="1070">
        <f>DJ218*DJ209/365</f>
        <v>858.759116483296</v>
      </c>
      <c r="DK27" s="1070">
        <f>DK218*DK209/365</f>
        <v>846.47871682542598</v>
      </c>
      <c r="DL27" s="1070">
        <f>DL218*DL209/365</f>
        <v>900.40409399005557</v>
      </c>
      <c r="DM27" s="1070">
        <f>DM218*DM209/365</f>
        <v>1407.7464101707087</v>
      </c>
      <c r="DN27" s="1091">
        <f t="shared" si="94"/>
        <v>1407.7464101707087</v>
      </c>
      <c r="DO27" s="1070">
        <f>DO218*DO209/365</f>
        <v>918.52314407380584</v>
      </c>
      <c r="DP27" s="1070">
        <f>DP218*DP209/365</f>
        <v>905.08482158820823</v>
      </c>
      <c r="DQ27" s="1070">
        <f>DQ218*DQ209/365</f>
        <v>962.39957969589568</v>
      </c>
      <c r="DR27" s="1070">
        <f>DR218*DR209/365</f>
        <v>1504.1514066095936</v>
      </c>
      <c r="DS27" s="1091">
        <f t="shared" si="95"/>
        <v>1504.1514066095936</v>
      </c>
      <c r="DT27" s="1070">
        <f>DT218*DT209/365</f>
        <v>976.06491416860592</v>
      </c>
      <c r="DU27" s="1070">
        <f>DU218*DU209/365</f>
        <v>961.54625150645836</v>
      </c>
      <c r="DV27" s="1070">
        <f>DV218*DV209/365</f>
        <v>1022.1816427766312</v>
      </c>
      <c r="DW27" s="1070">
        <f>DW218*DW209/365</f>
        <v>1597.2009203890964</v>
      </c>
      <c r="DX27" s="1091">
        <f t="shared" si="85"/>
        <v>1597.2009203890964</v>
      </c>
      <c r="DY27" s="16"/>
      <c r="DZ27" s="16"/>
      <c r="EA27" s="78"/>
      <c r="EB27" s="16"/>
      <c r="EC27" s="16"/>
      <c r="ED27" s="471"/>
      <c r="EE27" s="16"/>
      <c r="EF27" s="16"/>
    </row>
    <row r="28" spans="1:136" x14ac:dyDescent="0.2">
      <c r="A28" s="497" t="s">
        <v>619</v>
      </c>
      <c r="B28" s="174"/>
      <c r="C28" s="20"/>
      <c r="D28" s="20"/>
      <c r="E28" s="20"/>
      <c r="F28" s="20"/>
      <c r="G28" s="174"/>
      <c r="H28" s="20"/>
      <c r="I28" s="20"/>
      <c r="J28" s="20"/>
      <c r="K28" s="20"/>
      <c r="L28" s="174"/>
      <c r="M28" s="20"/>
      <c r="N28" s="20"/>
      <c r="O28" s="20"/>
      <c r="P28" s="20"/>
      <c r="Q28" s="174"/>
      <c r="R28" s="20"/>
      <c r="S28" s="180"/>
      <c r="T28" s="20"/>
      <c r="U28" s="20"/>
      <c r="V28" s="174"/>
      <c r="W28" s="20"/>
      <c r="X28" s="20"/>
      <c r="Y28" s="20"/>
      <c r="Z28" s="38"/>
      <c r="AA28" s="40"/>
      <c r="AB28" s="38"/>
      <c r="AC28" s="38"/>
      <c r="AD28" s="38"/>
      <c r="AE28" s="38"/>
      <c r="AF28" s="40"/>
      <c r="AG28" s="38"/>
      <c r="AH28" s="38"/>
      <c r="AI28" s="38"/>
      <c r="AJ28" s="38"/>
      <c r="AK28" s="40"/>
      <c r="AL28" s="38"/>
      <c r="AM28" s="38"/>
      <c r="AN28" s="38"/>
      <c r="AO28" s="38"/>
      <c r="AP28" s="853"/>
      <c r="AQ28" s="38"/>
      <c r="AR28" s="38"/>
      <c r="AS28" s="38"/>
      <c r="AT28" s="38"/>
      <c r="AU28" s="853"/>
      <c r="AV28" s="1074"/>
      <c r="AW28" s="38"/>
      <c r="AX28" s="38"/>
      <c r="AY28" s="38"/>
      <c r="AZ28" s="38"/>
      <c r="BA28" s="40"/>
      <c r="BB28" s="38"/>
      <c r="BC28" s="38"/>
      <c r="BD28" s="38"/>
      <c r="BE28" s="38"/>
      <c r="BF28" s="853"/>
      <c r="BG28" s="38"/>
      <c r="BH28" s="38"/>
      <c r="BI28" s="38"/>
      <c r="BJ28" s="38"/>
      <c r="BK28" s="853"/>
      <c r="BL28" s="38"/>
      <c r="BM28" s="38"/>
      <c r="BN28" s="38"/>
      <c r="BO28" s="38"/>
      <c r="BP28" s="853"/>
      <c r="BQ28" s="38"/>
      <c r="BR28" s="38"/>
      <c r="BS28" s="38"/>
      <c r="BT28" s="38">
        <v>187</v>
      </c>
      <c r="BU28" s="853">
        <f t="shared" ref="BU28:BU30" si="96">BT28</f>
        <v>187</v>
      </c>
      <c r="BV28" s="38">
        <v>125.9</v>
      </c>
      <c r="BW28" s="1348">
        <v>125.8</v>
      </c>
      <c r="BX28" s="38">
        <v>112.6</v>
      </c>
      <c r="BY28" s="38">
        <v>168.5</v>
      </c>
      <c r="BZ28" s="853">
        <f t="shared" si="67"/>
        <v>168.5</v>
      </c>
      <c r="CA28" s="38">
        <v>132.5</v>
      </c>
      <c r="CB28" s="38">
        <v>131.4</v>
      </c>
      <c r="CC28" s="38">
        <v>124.2</v>
      </c>
      <c r="CD28" s="38">
        <v>194.4</v>
      </c>
      <c r="CE28" s="853">
        <f t="shared" si="87"/>
        <v>194.4</v>
      </c>
      <c r="CF28" s="38">
        <v>139.1</v>
      </c>
      <c r="CG28" s="38">
        <v>139.5</v>
      </c>
      <c r="CH28" s="38">
        <v>130.30000000000001</v>
      </c>
      <c r="CI28" s="38">
        <v>214.9</v>
      </c>
      <c r="CJ28" s="853">
        <f t="shared" si="88"/>
        <v>214.9</v>
      </c>
      <c r="CK28" s="38">
        <v>107.3</v>
      </c>
      <c r="CL28" s="1070">
        <v>132.18848801568319</v>
      </c>
      <c r="CM28" s="1070">
        <v>127.43073918304326</v>
      </c>
      <c r="CN28" s="1070">
        <v>208.08805054177378</v>
      </c>
      <c r="CO28" s="1091">
        <f t="shared" si="89"/>
        <v>208.08805054177378</v>
      </c>
      <c r="CP28" s="1070">
        <v>147.83831712206367</v>
      </c>
      <c r="CQ28" s="1070">
        <v>135.35511314918139</v>
      </c>
      <c r="CR28" s="1070">
        <v>130.56199407001657</v>
      </c>
      <c r="CS28" s="1070">
        <v>214.0367977414397</v>
      </c>
      <c r="CT28" s="1091">
        <f t="shared" si="90"/>
        <v>214.0367977414397</v>
      </c>
      <c r="CU28" s="1070">
        <v>154.09038101374213</v>
      </c>
      <c r="CV28" s="1070">
        <v>139.49034265188544</v>
      </c>
      <c r="CW28" s="1070">
        <v>134.60697577873063</v>
      </c>
      <c r="CX28" s="1070">
        <v>220.87824069582695</v>
      </c>
      <c r="CY28" s="1091">
        <f t="shared" si="91"/>
        <v>220.87824069582695</v>
      </c>
      <c r="CZ28" s="1070">
        <v>157.52957890305802</v>
      </c>
      <c r="DA28" s="1070">
        <v>144.14575853407692</v>
      </c>
      <c r="DB28" s="1070">
        <v>139.08341945653035</v>
      </c>
      <c r="DC28" s="1070">
        <v>228.31680977083349</v>
      </c>
      <c r="DD28" s="1091">
        <f t="shared" si="92"/>
        <v>228.31680977083349</v>
      </c>
      <c r="DE28" s="1070">
        <v>163.17670076796364</v>
      </c>
      <c r="DF28" s="1070">
        <v>149.50479068059448</v>
      </c>
      <c r="DG28" s="1070">
        <v>144.46195164432149</v>
      </c>
      <c r="DH28" s="1070">
        <v>237.24251526591053</v>
      </c>
      <c r="DI28" s="1091">
        <f t="shared" si="93"/>
        <v>237.24251526591053</v>
      </c>
      <c r="DJ28" s="1070">
        <v>169.71497371212493</v>
      </c>
      <c r="DK28" s="1070">
        <v>155.45223114162599</v>
      </c>
      <c r="DL28" s="1070">
        <v>150.18966613086721</v>
      </c>
      <c r="DM28" s="1070">
        <v>246.62226909313287</v>
      </c>
      <c r="DN28" s="1091">
        <f t="shared" si="94"/>
        <v>246.62226909313287</v>
      </c>
      <c r="DO28" s="1070">
        <v>178.54603353462355</v>
      </c>
      <c r="DP28" s="1070">
        <v>161.70417410946146</v>
      </c>
      <c r="DQ28" s="1070">
        <v>156.2115191438412</v>
      </c>
      <c r="DR28" s="1070">
        <v>256.48558954152458</v>
      </c>
      <c r="DS28" s="1091">
        <f t="shared" si="95"/>
        <v>256.48558954152458</v>
      </c>
      <c r="DT28" s="1070">
        <v>183.81244859656911</v>
      </c>
      <c r="DU28" s="1070">
        <v>168.28053141646976</v>
      </c>
      <c r="DV28" s="1070">
        <v>162.54675851202211</v>
      </c>
      <c r="DW28" s="1070">
        <v>266.8641588278133</v>
      </c>
      <c r="DX28" s="1091">
        <f t="shared" si="85"/>
        <v>266.8641588278133</v>
      </c>
      <c r="DY28" s="16"/>
      <c r="DZ28" s="16"/>
      <c r="EA28" s="78"/>
      <c r="EB28" s="16"/>
      <c r="EC28" s="16"/>
      <c r="ED28" s="471"/>
      <c r="EE28" s="16"/>
      <c r="EF28" s="16"/>
    </row>
    <row r="29" spans="1:136" x14ac:dyDescent="0.2">
      <c r="A29" s="497" t="s">
        <v>621</v>
      </c>
      <c r="B29" s="174"/>
      <c r="C29" s="20"/>
      <c r="D29" s="20"/>
      <c r="E29" s="20"/>
      <c r="F29" s="20"/>
      <c r="G29" s="174"/>
      <c r="H29" s="20"/>
      <c r="I29" s="20"/>
      <c r="J29" s="20"/>
      <c r="K29" s="20"/>
      <c r="L29" s="174"/>
      <c r="M29" s="20"/>
      <c r="N29" s="20"/>
      <c r="O29" s="20"/>
      <c r="P29" s="20"/>
      <c r="Q29" s="174"/>
      <c r="R29" s="20"/>
      <c r="S29" s="180"/>
      <c r="T29" s="20"/>
      <c r="U29" s="20"/>
      <c r="V29" s="174"/>
      <c r="W29" s="20"/>
      <c r="X29" s="20"/>
      <c r="Y29" s="20"/>
      <c r="Z29" s="38"/>
      <c r="AA29" s="40"/>
      <c r="AB29" s="38"/>
      <c r="AC29" s="38"/>
      <c r="AD29" s="38"/>
      <c r="AE29" s="38"/>
      <c r="AF29" s="40"/>
      <c r="AG29" s="38"/>
      <c r="AH29" s="38"/>
      <c r="AI29" s="38"/>
      <c r="AJ29" s="38"/>
      <c r="AK29" s="40"/>
      <c r="AL29" s="38"/>
      <c r="AM29" s="38"/>
      <c r="AN29" s="38"/>
      <c r="AO29" s="38"/>
      <c r="AP29" s="853"/>
      <c r="AQ29" s="38"/>
      <c r="AR29" s="38"/>
      <c r="AS29" s="38"/>
      <c r="AT29" s="38"/>
      <c r="AU29" s="853"/>
      <c r="AV29" s="1074"/>
      <c r="AW29" s="38"/>
      <c r="AX29" s="38"/>
      <c r="AY29" s="38"/>
      <c r="AZ29" s="38"/>
      <c r="BA29" s="40"/>
      <c r="BB29" s="38"/>
      <c r="BC29" s="38"/>
      <c r="BD29" s="38"/>
      <c r="BE29" s="38"/>
      <c r="BF29" s="853"/>
      <c r="BG29" s="38"/>
      <c r="BH29" s="38"/>
      <c r="BI29" s="38"/>
      <c r="BJ29" s="38"/>
      <c r="BK29" s="853"/>
      <c r="BL29" s="38"/>
      <c r="BM29" s="38"/>
      <c r="BN29" s="38"/>
      <c r="BO29" s="38"/>
      <c r="BP29" s="853"/>
      <c r="BQ29" s="38"/>
      <c r="BR29" s="38"/>
      <c r="BS29" s="38"/>
      <c r="BT29" s="38">
        <v>45.6</v>
      </c>
      <c r="BU29" s="853">
        <f t="shared" si="96"/>
        <v>45.6</v>
      </c>
      <c r="BV29" s="38">
        <v>40.200000000000003</v>
      </c>
      <c r="BW29" s="1348">
        <v>48.3</v>
      </c>
      <c r="BX29" s="38">
        <v>53.1</v>
      </c>
      <c r="BY29" s="38">
        <v>48.4</v>
      </c>
      <c r="BZ29" s="853">
        <f t="shared" si="67"/>
        <v>48.4</v>
      </c>
      <c r="CA29" s="38">
        <v>78.7</v>
      </c>
      <c r="CB29" s="38">
        <v>87.3</v>
      </c>
      <c r="CC29" s="38">
        <v>112.7</v>
      </c>
      <c r="CD29" s="38">
        <v>83.3</v>
      </c>
      <c r="CE29" s="853">
        <f t="shared" si="87"/>
        <v>83.3</v>
      </c>
      <c r="CF29" s="38">
        <v>137.9</v>
      </c>
      <c r="CG29" s="38">
        <v>120.7</v>
      </c>
      <c r="CH29" s="38">
        <v>154.1</v>
      </c>
      <c r="CI29" s="38">
        <v>110.8</v>
      </c>
      <c r="CJ29" s="853">
        <f t="shared" si="88"/>
        <v>110.8</v>
      </c>
      <c r="CK29" s="38">
        <v>0</v>
      </c>
      <c r="CL29" s="1070">
        <f t="shared" ref="CL29:CN29" si="97">CK29</f>
        <v>0</v>
      </c>
      <c r="CM29" s="1070">
        <f t="shared" si="97"/>
        <v>0</v>
      </c>
      <c r="CN29" s="1070">
        <f t="shared" si="97"/>
        <v>0</v>
      </c>
      <c r="CO29" s="1091">
        <f t="shared" si="89"/>
        <v>0</v>
      </c>
      <c r="CP29" s="1070">
        <f>CO29</f>
        <v>0</v>
      </c>
      <c r="CQ29" s="1070">
        <f t="shared" ref="CQ29:CS29" si="98">CP29</f>
        <v>0</v>
      </c>
      <c r="CR29" s="1070">
        <f t="shared" si="98"/>
        <v>0</v>
      </c>
      <c r="CS29" s="1070">
        <f t="shared" si="98"/>
        <v>0</v>
      </c>
      <c r="CT29" s="1091">
        <f t="shared" si="90"/>
        <v>0</v>
      </c>
      <c r="CU29" s="1070">
        <f>CT29</f>
        <v>0</v>
      </c>
      <c r="CV29" s="1070">
        <f t="shared" ref="CV29:CX29" si="99">CU29</f>
        <v>0</v>
      </c>
      <c r="CW29" s="1070">
        <f t="shared" si="99"/>
        <v>0</v>
      </c>
      <c r="CX29" s="1070">
        <f t="shared" si="99"/>
        <v>0</v>
      </c>
      <c r="CY29" s="1091">
        <f t="shared" si="91"/>
        <v>0</v>
      </c>
      <c r="CZ29" s="1070">
        <f>CY29</f>
        <v>0</v>
      </c>
      <c r="DA29" s="1070">
        <f t="shared" ref="DA29:DC29" si="100">CZ29</f>
        <v>0</v>
      </c>
      <c r="DB29" s="1070">
        <f t="shared" si="100"/>
        <v>0</v>
      </c>
      <c r="DC29" s="1070">
        <f t="shared" si="100"/>
        <v>0</v>
      </c>
      <c r="DD29" s="1091">
        <f t="shared" si="92"/>
        <v>0</v>
      </c>
      <c r="DE29" s="1070">
        <f>DD29</f>
        <v>0</v>
      </c>
      <c r="DF29" s="1070">
        <f t="shared" ref="DF29:DH29" si="101">DE29</f>
        <v>0</v>
      </c>
      <c r="DG29" s="1070">
        <f t="shared" si="101"/>
        <v>0</v>
      </c>
      <c r="DH29" s="1070">
        <f t="shared" si="101"/>
        <v>0</v>
      </c>
      <c r="DI29" s="1091">
        <f t="shared" si="93"/>
        <v>0</v>
      </c>
      <c r="DJ29" s="1070">
        <f>DI29</f>
        <v>0</v>
      </c>
      <c r="DK29" s="1070">
        <f t="shared" ref="DK29:DM29" si="102">DJ29</f>
        <v>0</v>
      </c>
      <c r="DL29" s="1070">
        <f t="shared" si="102"/>
        <v>0</v>
      </c>
      <c r="DM29" s="1070">
        <f t="shared" si="102"/>
        <v>0</v>
      </c>
      <c r="DN29" s="1091">
        <f t="shared" si="94"/>
        <v>0</v>
      </c>
      <c r="DO29" s="1070">
        <f>DN29</f>
        <v>0</v>
      </c>
      <c r="DP29" s="1070">
        <f t="shared" ref="DP29:DR29" si="103">DO29</f>
        <v>0</v>
      </c>
      <c r="DQ29" s="1070">
        <f t="shared" si="103"/>
        <v>0</v>
      </c>
      <c r="DR29" s="1070">
        <f t="shared" si="103"/>
        <v>0</v>
      </c>
      <c r="DS29" s="1091">
        <f t="shared" si="95"/>
        <v>0</v>
      </c>
      <c r="DT29" s="1070">
        <f>DS29</f>
        <v>0</v>
      </c>
      <c r="DU29" s="1070">
        <f t="shared" ref="DU29" si="104">DT29</f>
        <v>0</v>
      </c>
      <c r="DV29" s="1070">
        <f t="shared" ref="DV29" si="105">DU29</f>
        <v>0</v>
      </c>
      <c r="DW29" s="1070">
        <f t="shared" ref="DW29" si="106">DV29</f>
        <v>0</v>
      </c>
      <c r="DX29" s="1091">
        <f t="shared" si="85"/>
        <v>0</v>
      </c>
      <c r="DY29" s="16"/>
      <c r="DZ29" s="16"/>
      <c r="EA29" s="78"/>
      <c r="EB29" s="16"/>
      <c r="EC29" s="16"/>
      <c r="ED29" s="471"/>
      <c r="EE29" s="16"/>
      <c r="EF29" s="16"/>
    </row>
    <row r="30" spans="1:136" x14ac:dyDescent="0.2">
      <c r="A30" s="497" t="s">
        <v>620</v>
      </c>
      <c r="B30" s="174"/>
      <c r="C30" s="20"/>
      <c r="D30" s="20"/>
      <c r="E30" s="20"/>
      <c r="F30" s="20"/>
      <c r="G30" s="174"/>
      <c r="H30" s="20"/>
      <c r="I30" s="20"/>
      <c r="J30" s="20"/>
      <c r="K30" s="20"/>
      <c r="L30" s="174"/>
      <c r="M30" s="20"/>
      <c r="N30" s="20"/>
      <c r="O30" s="20"/>
      <c r="P30" s="20"/>
      <c r="Q30" s="174"/>
      <c r="R30" s="20"/>
      <c r="S30" s="180"/>
      <c r="T30" s="20"/>
      <c r="U30" s="20"/>
      <c r="V30" s="174"/>
      <c r="W30" s="20"/>
      <c r="X30" s="20"/>
      <c r="Y30" s="20"/>
      <c r="Z30" s="38"/>
      <c r="AA30" s="40"/>
      <c r="AB30" s="38"/>
      <c r="AC30" s="38"/>
      <c r="AD30" s="38"/>
      <c r="AE30" s="38"/>
      <c r="AF30" s="40"/>
      <c r="AG30" s="38"/>
      <c r="AH30" s="38"/>
      <c r="AI30" s="38"/>
      <c r="AJ30" s="38"/>
      <c r="AK30" s="40"/>
      <c r="AL30" s="38"/>
      <c r="AM30" s="38"/>
      <c r="AN30" s="38"/>
      <c r="AO30" s="38"/>
      <c r="AP30" s="853"/>
      <c r="AQ30" s="38"/>
      <c r="AR30" s="38"/>
      <c r="AS30" s="38"/>
      <c r="AT30" s="38"/>
      <c r="AU30" s="853"/>
      <c r="AV30" s="1074"/>
      <c r="AW30" s="38"/>
      <c r="AX30" s="38"/>
      <c r="AY30" s="38"/>
      <c r="AZ30" s="38"/>
      <c r="BA30" s="40"/>
      <c r="BB30" s="38"/>
      <c r="BC30" s="38"/>
      <c r="BD30" s="38"/>
      <c r="BE30" s="38"/>
      <c r="BF30" s="853"/>
      <c r="BG30" s="38"/>
      <c r="BH30" s="38"/>
      <c r="BI30" s="38"/>
      <c r="BJ30" s="38"/>
      <c r="BK30" s="853"/>
      <c r="BL30" s="38"/>
      <c r="BM30" s="38"/>
      <c r="BN30" s="38"/>
      <c r="BO30" s="38"/>
      <c r="BP30" s="853"/>
      <c r="BQ30" s="38"/>
      <c r="BR30" s="38"/>
      <c r="BS30" s="38"/>
      <c r="BT30" s="38">
        <v>1044.8</v>
      </c>
      <c r="BU30" s="853">
        <f t="shared" si="96"/>
        <v>1044.8</v>
      </c>
      <c r="BV30" s="38">
        <v>0</v>
      </c>
      <c r="BW30" s="1348">
        <v>0</v>
      </c>
      <c r="BX30" s="38">
        <v>0</v>
      </c>
      <c r="BY30" s="38">
        <v>0</v>
      </c>
      <c r="BZ30" s="853"/>
      <c r="CA30" s="38"/>
      <c r="CB30" s="38"/>
      <c r="CC30" s="38"/>
      <c r="CD30" s="38"/>
      <c r="CE30" s="853"/>
      <c r="CF30" s="38"/>
      <c r="CG30" s="38"/>
      <c r="CH30" s="38"/>
      <c r="CI30" s="38"/>
      <c r="CJ30" s="853"/>
      <c r="CK30" s="38"/>
      <c r="CL30" s="41"/>
      <c r="CM30" s="41"/>
      <c r="CN30" s="41"/>
      <c r="CO30" s="853"/>
      <c r="CP30" s="41"/>
      <c r="CQ30" s="41"/>
      <c r="CR30" s="41"/>
      <c r="CS30" s="41"/>
      <c r="CT30" s="853"/>
      <c r="CU30" s="41"/>
      <c r="CV30" s="41"/>
      <c r="CW30" s="41"/>
      <c r="CX30" s="41"/>
      <c r="CY30" s="853"/>
      <c r="CZ30" s="41"/>
      <c r="DA30" s="41"/>
      <c r="DB30" s="41"/>
      <c r="DC30" s="41"/>
      <c r="DD30" s="853"/>
      <c r="DE30" s="41"/>
      <c r="DF30" s="41"/>
      <c r="DG30" s="41"/>
      <c r="DH30" s="41"/>
      <c r="DI30" s="853"/>
      <c r="DJ30" s="41"/>
      <c r="DK30" s="41"/>
      <c r="DL30" s="41"/>
      <c r="DM30" s="41"/>
      <c r="DN30" s="853"/>
      <c r="DO30" s="41"/>
      <c r="DP30" s="41"/>
      <c r="DQ30" s="41"/>
      <c r="DR30" s="41"/>
      <c r="DS30" s="853"/>
      <c r="DT30" s="41"/>
      <c r="DU30" s="41"/>
      <c r="DV30" s="41"/>
      <c r="DW30" s="41"/>
      <c r="DX30" s="853"/>
      <c r="DY30" s="41"/>
      <c r="DZ30" s="41"/>
      <c r="EA30" s="78"/>
      <c r="EB30" s="41"/>
      <c r="EC30" s="16"/>
      <c r="ED30" s="471"/>
      <c r="EE30" s="16"/>
      <c r="EF30" s="16"/>
    </row>
    <row r="31" spans="1:136" x14ac:dyDescent="0.2">
      <c r="A31" s="497" t="s">
        <v>271</v>
      </c>
      <c r="B31" s="174"/>
      <c r="C31" s="20"/>
      <c r="D31" s="20"/>
      <c r="E31" s="20"/>
      <c r="F31" s="20"/>
      <c r="G31" s="174"/>
      <c r="H31" s="20"/>
      <c r="I31" s="20"/>
      <c r="J31" s="20"/>
      <c r="K31" s="20"/>
      <c r="L31" s="174"/>
      <c r="M31" s="20"/>
      <c r="N31" s="20"/>
      <c r="O31" s="20"/>
      <c r="P31" s="20"/>
      <c r="Q31" s="174"/>
      <c r="R31" s="20"/>
      <c r="S31" s="180"/>
      <c r="T31" s="20"/>
      <c r="U31" s="20">
        <f t="shared" si="59"/>
        <v>4</v>
      </c>
      <c r="V31" s="174">
        <v>4</v>
      </c>
      <c r="W31" s="20" t="s">
        <v>540</v>
      </c>
      <c r="X31" s="20" t="s">
        <v>540</v>
      </c>
      <c r="Y31" s="20" t="s">
        <v>540</v>
      </c>
      <c r="Z31" s="38">
        <v>5</v>
      </c>
      <c r="AA31" s="40">
        <f t="shared" si="60"/>
        <v>5</v>
      </c>
      <c r="AB31" s="38">
        <v>5</v>
      </c>
      <c r="AC31" s="38">
        <v>5</v>
      </c>
      <c r="AD31" s="38">
        <v>5</v>
      </c>
      <c r="AE31" s="38">
        <f>AF31</f>
        <v>5</v>
      </c>
      <c r="AF31" s="40">
        <v>5</v>
      </c>
      <c r="AG31" s="38">
        <v>5</v>
      </c>
      <c r="AH31" s="38">
        <v>5</v>
      </c>
      <c r="AI31" s="38">
        <v>5</v>
      </c>
      <c r="AJ31" s="38">
        <v>7</v>
      </c>
      <c r="AK31" s="40">
        <v>7</v>
      </c>
      <c r="AL31" s="38">
        <v>23</v>
      </c>
      <c r="AM31" s="38">
        <v>38</v>
      </c>
      <c r="AN31" s="38">
        <v>54</v>
      </c>
      <c r="AO31" s="38">
        <v>67.5</v>
      </c>
      <c r="AP31" s="853">
        <f t="shared" si="61"/>
        <v>67.5</v>
      </c>
      <c r="AQ31" s="38">
        <v>74</v>
      </c>
      <c r="AR31" s="38">
        <v>80.5</v>
      </c>
      <c r="AS31" s="38">
        <v>86.9</v>
      </c>
      <c r="AT31" s="38">
        <v>93.3</v>
      </c>
      <c r="AU31" s="853">
        <f t="shared" si="62"/>
        <v>93.3</v>
      </c>
      <c r="AV31" s="123"/>
      <c r="AW31" s="38">
        <f t="shared" si="63"/>
        <v>86.9</v>
      </c>
      <c r="AX31" s="38">
        <f t="shared" si="63"/>
        <v>93.3</v>
      </c>
      <c r="AY31" s="38">
        <v>71.599999999999994</v>
      </c>
      <c r="AZ31" s="38">
        <v>36.200000000000003</v>
      </c>
      <c r="BA31" s="40">
        <f t="shared" si="64"/>
        <v>36.200000000000003</v>
      </c>
      <c r="BB31" s="38">
        <v>30.4</v>
      </c>
      <c r="BC31" s="38">
        <v>30.6</v>
      </c>
      <c r="BD31" s="38">
        <v>33.4</v>
      </c>
      <c r="BE31" s="38">
        <v>33.5</v>
      </c>
      <c r="BF31" s="853">
        <f t="shared" si="65"/>
        <v>33.5</v>
      </c>
      <c r="BG31" s="38">
        <v>36.6</v>
      </c>
      <c r="BH31" s="38">
        <v>35.9</v>
      </c>
      <c r="BI31" s="38">
        <v>50</v>
      </c>
      <c r="BJ31" s="38">
        <v>55.8</v>
      </c>
      <c r="BK31" s="853">
        <f t="shared" si="66"/>
        <v>55.8</v>
      </c>
      <c r="BL31" s="38">
        <v>62.2</v>
      </c>
      <c r="BM31" s="38">
        <v>68.5</v>
      </c>
      <c r="BN31" s="38">
        <v>75</v>
      </c>
      <c r="BO31" s="38">
        <v>81.400000000000006</v>
      </c>
      <c r="BP31" s="853">
        <f>BO31</f>
        <v>81.400000000000006</v>
      </c>
      <c r="BQ31" s="38">
        <v>87.6</v>
      </c>
      <c r="BR31" s="38">
        <v>94.1</v>
      </c>
      <c r="BS31" s="38">
        <v>100.2</v>
      </c>
      <c r="BT31" s="38">
        <v>80.099999999999994</v>
      </c>
      <c r="BU31" s="853">
        <f>BT31</f>
        <v>80.099999999999994</v>
      </c>
      <c r="BV31" s="38">
        <v>39.1</v>
      </c>
      <c r="BW31" s="1348">
        <v>46.3</v>
      </c>
      <c r="BX31" s="38">
        <v>56.5</v>
      </c>
      <c r="BY31" s="38">
        <v>56.1</v>
      </c>
      <c r="BZ31" s="853">
        <f t="shared" si="67"/>
        <v>56.1</v>
      </c>
      <c r="CA31" s="38">
        <v>57.6</v>
      </c>
      <c r="CB31" s="38">
        <v>94.9</v>
      </c>
      <c r="CC31" s="38">
        <v>94.1</v>
      </c>
      <c r="CD31" s="38">
        <v>93.9</v>
      </c>
      <c r="CE31" s="853">
        <f t="shared" si="87"/>
        <v>93.9</v>
      </c>
      <c r="CF31" s="38">
        <v>110.1</v>
      </c>
      <c r="CG31" s="38">
        <v>76.3</v>
      </c>
      <c r="CH31" s="38">
        <v>77.5</v>
      </c>
      <c r="CI31" s="38">
        <v>78.2</v>
      </c>
      <c r="CJ31" s="853">
        <f t="shared" si="88"/>
        <v>78.2</v>
      </c>
      <c r="CK31" s="38">
        <v>78.8</v>
      </c>
      <c r="CL31" s="1070">
        <f>-CL100-CL107</f>
        <v>86.600000000000009</v>
      </c>
      <c r="CM31" s="1070">
        <f>-CM100-CM107</f>
        <v>86.600000000000009</v>
      </c>
      <c r="CN31" s="1070">
        <f>-CN100-CN107</f>
        <v>86.600000000000009</v>
      </c>
      <c r="CO31" s="1091">
        <f t="shared" si="89"/>
        <v>86.600000000000009</v>
      </c>
      <c r="CP31" s="1070">
        <f>-CP100-CP107</f>
        <v>86.600000000000009</v>
      </c>
      <c r="CQ31" s="1070">
        <f>-CQ100-CQ107</f>
        <v>86.600000000000009</v>
      </c>
      <c r="CR31" s="1070">
        <f>-CR100-CR107</f>
        <v>86.600000000000009</v>
      </c>
      <c r="CS31" s="1070">
        <f>-CS100-CS107</f>
        <v>86.600000000000009</v>
      </c>
      <c r="CT31" s="1091">
        <f t="shared" si="90"/>
        <v>86.600000000000009</v>
      </c>
      <c r="CU31" s="1070">
        <f>-CU100-CU107</f>
        <v>86.600000000000009</v>
      </c>
      <c r="CV31" s="1070">
        <f>-CV100-CV107</f>
        <v>86.600000000000009</v>
      </c>
      <c r="CW31" s="1070">
        <f>-CW100-CW107</f>
        <v>86.600000000000009</v>
      </c>
      <c r="CX31" s="1070">
        <f>-CX100-CX107</f>
        <v>6203.0750000000007</v>
      </c>
      <c r="CY31" s="1091">
        <f t="shared" si="91"/>
        <v>6203.0750000000007</v>
      </c>
      <c r="CZ31" s="1070">
        <f>-CZ100-CZ107</f>
        <v>6186.2000000000007</v>
      </c>
      <c r="DA31" s="1070">
        <f>-DA100-DA107</f>
        <v>6169.3250000000007</v>
      </c>
      <c r="DB31" s="1070">
        <f>-DB100-DB107</f>
        <v>6152.4500000000007</v>
      </c>
      <c r="DC31" s="1070">
        <f>-DC100-DC107</f>
        <v>19.100000000000009</v>
      </c>
      <c r="DD31" s="1091">
        <f t="shared" si="92"/>
        <v>19.100000000000009</v>
      </c>
      <c r="DE31" s="1070">
        <f>-DE100-DE107</f>
        <v>19.100000000000009</v>
      </c>
      <c r="DF31" s="1070">
        <f>-DF100-DF107</f>
        <v>19.100000000000009</v>
      </c>
      <c r="DG31" s="1070">
        <f>-DG100-DG107</f>
        <v>19.100000000000009</v>
      </c>
      <c r="DH31" s="1070">
        <f>-DH100-DH107</f>
        <v>19.100000000000009</v>
      </c>
      <c r="DI31" s="1091">
        <f t="shared" si="93"/>
        <v>19.100000000000009</v>
      </c>
      <c r="DJ31" s="1070">
        <f>-DJ100-DJ107</f>
        <v>19.100000000000009</v>
      </c>
      <c r="DK31" s="1070">
        <f>-DK100-DK107</f>
        <v>19.100000000000009</v>
      </c>
      <c r="DL31" s="1070">
        <f>-DL100-DL107</f>
        <v>19.100000000000009</v>
      </c>
      <c r="DM31" s="1070">
        <f>-DM100-DM107</f>
        <v>19.100000000000009</v>
      </c>
      <c r="DN31" s="1091">
        <f t="shared" si="94"/>
        <v>19.100000000000009</v>
      </c>
      <c r="DO31" s="1070">
        <f>-DO100-DO107</f>
        <v>19.100000000000009</v>
      </c>
      <c r="DP31" s="1070">
        <f>-DP100-DP107</f>
        <v>19.100000000000009</v>
      </c>
      <c r="DQ31" s="1070">
        <f>-DQ100-DQ107</f>
        <v>19.100000000000009</v>
      </c>
      <c r="DR31" s="1070">
        <f>-DR100-DR107</f>
        <v>19.100000000000009</v>
      </c>
      <c r="DS31" s="1091">
        <f t="shared" si="95"/>
        <v>19.100000000000009</v>
      </c>
      <c r="DT31" s="1070">
        <f>-DT100-DT107</f>
        <v>19.100000000000009</v>
      </c>
      <c r="DU31" s="1070">
        <f>-DU100-DU107</f>
        <v>19.100000000000009</v>
      </c>
      <c r="DV31" s="1070">
        <f>-DV100-DV107</f>
        <v>19.100000000000009</v>
      </c>
      <c r="DW31" s="1070">
        <f>-DW100-DW107</f>
        <v>19.100000000000009</v>
      </c>
      <c r="DX31" s="1091">
        <f t="shared" ref="DX31:DX37" si="107">DW31</f>
        <v>19.100000000000009</v>
      </c>
      <c r="DY31" s="16"/>
      <c r="DZ31" s="16"/>
      <c r="EA31" s="78"/>
      <c r="EB31" s="16"/>
      <c r="EC31" s="16"/>
      <c r="ED31" s="471"/>
      <c r="EE31" s="16"/>
      <c r="EF31" s="16"/>
    </row>
    <row r="32" spans="1:136" x14ac:dyDescent="0.2">
      <c r="A32" s="496" t="s">
        <v>193</v>
      </c>
      <c r="B32" s="174"/>
      <c r="C32" s="20"/>
      <c r="D32" s="20"/>
      <c r="E32" s="20"/>
      <c r="F32" s="20"/>
      <c r="G32" s="174"/>
      <c r="H32" s="20"/>
      <c r="I32" s="20"/>
      <c r="J32" s="20"/>
      <c r="K32" s="20"/>
      <c r="L32" s="183"/>
      <c r="M32" s="184"/>
      <c r="N32" s="184"/>
      <c r="O32" s="184"/>
      <c r="P32" s="184"/>
      <c r="Q32" s="183"/>
      <c r="R32" s="184"/>
      <c r="S32" s="185"/>
      <c r="T32" s="184"/>
      <c r="U32" s="184">
        <f t="shared" si="59"/>
        <v>394</v>
      </c>
      <c r="V32" s="183">
        <f>SUM(V25:V31)</f>
        <v>394</v>
      </c>
      <c r="W32" s="20" t="s">
        <v>540</v>
      </c>
      <c r="X32" s="20" t="s">
        <v>540</v>
      </c>
      <c r="Y32" s="20" t="s">
        <v>540</v>
      </c>
      <c r="Z32" s="46">
        <v>492</v>
      </c>
      <c r="AA32" s="48">
        <f t="shared" si="60"/>
        <v>492</v>
      </c>
      <c r="AB32" s="46">
        <f>SUM(AB25:AB31)</f>
        <v>382</v>
      </c>
      <c r="AC32" s="46">
        <f>SUM(AC25:AC31)</f>
        <v>385</v>
      </c>
      <c r="AD32" s="46">
        <f>SUM(AD25:AD31)</f>
        <v>393</v>
      </c>
      <c r="AE32" s="46">
        <f>SUM(AE25:AE31)</f>
        <v>434</v>
      </c>
      <c r="AF32" s="48">
        <f>AE32</f>
        <v>434</v>
      </c>
      <c r="AG32" s="46">
        <f t="shared" ref="AG32:AO32" si="108">SUM(AG25:AG31)</f>
        <v>410</v>
      </c>
      <c r="AH32" s="46">
        <f t="shared" si="108"/>
        <v>430</v>
      </c>
      <c r="AI32" s="46">
        <f t="shared" si="108"/>
        <v>437</v>
      </c>
      <c r="AJ32" s="46">
        <f t="shared" si="108"/>
        <v>456</v>
      </c>
      <c r="AK32" s="48">
        <f t="shared" si="108"/>
        <v>456</v>
      </c>
      <c r="AL32" s="46">
        <f t="shared" si="108"/>
        <v>421</v>
      </c>
      <c r="AM32" s="46">
        <f t="shared" si="108"/>
        <v>410</v>
      </c>
      <c r="AN32" s="46">
        <f t="shared" si="108"/>
        <v>419</v>
      </c>
      <c r="AO32" s="46">
        <f t="shared" si="108"/>
        <v>482.3</v>
      </c>
      <c r="AP32" s="573">
        <f t="shared" si="61"/>
        <v>482.3</v>
      </c>
      <c r="AQ32" s="46">
        <f t="shared" ref="AQ32:BE32" si="109">SUM(AQ25:AQ31)</f>
        <v>462.7</v>
      </c>
      <c r="AR32" s="46">
        <f t="shared" si="109"/>
        <v>456.2</v>
      </c>
      <c r="AS32" s="46">
        <f t="shared" si="109"/>
        <v>465.20000000000005</v>
      </c>
      <c r="AT32" s="46">
        <f t="shared" si="109"/>
        <v>473.00000000000006</v>
      </c>
      <c r="AU32" s="573">
        <f t="shared" si="62"/>
        <v>473.00000000000006</v>
      </c>
      <c r="AV32" s="123"/>
      <c r="AW32" s="46">
        <f>SUM(AW25:AW31)</f>
        <v>465.20000000000005</v>
      </c>
      <c r="AX32" s="46">
        <f t="shared" si="109"/>
        <v>473.00000000000006</v>
      </c>
      <c r="AY32" s="46">
        <f t="shared" si="109"/>
        <v>476.30000000000007</v>
      </c>
      <c r="AZ32" s="46">
        <f t="shared" si="109"/>
        <v>456.7</v>
      </c>
      <c r="BA32" s="48">
        <f t="shared" si="64"/>
        <v>456.7</v>
      </c>
      <c r="BB32" s="46">
        <f t="shared" si="109"/>
        <v>459.7</v>
      </c>
      <c r="BC32" s="46">
        <f t="shared" si="109"/>
        <v>406.80000000000007</v>
      </c>
      <c r="BD32" s="46">
        <f t="shared" si="109"/>
        <v>442.6</v>
      </c>
      <c r="BE32" s="46">
        <f t="shared" si="109"/>
        <v>472</v>
      </c>
      <c r="BF32" s="573">
        <f t="shared" si="65"/>
        <v>472</v>
      </c>
      <c r="BG32" s="46">
        <f>SUM(BG25:BG31)</f>
        <v>449.90000000000003</v>
      </c>
      <c r="BH32" s="46">
        <f>SUM(BH25:BH31)</f>
        <v>404.29999999999995</v>
      </c>
      <c r="BI32" s="46">
        <f>SUM(BI25:BI31)</f>
        <v>412.20000000000005</v>
      </c>
      <c r="BJ32" s="46">
        <f>SUM(BJ25:BJ31)</f>
        <v>397.8</v>
      </c>
      <c r="BK32" s="573">
        <f t="shared" si="66"/>
        <v>397.8</v>
      </c>
      <c r="BL32" s="46">
        <f>SUM(BL25:BL31)</f>
        <v>407.5</v>
      </c>
      <c r="BM32" s="46">
        <f>SUM(BM25:BM31)</f>
        <v>367.3</v>
      </c>
      <c r="BN32" s="46">
        <f>SUM(BN25:BN31)</f>
        <v>384</v>
      </c>
      <c r="BO32" s="46">
        <f>SUM(BO25:BO31)</f>
        <v>346</v>
      </c>
      <c r="BP32" s="573">
        <f>BO32</f>
        <v>346</v>
      </c>
      <c r="BQ32" s="46">
        <f>SUM(BQ25:BQ31)</f>
        <v>373.20000000000005</v>
      </c>
      <c r="BR32" s="46">
        <f>SUM(BR25:BR31)</f>
        <v>347.4</v>
      </c>
      <c r="BS32" s="46">
        <f>SUM(BS25:BS31)</f>
        <v>605.1</v>
      </c>
      <c r="BT32" s="46">
        <f>SUM(BT25:BT31)</f>
        <v>1925.1999999999998</v>
      </c>
      <c r="BU32" s="573">
        <f>BT32</f>
        <v>1925.1999999999998</v>
      </c>
      <c r="BV32" s="46">
        <f>SUM(BV25:BV31)</f>
        <v>939.80000000000007</v>
      </c>
      <c r="BW32" s="1102">
        <f>SUM(BW25:BW31)</f>
        <v>1002.5999999999999</v>
      </c>
      <c r="BX32" s="46">
        <f>SUM(BX25:BX31)</f>
        <v>1215.6999999999998</v>
      </c>
      <c r="BY32" s="46">
        <f>SUM(BY25:BY31)</f>
        <v>1121</v>
      </c>
      <c r="BZ32" s="573">
        <f t="shared" si="67"/>
        <v>1121</v>
      </c>
      <c r="CA32" s="46">
        <f>SUM(CA25:CA31)</f>
        <v>1109.7</v>
      </c>
      <c r="CB32" s="46">
        <f>SUM(CB25:CB31)</f>
        <v>1146.7</v>
      </c>
      <c r="CC32" s="46">
        <f>SUM(CC25:CC31)</f>
        <v>1189.9000000000001</v>
      </c>
      <c r="CD32" s="46">
        <f>SUM(CD25:CD31)</f>
        <v>1210.7</v>
      </c>
      <c r="CE32" s="573">
        <f t="shared" si="87"/>
        <v>1210.7</v>
      </c>
      <c r="CF32" s="46">
        <f>SUM(CF25:CF31)</f>
        <v>1274.8999999999999</v>
      </c>
      <c r="CG32" s="46">
        <f>SUM(CG25:CG31)</f>
        <v>1204.7</v>
      </c>
      <c r="CH32" s="46">
        <f>SUM(CH25:CH31)</f>
        <v>1257.6999999999998</v>
      </c>
      <c r="CI32" s="46">
        <f>SUM(CI25:CI31)</f>
        <v>1655</v>
      </c>
      <c r="CJ32" s="573">
        <f t="shared" si="88"/>
        <v>1655</v>
      </c>
      <c r="CK32" s="46">
        <f>SUM(CK25:CK31)</f>
        <v>1239.0999999999999</v>
      </c>
      <c r="CL32" s="1071">
        <f>SUM(CL25:CL31)</f>
        <v>1193.9510411629478</v>
      </c>
      <c r="CM32" s="1071">
        <f>SUM(CM25:CM31)</f>
        <v>1223.7060979107591</v>
      </c>
      <c r="CN32" s="1071">
        <f>SUM(CN25:CN31)</f>
        <v>1729.7967564031173</v>
      </c>
      <c r="CO32" s="1092">
        <f t="shared" si="89"/>
        <v>1729.7967564031173</v>
      </c>
      <c r="CP32" s="1071">
        <f>SUM(CP25:CP31)</f>
        <v>1319.0050475615526</v>
      </c>
      <c r="CQ32" s="1071">
        <f>SUM(CQ25:CQ31)</f>
        <v>1278.4935434868887</v>
      </c>
      <c r="CR32" s="1071">
        <f>SUM(CR25:CR31)</f>
        <v>1298.3370934307609</v>
      </c>
      <c r="CS32" s="1071">
        <f>SUM(CS25:CS31)</f>
        <v>1817.9337114760128</v>
      </c>
      <c r="CT32" s="1092">
        <f t="shared" si="90"/>
        <v>1817.9337114760128</v>
      </c>
      <c r="CU32" s="1071">
        <f>SUM(CU25:CU31)</f>
        <v>1390.4713283554586</v>
      </c>
      <c r="CV32" s="1071">
        <f>SUM(CV25:CV31)</f>
        <v>1348.5035072971641</v>
      </c>
      <c r="CW32" s="1071">
        <f>SUM(CW25:CW31)</f>
        <v>1372.5780899760741</v>
      </c>
      <c r="CX32" s="1071">
        <f>SUM(CX25:CX31)</f>
        <v>8043.633549457043</v>
      </c>
      <c r="CY32" s="1092">
        <f t="shared" si="91"/>
        <v>8043.633549457043</v>
      </c>
      <c r="CZ32" s="1071">
        <f>SUM(CZ25:CZ31)</f>
        <v>7573.886467154789</v>
      </c>
      <c r="DA32" s="1071">
        <f>SUM(DA25:DA31)</f>
        <v>7513.1739077826269</v>
      </c>
      <c r="DB32" s="1071">
        <f>SUM(DB25:DB31)</f>
        <v>7528.2839326826597</v>
      </c>
      <c r="DC32" s="1071">
        <f>SUM(DC25:DC31)</f>
        <v>1993.7051386325893</v>
      </c>
      <c r="DD32" s="1092">
        <f t="shared" si="92"/>
        <v>1993.7051386325893</v>
      </c>
      <c r="DE32" s="1071">
        <f>SUM(DE25:DE31)</f>
        <v>1499.200227081184</v>
      </c>
      <c r="DF32" s="1071">
        <f>SUM(DF25:DF31)</f>
        <v>1450.8865990626716</v>
      </c>
      <c r="DG32" s="1071">
        <f>SUM(DG25:DG31)</f>
        <v>1476.3090099362119</v>
      </c>
      <c r="DH32" s="1071">
        <f>SUM(DH25:DH31)</f>
        <v>2101.413246323104</v>
      </c>
      <c r="DI32" s="1092">
        <f t="shared" si="93"/>
        <v>2101.413246323104</v>
      </c>
      <c r="DJ32" s="1071">
        <f>SUM(DJ25:DJ31)</f>
        <v>1579.7613198822992</v>
      </c>
      <c r="DK32" s="1071">
        <f>SUM(DK25:DK31)</f>
        <v>1532.5215647234013</v>
      </c>
      <c r="DL32" s="1071">
        <f>SUM(DL25:DL31)</f>
        <v>1563.1417395585561</v>
      </c>
      <c r="DM32" s="1071">
        <f>SUM(DM25:DM31)</f>
        <v>2229.6754647826288</v>
      </c>
      <c r="DN32" s="1092">
        <f t="shared" si="94"/>
        <v>2229.6754647826288</v>
      </c>
      <c r="DO32" s="1071">
        <f>SUM(DO25:DO31)</f>
        <v>1695.6732473436878</v>
      </c>
      <c r="DP32" s="1071">
        <f>SUM(DP25:DP31)</f>
        <v>1657.23903671732</v>
      </c>
      <c r="DQ32" s="1071">
        <f>SUM(DQ25:DQ31)</f>
        <v>1703.3055140370034</v>
      </c>
      <c r="DR32" s="1071">
        <f>SUM(DR25:DR31)</f>
        <v>2432.3319891886526</v>
      </c>
      <c r="DS32" s="1092">
        <f t="shared" si="95"/>
        <v>2432.3319891886526</v>
      </c>
      <c r="DT32" s="1071">
        <f>SUM(DT25:DT31)</f>
        <v>1837.776573038165</v>
      </c>
      <c r="DU32" s="1071">
        <f>SUM(DU25:DU31)</f>
        <v>1781.9400411471906</v>
      </c>
      <c r="DV32" s="1071">
        <f>SUM(DV25:DV31)</f>
        <v>1814.3428801143248</v>
      </c>
      <c r="DW32" s="1071">
        <f>SUM(DW25:DW31)</f>
        <v>2571.1158901293711</v>
      </c>
      <c r="DX32" s="1092">
        <f t="shared" si="107"/>
        <v>2571.1158901293711</v>
      </c>
      <c r="DY32" s="16"/>
      <c r="DZ32" s="16"/>
      <c r="EA32" s="16"/>
      <c r="EB32" s="16"/>
      <c r="EC32" s="16"/>
      <c r="ED32" s="16"/>
      <c r="EE32" s="16"/>
      <c r="EF32" s="16"/>
    </row>
    <row r="33" spans="1:136" x14ac:dyDescent="0.2">
      <c r="A33" s="497" t="s">
        <v>272</v>
      </c>
      <c r="B33" s="174"/>
      <c r="C33" s="20"/>
      <c r="D33" s="20"/>
      <c r="E33" s="20"/>
      <c r="F33" s="20"/>
      <c r="G33" s="174"/>
      <c r="H33" s="20"/>
      <c r="I33" s="20"/>
      <c r="J33" s="20"/>
      <c r="K33" s="20"/>
      <c r="L33" s="174"/>
      <c r="M33" s="20"/>
      <c r="N33" s="20"/>
      <c r="O33" s="20"/>
      <c r="P33" s="20"/>
      <c r="Q33" s="174"/>
      <c r="R33" s="20"/>
      <c r="S33" s="180"/>
      <c r="T33" s="20"/>
      <c r="U33" s="20">
        <f t="shared" si="59"/>
        <v>1282</v>
      </c>
      <c r="V33" s="174">
        <v>1282</v>
      </c>
      <c r="W33" s="20" t="s">
        <v>540</v>
      </c>
      <c r="X33" s="20" t="s">
        <v>540</v>
      </c>
      <c r="Y33" s="20" t="s">
        <v>540</v>
      </c>
      <c r="Z33" s="38">
        <v>997</v>
      </c>
      <c r="AA33" s="40">
        <f t="shared" si="60"/>
        <v>997</v>
      </c>
      <c r="AB33" s="38">
        <v>946</v>
      </c>
      <c r="AC33" s="38">
        <v>896</v>
      </c>
      <c r="AD33" s="38">
        <v>871</v>
      </c>
      <c r="AE33" s="38">
        <f>AF33</f>
        <v>871</v>
      </c>
      <c r="AF33" s="40">
        <v>871</v>
      </c>
      <c r="AG33" s="38">
        <v>846</v>
      </c>
      <c r="AH33" s="38">
        <v>821</v>
      </c>
      <c r="AI33" s="38">
        <v>821</v>
      </c>
      <c r="AJ33" s="38">
        <v>869</v>
      </c>
      <c r="AK33" s="40">
        <v>869</v>
      </c>
      <c r="AL33" s="38">
        <v>882</v>
      </c>
      <c r="AM33" s="38">
        <v>867</v>
      </c>
      <c r="AN33" s="38">
        <v>811</v>
      </c>
      <c r="AO33" s="38">
        <v>755.6</v>
      </c>
      <c r="AP33" s="853">
        <f t="shared" si="61"/>
        <v>755.6</v>
      </c>
      <c r="AQ33" s="38">
        <v>748.5</v>
      </c>
      <c r="AR33" s="38">
        <v>711.8</v>
      </c>
      <c r="AS33" s="38">
        <v>689.8</v>
      </c>
      <c r="AT33" s="38">
        <v>667.7</v>
      </c>
      <c r="AU33" s="853">
        <f t="shared" si="62"/>
        <v>667.7</v>
      </c>
      <c r="AV33" s="300"/>
      <c r="AW33" s="38">
        <f t="shared" ref="AW33:AX36" si="110">AS33</f>
        <v>689.8</v>
      </c>
      <c r="AX33" s="38">
        <f t="shared" si="110"/>
        <v>667.7</v>
      </c>
      <c r="AY33" s="38">
        <v>667.4</v>
      </c>
      <c r="AZ33" s="38">
        <v>2652</v>
      </c>
      <c r="BA33" s="40">
        <f t="shared" si="64"/>
        <v>2652</v>
      </c>
      <c r="BB33" s="38">
        <v>2689.4</v>
      </c>
      <c r="BC33" s="38">
        <f>2692.3+394.2</f>
        <v>3086.5</v>
      </c>
      <c r="BD33" s="38">
        <f>2664.1+394.1</f>
        <v>3058.2</v>
      </c>
      <c r="BE33" s="38">
        <v>3010.3</v>
      </c>
      <c r="BF33" s="853">
        <f t="shared" si="65"/>
        <v>3010.3</v>
      </c>
      <c r="BG33" s="38">
        <v>2547.8000000000002</v>
      </c>
      <c r="BH33" s="38">
        <v>2911.7</v>
      </c>
      <c r="BI33" s="38">
        <v>2910.5</v>
      </c>
      <c r="BJ33" s="38">
        <v>2905.1</v>
      </c>
      <c r="BK33" s="853">
        <f t="shared" si="66"/>
        <v>2905.1</v>
      </c>
      <c r="BL33" s="38">
        <v>2900</v>
      </c>
      <c r="BM33" s="38">
        <v>2895.3</v>
      </c>
      <c r="BN33" s="38">
        <v>2890.8</v>
      </c>
      <c r="BO33" s="38">
        <v>2880.2</v>
      </c>
      <c r="BP33" s="853">
        <f>BO33</f>
        <v>2880.2</v>
      </c>
      <c r="BQ33" s="38">
        <v>2869.9</v>
      </c>
      <c r="BR33" s="38">
        <v>2860</v>
      </c>
      <c r="BS33" s="38">
        <v>2850.3</v>
      </c>
      <c r="BT33" s="38">
        <v>8936.7000000000007</v>
      </c>
      <c r="BU33" s="853">
        <f>BT33</f>
        <v>8936.7000000000007</v>
      </c>
      <c r="BV33" s="38">
        <v>8961</v>
      </c>
      <c r="BW33" s="1348">
        <v>8651.7999999999993</v>
      </c>
      <c r="BX33" s="38">
        <v>8471.7000000000007</v>
      </c>
      <c r="BY33" s="38">
        <v>8462.2999999999993</v>
      </c>
      <c r="BZ33" s="853">
        <f t="shared" si="67"/>
        <v>8462.2999999999993</v>
      </c>
      <c r="CA33" s="38">
        <v>8465.6</v>
      </c>
      <c r="CB33" s="38">
        <v>8425.2000000000007</v>
      </c>
      <c r="CC33" s="38">
        <v>8421.2999999999993</v>
      </c>
      <c r="CD33" s="38">
        <v>8410.2000000000007</v>
      </c>
      <c r="CE33" s="853">
        <f t="shared" si="87"/>
        <v>8410.2000000000007</v>
      </c>
      <c r="CF33" s="38">
        <v>9531.5</v>
      </c>
      <c r="CG33" s="38">
        <v>11252.9</v>
      </c>
      <c r="CH33" s="38">
        <v>11303.6</v>
      </c>
      <c r="CI33" s="38">
        <v>11800.9</v>
      </c>
      <c r="CJ33" s="853">
        <f t="shared" si="88"/>
        <v>11800.9</v>
      </c>
      <c r="CK33" s="38">
        <v>11788.1</v>
      </c>
      <c r="CL33" s="1070">
        <f>CL102</f>
        <v>11770.325000000001</v>
      </c>
      <c r="CM33" s="1070">
        <f>CM102</f>
        <v>11753.45</v>
      </c>
      <c r="CN33" s="1070">
        <f>CN102</f>
        <v>11736.575000000001</v>
      </c>
      <c r="CO33" s="1091">
        <f>CN33</f>
        <v>11736.575000000001</v>
      </c>
      <c r="CP33" s="1070">
        <f>CP102</f>
        <v>11719.7</v>
      </c>
      <c r="CQ33" s="1070">
        <f>CQ102</f>
        <v>11702.825000000001</v>
      </c>
      <c r="CR33" s="1070">
        <f>CR102</f>
        <v>11685.95</v>
      </c>
      <c r="CS33" s="1070">
        <f>CS102</f>
        <v>11669.075000000001</v>
      </c>
      <c r="CT33" s="1091">
        <f t="shared" si="90"/>
        <v>11669.075000000001</v>
      </c>
      <c r="CU33" s="1070">
        <f>CU102</f>
        <v>11652.2</v>
      </c>
      <c r="CV33" s="1070">
        <f>CV102</f>
        <v>11635.325000000001</v>
      </c>
      <c r="CW33" s="1070">
        <f>CW102</f>
        <v>11618.45</v>
      </c>
      <c r="CX33" s="1070">
        <f>CX102</f>
        <v>5485.1</v>
      </c>
      <c r="CY33" s="1091">
        <f t="shared" si="91"/>
        <v>5485.1</v>
      </c>
      <c r="CZ33" s="1070">
        <f>CZ102</f>
        <v>5485.1</v>
      </c>
      <c r="DA33" s="1070">
        <f>DA102</f>
        <v>5485.1</v>
      </c>
      <c r="DB33" s="1070">
        <f>DB102</f>
        <v>5485.1</v>
      </c>
      <c r="DC33" s="1070">
        <f>DC102</f>
        <v>10985.1</v>
      </c>
      <c r="DD33" s="1091">
        <f t="shared" si="92"/>
        <v>10985.1</v>
      </c>
      <c r="DE33" s="1070">
        <f>DE102</f>
        <v>10971.35</v>
      </c>
      <c r="DF33" s="1070">
        <f>DF102</f>
        <v>10957.6</v>
      </c>
      <c r="DG33" s="1070">
        <f>DG102</f>
        <v>10943.85</v>
      </c>
      <c r="DH33" s="1070">
        <f>DH102</f>
        <v>10930.1</v>
      </c>
      <c r="DI33" s="1091">
        <f t="shared" si="93"/>
        <v>10930.1</v>
      </c>
      <c r="DJ33" s="1070">
        <f>DJ102</f>
        <v>10916.35</v>
      </c>
      <c r="DK33" s="1070">
        <f>DK102</f>
        <v>10902.6</v>
      </c>
      <c r="DL33" s="1070">
        <f>DL102</f>
        <v>10888.85</v>
      </c>
      <c r="DM33" s="1070">
        <f>DM102</f>
        <v>10875.1</v>
      </c>
      <c r="DN33" s="1091">
        <f t="shared" si="94"/>
        <v>10875.1</v>
      </c>
      <c r="DO33" s="1070">
        <f>DO102</f>
        <v>10861.35</v>
      </c>
      <c r="DP33" s="1070">
        <f>DP102</f>
        <v>10847.6</v>
      </c>
      <c r="DQ33" s="1070">
        <f>DQ102</f>
        <v>10833.85</v>
      </c>
      <c r="DR33" s="1070">
        <f>DR102</f>
        <v>10820.1</v>
      </c>
      <c r="DS33" s="1091">
        <f t="shared" si="95"/>
        <v>10820.1</v>
      </c>
      <c r="DT33" s="1070">
        <f>DT102</f>
        <v>10806.35</v>
      </c>
      <c r="DU33" s="1070">
        <f>DU102</f>
        <v>10792.6</v>
      </c>
      <c r="DV33" s="1070">
        <f>DV102</f>
        <v>10778.85</v>
      </c>
      <c r="DW33" s="1070">
        <f>DW102</f>
        <v>10765.1</v>
      </c>
      <c r="DX33" s="1091">
        <f t="shared" si="107"/>
        <v>10765.1</v>
      </c>
      <c r="DY33" s="16"/>
      <c r="DZ33" s="16"/>
      <c r="EA33" s="78"/>
      <c r="EB33" s="16"/>
      <c r="EC33" s="16"/>
      <c r="ED33" s="471"/>
      <c r="EE33" s="16"/>
      <c r="EF33" s="16"/>
    </row>
    <row r="34" spans="1:136" x14ac:dyDescent="0.2">
      <c r="A34" s="497" t="s">
        <v>273</v>
      </c>
      <c r="B34" s="174"/>
      <c r="C34" s="20"/>
      <c r="D34" s="20"/>
      <c r="E34" s="20"/>
      <c r="F34" s="20"/>
      <c r="G34" s="174"/>
      <c r="H34" s="20"/>
      <c r="I34" s="20"/>
      <c r="J34" s="20"/>
      <c r="K34" s="20"/>
      <c r="L34" s="174"/>
      <c r="M34" s="20"/>
      <c r="N34" s="20"/>
      <c r="O34" s="20"/>
      <c r="P34" s="20"/>
      <c r="Q34" s="174"/>
      <c r="R34" s="20"/>
      <c r="S34" s="180"/>
      <c r="T34" s="20"/>
      <c r="U34" s="20">
        <f t="shared" si="59"/>
        <v>53</v>
      </c>
      <c r="V34" s="174">
        <v>53</v>
      </c>
      <c r="W34" s="20" t="s">
        <v>540</v>
      </c>
      <c r="X34" s="20" t="s">
        <v>540</v>
      </c>
      <c r="Y34" s="20" t="s">
        <v>540</v>
      </c>
      <c r="Z34" s="38">
        <v>63</v>
      </c>
      <c r="AA34" s="40">
        <f t="shared" si="60"/>
        <v>63</v>
      </c>
      <c r="AB34" s="38">
        <v>65</v>
      </c>
      <c r="AC34" s="38">
        <v>64</v>
      </c>
      <c r="AD34" s="38">
        <v>64</v>
      </c>
      <c r="AE34" s="38">
        <f>AF34</f>
        <v>67</v>
      </c>
      <c r="AF34" s="40">
        <v>67</v>
      </c>
      <c r="AG34" s="38">
        <v>69</v>
      </c>
      <c r="AH34" s="38">
        <v>71</v>
      </c>
      <c r="AI34" s="38">
        <v>70</v>
      </c>
      <c r="AJ34" s="38">
        <v>71</v>
      </c>
      <c r="AK34" s="40">
        <v>71</v>
      </c>
      <c r="AL34" s="38">
        <v>70</v>
      </c>
      <c r="AM34" s="38">
        <v>66</v>
      </c>
      <c r="AN34" s="38">
        <v>66</v>
      </c>
      <c r="AO34" s="38">
        <v>65.8</v>
      </c>
      <c r="AP34" s="853">
        <f t="shared" si="61"/>
        <v>65.8</v>
      </c>
      <c r="AQ34" s="38">
        <v>67.3</v>
      </c>
      <c r="AR34" s="38">
        <v>66.7</v>
      </c>
      <c r="AS34" s="38">
        <v>66.099999999999994</v>
      </c>
      <c r="AT34" s="38">
        <v>65.3</v>
      </c>
      <c r="AU34" s="853">
        <f t="shared" si="62"/>
        <v>65.3</v>
      </c>
      <c r="AV34" s="243"/>
      <c r="AW34" s="38">
        <f t="shared" si="110"/>
        <v>66.099999999999994</v>
      </c>
      <c r="AX34" s="38">
        <f t="shared" si="110"/>
        <v>65.3</v>
      </c>
      <c r="AY34" s="38">
        <v>64.400000000000006</v>
      </c>
      <c r="AZ34" s="38">
        <v>103.9</v>
      </c>
      <c r="BA34" s="40">
        <f t="shared" si="64"/>
        <v>103.9</v>
      </c>
      <c r="BB34" s="38">
        <v>62.7</v>
      </c>
      <c r="BC34" s="38">
        <v>97.2</v>
      </c>
      <c r="BD34" s="38">
        <v>94.7</v>
      </c>
      <c r="BE34" s="38">
        <v>95.4</v>
      </c>
      <c r="BF34" s="853">
        <f t="shared" si="65"/>
        <v>95.4</v>
      </c>
      <c r="BG34" s="38">
        <v>119.4</v>
      </c>
      <c r="BH34" s="38">
        <v>106.1</v>
      </c>
      <c r="BI34" s="38">
        <v>98</v>
      </c>
      <c r="BJ34" s="38">
        <v>88.4</v>
      </c>
      <c r="BK34" s="853">
        <f t="shared" si="66"/>
        <v>88.4</v>
      </c>
      <c r="BL34" s="38">
        <v>84.4</v>
      </c>
      <c r="BM34" s="38">
        <v>80.8</v>
      </c>
      <c r="BN34" s="38">
        <v>78.5</v>
      </c>
      <c r="BO34" s="38">
        <v>75.400000000000006</v>
      </c>
      <c r="BP34" s="853">
        <f t="shared" ref="BP34:BU34" si="111">BO34</f>
        <v>75.400000000000006</v>
      </c>
      <c r="BQ34" s="38">
        <v>72.099999999999994</v>
      </c>
      <c r="BR34" s="38">
        <v>70</v>
      </c>
      <c r="BS34" s="38">
        <v>66.5</v>
      </c>
      <c r="BT34" s="38">
        <v>175.7</v>
      </c>
      <c r="BU34" s="853">
        <f t="shared" si="111"/>
        <v>175.7</v>
      </c>
      <c r="BV34" s="38">
        <v>161.5</v>
      </c>
      <c r="BW34" s="1348">
        <v>161.4</v>
      </c>
      <c r="BX34" s="38">
        <v>207.9</v>
      </c>
      <c r="BY34" s="38">
        <v>203.4</v>
      </c>
      <c r="BZ34" s="853">
        <f t="shared" si="67"/>
        <v>203.4</v>
      </c>
      <c r="CA34" s="38">
        <v>213.6</v>
      </c>
      <c r="CB34" s="38">
        <v>211.6</v>
      </c>
      <c r="CC34" s="38">
        <v>213.9</v>
      </c>
      <c r="CD34" s="38">
        <v>218.4</v>
      </c>
      <c r="CE34" s="853">
        <f t="shared" si="87"/>
        <v>218.4</v>
      </c>
      <c r="CF34" s="38">
        <v>226.5</v>
      </c>
      <c r="CG34" s="38">
        <v>231.2</v>
      </c>
      <c r="CH34" s="38">
        <v>238.7</v>
      </c>
      <c r="CI34" s="38">
        <v>243.8</v>
      </c>
      <c r="CJ34" s="853">
        <f t="shared" si="88"/>
        <v>243.8</v>
      </c>
      <c r="CK34" s="38">
        <v>236.6</v>
      </c>
      <c r="CL34" s="1070">
        <f t="shared" ref="CL34:CN36" si="112">CK34</f>
        <v>236.6</v>
      </c>
      <c r="CM34" s="1070">
        <f t="shared" si="112"/>
        <v>236.6</v>
      </c>
      <c r="CN34" s="1070">
        <f t="shared" si="112"/>
        <v>236.6</v>
      </c>
      <c r="CO34" s="1091">
        <f>CN34</f>
        <v>236.6</v>
      </c>
      <c r="CP34" s="1070">
        <f t="shared" ref="CP34:CS36" si="113">CO34</f>
        <v>236.6</v>
      </c>
      <c r="CQ34" s="1070">
        <f t="shared" si="113"/>
        <v>236.6</v>
      </c>
      <c r="CR34" s="1070">
        <f t="shared" si="113"/>
        <v>236.6</v>
      </c>
      <c r="CS34" s="1070">
        <f t="shared" si="113"/>
        <v>236.6</v>
      </c>
      <c r="CT34" s="1091">
        <f t="shared" si="90"/>
        <v>236.6</v>
      </c>
      <c r="CU34" s="1070">
        <f t="shared" ref="CU34:CX36" si="114">CT34</f>
        <v>236.6</v>
      </c>
      <c r="CV34" s="1070">
        <f t="shared" si="114"/>
        <v>236.6</v>
      </c>
      <c r="CW34" s="1070">
        <f t="shared" si="114"/>
        <v>236.6</v>
      </c>
      <c r="CX34" s="1070">
        <f t="shared" si="114"/>
        <v>236.6</v>
      </c>
      <c r="CY34" s="1091">
        <f t="shared" si="91"/>
        <v>236.6</v>
      </c>
      <c r="CZ34" s="1070">
        <f t="shared" ref="CZ34:DC36" si="115">CY34</f>
        <v>236.6</v>
      </c>
      <c r="DA34" s="1070">
        <f t="shared" si="115"/>
        <v>236.6</v>
      </c>
      <c r="DB34" s="1070">
        <f t="shared" si="115"/>
        <v>236.6</v>
      </c>
      <c r="DC34" s="1070">
        <f t="shared" si="115"/>
        <v>236.6</v>
      </c>
      <c r="DD34" s="1091">
        <f t="shared" si="92"/>
        <v>236.6</v>
      </c>
      <c r="DE34" s="1070">
        <f t="shared" ref="DE34:DH36" si="116">DD34</f>
        <v>236.6</v>
      </c>
      <c r="DF34" s="1070">
        <f t="shared" si="116"/>
        <v>236.6</v>
      </c>
      <c r="DG34" s="1070">
        <f t="shared" si="116"/>
        <v>236.6</v>
      </c>
      <c r="DH34" s="1070">
        <f t="shared" si="116"/>
        <v>236.6</v>
      </c>
      <c r="DI34" s="1091">
        <f t="shared" si="93"/>
        <v>236.6</v>
      </c>
      <c r="DJ34" s="1070">
        <f t="shared" ref="DJ34:DM36" si="117">DI34</f>
        <v>236.6</v>
      </c>
      <c r="DK34" s="1070">
        <f t="shared" si="117"/>
        <v>236.6</v>
      </c>
      <c r="DL34" s="1070">
        <f t="shared" si="117"/>
        <v>236.6</v>
      </c>
      <c r="DM34" s="1070">
        <f t="shared" si="117"/>
        <v>236.6</v>
      </c>
      <c r="DN34" s="1091">
        <f t="shared" si="94"/>
        <v>236.6</v>
      </c>
      <c r="DO34" s="1070">
        <f t="shared" ref="DO34:DR36" si="118">DN34</f>
        <v>236.6</v>
      </c>
      <c r="DP34" s="1070">
        <f t="shared" si="118"/>
        <v>236.6</v>
      </c>
      <c r="DQ34" s="1070">
        <f t="shared" si="118"/>
        <v>236.6</v>
      </c>
      <c r="DR34" s="1070">
        <f t="shared" si="118"/>
        <v>236.6</v>
      </c>
      <c r="DS34" s="1091">
        <f t="shared" si="95"/>
        <v>236.6</v>
      </c>
      <c r="DT34" s="1070">
        <f t="shared" ref="DT34:DT36" si="119">DS34</f>
        <v>236.6</v>
      </c>
      <c r="DU34" s="1070">
        <f t="shared" ref="DU34:DU36" si="120">DT34</f>
        <v>236.6</v>
      </c>
      <c r="DV34" s="1070">
        <f t="shared" ref="DV34:DV36" si="121">DU34</f>
        <v>236.6</v>
      </c>
      <c r="DW34" s="1070">
        <f t="shared" ref="DW34:DW36" si="122">DV34</f>
        <v>236.6</v>
      </c>
      <c r="DX34" s="1091">
        <f t="shared" si="107"/>
        <v>236.6</v>
      </c>
      <c r="DY34" s="16"/>
      <c r="DZ34" s="16"/>
      <c r="EA34" s="78"/>
      <c r="EB34" s="16"/>
      <c r="EC34" s="16"/>
      <c r="ED34" s="471"/>
      <c r="EE34" s="16"/>
      <c r="EF34" s="16"/>
    </row>
    <row r="35" spans="1:136" x14ac:dyDescent="0.2">
      <c r="A35" s="497" t="s">
        <v>274</v>
      </c>
      <c r="B35" s="181"/>
      <c r="C35" s="182"/>
      <c r="D35" s="182"/>
      <c r="E35" s="182"/>
      <c r="F35" s="182"/>
      <c r="G35" s="181"/>
      <c r="H35" s="182"/>
      <c r="I35" s="182"/>
      <c r="J35" s="182"/>
      <c r="K35" s="182"/>
      <c r="L35" s="174"/>
      <c r="M35" s="20"/>
      <c r="N35" s="20"/>
      <c r="O35" s="20"/>
      <c r="P35" s="20"/>
      <c r="Q35" s="174"/>
      <c r="R35" s="20"/>
      <c r="S35" s="180"/>
      <c r="T35" s="20"/>
      <c r="U35" s="20">
        <f t="shared" si="59"/>
        <v>375</v>
      </c>
      <c r="V35" s="174">
        <v>375</v>
      </c>
      <c r="W35" s="20" t="s">
        <v>540</v>
      </c>
      <c r="X35" s="20" t="s">
        <v>540</v>
      </c>
      <c r="Y35" s="20" t="s">
        <v>540</v>
      </c>
      <c r="Z35" s="38">
        <v>349</v>
      </c>
      <c r="AA35" s="40">
        <f t="shared" si="60"/>
        <v>349</v>
      </c>
      <c r="AB35" s="38">
        <v>347</v>
      </c>
      <c r="AC35" s="38">
        <v>342</v>
      </c>
      <c r="AD35" s="38">
        <v>350</v>
      </c>
      <c r="AE35" s="38">
        <f>AF35</f>
        <v>334</v>
      </c>
      <c r="AF35" s="40">
        <v>334</v>
      </c>
      <c r="AG35" s="38">
        <v>355</v>
      </c>
      <c r="AH35" s="38">
        <v>355</v>
      </c>
      <c r="AI35" s="38">
        <v>377</v>
      </c>
      <c r="AJ35" s="38">
        <v>360</v>
      </c>
      <c r="AK35" s="40">
        <v>360</v>
      </c>
      <c r="AL35" s="38">
        <v>347</v>
      </c>
      <c r="AM35" s="38">
        <v>350</v>
      </c>
      <c r="AN35" s="38">
        <v>328</v>
      </c>
      <c r="AO35" s="38">
        <v>354.5</v>
      </c>
      <c r="AP35" s="853">
        <f t="shared" si="61"/>
        <v>354.5</v>
      </c>
      <c r="AQ35" s="38">
        <v>355.7</v>
      </c>
      <c r="AR35" s="38">
        <v>345.9</v>
      </c>
      <c r="AS35" s="38">
        <v>335.6</v>
      </c>
      <c r="AT35" s="38">
        <v>344.6</v>
      </c>
      <c r="AU35" s="853">
        <f t="shared" si="62"/>
        <v>344.6</v>
      </c>
      <c r="AV35" s="243"/>
      <c r="AW35" s="38">
        <f t="shared" si="110"/>
        <v>335.6</v>
      </c>
      <c r="AX35" s="38">
        <f t="shared" si="110"/>
        <v>344.6</v>
      </c>
      <c r="AY35" s="38">
        <v>325.10000000000002</v>
      </c>
      <c r="AZ35" s="38">
        <v>401.9</v>
      </c>
      <c r="BA35" s="40">
        <f t="shared" si="64"/>
        <v>401.9</v>
      </c>
      <c r="BB35" s="38">
        <v>201.2</v>
      </c>
      <c r="BC35" s="38">
        <v>355.3</v>
      </c>
      <c r="BD35" s="38">
        <v>359.4</v>
      </c>
      <c r="BE35" s="38">
        <v>366.2</v>
      </c>
      <c r="BF35" s="853">
        <f t="shared" si="65"/>
        <v>366.2</v>
      </c>
      <c r="BG35" s="38">
        <v>359.6</v>
      </c>
      <c r="BH35" s="38">
        <v>360.9</v>
      </c>
      <c r="BI35" s="38">
        <v>372</v>
      </c>
      <c r="BJ35" s="38">
        <v>382.4</v>
      </c>
      <c r="BK35" s="853">
        <f t="shared" si="66"/>
        <v>382.4</v>
      </c>
      <c r="BL35" s="38">
        <v>353.8</v>
      </c>
      <c r="BM35" s="38">
        <v>343.2</v>
      </c>
      <c r="BN35" s="38">
        <v>354.8</v>
      </c>
      <c r="BO35" s="38">
        <v>317.89999999999998</v>
      </c>
      <c r="BP35" s="853">
        <f t="shared" ref="BP35:DR35" si="123">BO35</f>
        <v>317.89999999999998</v>
      </c>
      <c r="BQ35" s="38">
        <v>308.89999999999998</v>
      </c>
      <c r="BR35" s="38">
        <v>300.8</v>
      </c>
      <c r="BS35" s="38">
        <v>269.39999999999998</v>
      </c>
      <c r="BT35" s="38">
        <v>644.1</v>
      </c>
      <c r="BU35" s="853">
        <f t="shared" si="123"/>
        <v>644.1</v>
      </c>
      <c r="BV35" s="38">
        <v>743.1</v>
      </c>
      <c r="BW35" s="1348">
        <v>633.79999999999995</v>
      </c>
      <c r="BX35" s="38">
        <v>848.4</v>
      </c>
      <c r="BY35" s="38">
        <v>795.9</v>
      </c>
      <c r="BZ35" s="853">
        <f t="shared" si="67"/>
        <v>795.9</v>
      </c>
      <c r="CA35" s="38">
        <v>918.5</v>
      </c>
      <c r="CB35" s="38">
        <v>891.7</v>
      </c>
      <c r="CC35" s="38">
        <v>903.5</v>
      </c>
      <c r="CD35" s="38">
        <v>784.9</v>
      </c>
      <c r="CE35" s="853">
        <f t="shared" si="87"/>
        <v>784.9</v>
      </c>
      <c r="CF35" s="38">
        <v>806</v>
      </c>
      <c r="CG35" s="38">
        <v>1178.9000000000001</v>
      </c>
      <c r="CH35" s="38">
        <v>1354</v>
      </c>
      <c r="CI35" s="38">
        <v>1455.1</v>
      </c>
      <c r="CJ35" s="853">
        <f t="shared" si="88"/>
        <v>1455.1</v>
      </c>
      <c r="CK35" s="38">
        <v>1820.4</v>
      </c>
      <c r="CL35" s="1070">
        <f t="shared" si="123"/>
        <v>1820.4</v>
      </c>
      <c r="CM35" s="1070">
        <f t="shared" si="123"/>
        <v>1820.4</v>
      </c>
      <c r="CN35" s="1070">
        <f t="shared" si="123"/>
        <v>1820.4</v>
      </c>
      <c r="CO35" s="1091">
        <f t="shared" si="89"/>
        <v>1820.4</v>
      </c>
      <c r="CP35" s="1070">
        <f t="shared" si="123"/>
        <v>1820.4</v>
      </c>
      <c r="CQ35" s="1070">
        <f t="shared" si="123"/>
        <v>1820.4</v>
      </c>
      <c r="CR35" s="1070">
        <f t="shared" si="123"/>
        <v>1820.4</v>
      </c>
      <c r="CS35" s="1070">
        <f t="shared" si="123"/>
        <v>1820.4</v>
      </c>
      <c r="CT35" s="1091">
        <f t="shared" si="90"/>
        <v>1820.4</v>
      </c>
      <c r="CU35" s="1070">
        <f t="shared" si="123"/>
        <v>1820.4</v>
      </c>
      <c r="CV35" s="1070">
        <f t="shared" si="123"/>
        <v>1820.4</v>
      </c>
      <c r="CW35" s="1070">
        <f t="shared" si="123"/>
        <v>1820.4</v>
      </c>
      <c r="CX35" s="1070">
        <f t="shared" si="123"/>
        <v>1820.4</v>
      </c>
      <c r="CY35" s="1091">
        <f t="shared" si="91"/>
        <v>1820.4</v>
      </c>
      <c r="CZ35" s="1070">
        <f t="shared" si="123"/>
        <v>1820.4</v>
      </c>
      <c r="DA35" s="1070">
        <f t="shared" si="123"/>
        <v>1820.4</v>
      </c>
      <c r="DB35" s="1070">
        <f t="shared" si="123"/>
        <v>1820.4</v>
      </c>
      <c r="DC35" s="1070">
        <f t="shared" si="123"/>
        <v>1820.4</v>
      </c>
      <c r="DD35" s="1091">
        <f t="shared" si="92"/>
        <v>1820.4</v>
      </c>
      <c r="DE35" s="1070">
        <f t="shared" si="123"/>
        <v>1820.4</v>
      </c>
      <c r="DF35" s="1070">
        <f t="shared" si="123"/>
        <v>1820.4</v>
      </c>
      <c r="DG35" s="1070">
        <f t="shared" si="123"/>
        <v>1820.4</v>
      </c>
      <c r="DH35" s="1070">
        <f t="shared" si="123"/>
        <v>1820.4</v>
      </c>
      <c r="DI35" s="1091">
        <f t="shared" si="93"/>
        <v>1820.4</v>
      </c>
      <c r="DJ35" s="1070">
        <f t="shared" si="123"/>
        <v>1820.4</v>
      </c>
      <c r="DK35" s="1070">
        <f t="shared" si="123"/>
        <v>1820.4</v>
      </c>
      <c r="DL35" s="1070">
        <f t="shared" si="123"/>
        <v>1820.4</v>
      </c>
      <c r="DM35" s="1070">
        <f t="shared" si="123"/>
        <v>1820.4</v>
      </c>
      <c r="DN35" s="1091">
        <f t="shared" si="94"/>
        <v>1820.4</v>
      </c>
      <c r="DO35" s="1070">
        <f t="shared" si="123"/>
        <v>1820.4</v>
      </c>
      <c r="DP35" s="1070">
        <f t="shared" si="123"/>
        <v>1820.4</v>
      </c>
      <c r="DQ35" s="1070">
        <f t="shared" si="123"/>
        <v>1820.4</v>
      </c>
      <c r="DR35" s="1070">
        <f t="shared" si="123"/>
        <v>1820.4</v>
      </c>
      <c r="DS35" s="1091">
        <f t="shared" si="95"/>
        <v>1820.4</v>
      </c>
      <c r="DT35" s="1070">
        <f t="shared" si="119"/>
        <v>1820.4</v>
      </c>
      <c r="DU35" s="1070">
        <f t="shared" si="120"/>
        <v>1820.4</v>
      </c>
      <c r="DV35" s="1070">
        <f t="shared" si="121"/>
        <v>1820.4</v>
      </c>
      <c r="DW35" s="1070">
        <f t="shared" si="122"/>
        <v>1820.4</v>
      </c>
      <c r="DX35" s="1091">
        <f t="shared" si="107"/>
        <v>1820.4</v>
      </c>
      <c r="DY35" s="162"/>
      <c r="DZ35" s="162"/>
      <c r="EA35" s="78"/>
      <c r="EB35" s="162"/>
      <c r="EC35" s="162"/>
      <c r="ED35" s="471"/>
      <c r="EE35" s="162"/>
      <c r="EF35" s="162"/>
    </row>
    <row r="36" spans="1:136" x14ac:dyDescent="0.2">
      <c r="A36" s="497" t="s">
        <v>262</v>
      </c>
      <c r="B36" s="183"/>
      <c r="C36" s="184"/>
      <c r="D36" s="184"/>
      <c r="E36" s="184"/>
      <c r="F36" s="184"/>
      <c r="G36" s="183"/>
      <c r="H36" s="184"/>
      <c r="I36" s="184"/>
      <c r="J36" s="184"/>
      <c r="K36" s="184"/>
      <c r="L36" s="174"/>
      <c r="M36" s="20"/>
      <c r="N36" s="20"/>
      <c r="O36" s="20"/>
      <c r="P36" s="20"/>
      <c r="Q36" s="174"/>
      <c r="R36" s="20"/>
      <c r="S36" s="180"/>
      <c r="T36" s="20"/>
      <c r="U36" s="20">
        <f t="shared" si="59"/>
        <v>142</v>
      </c>
      <c r="V36" s="174">
        <v>142</v>
      </c>
      <c r="W36" s="20" t="s">
        <v>540</v>
      </c>
      <c r="X36" s="20" t="s">
        <v>540</v>
      </c>
      <c r="Y36" s="20" t="s">
        <v>540</v>
      </c>
      <c r="Z36" s="38">
        <v>84</v>
      </c>
      <c r="AA36" s="40">
        <f t="shared" si="60"/>
        <v>84</v>
      </c>
      <c r="AB36" s="38">
        <v>74</v>
      </c>
      <c r="AC36" s="38">
        <v>106</v>
      </c>
      <c r="AD36" s="38">
        <v>82</v>
      </c>
      <c r="AE36" s="38">
        <f>AF36</f>
        <v>95</v>
      </c>
      <c r="AF36" s="40">
        <v>95</v>
      </c>
      <c r="AG36" s="38">
        <v>103</v>
      </c>
      <c r="AH36" s="38">
        <v>106</v>
      </c>
      <c r="AI36" s="38">
        <v>86</v>
      </c>
      <c r="AJ36" s="38">
        <v>86</v>
      </c>
      <c r="AK36" s="40">
        <v>86</v>
      </c>
      <c r="AL36" s="38">
        <v>66</v>
      </c>
      <c r="AM36" s="38">
        <v>56</v>
      </c>
      <c r="AN36" s="38">
        <v>59</v>
      </c>
      <c r="AO36" s="38">
        <v>74.099999999999994</v>
      </c>
      <c r="AP36" s="853">
        <f t="shared" si="61"/>
        <v>74.099999999999994</v>
      </c>
      <c r="AQ36" s="38">
        <v>74.5</v>
      </c>
      <c r="AR36" s="38">
        <v>68.5</v>
      </c>
      <c r="AS36" s="38">
        <v>61</v>
      </c>
      <c r="AT36" s="38">
        <v>68.2</v>
      </c>
      <c r="AU36" s="853">
        <f t="shared" si="62"/>
        <v>68.2</v>
      </c>
      <c r="AV36" s="243"/>
      <c r="AW36" s="38">
        <f t="shared" si="110"/>
        <v>61</v>
      </c>
      <c r="AX36" s="38">
        <f t="shared" si="110"/>
        <v>68.2</v>
      </c>
      <c r="AY36" s="38">
        <v>94</v>
      </c>
      <c r="AZ36" s="38">
        <v>624.5</v>
      </c>
      <c r="BA36" s="40">
        <f t="shared" si="64"/>
        <v>624.5</v>
      </c>
      <c r="BB36" s="38">
        <v>744.5</v>
      </c>
      <c r="BC36" s="38">
        <v>660.8</v>
      </c>
      <c r="BD36" s="38">
        <v>613.5</v>
      </c>
      <c r="BE36" s="38">
        <v>615.29999999999995</v>
      </c>
      <c r="BF36" s="853">
        <f t="shared" si="65"/>
        <v>615.29999999999995</v>
      </c>
      <c r="BG36" s="38">
        <v>594.5</v>
      </c>
      <c r="BH36" s="38">
        <v>568.29999999999995</v>
      </c>
      <c r="BI36" s="38">
        <v>566.6</v>
      </c>
      <c r="BJ36" s="38">
        <v>615.29999999999995</v>
      </c>
      <c r="BK36" s="853">
        <f t="shared" si="66"/>
        <v>615.29999999999995</v>
      </c>
      <c r="BL36" s="38">
        <v>633.4</v>
      </c>
      <c r="BM36" s="38">
        <v>661.3</v>
      </c>
      <c r="BN36" s="38">
        <v>664.5</v>
      </c>
      <c r="BO36" s="38">
        <v>692.8</v>
      </c>
      <c r="BP36" s="853">
        <f t="shared" ref="BP36:BU36" si="124">BO36</f>
        <v>692.8</v>
      </c>
      <c r="BQ36" s="38">
        <v>662.8</v>
      </c>
      <c r="BR36" s="38">
        <v>638.4</v>
      </c>
      <c r="BS36" s="38">
        <v>630.70000000000005</v>
      </c>
      <c r="BT36" s="38">
        <v>1862.1</v>
      </c>
      <c r="BU36" s="853">
        <f t="shared" si="124"/>
        <v>1862.1</v>
      </c>
      <c r="BV36" s="38">
        <v>1756.3</v>
      </c>
      <c r="BW36" s="1348">
        <v>1736.8</v>
      </c>
      <c r="BX36" s="38">
        <v>1689.2</v>
      </c>
      <c r="BY36" s="38">
        <v>1618.8</v>
      </c>
      <c r="BZ36" s="853">
        <f t="shared" si="67"/>
        <v>1618.8</v>
      </c>
      <c r="CA36" s="38">
        <v>1613.4</v>
      </c>
      <c r="CB36" s="38">
        <v>1631.2</v>
      </c>
      <c r="CC36" s="38">
        <v>1648.7</v>
      </c>
      <c r="CD36" s="38">
        <v>1715.1</v>
      </c>
      <c r="CE36" s="853">
        <f t="shared" si="87"/>
        <v>1715.1</v>
      </c>
      <c r="CF36" s="38">
        <v>2089.1999999999998</v>
      </c>
      <c r="CG36" s="38">
        <v>2198</v>
      </c>
      <c r="CH36" s="38">
        <v>2200.3000000000002</v>
      </c>
      <c r="CI36" s="38">
        <v>1508.1</v>
      </c>
      <c r="CJ36" s="853">
        <f t="shared" si="88"/>
        <v>1508.1</v>
      </c>
      <c r="CK36" s="38">
        <v>1432.9</v>
      </c>
      <c r="CL36" s="1070">
        <f t="shared" si="112"/>
        <v>1432.9</v>
      </c>
      <c r="CM36" s="1070">
        <f t="shared" si="112"/>
        <v>1432.9</v>
      </c>
      <c r="CN36" s="1070">
        <f t="shared" si="112"/>
        <v>1432.9</v>
      </c>
      <c r="CO36" s="1091">
        <f t="shared" si="89"/>
        <v>1432.9</v>
      </c>
      <c r="CP36" s="1070">
        <f t="shared" si="113"/>
        <v>1432.9</v>
      </c>
      <c r="CQ36" s="1070">
        <f t="shared" si="113"/>
        <v>1432.9</v>
      </c>
      <c r="CR36" s="1070">
        <f t="shared" si="113"/>
        <v>1432.9</v>
      </c>
      <c r="CS36" s="1070">
        <f t="shared" si="113"/>
        <v>1432.9</v>
      </c>
      <c r="CT36" s="1091">
        <f t="shared" si="90"/>
        <v>1432.9</v>
      </c>
      <c r="CU36" s="1070">
        <f t="shared" si="114"/>
        <v>1432.9</v>
      </c>
      <c r="CV36" s="1070">
        <f t="shared" si="114"/>
        <v>1432.9</v>
      </c>
      <c r="CW36" s="1070">
        <f t="shared" si="114"/>
        <v>1432.9</v>
      </c>
      <c r="CX36" s="1070">
        <f t="shared" si="114"/>
        <v>1432.9</v>
      </c>
      <c r="CY36" s="1091">
        <f t="shared" si="91"/>
        <v>1432.9</v>
      </c>
      <c r="CZ36" s="1070">
        <f t="shared" si="115"/>
        <v>1432.9</v>
      </c>
      <c r="DA36" s="1070">
        <f t="shared" si="115"/>
        <v>1432.9</v>
      </c>
      <c r="DB36" s="1070">
        <f t="shared" si="115"/>
        <v>1432.9</v>
      </c>
      <c r="DC36" s="1070">
        <f t="shared" si="115"/>
        <v>1432.9</v>
      </c>
      <c r="DD36" s="1091">
        <f t="shared" si="92"/>
        <v>1432.9</v>
      </c>
      <c r="DE36" s="1070">
        <f t="shared" si="116"/>
        <v>1432.9</v>
      </c>
      <c r="DF36" s="1070">
        <f t="shared" si="116"/>
        <v>1432.9</v>
      </c>
      <c r="DG36" s="1070">
        <f t="shared" si="116"/>
        <v>1432.9</v>
      </c>
      <c r="DH36" s="1070">
        <f t="shared" si="116"/>
        <v>1432.9</v>
      </c>
      <c r="DI36" s="1091">
        <f t="shared" si="93"/>
        <v>1432.9</v>
      </c>
      <c r="DJ36" s="1070">
        <f t="shared" si="117"/>
        <v>1432.9</v>
      </c>
      <c r="DK36" s="1070">
        <f t="shared" si="117"/>
        <v>1432.9</v>
      </c>
      <c r="DL36" s="1070">
        <f t="shared" si="117"/>
        <v>1432.9</v>
      </c>
      <c r="DM36" s="1070">
        <f t="shared" si="117"/>
        <v>1432.9</v>
      </c>
      <c r="DN36" s="1091">
        <f t="shared" si="94"/>
        <v>1432.9</v>
      </c>
      <c r="DO36" s="1070">
        <f t="shared" si="118"/>
        <v>1432.9</v>
      </c>
      <c r="DP36" s="1070">
        <f t="shared" si="118"/>
        <v>1432.9</v>
      </c>
      <c r="DQ36" s="1070">
        <f t="shared" si="118"/>
        <v>1432.9</v>
      </c>
      <c r="DR36" s="1070">
        <f t="shared" si="118"/>
        <v>1432.9</v>
      </c>
      <c r="DS36" s="1091">
        <f t="shared" si="95"/>
        <v>1432.9</v>
      </c>
      <c r="DT36" s="1070">
        <f t="shared" si="119"/>
        <v>1432.9</v>
      </c>
      <c r="DU36" s="1070">
        <f t="shared" si="120"/>
        <v>1432.9</v>
      </c>
      <c r="DV36" s="1070">
        <f t="shared" si="121"/>
        <v>1432.9</v>
      </c>
      <c r="DW36" s="1070">
        <f t="shared" si="122"/>
        <v>1432.9</v>
      </c>
      <c r="DX36" s="1091">
        <f t="shared" si="107"/>
        <v>1432.9</v>
      </c>
      <c r="DY36" s="37"/>
      <c r="DZ36" s="37"/>
      <c r="EA36" s="78"/>
      <c r="EB36" s="37"/>
      <c r="EC36" s="37"/>
      <c r="ED36" s="471"/>
      <c r="EE36" s="37"/>
      <c r="EF36" s="37"/>
    </row>
    <row r="37" spans="1:136" x14ac:dyDescent="0.2">
      <c r="A37" s="496" t="s">
        <v>275</v>
      </c>
      <c r="B37" s="174"/>
      <c r="C37" s="186"/>
      <c r="D37" s="184"/>
      <c r="E37" s="184"/>
      <c r="F37" s="184"/>
      <c r="G37" s="174"/>
      <c r="H37" s="184"/>
      <c r="I37" s="184"/>
      <c r="J37" s="184"/>
      <c r="K37" s="184"/>
      <c r="L37" s="174"/>
      <c r="M37" s="37"/>
      <c r="N37" s="184"/>
      <c r="O37" s="184"/>
      <c r="P37" s="184"/>
      <c r="Q37" s="49"/>
      <c r="R37" s="37"/>
      <c r="S37" s="185"/>
      <c r="T37" s="184"/>
      <c r="U37" s="184">
        <f t="shared" si="59"/>
        <v>2246</v>
      </c>
      <c r="V37" s="183">
        <f>SUM(V32:V36)</f>
        <v>2246</v>
      </c>
      <c r="W37" s="20" t="s">
        <v>540</v>
      </c>
      <c r="X37" s="20" t="s">
        <v>540</v>
      </c>
      <c r="Y37" s="20" t="s">
        <v>540</v>
      </c>
      <c r="Z37" s="46">
        <v>1985</v>
      </c>
      <c r="AA37" s="48">
        <f t="shared" si="60"/>
        <v>1985</v>
      </c>
      <c r="AB37" s="46">
        <f t="shared" ref="AB37:AK37" si="125">SUM(AB32:AB36)</f>
        <v>1814</v>
      </c>
      <c r="AC37" s="46">
        <f t="shared" si="125"/>
        <v>1793</v>
      </c>
      <c r="AD37" s="46">
        <f t="shared" si="125"/>
        <v>1760</v>
      </c>
      <c r="AE37" s="46">
        <f t="shared" si="125"/>
        <v>1801</v>
      </c>
      <c r="AF37" s="48">
        <f t="shared" si="125"/>
        <v>1801</v>
      </c>
      <c r="AG37" s="46">
        <f t="shared" si="125"/>
        <v>1783</v>
      </c>
      <c r="AH37" s="46">
        <f t="shared" si="125"/>
        <v>1783</v>
      </c>
      <c r="AI37" s="46">
        <f t="shared" si="125"/>
        <v>1791</v>
      </c>
      <c r="AJ37" s="46">
        <f t="shared" si="125"/>
        <v>1842</v>
      </c>
      <c r="AK37" s="48">
        <f t="shared" si="125"/>
        <v>1842</v>
      </c>
      <c r="AL37" s="46">
        <f>SUM(AL32:AL36)</f>
        <v>1786</v>
      </c>
      <c r="AM37" s="46">
        <f>SUM(AM32:AM36)</f>
        <v>1749</v>
      </c>
      <c r="AN37" s="46">
        <f>SUM(AN32:AN36)</f>
        <v>1683</v>
      </c>
      <c r="AO37" s="46">
        <f>SUM(AO32:AO36)</f>
        <v>1732.3</v>
      </c>
      <c r="AP37" s="573">
        <f t="shared" si="61"/>
        <v>1732.3</v>
      </c>
      <c r="AQ37" s="46">
        <f t="shared" ref="AQ37:BE37" si="126">SUM(AQ32:AQ36)</f>
        <v>1708.7</v>
      </c>
      <c r="AR37" s="46">
        <f t="shared" si="126"/>
        <v>1649.1</v>
      </c>
      <c r="AS37" s="46">
        <f t="shared" si="126"/>
        <v>1617.6999999999998</v>
      </c>
      <c r="AT37" s="46">
        <f t="shared" si="126"/>
        <v>1618.8</v>
      </c>
      <c r="AU37" s="573">
        <f t="shared" si="62"/>
        <v>1618.8</v>
      </c>
      <c r="AV37" s="243"/>
      <c r="AW37" s="46">
        <f>SUM(AW32:AW36)</f>
        <v>1617.6999999999998</v>
      </c>
      <c r="AX37" s="46">
        <f t="shared" si="126"/>
        <v>1618.8</v>
      </c>
      <c r="AY37" s="46">
        <f t="shared" si="126"/>
        <v>1627.2000000000003</v>
      </c>
      <c r="AZ37" s="46">
        <f t="shared" si="126"/>
        <v>4239</v>
      </c>
      <c r="BA37" s="48">
        <f t="shared" si="64"/>
        <v>4239</v>
      </c>
      <c r="BB37" s="46">
        <f t="shared" si="126"/>
        <v>4157.5</v>
      </c>
      <c r="BC37" s="46">
        <f t="shared" si="126"/>
        <v>4606.6000000000004</v>
      </c>
      <c r="BD37" s="46">
        <f t="shared" si="126"/>
        <v>4568.3999999999996</v>
      </c>
      <c r="BE37" s="46">
        <f t="shared" si="126"/>
        <v>4559.2</v>
      </c>
      <c r="BF37" s="573">
        <f t="shared" si="65"/>
        <v>4559.2</v>
      </c>
      <c r="BG37" s="46">
        <f>SUM(BG32:BG36)</f>
        <v>4071.2000000000003</v>
      </c>
      <c r="BH37" s="46">
        <f>SUM(BH32:BH36)</f>
        <v>4351.3</v>
      </c>
      <c r="BI37" s="46">
        <f>SUM(BI32:BI36)</f>
        <v>4359.3</v>
      </c>
      <c r="BJ37" s="46">
        <f>SUM(BJ32:BJ36)</f>
        <v>4389</v>
      </c>
      <c r="BK37" s="573">
        <f t="shared" si="66"/>
        <v>4389</v>
      </c>
      <c r="BL37" s="46">
        <f>SUM(BL32:BL36)</f>
        <v>4379.1000000000004</v>
      </c>
      <c r="BM37" s="46">
        <f>SUM(BM32:BM36)</f>
        <v>4347.9000000000005</v>
      </c>
      <c r="BN37" s="46">
        <f>SUM(BN32:BN36)</f>
        <v>4372.6000000000004</v>
      </c>
      <c r="BO37" s="46">
        <f>SUM(BO32:BO36)</f>
        <v>4312.3</v>
      </c>
      <c r="BP37" s="573">
        <f>BO37</f>
        <v>4312.3</v>
      </c>
      <c r="BQ37" s="46">
        <f>SUM(BQ32:BQ36)</f>
        <v>4286.9000000000005</v>
      </c>
      <c r="BR37" s="46">
        <f>SUM(BR32:BR36)</f>
        <v>4216.6000000000004</v>
      </c>
      <c r="BS37" s="46">
        <f>SUM(BS32:BS36)</f>
        <v>4422</v>
      </c>
      <c r="BT37" s="46">
        <f>SUM(BT32:BT36)</f>
        <v>13543.800000000003</v>
      </c>
      <c r="BU37" s="573">
        <f>BT37</f>
        <v>13543.800000000003</v>
      </c>
      <c r="BV37" s="46">
        <f>SUM(BV32:BV36)</f>
        <v>12561.699999999999</v>
      </c>
      <c r="BW37" s="1102">
        <f>SUM(BW32:BW36)</f>
        <v>12186.399999999998</v>
      </c>
      <c r="BX37" s="46">
        <f>SUM(BX32:BX36)</f>
        <v>12432.900000000001</v>
      </c>
      <c r="BY37" s="46">
        <f>SUM(BY32:BY36)</f>
        <v>12201.399999999998</v>
      </c>
      <c r="BZ37" s="573">
        <f t="shared" si="67"/>
        <v>12201.399999999998</v>
      </c>
      <c r="CA37" s="46">
        <f>SUM(CA32:CA36)</f>
        <v>12320.800000000001</v>
      </c>
      <c r="CB37" s="46">
        <f>SUM(CB32:CB36)</f>
        <v>12306.400000000003</v>
      </c>
      <c r="CC37" s="46">
        <f>SUM(CC32:CC36)</f>
        <v>12377.3</v>
      </c>
      <c r="CD37" s="46">
        <f>SUM(CD32:CD36)</f>
        <v>12339.300000000001</v>
      </c>
      <c r="CE37" s="573">
        <f t="shared" si="87"/>
        <v>12339.300000000001</v>
      </c>
      <c r="CF37" s="46">
        <f>SUM(CF32:CF36)</f>
        <v>13928.099999999999</v>
      </c>
      <c r="CG37" s="46">
        <f>SUM(CG32:CG36)</f>
        <v>16065.7</v>
      </c>
      <c r="CH37" s="46">
        <f>SUM(CH32:CH36)</f>
        <v>16354.3</v>
      </c>
      <c r="CI37" s="46">
        <f>SUM(CI32:CI36)</f>
        <v>16662.899999999998</v>
      </c>
      <c r="CJ37" s="573">
        <f t="shared" si="88"/>
        <v>16662.899999999998</v>
      </c>
      <c r="CK37" s="46">
        <f>SUM(CK32:CK36)</f>
        <v>16517.100000000002</v>
      </c>
      <c r="CL37" s="1071">
        <f>SUM(CL32:CL36)</f>
        <v>16454.176041162948</v>
      </c>
      <c r="CM37" s="1071">
        <f>SUM(CM32:CM36)</f>
        <v>16467.056097910761</v>
      </c>
      <c r="CN37" s="1071">
        <f>SUM(CN32:CN36)</f>
        <v>16956.271756403119</v>
      </c>
      <c r="CO37" s="1092">
        <f t="shared" si="89"/>
        <v>16956.271756403119</v>
      </c>
      <c r="CP37" s="1071">
        <f>SUM(CP32:CP36)</f>
        <v>16528.605047561556</v>
      </c>
      <c r="CQ37" s="1071">
        <f>SUM(CQ32:CQ36)</f>
        <v>16471.218543486892</v>
      </c>
      <c r="CR37" s="1071">
        <f>SUM(CR32:CR36)</f>
        <v>16474.187093430763</v>
      </c>
      <c r="CS37" s="1071">
        <f>SUM(CS32:CS36)</f>
        <v>16976.908711476015</v>
      </c>
      <c r="CT37" s="1092">
        <f t="shared" si="90"/>
        <v>16976.908711476015</v>
      </c>
      <c r="CU37" s="1071">
        <f>SUM(CU32:CU36)</f>
        <v>16532.571328355461</v>
      </c>
      <c r="CV37" s="1071">
        <f>SUM(CV32:CV36)</f>
        <v>16473.728507297164</v>
      </c>
      <c r="CW37" s="1071">
        <f>SUM(CW32:CW36)</f>
        <v>16480.928089976074</v>
      </c>
      <c r="CX37" s="1071">
        <f>SUM(CX32:CX36)</f>
        <v>17018.633549457045</v>
      </c>
      <c r="CY37" s="1092">
        <f t="shared" si="91"/>
        <v>17018.633549457045</v>
      </c>
      <c r="CZ37" s="1071">
        <f>SUM(CZ32:CZ36)</f>
        <v>16548.886467154789</v>
      </c>
      <c r="DA37" s="1071">
        <f>SUM(DA32:DA36)</f>
        <v>16488.173907782628</v>
      </c>
      <c r="DB37" s="1071">
        <f>SUM(DB32:DB36)</f>
        <v>16503.283932682662</v>
      </c>
      <c r="DC37" s="1071">
        <f>SUM(DC32:DC36)</f>
        <v>16468.705138632591</v>
      </c>
      <c r="DD37" s="1092">
        <f t="shared" si="92"/>
        <v>16468.705138632591</v>
      </c>
      <c r="DE37" s="1071">
        <f>SUM(DE32:DE36)</f>
        <v>15960.450227081184</v>
      </c>
      <c r="DF37" s="1071">
        <f>SUM(DF32:DF36)</f>
        <v>15898.386599062671</v>
      </c>
      <c r="DG37" s="1071">
        <f>SUM(DG32:DG36)</f>
        <v>15910.059009936213</v>
      </c>
      <c r="DH37" s="1071">
        <f>SUM(DH32:DH36)</f>
        <v>16521.413246323104</v>
      </c>
      <c r="DI37" s="1092">
        <f t="shared" si="93"/>
        <v>16521.413246323104</v>
      </c>
      <c r="DJ37" s="1071">
        <f>SUM(DJ32:DJ36)</f>
        <v>15986.0113198823</v>
      </c>
      <c r="DK37" s="1071">
        <f>SUM(DK32:DK36)</f>
        <v>15925.021564723402</v>
      </c>
      <c r="DL37" s="1071">
        <f>SUM(DL32:DL36)</f>
        <v>15941.891739558556</v>
      </c>
      <c r="DM37" s="1071">
        <f>SUM(DM32:DM36)</f>
        <v>16594.675464782631</v>
      </c>
      <c r="DN37" s="1092">
        <f t="shared" si="94"/>
        <v>16594.675464782631</v>
      </c>
      <c r="DO37" s="1071">
        <f>SUM(DO32:DO36)</f>
        <v>16046.923247343688</v>
      </c>
      <c r="DP37" s="1071">
        <f>SUM(DP32:DP36)</f>
        <v>15994.739036717319</v>
      </c>
      <c r="DQ37" s="1071">
        <f>SUM(DQ32:DQ36)</f>
        <v>16027.055514037003</v>
      </c>
      <c r="DR37" s="1071">
        <f>SUM(DR32:DR36)</f>
        <v>16742.331989188653</v>
      </c>
      <c r="DS37" s="1092">
        <f t="shared" si="95"/>
        <v>16742.331989188653</v>
      </c>
      <c r="DT37" s="1071">
        <f>SUM(DT32:DT36)</f>
        <v>16134.026573038165</v>
      </c>
      <c r="DU37" s="1071">
        <f>SUM(DU32:DU36)</f>
        <v>16064.440041147191</v>
      </c>
      <c r="DV37" s="1071">
        <f>SUM(DV32:DV36)</f>
        <v>16083.092880114325</v>
      </c>
      <c r="DW37" s="1071">
        <f>SUM(DW32:DW36)</f>
        <v>16826.115890129371</v>
      </c>
      <c r="DX37" s="1092">
        <f t="shared" si="107"/>
        <v>16826.115890129371</v>
      </c>
      <c r="DY37" s="25"/>
      <c r="DZ37" s="25"/>
      <c r="EA37" s="25"/>
      <c r="EB37" s="25"/>
      <c r="EC37" s="25"/>
      <c r="ED37" s="25"/>
      <c r="EE37" s="25"/>
      <c r="EF37" s="25"/>
    </row>
    <row r="38" spans="1:136" x14ac:dyDescent="0.2">
      <c r="A38" s="497" t="s">
        <v>277</v>
      </c>
      <c r="B38" s="174"/>
      <c r="C38" s="20"/>
      <c r="D38" s="20"/>
      <c r="E38" s="20"/>
      <c r="F38" s="20"/>
      <c r="G38" s="174"/>
      <c r="H38" s="20"/>
      <c r="I38" s="20"/>
      <c r="J38" s="20"/>
      <c r="K38" s="20"/>
      <c r="L38" s="174"/>
      <c r="M38" s="20"/>
      <c r="N38" s="20"/>
      <c r="O38" s="20"/>
      <c r="P38" s="20"/>
      <c r="Q38" s="174"/>
      <c r="R38" s="20"/>
      <c r="S38" s="180"/>
      <c r="T38" s="20"/>
      <c r="U38" s="20">
        <f t="shared" si="59"/>
        <v>0</v>
      </c>
      <c r="V38" s="174"/>
      <c r="W38" s="20" t="s">
        <v>540</v>
      </c>
      <c r="X38" s="20" t="s">
        <v>540</v>
      </c>
      <c r="Y38" s="20" t="s">
        <v>540</v>
      </c>
      <c r="Z38" s="38"/>
      <c r="AA38" s="40"/>
      <c r="AB38" s="38"/>
      <c r="AC38" s="38"/>
      <c r="AD38" s="38"/>
      <c r="AE38" s="38"/>
      <c r="AF38" s="40"/>
      <c r="AG38" s="38"/>
      <c r="AH38" s="38"/>
      <c r="AI38" s="38"/>
      <c r="AJ38" s="38"/>
      <c r="AK38" s="40"/>
      <c r="AL38" s="38"/>
      <c r="AM38" s="38"/>
      <c r="AN38" s="38"/>
      <c r="AO38" s="38"/>
      <c r="AP38" s="853"/>
      <c r="AQ38" s="38"/>
      <c r="AR38" s="38"/>
      <c r="AS38" s="38"/>
      <c r="AT38" s="38"/>
      <c r="AU38" s="853"/>
      <c r="AV38" s="243"/>
      <c r="AW38" s="38"/>
      <c r="AX38" s="38"/>
      <c r="AY38" s="38"/>
      <c r="AZ38" s="38"/>
      <c r="BA38" s="40"/>
      <c r="BB38" s="38"/>
      <c r="BC38" s="38"/>
      <c r="BD38" s="38"/>
      <c r="BE38" s="38"/>
      <c r="BF38" s="853"/>
      <c r="BG38" s="38"/>
      <c r="BH38" s="38"/>
      <c r="BI38" s="38"/>
      <c r="BJ38" s="38"/>
      <c r="BK38" s="853"/>
      <c r="BL38" s="38"/>
      <c r="BM38" s="41"/>
      <c r="BN38" s="41"/>
      <c r="BO38" s="41"/>
      <c r="BP38" s="854"/>
      <c r="BQ38" s="41"/>
      <c r="BR38" s="38"/>
      <c r="BS38" s="41"/>
      <c r="BT38" s="41"/>
      <c r="BU38" s="853"/>
      <c r="BV38" s="38"/>
      <c r="BW38" s="1348"/>
      <c r="BX38" s="38"/>
      <c r="BY38" s="38"/>
      <c r="BZ38" s="853"/>
      <c r="CA38" s="38"/>
      <c r="CB38" s="38"/>
      <c r="CC38" s="38"/>
      <c r="CD38" s="38"/>
      <c r="CE38" s="853"/>
      <c r="CF38" s="38"/>
      <c r="CG38" s="38"/>
      <c r="CH38" s="38"/>
      <c r="CI38" s="38"/>
      <c r="CJ38" s="1745"/>
      <c r="CK38" s="38"/>
      <c r="CL38" s="1070"/>
      <c r="CM38" s="1070"/>
      <c r="CN38" s="1070"/>
      <c r="CO38" s="1091"/>
      <c r="CP38" s="1070"/>
      <c r="CQ38" s="1070"/>
      <c r="CR38" s="1070"/>
      <c r="CS38" s="1070"/>
      <c r="CT38" s="1091"/>
      <c r="CU38" s="1070"/>
      <c r="CV38" s="1070"/>
      <c r="CW38" s="1070"/>
      <c r="CX38" s="1070"/>
      <c r="CY38" s="1091"/>
      <c r="CZ38" s="1070"/>
      <c r="DA38" s="1070"/>
      <c r="DB38" s="1070"/>
      <c r="DC38" s="1070"/>
      <c r="DD38" s="1091"/>
      <c r="DE38" s="1070"/>
      <c r="DF38" s="1070"/>
      <c r="DG38" s="1070"/>
      <c r="DH38" s="1070"/>
      <c r="DI38" s="1091"/>
      <c r="DJ38" s="1070"/>
      <c r="DK38" s="1070"/>
      <c r="DL38" s="1070"/>
      <c r="DM38" s="1070"/>
      <c r="DN38" s="1091"/>
      <c r="DO38" s="1070"/>
      <c r="DP38" s="1070"/>
      <c r="DQ38" s="1070"/>
      <c r="DR38" s="1070"/>
      <c r="DS38" s="1091"/>
      <c r="DT38" s="1070"/>
      <c r="DU38" s="1070"/>
      <c r="DV38" s="1070"/>
      <c r="DW38" s="1070"/>
      <c r="DX38" s="1091"/>
      <c r="DY38" s="16"/>
      <c r="DZ38" s="16"/>
      <c r="EA38" s="78"/>
      <c r="EB38" s="16"/>
      <c r="EC38" s="16"/>
      <c r="ED38" s="16"/>
      <c r="EE38" s="16"/>
      <c r="EF38" s="16"/>
    </row>
    <row r="39" spans="1:136" x14ac:dyDescent="0.2">
      <c r="A39" s="497" t="s">
        <v>553</v>
      </c>
      <c r="B39" s="174"/>
      <c r="C39" s="20"/>
      <c r="D39" s="20"/>
      <c r="E39" s="20"/>
      <c r="F39" s="20"/>
      <c r="G39" s="174"/>
      <c r="H39" s="20"/>
      <c r="I39" s="20"/>
      <c r="J39" s="20"/>
      <c r="K39" s="20"/>
      <c r="L39" s="174">
        <v>0</v>
      </c>
      <c r="M39" s="20"/>
      <c r="N39" s="20"/>
      <c r="O39" s="20"/>
      <c r="P39" s="20"/>
      <c r="Q39" s="174">
        <v>0</v>
      </c>
      <c r="R39" s="20"/>
      <c r="S39" s="180"/>
      <c r="T39" s="20"/>
      <c r="U39" s="20">
        <f t="shared" si="59"/>
        <v>0</v>
      </c>
      <c r="V39" s="174">
        <v>0</v>
      </c>
      <c r="W39" s="20" t="s">
        <v>540</v>
      </c>
      <c r="X39" s="20" t="s">
        <v>540</v>
      </c>
      <c r="Y39" s="20" t="s">
        <v>540</v>
      </c>
      <c r="Z39" s="38">
        <v>0</v>
      </c>
      <c r="AA39" s="40">
        <f t="shared" si="60"/>
        <v>0</v>
      </c>
      <c r="AB39" s="38">
        <v>0</v>
      </c>
      <c r="AC39" s="38">
        <v>0</v>
      </c>
      <c r="AD39" s="38">
        <v>0</v>
      </c>
      <c r="AE39" s="38">
        <f t="shared" ref="AE39:AE47" si="127">AF39</f>
        <v>0</v>
      </c>
      <c r="AF39" s="40">
        <v>0</v>
      </c>
      <c r="AG39" s="38">
        <v>0</v>
      </c>
      <c r="AH39" s="38">
        <v>0</v>
      </c>
      <c r="AI39" s="38">
        <v>0</v>
      </c>
      <c r="AJ39" s="38">
        <v>0</v>
      </c>
      <c r="AK39" s="40">
        <v>0</v>
      </c>
      <c r="AL39" s="38">
        <v>0</v>
      </c>
      <c r="AM39" s="38">
        <v>0</v>
      </c>
      <c r="AN39" s="38">
        <v>0</v>
      </c>
      <c r="AO39" s="38">
        <v>0</v>
      </c>
      <c r="AP39" s="853">
        <f>AO39</f>
        <v>0</v>
      </c>
      <c r="AQ39" s="38">
        <v>0</v>
      </c>
      <c r="AR39" s="38">
        <v>0</v>
      </c>
      <c r="AS39" s="38">
        <v>0</v>
      </c>
      <c r="AT39" s="38">
        <v>0</v>
      </c>
      <c r="AU39" s="853">
        <f>AT39</f>
        <v>0</v>
      </c>
      <c r="AV39" s="243"/>
      <c r="AW39" s="38">
        <f>AS39</f>
        <v>0</v>
      </c>
      <c r="AX39" s="38">
        <f>AT39</f>
        <v>0</v>
      </c>
      <c r="AY39" s="38">
        <v>0</v>
      </c>
      <c r="AZ39" s="38">
        <v>0</v>
      </c>
      <c r="BA39" s="40">
        <f t="shared" ref="BA39:BA48" si="128">AZ39</f>
        <v>0</v>
      </c>
      <c r="BB39" s="38">
        <v>0</v>
      </c>
      <c r="BC39" s="38">
        <v>0</v>
      </c>
      <c r="BD39" s="38">
        <v>0</v>
      </c>
      <c r="BE39" s="38">
        <v>0</v>
      </c>
      <c r="BF39" s="853">
        <f t="shared" ref="BF39:BF47" si="129">BE39</f>
        <v>0</v>
      </c>
      <c r="BG39" s="38">
        <v>0</v>
      </c>
      <c r="BH39" s="38">
        <v>0</v>
      </c>
      <c r="BI39" s="38">
        <v>0</v>
      </c>
      <c r="BJ39" s="38">
        <v>0</v>
      </c>
      <c r="BK39" s="853">
        <f t="shared" ref="BK39:BK47" si="130">BJ39</f>
        <v>0</v>
      </c>
      <c r="BL39" s="38">
        <v>0</v>
      </c>
      <c r="BM39" s="38">
        <v>0</v>
      </c>
      <c r="BN39" s="38">
        <v>0</v>
      </c>
      <c r="BO39" s="38">
        <v>0</v>
      </c>
      <c r="BP39" s="853">
        <f t="shared" ref="BP39:BU39" si="131">BO39</f>
        <v>0</v>
      </c>
      <c r="BQ39" s="38">
        <v>0</v>
      </c>
      <c r="BR39" s="38">
        <v>0</v>
      </c>
      <c r="BS39" s="38">
        <v>0</v>
      </c>
      <c r="BT39" s="38">
        <v>3297</v>
      </c>
      <c r="BU39" s="853">
        <f t="shared" si="131"/>
        <v>3297</v>
      </c>
      <c r="BV39" s="38">
        <v>3297</v>
      </c>
      <c r="BW39" s="1348">
        <v>3297</v>
      </c>
      <c r="BX39" s="38">
        <v>3297</v>
      </c>
      <c r="BY39" s="38">
        <v>3297</v>
      </c>
      <c r="BZ39" s="853">
        <f t="shared" ref="BZ39:CY39" si="132">BY39</f>
        <v>3297</v>
      </c>
      <c r="CA39" s="38">
        <v>3297</v>
      </c>
      <c r="CB39" s="38">
        <v>3297</v>
      </c>
      <c r="CC39" s="38">
        <v>3297</v>
      </c>
      <c r="CD39" s="38">
        <f>CC39+'CF '!CD60</f>
        <v>3297</v>
      </c>
      <c r="CE39" s="853">
        <f t="shared" si="132"/>
        <v>3297</v>
      </c>
      <c r="CF39" s="38">
        <v>3297</v>
      </c>
      <c r="CG39" s="38">
        <v>3297</v>
      </c>
      <c r="CH39" s="38">
        <v>3297</v>
      </c>
      <c r="CI39" s="38">
        <v>0</v>
      </c>
      <c r="CJ39" s="853">
        <f t="shared" si="132"/>
        <v>0</v>
      </c>
      <c r="CK39" s="38">
        <v>0</v>
      </c>
      <c r="CL39" s="1070">
        <f>CK39+'CF '!CL60</f>
        <v>0</v>
      </c>
      <c r="CM39" s="1070">
        <f>CL39+'CF '!CM60</f>
        <v>0</v>
      </c>
      <c r="CN39" s="1070">
        <f>CM39+'CF '!CN60</f>
        <v>0</v>
      </c>
      <c r="CO39" s="1091">
        <f t="shared" si="132"/>
        <v>0</v>
      </c>
      <c r="CP39" s="1070">
        <f>CO39+'CF '!CP60</f>
        <v>0</v>
      </c>
      <c r="CQ39" s="1070">
        <f>CP39+'CF '!CQ60</f>
        <v>0</v>
      </c>
      <c r="CR39" s="1070">
        <f>CQ39+'CF '!CR60</f>
        <v>0</v>
      </c>
      <c r="CS39" s="1070">
        <f>CR39+'CF '!CS60</f>
        <v>0</v>
      </c>
      <c r="CT39" s="1091">
        <f t="shared" si="132"/>
        <v>0</v>
      </c>
      <c r="CU39" s="1070">
        <f>CT39+'CF '!CU60</f>
        <v>0</v>
      </c>
      <c r="CV39" s="1070">
        <f>CU39+'CF '!CV60</f>
        <v>0</v>
      </c>
      <c r="CW39" s="1070">
        <f>CV39+'CF '!CW60</f>
        <v>0</v>
      </c>
      <c r="CX39" s="1070">
        <f>CW39+'CF '!CX60</f>
        <v>0</v>
      </c>
      <c r="CY39" s="1091">
        <f t="shared" si="132"/>
        <v>0</v>
      </c>
      <c r="CZ39" s="1070">
        <f>CY39+'CF '!CZ60</f>
        <v>0</v>
      </c>
      <c r="DA39" s="1070">
        <f>CZ39+'CF '!DA60</f>
        <v>0</v>
      </c>
      <c r="DB39" s="1070">
        <f>DA39+'CF '!DB60</f>
        <v>0</v>
      </c>
      <c r="DC39" s="1070">
        <f>DB39+'CF '!DC60</f>
        <v>0</v>
      </c>
      <c r="DD39" s="1091">
        <f t="shared" ref="DD39:DS39" si="133">DC39</f>
        <v>0</v>
      </c>
      <c r="DE39" s="1070">
        <f>DD39+'CF '!DE60</f>
        <v>0</v>
      </c>
      <c r="DF39" s="1070">
        <f>DE39+'CF '!DF60</f>
        <v>0</v>
      </c>
      <c r="DG39" s="1070">
        <f>DF39+'CF '!DG60</f>
        <v>0</v>
      </c>
      <c r="DH39" s="1070">
        <f>DG39+'CF '!DH60</f>
        <v>0</v>
      </c>
      <c r="DI39" s="1091">
        <f t="shared" si="133"/>
        <v>0</v>
      </c>
      <c r="DJ39" s="1070">
        <f>DI39+'CF '!DJ60</f>
        <v>0</v>
      </c>
      <c r="DK39" s="1070">
        <f>DJ39+'CF '!DK60</f>
        <v>0</v>
      </c>
      <c r="DL39" s="1070">
        <f>DK39+'CF '!DL60</f>
        <v>0</v>
      </c>
      <c r="DM39" s="1070">
        <f>DL39+'CF '!DM60</f>
        <v>0</v>
      </c>
      <c r="DN39" s="1091">
        <f t="shared" si="133"/>
        <v>0</v>
      </c>
      <c r="DO39" s="1070">
        <f>DN39+'CF '!DO60</f>
        <v>0</v>
      </c>
      <c r="DP39" s="1070">
        <f>DO39+'CF '!DP60</f>
        <v>0</v>
      </c>
      <c r="DQ39" s="1070">
        <f>DP39+'CF '!DQ60</f>
        <v>0</v>
      </c>
      <c r="DR39" s="1070">
        <f>DQ39+'CF '!DR60</f>
        <v>0</v>
      </c>
      <c r="DS39" s="1091">
        <f t="shared" si="133"/>
        <v>0</v>
      </c>
      <c r="DT39" s="1070">
        <f>DS39+'CF '!DT60</f>
        <v>0</v>
      </c>
      <c r="DU39" s="1070">
        <f>DT39+'CF '!DU60</f>
        <v>0</v>
      </c>
      <c r="DV39" s="1070">
        <f>DU39+'CF '!DV60</f>
        <v>0</v>
      </c>
      <c r="DW39" s="1070">
        <f>DV39+'CF '!DW60</f>
        <v>0</v>
      </c>
      <c r="DX39" s="1091">
        <f t="shared" ref="DX39:DX41" si="134">DW39</f>
        <v>0</v>
      </c>
      <c r="DY39" s="16"/>
      <c r="DZ39" s="16"/>
      <c r="EA39" s="78"/>
      <c r="EB39" s="16"/>
      <c r="EC39" s="16"/>
      <c r="ED39" s="16"/>
      <c r="EE39" s="16"/>
      <c r="EF39" s="16"/>
    </row>
    <row r="40" spans="1:136" x14ac:dyDescent="0.2">
      <c r="A40" s="497" t="s">
        <v>554</v>
      </c>
      <c r="B40" s="181"/>
      <c r="C40" s="182"/>
      <c r="D40" s="182"/>
      <c r="E40" s="182"/>
      <c r="F40" s="182"/>
      <c r="G40" s="181"/>
      <c r="H40" s="182"/>
      <c r="I40" s="182"/>
      <c r="J40" s="182"/>
      <c r="K40" s="182"/>
      <c r="L40" s="174">
        <v>1</v>
      </c>
      <c r="M40" s="20"/>
      <c r="N40" s="20"/>
      <c r="O40" s="20"/>
      <c r="P40" s="20"/>
      <c r="Q40" s="174">
        <v>1</v>
      </c>
      <c r="R40" s="20"/>
      <c r="S40" s="180"/>
      <c r="T40" s="20"/>
      <c r="U40" s="20">
        <f t="shared" si="59"/>
        <v>1</v>
      </c>
      <c r="V40" s="174">
        <v>1</v>
      </c>
      <c r="W40" s="20" t="s">
        <v>540</v>
      </c>
      <c r="X40" s="20" t="s">
        <v>540</v>
      </c>
      <c r="Y40" s="20" t="s">
        <v>540</v>
      </c>
      <c r="Z40" s="38">
        <v>1</v>
      </c>
      <c r="AA40" s="40">
        <f t="shared" si="60"/>
        <v>1</v>
      </c>
      <c r="AB40" s="38">
        <v>1</v>
      </c>
      <c r="AC40" s="38">
        <v>1</v>
      </c>
      <c r="AD40" s="38">
        <v>1</v>
      </c>
      <c r="AE40" s="38">
        <f t="shared" si="127"/>
        <v>1</v>
      </c>
      <c r="AF40" s="40">
        <v>1</v>
      </c>
      <c r="AG40" s="38">
        <v>1</v>
      </c>
      <c r="AH40" s="38">
        <v>1</v>
      </c>
      <c r="AI40" s="38">
        <v>1</v>
      </c>
      <c r="AJ40" s="38">
        <v>1</v>
      </c>
      <c r="AK40" s="40">
        <v>1</v>
      </c>
      <c r="AL40" s="38">
        <v>1</v>
      </c>
      <c r="AM40" s="38">
        <v>1</v>
      </c>
      <c r="AN40" s="38">
        <v>1</v>
      </c>
      <c r="AO40" s="38">
        <v>1.4</v>
      </c>
      <c r="AP40" s="853">
        <f t="shared" ref="AP40:AP47" si="135">AO40</f>
        <v>1.4</v>
      </c>
      <c r="AQ40" s="38">
        <v>1.4</v>
      </c>
      <c r="AR40" s="38">
        <v>1.4</v>
      </c>
      <c r="AS40" s="38">
        <v>1.4</v>
      </c>
      <c r="AT40" s="38">
        <v>1.4</v>
      </c>
      <c r="AU40" s="853">
        <f t="shared" ref="AU40:AU47" si="136">AT40</f>
        <v>1.4</v>
      </c>
      <c r="AV40" s="279"/>
      <c r="AW40" s="38">
        <f t="shared" ref="AW40:AW46" si="137">AS40</f>
        <v>1.4</v>
      </c>
      <c r="AX40" s="38">
        <f t="shared" ref="AX40:AX46" si="138">AT40</f>
        <v>1.4</v>
      </c>
      <c r="AY40" s="38">
        <v>1.4</v>
      </c>
      <c r="AZ40" s="38">
        <v>0</v>
      </c>
      <c r="BA40" s="40">
        <f t="shared" si="128"/>
        <v>0</v>
      </c>
      <c r="BB40" s="38">
        <v>0</v>
      </c>
      <c r="BC40" s="38">
        <v>0</v>
      </c>
      <c r="BD40" s="38">
        <v>0</v>
      </c>
      <c r="BE40" s="38">
        <v>3.5</v>
      </c>
      <c r="BF40" s="853">
        <f t="shared" si="129"/>
        <v>3.5</v>
      </c>
      <c r="BG40" s="38">
        <v>0</v>
      </c>
      <c r="BH40" s="38">
        <v>3.5</v>
      </c>
      <c r="BI40" s="38">
        <v>3.5</v>
      </c>
      <c r="BJ40" s="38">
        <v>3.5</v>
      </c>
      <c r="BK40" s="853">
        <f t="shared" si="130"/>
        <v>3.5</v>
      </c>
      <c r="BL40" s="38">
        <v>3.5</v>
      </c>
      <c r="BM40" s="38">
        <v>3.5</v>
      </c>
      <c r="BN40" s="38">
        <v>3.5</v>
      </c>
      <c r="BO40" s="38">
        <v>3.5</v>
      </c>
      <c r="BP40" s="853">
        <f t="shared" ref="BP40:BU40" si="139">BO40</f>
        <v>3.5</v>
      </c>
      <c r="BQ40" s="38">
        <v>3.5</v>
      </c>
      <c r="BR40" s="38">
        <v>3.5</v>
      </c>
      <c r="BS40" s="38">
        <v>3.5</v>
      </c>
      <c r="BT40" s="38">
        <v>1755</v>
      </c>
      <c r="BU40" s="853">
        <f t="shared" si="139"/>
        <v>1755</v>
      </c>
      <c r="BV40" s="38">
        <v>1766.4</v>
      </c>
      <c r="BW40" s="1348">
        <v>1774.4</v>
      </c>
      <c r="BX40" s="38">
        <v>1794.6</v>
      </c>
      <c r="BY40" s="38">
        <v>1824.5</v>
      </c>
      <c r="BZ40" s="853">
        <f t="shared" ref="BZ40:DA40" si="140">BY40</f>
        <v>1824.5</v>
      </c>
      <c r="CA40" s="38">
        <v>1907.8</v>
      </c>
      <c r="CB40" s="38">
        <v>1923.2</v>
      </c>
      <c r="CC40" s="38">
        <v>1935.8</v>
      </c>
      <c r="CD40" s="38">
        <v>1955.1</v>
      </c>
      <c r="CE40" s="853">
        <f t="shared" si="140"/>
        <v>1955.1</v>
      </c>
      <c r="CF40" s="38">
        <v>1987</v>
      </c>
      <c r="CG40" s="38">
        <v>2003</v>
      </c>
      <c r="CH40" s="38">
        <v>2019.6</v>
      </c>
      <c r="CI40" s="38">
        <v>2051.5</v>
      </c>
      <c r="CJ40" s="853">
        <f t="shared" si="140"/>
        <v>2051.5</v>
      </c>
      <c r="CK40" s="38">
        <v>2096.6</v>
      </c>
      <c r="CL40" s="1070">
        <f t="shared" si="140"/>
        <v>2096.6</v>
      </c>
      <c r="CM40" s="1070">
        <f t="shared" si="140"/>
        <v>2096.6</v>
      </c>
      <c r="CN40" s="1070">
        <f t="shared" si="140"/>
        <v>2096.6</v>
      </c>
      <c r="CO40" s="1091">
        <f t="shared" si="140"/>
        <v>2096.6</v>
      </c>
      <c r="CP40" s="1070">
        <f t="shared" si="140"/>
        <v>2096.6</v>
      </c>
      <c r="CQ40" s="1070">
        <f t="shared" si="140"/>
        <v>2096.6</v>
      </c>
      <c r="CR40" s="1070">
        <f t="shared" si="140"/>
        <v>2096.6</v>
      </c>
      <c r="CS40" s="1070">
        <f t="shared" si="140"/>
        <v>2096.6</v>
      </c>
      <c r="CT40" s="1091">
        <f t="shared" si="140"/>
        <v>2096.6</v>
      </c>
      <c r="CU40" s="1070">
        <f t="shared" si="140"/>
        <v>2096.6</v>
      </c>
      <c r="CV40" s="1070">
        <f t="shared" si="140"/>
        <v>2096.6</v>
      </c>
      <c r="CW40" s="1070">
        <f t="shared" si="140"/>
        <v>2096.6</v>
      </c>
      <c r="CX40" s="1070">
        <f t="shared" si="140"/>
        <v>2096.6</v>
      </c>
      <c r="CY40" s="1091">
        <f t="shared" si="140"/>
        <v>2096.6</v>
      </c>
      <c r="CZ40" s="1070">
        <f t="shared" si="140"/>
        <v>2096.6</v>
      </c>
      <c r="DA40" s="1070">
        <f t="shared" si="140"/>
        <v>2096.6</v>
      </c>
      <c r="DB40" s="1070">
        <f t="shared" ref="DB40:DS40" si="141">DA40</f>
        <v>2096.6</v>
      </c>
      <c r="DC40" s="1070">
        <f t="shared" si="141"/>
        <v>2096.6</v>
      </c>
      <c r="DD40" s="1091">
        <f t="shared" si="141"/>
        <v>2096.6</v>
      </c>
      <c r="DE40" s="1070">
        <f t="shared" si="141"/>
        <v>2096.6</v>
      </c>
      <c r="DF40" s="1070">
        <f t="shared" si="141"/>
        <v>2096.6</v>
      </c>
      <c r="DG40" s="1070">
        <f t="shared" si="141"/>
        <v>2096.6</v>
      </c>
      <c r="DH40" s="1070">
        <f t="shared" si="141"/>
        <v>2096.6</v>
      </c>
      <c r="DI40" s="1091">
        <f t="shared" si="141"/>
        <v>2096.6</v>
      </c>
      <c r="DJ40" s="1070">
        <f t="shared" si="141"/>
        <v>2096.6</v>
      </c>
      <c r="DK40" s="1070">
        <f t="shared" si="141"/>
        <v>2096.6</v>
      </c>
      <c r="DL40" s="1070">
        <f t="shared" si="141"/>
        <v>2096.6</v>
      </c>
      <c r="DM40" s="1070">
        <f t="shared" si="141"/>
        <v>2096.6</v>
      </c>
      <c r="DN40" s="1091">
        <f t="shared" si="141"/>
        <v>2096.6</v>
      </c>
      <c r="DO40" s="1070">
        <f t="shared" si="141"/>
        <v>2096.6</v>
      </c>
      <c r="DP40" s="1070">
        <f t="shared" si="141"/>
        <v>2096.6</v>
      </c>
      <c r="DQ40" s="1070">
        <f t="shared" si="141"/>
        <v>2096.6</v>
      </c>
      <c r="DR40" s="1070">
        <f t="shared" si="141"/>
        <v>2096.6</v>
      </c>
      <c r="DS40" s="1091">
        <f t="shared" si="141"/>
        <v>2096.6</v>
      </c>
      <c r="DT40" s="1070">
        <f t="shared" ref="DT40:DT41" si="142">DS40</f>
        <v>2096.6</v>
      </c>
      <c r="DU40" s="1070">
        <f t="shared" ref="DU40:DU41" si="143">DT40</f>
        <v>2096.6</v>
      </c>
      <c r="DV40" s="1070">
        <f t="shared" ref="DV40:DV41" si="144">DU40</f>
        <v>2096.6</v>
      </c>
      <c r="DW40" s="1070">
        <f t="shared" ref="DW40:DW41" si="145">DV40</f>
        <v>2096.6</v>
      </c>
      <c r="DX40" s="1091">
        <f t="shared" si="134"/>
        <v>2096.6</v>
      </c>
      <c r="DY40" s="162"/>
      <c r="DZ40" s="162"/>
      <c r="EA40" s="78"/>
      <c r="EB40" s="162"/>
      <c r="EC40" s="162"/>
      <c r="ED40" s="471"/>
      <c r="EE40" s="162"/>
      <c r="EF40" s="162"/>
    </row>
    <row r="41" spans="1:136" x14ac:dyDescent="0.2">
      <c r="A41" s="497" t="s">
        <v>278</v>
      </c>
      <c r="B41" s="183"/>
      <c r="C41" s="184"/>
      <c r="D41" s="184"/>
      <c r="E41" s="184"/>
      <c r="F41" s="184"/>
      <c r="G41" s="183"/>
      <c r="H41" s="184"/>
      <c r="I41" s="184"/>
      <c r="J41" s="184"/>
      <c r="K41" s="184"/>
      <c r="L41" s="174"/>
      <c r="M41" s="20"/>
      <c r="N41" s="20"/>
      <c r="O41" s="20"/>
      <c r="P41" s="20"/>
      <c r="Q41" s="174"/>
      <c r="R41" s="20"/>
      <c r="S41" s="180"/>
      <c r="T41" s="20"/>
      <c r="U41" s="20">
        <f t="shared" si="59"/>
        <v>2</v>
      </c>
      <c r="V41" s="174">
        <v>2</v>
      </c>
      <c r="W41" s="20" t="s">
        <v>540</v>
      </c>
      <c r="X41" s="20" t="s">
        <v>540</v>
      </c>
      <c r="Y41" s="20" t="s">
        <v>540</v>
      </c>
      <c r="Z41" s="38">
        <v>5</v>
      </c>
      <c r="AA41" s="40">
        <f t="shared" si="60"/>
        <v>5</v>
      </c>
      <c r="AB41" s="38">
        <v>5</v>
      </c>
      <c r="AC41" s="38">
        <v>5</v>
      </c>
      <c r="AD41" s="38">
        <v>5</v>
      </c>
      <c r="AE41" s="38">
        <f t="shared" si="127"/>
        <v>3</v>
      </c>
      <c r="AF41" s="40">
        <v>3</v>
      </c>
      <c r="AG41" s="38">
        <v>3</v>
      </c>
      <c r="AH41" s="38">
        <v>3</v>
      </c>
      <c r="AI41" s="38">
        <v>0</v>
      </c>
      <c r="AJ41" s="38">
        <v>0</v>
      </c>
      <c r="AK41" s="40">
        <v>0</v>
      </c>
      <c r="AL41" s="38">
        <v>0</v>
      </c>
      <c r="AM41" s="38">
        <v>0</v>
      </c>
      <c r="AN41" s="38">
        <v>0</v>
      </c>
      <c r="AO41" s="38">
        <v>0</v>
      </c>
      <c r="AP41" s="853">
        <f t="shared" si="135"/>
        <v>0</v>
      </c>
      <c r="AQ41" s="38">
        <v>0</v>
      </c>
      <c r="AR41" s="38">
        <v>0</v>
      </c>
      <c r="AS41" s="38">
        <v>0</v>
      </c>
      <c r="AT41" s="38">
        <v>0</v>
      </c>
      <c r="AU41" s="853">
        <f t="shared" si="136"/>
        <v>0</v>
      </c>
      <c r="AV41" s="883"/>
      <c r="AW41" s="38">
        <f t="shared" si="137"/>
        <v>0</v>
      </c>
      <c r="AX41" s="38">
        <f t="shared" si="138"/>
        <v>0</v>
      </c>
      <c r="AY41" s="38">
        <v>0</v>
      </c>
      <c r="AZ41" s="38">
        <v>0</v>
      </c>
      <c r="BA41" s="40">
        <f t="shared" si="128"/>
        <v>0</v>
      </c>
      <c r="BB41" s="38">
        <v>0</v>
      </c>
      <c r="BC41" s="38">
        <v>0</v>
      </c>
      <c r="BD41" s="38">
        <v>0</v>
      </c>
      <c r="BE41" s="38">
        <v>0</v>
      </c>
      <c r="BF41" s="853">
        <f t="shared" si="129"/>
        <v>0</v>
      </c>
      <c r="BG41" s="38">
        <v>0</v>
      </c>
      <c r="BH41" s="38">
        <v>0</v>
      </c>
      <c r="BI41" s="38">
        <v>0</v>
      </c>
      <c r="BJ41" s="38">
        <v>0</v>
      </c>
      <c r="BK41" s="853">
        <f t="shared" si="130"/>
        <v>0</v>
      </c>
      <c r="BL41" s="38">
        <v>0</v>
      </c>
      <c r="BM41" s="38">
        <v>0</v>
      </c>
      <c r="BN41" s="38">
        <v>0</v>
      </c>
      <c r="BO41" s="38">
        <v>0</v>
      </c>
      <c r="BP41" s="853">
        <f t="shared" ref="BP41:BU41" si="146">BO41</f>
        <v>0</v>
      </c>
      <c r="BQ41" s="38">
        <v>0</v>
      </c>
      <c r="BR41" s="38">
        <v>0</v>
      </c>
      <c r="BS41" s="38">
        <v>0</v>
      </c>
      <c r="BT41" s="38">
        <v>0</v>
      </c>
      <c r="BU41" s="853">
        <f t="shared" si="146"/>
        <v>0</v>
      </c>
      <c r="BV41" s="38">
        <v>0</v>
      </c>
      <c r="BW41" s="1348">
        <f t="shared" ref="BW41:DA41" si="147">BV41</f>
        <v>0</v>
      </c>
      <c r="BX41" s="38">
        <f t="shared" si="147"/>
        <v>0</v>
      </c>
      <c r="BY41" s="38">
        <f t="shared" si="147"/>
        <v>0</v>
      </c>
      <c r="BZ41" s="853">
        <f t="shared" si="147"/>
        <v>0</v>
      </c>
      <c r="CA41" s="38">
        <v>0</v>
      </c>
      <c r="CB41" s="38">
        <v>0</v>
      </c>
      <c r="CC41" s="38">
        <f t="shared" si="147"/>
        <v>0</v>
      </c>
      <c r="CD41" s="38">
        <f t="shared" si="147"/>
        <v>0</v>
      </c>
      <c r="CE41" s="853">
        <f t="shared" si="147"/>
        <v>0</v>
      </c>
      <c r="CF41" s="38">
        <f t="shared" si="147"/>
        <v>0</v>
      </c>
      <c r="CG41" s="38">
        <f t="shared" si="147"/>
        <v>0</v>
      </c>
      <c r="CH41" s="38">
        <f t="shared" si="147"/>
        <v>0</v>
      </c>
      <c r="CI41" s="38">
        <f t="shared" si="147"/>
        <v>0</v>
      </c>
      <c r="CJ41" s="853">
        <f t="shared" si="147"/>
        <v>0</v>
      </c>
      <c r="CK41" s="38">
        <v>0</v>
      </c>
      <c r="CL41" s="1070">
        <f t="shared" si="147"/>
        <v>0</v>
      </c>
      <c r="CM41" s="1070">
        <f t="shared" si="147"/>
        <v>0</v>
      </c>
      <c r="CN41" s="1070">
        <f t="shared" si="147"/>
        <v>0</v>
      </c>
      <c r="CO41" s="1091">
        <f t="shared" si="147"/>
        <v>0</v>
      </c>
      <c r="CP41" s="1070">
        <f t="shared" si="147"/>
        <v>0</v>
      </c>
      <c r="CQ41" s="1070">
        <f t="shared" si="147"/>
        <v>0</v>
      </c>
      <c r="CR41" s="1070">
        <f t="shared" si="147"/>
        <v>0</v>
      </c>
      <c r="CS41" s="1070">
        <f t="shared" si="147"/>
        <v>0</v>
      </c>
      <c r="CT41" s="1091">
        <f t="shared" si="147"/>
        <v>0</v>
      </c>
      <c r="CU41" s="1070">
        <f t="shared" si="147"/>
        <v>0</v>
      </c>
      <c r="CV41" s="1070">
        <f t="shared" si="147"/>
        <v>0</v>
      </c>
      <c r="CW41" s="1070">
        <f t="shared" si="147"/>
        <v>0</v>
      </c>
      <c r="CX41" s="1070">
        <f t="shared" si="147"/>
        <v>0</v>
      </c>
      <c r="CY41" s="1091">
        <f t="shared" si="147"/>
        <v>0</v>
      </c>
      <c r="CZ41" s="1070">
        <f t="shared" si="147"/>
        <v>0</v>
      </c>
      <c r="DA41" s="1070">
        <f t="shared" si="147"/>
        <v>0</v>
      </c>
      <c r="DB41" s="1070">
        <f t="shared" ref="DB41:DS41" si="148">DA41</f>
        <v>0</v>
      </c>
      <c r="DC41" s="1070">
        <f t="shared" si="148"/>
        <v>0</v>
      </c>
      <c r="DD41" s="1091">
        <f t="shared" si="148"/>
        <v>0</v>
      </c>
      <c r="DE41" s="1070">
        <f t="shared" si="148"/>
        <v>0</v>
      </c>
      <c r="DF41" s="1070">
        <f t="shared" si="148"/>
        <v>0</v>
      </c>
      <c r="DG41" s="1070">
        <f t="shared" si="148"/>
        <v>0</v>
      </c>
      <c r="DH41" s="1070">
        <f t="shared" si="148"/>
        <v>0</v>
      </c>
      <c r="DI41" s="1091">
        <f t="shared" si="148"/>
        <v>0</v>
      </c>
      <c r="DJ41" s="1070">
        <f t="shared" si="148"/>
        <v>0</v>
      </c>
      <c r="DK41" s="1070">
        <f t="shared" si="148"/>
        <v>0</v>
      </c>
      <c r="DL41" s="1070">
        <f t="shared" si="148"/>
        <v>0</v>
      </c>
      <c r="DM41" s="1070">
        <f t="shared" si="148"/>
        <v>0</v>
      </c>
      <c r="DN41" s="1091">
        <f t="shared" si="148"/>
        <v>0</v>
      </c>
      <c r="DO41" s="1070">
        <f t="shared" si="148"/>
        <v>0</v>
      </c>
      <c r="DP41" s="1070">
        <f t="shared" si="148"/>
        <v>0</v>
      </c>
      <c r="DQ41" s="1070">
        <f t="shared" si="148"/>
        <v>0</v>
      </c>
      <c r="DR41" s="1070">
        <f t="shared" si="148"/>
        <v>0</v>
      </c>
      <c r="DS41" s="1091">
        <f t="shared" si="148"/>
        <v>0</v>
      </c>
      <c r="DT41" s="1070">
        <f t="shared" si="142"/>
        <v>0</v>
      </c>
      <c r="DU41" s="1070">
        <f t="shared" si="143"/>
        <v>0</v>
      </c>
      <c r="DV41" s="1070">
        <f t="shared" si="144"/>
        <v>0</v>
      </c>
      <c r="DW41" s="1070">
        <f t="shared" si="145"/>
        <v>0</v>
      </c>
      <c r="DX41" s="1091">
        <f t="shared" si="134"/>
        <v>0</v>
      </c>
      <c r="DY41" s="16"/>
      <c r="DZ41" s="16"/>
      <c r="EA41" s="78"/>
      <c r="EB41" s="16"/>
      <c r="EC41" s="16"/>
      <c r="ED41" s="471"/>
      <c r="EE41" s="16"/>
      <c r="EF41" s="16"/>
    </row>
    <row r="42" spans="1:136" x14ac:dyDescent="0.2">
      <c r="A42" s="497" t="s">
        <v>280</v>
      </c>
      <c r="B42" s="174"/>
      <c r="C42" s="178"/>
      <c r="D42" s="20"/>
      <c r="E42" s="20"/>
      <c r="F42" s="20"/>
      <c r="G42" s="174"/>
      <c r="H42" s="20"/>
      <c r="I42" s="20"/>
      <c r="J42" s="20"/>
      <c r="K42" s="20"/>
      <c r="L42" s="174"/>
      <c r="M42" s="21"/>
      <c r="N42" s="20"/>
      <c r="O42" s="20"/>
      <c r="P42" s="20"/>
      <c r="Q42" s="45"/>
      <c r="R42" s="21"/>
      <c r="S42" s="180"/>
      <c r="T42" s="20"/>
      <c r="U42" s="20">
        <f t="shared" si="59"/>
        <v>406</v>
      </c>
      <c r="V42" s="45">
        <v>406</v>
      </c>
      <c r="W42" s="20" t="s">
        <v>540</v>
      </c>
      <c r="X42" s="20" t="s">
        <v>540</v>
      </c>
      <c r="Y42" s="20" t="s">
        <v>540</v>
      </c>
      <c r="Z42" s="38">
        <v>545</v>
      </c>
      <c r="AA42" s="40">
        <f t="shared" si="60"/>
        <v>545</v>
      </c>
      <c r="AB42" s="38">
        <v>545</v>
      </c>
      <c r="AC42" s="38">
        <v>554</v>
      </c>
      <c r="AD42" s="38">
        <v>567</v>
      </c>
      <c r="AE42" s="38">
        <f t="shared" si="127"/>
        <v>574</v>
      </c>
      <c r="AF42" s="40">
        <v>574</v>
      </c>
      <c r="AG42" s="38">
        <v>577</v>
      </c>
      <c r="AH42" s="38">
        <v>585</v>
      </c>
      <c r="AI42" s="38">
        <v>596</v>
      </c>
      <c r="AJ42" s="38">
        <v>601</v>
      </c>
      <c r="AK42" s="40">
        <v>601</v>
      </c>
      <c r="AL42" s="38">
        <v>609</v>
      </c>
      <c r="AM42" s="38">
        <v>614</v>
      </c>
      <c r="AN42" s="38">
        <v>618</v>
      </c>
      <c r="AO42" s="38">
        <v>623.4</v>
      </c>
      <c r="AP42" s="853">
        <f t="shared" si="135"/>
        <v>623.4</v>
      </c>
      <c r="AQ42" s="38">
        <v>628.70000000000005</v>
      </c>
      <c r="AR42" s="38">
        <v>632.9</v>
      </c>
      <c r="AS42" s="38">
        <v>640.9</v>
      </c>
      <c r="AT42" s="38">
        <v>647.20000000000005</v>
      </c>
      <c r="AU42" s="853">
        <f t="shared" si="136"/>
        <v>647.20000000000005</v>
      </c>
      <c r="AV42" s="240"/>
      <c r="AW42" s="38">
        <f t="shared" si="137"/>
        <v>640.9</v>
      </c>
      <c r="AX42" s="38">
        <f t="shared" si="138"/>
        <v>647.20000000000005</v>
      </c>
      <c r="AY42" s="38">
        <v>654.79999999999995</v>
      </c>
      <c r="AZ42" s="38">
        <v>1563.5</v>
      </c>
      <c r="BA42" s="40">
        <f t="shared" si="128"/>
        <v>1563.5</v>
      </c>
      <c r="BB42" s="38">
        <v>1563.5</v>
      </c>
      <c r="BC42" s="38">
        <v>1563.5</v>
      </c>
      <c r="BD42" s="38">
        <v>1563.5</v>
      </c>
      <c r="BE42" s="38">
        <v>1186.5999999999999</v>
      </c>
      <c r="BF42" s="853">
        <f t="shared" si="129"/>
        <v>1186.5999999999999</v>
      </c>
      <c r="BG42" s="38">
        <v>1564.4</v>
      </c>
      <c r="BH42" s="38">
        <v>1199.5999999999999</v>
      </c>
      <c r="BI42" s="38">
        <v>1201.3</v>
      </c>
      <c r="BJ42" s="38">
        <v>1205.7</v>
      </c>
      <c r="BK42" s="853">
        <f t="shared" si="130"/>
        <v>1205.7</v>
      </c>
      <c r="BL42" s="38">
        <v>1212.4000000000001</v>
      </c>
      <c r="BM42" s="38">
        <v>1219.8</v>
      </c>
      <c r="BN42" s="38">
        <v>1223</v>
      </c>
      <c r="BO42" s="38">
        <v>1239.9000000000001</v>
      </c>
      <c r="BP42" s="853">
        <f>BO42</f>
        <v>1239.9000000000001</v>
      </c>
      <c r="BQ42" s="38">
        <v>1246</v>
      </c>
      <c r="BR42" s="38">
        <v>1249</v>
      </c>
      <c r="BS42" s="38">
        <v>1252.8</v>
      </c>
      <c r="BT42" s="38">
        <v>0</v>
      </c>
      <c r="BU42" s="853">
        <f>BT42</f>
        <v>0</v>
      </c>
      <c r="BV42" s="38">
        <v>0</v>
      </c>
      <c r="BW42" s="1348">
        <v>0</v>
      </c>
      <c r="BX42" s="38">
        <v>0</v>
      </c>
      <c r="BY42" s="38">
        <v>0</v>
      </c>
      <c r="BZ42" s="853">
        <f>BY42</f>
        <v>0</v>
      </c>
      <c r="CA42" s="38">
        <v>0</v>
      </c>
      <c r="CB42" s="38">
        <v>0</v>
      </c>
      <c r="CC42" s="38">
        <v>0</v>
      </c>
      <c r="CD42" s="38">
        <v>0</v>
      </c>
      <c r="CE42" s="853">
        <f>CD42</f>
        <v>0</v>
      </c>
      <c r="CF42" s="38">
        <v>0</v>
      </c>
      <c r="CG42" s="38">
        <v>0</v>
      </c>
      <c r="CH42" s="38">
        <v>0</v>
      </c>
      <c r="CI42" s="38">
        <v>0</v>
      </c>
      <c r="CJ42" s="853">
        <f>CI42</f>
        <v>0</v>
      </c>
      <c r="CK42" s="38">
        <v>0</v>
      </c>
      <c r="CL42" s="1070">
        <f>CK42+'CF '!CL23+'CF '!CL62+'CF '!CL63+'CF '!CL64+'CF '!CL67</f>
        <v>14.090000000000002</v>
      </c>
      <c r="CM42" s="1070">
        <f>CL42+'CF '!CM23+'CF '!CM62+'CF '!CM63+'CF '!CM64+'CF '!CM67</f>
        <v>28.840000000000003</v>
      </c>
      <c r="CN42" s="1070">
        <f>CM42+'CF '!CN23+'CF '!CN62+'CF '!CN63+'CF '!CN64+'CF '!CN67</f>
        <v>43.040000000000006</v>
      </c>
      <c r="CO42" s="1091">
        <f>CN42</f>
        <v>43.040000000000006</v>
      </c>
      <c r="CP42" s="1070">
        <f>CO42+'CF '!CP23+'CF '!CP62+'CF '!CP63+'CF '!CP64+'CF '!CP67</f>
        <v>58.34</v>
      </c>
      <c r="CQ42" s="1070">
        <f>CP42+'CF '!CQ23+'CF '!CQ62+'CF '!CQ63+'CF '!CQ64+'CF '!CQ67</f>
        <v>72.430000000000007</v>
      </c>
      <c r="CR42" s="1070">
        <f>CQ42+'CF '!CR23+'CF '!CR62+'CF '!CR63+'CF '!CR64+'CF '!CR67</f>
        <v>87.18</v>
      </c>
      <c r="CS42" s="1070">
        <f>CR42+'CF '!CS23+'CF '!CS62+'CF '!CS63+'CF '!CS64+'CF '!CS67</f>
        <v>101.38000000000001</v>
      </c>
      <c r="CT42" s="1091">
        <f>CS42</f>
        <v>101.38000000000001</v>
      </c>
      <c r="CU42" s="1070">
        <f>CT42+'CF '!CU23+'CF '!CU62+'CF '!CU63+'CF '!CU64+'CF '!CU67</f>
        <v>116.68</v>
      </c>
      <c r="CV42" s="1070">
        <f>CU42+'CF '!CV23+'CF '!CV62+'CF '!CV63+'CF '!CV64+'CF '!CV67</f>
        <v>130.77000000000001</v>
      </c>
      <c r="CW42" s="1070">
        <f>CV42+'CF '!CW23+'CF '!CW62+'CF '!CW63+'CF '!CW64+'CF '!CW67</f>
        <v>145.52000000000001</v>
      </c>
      <c r="CX42" s="1070">
        <f>CW42+'CF '!CX23+'CF '!CX62+'CF '!CX63+'CF '!CX64+'CF '!CX67</f>
        <v>159.72</v>
      </c>
      <c r="CY42" s="1091">
        <f>CX42</f>
        <v>159.72</v>
      </c>
      <c r="CZ42" s="1070">
        <f>CY42+'CF '!CZ23+'CF '!CZ62+'CF '!CZ63+'CF '!CZ64+'CF '!CZ67</f>
        <v>175.02</v>
      </c>
      <c r="DA42" s="1070">
        <f>CZ42+'CF '!DA23+'CF '!DA62+'CF '!DA63+'CF '!DA64+'CF '!DA67</f>
        <v>189.11</v>
      </c>
      <c r="DB42" s="1070">
        <f>DA42+'CF '!DB23+'CF '!DB62+'CF '!DB63+'CF '!DB64+'CF '!DB67</f>
        <v>203.86</v>
      </c>
      <c r="DC42" s="1070">
        <f>DB42+'CF '!DC23+'CF '!DC62+'CF '!DC63+'CF '!DC64+'CF '!DC67</f>
        <v>218.06</v>
      </c>
      <c r="DD42" s="1091">
        <f>DC42</f>
        <v>218.06</v>
      </c>
      <c r="DE42" s="1070">
        <f>DD42+'CF '!DE23+'CF '!DE62+'CF '!DE63+'CF '!DE64+'CF '!DE67</f>
        <v>233.36</v>
      </c>
      <c r="DF42" s="1070">
        <f>DE42+'CF '!DF23+'CF '!DF62+'CF '!DF63+'CF '!DF64+'CF '!DF67</f>
        <v>247.45000000000002</v>
      </c>
      <c r="DG42" s="1070">
        <f>DF42+'CF '!DG23+'CF '!DG62+'CF '!DG63+'CF '!DG64+'CF '!DG67</f>
        <v>262.20000000000005</v>
      </c>
      <c r="DH42" s="1070">
        <f>DG42+'CF '!DH23+'CF '!DH62+'CF '!DH63+'CF '!DH64+'CF '!DH67</f>
        <v>276.40000000000003</v>
      </c>
      <c r="DI42" s="1091">
        <f>DH42</f>
        <v>276.40000000000003</v>
      </c>
      <c r="DJ42" s="1070">
        <f>DI42+'CF '!DJ23+'CF '!DJ62+'CF '!DJ63+'CF '!DJ64+'CF '!DJ67</f>
        <v>291.70000000000005</v>
      </c>
      <c r="DK42" s="1070">
        <f>DJ42+'CF '!DK23+'CF '!DK62+'CF '!DK63+'CF '!DK64+'CF '!DK67</f>
        <v>305.79000000000002</v>
      </c>
      <c r="DL42" s="1070">
        <f>DK42+'CF '!DL23+'CF '!DL62+'CF '!DL63+'CF '!DL64+'CF '!DL67</f>
        <v>320.54000000000002</v>
      </c>
      <c r="DM42" s="1070">
        <f>DL42+'CF '!DM23+'CF '!DM62+'CF '!DM63+'CF '!DM64+'CF '!DM67</f>
        <v>334.74</v>
      </c>
      <c r="DN42" s="1091">
        <f>DM42</f>
        <v>334.74</v>
      </c>
      <c r="DO42" s="1070">
        <f>DN42+'CF '!DO23+'CF '!DO62+'CF '!DO63+'CF '!DO64+'CF '!DO67</f>
        <v>350.25816915299083</v>
      </c>
      <c r="DP42" s="1070">
        <f>DO42+'CF '!DP23+'CF '!DP62+'CF '!DP63+'CF '!DP64+'CF '!DP67</f>
        <v>364.32313679209034</v>
      </c>
      <c r="DQ42" s="1070">
        <f>DP42+'CF '!DQ23+'CF '!DQ62+'CF '!DQ63+'CF '!DQ64+'CF '!DQ67</f>
        <v>378.99306536976212</v>
      </c>
      <c r="DR42" s="1070">
        <f>DQ42+'CF '!DR23+'CF '!DR62+'CF '!DR63+'CF '!DR64+'CF '!DR67</f>
        <v>393.07472046825683</v>
      </c>
      <c r="DS42" s="1091">
        <f>DR42</f>
        <v>393.07472046825683</v>
      </c>
      <c r="DT42" s="1070">
        <f>DS42+'CF '!DT23+'CF '!DT62+'CF '!DT63+'CF '!DT64+'CF '!DT67</f>
        <v>408.39519116541464</v>
      </c>
      <c r="DU42" s="1070">
        <f>DT42+'CF '!DU23+'CF '!DU62+'CF '!DU63+'CF '!DU64+'CF '!DU67</f>
        <v>422.34880419057646</v>
      </c>
      <c r="DV42" s="1070">
        <f>DU42+'CF '!DV23+'CF '!DV62+'CF '!DV63+'CF '!DV64+'CF '!DV67</f>
        <v>436.8396085741017</v>
      </c>
      <c r="DW42" s="1070">
        <f>DV42+'CF '!DW23+'CF '!DW62+'CF '!DW63+'CF '!DW64+'CF '!DW67</f>
        <v>450.70201637202177</v>
      </c>
      <c r="DX42" s="1091">
        <f>DW42</f>
        <v>450.70201637202177</v>
      </c>
      <c r="DY42" s="16"/>
      <c r="DZ42" s="16"/>
      <c r="EA42" s="78"/>
      <c r="EB42" s="16"/>
      <c r="EC42" s="16"/>
      <c r="ED42" s="471"/>
      <c r="EE42" s="16"/>
      <c r="EF42" s="16"/>
    </row>
    <row r="43" spans="1:136" x14ac:dyDescent="0.2">
      <c r="A43" s="497" t="s">
        <v>56</v>
      </c>
      <c r="B43" s="174"/>
      <c r="C43" s="20"/>
      <c r="D43" s="20"/>
      <c r="E43" s="20"/>
      <c r="F43" s="20"/>
      <c r="G43" s="174"/>
      <c r="H43" s="20"/>
      <c r="I43" s="20"/>
      <c r="J43" s="20"/>
      <c r="K43" s="20"/>
      <c r="L43" s="174"/>
      <c r="M43" s="20"/>
      <c r="N43" s="20"/>
      <c r="O43" s="20"/>
      <c r="P43" s="20"/>
      <c r="Q43" s="174"/>
      <c r="R43" s="20"/>
      <c r="S43" s="180"/>
      <c r="T43" s="20"/>
      <c r="U43" s="20">
        <f t="shared" si="59"/>
        <v>76</v>
      </c>
      <c r="V43" s="174">
        <v>76</v>
      </c>
      <c r="W43" s="20" t="s">
        <v>540</v>
      </c>
      <c r="X43" s="20" t="s">
        <v>540</v>
      </c>
      <c r="Y43" s="20" t="s">
        <v>540</v>
      </c>
      <c r="Z43" s="38">
        <v>3</v>
      </c>
      <c r="AA43" s="40">
        <f t="shared" si="60"/>
        <v>3</v>
      </c>
      <c r="AB43" s="38">
        <v>43</v>
      </c>
      <c r="AC43" s="38">
        <v>81</v>
      </c>
      <c r="AD43" s="38">
        <v>107</v>
      </c>
      <c r="AE43" s="38">
        <f t="shared" si="127"/>
        <v>134</v>
      </c>
      <c r="AF43" s="40">
        <v>134</v>
      </c>
      <c r="AG43" s="38">
        <v>175</v>
      </c>
      <c r="AH43" s="38">
        <v>215</v>
      </c>
      <c r="AI43" s="38">
        <v>248</v>
      </c>
      <c r="AJ43" s="38">
        <v>290</v>
      </c>
      <c r="AK43" s="40">
        <v>290</v>
      </c>
      <c r="AL43" s="38">
        <v>332</v>
      </c>
      <c r="AM43" s="38">
        <v>367</v>
      </c>
      <c r="AN43" s="38">
        <v>406</v>
      </c>
      <c r="AO43" s="38">
        <v>455.4</v>
      </c>
      <c r="AP43" s="853">
        <f t="shared" si="135"/>
        <v>455.4</v>
      </c>
      <c r="AQ43" s="38">
        <v>493.5</v>
      </c>
      <c r="AR43" s="38">
        <v>535.1</v>
      </c>
      <c r="AS43" s="38">
        <v>567.6</v>
      </c>
      <c r="AT43" s="38">
        <v>608</v>
      </c>
      <c r="AU43" s="853">
        <f t="shared" si="136"/>
        <v>608</v>
      </c>
      <c r="AV43" s="123"/>
      <c r="AW43" s="38">
        <f t="shared" si="137"/>
        <v>567.6</v>
      </c>
      <c r="AX43" s="38">
        <f t="shared" si="138"/>
        <v>608</v>
      </c>
      <c r="AY43" s="38">
        <v>663.2</v>
      </c>
      <c r="AZ43" s="38">
        <v>-101.6</v>
      </c>
      <c r="BA43" s="40">
        <f t="shared" si="128"/>
        <v>-101.6</v>
      </c>
      <c r="BB43" s="38">
        <v>-112.4</v>
      </c>
      <c r="BC43" s="38">
        <v>-62.2</v>
      </c>
      <c r="BD43" s="38">
        <v>-21.7</v>
      </c>
      <c r="BE43" s="38">
        <v>-27.6</v>
      </c>
      <c r="BF43" s="853">
        <f t="shared" si="129"/>
        <v>-27.6</v>
      </c>
      <c r="BG43" s="38">
        <v>12.6</v>
      </c>
      <c r="BH43" s="38">
        <v>34.9</v>
      </c>
      <c r="BI43" s="38">
        <v>41.5</v>
      </c>
      <c r="BJ43" s="38">
        <v>76.099999999999994</v>
      </c>
      <c r="BK43" s="853">
        <f t="shared" si="130"/>
        <v>76.099999999999994</v>
      </c>
      <c r="BL43" s="38">
        <v>94.4</v>
      </c>
      <c r="BM43" s="38">
        <v>136.19999999999999</v>
      </c>
      <c r="BN43" s="38">
        <v>183.3</v>
      </c>
      <c r="BO43" s="38">
        <v>225.5</v>
      </c>
      <c r="BP43" s="853">
        <f>BO43</f>
        <v>225.5</v>
      </c>
      <c r="BQ43" s="38">
        <v>261.3</v>
      </c>
      <c r="BR43" s="38">
        <v>311.7</v>
      </c>
      <c r="BS43" s="38">
        <v>260.10000000000002</v>
      </c>
      <c r="BT43" s="38">
        <v>227.6</v>
      </c>
      <c r="BU43" s="853">
        <f>BT43</f>
        <v>227.6</v>
      </c>
      <c r="BV43" s="38">
        <v>201.3</v>
      </c>
      <c r="BW43" s="1348">
        <v>190.4</v>
      </c>
      <c r="BX43" s="38">
        <v>220.5</v>
      </c>
      <c r="BY43" s="38">
        <v>245.8</v>
      </c>
      <c r="BZ43" s="853">
        <f>BY43</f>
        <v>245.8</v>
      </c>
      <c r="CA43" s="38">
        <v>263.3</v>
      </c>
      <c r="CB43" s="38">
        <v>318.8</v>
      </c>
      <c r="CC43" s="38">
        <v>367.4</v>
      </c>
      <c r="CD43" s="38">
        <v>445.7</v>
      </c>
      <c r="CE43" s="853">
        <f>CD43</f>
        <v>445.7</v>
      </c>
      <c r="CF43" s="38">
        <v>453.3</v>
      </c>
      <c r="CG43" s="38">
        <v>497.6</v>
      </c>
      <c r="CH43" s="38">
        <v>541.1</v>
      </c>
      <c r="CI43" s="38">
        <v>650.6</v>
      </c>
      <c r="CJ43" s="853">
        <f>CI43</f>
        <v>650.6</v>
      </c>
      <c r="CK43" s="38">
        <v>553.9</v>
      </c>
      <c r="CL43" s="41">
        <f>CK43+IS!CQ51+'CF '!CL66+'CF '!CL14+'CF '!CL65-6.9</f>
        <v>585.14074749492909</v>
      </c>
      <c r="CM43" s="41">
        <f>CL43+IS!CR51+'CF '!CM66+'CF '!CM14+'CF '!CM65</f>
        <v>665.19681260058769</v>
      </c>
      <c r="CN43" s="41">
        <f>CM43+IS!CS51+'CF '!CN66+'CF '!CN14+'CF '!CN65</f>
        <v>766.86403668844514</v>
      </c>
      <c r="CO43" s="1091">
        <f>CN43</f>
        <v>766.86403668844514</v>
      </c>
      <c r="CP43" s="41">
        <f>CO43+IS!CU51+'CF '!CP66+'CF '!CP14+'CF '!CP65</f>
        <v>802.43588995507525</v>
      </c>
      <c r="CQ43" s="41">
        <f>CP43+IS!CV51+'CF '!CQ66+'CF '!CQ14+'CF '!CQ65</f>
        <v>866.15108060060459</v>
      </c>
      <c r="CR43" s="41">
        <f>CQ43+IS!CW51+'CF '!CR66+'CF '!CR14+'CF '!CR65</f>
        <v>974.96893783091855</v>
      </c>
      <c r="CS43" s="41">
        <f>CR43+IS!CX51+'CF '!CS66+'CF '!CS14+'CF '!CS65</f>
        <v>1108.7053100865905</v>
      </c>
      <c r="CT43" s="1091">
        <f>CS43</f>
        <v>1108.7053100865905</v>
      </c>
      <c r="CU43" s="41">
        <f>CT43+IS!CZ51+'CF '!CU66+'CF '!CU14+'CF '!CU65</f>
        <v>1145.6219910707619</v>
      </c>
      <c r="CV43" s="41">
        <f>CU43+IS!DA51+'CF '!CV66+'CF '!CV14+'CF '!CV65</f>
        <v>1237.0245228921699</v>
      </c>
      <c r="CW43" s="41">
        <f>CV43+IS!DB51+'CF '!CW66+'CF '!CW14+'CF '!CW65</f>
        <v>1377.888996006521</v>
      </c>
      <c r="CX43" s="41">
        <f>CW43+IS!DC51+'CF '!CX66+'CF '!CX14+'CF '!CX65</f>
        <v>1546.5464001708108</v>
      </c>
      <c r="CY43" s="1091">
        <f>CX43</f>
        <v>1546.5464001708108</v>
      </c>
      <c r="CZ43" s="41">
        <f>CY43+IS!DE51+'CF '!CZ66+'CF '!CZ14+'CF '!CZ65</f>
        <v>1606.579191949334</v>
      </c>
      <c r="DA43" s="41">
        <f>CZ43+IS!DF51+'CF '!DA66+'CF '!DA14+'CF '!DA65</f>
        <v>1719.5988122102881</v>
      </c>
      <c r="DB43" s="41">
        <f>DA43+IS!DG51+'CF '!DB66+'CF '!DB14+'CF '!DB65</f>
        <v>1888.7154946160022</v>
      </c>
      <c r="DC43" s="41">
        <f>DB43+IS!DH51+'CF '!DC66+'CF '!DC14+'CF '!DC65</f>
        <v>2059.3095712649838</v>
      </c>
      <c r="DD43" s="1091">
        <f>DC43</f>
        <v>2059.3095712649838</v>
      </c>
      <c r="DE43" s="41">
        <f>DD43+IS!DJ51+'CF '!DE66+'CF '!DE14+'CF '!DE65</f>
        <v>2147.5831067076592</v>
      </c>
      <c r="DF43" s="41">
        <f>DE43+IS!DK51+'CF '!DF66+'CF '!DF14+'CF '!DF65</f>
        <v>2287.6325739748518</v>
      </c>
      <c r="DG43" s="41">
        <f>DF43+IS!DL51+'CF '!DG66+'CF '!DG14+'CF '!DG65</f>
        <v>2491.6211829638678</v>
      </c>
      <c r="DH43" s="41">
        <f>DG43+IS!DM51+'CF '!DH66+'CF '!DH14+'CF '!DH65</f>
        <v>2728.1529072623421</v>
      </c>
      <c r="DI43" s="1091">
        <f>DH43</f>
        <v>2728.1529072623421</v>
      </c>
      <c r="DJ43" s="41">
        <f>DI43+IS!DO51+'CF '!DJ66+'CF '!DJ14+'CF '!DJ65</f>
        <v>2822.4960509584571</v>
      </c>
      <c r="DK43" s="41">
        <f>DJ43+IS!DP51+'CF '!DK66+'CF '!DK14+'CF '!DK65</f>
        <v>2992.7043034698108</v>
      </c>
      <c r="DL43" s="41">
        <f>DK43+IS!DQ51+'CF '!DL66+'CF '!DL14+'CF '!DL65</f>
        <v>3232.1388777888224</v>
      </c>
      <c r="DM43" s="41">
        <f>DL43+IS!DR51+'CF '!DM66+'CF '!DM14+'CF '!DM65</f>
        <v>3506.9333238371792</v>
      </c>
      <c r="DN43" s="1091">
        <f>DM43</f>
        <v>3506.9333238371792</v>
      </c>
      <c r="DO43" s="41">
        <f>DN43+IS!DT51+'CF '!DO66+'CF '!DO14+'CF '!DO65</f>
        <v>3581.6656983013795</v>
      </c>
      <c r="DP43" s="41">
        <f>DO43+IS!DU51+'CF '!DP66+'CF '!DP14+'CF '!DP65</f>
        <v>3732.3110323721398</v>
      </c>
      <c r="DQ43" s="41">
        <f>DP43+IS!DV51+'CF '!DQ66+'CF '!DQ14+'CF '!DQ65</f>
        <v>3966.506152499815</v>
      </c>
      <c r="DR43" s="41">
        <f>DQ43+IS!DW51+'CF '!DR66+'CF '!DR14+'CF '!DR65</f>
        <v>4243.0762379651787</v>
      </c>
      <c r="DS43" s="1091">
        <f>DR43</f>
        <v>4243.0762379651787</v>
      </c>
      <c r="DT43" s="41">
        <f>DS43+IS!DY51+'CF '!DT66+'CF '!DT14+'CF '!DT65</f>
        <v>4359.7333880509577</v>
      </c>
      <c r="DU43" s="41">
        <f>DT43+IS!DZ51+'CF '!DU66+'CF '!DU14+'CF '!DU65</f>
        <v>4552.9602830965068</v>
      </c>
      <c r="DV43" s="41">
        <f>DU43+IS!EA51+'CF '!DV66+'CF '!DV14+'CF '!DV65</f>
        <v>4822.8108238347731</v>
      </c>
      <c r="DW43" s="41">
        <f>DV43+IS!EB51+'CF '!DW66+'CF '!DW14+'CF '!DW65</f>
        <v>5138.6618309985461</v>
      </c>
      <c r="DX43" s="1091">
        <f>DW43</f>
        <v>5138.6618309985461</v>
      </c>
      <c r="DY43" s="16"/>
      <c r="DZ43" s="16"/>
      <c r="EA43" s="78"/>
      <c r="EB43" s="16"/>
      <c r="EC43" s="16"/>
      <c r="ED43" s="471"/>
      <c r="EE43" s="16"/>
      <c r="EF43" s="16"/>
    </row>
    <row r="44" spans="1:136" x14ac:dyDescent="0.2">
      <c r="A44" s="497" t="s">
        <v>55</v>
      </c>
      <c r="B44" s="174"/>
      <c r="C44" s="20"/>
      <c r="D44" s="20"/>
      <c r="E44" s="20"/>
      <c r="F44" s="20"/>
      <c r="G44" s="174"/>
      <c r="H44" s="20"/>
      <c r="I44" s="20"/>
      <c r="J44" s="20"/>
      <c r="K44" s="20"/>
      <c r="L44" s="174"/>
      <c r="M44" s="20"/>
      <c r="N44" s="20"/>
      <c r="O44" s="20"/>
      <c r="P44" s="20"/>
      <c r="Q44" s="174"/>
      <c r="R44" s="20"/>
      <c r="S44" s="180"/>
      <c r="T44" s="20"/>
      <c r="U44" s="20">
        <f t="shared" si="59"/>
        <v>-6</v>
      </c>
      <c r="V44" s="98">
        <v>-6</v>
      </c>
      <c r="W44" s="20" t="s">
        <v>540</v>
      </c>
      <c r="X44" s="20" t="s">
        <v>540</v>
      </c>
      <c r="Y44" s="20" t="s">
        <v>540</v>
      </c>
      <c r="Z44" s="38">
        <v>15</v>
      </c>
      <c r="AA44" s="40">
        <f t="shared" si="60"/>
        <v>15</v>
      </c>
      <c r="AB44" s="38">
        <v>8</v>
      </c>
      <c r="AC44" s="38">
        <v>0</v>
      </c>
      <c r="AD44" s="38">
        <v>-4</v>
      </c>
      <c r="AE44" s="38">
        <f t="shared" si="127"/>
        <v>8</v>
      </c>
      <c r="AF44" s="40">
        <v>8</v>
      </c>
      <c r="AG44" s="38">
        <v>1</v>
      </c>
      <c r="AH44" s="38">
        <v>-5</v>
      </c>
      <c r="AI44" s="38">
        <v>-17</v>
      </c>
      <c r="AJ44" s="38">
        <v>-8</v>
      </c>
      <c r="AK44" s="40">
        <v>-8</v>
      </c>
      <c r="AL44" s="38">
        <v>-9</v>
      </c>
      <c r="AM44" s="38">
        <v>-35</v>
      </c>
      <c r="AN44" s="38">
        <v>-37</v>
      </c>
      <c r="AO44" s="38">
        <v>-45.9</v>
      </c>
      <c r="AP44" s="853">
        <f t="shared" si="135"/>
        <v>-45.9</v>
      </c>
      <c r="AQ44" s="38">
        <v>-43.2</v>
      </c>
      <c r="AR44" s="38">
        <v>-40.799999999999997</v>
      </c>
      <c r="AS44" s="38">
        <v>-37.5</v>
      </c>
      <c r="AT44" s="38">
        <v>-66.900000000000006</v>
      </c>
      <c r="AU44" s="853">
        <f t="shared" si="136"/>
        <v>-66.900000000000006</v>
      </c>
      <c r="AV44" s="123"/>
      <c r="AW44" s="38">
        <f t="shared" si="137"/>
        <v>-37.5</v>
      </c>
      <c r="AX44" s="38">
        <f t="shared" si="138"/>
        <v>-66.900000000000006</v>
      </c>
      <c r="AY44" s="38">
        <v>-57.9</v>
      </c>
      <c r="AZ44" s="38">
        <v>-17.8</v>
      </c>
      <c r="BA44" s="40">
        <f t="shared" si="128"/>
        <v>-17.8</v>
      </c>
      <c r="BB44" s="38">
        <v>44.4</v>
      </c>
      <c r="BC44" s="38">
        <v>52.3</v>
      </c>
      <c r="BD44" s="38">
        <v>-48.3</v>
      </c>
      <c r="BE44" s="38">
        <v>-113.3</v>
      </c>
      <c r="BF44" s="853">
        <f t="shared" si="129"/>
        <v>-113.3</v>
      </c>
      <c r="BG44" s="38">
        <v>-76.3</v>
      </c>
      <c r="BH44" s="38">
        <v>-142.80000000000001</v>
      </c>
      <c r="BI44" s="38">
        <v>-125.4</v>
      </c>
      <c r="BJ44" s="38">
        <v>-110.3</v>
      </c>
      <c r="BK44" s="853">
        <f t="shared" si="130"/>
        <v>-110.3</v>
      </c>
      <c r="BL44" s="38">
        <v>-117.1</v>
      </c>
      <c r="BM44" s="38">
        <v>-43.9</v>
      </c>
      <c r="BN44" s="38">
        <v>-11.2</v>
      </c>
      <c r="BO44" s="38">
        <v>54.6</v>
      </c>
      <c r="BP44" s="853">
        <f t="shared" ref="BP44:BU45" si="149">BO44</f>
        <v>54.6</v>
      </c>
      <c r="BQ44" s="38">
        <v>20.3</v>
      </c>
      <c r="BR44" s="38">
        <v>-19.399999999999999</v>
      </c>
      <c r="BS44" s="38">
        <v>-128</v>
      </c>
      <c r="BT44" s="38">
        <v>-111.7</v>
      </c>
      <c r="BU44" s="853">
        <f t="shared" si="149"/>
        <v>-111.7</v>
      </c>
      <c r="BV44" s="38">
        <v>-440</v>
      </c>
      <c r="BW44" s="1348">
        <v>-420.3</v>
      </c>
      <c r="BX44" s="38">
        <v>-561.1</v>
      </c>
      <c r="BY44" s="38">
        <v>-733.7</v>
      </c>
      <c r="BZ44" s="853">
        <f>BY44</f>
        <v>-733.7</v>
      </c>
      <c r="CA44" s="38">
        <v>-568.70000000000005</v>
      </c>
      <c r="CB44" s="38">
        <v>-540.4</v>
      </c>
      <c r="CC44" s="38">
        <v>-594.9</v>
      </c>
      <c r="CD44" s="38">
        <v>-698.3</v>
      </c>
      <c r="CE44" s="853">
        <f>CD44</f>
        <v>-698.3</v>
      </c>
      <c r="CF44" s="38">
        <v>-666.6</v>
      </c>
      <c r="CG44" s="38">
        <v>-578.1</v>
      </c>
      <c r="CH44" s="38">
        <v>-425.1</v>
      </c>
      <c r="CI44" s="38">
        <v>-475.7</v>
      </c>
      <c r="CJ44" s="853">
        <f>CI44</f>
        <v>-475.7</v>
      </c>
      <c r="CK44" s="38">
        <v>-572.5</v>
      </c>
      <c r="CL44" s="1070">
        <f t="shared" ref="CL44:CO46" si="150">CK44</f>
        <v>-572.5</v>
      </c>
      <c r="CM44" s="1070">
        <f t="shared" si="150"/>
        <v>-572.5</v>
      </c>
      <c r="CN44" s="1070">
        <f t="shared" si="150"/>
        <v>-572.5</v>
      </c>
      <c r="CO44" s="1091">
        <f>CN44</f>
        <v>-572.5</v>
      </c>
      <c r="CP44" s="1070">
        <f t="shared" ref="CP44:CT46" si="151">CO44</f>
        <v>-572.5</v>
      </c>
      <c r="CQ44" s="1070">
        <f t="shared" si="151"/>
        <v>-572.5</v>
      </c>
      <c r="CR44" s="1070">
        <f t="shared" si="151"/>
        <v>-572.5</v>
      </c>
      <c r="CS44" s="1070">
        <f t="shared" si="151"/>
        <v>-572.5</v>
      </c>
      <c r="CT44" s="1091">
        <f>CS44</f>
        <v>-572.5</v>
      </c>
      <c r="CU44" s="1070">
        <f t="shared" ref="CU44:CY46" si="152">CT44</f>
        <v>-572.5</v>
      </c>
      <c r="CV44" s="1070">
        <f t="shared" si="152"/>
        <v>-572.5</v>
      </c>
      <c r="CW44" s="1070">
        <f t="shared" si="152"/>
        <v>-572.5</v>
      </c>
      <c r="CX44" s="1070">
        <f t="shared" si="152"/>
        <v>-572.5</v>
      </c>
      <c r="CY44" s="1091">
        <f>CX44</f>
        <v>-572.5</v>
      </c>
      <c r="CZ44" s="1070">
        <f t="shared" ref="CZ44:DD46" si="153">CY44</f>
        <v>-572.5</v>
      </c>
      <c r="DA44" s="1070">
        <f t="shared" si="153"/>
        <v>-572.5</v>
      </c>
      <c r="DB44" s="1070">
        <f t="shared" si="153"/>
        <v>-572.5</v>
      </c>
      <c r="DC44" s="1070">
        <f t="shared" si="153"/>
        <v>-572.5</v>
      </c>
      <c r="DD44" s="1091">
        <f>DC44</f>
        <v>-572.5</v>
      </c>
      <c r="DE44" s="1070">
        <f t="shared" ref="DE44:DI46" si="154">DD44</f>
        <v>-572.5</v>
      </c>
      <c r="DF44" s="1070">
        <f t="shared" si="154"/>
        <v>-572.5</v>
      </c>
      <c r="DG44" s="1070">
        <f t="shared" si="154"/>
        <v>-572.5</v>
      </c>
      <c r="DH44" s="1070">
        <f t="shared" si="154"/>
        <v>-572.5</v>
      </c>
      <c r="DI44" s="1091">
        <f>DH44</f>
        <v>-572.5</v>
      </c>
      <c r="DJ44" s="1070">
        <f t="shared" ref="DJ44:DN46" si="155">DI44</f>
        <v>-572.5</v>
      </c>
      <c r="DK44" s="1070">
        <f t="shared" si="155"/>
        <v>-572.5</v>
      </c>
      <c r="DL44" s="1070">
        <f t="shared" si="155"/>
        <v>-572.5</v>
      </c>
      <c r="DM44" s="1070">
        <f t="shared" si="155"/>
        <v>-572.5</v>
      </c>
      <c r="DN44" s="1091">
        <f>DM44</f>
        <v>-572.5</v>
      </c>
      <c r="DO44" s="1070">
        <f t="shared" ref="DO44:DS46" si="156">DN44</f>
        <v>-572.5</v>
      </c>
      <c r="DP44" s="1070">
        <f t="shared" si="156"/>
        <v>-572.5</v>
      </c>
      <c r="DQ44" s="1070">
        <f t="shared" si="156"/>
        <v>-572.5</v>
      </c>
      <c r="DR44" s="1070">
        <f t="shared" si="156"/>
        <v>-572.5</v>
      </c>
      <c r="DS44" s="1091">
        <f>DR44</f>
        <v>-572.5</v>
      </c>
      <c r="DT44" s="1070">
        <f t="shared" ref="DT44" si="157">DS44</f>
        <v>-572.5</v>
      </c>
      <c r="DU44" s="1070">
        <f t="shared" ref="DU44" si="158">DT44</f>
        <v>-572.5</v>
      </c>
      <c r="DV44" s="1070">
        <f t="shared" ref="DV44:DV46" si="159">DU44</f>
        <v>-572.5</v>
      </c>
      <c r="DW44" s="1070">
        <f t="shared" ref="DW44:DW46" si="160">DV44</f>
        <v>-572.5</v>
      </c>
      <c r="DX44" s="1091">
        <f>DW44</f>
        <v>-572.5</v>
      </c>
      <c r="DY44" s="16"/>
      <c r="DZ44" s="16"/>
      <c r="EA44" s="78"/>
      <c r="EB44" s="16"/>
      <c r="EC44" s="16"/>
      <c r="ED44" s="471"/>
      <c r="EE44" s="16"/>
      <c r="EF44" s="16"/>
    </row>
    <row r="45" spans="1:136" x14ac:dyDescent="0.2">
      <c r="A45" s="497" t="s">
        <v>594</v>
      </c>
      <c r="B45" s="174"/>
      <c r="C45" s="20"/>
      <c r="D45" s="20"/>
      <c r="E45" s="20"/>
      <c r="F45" s="20"/>
      <c r="G45" s="174"/>
      <c r="H45" s="20"/>
      <c r="I45" s="20"/>
      <c r="J45" s="20"/>
      <c r="K45" s="20"/>
      <c r="L45" s="174"/>
      <c r="M45" s="20"/>
      <c r="N45" s="20"/>
      <c r="O45" s="20"/>
      <c r="P45" s="20"/>
      <c r="Q45" s="174"/>
      <c r="R45" s="20"/>
      <c r="S45" s="180"/>
      <c r="T45" s="20"/>
      <c r="U45" s="20"/>
      <c r="V45" s="98"/>
      <c r="W45" s="20"/>
      <c r="X45" s="20"/>
      <c r="Y45" s="20"/>
      <c r="Z45" s="38"/>
      <c r="AA45" s="40"/>
      <c r="AB45" s="38"/>
      <c r="AC45" s="38"/>
      <c r="AD45" s="38"/>
      <c r="AE45" s="38"/>
      <c r="AF45" s="40"/>
      <c r="AG45" s="38"/>
      <c r="AH45" s="38"/>
      <c r="AI45" s="38"/>
      <c r="AJ45" s="38"/>
      <c r="AK45" s="40"/>
      <c r="AL45" s="38"/>
      <c r="AM45" s="38"/>
      <c r="AN45" s="38"/>
      <c r="AO45" s="38"/>
      <c r="AP45" s="853"/>
      <c r="AQ45" s="38"/>
      <c r="AR45" s="38"/>
      <c r="AS45" s="38"/>
      <c r="AT45" s="38"/>
      <c r="AU45" s="853"/>
      <c r="AV45" s="123"/>
      <c r="AW45" s="38"/>
      <c r="AX45" s="38"/>
      <c r="AY45" s="38"/>
      <c r="AZ45" s="38"/>
      <c r="BA45" s="40"/>
      <c r="BB45" s="38"/>
      <c r="BC45" s="38"/>
      <c r="BD45" s="38"/>
      <c r="BE45" s="38"/>
      <c r="BF45" s="853"/>
      <c r="BG45" s="38"/>
      <c r="BH45" s="38"/>
      <c r="BI45" s="38"/>
      <c r="BJ45" s="38"/>
      <c r="BK45" s="853"/>
      <c r="BL45" s="38"/>
      <c r="BM45" s="38"/>
      <c r="BN45" s="38"/>
      <c r="BO45" s="38"/>
      <c r="BP45" s="853"/>
      <c r="BQ45" s="38"/>
      <c r="BR45" s="38"/>
      <c r="BS45" s="38"/>
      <c r="BT45" s="38">
        <v>2452.3000000000002</v>
      </c>
      <c r="BU45" s="853">
        <f t="shared" si="149"/>
        <v>2452.3000000000002</v>
      </c>
      <c r="BV45" s="38">
        <v>1989</v>
      </c>
      <c r="BW45" s="1348">
        <v>1999.8</v>
      </c>
      <c r="BX45" s="38">
        <v>1850.8</v>
      </c>
      <c r="BY45" s="38">
        <v>1576.1</v>
      </c>
      <c r="BZ45" s="853">
        <f t="shared" ref="BZ45" si="161">BY45</f>
        <v>1576.1</v>
      </c>
      <c r="CA45" s="38">
        <v>1736.3</v>
      </c>
      <c r="CB45" s="38">
        <v>1816.8</v>
      </c>
      <c r="CC45" s="38">
        <v>1810.8</v>
      </c>
      <c r="CD45" s="38">
        <v>1786.1</v>
      </c>
      <c r="CE45" s="853">
        <f t="shared" ref="CC45:CE46" si="162">CD45</f>
        <v>1786.1</v>
      </c>
      <c r="CF45" s="38">
        <v>1823.6</v>
      </c>
      <c r="CG45" s="38">
        <v>1951.7</v>
      </c>
      <c r="CH45" s="38">
        <v>2140.6</v>
      </c>
      <c r="CI45" s="38">
        <v>2334.1999999999998</v>
      </c>
      <c r="CJ45" s="853">
        <f t="shared" ref="CF45:CJ46" si="163">CI45</f>
        <v>2334.1999999999998</v>
      </c>
      <c r="CK45" s="38">
        <v>2164.4</v>
      </c>
      <c r="CL45" s="1070">
        <f>CK45</f>
        <v>2164.4</v>
      </c>
      <c r="CM45" s="1070">
        <f t="shared" si="150"/>
        <v>2164.4</v>
      </c>
      <c r="CN45" s="1070">
        <f t="shared" si="150"/>
        <v>2164.4</v>
      </c>
      <c r="CO45" s="1091">
        <f t="shared" si="150"/>
        <v>2164.4</v>
      </c>
      <c r="CP45" s="1070">
        <f>CO45</f>
        <v>2164.4</v>
      </c>
      <c r="CQ45" s="1070">
        <f>CP45</f>
        <v>2164.4</v>
      </c>
      <c r="CR45" s="1070">
        <f t="shared" si="151"/>
        <v>2164.4</v>
      </c>
      <c r="CS45" s="1070">
        <f t="shared" si="151"/>
        <v>2164.4</v>
      </c>
      <c r="CT45" s="1091">
        <f t="shared" si="151"/>
        <v>2164.4</v>
      </c>
      <c r="CU45" s="1070">
        <f>CT45</f>
        <v>2164.4</v>
      </c>
      <c r="CV45" s="1070">
        <f>CU45</f>
        <v>2164.4</v>
      </c>
      <c r="CW45" s="1070">
        <f t="shared" si="152"/>
        <v>2164.4</v>
      </c>
      <c r="CX45" s="1070">
        <f t="shared" si="152"/>
        <v>2164.4</v>
      </c>
      <c r="CY45" s="1091">
        <f t="shared" si="152"/>
        <v>2164.4</v>
      </c>
      <c r="CZ45" s="1070">
        <f>CY45</f>
        <v>2164.4</v>
      </c>
      <c r="DA45" s="1070">
        <f>CZ45</f>
        <v>2164.4</v>
      </c>
      <c r="DB45" s="1070">
        <f t="shared" si="153"/>
        <v>2164.4</v>
      </c>
      <c r="DC45" s="1070">
        <f t="shared" si="153"/>
        <v>2164.4</v>
      </c>
      <c r="DD45" s="1091">
        <f t="shared" si="153"/>
        <v>2164.4</v>
      </c>
      <c r="DE45" s="1070">
        <f>DD45</f>
        <v>2164.4</v>
      </c>
      <c r="DF45" s="1070">
        <f>DE45</f>
        <v>2164.4</v>
      </c>
      <c r="DG45" s="1070">
        <f t="shared" si="154"/>
        <v>2164.4</v>
      </c>
      <c r="DH45" s="1070">
        <f t="shared" si="154"/>
        <v>2164.4</v>
      </c>
      <c r="DI45" s="1091">
        <f t="shared" si="154"/>
        <v>2164.4</v>
      </c>
      <c r="DJ45" s="1070">
        <f>DI45</f>
        <v>2164.4</v>
      </c>
      <c r="DK45" s="1070">
        <f>DJ45</f>
        <v>2164.4</v>
      </c>
      <c r="DL45" s="1070">
        <f t="shared" si="155"/>
        <v>2164.4</v>
      </c>
      <c r="DM45" s="1070">
        <f t="shared" si="155"/>
        <v>2164.4</v>
      </c>
      <c r="DN45" s="1091">
        <f t="shared" si="155"/>
        <v>2164.4</v>
      </c>
      <c r="DO45" s="1070">
        <f>DN45</f>
        <v>2164.4</v>
      </c>
      <c r="DP45" s="1070">
        <f>DO45</f>
        <v>2164.4</v>
      </c>
      <c r="DQ45" s="1070">
        <f t="shared" si="156"/>
        <v>2164.4</v>
      </c>
      <c r="DR45" s="1070">
        <f t="shared" si="156"/>
        <v>2164.4</v>
      </c>
      <c r="DS45" s="1091">
        <f t="shared" si="156"/>
        <v>2164.4</v>
      </c>
      <c r="DT45" s="1070">
        <f>DS45</f>
        <v>2164.4</v>
      </c>
      <c r="DU45" s="1070">
        <f>DT45</f>
        <v>2164.4</v>
      </c>
      <c r="DV45" s="1070">
        <f t="shared" si="159"/>
        <v>2164.4</v>
      </c>
      <c r="DW45" s="1070">
        <f t="shared" si="160"/>
        <v>2164.4</v>
      </c>
      <c r="DX45" s="1091">
        <f t="shared" ref="DX45" si="164">DW45</f>
        <v>2164.4</v>
      </c>
      <c r="DY45" s="16"/>
      <c r="DZ45" s="16"/>
      <c r="EA45" s="78"/>
      <c r="EB45" s="16"/>
      <c r="EC45" s="16"/>
      <c r="ED45" s="471"/>
      <c r="EE45" s="16"/>
      <c r="EF45" s="16"/>
    </row>
    <row r="46" spans="1:136" x14ac:dyDescent="0.2">
      <c r="A46" s="497" t="s">
        <v>555</v>
      </c>
      <c r="B46" s="174"/>
      <c r="C46" s="20"/>
      <c r="D46" s="20"/>
      <c r="E46" s="20"/>
      <c r="F46" s="20"/>
      <c r="G46" s="174"/>
      <c r="H46" s="20"/>
      <c r="I46" s="20"/>
      <c r="J46" s="20"/>
      <c r="K46" s="20"/>
      <c r="L46" s="109"/>
      <c r="M46" s="108"/>
      <c r="N46" s="108"/>
      <c r="O46" s="108"/>
      <c r="P46" s="108"/>
      <c r="Q46" s="98">
        <v>-2</v>
      </c>
      <c r="R46" s="24"/>
      <c r="S46" s="104"/>
      <c r="T46" s="24"/>
      <c r="U46" s="24">
        <f t="shared" si="59"/>
        <v>-2</v>
      </c>
      <c r="V46" s="98">
        <v>-2</v>
      </c>
      <c r="W46" s="20" t="s">
        <v>540</v>
      </c>
      <c r="X46" s="20" t="s">
        <v>540</v>
      </c>
      <c r="Y46" s="20" t="s">
        <v>540</v>
      </c>
      <c r="Z46" s="38">
        <v>-2</v>
      </c>
      <c r="AA46" s="40">
        <f t="shared" si="60"/>
        <v>-2</v>
      </c>
      <c r="AB46" s="38">
        <v>-3</v>
      </c>
      <c r="AC46" s="38">
        <v>-3</v>
      </c>
      <c r="AD46" s="38">
        <v>-3</v>
      </c>
      <c r="AE46" s="38">
        <f t="shared" si="127"/>
        <v>-4</v>
      </c>
      <c r="AF46" s="40">
        <v>-4</v>
      </c>
      <c r="AG46" s="38">
        <v>-10</v>
      </c>
      <c r="AH46" s="38">
        <v>-10</v>
      </c>
      <c r="AI46" s="38">
        <v>-39</v>
      </c>
      <c r="AJ46" s="38">
        <v>-39</v>
      </c>
      <c r="AK46" s="40">
        <v>-39</v>
      </c>
      <c r="AL46" s="38">
        <v>-57</v>
      </c>
      <c r="AM46" s="38">
        <v>-59</v>
      </c>
      <c r="AN46" s="38">
        <v>-59</v>
      </c>
      <c r="AO46" s="38">
        <v>-59.5</v>
      </c>
      <c r="AP46" s="853">
        <f t="shared" si="135"/>
        <v>-59.5</v>
      </c>
      <c r="AQ46" s="38">
        <v>-61.5</v>
      </c>
      <c r="AR46" s="38">
        <v>-61.4</v>
      </c>
      <c r="AS46" s="38">
        <v>-61.4</v>
      </c>
      <c r="AT46" s="38">
        <v>-61.3</v>
      </c>
      <c r="AU46" s="853">
        <f t="shared" si="136"/>
        <v>-61.3</v>
      </c>
      <c r="AV46" s="123"/>
      <c r="AW46" s="38">
        <f t="shared" si="137"/>
        <v>-61.4</v>
      </c>
      <c r="AX46" s="38">
        <f t="shared" si="138"/>
        <v>-61.3</v>
      </c>
      <c r="AY46" s="38">
        <v>-63.3</v>
      </c>
      <c r="AZ46" s="38">
        <v>0</v>
      </c>
      <c r="BA46" s="40">
        <f t="shared" si="128"/>
        <v>0</v>
      </c>
      <c r="BB46" s="38">
        <v>0</v>
      </c>
      <c r="BC46" s="38">
        <v>0</v>
      </c>
      <c r="BD46" s="38">
        <v>0</v>
      </c>
      <c r="BE46" s="38">
        <v>0</v>
      </c>
      <c r="BF46" s="853">
        <f t="shared" si="129"/>
        <v>0</v>
      </c>
      <c r="BG46" s="38">
        <v>0</v>
      </c>
      <c r="BH46" s="38">
        <v>0</v>
      </c>
      <c r="BI46" s="38">
        <v>0</v>
      </c>
      <c r="BJ46" s="38">
        <v>0</v>
      </c>
      <c r="BK46" s="853">
        <f t="shared" si="130"/>
        <v>0</v>
      </c>
      <c r="BL46" s="38">
        <v>0</v>
      </c>
      <c r="BM46" s="38">
        <v>0</v>
      </c>
      <c r="BN46" s="38">
        <v>0</v>
      </c>
      <c r="BO46" s="38">
        <v>-7.3</v>
      </c>
      <c r="BP46" s="853">
        <f t="shared" ref="BP46:BU46" si="165">BO46</f>
        <v>-7.3</v>
      </c>
      <c r="BQ46" s="38">
        <v>-7.3</v>
      </c>
      <c r="BR46" s="38">
        <v>-7.3</v>
      </c>
      <c r="BS46" s="38">
        <v>-7.3</v>
      </c>
      <c r="BT46" s="38">
        <v>0</v>
      </c>
      <c r="BU46" s="853">
        <f t="shared" si="165"/>
        <v>0</v>
      </c>
      <c r="BV46" s="38">
        <f t="shared" ref="BV46:BY46" si="166">BU46</f>
        <v>0</v>
      </c>
      <c r="BW46" s="1348">
        <f t="shared" si="166"/>
        <v>0</v>
      </c>
      <c r="BX46" s="38">
        <f t="shared" si="166"/>
        <v>0</v>
      </c>
      <c r="BY46" s="38">
        <f t="shared" si="166"/>
        <v>0</v>
      </c>
      <c r="BZ46" s="853">
        <f>BY46</f>
        <v>0</v>
      </c>
      <c r="CA46" s="38">
        <f t="shared" ref="CA46" si="167">BZ46</f>
        <v>0</v>
      </c>
      <c r="CB46" s="38">
        <v>0</v>
      </c>
      <c r="CC46" s="38">
        <f t="shared" si="162"/>
        <v>0</v>
      </c>
      <c r="CD46" s="38">
        <f t="shared" si="162"/>
        <v>0</v>
      </c>
      <c r="CE46" s="853">
        <f>CD46</f>
        <v>0</v>
      </c>
      <c r="CF46" s="38">
        <f t="shared" si="163"/>
        <v>0</v>
      </c>
      <c r="CG46" s="38">
        <f t="shared" si="163"/>
        <v>0</v>
      </c>
      <c r="CH46" s="38">
        <f t="shared" si="163"/>
        <v>0</v>
      </c>
      <c r="CI46" s="38">
        <f>CH46</f>
        <v>0</v>
      </c>
      <c r="CJ46" s="853">
        <f>CI46</f>
        <v>0</v>
      </c>
      <c r="CK46" s="38">
        <v>0</v>
      </c>
      <c r="CL46" s="1070">
        <f t="shared" si="150"/>
        <v>0</v>
      </c>
      <c r="CM46" s="1070">
        <f t="shared" si="150"/>
        <v>0</v>
      </c>
      <c r="CN46" s="1070">
        <f t="shared" si="150"/>
        <v>0</v>
      </c>
      <c r="CO46" s="1091">
        <f>CN46</f>
        <v>0</v>
      </c>
      <c r="CP46" s="1070">
        <f t="shared" si="151"/>
        <v>0</v>
      </c>
      <c r="CQ46" s="1070">
        <f t="shared" si="151"/>
        <v>0</v>
      </c>
      <c r="CR46" s="1070">
        <f t="shared" si="151"/>
        <v>0</v>
      </c>
      <c r="CS46" s="1070">
        <f t="shared" si="151"/>
        <v>0</v>
      </c>
      <c r="CT46" s="1091">
        <f>CS46</f>
        <v>0</v>
      </c>
      <c r="CU46" s="1070">
        <f t="shared" si="152"/>
        <v>0</v>
      </c>
      <c r="CV46" s="1070">
        <f t="shared" si="152"/>
        <v>0</v>
      </c>
      <c r="CW46" s="1070">
        <f t="shared" si="152"/>
        <v>0</v>
      </c>
      <c r="CX46" s="1070">
        <f t="shared" si="152"/>
        <v>0</v>
      </c>
      <c r="CY46" s="1091">
        <f>CX46</f>
        <v>0</v>
      </c>
      <c r="CZ46" s="1070">
        <f t="shared" si="153"/>
        <v>0</v>
      </c>
      <c r="DA46" s="1070">
        <f t="shared" si="153"/>
        <v>0</v>
      </c>
      <c r="DB46" s="1070">
        <f t="shared" si="153"/>
        <v>0</v>
      </c>
      <c r="DC46" s="1070">
        <f t="shared" si="153"/>
        <v>0</v>
      </c>
      <c r="DD46" s="1091">
        <f>DC46</f>
        <v>0</v>
      </c>
      <c r="DE46" s="1070">
        <f t="shared" si="154"/>
        <v>0</v>
      </c>
      <c r="DF46" s="1070">
        <f t="shared" si="154"/>
        <v>0</v>
      </c>
      <c r="DG46" s="1070">
        <f t="shared" si="154"/>
        <v>0</v>
      </c>
      <c r="DH46" s="1070">
        <f t="shared" si="154"/>
        <v>0</v>
      </c>
      <c r="DI46" s="1091">
        <f>DH46</f>
        <v>0</v>
      </c>
      <c r="DJ46" s="1070">
        <f t="shared" si="155"/>
        <v>0</v>
      </c>
      <c r="DK46" s="1070">
        <f t="shared" si="155"/>
        <v>0</v>
      </c>
      <c r="DL46" s="1070">
        <f t="shared" si="155"/>
        <v>0</v>
      </c>
      <c r="DM46" s="1070">
        <f t="shared" si="155"/>
        <v>0</v>
      </c>
      <c r="DN46" s="1091">
        <f>DM46</f>
        <v>0</v>
      </c>
      <c r="DO46" s="1070">
        <f t="shared" si="156"/>
        <v>0</v>
      </c>
      <c r="DP46" s="1070">
        <f t="shared" si="156"/>
        <v>0</v>
      </c>
      <c r="DQ46" s="1070">
        <f t="shared" si="156"/>
        <v>0</v>
      </c>
      <c r="DR46" s="1070">
        <f t="shared" si="156"/>
        <v>0</v>
      </c>
      <c r="DS46" s="1091">
        <f>DR46</f>
        <v>0</v>
      </c>
      <c r="DT46" s="1070">
        <f t="shared" ref="DT46" si="168">DS46</f>
        <v>0</v>
      </c>
      <c r="DU46" s="1070">
        <f t="shared" ref="DU46" si="169">DT46</f>
        <v>0</v>
      </c>
      <c r="DV46" s="1070">
        <f t="shared" si="159"/>
        <v>0</v>
      </c>
      <c r="DW46" s="1070">
        <f t="shared" si="160"/>
        <v>0</v>
      </c>
      <c r="DX46" s="1091">
        <f>DW46</f>
        <v>0</v>
      </c>
      <c r="DY46" s="16"/>
      <c r="DZ46" s="16"/>
      <c r="EA46" s="78"/>
      <c r="EB46" s="16"/>
      <c r="EC46" s="16"/>
      <c r="ED46" s="471"/>
      <c r="EE46" s="16"/>
      <c r="EF46" s="16"/>
    </row>
    <row r="47" spans="1:136" x14ac:dyDescent="0.2">
      <c r="A47" s="677" t="s">
        <v>281</v>
      </c>
      <c r="B47" s="678"/>
      <c r="C47" s="679"/>
      <c r="D47" s="680"/>
      <c r="E47" s="680"/>
      <c r="F47" s="680"/>
      <c r="G47" s="678"/>
      <c r="H47" s="680"/>
      <c r="I47" s="680"/>
      <c r="J47" s="680"/>
      <c r="K47" s="680"/>
      <c r="L47" s="678"/>
      <c r="M47" s="37"/>
      <c r="N47" s="680"/>
      <c r="O47" s="680"/>
      <c r="P47" s="680"/>
      <c r="Q47" s="49"/>
      <c r="R47" s="37"/>
      <c r="S47" s="681"/>
      <c r="T47" s="680"/>
      <c r="U47" s="680">
        <f>V47</f>
        <v>477</v>
      </c>
      <c r="V47" s="678">
        <f>SUM(V39:V46)</f>
        <v>477</v>
      </c>
      <c r="W47" s="184" t="s">
        <v>540</v>
      </c>
      <c r="X47" s="184" t="s">
        <v>540</v>
      </c>
      <c r="Y47" s="184" t="s">
        <v>540</v>
      </c>
      <c r="Z47" s="781">
        <v>567</v>
      </c>
      <c r="AA47" s="782">
        <f>Z47</f>
        <v>567</v>
      </c>
      <c r="AB47" s="781">
        <f>SUM(AB39:AB46)</f>
        <v>599</v>
      </c>
      <c r="AC47" s="781">
        <f>SUM(AC39:AC46)</f>
        <v>638</v>
      </c>
      <c r="AD47" s="781">
        <f>SUM(AD39:AD46)</f>
        <v>673</v>
      </c>
      <c r="AE47" s="781">
        <f t="shared" si="127"/>
        <v>716</v>
      </c>
      <c r="AF47" s="782">
        <v>716</v>
      </c>
      <c r="AG47" s="781">
        <f t="shared" ref="AG47:AO47" si="170">SUM(AG39:AG46)</f>
        <v>747</v>
      </c>
      <c r="AH47" s="781">
        <f t="shared" si="170"/>
        <v>789</v>
      </c>
      <c r="AI47" s="46">
        <f t="shared" si="170"/>
        <v>789</v>
      </c>
      <c r="AJ47" s="46">
        <f t="shared" si="170"/>
        <v>845</v>
      </c>
      <c r="AK47" s="782">
        <f t="shared" si="170"/>
        <v>845</v>
      </c>
      <c r="AL47" s="781">
        <f t="shared" si="170"/>
        <v>876</v>
      </c>
      <c r="AM47" s="781">
        <f t="shared" si="170"/>
        <v>888</v>
      </c>
      <c r="AN47" s="46">
        <f t="shared" si="170"/>
        <v>929</v>
      </c>
      <c r="AO47" s="46">
        <f t="shared" si="170"/>
        <v>974.79999999999973</v>
      </c>
      <c r="AP47" s="862">
        <f t="shared" si="135"/>
        <v>974.79999999999973</v>
      </c>
      <c r="AQ47" s="781">
        <f t="shared" ref="AQ47:BE47" si="171">SUM(AQ39:AQ46)</f>
        <v>1018.8999999999999</v>
      </c>
      <c r="AR47" s="781">
        <f t="shared" si="171"/>
        <v>1067.2</v>
      </c>
      <c r="AS47" s="46">
        <f t="shared" si="171"/>
        <v>1111</v>
      </c>
      <c r="AT47" s="46">
        <f t="shared" si="171"/>
        <v>1128.3999999999999</v>
      </c>
      <c r="AU47" s="862">
        <f t="shared" si="136"/>
        <v>1128.3999999999999</v>
      </c>
      <c r="AV47" s="123"/>
      <c r="AW47" s="46">
        <f>SUM(AW39:AW46)</f>
        <v>1111</v>
      </c>
      <c r="AX47" s="46">
        <f t="shared" si="171"/>
        <v>1128.3999999999999</v>
      </c>
      <c r="AY47" s="46">
        <f t="shared" si="171"/>
        <v>1198.2</v>
      </c>
      <c r="AZ47" s="46">
        <f t="shared" si="171"/>
        <v>1444.1000000000001</v>
      </c>
      <c r="BA47" s="782">
        <f t="shared" si="128"/>
        <v>1444.1000000000001</v>
      </c>
      <c r="BB47" s="781">
        <f t="shared" si="171"/>
        <v>1495.5</v>
      </c>
      <c r="BC47" s="781">
        <f t="shared" si="171"/>
        <v>1553.6</v>
      </c>
      <c r="BD47" s="46">
        <f t="shared" si="171"/>
        <v>1493.5</v>
      </c>
      <c r="BE47" s="46">
        <f t="shared" si="171"/>
        <v>1049.2</v>
      </c>
      <c r="BF47" s="862">
        <f t="shared" si="129"/>
        <v>1049.2</v>
      </c>
      <c r="BG47" s="781">
        <f>SUM(BG39:BG46)</f>
        <v>1500.7</v>
      </c>
      <c r="BH47" s="781">
        <f>SUM(BH39:BH46)</f>
        <v>1095.2</v>
      </c>
      <c r="BI47" s="46">
        <f>SUM(BI39:BI46)</f>
        <v>1120.8999999999999</v>
      </c>
      <c r="BJ47" s="46">
        <f>SUM(BJ39:BJ46)</f>
        <v>1175</v>
      </c>
      <c r="BK47" s="862">
        <f t="shared" si="130"/>
        <v>1175</v>
      </c>
      <c r="BL47" s="781">
        <f>SUM(BL39:BL46)</f>
        <v>1193.2000000000003</v>
      </c>
      <c r="BM47" s="781">
        <f>SUM(BM39:BM46)</f>
        <v>1315.6</v>
      </c>
      <c r="BN47" s="46">
        <f>SUM(BN39:BN46)</f>
        <v>1398.6</v>
      </c>
      <c r="BO47" s="46">
        <f>SUM(BO39:BO46)</f>
        <v>1516.2</v>
      </c>
      <c r="BP47" s="862">
        <f>BO47</f>
        <v>1516.2</v>
      </c>
      <c r="BQ47" s="781">
        <f>SUM(BQ39:BQ46)</f>
        <v>1523.8</v>
      </c>
      <c r="BR47" s="781">
        <f>SUM(BR39:BR46)</f>
        <v>1537.5</v>
      </c>
      <c r="BS47" s="46">
        <f>SUM(BS39:BS46)</f>
        <v>1381.1000000000001</v>
      </c>
      <c r="BT47" s="46">
        <f>SUM(BT40:BT46)</f>
        <v>4323.2</v>
      </c>
      <c r="BU47" s="862">
        <f>BT47</f>
        <v>4323.2</v>
      </c>
      <c r="BV47" s="781">
        <f>SUM(BV40:BV46)</f>
        <v>3516.7</v>
      </c>
      <c r="BW47" s="1359">
        <f>SUM(BW39:BW46)</f>
        <v>6841.2999999999993</v>
      </c>
      <c r="BX47" s="46">
        <f>SUM(BX39:BX46)</f>
        <v>6601.8</v>
      </c>
      <c r="BY47" s="46">
        <f>SUM(BY39:BY46)</f>
        <v>6209.7000000000007</v>
      </c>
      <c r="BZ47" s="862">
        <f>BY47</f>
        <v>6209.7000000000007</v>
      </c>
      <c r="CA47" s="781">
        <f>SUM(CA39:CA46)</f>
        <v>6635.7000000000007</v>
      </c>
      <c r="CB47" s="781">
        <f>SUM(CB39:CB46)</f>
        <v>6815.4000000000005</v>
      </c>
      <c r="CC47" s="46">
        <f>SUM(CC39:CC46)</f>
        <v>6816.1</v>
      </c>
      <c r="CD47" s="46">
        <f>SUM(CD39:CD46)</f>
        <v>6785.6</v>
      </c>
      <c r="CE47" s="862">
        <f>CD47</f>
        <v>6785.6</v>
      </c>
      <c r="CF47" s="781">
        <f>SUM(CF39:CF46)</f>
        <v>6894.2999999999993</v>
      </c>
      <c r="CG47" s="781">
        <f>SUM(CG39:CG46)</f>
        <v>7171.2</v>
      </c>
      <c r="CH47" s="46">
        <f>SUM(CH39:CH46)</f>
        <v>7573.2000000000007</v>
      </c>
      <c r="CI47" s="46">
        <f>SUM(CI39:CI46)</f>
        <v>4560.6000000000004</v>
      </c>
      <c r="CJ47" s="862">
        <f>CI47</f>
        <v>4560.6000000000004</v>
      </c>
      <c r="CK47" s="781">
        <f>SUM(CK39:CK46)</f>
        <v>4242.3999999999996</v>
      </c>
      <c r="CL47" s="1097">
        <f>SUM(CL39:CL46)</f>
        <v>4287.7307474949293</v>
      </c>
      <c r="CM47" s="1071">
        <f>SUM(CM39:CM46)</f>
        <v>4382.5368126005878</v>
      </c>
      <c r="CN47" s="1071">
        <f>SUM(CN39:CN46)</f>
        <v>4498.4040366884456</v>
      </c>
      <c r="CO47" s="1098">
        <f>CN47</f>
        <v>4498.4040366884456</v>
      </c>
      <c r="CP47" s="1097">
        <f>SUM(CP39:CP46)</f>
        <v>4549.2758899550754</v>
      </c>
      <c r="CQ47" s="1097">
        <f>SUM(CQ39:CQ46)</f>
        <v>4627.0810806006048</v>
      </c>
      <c r="CR47" s="1071">
        <f>SUM(CR39:CR46)</f>
        <v>4750.6489378309179</v>
      </c>
      <c r="CS47" s="1071">
        <f>SUM(CS39:CS46)</f>
        <v>4898.5853100865907</v>
      </c>
      <c r="CT47" s="1098">
        <f>CS47</f>
        <v>4898.5853100865907</v>
      </c>
      <c r="CU47" s="1097">
        <f>SUM(CU39:CU46)</f>
        <v>4950.8019910707617</v>
      </c>
      <c r="CV47" s="1097">
        <f>SUM(CV39:CV46)</f>
        <v>5056.2945228921699</v>
      </c>
      <c r="CW47" s="1071">
        <f>SUM(CW39:CW46)</f>
        <v>5211.9089960065212</v>
      </c>
      <c r="CX47" s="1071">
        <f>SUM(CX39:CX46)</f>
        <v>5394.7664001708108</v>
      </c>
      <c r="CY47" s="1098">
        <f>CX47</f>
        <v>5394.7664001708108</v>
      </c>
      <c r="CZ47" s="1097">
        <f>SUM(CZ39:CZ46)</f>
        <v>5470.0991919493335</v>
      </c>
      <c r="DA47" s="1097">
        <f>SUM(DA39:DA46)</f>
        <v>5597.2088122102887</v>
      </c>
      <c r="DB47" s="1071">
        <f>SUM(DB39:DB46)</f>
        <v>5781.0754946160014</v>
      </c>
      <c r="DC47" s="1071">
        <f>SUM(DC39:DC46)</f>
        <v>5965.8695712649842</v>
      </c>
      <c r="DD47" s="1098">
        <f>DC47</f>
        <v>5965.8695712649842</v>
      </c>
      <c r="DE47" s="1097">
        <f>SUM(DE39:DE46)</f>
        <v>6069.4431067076584</v>
      </c>
      <c r="DF47" s="1097">
        <f>SUM(DF39:DF46)</f>
        <v>6223.5825739748507</v>
      </c>
      <c r="DG47" s="1071">
        <f>SUM(DG39:DG46)</f>
        <v>6442.3211829638676</v>
      </c>
      <c r="DH47" s="1071">
        <f>SUM(DH39:DH46)</f>
        <v>6693.0529072623413</v>
      </c>
      <c r="DI47" s="1098">
        <f>DH47</f>
        <v>6693.0529072623413</v>
      </c>
      <c r="DJ47" s="1097">
        <f>SUM(DJ39:DJ46)</f>
        <v>6802.6960509584569</v>
      </c>
      <c r="DK47" s="1097">
        <f>SUM(DK39:DK46)</f>
        <v>6986.9943034698099</v>
      </c>
      <c r="DL47" s="1071">
        <f>SUM(DL39:DL46)</f>
        <v>7241.1788777888214</v>
      </c>
      <c r="DM47" s="1071">
        <f>SUM(DM39:DM46)</f>
        <v>7530.1733238371799</v>
      </c>
      <c r="DN47" s="1098">
        <f>DM47</f>
        <v>7530.1733238371799</v>
      </c>
      <c r="DO47" s="1097">
        <f>SUM(DO39:DO46)</f>
        <v>7620.4238674543703</v>
      </c>
      <c r="DP47" s="1097">
        <f>SUM(DP39:DP46)</f>
        <v>7785.1341691642301</v>
      </c>
      <c r="DQ47" s="1071">
        <f>SUM(DQ39:DQ46)</f>
        <v>8033.9992178695775</v>
      </c>
      <c r="DR47" s="1071">
        <f>SUM(DR39:DR46)</f>
        <v>8324.6509584334362</v>
      </c>
      <c r="DS47" s="1098">
        <f>DR47</f>
        <v>8324.6509584334362</v>
      </c>
      <c r="DT47" s="1097">
        <f>SUM(DT39:DT46)</f>
        <v>8456.6285792163726</v>
      </c>
      <c r="DU47" s="1097">
        <f>SUM(DU39:DU46)</f>
        <v>8663.8090872870835</v>
      </c>
      <c r="DV47" s="1071">
        <f>SUM(DV39:DV46)</f>
        <v>8948.1504324088746</v>
      </c>
      <c r="DW47" s="1071">
        <f>SUM(DW39:DW46)</f>
        <v>9277.8638473705669</v>
      </c>
      <c r="DX47" s="1098">
        <f>DW47</f>
        <v>9277.8638473705669</v>
      </c>
      <c r="DY47" s="25"/>
      <c r="DZ47" s="25"/>
      <c r="EA47" s="25"/>
      <c r="EB47" s="25"/>
      <c r="EC47" s="25"/>
      <c r="ED47" s="25"/>
      <c r="EE47" s="25"/>
      <c r="EF47" s="25"/>
    </row>
    <row r="48" spans="1:136" x14ac:dyDescent="0.2">
      <c r="A48" s="501" t="s">
        <v>556</v>
      </c>
      <c r="B48" s="516"/>
      <c r="C48" s="517"/>
      <c r="D48" s="517"/>
      <c r="E48" s="517"/>
      <c r="F48" s="517"/>
      <c r="G48" s="515"/>
      <c r="H48" s="517"/>
      <c r="I48" s="517"/>
      <c r="J48" s="517"/>
      <c r="K48" s="517"/>
      <c r="L48" s="515"/>
      <c r="M48" s="517"/>
      <c r="N48" s="517"/>
      <c r="O48" s="517"/>
      <c r="P48" s="517"/>
      <c r="Q48" s="515"/>
      <c r="R48" s="517"/>
      <c r="S48" s="518"/>
      <c r="T48" s="517"/>
      <c r="U48" s="517">
        <f>U47+U37</f>
        <v>2723</v>
      </c>
      <c r="V48" s="515">
        <f>V47+V37</f>
        <v>2723</v>
      </c>
      <c r="W48" s="519"/>
      <c r="X48" s="519"/>
      <c r="Y48" s="519"/>
      <c r="Z48" s="863">
        <f t="shared" ref="Z48:AZ48" si="172">Z47+Z37</f>
        <v>2552</v>
      </c>
      <c r="AA48" s="864">
        <f t="shared" si="172"/>
        <v>2552</v>
      </c>
      <c r="AB48" s="863">
        <f t="shared" si="172"/>
        <v>2413</v>
      </c>
      <c r="AC48" s="863">
        <f t="shared" si="172"/>
        <v>2431</v>
      </c>
      <c r="AD48" s="863">
        <f t="shared" si="172"/>
        <v>2433</v>
      </c>
      <c r="AE48" s="863">
        <f t="shared" si="172"/>
        <v>2517</v>
      </c>
      <c r="AF48" s="864">
        <f t="shared" si="172"/>
        <v>2517</v>
      </c>
      <c r="AG48" s="863">
        <f t="shared" si="172"/>
        <v>2530</v>
      </c>
      <c r="AH48" s="863">
        <f t="shared" si="172"/>
        <v>2572</v>
      </c>
      <c r="AI48" s="863">
        <f t="shared" si="172"/>
        <v>2580</v>
      </c>
      <c r="AJ48" s="863">
        <f t="shared" si="172"/>
        <v>2687</v>
      </c>
      <c r="AK48" s="864">
        <f t="shared" si="172"/>
        <v>2687</v>
      </c>
      <c r="AL48" s="863">
        <f t="shared" si="172"/>
        <v>2662</v>
      </c>
      <c r="AM48" s="863">
        <f t="shared" si="172"/>
        <v>2637</v>
      </c>
      <c r="AN48" s="863">
        <f t="shared" si="172"/>
        <v>2612</v>
      </c>
      <c r="AO48" s="863">
        <f t="shared" si="172"/>
        <v>2707.0999999999995</v>
      </c>
      <c r="AP48" s="865">
        <f t="shared" si="172"/>
        <v>2707.0999999999995</v>
      </c>
      <c r="AQ48" s="863">
        <f t="shared" si="172"/>
        <v>2727.6</v>
      </c>
      <c r="AR48" s="863">
        <f t="shared" si="172"/>
        <v>2716.3</v>
      </c>
      <c r="AS48" s="863">
        <f t="shared" si="172"/>
        <v>2728.7</v>
      </c>
      <c r="AT48" s="863">
        <f t="shared" si="172"/>
        <v>2747.2</v>
      </c>
      <c r="AU48" s="865">
        <f t="shared" si="172"/>
        <v>2747.2</v>
      </c>
      <c r="AV48" s="123"/>
      <c r="AW48" s="863">
        <f>AW47+AW37</f>
        <v>2728.7</v>
      </c>
      <c r="AX48" s="863">
        <f t="shared" si="172"/>
        <v>2747.2</v>
      </c>
      <c r="AY48" s="863">
        <f t="shared" si="172"/>
        <v>2825.4000000000005</v>
      </c>
      <c r="AZ48" s="863">
        <f t="shared" si="172"/>
        <v>5683.1</v>
      </c>
      <c r="BA48" s="864">
        <f t="shared" si="128"/>
        <v>5683.1</v>
      </c>
      <c r="BB48" s="863">
        <f t="shared" ref="BB48:BK48" si="173">BB47+BB37</f>
        <v>5653</v>
      </c>
      <c r="BC48" s="863">
        <f t="shared" si="173"/>
        <v>6160.2000000000007</v>
      </c>
      <c r="BD48" s="863">
        <f t="shared" si="173"/>
        <v>6061.9</v>
      </c>
      <c r="BE48" s="863">
        <f t="shared" si="173"/>
        <v>5608.4</v>
      </c>
      <c r="BF48" s="865">
        <f t="shared" si="173"/>
        <v>5608.4</v>
      </c>
      <c r="BG48" s="863">
        <f t="shared" si="173"/>
        <v>5571.9000000000005</v>
      </c>
      <c r="BH48" s="863">
        <f t="shared" si="173"/>
        <v>5446.5</v>
      </c>
      <c r="BI48" s="863">
        <f t="shared" si="173"/>
        <v>5480.2</v>
      </c>
      <c r="BJ48" s="863">
        <f t="shared" si="173"/>
        <v>5564</v>
      </c>
      <c r="BK48" s="865">
        <f t="shared" si="173"/>
        <v>5564</v>
      </c>
      <c r="BL48" s="863">
        <f t="shared" ref="BL48:BS48" si="174">BL47+BL37</f>
        <v>5572.3000000000011</v>
      </c>
      <c r="BM48" s="863">
        <f t="shared" si="174"/>
        <v>5663.5</v>
      </c>
      <c r="BN48" s="863">
        <f t="shared" si="174"/>
        <v>5771.2000000000007</v>
      </c>
      <c r="BO48" s="863">
        <f t="shared" si="174"/>
        <v>5828.5</v>
      </c>
      <c r="BP48" s="865">
        <f t="shared" si="174"/>
        <v>5828.5</v>
      </c>
      <c r="BQ48" s="863">
        <f t="shared" si="174"/>
        <v>5810.7000000000007</v>
      </c>
      <c r="BR48" s="863">
        <f t="shared" si="174"/>
        <v>5754.1</v>
      </c>
      <c r="BS48" s="863">
        <f t="shared" si="174"/>
        <v>5803.1</v>
      </c>
      <c r="BT48" s="863">
        <f>BT47+BT37+BT39</f>
        <v>21164.000000000004</v>
      </c>
      <c r="BU48" s="863">
        <f>BU47+BU37+BU39</f>
        <v>21164.000000000004</v>
      </c>
      <c r="BV48" s="863">
        <f>BV47+BV37+BV39</f>
        <v>19375.399999999998</v>
      </c>
      <c r="BW48" s="1360">
        <f t="shared" ref="BW48:DA48" si="175">BW47+BW37</f>
        <v>19027.699999999997</v>
      </c>
      <c r="BX48" s="863">
        <f t="shared" si="175"/>
        <v>19034.7</v>
      </c>
      <c r="BY48" s="863">
        <f t="shared" si="175"/>
        <v>18411.099999999999</v>
      </c>
      <c r="BZ48" s="865">
        <f t="shared" si="175"/>
        <v>18411.099999999999</v>
      </c>
      <c r="CA48" s="863">
        <f t="shared" si="175"/>
        <v>18956.5</v>
      </c>
      <c r="CB48" s="863">
        <f t="shared" si="175"/>
        <v>19121.800000000003</v>
      </c>
      <c r="CC48" s="863">
        <f t="shared" si="175"/>
        <v>19193.400000000001</v>
      </c>
      <c r="CD48" s="863">
        <f t="shared" si="175"/>
        <v>19124.900000000001</v>
      </c>
      <c r="CE48" s="865">
        <f t="shared" si="175"/>
        <v>19124.900000000001</v>
      </c>
      <c r="CF48" s="863">
        <f t="shared" si="175"/>
        <v>20822.399999999998</v>
      </c>
      <c r="CG48" s="863">
        <f t="shared" si="175"/>
        <v>23236.9</v>
      </c>
      <c r="CH48" s="863">
        <f t="shared" si="175"/>
        <v>23927.5</v>
      </c>
      <c r="CI48" s="863">
        <f>CI47+CI37</f>
        <v>21223.5</v>
      </c>
      <c r="CJ48" s="865">
        <f t="shared" si="175"/>
        <v>21223.5</v>
      </c>
      <c r="CK48" s="863">
        <f>CK47+CK37</f>
        <v>20759.5</v>
      </c>
      <c r="CL48" s="1099">
        <f t="shared" si="175"/>
        <v>20741.906788657878</v>
      </c>
      <c r="CM48" s="1099">
        <f t="shared" si="175"/>
        <v>20849.59291051135</v>
      </c>
      <c r="CN48" s="1099">
        <f t="shared" si="175"/>
        <v>21454.675793091563</v>
      </c>
      <c r="CO48" s="1100">
        <f t="shared" si="175"/>
        <v>21454.675793091563</v>
      </c>
      <c r="CP48" s="1099">
        <f t="shared" si="175"/>
        <v>21077.880937516631</v>
      </c>
      <c r="CQ48" s="1099">
        <f t="shared" si="175"/>
        <v>21098.299624087496</v>
      </c>
      <c r="CR48" s="1099">
        <f t="shared" si="175"/>
        <v>21224.836031261679</v>
      </c>
      <c r="CS48" s="1099">
        <f t="shared" si="175"/>
        <v>21875.494021562605</v>
      </c>
      <c r="CT48" s="1100">
        <f t="shared" si="175"/>
        <v>21875.494021562605</v>
      </c>
      <c r="CU48" s="1099">
        <f t="shared" si="175"/>
        <v>21483.373319426224</v>
      </c>
      <c r="CV48" s="1099">
        <f t="shared" si="175"/>
        <v>21530.023030189335</v>
      </c>
      <c r="CW48" s="1099">
        <f t="shared" si="175"/>
        <v>21692.837085982595</v>
      </c>
      <c r="CX48" s="1099">
        <f t="shared" si="175"/>
        <v>22413.399949627856</v>
      </c>
      <c r="CY48" s="1100">
        <f t="shared" si="175"/>
        <v>22413.399949627856</v>
      </c>
      <c r="CZ48" s="1099">
        <f t="shared" si="175"/>
        <v>22018.985659104124</v>
      </c>
      <c r="DA48" s="1099">
        <f t="shared" si="175"/>
        <v>22085.382719992915</v>
      </c>
      <c r="DB48" s="1099">
        <f t="shared" ref="DB48:DS48" si="176">DB47+DB37</f>
        <v>22284.359427298663</v>
      </c>
      <c r="DC48" s="1099">
        <f t="shared" si="176"/>
        <v>22434.574709897577</v>
      </c>
      <c r="DD48" s="1100">
        <f t="shared" si="176"/>
        <v>22434.574709897577</v>
      </c>
      <c r="DE48" s="1099">
        <f t="shared" si="176"/>
        <v>22029.893333788845</v>
      </c>
      <c r="DF48" s="1099">
        <f t="shared" si="176"/>
        <v>22121.96917303752</v>
      </c>
      <c r="DG48" s="1099">
        <f t="shared" si="176"/>
        <v>22352.38019290008</v>
      </c>
      <c r="DH48" s="1099">
        <f t="shared" si="176"/>
        <v>23214.466153585447</v>
      </c>
      <c r="DI48" s="1100">
        <f t="shared" si="176"/>
        <v>23214.466153585447</v>
      </c>
      <c r="DJ48" s="1099">
        <f t="shared" si="176"/>
        <v>22788.707370840755</v>
      </c>
      <c r="DK48" s="1099">
        <f t="shared" si="176"/>
        <v>22912.015868193212</v>
      </c>
      <c r="DL48" s="1099">
        <f t="shared" si="176"/>
        <v>23183.070617347377</v>
      </c>
      <c r="DM48" s="1099">
        <f t="shared" si="176"/>
        <v>24124.848788619813</v>
      </c>
      <c r="DN48" s="1100">
        <f t="shared" si="176"/>
        <v>24124.848788619813</v>
      </c>
      <c r="DO48" s="1099">
        <f t="shared" si="176"/>
        <v>23667.34711479806</v>
      </c>
      <c r="DP48" s="1099">
        <f t="shared" si="176"/>
        <v>23779.873205881551</v>
      </c>
      <c r="DQ48" s="1099">
        <f t="shared" si="176"/>
        <v>24061.054731906581</v>
      </c>
      <c r="DR48" s="1099">
        <f t="shared" si="176"/>
        <v>25066.982947622091</v>
      </c>
      <c r="DS48" s="1100">
        <f t="shared" si="176"/>
        <v>25066.982947622091</v>
      </c>
      <c r="DT48" s="1099">
        <f t="shared" ref="DT48:DX48" si="177">DT47+DT37</f>
        <v>24590.655152254538</v>
      </c>
      <c r="DU48" s="1099">
        <f t="shared" si="177"/>
        <v>24728.249128434276</v>
      </c>
      <c r="DV48" s="1099">
        <f t="shared" si="177"/>
        <v>25031.243312523198</v>
      </c>
      <c r="DW48" s="1099">
        <f t="shared" si="177"/>
        <v>26103.97973749994</v>
      </c>
      <c r="DX48" s="1100">
        <f t="shared" si="177"/>
        <v>26103.97973749994</v>
      </c>
      <c r="DY48" s="37"/>
      <c r="DZ48" s="37"/>
      <c r="EA48" s="37"/>
      <c r="EB48" s="37"/>
      <c r="EC48" s="37"/>
      <c r="ED48" s="37"/>
      <c r="EE48" s="37"/>
      <c r="EF48" s="37"/>
    </row>
    <row r="49" spans="1:136" outlineLevel="1" x14ac:dyDescent="0.2">
      <c r="A49" s="633" t="s">
        <v>536</v>
      </c>
      <c r="B49" s="525"/>
      <c r="C49" s="526"/>
      <c r="D49" s="526"/>
      <c r="E49" s="526"/>
      <c r="F49" s="526"/>
      <c r="G49" s="525"/>
      <c r="H49" s="526"/>
      <c r="I49" s="526"/>
      <c r="J49" s="526"/>
      <c r="K49" s="526"/>
      <c r="L49" s="525"/>
      <c r="M49" s="525"/>
      <c r="N49" s="525"/>
      <c r="O49" s="525"/>
      <c r="P49" s="525"/>
      <c r="Q49" s="527"/>
      <c r="R49" s="525"/>
      <c r="S49" s="525"/>
      <c r="T49" s="525"/>
      <c r="U49" s="525"/>
      <c r="V49" s="528">
        <f>V22-V48</f>
        <v>0</v>
      </c>
      <c r="W49" s="525">
        <f t="shared" ref="W49:BA49" si="178">W22-W48</f>
        <v>0</v>
      </c>
      <c r="X49" s="525">
        <f t="shared" si="178"/>
        <v>0</v>
      </c>
      <c r="Y49" s="525">
        <f t="shared" si="178"/>
        <v>0</v>
      </c>
      <c r="Z49" s="525">
        <f t="shared" si="178"/>
        <v>0</v>
      </c>
      <c r="AA49" s="529">
        <f t="shared" si="178"/>
        <v>0</v>
      </c>
      <c r="AB49" s="530">
        <f t="shared" si="178"/>
        <v>0</v>
      </c>
      <c r="AC49" s="530">
        <f t="shared" si="178"/>
        <v>0</v>
      </c>
      <c r="AD49" s="530">
        <f t="shared" si="178"/>
        <v>0</v>
      </c>
      <c r="AE49" s="530">
        <f t="shared" si="178"/>
        <v>0</v>
      </c>
      <c r="AF49" s="529">
        <f t="shared" si="178"/>
        <v>0</v>
      </c>
      <c r="AG49" s="530">
        <f t="shared" si="178"/>
        <v>0</v>
      </c>
      <c r="AH49" s="530">
        <f t="shared" si="178"/>
        <v>0</v>
      </c>
      <c r="AI49" s="584">
        <f t="shared" si="178"/>
        <v>0</v>
      </c>
      <c r="AJ49" s="584">
        <f t="shared" si="178"/>
        <v>0</v>
      </c>
      <c r="AK49" s="599">
        <f t="shared" si="178"/>
        <v>0</v>
      </c>
      <c r="AL49" s="584">
        <f t="shared" si="178"/>
        <v>0</v>
      </c>
      <c r="AM49" s="584">
        <f t="shared" si="178"/>
        <v>0</v>
      </c>
      <c r="AN49" s="584">
        <f t="shared" si="178"/>
        <v>0</v>
      </c>
      <c r="AO49" s="584">
        <f t="shared" si="178"/>
        <v>0</v>
      </c>
      <c r="AP49" s="631">
        <f t="shared" si="178"/>
        <v>0</v>
      </c>
      <c r="AQ49" s="584">
        <f t="shared" si="178"/>
        <v>0</v>
      </c>
      <c r="AR49" s="584">
        <f t="shared" si="178"/>
        <v>0</v>
      </c>
      <c r="AS49" s="584">
        <f t="shared" si="178"/>
        <v>0</v>
      </c>
      <c r="AT49" s="584">
        <f t="shared" si="178"/>
        <v>0</v>
      </c>
      <c r="AU49" s="631">
        <f t="shared" si="178"/>
        <v>0</v>
      </c>
      <c r="AV49" s="123"/>
      <c r="AW49" s="584">
        <f>AW22-AW48</f>
        <v>0</v>
      </c>
      <c r="AX49" s="584">
        <f t="shared" si="178"/>
        <v>0</v>
      </c>
      <c r="AY49" s="584">
        <f t="shared" si="178"/>
        <v>0</v>
      </c>
      <c r="AZ49" s="584">
        <f t="shared" si="178"/>
        <v>0</v>
      </c>
      <c r="BA49" s="599">
        <f t="shared" si="178"/>
        <v>0</v>
      </c>
      <c r="BB49" s="584">
        <f t="shared" ref="BB49:BK49" si="179">BB22-BB48</f>
        <v>0</v>
      </c>
      <c r="BC49" s="584">
        <f t="shared" si="179"/>
        <v>0</v>
      </c>
      <c r="BD49" s="584">
        <f t="shared" si="179"/>
        <v>0</v>
      </c>
      <c r="BE49" s="584">
        <f t="shared" si="179"/>
        <v>0</v>
      </c>
      <c r="BF49" s="599">
        <f t="shared" si="179"/>
        <v>0</v>
      </c>
      <c r="BG49" s="584">
        <f t="shared" si="179"/>
        <v>0</v>
      </c>
      <c r="BH49" s="584">
        <f t="shared" si="179"/>
        <v>0</v>
      </c>
      <c r="BI49" s="584">
        <f t="shared" si="179"/>
        <v>0</v>
      </c>
      <c r="BJ49" s="584">
        <f t="shared" si="179"/>
        <v>0</v>
      </c>
      <c r="BK49" s="599">
        <f t="shared" si="179"/>
        <v>0</v>
      </c>
      <c r="BL49" s="584">
        <f t="shared" ref="BL49:BU49" si="180">BL22-BL48</f>
        <v>0</v>
      </c>
      <c r="BM49" s="584">
        <f t="shared" si="180"/>
        <v>0</v>
      </c>
      <c r="BN49" s="584">
        <f t="shared" si="180"/>
        <v>0</v>
      </c>
      <c r="BO49" s="584">
        <f t="shared" si="180"/>
        <v>0</v>
      </c>
      <c r="BP49" s="599">
        <f t="shared" si="180"/>
        <v>0</v>
      </c>
      <c r="BQ49" s="584">
        <f t="shared" si="180"/>
        <v>0</v>
      </c>
      <c r="BR49" s="417">
        <f t="shared" si="180"/>
        <v>0</v>
      </c>
      <c r="BS49" s="584">
        <f t="shared" si="180"/>
        <v>0</v>
      </c>
      <c r="BT49" s="584">
        <f t="shared" si="180"/>
        <v>0</v>
      </c>
      <c r="BU49" s="599">
        <f t="shared" si="180"/>
        <v>0</v>
      </c>
      <c r="BV49" s="584">
        <f t="shared" ref="BV49:DA49" si="181">BV22-BV48</f>
        <v>0</v>
      </c>
      <c r="BW49" s="1361">
        <f t="shared" si="181"/>
        <v>0</v>
      </c>
      <c r="BX49" s="584">
        <f t="shared" si="181"/>
        <v>0</v>
      </c>
      <c r="BY49" s="584">
        <f>BY22-BY48</f>
        <v>0</v>
      </c>
      <c r="BZ49" s="599">
        <f t="shared" si="181"/>
        <v>0</v>
      </c>
      <c r="CA49" s="1558">
        <f t="shared" si="181"/>
        <v>0</v>
      </c>
      <c r="CB49" s="584">
        <f>CB22-CB48</f>
        <v>0</v>
      </c>
      <c r="CC49" s="584">
        <f t="shared" si="181"/>
        <v>0</v>
      </c>
      <c r="CD49" s="584">
        <f t="shared" si="181"/>
        <v>0</v>
      </c>
      <c r="CE49" s="599">
        <f t="shared" si="181"/>
        <v>0</v>
      </c>
      <c r="CF49" s="584">
        <f t="shared" si="181"/>
        <v>0</v>
      </c>
      <c r="CG49" s="584">
        <f t="shared" si="181"/>
        <v>0</v>
      </c>
      <c r="CH49" s="584">
        <f t="shared" si="181"/>
        <v>0</v>
      </c>
      <c r="CI49" s="584">
        <f t="shared" si="181"/>
        <v>0</v>
      </c>
      <c r="CJ49" s="599">
        <f t="shared" si="181"/>
        <v>0</v>
      </c>
      <c r="CK49" s="584">
        <f>CK22-CK48</f>
        <v>0</v>
      </c>
      <c r="CL49" s="584">
        <f t="shared" si="181"/>
        <v>0</v>
      </c>
      <c r="CM49" s="584">
        <f t="shared" si="181"/>
        <v>0</v>
      </c>
      <c r="CN49" s="584">
        <f t="shared" si="181"/>
        <v>0</v>
      </c>
      <c r="CO49" s="599">
        <f t="shared" si="181"/>
        <v>0</v>
      </c>
      <c r="CP49" s="584">
        <f t="shared" si="181"/>
        <v>0</v>
      </c>
      <c r="CQ49" s="584">
        <f t="shared" si="181"/>
        <v>0</v>
      </c>
      <c r="CR49" s="584">
        <f t="shared" si="181"/>
        <v>0</v>
      </c>
      <c r="CS49" s="584">
        <f t="shared" si="181"/>
        <v>0</v>
      </c>
      <c r="CT49" s="599">
        <f t="shared" si="181"/>
        <v>0</v>
      </c>
      <c r="CU49" s="584">
        <f t="shared" si="181"/>
        <v>0</v>
      </c>
      <c r="CV49" s="584">
        <f t="shared" si="181"/>
        <v>0</v>
      </c>
      <c r="CW49" s="584">
        <f t="shared" si="181"/>
        <v>0</v>
      </c>
      <c r="CX49" s="584">
        <f t="shared" si="181"/>
        <v>0</v>
      </c>
      <c r="CY49" s="599">
        <f t="shared" si="181"/>
        <v>0</v>
      </c>
      <c r="CZ49" s="584">
        <f t="shared" si="181"/>
        <v>0</v>
      </c>
      <c r="DA49" s="584">
        <f t="shared" si="181"/>
        <v>0</v>
      </c>
      <c r="DB49" s="584">
        <f t="shared" ref="DB49:DS49" si="182">DB22-DB48</f>
        <v>0</v>
      </c>
      <c r="DC49" s="584">
        <f t="shared" si="182"/>
        <v>0</v>
      </c>
      <c r="DD49" s="599">
        <f t="shared" si="182"/>
        <v>0</v>
      </c>
      <c r="DE49" s="584">
        <f t="shared" si="182"/>
        <v>0</v>
      </c>
      <c r="DF49" s="584">
        <f t="shared" si="182"/>
        <v>0</v>
      </c>
      <c r="DG49" s="584">
        <f t="shared" si="182"/>
        <v>0</v>
      </c>
      <c r="DH49" s="584">
        <f t="shared" si="182"/>
        <v>0</v>
      </c>
      <c r="DI49" s="599">
        <f t="shared" si="182"/>
        <v>0</v>
      </c>
      <c r="DJ49" s="584">
        <f t="shared" si="182"/>
        <v>0</v>
      </c>
      <c r="DK49" s="584">
        <f t="shared" si="182"/>
        <v>0</v>
      </c>
      <c r="DL49" s="584">
        <f t="shared" si="182"/>
        <v>0</v>
      </c>
      <c r="DM49" s="584">
        <f t="shared" si="182"/>
        <v>0</v>
      </c>
      <c r="DN49" s="599">
        <f t="shared" si="182"/>
        <v>0</v>
      </c>
      <c r="DO49" s="584">
        <f t="shared" si="182"/>
        <v>0</v>
      </c>
      <c r="DP49" s="584">
        <f t="shared" si="182"/>
        <v>0</v>
      </c>
      <c r="DQ49" s="584">
        <f t="shared" si="182"/>
        <v>0</v>
      </c>
      <c r="DR49" s="584">
        <f t="shared" si="182"/>
        <v>0</v>
      </c>
      <c r="DS49" s="599">
        <f t="shared" si="182"/>
        <v>0</v>
      </c>
      <c r="DT49" s="584">
        <f t="shared" ref="DT49:DX49" si="183">DT22-DT48</f>
        <v>0</v>
      </c>
      <c r="DU49" s="584">
        <f t="shared" si="183"/>
        <v>0</v>
      </c>
      <c r="DV49" s="584">
        <f t="shared" si="183"/>
        <v>0</v>
      </c>
      <c r="DW49" s="584">
        <f t="shared" si="183"/>
        <v>0</v>
      </c>
      <c r="DX49" s="599">
        <f t="shared" si="183"/>
        <v>0</v>
      </c>
      <c r="DY49" s="525"/>
      <c r="DZ49" s="525"/>
      <c r="EA49" s="525"/>
      <c r="EB49" s="525"/>
      <c r="EC49" s="525"/>
      <c r="ED49" s="525"/>
      <c r="EE49" s="525"/>
      <c r="EF49" s="525"/>
    </row>
    <row r="50" spans="1:136" x14ac:dyDescent="0.2">
      <c r="A50" s="509"/>
      <c r="B50" s="21"/>
      <c r="C50" s="20"/>
      <c r="D50" s="20"/>
      <c r="E50" s="20"/>
      <c r="F50" s="20"/>
      <c r="G50" s="21"/>
      <c r="H50" s="20"/>
      <c r="I50" s="20"/>
      <c r="J50" s="20"/>
      <c r="K50" s="20"/>
      <c r="L50" s="21"/>
      <c r="M50" s="21"/>
      <c r="N50" s="21"/>
      <c r="O50" s="21"/>
      <c r="P50" s="21"/>
      <c r="Q50" s="528">
        <f>Q33+Q34+Q31</f>
        <v>0</v>
      </c>
      <c r="R50" s="21"/>
      <c r="S50" s="21"/>
      <c r="T50" s="21"/>
      <c r="U50" s="21"/>
      <c r="V50" s="179"/>
      <c r="W50" s="21"/>
      <c r="X50" s="21"/>
      <c r="Y50" s="21"/>
      <c r="Z50" s="21"/>
      <c r="AA50" s="179"/>
      <c r="AB50" s="21"/>
      <c r="AC50" s="21"/>
      <c r="AD50" s="21"/>
      <c r="AE50" s="21"/>
      <c r="AF50" s="174"/>
      <c r="AG50" s="21"/>
      <c r="AH50" s="21"/>
      <c r="AI50" s="21"/>
      <c r="AJ50" s="21"/>
      <c r="AK50" s="174"/>
      <c r="AL50" s="21"/>
      <c r="AM50" s="21"/>
      <c r="AN50" s="21"/>
      <c r="AO50" s="21"/>
      <c r="AP50" s="639"/>
      <c r="AQ50" s="21"/>
      <c r="AR50" s="21"/>
      <c r="AS50" s="21"/>
      <c r="AT50" s="21"/>
      <c r="AU50" s="639"/>
      <c r="AV50" s="300"/>
      <c r="AW50" s="20"/>
      <c r="AX50" s="21"/>
      <c r="AY50" s="21"/>
      <c r="AZ50" s="21"/>
      <c r="BA50" s="253"/>
      <c r="BB50" s="21"/>
      <c r="BC50" s="21"/>
      <c r="BD50" s="21"/>
      <c r="BE50" s="21"/>
      <c r="BF50" s="45"/>
      <c r="BG50" s="21"/>
      <c r="BH50" s="21"/>
      <c r="BI50" s="21"/>
      <c r="BJ50" s="21"/>
      <c r="BK50" s="45"/>
      <c r="BL50" s="21"/>
      <c r="BM50" s="21"/>
      <c r="BN50" s="21"/>
      <c r="BO50" s="21"/>
      <c r="BP50" s="169"/>
      <c r="BQ50" s="21"/>
      <c r="BR50" s="21"/>
      <c r="BS50" s="21"/>
      <c r="BT50" s="21"/>
      <c r="BU50" s="45"/>
      <c r="BV50" s="21"/>
      <c r="BW50" s="1362"/>
      <c r="BX50" s="21"/>
      <c r="BY50" s="21"/>
      <c r="BZ50" s="45"/>
      <c r="CA50" s="21"/>
      <c r="CB50" s="21"/>
      <c r="CC50" s="21"/>
      <c r="CD50" s="21"/>
      <c r="CE50" s="45"/>
      <c r="CF50" s="21"/>
      <c r="CG50" s="21"/>
      <c r="CH50" s="21"/>
      <c r="CI50" s="21"/>
      <c r="CJ50" s="45"/>
      <c r="CK50" s="21"/>
      <c r="CL50" s="21"/>
      <c r="CM50" s="21"/>
      <c r="CN50" s="21"/>
      <c r="CO50" s="169"/>
      <c r="CP50" s="21"/>
      <c r="CQ50" s="21"/>
      <c r="CR50" s="21"/>
      <c r="CS50" s="21"/>
      <c r="CT50" s="169"/>
      <c r="CU50" s="21"/>
      <c r="CV50" s="21"/>
      <c r="CW50" s="21"/>
      <c r="CX50" s="21"/>
      <c r="CY50" s="169"/>
      <c r="CZ50" s="21"/>
      <c r="DA50" s="21"/>
      <c r="DB50" s="21"/>
      <c r="DC50" s="21"/>
      <c r="DD50" s="169"/>
      <c r="DE50" s="21"/>
      <c r="DF50" s="21"/>
      <c r="DG50" s="21"/>
      <c r="DH50" s="21"/>
      <c r="DI50" s="169"/>
      <c r="DJ50" s="21"/>
      <c r="DK50" s="21"/>
      <c r="DL50" s="21"/>
      <c r="DM50" s="21"/>
      <c r="DN50" s="169"/>
      <c r="DO50" s="21"/>
      <c r="DP50" s="21"/>
      <c r="DQ50" s="21"/>
      <c r="DR50" s="21"/>
      <c r="DS50" s="169"/>
      <c r="DT50" s="21"/>
      <c r="DU50" s="21"/>
      <c r="DV50" s="21"/>
      <c r="DW50" s="21"/>
      <c r="DX50" s="169"/>
      <c r="DY50" s="21"/>
      <c r="DZ50" s="21"/>
      <c r="EA50" s="21"/>
      <c r="EB50" s="21"/>
      <c r="EC50" s="21"/>
      <c r="ED50" s="21"/>
      <c r="EE50" s="21"/>
      <c r="EF50" s="21"/>
    </row>
    <row r="51" spans="1:136" x14ac:dyDescent="0.2">
      <c r="A51" s="2" t="s">
        <v>194</v>
      </c>
      <c r="B51" s="5"/>
      <c r="C51" s="5"/>
      <c r="D51" s="5"/>
      <c r="E51" s="5"/>
      <c r="F51" s="5"/>
      <c r="G51" s="5"/>
      <c r="H51" s="5"/>
      <c r="I51" s="5"/>
      <c r="J51" s="5"/>
      <c r="K51" s="5"/>
      <c r="L51" s="5"/>
      <c r="M51" s="5"/>
      <c r="N51" s="5"/>
      <c r="O51" s="5"/>
      <c r="P51" s="5"/>
      <c r="Q51" s="5"/>
      <c r="R51" s="5"/>
      <c r="S51" s="5"/>
      <c r="T51" s="5"/>
      <c r="U51" s="5"/>
      <c r="V51" s="5"/>
      <c r="W51" s="5"/>
      <c r="X51" s="5"/>
      <c r="Y51" s="5"/>
      <c r="Z51" s="5"/>
      <c r="AA51" s="212"/>
      <c r="AB51" s="5"/>
      <c r="AC51" s="5"/>
      <c r="AD51" s="5"/>
      <c r="AE51" s="5"/>
      <c r="AF51" s="5"/>
      <c r="AG51" s="5"/>
      <c r="AH51" s="5"/>
      <c r="AI51" s="5"/>
      <c r="AJ51" s="5"/>
      <c r="AK51" s="5"/>
      <c r="AL51" s="5"/>
      <c r="AM51" s="5"/>
      <c r="AN51" s="5"/>
      <c r="AO51" s="5"/>
      <c r="AP51" s="5"/>
      <c r="AQ51" s="5"/>
      <c r="AR51" s="5"/>
      <c r="AS51" s="5"/>
      <c r="AT51" s="5"/>
      <c r="AU51" s="5"/>
      <c r="AV51" s="293"/>
      <c r="AW51" s="5"/>
      <c r="AX51" s="5"/>
      <c r="AY51" s="5"/>
      <c r="AZ51" s="5"/>
      <c r="BA51" s="5"/>
      <c r="BB51" s="5"/>
      <c r="BC51" s="5"/>
      <c r="BD51" s="5"/>
      <c r="BE51" s="5"/>
      <c r="BF51" s="5"/>
      <c r="BG51" s="5"/>
      <c r="BH51" s="5"/>
      <c r="BI51" s="5"/>
      <c r="BJ51" s="5"/>
      <c r="BK51" s="5"/>
      <c r="BL51" s="5"/>
      <c r="BM51" s="5"/>
      <c r="BN51" s="5"/>
      <c r="BO51" s="5"/>
      <c r="BP51" s="212"/>
      <c r="BQ51" s="5"/>
      <c r="BR51" s="5"/>
      <c r="BS51" s="5"/>
      <c r="BT51" s="5"/>
      <c r="BU51" s="5"/>
      <c r="BV51" s="5"/>
      <c r="BW51" s="1363"/>
      <c r="BX51" s="5"/>
      <c r="BY51" s="5"/>
      <c r="BZ51" s="5"/>
      <c r="CA51" s="5"/>
      <c r="CB51" s="5"/>
      <c r="CC51" s="5"/>
      <c r="CD51" s="5"/>
      <c r="CE51" s="5"/>
      <c r="CF51" s="5"/>
      <c r="CG51" s="5"/>
      <c r="CH51" s="5"/>
      <c r="CI51" s="5"/>
      <c r="CJ51" s="5"/>
      <c r="CK51" s="5"/>
      <c r="CL51" s="5"/>
      <c r="CM51" s="5"/>
      <c r="CN51" s="5"/>
      <c r="CO51" s="212"/>
      <c r="CP51" s="5"/>
      <c r="CQ51" s="5"/>
      <c r="CR51" s="5"/>
      <c r="CS51" s="5"/>
      <c r="CT51" s="212"/>
      <c r="CU51" s="5"/>
      <c r="CV51" s="5"/>
      <c r="CW51" s="5"/>
      <c r="CX51" s="5"/>
      <c r="CY51" s="212"/>
      <c r="CZ51" s="5"/>
      <c r="DA51" s="5"/>
      <c r="DB51" s="5"/>
      <c r="DC51" s="5"/>
      <c r="DD51" s="212"/>
      <c r="DE51" s="5"/>
      <c r="DF51" s="5"/>
      <c r="DG51" s="5"/>
      <c r="DH51" s="5"/>
      <c r="DI51" s="212"/>
      <c r="DJ51" s="5"/>
      <c r="DK51" s="5"/>
      <c r="DL51" s="5"/>
      <c r="DM51" s="5"/>
      <c r="DN51" s="212"/>
      <c r="DO51" s="5"/>
      <c r="DP51" s="5"/>
      <c r="DQ51" s="5"/>
      <c r="DR51" s="5"/>
      <c r="DS51" s="213"/>
      <c r="DT51" s="5"/>
      <c r="DU51" s="5"/>
      <c r="DV51" s="5"/>
      <c r="DW51" s="5"/>
      <c r="DX51" s="213"/>
      <c r="DY51" s="21"/>
      <c r="DZ51" s="21"/>
      <c r="EA51" s="21"/>
      <c r="EB51" s="21"/>
      <c r="EC51" s="21"/>
      <c r="ED51" s="21"/>
      <c r="EE51" s="21"/>
      <c r="EF51" s="21"/>
    </row>
    <row r="52" spans="1:136" x14ac:dyDescent="0.2">
      <c r="A52" s="564" t="s">
        <v>442</v>
      </c>
      <c r="B52" s="123"/>
      <c r="C52" s="22"/>
      <c r="D52" s="22"/>
      <c r="E52" s="22"/>
      <c r="F52" s="22"/>
      <c r="G52" s="123"/>
      <c r="H52" s="22"/>
      <c r="I52" s="22"/>
      <c r="J52" s="22"/>
      <c r="K52" s="22"/>
      <c r="L52" s="123"/>
      <c r="M52" s="128"/>
      <c r="N52" s="128"/>
      <c r="O52" s="128"/>
      <c r="P52" s="128"/>
      <c r="Q52" s="123"/>
      <c r="R52" s="128"/>
      <c r="S52" s="128"/>
      <c r="T52" s="128"/>
      <c r="U52" s="128" t="e">
        <f>(SUM(IS!U51,IS!T51,IS!S51,IS!R51))/(SUM(IS!U20,IS!T20,IS!S20,IS!R20))</f>
        <v>#DIV/0!</v>
      </c>
      <c r="V52" s="122" t="e">
        <f t="shared" ref="V52:V59" si="184">U52</f>
        <v>#DIV/0!</v>
      </c>
      <c r="W52" s="209"/>
      <c r="X52" s="210"/>
      <c r="Y52" s="210"/>
      <c r="Z52" s="31" t="e">
        <f>(SUM(IS!Z51,IS!Y51,IS!X51,IS!W51))/(SUM(IS!Z20,IS!Y20,IS!X20,IS!W20))</f>
        <v>#DIV/0!</v>
      </c>
      <c r="AA52" s="123" t="e">
        <f t="shared" ref="AA52:AA59" si="185">Z52</f>
        <v>#DIV/0!</v>
      </c>
      <c r="AB52" s="56" t="e">
        <f>(SUM(IS!AB51,IS!Z51,IS!Y51,IS!X51))/(SUM(IS!AB20,IS!Z20,IS!Y20,IS!X20))</f>
        <v>#DIV/0!</v>
      </c>
      <c r="AC52" s="128" t="e">
        <f>(SUM(IS!AC51,IS!AB51,IS!Z51,IS!Y51))/(SUM(IS!AC20,IS!AB20,IS!Z20,IS!Y20))</f>
        <v>#DIV/0!</v>
      </c>
      <c r="AD52" s="128" t="e">
        <f>(SUM(IS!AD51,IS!AC51,IS!AB51,IS!Z51))/(SUM(IS!AD20,IS!AC20,IS!AB20,IS!Z20))</f>
        <v>#DIV/0!</v>
      </c>
      <c r="AE52" s="31" t="e">
        <f>(SUM(IS!AE51,IS!AD51,IS!AC51,IS!AB51))/(SUM(IS!AE20,IS!AD20,IS!AC20,IS!AB20))</f>
        <v>#DIV/0!</v>
      </c>
      <c r="AF52" s="88" t="e">
        <f t="shared" ref="AF52:AF59" si="186">AE52</f>
        <v>#DIV/0!</v>
      </c>
      <c r="AG52" s="56" t="e">
        <f>(SUM(IS!AG51,IS!AE51,IS!AD51,IS!AC51))/(SUM(IS!AG20,IS!AE20,IS!AD20,IS!AC20))</f>
        <v>#DIV/0!</v>
      </c>
      <c r="AH52" s="128" t="e">
        <f>(SUM(IS!AH51,IS!AG51,IS!AE51,IS!AD51))/(SUM(IS!AH20,IS!AG20,IS!AE20,IS!AD20))</f>
        <v>#DIV/0!</v>
      </c>
      <c r="AI52" s="128" t="e">
        <f>(SUM(IS!AI51,IS!AH51,IS!AG51,IS!AE51))/(SUM(IS!AI20,IS!AH20,IS!AG20,IS!AE20))</f>
        <v>#DIV/0!</v>
      </c>
      <c r="AJ52" s="31" t="e">
        <f>(SUM(IS!AJ51,IS!AI51,IS!AH51,IS!AG51))/(SUM(IS!AJ20,IS!AI20,IS!AH20,IS!AG20))</f>
        <v>#DIV/0!</v>
      </c>
      <c r="AK52" s="88" t="e">
        <f t="shared" ref="AK52:AK59" si="187">AJ52</f>
        <v>#DIV/0!</v>
      </c>
      <c r="AL52" s="56" t="e">
        <f>(SUM(IS!AL51,IS!AJ51,IS!AI51,IS!AH51))/(SUM(IS!AL20,IS!AJ20,IS!AI20,IS!AH20))</f>
        <v>#DIV/0!</v>
      </c>
      <c r="AM52" s="128" t="e">
        <f>(SUM(IS!AM51,IS!AL51,IS!AJ51,IS!AI51))/(SUM(IS!AM20,IS!AL20,IS!AJ20,IS!AI20))</f>
        <v>#DIV/0!</v>
      </c>
      <c r="AN52" s="128" t="e">
        <f>(SUM(IS!AN51,IS!AM51,IS!AL51,IS!AJ51))/(SUM(IS!AN20,IS!AM20,IS!AL20,IS!AJ20))</f>
        <v>#DIV/0!</v>
      </c>
      <c r="AO52" s="31" t="e">
        <f>(SUM(IS!AO51,IS!AN51,IS!AM51,IS!AL51))/(SUM(IS!AO20,IS!AN20,IS!AM20,IS!AL20))</f>
        <v>#DIV/0!</v>
      </c>
      <c r="AP52" s="548" t="e">
        <f t="shared" ref="AP52:AP59" si="188">AO52</f>
        <v>#DIV/0!</v>
      </c>
      <c r="AQ52" s="128" t="e">
        <f>(SUM(IS!AQ51,IS!AO51,IS!AN51,IS!AM51))/(SUM(IS!AQ20,IS!AO20,IS!AN20,IS!AM20))</f>
        <v>#DIV/0!</v>
      </c>
      <c r="AR52" s="128" t="e">
        <f>(SUM(IS!AR51,IS!AQ51,IS!AO51,IS!AN51))/(SUM(IS!AR20,IS!AQ20,IS!AO20,IS!AN20))</f>
        <v>#DIV/0!</v>
      </c>
      <c r="AS52" s="128">
        <f>(SUM(IS!AW51,IS!AR51,IS!AQ51,IS!AO51))/(SUM(IS!AW20,IS!AR20,IS!AQ20,IS!AO20))</f>
        <v>-0.10420505947394879</v>
      </c>
      <c r="AT52" s="128">
        <f>(SUM(IS!AX51,IS!AW51,IS!AR51,IS!AQ51))/(SUM(IS!AX20,IS!AW20,IS!AR20,IS!AQ20))</f>
        <v>1.2787933437166922E-2</v>
      </c>
      <c r="AU52" s="548">
        <f t="shared" ref="AU52:AU59" si="189">AT52</f>
        <v>1.2787933437166922E-2</v>
      </c>
      <c r="AV52" s="243"/>
      <c r="AW52" s="22"/>
      <c r="AX52" s="128"/>
      <c r="AY52" s="128"/>
      <c r="AZ52" s="128"/>
      <c r="BA52" s="123"/>
      <c r="BB52" s="56">
        <f>(SUM(IS!BB51,IS!AX51,IS!AW51,IS!AR51))/(SUM(IS!BB20,IS!AX20,IS!AW20,IS!AR20))</f>
        <v>2.6017269597607043E-2</v>
      </c>
      <c r="BC52" s="128">
        <f>(SUM(IS!BC51,IS!BB51,IS!AX51,IS!AW51))/(SUM(IS!BC20,IS!BB20,IS!AX20,IS!AW20))</f>
        <v>4.8282853884171785E-2</v>
      </c>
      <c r="BD52" s="128">
        <f>(SUM(IS!BD51,IS!BC51,IS!BB51,IS!AX51))/(SUM(IS!BD20,IS!BC20,IS!BB20,IS!AX20))</f>
        <v>4.713847188932338E-2</v>
      </c>
      <c r="BE52" s="31">
        <f>(SUM(IS!BE51,IS!BD51,IS!BC51,IS!BB51))/(SUM(IS!BE20,IS!BD20,IS!BC20,IS!BB20))</f>
        <v>3.7718885130795833E-2</v>
      </c>
      <c r="BF52" s="88">
        <f t="shared" ref="BF52:BF59" si="190">BE52</f>
        <v>3.7718885130795833E-2</v>
      </c>
      <c r="BG52" s="56">
        <f>(SUM(IS!BG51,IS!BE51,IS!BD51,IS!BC51))/(SUM(IS!BG20,IS!BE20,IS!BD20,IS!BC20))</f>
        <v>4.6014615907545804E-2</v>
      </c>
      <c r="BH52" s="128">
        <f>(SUM(IS!BH51,IS!BG51,IS!BE51,IS!BD51))/(SUM(IS!BH20,IS!BG20,IS!BE20,IS!BD20))</f>
        <v>5.4936929099608428E-2</v>
      </c>
      <c r="BI52" s="128">
        <f>(SUM(IS!BI51,IS!BH51,IS!BG51,IS!BE51))/(SUM(IS!BI20,IS!BH20,IS!BG20,IS!BE20))</f>
        <v>4.3828598043781884E-2</v>
      </c>
      <c r="BJ52" s="31">
        <f>(SUM(IS!BJ51,IS!BI51,IS!BH51,IS!BG51))/(SUM(IS!BJ20,IS!BI20,IS!BH20,IS!BG20))</f>
        <v>5.971891014257439E-2</v>
      </c>
      <c r="BK52" s="88">
        <f t="shared" ref="BK52:BK59" si="191">BJ52</f>
        <v>5.971891014257439E-2</v>
      </c>
      <c r="BL52" s="56">
        <f>(SUM(IS!BL51,IS!BJ51,IS!BI51,IS!BH51))/(SUM(IS!BL20,IS!BJ20,IS!BI20,IS!BH20))</f>
        <v>8.0522936310522278E-2</v>
      </c>
      <c r="BM52" s="128">
        <f>(SUM(IS!BM51,IS!BL51,IS!BJ51,IS!BI51))/(SUM(IS!BM20,IS!BL20,IS!BJ20,IS!BI20))</f>
        <v>0.10496521620515617</v>
      </c>
      <c r="BN52" s="128">
        <f>(SUM(IS!BN51,IS!BM51,IS!BL51,IS!BJ51))/(SUM(IS!BN20,IS!BM20,IS!BL20,IS!BJ20))</f>
        <v>0.16762601120099566</v>
      </c>
      <c r="BO52" s="31">
        <f>(SUM(IS!BO51,IS!BN51,IS!BM51,IS!BL51))/(SUM(IS!BO20,IS!BN20,IS!BM20,IS!BL20))</f>
        <v>0.20387333158858933</v>
      </c>
      <c r="BP52" s="88">
        <f t="shared" ref="BP52:BP59" si="192">BO52</f>
        <v>0.20387333158858933</v>
      </c>
      <c r="BQ52" s="56">
        <f>(SUM(IS!BQ51,IS!BO51,IS!BN51,IS!BM51))/(SUM(IS!BQ20,IS!BO20,IS!BN20,IS!BM20))</f>
        <v>0.24379424256724871</v>
      </c>
      <c r="BR52" s="128">
        <f>(SUM(IS!BR51,IS!BQ51,IS!BO51,IS!BN51))/(SUM(IS!BR20,IS!BQ20,IS!BO20,IS!BN20))</f>
        <v>0.25949731389102071</v>
      </c>
      <c r="BS52" s="128">
        <f>(SUM(IS!BS51,IS!BR51,IS!BQ51,IS!BO51))/(SUM(IS!BS20,IS!BR20,IS!BQ20,IS!BO20))</f>
        <v>0.17090422481361112</v>
      </c>
      <c r="BT52" s="31">
        <f>(SUM(IS!BT51,IS!BS51,IS!BR51,IS!BQ51))/(SUM(IS!BT20,IS!BS20,IS!BR20,IS!BQ20))</f>
        <v>-0.23168796458698734</v>
      </c>
      <c r="BU52" s="88">
        <f t="shared" ref="BU52:BU59" si="193">BT52</f>
        <v>-0.23168796458698734</v>
      </c>
      <c r="BV52" s="56">
        <f>(SUM(IS!CA51,IS!BT51,IS!BS51,IS!BR51))/(SUM(IS!CA20,IS!BT20,IS!BS20,IS!BR20))</f>
        <v>-0.15198179605228349</v>
      </c>
      <c r="BW52" s="1364">
        <f>(SUM(IS!CB51,IS!CA51,IS!BT51,IS!BS51))/(SUM(IS!CB20,IS!CA20,IS!BT20,IS!BS20))</f>
        <v>-0.10053544014677809</v>
      </c>
      <c r="BX52" s="128">
        <f>(SUM(IS!CC51,IS!CB51,IS!CA51,IS!BT51))/(SUM(IS!CC20,IS!CB20,IS!CA20,IS!BT20))</f>
        <v>-1.8214861497874865E-2</v>
      </c>
      <c r="BY52" s="31">
        <f>(SUM(IS!CD51,IS!CC51,IS!CB51,IS!CA51))/(SUM(IS!CD20,IS!CC20,IS!CB20,IS!CA20))</f>
        <v>0.12628201964365035</v>
      </c>
      <c r="BZ52" s="88">
        <f t="shared" ref="BZ52:BZ59" si="194">BY52</f>
        <v>0.12628201964365035</v>
      </c>
      <c r="CA52" s="56">
        <f>(SUM(IS!CF51,IS!BY51,IS!BX51,IS!BW51))/(SUM(IS!CF20,IS!BY20,IS!BX20,IS!BW20))</f>
        <v>0.1220504475183075</v>
      </c>
      <c r="CB52" s="128">
        <f>(SUM(IS!CG51,IS!CF51,IS!BY51,IS!BX51))/(SUM(IS!CG20,IS!CF20,IS!BY20,IS!BX20))</f>
        <v>0.14816951515588556</v>
      </c>
      <c r="CC52" s="128">
        <f>(SUM(IS!CH51,IS!CG51,IS!CF51,IS!CD51))/(SUM(IS!CH20,IS!CG20,IS!CF20,IS!CD20))</f>
        <v>0.2050545045705626</v>
      </c>
      <c r="CD52" s="31">
        <f>(SUM(IS!CI51,IS!CH51,IS!CG51,IS!CF51))/(SUM(IS!CI20,IS!CH20,IS!CG20,IS!CF20))</f>
        <v>0.23056698618836496</v>
      </c>
      <c r="CE52" s="88">
        <f t="shared" ref="CE52:CE59" si="195">CD52</f>
        <v>0.23056698618836496</v>
      </c>
      <c r="CF52" s="56">
        <f>(SUM(IS!CK51,IS!CD51,IS!CC51,IS!CB51))/(SUM(IS!CK20,IS!CD20,IS!CC20,IS!CB20))</f>
        <v>0.15237771574220177</v>
      </c>
      <c r="CG52" s="128">
        <f>(SUM(IS!CL51,IS!CK51,IS!CI51,IS!CH51))/(SUM(IS!CL20,IS!CK20,IS!CI20,IS!CH20))</f>
        <v>0.2199065822913725</v>
      </c>
      <c r="CH52" s="128">
        <f>(SUM(IS!CM51,IS!CL51,IS!CK51,IS!CI51))/(SUM(IS!CM20,IS!CL20,IS!CK20,IS!CI20))</f>
        <v>0.21518521179894368</v>
      </c>
      <c r="CI52" s="31">
        <f>(SUM(IS!CN51,IS!CM51,IS!CL51,IS!CK51))/(SUM(IS!CN20,IS!CM20,IS!CL20,IS!CK20))</f>
        <v>0.26994602390682021</v>
      </c>
      <c r="CJ52" s="88">
        <f t="shared" ref="CJ52:CJ59" si="196">CI52</f>
        <v>0.26994602390682021</v>
      </c>
      <c r="CK52" s="56">
        <f>(SUM(IS!CP51,IS!CN51,IS!CM51,IS!CL51))/(SUM(IS!CP20,IS!CN20,IS!CM20,IS!CL20))</f>
        <v>0.27902594578924483</v>
      </c>
      <c r="CL52" s="210">
        <f>(SUM(IS!CQ51,IS!CP51,IS!CN51,IS!CM51))/(SUM(IS!CQ20,IS!CP20,IS!CN20,IS!CM20))</f>
        <v>0.26746567977387431</v>
      </c>
      <c r="CM52" s="210">
        <f>(SUM(IS!CR51,IS!CQ51,IS!CP51,IS!CN51))/(SUM(IS!CR20,IS!CQ20,IS!CP20,IS!CN20))</f>
        <v>0.26533104628601267</v>
      </c>
      <c r="CN52" s="211">
        <f>(SUM(IS!CS51,IS!CR51,IS!CQ51,IS!CP51))/(SUM(IS!CS20,IS!CR20,IS!CQ20,IS!CP20))</f>
        <v>0.20669749892822184</v>
      </c>
      <c r="CO52" s="164">
        <f t="shared" ref="CO52:CO59" si="197">CN52</f>
        <v>0.20669749892822184</v>
      </c>
      <c r="CP52" s="209">
        <f>(SUM(IS!CU51,IS!CS51,IS!CR51,IS!CQ51))/(SUM(IS!CU20,IS!CS20,IS!CR20,IS!CQ20))</f>
        <v>0.20053433687221028</v>
      </c>
      <c r="CQ52" s="210">
        <f>(SUM(IS!CV51,IS!CU51,IS!CS51,IS!CR51))/(SUM(IS!CV20,IS!CU20,IS!CS20,IS!CR20))</f>
        <v>0.20618448846059256</v>
      </c>
      <c r="CR52" s="210">
        <f>(SUM(IS!CW51,IS!CV51,IS!CU51,IS!CS51))/(SUM(IS!CW20,IS!CV20,IS!CU20,IS!CS20))</f>
        <v>0.21170991358683736</v>
      </c>
      <c r="CS52" s="211">
        <f>(SUM(IS!CX51,IS!CW51,IS!CV51,IS!CU51))/(SUM(IS!CX20,IS!CW20,IS!CV20,IS!CU20))</f>
        <v>0.21735813730317802</v>
      </c>
      <c r="CT52" s="164">
        <f t="shared" ref="CT52:CT59" si="198">CS52</f>
        <v>0.21735813730317802</v>
      </c>
      <c r="CU52" s="209">
        <f>(SUM(IS!CZ51,IS!CX51,IS!CW51,IS!CV51))/(SUM(IS!CZ20,IS!CX20,IS!CW20,IS!CV20))</f>
        <v>0.21948904191523769</v>
      </c>
      <c r="CV52" s="210">
        <f>(SUM(IS!DA51,IS!CZ51,IS!CX51,IS!CW51))/(SUM(IS!DA20,IS!CZ20,IS!CX20,IS!CW20))</f>
        <v>0.22452392755800119</v>
      </c>
      <c r="CW52" s="210">
        <f>(SUM(IS!DB51,IS!DA51,IS!CZ51,IS!CX51))/(SUM(IS!DB20,IS!DA20,IS!CZ20,IS!CX20))</f>
        <v>0.22985209493618936</v>
      </c>
      <c r="CX52" s="211">
        <f>(SUM(IS!DC51,IS!DB51,IS!DA51,IS!CZ51))/(SUM(IS!DC20,IS!DB20,IS!DA20,IS!CZ20))</f>
        <v>0.23525660643063018</v>
      </c>
      <c r="CY52" s="164">
        <f t="shared" ref="CY52:CY59" si="199">CX52</f>
        <v>0.23525660643063018</v>
      </c>
      <c r="CZ52" s="209">
        <f>(SUM(IS!DE51,IS!DC51,IS!DB51,IS!DA51))/(SUM(IS!DE20,IS!DC20,IS!DB20,IS!DA20))</f>
        <v>0.24039786056131918</v>
      </c>
      <c r="DA52" s="210">
        <f>(SUM(IS!DF51,IS!DE51,IS!DC51,IS!DB51))/(SUM(IS!DF20,IS!DE20,IS!DC20,IS!DB20))</f>
        <v>0.24402708787987401</v>
      </c>
      <c r="DB52" s="210">
        <f>(SUM(IS!DG51,IS!DF51,IS!DE51,IS!DC51))/(SUM(IS!DG20,IS!DF20,IS!DE20,IS!DC20))</f>
        <v>0.24729076183576212</v>
      </c>
      <c r="DC52" s="211">
        <f>(SUM(IS!DH51,IS!DG51,IS!DF51,IS!DE51))/(SUM(IS!DH20,IS!DG20,IS!DF20,IS!DE20))</f>
        <v>0.24653450437871674</v>
      </c>
      <c r="DD52" s="164">
        <f t="shared" ref="DD52:DD59" si="200">DC52</f>
        <v>0.24653450437871674</v>
      </c>
      <c r="DE52" s="209">
        <f>(SUM(IS!DJ51,IS!DH51,IS!DG51,IS!DF51))/(SUM(IS!DJ20,IS!DH20,IS!DG20,IS!DF20))</f>
        <v>0.25082146424392071</v>
      </c>
      <c r="DF52" s="210">
        <f>(SUM(IS!DK51,IS!DJ51,IS!DH51,IS!DG51))/(SUM(IS!DK20,IS!DJ20,IS!DH20,IS!DG20))</f>
        <v>0.25501434845440291</v>
      </c>
      <c r="DG52" s="210">
        <f>(SUM(IS!DL51,IS!DK51,IS!DJ51,IS!DH51))/(SUM(IS!DL20,IS!DK20,IS!DJ20,IS!DH20))</f>
        <v>0.25983186013815096</v>
      </c>
      <c r="DH52" s="211">
        <f>(SUM(IS!DM51,IS!DL51,IS!DK51,IS!DJ51))/(SUM(IS!DM20,IS!DL20,IS!DK20,IS!DJ20))</f>
        <v>0.26865288111080826</v>
      </c>
      <c r="DI52" s="164">
        <f t="shared" ref="DI52:DI59" si="201">DH52</f>
        <v>0.26865288111080826</v>
      </c>
      <c r="DJ52" s="209">
        <f>(SUM(IS!DO51,IS!DM51,IS!DL51,IS!DK51))/(SUM(IS!DO20,IS!DM20,IS!DL20,IS!DK20))</f>
        <v>0.27210497443548531</v>
      </c>
      <c r="DK52" s="210">
        <f>(SUM(IS!DP51,IS!DO51,IS!DM51,IS!DL51))/(SUM(IS!DP20,IS!DO20,IS!DM20,IS!DL20))</f>
        <v>0.2761940260112124</v>
      </c>
      <c r="DL52" s="210">
        <f>(SUM(IS!DQ51,IS!DP51,IS!DO51,IS!DM51))/(SUM(IS!DQ20,IS!DP20,IS!DO20,IS!DM20))</f>
        <v>0.28055109637270459</v>
      </c>
      <c r="DM52" s="211">
        <f>(SUM(IS!DR51,IS!DQ51,IS!DP51,IS!DO51))/(SUM(IS!DR20,IS!DQ20,IS!DP20,IS!DO20))</f>
        <v>0.28500427589509258</v>
      </c>
      <c r="DN52" s="164">
        <f t="shared" ref="DN52:DN59" si="202">DM52</f>
        <v>0.28500427589509258</v>
      </c>
      <c r="DO52" s="209">
        <f>(SUM(IS!DT51,IS!DR51,IS!DQ51,IS!DP51))/(SUM(IS!DT20,IS!DR20,IS!DQ20,IS!DP20))</f>
        <v>0.2826345918609503</v>
      </c>
      <c r="DP52" s="210">
        <f>(SUM(IS!DU51,IS!DT51,IS!DR51,IS!DQ51))/(SUM(IS!DU20,IS!DT20,IS!DR20,IS!DQ20))</f>
        <v>0.28023552952810926</v>
      </c>
      <c r="DQ52" s="210">
        <f>(SUM(IS!DV51,IS!DU51,IS!DT51,IS!DR51))/(SUM(IS!DV20,IS!DU20,IS!DT20,IS!DR20))</f>
        <v>0.27938860077461664</v>
      </c>
      <c r="DR52" s="211">
        <f>(SUM(IS!DW51,IS!DV51,IS!DU51,IS!DT51))/(SUM(IS!DW20,IS!DV20,IS!DU20,IS!DT20))</f>
        <v>0.27929627722402378</v>
      </c>
      <c r="DS52" s="164">
        <f t="shared" ref="DS52:DS59" si="203">DR52</f>
        <v>0.27929627722402378</v>
      </c>
      <c r="DT52" s="209">
        <f>(SUM(IS!DY51,IS!DW51,IS!DV51,IS!DU51))/(SUM(IS!DY20,IS!DW20,IS!DV20,IS!DU20))</f>
        <v>0.28434675720131308</v>
      </c>
      <c r="DU52" s="210">
        <f>(SUM(IS!DZ51,IS!DY51,IS!DW51,IS!DV51))/(SUM(IS!DZ20,IS!DY20,IS!DW20,IS!DV20))</f>
        <v>0.28963543793337582</v>
      </c>
      <c r="DV52" s="210">
        <f>(SUM(IS!EA51,IS!DZ51,IS!DY51,IS!DW51))/(SUM(IS!EA20,IS!DZ20,IS!DY20,IS!DW20))</f>
        <v>0.29364759708900895</v>
      </c>
      <c r="DW52" s="211">
        <f>(SUM(IS!EB51,IS!EA51,IS!DZ51,IS!DY51))/(SUM(IS!EB20,IS!EA20,IS!DZ20,IS!DY20))</f>
        <v>0.29781303110123125</v>
      </c>
      <c r="DX52" s="164">
        <f t="shared" ref="DX52:DX54" si="204">DW52</f>
        <v>0.29781303110123125</v>
      </c>
      <c r="DY52" s="21"/>
      <c r="DZ52" s="21"/>
      <c r="EA52" s="21"/>
      <c r="EB52" s="21"/>
      <c r="EC52" s="21"/>
      <c r="ED52" s="21"/>
      <c r="EE52" s="21"/>
      <c r="EF52" s="21"/>
    </row>
    <row r="53" spans="1:136" x14ac:dyDescent="0.2">
      <c r="A53" s="564" t="s">
        <v>441</v>
      </c>
      <c r="B53" s="123"/>
      <c r="C53" s="22"/>
      <c r="D53" s="22"/>
      <c r="E53" s="22"/>
      <c r="F53" s="22"/>
      <c r="G53" s="123"/>
      <c r="H53" s="22"/>
      <c r="I53" s="22"/>
      <c r="J53" s="22"/>
      <c r="K53" s="22"/>
      <c r="L53" s="123"/>
      <c r="M53" s="128"/>
      <c r="N53" s="128"/>
      <c r="O53" s="128"/>
      <c r="P53" s="128"/>
      <c r="Q53" s="123"/>
      <c r="R53" s="128"/>
      <c r="S53" s="128"/>
      <c r="T53" s="128"/>
      <c r="U53" s="128" t="e">
        <f>(IS!U39+IS!T39+IS!S39+IS!R39)/(IS!U20+IS!T20+IS!S20+IS!R20)</f>
        <v>#DIV/0!</v>
      </c>
      <c r="V53" s="122" t="e">
        <f t="shared" si="184"/>
        <v>#DIV/0!</v>
      </c>
      <c r="W53" s="209"/>
      <c r="X53" s="210"/>
      <c r="Y53" s="210"/>
      <c r="Z53" s="31" t="e">
        <f>(IS!Z39+IS!Y39+IS!X39+IS!W39)/(IS!Z20+IS!Y20+IS!X20+IS!W20)</f>
        <v>#DIV/0!</v>
      </c>
      <c r="AA53" s="123" t="e">
        <f t="shared" si="185"/>
        <v>#DIV/0!</v>
      </c>
      <c r="AB53" s="56" t="e">
        <f>(IS!AB39+IS!Z39+IS!Y39+IS!X39)/(IS!AB20+IS!Z20+IS!Y20+IS!X20)</f>
        <v>#DIV/0!</v>
      </c>
      <c r="AC53" s="128" t="e">
        <f>(IS!AC39+IS!AB39+IS!Z39+IS!Y39)/(IS!AC20+IS!AB20+IS!Z20+IS!Y20)</f>
        <v>#DIV/0!</v>
      </c>
      <c r="AD53" s="128" t="e">
        <f>(IS!AD39+IS!AC39+IS!AB39+IS!Z39)/(IS!AD20+IS!AC20+IS!AB20+IS!Z20)</f>
        <v>#DIV/0!</v>
      </c>
      <c r="AE53" s="31" t="e">
        <f>(IS!AE39+IS!AD39+IS!AC39+IS!AB39)/(IS!AE20+IS!AD20+IS!AC20+IS!AB20)</f>
        <v>#DIV/0!</v>
      </c>
      <c r="AF53" s="88" t="e">
        <f t="shared" si="186"/>
        <v>#DIV/0!</v>
      </c>
      <c r="AG53" s="56" t="e">
        <f>(IS!AG39+IS!AE39+IS!AD39+IS!AC39)/(IS!AG20+IS!AE20+IS!AD20+IS!AC20)</f>
        <v>#DIV/0!</v>
      </c>
      <c r="AH53" s="128" t="e">
        <f>(IS!AH39+IS!AG39+IS!AE39+IS!AD39)/(IS!AH20+IS!AG20+IS!AE20+IS!AD20)</f>
        <v>#DIV/0!</v>
      </c>
      <c r="AI53" s="128" t="e">
        <f>(IS!AI39+IS!AH39+IS!AG39+IS!AE39)/(IS!AI20+IS!AH20+IS!AG20+IS!AE20)</f>
        <v>#DIV/0!</v>
      </c>
      <c r="AJ53" s="31" t="e">
        <f>(IS!AJ39+IS!AI39+IS!AH39+IS!AG39)/(IS!AJ20+IS!AI20+IS!AH20+IS!AG20)</f>
        <v>#DIV/0!</v>
      </c>
      <c r="AK53" s="88" t="e">
        <f t="shared" si="187"/>
        <v>#DIV/0!</v>
      </c>
      <c r="AL53" s="56" t="e">
        <f>(IS!AL39+IS!AJ39+IS!AI39+IS!AH39)/(IS!AL20+IS!AJ20+IS!AI20+IS!AH20)</f>
        <v>#DIV/0!</v>
      </c>
      <c r="AM53" s="128" t="e">
        <f>(IS!AM39+IS!AL39+IS!AJ39+IS!AI39)/(IS!AM20+IS!AL20+IS!AJ20+IS!AI20)</f>
        <v>#DIV/0!</v>
      </c>
      <c r="AN53" s="128" t="e">
        <f>(IS!AN39+IS!AM39+IS!AL39+IS!AJ39)/(IS!AN20+IS!AM20+IS!AL20+IS!AJ20)</f>
        <v>#DIV/0!</v>
      </c>
      <c r="AO53" s="31" t="e">
        <f>(IS!AO39+IS!AN39+IS!AM39+IS!AL39)/(IS!AO20+IS!AN20+IS!AM20+IS!AL20)</f>
        <v>#DIV/0!</v>
      </c>
      <c r="AP53" s="548" t="e">
        <f t="shared" si="188"/>
        <v>#DIV/0!</v>
      </c>
      <c r="AQ53" s="128" t="e">
        <f>(IS!AQ39+IS!AO39+IS!AN39+IS!AM39)/(IS!AQ20+IS!AO20+IS!AN20+IS!AM20)</f>
        <v>#DIV/0!</v>
      </c>
      <c r="AR53" s="128" t="e">
        <f>(IS!AR39+IS!AQ39+IS!AO39+IS!AN39)/(IS!AR20+IS!AQ20+IS!AO20+IS!AN20)</f>
        <v>#DIV/0!</v>
      </c>
      <c r="AS53" s="128">
        <f>(IS!AW39+IS!AR39+IS!AQ39+IS!AO39)/(IS!AW20+IS!AR20+IS!AQ20+IS!AO20)</f>
        <v>0.13218294521695423</v>
      </c>
      <c r="AT53" s="128">
        <f>(IS!AX39+IS!AW39+IS!AR39+IS!AQ39)/(IS!AX20+IS!AW20+IS!AR20+IS!AQ20)</f>
        <v>0.13255184851217305</v>
      </c>
      <c r="AU53" s="548">
        <f t="shared" si="189"/>
        <v>0.13255184851217305</v>
      </c>
      <c r="AV53" s="243"/>
      <c r="AW53" s="22"/>
      <c r="AX53" s="128"/>
      <c r="AY53" s="128"/>
      <c r="AZ53" s="128"/>
      <c r="BA53" s="123"/>
      <c r="BB53" s="56">
        <f>(IS!BB39+IS!AX39+IS!AW39+IS!AR39)/(IS!BB20+IS!AX20+IS!AW20+IS!AR20)</f>
        <v>0.12737739150064897</v>
      </c>
      <c r="BC53" s="128">
        <f>(IS!BC39+IS!BB39+IS!AX39+IS!AW39)/(IS!BC20+IS!BB20+IS!AX20+IS!AW20)</f>
        <v>0.13716047818189492</v>
      </c>
      <c r="BD53" s="128">
        <f>(IS!BD39+IS!BC39+IS!BB39+IS!AX39)/(IS!BD20+IS!BC20+IS!BB20+IS!AX20)</f>
        <v>0.15028804507800342</v>
      </c>
      <c r="BE53" s="31">
        <f>(IS!BE39+IS!BD39+IS!BC39+IS!BB39)/(IS!BE20+IS!BD20+IS!BC20+IS!BB20)</f>
        <v>0.15519972599220785</v>
      </c>
      <c r="BF53" s="88">
        <f t="shared" si="190"/>
        <v>0.15519972599220785</v>
      </c>
      <c r="BG53" s="56">
        <f>(IS!BG39+IS!BE39+IS!BD39+IS!BC39)/(IS!BG20+IS!BE20+IS!BD20+IS!BC20)</f>
        <v>0.16255948334466341</v>
      </c>
      <c r="BH53" s="128">
        <f>(IS!BH39+IS!BG39+IS!BE39+IS!BD39)/(IS!BH20+IS!BG20+IS!BE20+IS!BD20)</f>
        <v>0.17899086559373631</v>
      </c>
      <c r="BI53" s="128">
        <f>(IS!BI39+IS!BH39+IS!BG39+IS!BE39)/(IS!BI20+IS!BH20+IS!BG20+IS!BE20)</f>
        <v>0.18337214718211445</v>
      </c>
      <c r="BJ53" s="31">
        <f>(IS!BJ39+IS!BI39+IS!BH39+IS!BG39)/(IS!BJ20+IS!BI20+IS!BH20+IS!BG20)</f>
        <v>0.2119336343802323</v>
      </c>
      <c r="BK53" s="88">
        <f t="shared" si="191"/>
        <v>0.2119336343802323</v>
      </c>
      <c r="BL53" s="56">
        <f>(IS!BL39+IS!BJ39+IS!BI39+IS!BH39)/(IS!BL20+IS!BJ20+IS!BI20+IS!BH20)</f>
        <v>0.25221264534042914</v>
      </c>
      <c r="BM53" s="128">
        <f>(IS!BM39+IS!BL39+IS!BJ39+IS!BI39)/(IS!BM20+IS!BL20+IS!BJ20+IS!BI20)</f>
        <v>0.30098213067794294</v>
      </c>
      <c r="BN53" s="128">
        <f>(IS!BN39+IS!BM39+IS!BL39+IS!BJ39)/(IS!BN20+IS!BM20+IS!BL20+IS!BJ20)</f>
        <v>0.38347853142501553</v>
      </c>
      <c r="BO53" s="31">
        <f>(IS!BO39+IS!BN39+IS!BM39+IS!BL39)/(IS!BO20+IS!BN20+IS!BM20+IS!BL20)</f>
        <v>0.45555264764895759</v>
      </c>
      <c r="BP53" s="88">
        <f t="shared" si="192"/>
        <v>0.45555264764895759</v>
      </c>
      <c r="BQ53" s="56">
        <f>(IS!BQ39+IS!BO39+IS!BN39+IS!BM39)/(IS!BQ20+IS!BO20+IS!BN20+IS!BM20)</f>
        <v>0.52015101462954227</v>
      </c>
      <c r="BR53" s="128">
        <f>(IS!BR39+IS!BQ39+IS!BO39+IS!BN39)/(IS!BR20+IS!BQ20+IS!BO20+IS!BN20)</f>
        <v>0.54623944742900987</v>
      </c>
      <c r="BS53" s="128">
        <f>(IS!BS39+IS!BR39+IS!BQ39+IS!BO39)/(IS!BS20+IS!BR20+IS!BQ20+IS!BO20)</f>
        <v>0.4060409099598547</v>
      </c>
      <c r="BT53" s="31">
        <f>(IS!BT39+IS!BS39+IS!BR39+IS!BQ39)/(IS!BT20+IS!BS20+IS!BR20+IS!BQ20)</f>
        <v>0.15234277123527937</v>
      </c>
      <c r="BU53" s="88">
        <f t="shared" si="193"/>
        <v>0.15234277123527937</v>
      </c>
      <c r="BV53" s="56">
        <f>(IS!CA39+IS!BT39+IS!BS39+IS!BR39)/(IS!CA20+IS!BT20+IS!BS20+IS!BR20)</f>
        <v>0.14563158173255011</v>
      </c>
      <c r="BW53" s="1364">
        <f>(IS!CB39+IS!CA39+IS!BT39+IS!BS39)/(IS!CB20+IS!CA20+IS!BT20+IS!BS20)</f>
        <v>0.15943385629235776</v>
      </c>
      <c r="BX53" s="128">
        <f>(IS!CC39+IS!CB39+IS!CA39+IS!BT39)/(IS!CC20+IS!CB20+IS!CA20+IS!BT20)</f>
        <v>0.22538472812545796</v>
      </c>
      <c r="BY53" s="31">
        <f>(IS!CD39+IS!CC39+IS!CB39+IS!CA39)/(IS!CD20+IS!CC20+IS!CB20+IS!CA20)</f>
        <v>0.29421055229258181</v>
      </c>
      <c r="BZ53" s="88">
        <f t="shared" si="194"/>
        <v>0.29421055229258181</v>
      </c>
      <c r="CA53" s="56">
        <f>(IS!CF39+IS!BY39+IS!BX39+IS!BW39)/(IS!CF20+IS!BY20+IS!BX20+IS!BW20)</f>
        <v>0.31089360072751637</v>
      </c>
      <c r="CB53" s="128">
        <f>(IS!CG39+IS!CF39+IS!BY39+IS!BX39)/(IS!CG20+IS!CF20+IS!BY20+IS!BX20)</f>
        <v>0.33616980361048998</v>
      </c>
      <c r="CC53" s="128">
        <f>(IS!CH39+IS!CG39+IS!CF39+IS!CD39)/(IS!CH20+IS!CG20+IS!CF20+IS!CD20)</f>
        <v>0.36591386811360405</v>
      </c>
      <c r="CD53" s="31">
        <f>(IS!CI39+IS!CH39+IS!CG39+IS!CF39)/(IS!CI20+IS!CH20+IS!CG20+IS!CF20)</f>
        <v>0.40201843802613735</v>
      </c>
      <c r="CE53" s="88">
        <f t="shared" si="195"/>
        <v>0.40201843802613735</v>
      </c>
      <c r="CF53" s="56">
        <f>(IS!CK39+IS!CD39+IS!CC39+IS!CB39)/(IS!CK20+IS!CD20+IS!CC20+IS!CB20)</f>
        <v>0.31661609418618769</v>
      </c>
      <c r="CG53" s="128">
        <f>(IS!CL39+IS!CK39+IS!CI39+IS!CH39)/(IS!CL20+IS!CK20+IS!CI20+IS!CH20)</f>
        <v>0.38484577745476095</v>
      </c>
      <c r="CH53" s="128">
        <f>(IS!CM39+IS!CL39+IS!CK39+IS!CI39)/(IS!CM20+IS!CL20+IS!CK20+IS!CI20)</f>
        <v>0.38656450975460777</v>
      </c>
      <c r="CI53" s="31">
        <f>(IS!CN39+IS!CM39+IS!CL39+IS!CK39)/(IS!CN20+IS!CM20+IS!CL20+IS!CK20)</f>
        <v>0.37934048644041873</v>
      </c>
      <c r="CJ53" s="88">
        <f t="shared" si="196"/>
        <v>0.37934048644041873</v>
      </c>
      <c r="CK53" s="56">
        <f>(IS!CP39+IS!CN39+IS!CM39+IS!CL39)/(IS!CP20+IS!CN20+IS!CM20+IS!CL20)</f>
        <v>0.37692833329882175</v>
      </c>
      <c r="CL53" s="210">
        <f>(IS!CQ39+IS!CP39+IS!CN39+IS!CM39)/(IS!CQ20+IS!CP20+IS!CN20+IS!CM20)</f>
        <v>0.36826857160603943</v>
      </c>
      <c r="CM53" s="210">
        <f>(IS!CR39+IS!CQ39+IS!CP39+IS!CN39)/(IS!CR20+IS!CQ20+IS!CP20+IS!CN20)</f>
        <v>0.35968820528915818</v>
      </c>
      <c r="CN53" s="211">
        <f>(IS!CS39+IS!CR39+IS!CQ39+IS!CP39)/(IS!CS20+IS!CR20+IS!CQ20+IS!CP20)</f>
        <v>0.3512463970010915</v>
      </c>
      <c r="CO53" s="164">
        <f t="shared" si="197"/>
        <v>0.3512463970010915</v>
      </c>
      <c r="CP53" s="209">
        <f>(IS!CU39+IS!CS39+IS!CR39+IS!CQ39)/(IS!CU20+IS!CS20+IS!CR20+IS!CQ20)</f>
        <v>0.35548585915039993</v>
      </c>
      <c r="CQ53" s="210">
        <f>(IS!CV39+IS!CU39+IS!CS39+IS!CR39)/(IS!CV20+IS!CU20+IS!CS20+IS!CR20)</f>
        <v>0.36093927658048203</v>
      </c>
      <c r="CR53" s="210">
        <f>(IS!CW39+IS!CV39+IS!CU39+IS!CS39)/(IS!CW20+IS!CV20+IS!CU20+IS!CS20)</f>
        <v>0.36611503409391744</v>
      </c>
      <c r="CS53" s="211">
        <f>(IS!CX39+IS!CW39+IS!CV39+IS!CU39)/(IS!CX20+IS!CW20+IS!CV20+IS!CU20)</f>
        <v>0.3714013059417024</v>
      </c>
      <c r="CT53" s="164">
        <f t="shared" si="198"/>
        <v>0.3714013059417024</v>
      </c>
      <c r="CU53" s="209">
        <f>(IS!CZ39+IS!CX39+IS!CW39+IS!CV39)/(IS!CZ20+IS!CX20+IS!CW20+IS!CV20)</f>
        <v>0.37201003788970538</v>
      </c>
      <c r="CV53" s="210">
        <f>(IS!DA39+IS!CZ39+IS!CX39+IS!CW39)/(IS!DA20+IS!CZ20+IS!CX20+IS!CW20)</f>
        <v>0.37645424598418337</v>
      </c>
      <c r="CW53" s="210">
        <f>(IS!DB39+IS!DA39+IS!CZ39+IS!CX39)/(IS!DB20+IS!DA20+IS!CZ20+IS!CX20)</f>
        <v>0.38125962583137407</v>
      </c>
      <c r="CX53" s="211">
        <f>(IS!DC39+IS!DB39+IS!DA39+IS!CZ39)/(IS!DC20+IS!DB20+IS!DA20+IS!CZ20)</f>
        <v>0.38615577312724597</v>
      </c>
      <c r="CY53" s="164">
        <f t="shared" si="199"/>
        <v>0.38615577312724597</v>
      </c>
      <c r="CZ53" s="209">
        <f>(IS!DE39+IS!DC39+IS!DB39+IS!DA39)/(IS!DE20+IS!DC20+IS!DB20+IS!DA20)</f>
        <v>0.39065833617194035</v>
      </c>
      <c r="DA53" s="210">
        <f>(IS!DF39+IS!DE39+IS!DC39+IS!DB39)/(IS!DF20+IS!DE20+IS!DC20+IS!DB20)</f>
        <v>0.39348102748698427</v>
      </c>
      <c r="DB53" s="210">
        <f>(IS!DG39+IS!DF39+IS!DE39+IS!DC39)/(IS!DG20+IS!DF20+IS!DE20+IS!DC20)</f>
        <v>0.39550072830751565</v>
      </c>
      <c r="DC53" s="211">
        <f>(IS!DH39+IS!DG39+IS!DF39+IS!DE39)/(IS!DH20+IS!DG20+IS!DF20+IS!DE20)</f>
        <v>0.39764165788416006</v>
      </c>
      <c r="DD53" s="164">
        <f t="shared" si="200"/>
        <v>0.39764165788416006</v>
      </c>
      <c r="DE53" s="209">
        <f>(IS!DJ39+IS!DH39+IS!DG39+IS!DF39)/(IS!DJ20+IS!DH20+IS!DG20+IS!DF20)</f>
        <v>0.40293394752914746</v>
      </c>
      <c r="DF53" s="210">
        <f>(IS!DK39+IS!DJ39+IS!DH39+IS!DG39)/(IS!DK20+IS!DJ20+IS!DH20+IS!DG20)</f>
        <v>0.40856826066568785</v>
      </c>
      <c r="DG53" s="210">
        <f>(IS!DL39+IS!DK39+IS!DJ39+IS!DH39)/(IS!DL20+IS!DK20+IS!DJ20+IS!DH20)</f>
        <v>0.41462244676499344</v>
      </c>
      <c r="DH53" s="211">
        <f>(IS!DM39+IS!DL39+IS!DK39+IS!DJ39)/(IS!DM20+IS!DL20+IS!DK20+IS!DJ20)</f>
        <v>0.42072558547215055</v>
      </c>
      <c r="DI53" s="164">
        <f t="shared" si="201"/>
        <v>0.42072558547215055</v>
      </c>
      <c r="DJ53" s="209">
        <f>(IS!DO39+IS!DM39+IS!DL39+IS!DK39)/(IS!DO20+IS!DM20+IS!DL20+IS!DK20)</f>
        <v>0.42379489349246963</v>
      </c>
      <c r="DK53" s="210">
        <f>(IS!DP39+IS!DO39+IS!DM39+IS!DL39)/(IS!DP20+IS!DO20+IS!DM20+IS!DL20)</f>
        <v>0.4271493230905884</v>
      </c>
      <c r="DL53" s="210">
        <f>(IS!DQ39+IS!DP39+IS!DO39+IS!DM39)/(IS!DQ20+IS!DP20+IS!DO20+IS!DM20)</f>
        <v>0.43085540233352443</v>
      </c>
      <c r="DM53" s="211">
        <f>(IS!DR39+IS!DQ39+IS!DP39+IS!DO39)/(IS!DR20+IS!DQ20+IS!DP20+IS!DO20)</f>
        <v>0.43471910582531986</v>
      </c>
      <c r="DN53" s="164">
        <f t="shared" si="202"/>
        <v>0.43471910582531986</v>
      </c>
      <c r="DO53" s="209">
        <f>(IS!DT39+IS!DR39+IS!DQ39+IS!DP39)/(IS!DT20+IS!DR20+IS!DQ20+IS!DP20)</f>
        <v>0.42989974970447586</v>
      </c>
      <c r="DP53" s="210">
        <f>(IS!DU39+IS!DT39+IS!DR39+IS!DQ39)/(IS!DU20+IS!DT20+IS!DR20+IS!DQ20)</f>
        <v>0.42520608950107186</v>
      </c>
      <c r="DQ53" s="210">
        <f>(IS!DV39+IS!DU39+IS!DT39+IS!DR39)/(IS!DV20+IS!DU20+IS!DT20+IS!DR20)</f>
        <v>0.42049669397589967</v>
      </c>
      <c r="DR53" s="211">
        <f>(IS!DW39+IS!DV39+IS!DU39+IS!DT39)/(IS!DW20+IS!DV20+IS!DU20+IS!DT20)</f>
        <v>0.41683994240400302</v>
      </c>
      <c r="DS53" s="164">
        <f t="shared" si="203"/>
        <v>0.41683994240400302</v>
      </c>
      <c r="DT53" s="209">
        <f>(IS!DY39+IS!DW39+IS!DV39+IS!DU39)/(IS!DY20+IS!DW20+IS!DV20+IS!DU20)</f>
        <v>0.41994845083747062</v>
      </c>
      <c r="DU53" s="210">
        <f>(IS!DZ39+IS!DY39+IS!DW39+IS!DV39)/(IS!DZ20+IS!DY20+IS!DW20+IS!DV20)</f>
        <v>0.42322802261151404</v>
      </c>
      <c r="DV53" s="210">
        <f>(IS!EA39+IS!DZ39+IS!DY39+IS!DW39)/(IS!EA20+IS!DZ20+IS!DY20+IS!DW20)</f>
        <v>0.42685479931911957</v>
      </c>
      <c r="DW53" s="211">
        <f>(IS!EB39+IS!EA39+IS!DZ39+IS!DY39)/(IS!EB20+IS!EA20+IS!DZ20+IS!DY20)</f>
        <v>0.43070692705042418</v>
      </c>
      <c r="DX53" s="164">
        <f t="shared" si="204"/>
        <v>0.43070692705042418</v>
      </c>
      <c r="DY53" s="21"/>
      <c r="DZ53" s="21"/>
      <c r="EA53" s="21"/>
      <c r="EB53" s="21"/>
      <c r="EC53" s="21"/>
      <c r="ED53" s="21"/>
      <c r="EE53" s="21"/>
      <c r="EF53" s="21"/>
    </row>
    <row r="54" spans="1:136" x14ac:dyDescent="0.2">
      <c r="A54" s="564" t="s">
        <v>195</v>
      </c>
      <c r="B54" s="189"/>
      <c r="C54" s="191"/>
      <c r="D54" s="190"/>
      <c r="E54" s="190"/>
      <c r="F54" s="190"/>
      <c r="G54" s="189"/>
      <c r="H54" s="191"/>
      <c r="I54" s="190"/>
      <c r="J54" s="190"/>
      <c r="K54" s="190"/>
      <c r="L54" s="189"/>
      <c r="M54" s="26"/>
      <c r="N54" s="26"/>
      <c r="O54" s="26"/>
      <c r="P54" s="26"/>
      <c r="Q54" s="189"/>
      <c r="R54" s="26"/>
      <c r="S54" s="26"/>
      <c r="T54" s="26"/>
      <c r="U54" s="26">
        <f>(IS!U20+IS!T20+IS!S20+IS!R20)/(AVERAGE(U22,T22,S22,R22))</f>
        <v>0</v>
      </c>
      <c r="V54" s="192">
        <f t="shared" si="184"/>
        <v>0</v>
      </c>
      <c r="W54" s="193"/>
      <c r="X54" s="171"/>
      <c r="Y54" s="171"/>
      <c r="Z54" s="388">
        <f>(IS!Z20+IS!Y20+IS!X20+IS!W20)/(AVERAGE(Z22,Y22,X22,W22))</f>
        <v>0</v>
      </c>
      <c r="AA54" s="189">
        <f t="shared" si="185"/>
        <v>0</v>
      </c>
      <c r="AB54" s="170">
        <f>(SUM(IS!AB20,IS!Z20,IS!Y20,IS!X20))/(AVERAGE(AB22,Z22,Y22,X22))</f>
        <v>0</v>
      </c>
      <c r="AC54" s="26">
        <f>(SUM(IS!AC20,IS!AB20,IS!Z20,IS!Y20))/(AVERAGE(AC22,AB22,Z22,Y22))</f>
        <v>0</v>
      </c>
      <c r="AD54" s="26">
        <f>(SUM(IS!AD20,IS!AC20,IS!AB20,IS!Z20))/(AVERAGE(AD22,AC22,AB22,Z22))</f>
        <v>0</v>
      </c>
      <c r="AE54" s="388">
        <f>(IS!AE20+IS!AD20+IS!AC20+IS!AB20)/(AVERAGE(AE22,AD22,AC22,AB22))</f>
        <v>0</v>
      </c>
      <c r="AF54" s="196">
        <f t="shared" si="186"/>
        <v>0</v>
      </c>
      <c r="AG54" s="170">
        <f>(SUM(IS!AG20,IS!AE20,IS!AD20,IS!AC20))/(AVERAGE(AG22,AE22,AD22,AC22))</f>
        <v>0</v>
      </c>
      <c r="AH54" s="26">
        <f>(SUM(IS!AH20,IS!AG20,IS!AE20,IS!AD20))/(AVERAGE(AH22,AG22,AE22,AD22))</f>
        <v>0</v>
      </c>
      <c r="AI54" s="26">
        <f>(SUM(IS!AI20,IS!AH20,IS!AG20,IS!AE20))/(AVERAGE(AI22,AH22,AG22,AE22))</f>
        <v>0</v>
      </c>
      <c r="AJ54" s="388">
        <f>(IS!AJ20+IS!AI20+IS!AH20+IS!AG20)/(AVERAGE(AJ22,AI22,AH22,AG22))</f>
        <v>0</v>
      </c>
      <c r="AK54" s="196">
        <f t="shared" si="187"/>
        <v>0</v>
      </c>
      <c r="AL54" s="170">
        <f>(SUM(IS!AL20,IS!AJ20,IS!AI20,IS!AH20))/(AVERAGE(AL22,AJ22,AI22,AH22))</f>
        <v>0</v>
      </c>
      <c r="AM54" s="26">
        <f>(SUM(IS!AM20,IS!AL20,IS!AJ20,IS!AI20))/(AVERAGE(AM22,AL22,AJ22,AI22))</f>
        <v>0</v>
      </c>
      <c r="AN54" s="26">
        <f>(SUM(IS!AN20,IS!AM20,IS!AL20,IS!AJ20))/(AVERAGE(AN22,AM22,AL22,AJ22))</f>
        <v>0</v>
      </c>
      <c r="AO54" s="388">
        <f>(IS!AO20+IS!AN20+IS!AM20+IS!AL20)/(AVERAGE(AO22,AN22,AM22,AL22))</f>
        <v>0</v>
      </c>
      <c r="AP54" s="640">
        <f t="shared" si="188"/>
        <v>0</v>
      </c>
      <c r="AQ54" s="26">
        <f>(SUM(IS!AQ20,IS!AO20,IS!AN20,IS!AM20))/(AVERAGE(AQ22,AO22,AN22,AM22))</f>
        <v>0</v>
      </c>
      <c r="AR54" s="26">
        <f>(SUM(IS!AR20,IS!AQ20,IS!AO20,IS!AN20))/(AVERAGE(AR22,AQ22,AO22,AN22))</f>
        <v>0</v>
      </c>
      <c r="AS54" s="26">
        <f>(SUM(IS!AW20,IS!AR20,IS!AQ20,IS!AO20))/(AVERAGE(AS22,AR22,AQ22,AO22))</f>
        <v>0.219454580549096</v>
      </c>
      <c r="AT54" s="26">
        <f>(IS!AX20+IS!AW20+IS!AR20+IS!AQ20)/(AVERAGE(AT22,AS22,AR22,AQ22))</f>
        <v>0.44685800106229051</v>
      </c>
      <c r="AU54" s="640">
        <f t="shared" si="189"/>
        <v>0.44685800106229051</v>
      </c>
      <c r="AV54" s="243"/>
      <c r="AW54" s="190"/>
      <c r="AX54" s="26"/>
      <c r="AY54" s="26"/>
      <c r="AZ54" s="26"/>
      <c r="BA54" s="189"/>
      <c r="BB54" s="170">
        <f>(SUM(IS!BB20,IS!AX20,IS!AW20,IS!AR20))/(AVERAGE(BB22,AT22,AS22,AR22))</f>
        <v>0.51191748764914913</v>
      </c>
      <c r="BC54" s="26">
        <f>(SUM(IS!BC20,IS!BB20,IS!AX20,IS!AW20))/(AVERAGE(BC22,BB22,AT22,AS22))</f>
        <v>0.54769768235477845</v>
      </c>
      <c r="BD54" s="26">
        <f>(SUM(IS!BD20,IS!BC20,IS!BB20,IS!AX20))/(AVERAGE(BD22,BC22,BB22,AT22))</f>
        <v>0.46126765685689752</v>
      </c>
      <c r="BE54" s="388">
        <f>(IS!BE20+IS!BD20+IS!BC20+IS!BB20)/(AVERAGE(BE22,BD22,BC22,BB22))</f>
        <v>0.39784529563310406</v>
      </c>
      <c r="BF54" s="196">
        <f t="shared" si="190"/>
        <v>0.39784529563310406</v>
      </c>
      <c r="BG54" s="170">
        <f>(SUM(IS!BG20,IS!BE20,IS!BD20,IS!BC20))/(AVERAGE(BG22,BE22,BD22,BC22))</f>
        <v>0.40228352647591697</v>
      </c>
      <c r="BH54" s="26">
        <f>(SUM(IS!BH20,IS!BG20,IS!BE20,IS!BD20))/(AVERAGE(BH22,BG22,BE22,BD22))</f>
        <v>0.40531189534878592</v>
      </c>
      <c r="BI54" s="26">
        <f>(SUM(IS!BI20,IS!BH20,IS!BG20,IS!BE20))/(AVERAGE(BI22,BH22,BG22,BE22))</f>
        <v>0.38847423892884608</v>
      </c>
      <c r="BJ54" s="388">
        <f>(IS!BJ20+IS!BI20+IS!BH20+IS!BG20)/(AVERAGE(BJ22,BI22,BH22,BG22))</f>
        <v>0.35732869199459721</v>
      </c>
      <c r="BK54" s="196">
        <f t="shared" si="191"/>
        <v>0.35732869199459721</v>
      </c>
      <c r="BL54" s="170">
        <f>(SUM(IS!BL20,IS!BJ20,IS!BI20,IS!BH20))/(AVERAGE(BL22,BJ22,BI22,BH22))</f>
        <v>0.31341159407152247</v>
      </c>
      <c r="BM54" s="26">
        <f>(SUM(IS!BM20,IS!BL20,IS!BJ20,IS!BI20))/(AVERAGE(BM22,BL22,BJ22,BI22))</f>
        <v>0.26323159784560146</v>
      </c>
      <c r="BN54" s="26">
        <f>(SUM(IS!BN20,IS!BM20,IS!BL20,IS!BJ20))/(AVERAGE(BN22,BM22,BL22,BJ22))</f>
        <v>0.22783217402862083</v>
      </c>
      <c r="BO54" s="388">
        <f>(IS!BO20+IS!BN20+IS!BM20+IS!BL20)/(AVERAGE(BO22,BN22,BM22,BL22))</f>
        <v>0.20079262551728672</v>
      </c>
      <c r="BP54" s="196">
        <f t="shared" si="192"/>
        <v>0.20079262551728672</v>
      </c>
      <c r="BQ54" s="170">
        <f>(SUM(IS!BQ20,IS!BO20,IS!BN20,IS!BM20))/(AVERAGE(BQ22,BO22,BN22,BM22))</f>
        <v>0.18367072753197336</v>
      </c>
      <c r="BR54" s="26">
        <f>(SUM(IS!BR20,IS!BQ20,IS!BO20,IS!BN20))/(AVERAGE(BR22,BQ22,BO22,BN22))</f>
        <v>0.1799995683049494</v>
      </c>
      <c r="BS54" s="26">
        <f>(SUM(IS!BS20,IS!BR20,IS!BQ20,IS!BO20))/(AVERAGE(BS22,BR22,BQ22,BO22))</f>
        <v>0.18040730458174539</v>
      </c>
      <c r="BT54" s="388">
        <f>(IS!BT20+IS!BS20+IS!BR20+IS!BQ20)/(AVERAGE(BT22,BS22,BR22,BQ22))</f>
        <v>0.12429182054349776</v>
      </c>
      <c r="BU54" s="196">
        <f t="shared" si="193"/>
        <v>0.12429182054349776</v>
      </c>
      <c r="BV54" s="170">
        <f>(SUM(IS!CA20,IS!BT20,IS!BS20,IS!BR20))/(AVERAGE(BV22,BT22,BS22,BR22))</f>
        <v>0.14509200216520851</v>
      </c>
      <c r="BW54" s="1365">
        <f>(SUM(IS!CB20,IS!CA20,IS!BT20,IS!BS20))/(AVERAGE(BW22,BV22,BT22,BS22))</f>
        <v>0.16342002930999139</v>
      </c>
      <c r="BX54" s="26">
        <f>(SUM(IS!CC20,IS!CB20,IS!CA20,IS!BT20))/(AVERAGE(BX22,BW22,BV22,BT22))</f>
        <v>0.1736092557676796</v>
      </c>
      <c r="BY54" s="388">
        <f>(IS!CD20+IS!CC20+IS!CB20+IS!CA20)/(AVERAGE(BY22,BX22,BW22,BV22))</f>
        <v>0.21369855067113697</v>
      </c>
      <c r="BZ54" s="196">
        <f t="shared" si="194"/>
        <v>0.21369855067113697</v>
      </c>
      <c r="CA54" s="170">
        <f>(SUM(IS!CF20,IS!BY20,IS!BX20,IS!BW20))/(AVERAGE(CA22,BY22,BX22,BW22))</f>
        <v>0.22158822749569135</v>
      </c>
      <c r="CB54" s="26">
        <f>(SUM(IS!CG20,IS!CF20,IS!BY20,IS!BX20))/(AVERAGE(CB22,CA22,BY22,BX22))</f>
        <v>0.22033231776346887</v>
      </c>
      <c r="CC54" s="26">
        <f>(SUM(IS!CH20,IS!CG20,IS!CF20,IS!CD20))/(AVERAGE(CC22,CB22,CA22,BY22))</f>
        <v>0.21623935689482948</v>
      </c>
      <c r="CD54" s="388">
        <f>(IS!CI20+IS!CH20+IS!CG20+IS!CF20)/(AVERAGE(CD22,CC22,CB22,CA22))</f>
        <v>0.21706620451695491</v>
      </c>
      <c r="CE54" s="196">
        <f t="shared" si="195"/>
        <v>0.21706620451695491</v>
      </c>
      <c r="CF54" s="170">
        <f>(SUM(IS!CK20,IS!CD20,IS!CC20,IS!CB20))/(AVERAGE(CF22,CD22,CC22,CB22))</f>
        <v>0.21054783580897621</v>
      </c>
      <c r="CG54" s="26">
        <f>(SUM(IS!CL20,IS!CK20,IS!CI20,IS!CH20))/(AVERAGE(CG22,CF22,CD22,CC22))</f>
        <v>0.2097842131841666</v>
      </c>
      <c r="CH54" s="26">
        <f>(SUM(IS!CM20,IS!CL20,IS!CK20,IS!CI20))/(AVERAGE(CH22,CG22,CF22,CD22))</f>
        <v>0.20448596457192322</v>
      </c>
      <c r="CI54" s="388">
        <f>(IS!CN20+IS!CM20+IS!CL20+IS!CK20)/(AVERAGE(CI22,CH22,CG22,CF22))</f>
        <v>0.20518258541894829</v>
      </c>
      <c r="CJ54" s="196">
        <f t="shared" si="196"/>
        <v>0.20518258541894829</v>
      </c>
      <c r="CK54" s="170">
        <f>(SUM(IS!CP20,IS!CN20,IS!CM20,IS!CL20))/(AVERAGE(CK22,CI22,CH22,CG22))</f>
        <v>0.21668831620439857</v>
      </c>
      <c r="CL54" s="171">
        <f>(SUM(IS!CQ20,IS!CP20,IS!CN20,IS!CM20))/(AVERAGE(CL22,CK22,CI22,CH22))</f>
        <v>0.23386993787445559</v>
      </c>
      <c r="CM54" s="171">
        <f>(SUM(IS!CR20,IS!CQ20,IS!CP20,IS!CN20))/(AVERAGE(CM22,CL22,CK22,CI22))</f>
        <v>0.25307908240887184</v>
      </c>
      <c r="CN54" s="194">
        <f>(IS!CS20+IS!CR20+IS!CQ20+IS!CP20)/(AVERAGE(CN22,CM22,CL22,CK22))</f>
        <v>0.2631680970752811</v>
      </c>
      <c r="CO54" s="195">
        <f t="shared" si="197"/>
        <v>0.2631680970752811</v>
      </c>
      <c r="CP54" s="193">
        <f>(SUM(IS!CU20,IS!CS20,IS!CR20,IS!CQ20))/(AVERAGE(CP22,CN22,CM22,CL22))</f>
        <v>0.26576949531808336</v>
      </c>
      <c r="CQ54" s="171">
        <f>(SUM(IS!CV20,IS!CU20,IS!CS20,IS!CR20))/(AVERAGE(CQ22,CP22,CN22,CM22))</f>
        <v>0.26877615447948927</v>
      </c>
      <c r="CR54" s="171">
        <f>(SUM(IS!CW20,IS!CV20,IS!CU20,IS!CS20))/(AVERAGE(CR22,CQ22,CP22,CN22))</f>
        <v>0.27189128157831516</v>
      </c>
      <c r="CS54" s="194">
        <f>(IS!CX20+IS!CW20+IS!CV20+IS!CU20)/(AVERAGE(CS22,CR22,CQ22,CP22))</f>
        <v>0.27516210870396657</v>
      </c>
      <c r="CT54" s="195">
        <f t="shared" si="198"/>
        <v>0.27516210870396657</v>
      </c>
      <c r="CU54" s="193">
        <f>(SUM(IS!CZ20,IS!CX20,IS!CW20,IS!CV20))/(AVERAGE(CU22,CS22,CR22,CQ22))</f>
        <v>0.27871540872525835</v>
      </c>
      <c r="CV54" s="171">
        <f>(SUM(IS!DA20,IS!CZ20,IS!CX20,IS!CW20))/(AVERAGE(CV22,CU22,CS22,CR22))</f>
        <v>0.28180864936713146</v>
      </c>
      <c r="CW54" s="171">
        <f>(SUM(IS!DB20,IS!DA20,IS!CZ20,IS!CX20))/(AVERAGE(CW22,CV22,CU22,CS22))</f>
        <v>0.28505708178651173</v>
      </c>
      <c r="CX54" s="194">
        <f>(IS!DC20+IS!DB20+IS!DA20+IS!CZ20)/(AVERAGE(CX22,CW22,CV22,CU22))</f>
        <v>0.28828054291914035</v>
      </c>
      <c r="CY54" s="195">
        <f t="shared" si="199"/>
        <v>0.28828054291914035</v>
      </c>
      <c r="CZ54" s="193">
        <f>(SUM(IS!DE20,IS!DC20,IS!DB20,IS!DA20))/(AVERAGE(CZ22,CX22,CW22,CV22))</f>
        <v>0.29163024784997288</v>
      </c>
      <c r="DA54" s="171">
        <f>(SUM(IS!DF20,IS!DE20,IS!DC20,IS!DB20))/(AVERAGE(DA22,CZ22,CX22,CW22))</f>
        <v>0.29421803938216928</v>
      </c>
      <c r="DB54" s="171">
        <f>(SUM(IS!DG20,IS!DF20,IS!DE20,IS!DC20))/(AVERAGE(DB22,DA22,CZ22,CX22))</f>
        <v>0.29815803632349441</v>
      </c>
      <c r="DC54" s="194">
        <f>(IS!DH20+IS!DG20+IS!DF20+IS!DE20)/(AVERAGE(DC22,DB22,DA22,CZ22))</f>
        <v>0.3041489323022436</v>
      </c>
      <c r="DD54" s="195">
        <f t="shared" si="200"/>
        <v>0.3041489323022436</v>
      </c>
      <c r="DE54" s="193">
        <f>(SUM(IS!DJ20,IS!DH20,IS!DG20,IS!DF20))/(AVERAGE(DE22,DC22,DB22,DA22))</f>
        <v>0.30863863296727001</v>
      </c>
      <c r="DF54" s="171">
        <f>(SUM(IS!DK20,IS!DJ20,IS!DH20,IS!DG20))/(AVERAGE(DF22,DE22,DC22,DB22))</f>
        <v>0.31340199681281028</v>
      </c>
      <c r="DG54" s="171">
        <f>(SUM(IS!DL20,IS!DK20,IS!DJ20,IS!DH20))/(AVERAGE(DG22,DF22,DE22,DC22))</f>
        <v>0.3184697783641352</v>
      </c>
      <c r="DH54" s="194">
        <f>(IS!DM20+IS!DL20+IS!DK20+IS!DJ20)/(AVERAGE(DH22,DG22,DF22,DE22))</f>
        <v>0.32113276739400104</v>
      </c>
      <c r="DI54" s="195">
        <f t="shared" si="201"/>
        <v>0.32113276739400104</v>
      </c>
      <c r="DJ54" s="193">
        <f>(SUM(IS!DO20,IS!DM20,IS!DL20,IS!DK20))/(AVERAGE(DJ22,DH22,DG22,DF22))</f>
        <v>0.32335645081184738</v>
      </c>
      <c r="DK54" s="171">
        <f>(SUM(IS!DP20,IS!DO20,IS!DM20,IS!DL20))/(AVERAGE(DK22,DJ22,DH22,DG22))</f>
        <v>0.32570777867751172</v>
      </c>
      <c r="DL54" s="171">
        <f>(SUM(IS!DQ20,IS!DP20,IS!DO20,IS!DM20))/(AVERAGE(DL22,DK22,DJ22,DH22))</f>
        <v>0.32821527093004754</v>
      </c>
      <c r="DM54" s="194">
        <f>(IS!DR20+IS!DQ20+IS!DP20+IS!DO20)/(AVERAGE(DM22,DL22,DK22,DJ22))</f>
        <v>0.33052853854768427</v>
      </c>
      <c r="DN54" s="195">
        <f t="shared" si="202"/>
        <v>0.33052853854768427</v>
      </c>
      <c r="DO54" s="193">
        <f>(SUM(IS!DT20,IS!DR20,IS!DQ20,IS!DP20))/(AVERAGE(DO22,DM22,DL22,DK22))</f>
        <v>0.33329914996867149</v>
      </c>
      <c r="DP54" s="171">
        <f>(SUM(IS!DU20,IS!DT20,IS!DR20,IS!DQ20))/(AVERAGE(DP22,DO22,DM22,DL22))</f>
        <v>0.33544017708231699</v>
      </c>
      <c r="DQ54" s="171">
        <f>(SUM(IS!DV20,IS!DU20,IS!DT20,IS!DR20))/(AVERAGE(DQ22,DP22,DO22,DM22))</f>
        <v>0.33784681608823103</v>
      </c>
      <c r="DR54" s="194">
        <f>(IS!DW20+IS!DV20+IS!DU20+IS!DT20)/(AVERAGE(DR22,DQ22,DP22,DO22))</f>
        <v>0.3401210556526717</v>
      </c>
      <c r="DS54" s="195">
        <f t="shared" si="203"/>
        <v>0.3401210556526717</v>
      </c>
      <c r="DT54" s="193">
        <f>(SUM(IS!DY20,IS!DW20,IS!DV20,IS!DU20))/(AVERAGE(DT22,DR22,DQ22,DP22))</f>
        <v>0.34106043700338556</v>
      </c>
      <c r="DU54" s="171">
        <f>(SUM(IS!DZ20,IS!DY20,IS!DW20,IS!DV20))/(AVERAGE(DU22,DT22,DR22,DQ22))</f>
        <v>0.34300189714897389</v>
      </c>
      <c r="DV54" s="171">
        <f>(SUM(IS!EA20,IS!DZ20,IS!DY20,IS!DW20))/(AVERAGE(DV22,DU22,DT22,DR22))</f>
        <v>0.34517521272705692</v>
      </c>
      <c r="DW54" s="194">
        <f>(IS!EB20+IS!EA20+IS!DZ20+IS!DY20)/(AVERAGE(DW22,DV22,DU22,DT22))</f>
        <v>0.34721590261888469</v>
      </c>
      <c r="DX54" s="195">
        <f t="shared" si="204"/>
        <v>0.34721590261888469</v>
      </c>
      <c r="DY54" s="21"/>
      <c r="DZ54" s="21"/>
      <c r="EA54" s="21"/>
      <c r="EB54" s="21"/>
      <c r="EC54" s="21"/>
      <c r="ED54" s="21"/>
      <c r="EE54" s="21"/>
      <c r="EF54" s="21"/>
    </row>
    <row r="55" spans="1:136" x14ac:dyDescent="0.2">
      <c r="A55" s="564" t="s">
        <v>105</v>
      </c>
      <c r="B55" s="189"/>
      <c r="C55" s="191"/>
      <c r="D55" s="190"/>
      <c r="E55" s="190"/>
      <c r="F55" s="190"/>
      <c r="G55" s="189"/>
      <c r="H55" s="191"/>
      <c r="I55" s="190"/>
      <c r="J55" s="190"/>
      <c r="K55" s="190"/>
      <c r="L55" s="189"/>
      <c r="M55" s="26"/>
      <c r="N55" s="26"/>
      <c r="O55" s="26"/>
      <c r="P55" s="26"/>
      <c r="Q55" s="189"/>
      <c r="R55" s="26"/>
      <c r="S55" s="26"/>
      <c r="T55" s="26"/>
      <c r="U55" s="26"/>
      <c r="V55" s="192"/>
      <c r="W55" s="193"/>
      <c r="X55" s="171"/>
      <c r="Y55" s="171"/>
      <c r="Z55" s="388"/>
      <c r="AA55" s="189"/>
      <c r="AB55" s="170"/>
      <c r="AC55" s="26"/>
      <c r="AD55" s="26"/>
      <c r="AE55" s="388"/>
      <c r="AF55" s="196"/>
      <c r="AG55" s="170"/>
      <c r="AH55" s="26"/>
      <c r="AI55" s="26"/>
      <c r="AJ55" s="388"/>
      <c r="AK55" s="196"/>
      <c r="AL55" s="170"/>
      <c r="AM55" s="26"/>
      <c r="AN55" s="26"/>
      <c r="AO55" s="388"/>
      <c r="AP55" s="640"/>
      <c r="AQ55" s="26"/>
      <c r="AR55" s="26"/>
      <c r="AS55" s="26"/>
      <c r="AT55" s="26"/>
      <c r="AU55" s="640"/>
      <c r="AV55" s="243"/>
      <c r="AW55" s="190"/>
      <c r="AX55" s="26"/>
      <c r="AY55" s="26"/>
      <c r="AZ55" s="26"/>
      <c r="BA55" s="189"/>
      <c r="BB55" s="26">
        <f>(IS!BB20+IS!AZ20+IS!AY20+IS!AX20)/(AVERAGE(BB22,AZ22,AY22,AX22)-AVERAGE(AX18,AY18,AZ18,BB18)-AVERAGE(AX19,AY19,AZ19,BB19)-AVERAGE(AX10,AY10,AZ10,BB10))</f>
        <v>1.3884540693226624</v>
      </c>
      <c r="BC55" s="26">
        <f>(IS!BC20+IS!BB20+IS!AZ20+IS!AY20)/(AVERAGE(BC22,BB22,AZ22,AY22)-AVERAGE(AY18,AZ18,BB18,BC18)-AVERAGE(AY19,AZ19,BB19,BC19)-AVERAGE(AY10,AZ10,BB10,BC10))</f>
        <v>1.2946352973835789</v>
      </c>
      <c r="BD55" s="26">
        <f>(IS!BD20+IS!BC20+IS!BB20+IS!AZ20)/(AVERAGE(BD22,BC22,BB22,AZ22)-AVERAGE(AZ18,BB18,BC18,BD18)-AVERAGE(AZ19,BB19,BC19,BD19)-AVERAGE(AZ10,BB10,BC10,BD10))</f>
        <v>1.2731106727433501</v>
      </c>
      <c r="BE55" s="388">
        <f>(IS!BE20+IS!BD20+IS!BC20+IS!BB20)/(AVERAGE(BE22,BD22,BC22,BB22)-AVERAGE(BB18,BC18,BD18,BE18)-AVERAGE(BB19,BC19,BD19,BE19)-AVERAGE(BB10,BC10,BD10,BE10))</f>
        <v>1.3152945151481024</v>
      </c>
      <c r="BF55" s="196">
        <f>BE55</f>
        <v>1.3152945151481024</v>
      </c>
      <c r="BG55" s="26">
        <f>(IS!BG20+IS!BE20+IS!BD20+IS!BC20)/(AVERAGE(BG22,BE22,BD22,BC22)-AVERAGE(BC18,BD18,BE18,BG18)-AVERAGE(BC19,BD19,BE19,BG19)-AVERAGE(BC10,BD10,BE10,BG10))</f>
        <v>1.3723815215965243</v>
      </c>
      <c r="BH55" s="26">
        <f>(IS!BH20+IS!BG20+IS!BE20+IS!BD20)/(AVERAGE(BH22,BG22,BE22,BD22)-AVERAGE(BD18,BE18,BG18,BH18)-AVERAGE(BD19,BE19,BG19,BH19)-AVERAGE(BD10,BE10,BG10,BH10))</f>
        <v>1.3946434529406417</v>
      </c>
      <c r="BI55" s="26">
        <f>(IS!BI20+IS!BH20+IS!BG20+IS!BE20)/(AVERAGE(BI22,BH22,BG22,BE22)-AVERAGE(BE18,BG18,BH18,BI18)-AVERAGE(BE19,BG19,BH19,BI19)-AVERAGE(BE10,BG10,BH10,BI10))</f>
        <v>1.3178449215093528</v>
      </c>
      <c r="BJ55" s="388">
        <f>(IS!BJ20+IS!BI20+IS!BH20+IS!BG20)/(AVERAGE(BJ22,BI22,BH22,BG22)-AVERAGE(BG18,BH18,BI18,BJ18)-AVERAGE(BG19,BH19,BI19,BJ19)-AVERAGE(BG10,BH10,BI10,BJ10))</f>
        <v>1.2250745897563406</v>
      </c>
      <c r="BK55" s="196">
        <f>BJ55</f>
        <v>1.2250745897563406</v>
      </c>
      <c r="BL55" s="26">
        <f>(IS!BL20+IS!BJ20+IS!BI20+IS!BH20)/(AVERAGE(BL22,BJ22,BI22,BH22)-AVERAGE(BH18,BI18,BJ18,BL18)-AVERAGE(BH19,BI19,BJ19,BL19)-AVERAGE(BH10,BI10,BJ10,BL10))</f>
        <v>1.0828909247513898</v>
      </c>
      <c r="BM55" s="26">
        <f>(IS!BM20+IS!BL20+IS!BJ20+IS!BI20)/(AVERAGE(BM22,BL22,BJ22,BI22)-AVERAGE(BI18,BJ18,BL18,BM18)-AVERAGE(BI19,BJ19,BL19,BM19)-AVERAGE(BI10,BJ10,BL10,BM10))</f>
        <v>0.92261708118992525</v>
      </c>
      <c r="BN55" s="26">
        <f>(IS!BN20+IS!BM20+IS!BL20+IS!BJ20)/(AVERAGE(BN22,BM22,BL22,BJ22)-AVERAGE(BJ18,BL18,BM18,BN18)-AVERAGE(BJ19,BL19,BM19,BN19)-AVERAGE(BJ10,BL10,BM10,BN10))</f>
        <v>0.80719544163121792</v>
      </c>
      <c r="BO55" s="388">
        <f>(IS!BO20+IS!BN20+IS!BM20+IS!BL20)/(AVERAGE(BO22,BN22,BM22,BL22)-AVERAGE(BL18,BM18,BN18,BO18)-AVERAGE(BL19,BM19,BN19,BO19)-AVERAGE(BL10,BM10,BN10,BO10))</f>
        <v>0.71650467231302972</v>
      </c>
      <c r="BP55" s="196">
        <f>BO55</f>
        <v>0.71650467231302972</v>
      </c>
      <c r="BQ55" s="26">
        <f>(IS!BQ20+IS!BO20+IS!BN20+IS!BM20)/(AVERAGE(BQ22,BO22,BN22,BM22)-AVERAGE(BM18,BN18,BO18,BQ18)-AVERAGE(BM19,BN19,BO19,BQ19)-AVERAGE(BM10,BN10,BO10,BQ10))</f>
        <v>0.66825399328277058</v>
      </c>
      <c r="BR55" s="26">
        <f>(IS!BR20+IS!BQ20+IS!BO20+IS!BN20)/(AVERAGE(BR22,BQ22,BO22,BN22)-AVERAGE(BN18,BO18,BQ18,BR18)-AVERAGE(BN19,BO19,BQ19,BR19)-AVERAGE(BN10,BO10,BQ10,BR10))</f>
        <v>0.67545763810140946</v>
      </c>
      <c r="BS55" s="26">
        <f>(IS!BS20+IS!BR20+IS!BQ20+IS!BO20)/(AVERAGE(BS22,BR22,BQ22,BO22)-AVERAGE(BO18,BQ18,BR18,BS18)-AVERAGE(BO19,BQ19,BR19,BS19)-AVERAGE(BO10,BQ10,BR10,BS10))</f>
        <v>0.6888219511793654</v>
      </c>
      <c r="BT55" s="388">
        <f>(IS!BT20+IS!BS20+IS!BR20+IS!BQ20)/(AVERAGE(BT22,BS22,BR22,BQ22)-AVERAGE(BQ18,BR18,BS18,BT18)-AVERAGE(BQ19,BR19,BS19,BT19)-AVERAGE(BQ10,BR10,BS10,BT10))</f>
        <v>0.56157878073662404</v>
      </c>
      <c r="BU55" s="196">
        <f>BT55</f>
        <v>0.56157878073662404</v>
      </c>
      <c r="BV55" s="26">
        <f>(IS!CA20+IS!BT20+IS!BS20+IS!BR20)/(AVERAGE(BV22,BT22,BS22,BR22)-AVERAGE(BR18,BS18,BT18,BV18)-AVERAGE(BR19,BS19,BT19,BV19)-AVERAGE(BR10,BS10,BT10,BV10))</f>
        <v>0.67657826192031989</v>
      </c>
      <c r="BW55" s="1365">
        <f>(IS!CB20+IS!CA20+IS!BT20+IS!BS20)/(AVERAGE(BW22,BV22,BT22,BS22)-AVERAGE(BS18,BT18,BV18,BW18)-AVERAGE(BS19,BT19,BV19,BW19)-AVERAGE(BS10,BT10,BV10,BW10))</f>
        <v>0.7781646537783542</v>
      </c>
      <c r="BX55" s="26">
        <f>(IS!CC20+IS!CB20+IS!CA20+IS!BT20)/(AVERAGE(BX22,BW22,BV22,BT22)-AVERAGE(BT18,BV18,BW18,BX18)-AVERAGE(BT19,BV19,BW19,BX19)-AVERAGE(BT10,BV10,BW10,BX10))</f>
        <v>0.83831967464890833</v>
      </c>
      <c r="BY55" s="388">
        <f>(IS!CD20+IS!CC20+IS!CB20+IS!CA20)/(AVERAGE(BY22,BX22,BW22,BV22)-AVERAGE(BV18,BW18,BX18,BY18)-AVERAGE(BV19,BW19,BX19,BY19)-AVERAGE(BV10,BW10,BX10,BY10))</f>
        <v>1.0042315913385584</v>
      </c>
      <c r="BZ55" s="196">
        <f>BY55</f>
        <v>1.0042315913385584</v>
      </c>
      <c r="CA55" s="26">
        <f>(IS!CF20+IS!BY20+IS!BX20+IS!BW20)/(AVERAGE(CA22,BY22,BX22,BW22)-AVERAGE(BW18,BX18,BY18,CA18)-AVERAGE(BW19,BX19,BY19,CA19)-AVERAGE(BW10,BX10,BY10,CA10))</f>
        <v>1.060538187724853</v>
      </c>
      <c r="CB55" s="26">
        <f>(IS!CG20+IS!CF20+IS!BY20+IS!BX20)/(AVERAGE(CB22,CA22,BY22,BX22)-AVERAGE(BX18,BY18,CA18,CB18)-AVERAGE(BX19,BY19,CA19,CB19)-AVERAGE(BX10,BY10,CA10,CB10))</f>
        <v>1.0718937407805822</v>
      </c>
      <c r="CC55" s="26">
        <f>(IS!CH20+IS!CG20+IS!CF20+IS!CD20)/(AVERAGE(CC22,CB22,CA22,BY22)-AVERAGE(BY18,CA18,CB18,CC18)-AVERAGE(BY19,CA19,CB19,CC19)-AVERAGE(BY10,CA10,CB10,CC10))</f>
        <v>1.0756722294157477</v>
      </c>
      <c r="CD55" s="388">
        <f>(IS!CI20+IS!CH20+IS!CG20+IS!CF20)/(AVERAGE(CD22,CC22,CB22,CA22)-AVERAGE(CA18,CB18,CC18,CD18)-AVERAGE(CA19,CB19,CC19,CD19)-AVERAGE(CA10,CB10,CC10,CD10))</f>
        <v>1.1022639352325745</v>
      </c>
      <c r="CE55" s="196">
        <f>CD55</f>
        <v>1.1022639352325745</v>
      </c>
      <c r="CF55" s="26">
        <f>(IS!CK20+IS!CD20+IS!CC20+IS!CB20)/(AVERAGE(CF22,CD22,CC22,CB22)-AVERAGE(CB18,CC18,CD18,CF18)-AVERAGE(CB19,CC19,CD19,CF19)-AVERAGE(CB10,CC10,CD10,CF10))</f>
        <v>1.0935104752171689</v>
      </c>
      <c r="CG55" s="26">
        <f>(IS!CL20+IS!CK20+IS!CI20+IS!CH20)/(AVERAGE(CG22,CF22,CD22,CC22)-AVERAGE(CC18,CD18,CF18,CG18)-AVERAGE(CC19,CD19,CF19,CG19)-AVERAGE(CC10,CD10,CF10,CG10))</f>
        <v>1.1854357876829795</v>
      </c>
      <c r="CH55" s="26">
        <f>(IS!CM20+IS!CL20+IS!CK20+IS!CI20)/(AVERAGE(CH22,CG22,CF22,CD22)-AVERAGE(CD18,CF18,CG18,CH18)-AVERAGE(CD19,CF19,CG19,CH19)-AVERAGE(CD10,CF10,CG10,CH10))</f>
        <v>1.2506139642644014</v>
      </c>
      <c r="CI55" s="388">
        <f>(IS!CN20+IS!CM20+IS!CL20+IS!CK20)/(AVERAGE(CI22,CH22,CG22,CF22)-AVERAGE(CF18,CG18,CH18,CI18)-AVERAGE(CF19,CG19,CH19,CI19)-AVERAGE(CF10,CG10,CH10,CI10))</f>
        <v>1.3275890830232753</v>
      </c>
      <c r="CJ55" s="196">
        <f>CI55</f>
        <v>1.3275890830232753</v>
      </c>
      <c r="CK55" s="26">
        <f>(IS!CP20+IS!CN20+IS!CM20+IS!CL20)/(AVERAGE(CK22,CI22,CH22,CG22)-AVERAGE(CG18,CH18,CI18,CK18)-AVERAGE(CG19,CH19,CI19,CK19)-AVERAGE(CG10,CH10,CI10,CK10))</f>
        <v>1.4547179757511872</v>
      </c>
      <c r="CL55" s="26">
        <f>(IS!CQ20+IS!CP20+IS!CN20+IS!CM20)/(AVERAGE(CL22,CK22,CI22,CH22)-AVERAGE(CH18,CI18,CK18,CL18)-AVERAGE(CH19,CI19,CK19,CL19)-AVERAGE(CH10,CI10,CK10,CL10))</f>
        <v>1.5339412788099962</v>
      </c>
      <c r="CM55" s="26">
        <f>(IS!CR20+IS!CQ20+IS!CP20+IS!CN20)/(AVERAGE(CM22,CL22,CK22,CI22)-AVERAGE(CI18,CK18,CL18,CM18)-AVERAGE(CI19,CK19,CL19,CM19)-AVERAGE(CI10,CK10,CL10,CM10))</f>
        <v>1.6211608966093607</v>
      </c>
      <c r="CN55" s="388">
        <f>(IS!CS20+IS!CR20+IS!CQ20+IS!CP20)/(AVERAGE(CN22,CM22,CL22,CK22)-AVERAGE(CK18,CL18,CM18,CN18)-AVERAGE(CK19,CL19,CM19,CN19)-AVERAGE(CK10,CL10,CM10,CN10))</f>
        <v>1.6897040931503</v>
      </c>
      <c r="CO55" s="196">
        <f>CN55</f>
        <v>1.6897040931503</v>
      </c>
      <c r="CP55" s="26">
        <f>(IS!CU20+IS!CS20+IS!CR20+IS!CQ20)/(AVERAGE(CP22,CN22,CM22,CL22)-AVERAGE(CL18,CM18,CN18,CP18)-AVERAGE(CL19,CM19,CN19,CP19)-AVERAGE(CL10,CM10,CN10,CP10))</f>
        <v>1.733745010992519</v>
      </c>
      <c r="CQ55" s="26">
        <f>(IS!CV20+IS!CU20+IS!CS20+IS!CR20)/(AVERAGE(CQ22,CP22,CN22,CM22)-AVERAGE(CM18,CN18,CP18,CQ18)-AVERAGE(CM19,CN19,CP19,CQ19)-AVERAGE(CM10,CN10,CP10,CQ10))</f>
        <v>1.7679125531052133</v>
      </c>
      <c r="CR55" s="26">
        <f>(IS!CW20+IS!CV20+IS!CU20+IS!CS20)/(AVERAGE(CR22,CQ22,CP22,CN22)-AVERAGE(CN18,CP18,CQ18,CR18)-AVERAGE(CN19,CP19,CQ19,CR19)-AVERAGE(CN10,CP10,CQ10,CR10))</f>
        <v>1.8059200471156214</v>
      </c>
      <c r="CS55" s="388">
        <f>(IS!CX20+IS!CW20+IS!CV20+IS!CU20)/(AVERAGE(CS22,CR22,CQ22,CP22)-AVERAGE(CP18,CQ18,CR18,CS18)-AVERAGE(CP19,CQ19,CR19,CS19)-AVERAGE(CP10,CQ10,CR10,CS10))</f>
        <v>1.8484076978754087</v>
      </c>
      <c r="CT55" s="196">
        <f>CS55</f>
        <v>1.8484076978754087</v>
      </c>
      <c r="CU55" s="26">
        <f>(IS!CZ20+IS!CX20+IS!CW20+IS!CV20)/(AVERAGE(CU22,CS22,CR22,CQ22)-AVERAGE(CQ18,CR18,CS18,CU18)-AVERAGE(CQ19,CR19,CS19,CU19)-AVERAGE(CQ10,CR10,CS10,CU10))</f>
        <v>1.8943542234251938</v>
      </c>
      <c r="CV55" s="26">
        <f>(IS!DA20+IS!CZ20+IS!CX20+IS!CW20)/(AVERAGE(CV22,CU22,CS22,CR22)-AVERAGE(CR18,CS18,CU18,CV18)-AVERAGE(CR19,CS19,CU19,CV19)-AVERAGE(CR10,CS10,CU10,CV10))</f>
        <v>1.9383664999217838</v>
      </c>
      <c r="CW55" s="26">
        <f>(IS!DB20+IS!DA20+IS!CZ20+IS!CX20)/(AVERAGE(CW22,CV22,CU22,CS22)-AVERAGE(CS18,CU18,CV18,CW18)-AVERAGE(CS19,CU19,CV19,CW19)-AVERAGE(CS10,CU10,CV10,CW10))</f>
        <v>1.9848836540232275</v>
      </c>
      <c r="CX55" s="388">
        <f>(IS!DC20+IS!DB20+IS!DA20+IS!CZ20)/(AVERAGE(CX22,CW22,CV22,CU22)-AVERAGE(CU18,CV18,CW18,CX18)-AVERAGE(CU19,CV19,CW19,CX19)-AVERAGE(CU10,CV10,CW10,CX10))</f>
        <v>2.0326299538819419</v>
      </c>
      <c r="CY55" s="196">
        <f>CX55</f>
        <v>2.0326299538819419</v>
      </c>
      <c r="CZ55" s="26">
        <f>(IS!DE20+IS!DC20+IS!DB20+IS!DA20)/(AVERAGE(CZ22,CX22,CW22,CV22)-AVERAGE(CV18,CW18,CX18,CZ18)-AVERAGE(CV19,CW19,CX19,CZ19)-AVERAGE(CV10,CW10,CX10,CZ10))</f>
        <v>2.0849256969144343</v>
      </c>
      <c r="DA55" s="26">
        <f>(IS!DF20+IS!DE20+IS!DC20+IS!DB20)/(AVERAGE(DA22,CZ22,CX22,CW22)-AVERAGE(CW18,CX18,CZ18,DA18)-AVERAGE(CW19,CX19,CZ19,DA19)-AVERAGE(CW10,CX10,CZ10,DA10))</f>
        <v>2.1331241087248611</v>
      </c>
      <c r="DB55" s="26">
        <f>(IS!DG20+IS!DF20+IS!DE20+IS!DC20)/(AVERAGE(DB22,DA22,CZ22,CX22)-AVERAGE(CX18,CZ18,DA18,DB18)-AVERAGE(CX19,CZ19,DA19,DB19)-AVERAGE(CX10,CZ10,DA10,DB10))</f>
        <v>2.1929089022479413</v>
      </c>
      <c r="DC55" s="388">
        <f>(IS!DH20+IS!DG20+IS!DF20+IS!DE20)/(AVERAGE(DC22,DB22,DA22,CZ22)-AVERAGE(CZ18,DA18,DB18,DC18)-AVERAGE(CZ19,DA19,DB19,DC19)-AVERAGE(CZ10,DA10,DB10,DC10))</f>
        <v>2.2551024727820623</v>
      </c>
      <c r="DD55" s="196">
        <f>DC55</f>
        <v>2.2551024727820623</v>
      </c>
      <c r="DE55" s="26">
        <f>(IS!DJ20+IS!DH20+IS!DG20+IS!DF20)/(AVERAGE(DE22,DC22,DB22,DA22)-AVERAGE(DA18,DB18,DC18,DE18)-AVERAGE(DA19,DB19,DC19,DE19)-AVERAGE(DA10,DB10,DC10,DE10))</f>
        <v>2.311894591013465</v>
      </c>
      <c r="DF55" s="26">
        <f>(IS!DK20+IS!DJ20+IS!DH20+IS!DG20)/(AVERAGE(DF22,DE22,DC22,DB22)-AVERAGE(DB18,DC18,DE18,DF18)-AVERAGE(DB19,DC19,DE19,DF19)-AVERAGE(DB10,DC10,DE10,DF10))</f>
        <v>2.3745212398077555</v>
      </c>
      <c r="DG55" s="26">
        <f>(IS!DL20+IS!DK20+IS!DJ20+IS!DH20)/(AVERAGE(DG22,DF22,DE22,DC22)-AVERAGE(DC18,DE18,DF18,DG18)-AVERAGE(DC19,DE19,DF19,DG19)-AVERAGE(DC10,DE10,DF10,DG10))</f>
        <v>2.4444772219698008</v>
      </c>
      <c r="DH55" s="388">
        <f>(IS!DM20+IS!DL20+IS!DK20+IS!DJ20)/(AVERAGE(DH22,DG22,DF22,DE22)-AVERAGE(DE18,DF18,DG18,DH18)-AVERAGE(DE19,DF19,DG19,DH19)-AVERAGE(DE10,DF10,DG10,DH10))</f>
        <v>2.5192413338554998</v>
      </c>
      <c r="DI55" s="196">
        <f>DH55</f>
        <v>2.5192413338554998</v>
      </c>
      <c r="DJ55" s="26">
        <f>(IS!DO20+IS!DM20+IS!DL20+IS!DK20)/(AVERAGE(DJ22,DH22,DG22,DF22)-AVERAGE(DF18,DG18,DH18,DJ18)-AVERAGE(DF19,DG19,DH19,DJ19)-AVERAGE(DF10,DG10,DH10,DJ10))</f>
        <v>2.5950418473413679</v>
      </c>
      <c r="DK55" s="26">
        <f>(IS!DP20+IS!DO20+IS!DM20+IS!DL20)/(AVERAGE(DK22,DJ22,DH22,DG22)-AVERAGE(DG18,DH18,DJ18,DK18)-AVERAGE(DG19,DH19,DJ19,DK19)-AVERAGE(DG10,DH10,DJ10,DK10))</f>
        <v>2.6747060545588122</v>
      </c>
      <c r="DL55" s="26">
        <f>(IS!DQ20+IS!DP20+IS!DO20+IS!DM20)/(AVERAGE(DL22,DK22,DJ22,DH22)-AVERAGE(DH18,DJ18,DK18,DL18)-AVERAGE(DH19,DJ19,DK19,DL19)-AVERAGE(DH10,DJ10,DK10,DL10))</f>
        <v>2.7590786353978207</v>
      </c>
      <c r="DM55" s="388">
        <f>(IS!DR20+IS!DQ20+IS!DP20+IS!DO20)/(AVERAGE(DM22,DL22,DK22,DJ22)-AVERAGE(DJ18,DK18,DL18,DM18)-AVERAGE(DJ19,DK19,DL19,DM19)-AVERAGE(DJ10,DK10,DL10,DM10))</f>
        <v>2.8451283821333826</v>
      </c>
      <c r="DN55" s="196">
        <f>DM55</f>
        <v>2.8451283821333826</v>
      </c>
      <c r="DO55" s="26">
        <f>(IS!DT20+IS!DR20+IS!DQ20+IS!DP20)/(AVERAGE(DO22,DM22,DL22,DK22)-AVERAGE(DK18,DL18,DM18,DO18)-AVERAGE(DK19,DL19,DM19,DO19)-AVERAGE(DK10,DL10,DM10,DO10))</f>
        <v>2.9403626308124449</v>
      </c>
      <c r="DP55" s="26">
        <f>(IS!DU20+IS!DT20+IS!DR20+IS!DQ20)/(AVERAGE(DP22,DO22,DM22,DL22)-AVERAGE(DL18,DM18,DO18,DP18)-AVERAGE(DL19,DM19,DO19,DP19)-AVERAGE(DL10,DM10,DO10,DP10))</f>
        <v>3.0322338359979875</v>
      </c>
      <c r="DQ55" s="26">
        <f>(IS!DV20+IS!DU20+IS!DT20+IS!DR20)/(AVERAGE(DQ22,DP22,DO22,DM22)-AVERAGE(DM18,DO18,DP18,DQ18)-AVERAGE(DM19,DO19,DP19,DQ19)-AVERAGE(DM10,DO10,DP10,DQ10))</f>
        <v>3.1294802654231195</v>
      </c>
      <c r="DR55" s="388">
        <f>(IS!DW20+IS!DV20+IS!DU20+IS!DT20)/(AVERAGE(DR22,DQ22,DP22,DO22)-AVERAGE(DO18,DP18,DQ18,DR18)-AVERAGE(DO19,DP19,DQ19,DR19)-AVERAGE(DO10,DP10,DQ10,DR10))</f>
        <v>3.2284873153066598</v>
      </c>
      <c r="DS55" s="196">
        <f>DR55</f>
        <v>3.2284873153066598</v>
      </c>
      <c r="DT55" s="26">
        <f>(IS!DY20+IS!DW20+IS!DV20+IS!DU20)/(AVERAGE(DT22,DR22,DQ22,DP22)-AVERAGE(DP18,DQ18,DR18,DT18)-AVERAGE(DP19,DQ19,DR19,DT19)-AVERAGE(DP10,DQ10,DR10,DT10))</f>
        <v>3.3233917254596794</v>
      </c>
      <c r="DU55" s="26">
        <f>(IS!DZ20+IS!DY20+IS!DW20+IS!DV20)/(AVERAGE(DU22,DT22,DR22,DQ22)-AVERAGE(DQ18,DR18,DT18,DU18)-AVERAGE(DQ19,DR19,DT19,DU19)-AVERAGE(DQ10,DR10,DT10,DU10))</f>
        <v>3.4317165670670304</v>
      </c>
      <c r="DV55" s="26">
        <f>(IS!EA20+IS!DZ20+IS!DY20+IS!DW20)/(AVERAGE(DV22,DU22,DT22,DR22)-AVERAGE(DR18,DT18,DU18,DV18)-AVERAGE(DR19,DT19,DU19,DV19)-AVERAGE(DR10,DT10,DU10,DV10))</f>
        <v>3.5465231495020149</v>
      </c>
      <c r="DW55" s="388">
        <f>(IS!EB20+IS!EA20+IS!DZ20+IS!DY20)/(AVERAGE(DW22,DV22,DU22,DT22)-AVERAGE(DT18,DU18,DV18,DW18)-AVERAGE(DT19,DU19,DV19,DW19)-AVERAGE(DT10,DU10,DV10,DW10))</f>
        <v>3.6636757514325202</v>
      </c>
      <c r="DX55" s="196">
        <f>DW55</f>
        <v>3.6636757514325202</v>
      </c>
      <c r="DY55" s="21"/>
      <c r="DZ55" s="21"/>
      <c r="EA55" s="21"/>
      <c r="EB55" s="21"/>
      <c r="EC55" s="21"/>
      <c r="ED55" s="21"/>
      <c r="EE55" s="21"/>
      <c r="EF55" s="21"/>
    </row>
    <row r="56" spans="1:136" x14ac:dyDescent="0.2">
      <c r="A56" s="564" t="s">
        <v>197</v>
      </c>
      <c r="B56" s="189"/>
      <c r="C56" s="189"/>
      <c r="D56" s="189"/>
      <c r="E56" s="189"/>
      <c r="F56" s="189"/>
      <c r="G56" s="189"/>
      <c r="H56" s="192"/>
      <c r="I56" s="190"/>
      <c r="J56" s="190"/>
      <c r="K56" s="196"/>
      <c r="L56" s="189"/>
      <c r="M56" s="192"/>
      <c r="N56" s="190"/>
      <c r="O56" s="190"/>
      <c r="P56" s="196"/>
      <c r="Q56" s="189"/>
      <c r="R56" s="192"/>
      <c r="S56" s="190"/>
      <c r="T56" s="190"/>
      <c r="U56" s="196">
        <f>(AVERAGE(U22,T22,S22,R22))/(AVERAGE(U47,T47,S47,R47))</f>
        <v>5.7085953878406706</v>
      </c>
      <c r="V56" s="192">
        <f t="shared" si="184"/>
        <v>5.7085953878406706</v>
      </c>
      <c r="W56" s="197"/>
      <c r="X56" s="198"/>
      <c r="Y56" s="198"/>
      <c r="Z56" s="196">
        <f>(AVERAGE(Z22,Y22,X22,W22))/(AVERAGE(Z47,Y47,X47,W47))</f>
        <v>4.5008818342151677</v>
      </c>
      <c r="AA56" s="189">
        <f t="shared" si="185"/>
        <v>4.5008818342151677</v>
      </c>
      <c r="AB56" s="192">
        <f>(AVERAGE(AB22,Z22,Y22,X22))/(AVERAGE(AB47,Z47,Y47,X47))</f>
        <v>4.2581475128644941</v>
      </c>
      <c r="AC56" s="190">
        <f>(AVERAGE(AC22,AB22,Z22,Y22))/(AVERAGE(AC47,AB47,Z47,Y47))</f>
        <v>4.0997782705099777</v>
      </c>
      <c r="AD56" s="190">
        <f>(AVERAGE(AD22,AC22,AB22,Z22))/(AVERAGE(AD47,AC47,AB47,Z47))</f>
        <v>3.9681065805409772</v>
      </c>
      <c r="AE56" s="196">
        <f>(AVERAGE(AE22,AD22,AC22,AB22))/(AVERAGE(AE47,AD47,AC47,AB47))</f>
        <v>3.7296268088347295</v>
      </c>
      <c r="AF56" s="196">
        <f t="shared" si="186"/>
        <v>3.7296268088347295</v>
      </c>
      <c r="AG56" s="192">
        <f>(AVERAGE(AG22,AE22,AD22,AC22))/(AVERAGE(AG47,AE47,AD47,AC47))</f>
        <v>3.572819033886085</v>
      </c>
      <c r="AH56" s="190">
        <f>(AVERAGE(AH22,AG22,AE22,AD22))/(AVERAGE(AH47,AG47,AE47,AD47))</f>
        <v>3.4365811965811965</v>
      </c>
      <c r="AI56" s="190">
        <f>(AVERAGE(AI22,AH22,AG22,AE22))/(AVERAGE(AI47,AH47,AG47,AE47))</f>
        <v>3.353830976652417</v>
      </c>
      <c r="AJ56" s="196">
        <f>(AVERAGE(AJ22,AI22,AH22,AG22))/(AVERAGE(AJ47,AI47,AH47,AG47))</f>
        <v>3.2709779179810727</v>
      </c>
      <c r="AK56" s="196">
        <f t="shared" si="187"/>
        <v>3.2709779179810727</v>
      </c>
      <c r="AL56" s="192">
        <f>(AVERAGE(AL22,AJ22,AI22,AH22))/(AVERAGE(AL47,AJ47,AI47,AH47))</f>
        <v>3.1830857835707791</v>
      </c>
      <c r="AM56" s="190">
        <f>(AVERAGE(AM22,AL22,AJ22,AI22))/(AVERAGE(AM47,AL47,AJ47,AI47))</f>
        <v>3.109476162448499</v>
      </c>
      <c r="AN56" s="190">
        <f>(AVERAGE(AN22,AM22,AL22,AJ22))/(AVERAGE(AN47,AM47,AL47,AJ47))</f>
        <v>2.9954776710005655</v>
      </c>
      <c r="AO56" s="196">
        <f>(AVERAGE(AO22,AN22,AM22,AL22))/(AVERAGE(AO47,AN47,AM47,AL47))</f>
        <v>2.8949506516167731</v>
      </c>
      <c r="AP56" s="640">
        <f t="shared" si="188"/>
        <v>2.8949506516167731</v>
      </c>
      <c r="AQ56" s="190">
        <f>(AVERAGE(AQ22,AO22,AN22,AM22))/(AVERAGE(AQ47,AO47,AN47,AM47))</f>
        <v>2.8036056367596509</v>
      </c>
      <c r="AR56" s="190">
        <f>(AVERAGE(AR22,AQ22,AO22,AN22))/(AVERAGE(AR47,AQ47,AO47,AN47))</f>
        <v>2.6975613423895339</v>
      </c>
      <c r="AS56" s="190">
        <f>(AVERAGE(AS22,AR22,AQ22,AO22))/(AVERAGE(AS47,AR47,AQ47,AO47))</f>
        <v>2.6078525372132604</v>
      </c>
      <c r="AT56" s="190">
        <f>(AVERAGE(AT22,AS22,AR22,AQ22))/(AVERAGE(AT47,AS47,AR47,AQ47))</f>
        <v>2.5245173968327368</v>
      </c>
      <c r="AU56" s="640">
        <f t="shared" si="189"/>
        <v>2.5245173968327368</v>
      </c>
      <c r="AV56" s="243"/>
      <c r="AW56" s="190"/>
      <c r="AX56" s="190"/>
      <c r="AY56" s="190"/>
      <c r="AZ56" s="190"/>
      <c r="BA56" s="189"/>
      <c r="BB56" s="192">
        <f>(AVERAGE(BB22,AT22,AS22,AR22))/(AVERAGE(BB47,AT47,AS47,AR47))</f>
        <v>2.8831552862289418</v>
      </c>
      <c r="BC56" s="190">
        <f>(AVERAGE(BC22,BB22,AT22,AS22))/(AVERAGE(BC47,BB47,AT47,AS47))</f>
        <v>3.2691878604519244</v>
      </c>
      <c r="BD56" s="190">
        <f>(AVERAGE(BD22,BC22,BB22,AT22))/(AVERAGE(BD47,BC47,BB47,AT47))</f>
        <v>3.6364485981308414</v>
      </c>
      <c r="BE56" s="196">
        <f>(AVERAGE(BE22,BD22,BC22,BB22))/(AVERAGE(BE47,BD47,BC47,BB47))</f>
        <v>4.1996316034192933</v>
      </c>
      <c r="BF56" s="196">
        <f t="shared" si="190"/>
        <v>4.1996316034192933</v>
      </c>
      <c r="BG56" s="192">
        <f>(AVERAGE(BG22,BE22,BD22,BC22))/(AVERAGE(BG47,BE47,BD47,BC47))</f>
        <v>4.1812399499732003</v>
      </c>
      <c r="BH56" s="190">
        <f>(AVERAGE(BH22,BG22,BE22,BD22))/(AVERAGE(BH47,BG47,BE47,BD47))</f>
        <v>4.4153465924570892</v>
      </c>
      <c r="BI56" s="190">
        <f>(AVERAGE(BI22,BH22,BG22,BE22))/(AVERAGE(BI47,BH47,BG47,BE47))</f>
        <v>4.6384809064204786</v>
      </c>
      <c r="BJ56" s="196">
        <f>(AVERAGE(BJ22,BI22,BH22,BG22))/(AVERAGE(BJ47,BI47,BH47,BG47))</f>
        <v>4.510118974610573</v>
      </c>
      <c r="BK56" s="196">
        <f t="shared" si="191"/>
        <v>4.510118974610573</v>
      </c>
      <c r="BL56" s="192">
        <f>(AVERAGE(BL22,BJ22,BI22,BH22))/(AVERAGE(BL47,BJ47,BI47,BH47))</f>
        <v>4.8127304059507443</v>
      </c>
      <c r="BM56" s="190">
        <f>(AVERAGE(BM22,BL22,BJ22,BI22))/(AVERAGE(BM47,BL47,BJ47,BI47))</f>
        <v>4.6371261473140883</v>
      </c>
      <c r="BN56" s="190">
        <f>(AVERAGE(BN22,BM22,BL22,BJ22))/(AVERAGE(BN47,BM47,BL47,BJ47))</f>
        <v>4.4410121202581463</v>
      </c>
      <c r="BO56" s="196">
        <f>(AVERAGE(BO22,BN22,BM22,BL22))/(AVERAGE(BO47,BN47,BM47,BL47))</f>
        <v>4.2103953093885966</v>
      </c>
      <c r="BP56" s="196">
        <f t="shared" si="192"/>
        <v>4.2103953093885966</v>
      </c>
      <c r="BQ56" s="192">
        <f>(AVERAGE(BQ22,BO22,BN22,BM22))/(AVERAGE(BQ47,BO47,BN47,BM47))</f>
        <v>4.0099231865420029</v>
      </c>
      <c r="BR56" s="190">
        <f>(AVERAGE(BR22,BQ22,BO22,BN22))/(AVERAGE(BR47,BQ47,BO47,BN47))</f>
        <v>3.8761901574605511</v>
      </c>
      <c r="BS56" s="190">
        <f>(AVERAGE(BS22,BR22,BQ22,BO22))/(AVERAGE(BS47,BR47,BQ47,BO47))</f>
        <v>3.892927868962508</v>
      </c>
      <c r="BT56" s="196">
        <f>(AVERAGE(BT22,BS22,BR22,BQ22))/(AVERAGE(BT47,BS47,BR47,BQ47))</f>
        <v>4.395808615496942</v>
      </c>
      <c r="BU56" s="196">
        <f t="shared" si="193"/>
        <v>4.395808615496942</v>
      </c>
      <c r="BV56" s="192">
        <f>(AVERAGE(BV22,BT22,BS22,BR22))/(AVERAGE(BV47,BT47,BS47,BR47))</f>
        <v>4.8423665009062598</v>
      </c>
      <c r="BW56" s="1366">
        <f>(AVERAGE(BW22,BV22,BT22,BS22))/(AVERAGE(BW47,BV47,BT47,BS47))</f>
        <v>4.0697907522583936</v>
      </c>
      <c r="BX56" s="190">
        <f>(AVERAGE(BX22,BW22,BV22,BT22))/(AVERAGE(BX47,BW47,BV47,BT47))</f>
        <v>3.6931729549405632</v>
      </c>
      <c r="BY56" s="196">
        <f>(AVERAGE(BY22,BX22,BW22,BV22))/(AVERAGE(BY47,BX47,BW47,BV47))</f>
        <v>3.2736528625995378</v>
      </c>
      <c r="BZ56" s="196">
        <f t="shared" si="194"/>
        <v>3.2736528625995378</v>
      </c>
      <c r="CA56" s="192">
        <f>(AVERAGE(CA22,BY22,BX22,BW22))/(AVERAGE(CA47,BY47,BX47,BW47))</f>
        <v>2.8693154801529186</v>
      </c>
      <c r="CB56" s="190">
        <f>(AVERAGE(CB22,CA22,BY22,BX22))/(AVERAGE(CB47,CA47,BY47,BX47))</f>
        <v>2.8757282218820679</v>
      </c>
      <c r="CC56" s="190">
        <f>(AVERAGE(CC22,CB22,CA22,BY22))/(AVERAGE(CC47,CB47,CA47,BY47))</f>
        <v>2.8584464193315675</v>
      </c>
      <c r="CD56" s="196">
        <f>(AVERAGE(CD22,CC22,CB22,CA22))/(AVERAGE(CD47,CC47,CB47,CA47))</f>
        <v>2.8239812514785898</v>
      </c>
      <c r="CE56" s="196">
        <f t="shared" si="195"/>
        <v>2.8239812514785898</v>
      </c>
      <c r="CF56" s="192">
        <f>(AVERAGE(CF22,CD22,CC22,CB22))/(AVERAGE(CF47,CD47,CC47,CB47))</f>
        <v>2.8655616336035501</v>
      </c>
      <c r="CG56" s="190">
        <f>(AVERAGE(CG22,CF22,CD22,CC22))/(AVERAGE(CG47,CF47,CD47,CC47))</f>
        <v>2.9774462179042334</v>
      </c>
      <c r="CH56" s="190">
        <f>(AVERAGE(CH22,CG22,CF22,CD22))/(AVERAGE(CH47,CG47,CF47,CD47))</f>
        <v>3.0646911269582713</v>
      </c>
      <c r="CI56" s="196">
        <f>(AVERAGE(CI22,CH22,CG22,CF22))/(AVERAGE(CI47,CH47,CG47,CF47))</f>
        <v>3.4050642574419925</v>
      </c>
      <c r="CJ56" s="196">
        <f t="shared" si="196"/>
        <v>3.4050642574419925</v>
      </c>
      <c r="CK56" s="192">
        <f>(AVERAGE(CK22,CI22,CH22,CG22))/(AVERAGE(CK47,CI47,CH47,CG47))</f>
        <v>3.7858702022303943</v>
      </c>
      <c r="CL56" s="198">
        <f>(AVERAGE(CL22,CK22,CI22,CH22))/(AVERAGE(CL47,CK47,CI47,CH47))</f>
        <v>4.1934135304418145</v>
      </c>
      <c r="CM56" s="198">
        <f>(AVERAGE(CM22,CL22,CK22,CI22))/(AVERAGE(CM47,CL47,CK47,CI47))</f>
        <v>4.7829920426578969</v>
      </c>
      <c r="CN56" s="195">
        <f>(AVERAGE(CN22,CM22,CL22,CK22))/(AVERAGE(CN47,CM47,CL47,CK47))</f>
        <v>4.8133554001202725</v>
      </c>
      <c r="CO56" s="195">
        <f t="shared" si="197"/>
        <v>4.8133554001202725</v>
      </c>
      <c r="CP56" s="197">
        <f>(AVERAGE(CP22,CN22,CM22,CL22))/(AVERAGE(CP47,CN47,CM47,CL47))</f>
        <v>4.7479572051299899</v>
      </c>
      <c r="CQ56" s="198">
        <f>(AVERAGE(CQ22,CP22,CN22,CM22))/(AVERAGE(CQ47,CP47,CN47,CM47))</f>
        <v>4.6784657432168073</v>
      </c>
      <c r="CR56" s="198">
        <f>(AVERAGE(CR22,CQ22,CP22,CN22))/(AVERAGE(CR47,CQ47,CP47,CN47))</f>
        <v>4.6053625205032995</v>
      </c>
      <c r="CS56" s="195">
        <f>(AVERAGE(CS22,CR22,CQ22,CP22))/(AVERAGE(CS47,CR47,CQ47,CP47))</f>
        <v>4.5298184596055719</v>
      </c>
      <c r="CT56" s="195">
        <f t="shared" si="198"/>
        <v>4.5298184596055719</v>
      </c>
      <c r="CU56" s="197">
        <f>(AVERAGE(CU22,CS22,CR22,CQ22))/(AVERAGE(CU47,CS47,CR47,CQ47))</f>
        <v>4.4563104063989813</v>
      </c>
      <c r="CV56" s="198">
        <f>(AVERAGE(CV22,CU22,CS22,CR22))/(AVERAGE(CV47,CU47,CS47,CR47))</f>
        <v>4.380966490930259</v>
      </c>
      <c r="CW56" s="198">
        <f>(AVERAGE(CW22,CV22,CU22,CS22))/(AVERAGE(CW47,CV47,CU47,CS47))</f>
        <v>4.3037821094782345</v>
      </c>
      <c r="CX56" s="195">
        <f>(AVERAGE(CX22,CW22,CV22,CU22))/(AVERAGE(CX47,CW47,CV47,CU47))</f>
        <v>4.2262829803782971</v>
      </c>
      <c r="CY56" s="195">
        <f t="shared" si="199"/>
        <v>4.2262829803782971</v>
      </c>
      <c r="CZ56" s="197">
        <f>(AVERAGE(CZ22,CX22,CW22,CV22))/(AVERAGE(CZ47,CX47,CW47,CV47))</f>
        <v>4.147776419242402</v>
      </c>
      <c r="DA56" s="198">
        <f>(AVERAGE(DA22,CZ22,CX22,CW22))/(AVERAGE(DA47,CZ47,CX47,CW47))</f>
        <v>4.069884330230507</v>
      </c>
      <c r="DB56" s="198">
        <f>(AVERAGE(DB22,DA22,CZ22,CX22))/(AVERAGE(DB47,DA47,CZ47,CX47))</f>
        <v>3.9923359847622009</v>
      </c>
      <c r="DC56" s="195">
        <f>(AVERAGE(DC22,DB22,DA22,CZ22))/(AVERAGE(DC47,DB47,DA47,CZ47))</f>
        <v>3.893325029910137</v>
      </c>
      <c r="DD56" s="195">
        <f t="shared" si="200"/>
        <v>3.893325029910137</v>
      </c>
      <c r="DE56" s="197">
        <f>(AVERAGE(DE22,DC22,DB22,DA22))/(AVERAGE(DE47,DC47,DB47,DA47))</f>
        <v>3.7941291228619347</v>
      </c>
      <c r="DF56" s="198">
        <f>(AVERAGE(DF22,DE22,DC22,DB22))/(AVERAGE(DF47,DE47,DC47,DB47))</f>
        <v>3.6967930444227628</v>
      </c>
      <c r="DG56" s="198">
        <f>(AVERAGE(DG22,DF22,DE22,DC22))/(AVERAGE(DG47,DF47,DE47,DC47))</f>
        <v>3.600584515502756</v>
      </c>
      <c r="DH56" s="195">
        <f>(AVERAGE(DH22,DG22,DF22,DE22))/(AVERAGE(DH47,DG47,DF47,DE47))</f>
        <v>3.5282876493059661</v>
      </c>
      <c r="DI56" s="195">
        <f t="shared" si="201"/>
        <v>3.5282876493059661</v>
      </c>
      <c r="DJ56" s="197">
        <f>(AVERAGE(DJ22,DH22,DG22,DF22))/(AVERAGE(DJ47,DH47,DG47,DF47))</f>
        <v>3.458402413465878</v>
      </c>
      <c r="DK56" s="198">
        <f>(AVERAGE(DK22,DJ22,DH22,DG22))/(AVERAGE(DK47,DJ47,DH47,DG47))</f>
        <v>3.3896880645587157</v>
      </c>
      <c r="DL56" s="198">
        <f>(AVERAGE(DL22,DK22,DJ22,DH22))/(AVERAGE(DL47,DK47,DJ47,DH47))</f>
        <v>3.3219780212416992</v>
      </c>
      <c r="DM56" s="195">
        <f>(AVERAGE(DM22,DL22,DK22,DJ22))/(AVERAGE(DM47,DL47,DK47,DJ47))</f>
        <v>3.2564862596476023</v>
      </c>
      <c r="DN56" s="195">
        <f t="shared" si="202"/>
        <v>3.2564862596476023</v>
      </c>
      <c r="DO56" s="197">
        <f>(AVERAGE(DO22,DM22,DL22,DK22))/(AVERAGE(DO47,DM47,DL47,DK47))</f>
        <v>3.1957526199490403</v>
      </c>
      <c r="DP56" s="198">
        <f>(AVERAGE(DP22,DO22,DM22,DL22))/(AVERAGE(DP47,DO47,DM47,DL47))</f>
        <v>3.1399881226593971</v>
      </c>
      <c r="DQ56" s="198">
        <f>(AVERAGE(DQ22,DP22,DO22,DM22))/(AVERAGE(DQ47,DP47,DO47,DM47))</f>
        <v>3.087954659448549</v>
      </c>
      <c r="DR56" s="195">
        <f>(AVERAGE(DR22,DQ22,DP22,DO22))/(AVERAGE(DR47,DQ47,DP47,DO47))</f>
        <v>3.0403798310616055</v>
      </c>
      <c r="DS56" s="195">
        <f t="shared" si="203"/>
        <v>3.0403798310616055</v>
      </c>
      <c r="DT56" s="197">
        <f>(AVERAGE(DT22,DR22,DQ22,DP22))/(AVERAGE(DT47,DR47,DQ47,DP47))</f>
        <v>2.9907156778325068</v>
      </c>
      <c r="DU56" s="198">
        <f>(AVERAGE(DU22,DT22,DR22,DQ22))/(AVERAGE(DU47,DT47,DR47,DQ47))</f>
        <v>2.9405503047888573</v>
      </c>
      <c r="DV56" s="198">
        <f>(AVERAGE(DV22,DU22,DT22,DR22))/(AVERAGE(DV47,DU47,DT47,DR47))</f>
        <v>2.8906009804738186</v>
      </c>
      <c r="DW56" s="195">
        <f>(AVERAGE(DW22,DV22,DU22,DT22))/(AVERAGE(DW47,DV47,DU47,DT47))</f>
        <v>2.8419861626670553</v>
      </c>
      <c r="DX56" s="195">
        <f t="shared" ref="DX56:DX57" si="205">DW56</f>
        <v>2.8419861626670553</v>
      </c>
      <c r="DY56" s="21"/>
      <c r="DZ56" s="21"/>
      <c r="EA56" s="21"/>
      <c r="EB56" s="21"/>
      <c r="EC56" s="21"/>
      <c r="ED56" s="21"/>
      <c r="EE56" s="21"/>
      <c r="EF56" s="21"/>
    </row>
    <row r="57" spans="1:136" x14ac:dyDescent="0.2">
      <c r="A57" s="564" t="s">
        <v>198</v>
      </c>
      <c r="B57" s="123"/>
      <c r="C57" s="123"/>
      <c r="D57" s="123"/>
      <c r="E57" s="123"/>
      <c r="F57" s="123"/>
      <c r="G57" s="123"/>
      <c r="H57" s="122"/>
      <c r="I57" s="22"/>
      <c r="J57" s="22"/>
      <c r="K57" s="88"/>
      <c r="L57" s="123"/>
      <c r="M57" s="122"/>
      <c r="N57" s="22"/>
      <c r="O57" s="22"/>
      <c r="P57" s="88"/>
      <c r="Q57" s="123"/>
      <c r="R57" s="122"/>
      <c r="S57" s="22"/>
      <c r="T57" s="22"/>
      <c r="U57" s="88" t="e">
        <f>U53*U54</f>
        <v>#DIV/0!</v>
      </c>
      <c r="V57" s="122" t="e">
        <f t="shared" si="184"/>
        <v>#DIV/0!</v>
      </c>
      <c r="W57" s="199"/>
      <c r="X57" s="130"/>
      <c r="Y57" s="130"/>
      <c r="Z57" s="88" t="e">
        <f>Z53*Z54</f>
        <v>#DIV/0!</v>
      </c>
      <c r="AA57" s="123" t="e">
        <f t="shared" si="185"/>
        <v>#DIV/0!</v>
      </c>
      <c r="AB57" s="122" t="e">
        <f>AB53*AB54</f>
        <v>#DIV/0!</v>
      </c>
      <c r="AC57" s="22" t="e">
        <f>AC53*AC54</f>
        <v>#DIV/0!</v>
      </c>
      <c r="AD57" s="22" t="e">
        <f>AD53*AD54</f>
        <v>#DIV/0!</v>
      </c>
      <c r="AE57" s="88" t="e">
        <f>AE53*AE54</f>
        <v>#DIV/0!</v>
      </c>
      <c r="AF57" s="88" t="e">
        <f t="shared" si="186"/>
        <v>#DIV/0!</v>
      </c>
      <c r="AG57" s="122" t="e">
        <f>AG53*AG54</f>
        <v>#DIV/0!</v>
      </c>
      <c r="AH57" s="22" t="e">
        <f>AH53*AH54</f>
        <v>#DIV/0!</v>
      </c>
      <c r="AI57" s="22" t="e">
        <f>AI53*AI54</f>
        <v>#DIV/0!</v>
      </c>
      <c r="AJ57" s="88" t="e">
        <f>AJ53*AJ54</f>
        <v>#DIV/0!</v>
      </c>
      <c r="AK57" s="88" t="e">
        <f t="shared" si="187"/>
        <v>#DIV/0!</v>
      </c>
      <c r="AL57" s="122" t="e">
        <f>AL53*AL54</f>
        <v>#DIV/0!</v>
      </c>
      <c r="AM57" s="22" t="e">
        <f>AM53*AM54</f>
        <v>#DIV/0!</v>
      </c>
      <c r="AN57" s="22" t="e">
        <f>AN53*AN54</f>
        <v>#DIV/0!</v>
      </c>
      <c r="AO57" s="88" t="e">
        <f>AO53*AO54</f>
        <v>#DIV/0!</v>
      </c>
      <c r="AP57" s="548" t="e">
        <f t="shared" si="188"/>
        <v>#DIV/0!</v>
      </c>
      <c r="AQ57" s="22" t="e">
        <f>AQ53*AQ54</f>
        <v>#DIV/0!</v>
      </c>
      <c r="AR57" s="22" t="e">
        <f>AR53*AR54</f>
        <v>#DIV/0!</v>
      </c>
      <c r="AS57" s="22">
        <f>AS53*AS54</f>
        <v>2.9008152798330827E-2</v>
      </c>
      <c r="AT57" s="22">
        <f>AT53*AT54</f>
        <v>5.9231854063261195E-2</v>
      </c>
      <c r="AU57" s="548">
        <f t="shared" si="189"/>
        <v>5.9231854063261195E-2</v>
      </c>
      <c r="AV57" s="243"/>
      <c r="AW57" s="22"/>
      <c r="AX57" s="22"/>
      <c r="AY57" s="22"/>
      <c r="AZ57" s="22"/>
      <c r="BA57" s="123"/>
      <c r="BB57" s="122">
        <f>BB53*BB54</f>
        <v>6.5206714240314309E-2</v>
      </c>
      <c r="BC57" s="22">
        <f>BC53*BC54</f>
        <v>7.5122476010896999E-2</v>
      </c>
      <c r="BD57" s="22">
        <f>BD53*BD54</f>
        <v>6.9323014406734426E-2</v>
      </c>
      <c r="BE57" s="88">
        <f>BE53*BE54</f>
        <v>6.1745480869546676E-2</v>
      </c>
      <c r="BF57" s="88">
        <f t="shared" si="190"/>
        <v>6.1745480869546676E-2</v>
      </c>
      <c r="BG57" s="122">
        <f>BG53*BG54</f>
        <v>6.5395002221994292E-2</v>
      </c>
      <c r="BH57" s="22">
        <f>BH53*BH54</f>
        <v>7.2547126983917062E-2</v>
      </c>
      <c r="BI57" s="22">
        <f>BI53*BI54</f>
        <v>7.1235355317320254E-2</v>
      </c>
      <c r="BJ57" s="88">
        <f>BJ53*BJ54</f>
        <v>7.5729968362749603E-2</v>
      </c>
      <c r="BK57" s="88">
        <f t="shared" si="191"/>
        <v>7.5729968362749603E-2</v>
      </c>
      <c r="BL57" s="122">
        <f>BL53*BL54</f>
        <v>7.9046367221139446E-2</v>
      </c>
      <c r="BM57" s="22">
        <f>BM53*BM54</f>
        <v>7.9228007181328539E-2</v>
      </c>
      <c r="BN57" s="22">
        <f>BN53*BN54</f>
        <v>8.7368747507864081E-2</v>
      </c>
      <c r="BO57" s="88">
        <f>BO53*BO54</f>
        <v>9.14716121827856E-2</v>
      </c>
      <c r="BP57" s="88">
        <f>BO57</f>
        <v>9.14716121827856E-2</v>
      </c>
      <c r="BQ57" s="122">
        <f>BQ53*BQ54</f>
        <v>9.5536515283502155E-2</v>
      </c>
      <c r="BR57" s="22">
        <f>BR53*BR54</f>
        <v>9.8322864728355872E-2</v>
      </c>
      <c r="BS57" s="22">
        <f>BS53*BS54</f>
        <v>7.3252746115776562E-2</v>
      </c>
      <c r="BT57" s="88">
        <f>BT53*BT54</f>
        <v>1.8934960383474475E-2</v>
      </c>
      <c r="BU57" s="88">
        <f t="shared" si="193"/>
        <v>1.8934960383474475E-2</v>
      </c>
      <c r="BV57" s="122">
        <f>BV53*BV54</f>
        <v>2.1129977772061902E-2</v>
      </c>
      <c r="BW57" s="1350">
        <f>BW53*BW54</f>
        <v>2.6054685468302061E-2</v>
      </c>
      <c r="BX57" s="22">
        <f>BX53*BX54</f>
        <v>3.912887491126156E-2</v>
      </c>
      <c r="BY57" s="88">
        <f>BY53*BY54</f>
        <v>6.2872368617079483E-2</v>
      </c>
      <c r="BZ57" s="88">
        <f t="shared" si="194"/>
        <v>6.2872368617079483E-2</v>
      </c>
      <c r="CA57" s="122">
        <f>CA53*CA54</f>
        <v>6.8890361924963534E-2</v>
      </c>
      <c r="CB57" s="22">
        <f>CB53*CB54</f>
        <v>7.4069071991589408E-2</v>
      </c>
      <c r="CC57" s="22">
        <f>CC53*CC54</f>
        <v>7.9124979519785185E-2</v>
      </c>
      <c r="CD57" s="88">
        <f>CD53*CD54</f>
        <v>8.7264616488168287E-2</v>
      </c>
      <c r="CE57" s="88">
        <f t="shared" si="195"/>
        <v>8.7264616488168287E-2</v>
      </c>
      <c r="CF57" s="122">
        <f>CF53*CF54</f>
        <v>6.666283341319279E-2</v>
      </c>
      <c r="CG57" s="22">
        <f>CG53*CG54</f>
        <v>8.0734568620595901E-2</v>
      </c>
      <c r="CH57" s="22">
        <f>CH53*CH54</f>
        <v>7.9047016646443591E-2</v>
      </c>
      <c r="CI57" s="88">
        <f>CI53*CI54</f>
        <v>7.7834061761926615E-2</v>
      </c>
      <c r="CJ57" s="88">
        <f t="shared" si="196"/>
        <v>7.7834061761926615E-2</v>
      </c>
      <c r="CK57" s="122">
        <f>CK53*CK54</f>
        <v>8.1675965872252024E-2</v>
      </c>
      <c r="CL57" s="130">
        <f>CL53*CL54</f>
        <v>8.6126947962618938E-2</v>
      </c>
      <c r="CM57" s="130">
        <f>CM53*CM54</f>
        <v>9.102956094787408E-2</v>
      </c>
      <c r="CN57" s="164">
        <f>CN53*CN54</f>
        <v>9.2436845903325973E-2</v>
      </c>
      <c r="CO57" s="164">
        <f t="shared" si="197"/>
        <v>9.2436845903325973E-2</v>
      </c>
      <c r="CP57" s="199">
        <f>CP53*CP54</f>
        <v>9.4477297379117059E-2</v>
      </c>
      <c r="CQ57" s="130">
        <f>CQ53*CQ54</f>
        <v>9.7011870759910745E-2</v>
      </c>
      <c r="CR57" s="130">
        <f>CR53*CR54</f>
        <v>9.954348582488376E-2</v>
      </c>
      <c r="CS57" s="164">
        <f>CS53*CS54</f>
        <v>0.10219556651832586</v>
      </c>
      <c r="CT57" s="164">
        <f t="shared" si="198"/>
        <v>0.10219556651832586</v>
      </c>
      <c r="CU57" s="199">
        <f>CU53*CU54</f>
        <v>0.10368492976032809</v>
      </c>
      <c r="CV57" s="130">
        <f>CV53*CV54</f>
        <v>0.10608806260932459</v>
      </c>
      <c r="CW57" s="130">
        <f>CW53*CW54</f>
        <v>0.10868075634250886</v>
      </c>
      <c r="CX57" s="164">
        <f>CX53*CX54</f>
        <v>0.11132119592848286</v>
      </c>
      <c r="CY57" s="164">
        <f t="shared" si="199"/>
        <v>0.11132119592848286</v>
      </c>
      <c r="CZ57" s="199">
        <f>CZ53*CZ54</f>
        <v>0.11392778740248098</v>
      </c>
      <c r="DA57" s="130">
        <f>DA53*DA54</f>
        <v>0.11576921644130198</v>
      </c>
      <c r="DB57" s="130">
        <f>DB53*DB54</f>
        <v>0.11792172051668075</v>
      </c>
      <c r="DC57" s="164">
        <f>DC53*DC54</f>
        <v>0.12094228568436131</v>
      </c>
      <c r="DD57" s="164">
        <f t="shared" si="200"/>
        <v>0.12094228568436131</v>
      </c>
      <c r="DE57" s="199">
        <f>DE53*DE54</f>
        <v>0.12436098274150177</v>
      </c>
      <c r="DF57" s="130">
        <f>DF53*DF54</f>
        <v>0.12804610872696334</v>
      </c>
      <c r="DG57" s="130">
        <f>DG53*DG54</f>
        <v>0.1320447187260429</v>
      </c>
      <c r="DH57" s="164">
        <f>DH53*DH54</f>
        <v>0.13510877157613302</v>
      </c>
      <c r="DI57" s="164">
        <f t="shared" si="201"/>
        <v>0.13510877157613302</v>
      </c>
      <c r="DJ57" s="199">
        <f>DJ53*DJ54</f>
        <v>0.13703681263190987</v>
      </c>
      <c r="DK57" s="130">
        <f>DK53*DK54</f>
        <v>0.13912585718743831</v>
      </c>
      <c r="DL57" s="130">
        <f>DL53*DL54</f>
        <v>0.14141332260857237</v>
      </c>
      <c r="DM57" s="164">
        <f>DM53*DM54</f>
        <v>0.14368707072719908</v>
      </c>
      <c r="DN57" s="164">
        <f t="shared" si="202"/>
        <v>0.14368707072719908</v>
      </c>
      <c r="DO57" s="199">
        <f>DO53*DO54</f>
        <v>0.14328522114824643</v>
      </c>
      <c r="DP57" s="130">
        <f>DP53*DP54</f>
        <v>0.14263120595871906</v>
      </c>
      <c r="DQ57" s="130">
        <f>DQ53*DQ54</f>
        <v>0.14206346923538493</v>
      </c>
      <c r="DR57" s="164">
        <f>DR53*DR54</f>
        <v>0.14177604124864837</v>
      </c>
      <c r="DS57" s="164">
        <f t="shared" si="203"/>
        <v>0.14177604124864837</v>
      </c>
      <c r="DT57" s="199">
        <f>DT53*DT54</f>
        <v>0.1432278021615225</v>
      </c>
      <c r="DU57" s="130">
        <f>DU53*DU54</f>
        <v>0.14516801468235813</v>
      </c>
      <c r="DV57" s="130">
        <f>DV53*DV54</f>
        <v>0.14733969615854228</v>
      </c>
      <c r="DW57" s="164">
        <f>DW53*DW54</f>
        <v>0.14954829444001916</v>
      </c>
      <c r="DX57" s="164">
        <f t="shared" si="205"/>
        <v>0.14954829444001916</v>
      </c>
      <c r="DY57" s="16"/>
      <c r="DZ57" s="16"/>
      <c r="EA57" s="16"/>
      <c r="EB57" s="16"/>
      <c r="EC57" s="16"/>
      <c r="ED57" s="16"/>
      <c r="EE57" s="16"/>
      <c r="EF57" s="16"/>
    </row>
    <row r="58" spans="1:136" x14ac:dyDescent="0.2">
      <c r="A58" s="564" t="s">
        <v>106</v>
      </c>
      <c r="B58" s="123"/>
      <c r="C58" s="123"/>
      <c r="D58" s="123"/>
      <c r="E58" s="123"/>
      <c r="F58" s="123"/>
      <c r="G58" s="123"/>
      <c r="H58" s="122"/>
      <c r="I58" s="22"/>
      <c r="J58" s="22"/>
      <c r="K58" s="88"/>
      <c r="L58" s="123"/>
      <c r="M58" s="122"/>
      <c r="N58" s="22"/>
      <c r="O58" s="22"/>
      <c r="P58" s="88"/>
      <c r="Q58" s="123"/>
      <c r="R58" s="122"/>
      <c r="S58" s="22"/>
      <c r="T58" s="22"/>
      <c r="U58" s="88"/>
      <c r="V58" s="122"/>
      <c r="W58" s="199"/>
      <c r="X58" s="130"/>
      <c r="Y58" s="130"/>
      <c r="Z58" s="88"/>
      <c r="AA58" s="123"/>
      <c r="AB58" s="122"/>
      <c r="AC58" s="22"/>
      <c r="AD58" s="22"/>
      <c r="AE58" s="88"/>
      <c r="AF58" s="88"/>
      <c r="AG58" s="122"/>
      <c r="AH58" s="22"/>
      <c r="AI58" s="22"/>
      <c r="AJ58" s="88"/>
      <c r="AK58" s="88"/>
      <c r="AL58" s="122"/>
      <c r="AM58" s="22"/>
      <c r="AN58" s="22"/>
      <c r="AO58" s="88"/>
      <c r="AP58" s="548"/>
      <c r="AQ58" s="22"/>
      <c r="AR58" s="22"/>
      <c r="AS58" s="22"/>
      <c r="AT58" s="22"/>
      <c r="AU58" s="548"/>
      <c r="AV58" s="243"/>
      <c r="AW58" s="22"/>
      <c r="AX58" s="22"/>
      <c r="AY58" s="22"/>
      <c r="AZ58" s="22"/>
      <c r="BA58" s="123"/>
      <c r="BB58" s="122">
        <f>BB53*BB55</f>
        <v>0.17685765756878197</v>
      </c>
      <c r="BC58" s="22">
        <f>BC53*BC55</f>
        <v>0.17757279646029139</v>
      </c>
      <c r="BD58" s="22">
        <f>BD53*BD55</f>
        <v>0.19133331417453986</v>
      </c>
      <c r="BE58" s="88">
        <f>BE53*BE55</f>
        <v>0.20413334835003938</v>
      </c>
      <c r="BF58" s="88">
        <f>BE58</f>
        <v>0.20413334835003938</v>
      </c>
      <c r="BG58" s="122">
        <f>BG53*BG55</f>
        <v>0.22309363110249403</v>
      </c>
      <c r="BH58" s="22">
        <f>BH53*BH55</f>
        <v>0.24962843883648272</v>
      </c>
      <c r="BI58" s="22">
        <f>BI53*BI55</f>
        <v>0.24165605291021511</v>
      </c>
      <c r="BJ58" s="88">
        <f>BJ53*BJ55</f>
        <v>0.25963451019393335</v>
      </c>
      <c r="BK58" s="88">
        <f>BJ58</f>
        <v>0.25963451019393335</v>
      </c>
      <c r="BL58" s="122">
        <f>BL53*BL55</f>
        <v>0.2731187847466916</v>
      </c>
      <c r="BM58" s="22">
        <f>BM53*BM55</f>
        <v>0.27769125489640839</v>
      </c>
      <c r="BN58" s="22">
        <f>BN53*BN55</f>
        <v>0.30954212252970631</v>
      </c>
      <c r="BO58" s="88">
        <f>BO53*BO55</f>
        <v>0.32640560052504947</v>
      </c>
      <c r="BP58" s="88">
        <f>BO58</f>
        <v>0.32640560052504947</v>
      </c>
      <c r="BQ58" s="122">
        <f t="shared" ref="BQ58:BX58" si="206">BQ53*BQ55</f>
        <v>0.34759299263627647</v>
      </c>
      <c r="BR58" s="22">
        <f t="shared" si="206"/>
        <v>0.36896160699821801</v>
      </c>
      <c r="BS58" s="22">
        <f>BS53*BS55</f>
        <v>0.27968989185719212</v>
      </c>
      <c r="BT58" s="88">
        <f>BT53*BT55</f>
        <v>8.5552467724346631E-2</v>
      </c>
      <c r="BU58" s="88">
        <f>BT58</f>
        <v>8.5552467724346631E-2</v>
      </c>
      <c r="BV58" s="122">
        <f t="shared" si="206"/>
        <v>9.8531162449315771E-2</v>
      </c>
      <c r="BW58" s="1350">
        <f t="shared" si="206"/>
        <v>0.12406579158229046</v>
      </c>
      <c r="BX58" s="22">
        <f t="shared" si="206"/>
        <v>0.18894445195296658</v>
      </c>
      <c r="BY58" s="88">
        <f>BY53*BY55</f>
        <v>0.2954555311173756</v>
      </c>
      <c r="BZ58" s="88">
        <f>BY58</f>
        <v>0.2954555311173756</v>
      </c>
      <c r="CA58" s="122">
        <f t="shared" ref="CA58:CB58" si="207">CA53*CA55</f>
        <v>0.32971453589081423</v>
      </c>
      <c r="CB58" s="22">
        <f t="shared" si="207"/>
        <v>0.36033830832952179</v>
      </c>
      <c r="CC58" s="22">
        <f>CC53*CC55</f>
        <v>0.39360338628790031</v>
      </c>
      <c r="CD58" s="88">
        <f>CD53*CD55</f>
        <v>0.44313042553474302</v>
      </c>
      <c r="CE58" s="88">
        <f>CD58</f>
        <v>0.44313042553474302</v>
      </c>
      <c r="CF58" s="122">
        <f t="shared" ref="CF58" si="208">CF53*CF55</f>
        <v>0.34622301561494201</v>
      </c>
      <c r="CG58" s="22">
        <f>CG53*CG55</f>
        <v>0.45620995733355318</v>
      </c>
      <c r="CH58" s="22">
        <f>CH53*CH55</f>
        <v>0.48344297398813491</v>
      </c>
      <c r="CI58" s="88">
        <f>CI53*CI55</f>
        <v>0.50360828854703865</v>
      </c>
      <c r="CJ58" s="88">
        <f>CI58</f>
        <v>0.50360828854703865</v>
      </c>
      <c r="CK58" s="122">
        <f>CK53*CK55</f>
        <v>0.54832442201973075</v>
      </c>
      <c r="CL58" s="1032">
        <f>CL53*CL55</f>
        <v>0.56490236367489877</v>
      </c>
      <c r="CM58" s="130">
        <f>CM53*CM55</f>
        <v>0.58311245338638351</v>
      </c>
      <c r="CN58" s="1030">
        <f>CN53*CN55</f>
        <v>0.59350247471703954</v>
      </c>
      <c r="CO58" s="88">
        <f>CN58</f>
        <v>0.59350247471703954</v>
      </c>
      <c r="CP58" s="1031">
        <f>CP53*CP55</f>
        <v>0.61632183478039515</v>
      </c>
      <c r="CQ58" s="1032">
        <f>CQ53*CQ55</f>
        <v>0.63810907797534877</v>
      </c>
      <c r="CR58" s="130">
        <f>CR53*CR55</f>
        <v>0.6611744796206247</v>
      </c>
      <c r="CS58" s="1030">
        <f>CS53*CS55</f>
        <v>0.68650103290362252</v>
      </c>
      <c r="CT58" s="88">
        <f>CS58</f>
        <v>0.68650103290362252</v>
      </c>
      <c r="CU58" s="1031">
        <f>CU53*CU55</f>
        <v>0.70471878643292973</v>
      </c>
      <c r="CV58" s="1032">
        <f>CV53*CV55</f>
        <v>0.72970629916905572</v>
      </c>
      <c r="CW58" s="130">
        <f>CW53*CW55</f>
        <v>0.75675599925170622</v>
      </c>
      <c r="CX58" s="1030">
        <f>CX53*CX55</f>
        <v>0.78491179132287958</v>
      </c>
      <c r="CY58" s="88">
        <f>CX58</f>
        <v>0.78491179132287958</v>
      </c>
      <c r="CZ58" s="1031">
        <f>CZ53*CZ55</f>
        <v>0.81449360379871605</v>
      </c>
      <c r="DA58" s="1032">
        <f>DA53*DA55</f>
        <v>0.8393438660583159</v>
      </c>
      <c r="DB58" s="130">
        <f>DB53*DB55</f>
        <v>0.8672970679510954</v>
      </c>
      <c r="DC58" s="1030">
        <f>DC53*DC55</f>
        <v>0.89672268597572824</v>
      </c>
      <c r="DD58" s="88">
        <f>DC58</f>
        <v>0.89672268597572824</v>
      </c>
      <c r="DE58" s="1031">
        <f>DE53*DE55</f>
        <v>0.93154081382833931</v>
      </c>
      <c r="DF58" s="1032">
        <f>DF53*DF55</f>
        <v>0.97015401286198732</v>
      </c>
      <c r="DG58" s="130">
        <f>DG53*DG55</f>
        <v>1.0135351268344128</v>
      </c>
      <c r="DH58" s="1030">
        <f>DH53*DH55</f>
        <v>1.0599092851319967</v>
      </c>
      <c r="DI58" s="88">
        <f>DH58</f>
        <v>1.0599092851319967</v>
      </c>
      <c r="DJ58" s="1031">
        <f>DJ53*DJ55</f>
        <v>1.0997654833025365</v>
      </c>
      <c r="DK58" s="1032">
        <f>DK53*DK55</f>
        <v>1.142498880671095</v>
      </c>
      <c r="DL58" s="130">
        <f>DL53*DL55</f>
        <v>1.1887639355241597</v>
      </c>
      <c r="DM58" s="1030">
        <f>DM53*DM55</f>
        <v>1.2368316662392631</v>
      </c>
      <c r="DN58" s="88">
        <f>DM58</f>
        <v>1.2368316662392631</v>
      </c>
      <c r="DO58" s="1031">
        <f>DO53*DO55</f>
        <v>1.2640611590266642</v>
      </c>
      <c r="DP58" s="1032">
        <f>DP53*DP55</f>
        <v>1.2893242918575387</v>
      </c>
      <c r="DQ58" s="130">
        <f>DQ53*DQ55</f>
        <v>1.3159361054732428</v>
      </c>
      <c r="DR58" s="1030">
        <f>DR53*DR55</f>
        <v>1.3457624665644823</v>
      </c>
      <c r="DS58" s="88">
        <f>DR58</f>
        <v>1.3457624665644823</v>
      </c>
      <c r="DT58" s="1031">
        <f>DT53*DT55</f>
        <v>1.3956532066328609</v>
      </c>
      <c r="DU58" s="1032">
        <f>DU53*DU55</f>
        <v>1.4523986168429526</v>
      </c>
      <c r="DV58" s="130">
        <f>DV53*DV55</f>
        <v>1.5138504272612945</v>
      </c>
      <c r="DW58" s="1030">
        <f>DW53*DW55</f>
        <v>1.5779705246086544</v>
      </c>
      <c r="DX58" s="88">
        <f>DW58</f>
        <v>1.5779705246086544</v>
      </c>
      <c r="DY58" s="16"/>
      <c r="DZ58" s="16"/>
      <c r="EA58" s="16"/>
      <c r="EB58" s="16"/>
      <c r="EC58" s="16"/>
      <c r="ED58" s="16"/>
      <c r="EE58" s="16"/>
      <c r="EF58" s="16"/>
    </row>
    <row r="59" spans="1:136" x14ac:dyDescent="0.2">
      <c r="A59" s="1034" t="s">
        <v>199</v>
      </c>
      <c r="B59" s="123"/>
      <c r="C59" s="123"/>
      <c r="D59" s="123"/>
      <c r="E59" s="123"/>
      <c r="F59" s="123"/>
      <c r="G59" s="123"/>
      <c r="H59" s="122"/>
      <c r="I59" s="22"/>
      <c r="J59" s="22"/>
      <c r="K59" s="88"/>
      <c r="L59" s="123"/>
      <c r="M59" s="122"/>
      <c r="N59" s="22"/>
      <c r="O59" s="22"/>
      <c r="P59" s="88"/>
      <c r="Q59" s="123"/>
      <c r="R59" s="122"/>
      <c r="S59" s="22"/>
      <c r="T59" s="22"/>
      <c r="U59" s="88" t="e">
        <f>U52*U54*U56</f>
        <v>#DIV/0!</v>
      </c>
      <c r="V59" s="122" t="e">
        <f t="shared" si="184"/>
        <v>#DIV/0!</v>
      </c>
      <c r="W59" s="199"/>
      <c r="X59" s="130"/>
      <c r="Y59" s="130"/>
      <c r="Z59" s="88" t="e">
        <f>Z52*Z54*Z56</f>
        <v>#DIV/0!</v>
      </c>
      <c r="AA59" s="123" t="e">
        <f t="shared" si="185"/>
        <v>#DIV/0!</v>
      </c>
      <c r="AB59" s="122" t="e">
        <f>AB52*AB54*AB56</f>
        <v>#DIV/0!</v>
      </c>
      <c r="AC59" s="22" t="e">
        <f>AC52*AC54*AC56</f>
        <v>#DIV/0!</v>
      </c>
      <c r="AD59" s="22" t="e">
        <f>AD52*AD54*AD56</f>
        <v>#DIV/0!</v>
      </c>
      <c r="AE59" s="88" t="e">
        <f>AE52*AE54*AE56</f>
        <v>#DIV/0!</v>
      </c>
      <c r="AF59" s="88" t="e">
        <f t="shared" si="186"/>
        <v>#DIV/0!</v>
      </c>
      <c r="AG59" s="122" t="e">
        <f>AG52*AG54*AG56</f>
        <v>#DIV/0!</v>
      </c>
      <c r="AH59" s="22" t="e">
        <f>AH52*AH54*AH56</f>
        <v>#DIV/0!</v>
      </c>
      <c r="AI59" s="22" t="e">
        <f>AI52*AI54*AI56</f>
        <v>#DIV/0!</v>
      </c>
      <c r="AJ59" s="88" t="e">
        <f>AJ52*AJ54*AJ56</f>
        <v>#DIV/0!</v>
      </c>
      <c r="AK59" s="88" t="e">
        <f t="shared" si="187"/>
        <v>#DIV/0!</v>
      </c>
      <c r="AL59" s="122" t="e">
        <f>AL52*AL54*AL56</f>
        <v>#DIV/0!</v>
      </c>
      <c r="AM59" s="22" t="e">
        <f>AM52*AM54*AM56</f>
        <v>#DIV/0!</v>
      </c>
      <c r="AN59" s="22" t="e">
        <f>AN52*AN54*AN56</f>
        <v>#DIV/0!</v>
      </c>
      <c r="AO59" s="88" t="e">
        <f>AO52*AO54*AO56</f>
        <v>#DIV/0!</v>
      </c>
      <c r="AP59" s="548" t="e">
        <f t="shared" si="188"/>
        <v>#DIV/0!</v>
      </c>
      <c r="AQ59" s="22" t="e">
        <f>AQ52*AQ54*AQ56</f>
        <v>#DIV/0!</v>
      </c>
      <c r="AR59" s="22" t="e">
        <f>AR52*AR54*AR56</f>
        <v>#DIV/0!</v>
      </c>
      <c r="AS59" s="22">
        <f>AS52*AS54*AS56</f>
        <v>-5.9637095807665595E-2</v>
      </c>
      <c r="AT59" s="22">
        <f>AT52*AT54*AT56</f>
        <v>1.4426077910068138E-2</v>
      </c>
      <c r="AU59" s="548">
        <f t="shared" si="189"/>
        <v>1.4426077910068138E-2</v>
      </c>
      <c r="AV59" s="243"/>
      <c r="AW59" s="22"/>
      <c r="AX59" s="22"/>
      <c r="AY59" s="22"/>
      <c r="AZ59" s="22"/>
      <c r="BA59" s="123"/>
      <c r="BB59" s="122">
        <f>BB52*BB54*BB56</f>
        <v>3.8399866724974425E-2</v>
      </c>
      <c r="BC59" s="22">
        <f>BC52*BC54*BC56</f>
        <v>8.6451734896473384E-2</v>
      </c>
      <c r="BD59" s="22">
        <f>BD52*BD54*BD56</f>
        <v>7.9068947275612714E-2</v>
      </c>
      <c r="BE59" s="88">
        <f>BE52*BE54*BE56</f>
        <v>6.3020851961801086E-2</v>
      </c>
      <c r="BF59" s="88">
        <f t="shared" si="190"/>
        <v>6.3020851961801086E-2</v>
      </c>
      <c r="BG59" s="122">
        <f>BG52*BG54*BG56</f>
        <v>7.7398606396283584E-2</v>
      </c>
      <c r="BH59" s="22">
        <f>BH52*BH54*BH56</f>
        <v>9.831471607052486E-2</v>
      </c>
      <c r="BI59" s="22">
        <f>BI52*BI54*BI56</f>
        <v>7.8976080570708942E-2</v>
      </c>
      <c r="BJ59" s="88">
        <f>BJ52*BJ54*BJ56</f>
        <v>9.6242691851670045E-2</v>
      </c>
      <c r="BK59" s="88">
        <f t="shared" si="191"/>
        <v>9.6242691851670045E-2</v>
      </c>
      <c r="BL59" s="122">
        <f>BL52*BL54*BL56</f>
        <v>0.12145801976310439</v>
      </c>
      <c r="BM59" s="22">
        <f>BM52*BM54*BM56</f>
        <v>0.12812454471663162</v>
      </c>
      <c r="BN59" s="22">
        <f>BN52*BN54*BN56</f>
        <v>0.16960491106563835</v>
      </c>
      <c r="BO59" s="88">
        <f>BO52*BO54*BO56</f>
        <v>0.17235784349878305</v>
      </c>
      <c r="BP59" s="88">
        <f t="shared" si="192"/>
        <v>0.17235784349878305</v>
      </c>
      <c r="BQ59" s="122">
        <f>BQ52*BQ54*BQ56</f>
        <v>0.17955580271801461</v>
      </c>
      <c r="BR59" s="22">
        <f>BR52*BR54*BR56</f>
        <v>0.18105453389334183</v>
      </c>
      <c r="BS59" s="22">
        <f>BS52*BS54*BS56</f>
        <v>0.12002819454234209</v>
      </c>
      <c r="BT59" s="88">
        <f>BT52*BT54*BT56</f>
        <v>-0.12658574427306743</v>
      </c>
      <c r="BU59" s="88">
        <f t="shared" si="193"/>
        <v>-0.12658574427306743</v>
      </c>
      <c r="BV59" s="122">
        <f>BV52*BV54*BV56</f>
        <v>-0.10678068503973608</v>
      </c>
      <c r="BW59" s="1350">
        <f>BW52*BW54*BW56</f>
        <v>-6.6864645785472868E-2</v>
      </c>
      <c r="BX59" s="22">
        <f>BX52*BX54*BX56</f>
        <v>-1.1678804679791401E-2</v>
      </c>
      <c r="BY59" s="88">
        <f>BY52*BY54*BY56</f>
        <v>8.8343727745527512E-2</v>
      </c>
      <c r="BZ59" s="88">
        <f t="shared" si="194"/>
        <v>8.8343727745527512E-2</v>
      </c>
      <c r="CA59" s="122">
        <f>CA52*CA54*CA56</f>
        <v>7.7600471689141581E-2</v>
      </c>
      <c r="CB59" s="22">
        <f>CB52*CB54*CB56</f>
        <v>9.3882555421016867E-2</v>
      </c>
      <c r="CC59" s="22">
        <f>CC52*CC54*CC56</f>
        <v>0.12674595590873547</v>
      </c>
      <c r="CD59" s="88">
        <f>CD52*CD54*CD56</f>
        <v>0.14133546250295712</v>
      </c>
      <c r="CE59" s="88">
        <f t="shared" si="195"/>
        <v>0.14133546250295712</v>
      </c>
      <c r="CF59" s="122">
        <f>CF52*CF54*CF56</f>
        <v>9.1935235835585175E-2</v>
      </c>
      <c r="CG59" s="22">
        <f>CG52*CG54*CG56</f>
        <v>0.1373583159842702</v>
      </c>
      <c r="CH59" s="22">
        <f>CH52*CH54*CH56</f>
        <v>0.13485362876130635</v>
      </c>
      <c r="CI59" s="88">
        <f>CI52*CI54*CI56</f>
        <v>0.18860045879088372</v>
      </c>
      <c r="CJ59" s="88">
        <f t="shared" si="196"/>
        <v>0.18860045879088372</v>
      </c>
      <c r="CK59" s="122">
        <f>CK52*CK54*CK56</f>
        <v>0.22890000594545468</v>
      </c>
      <c r="CL59" s="130">
        <f>CL52*CL54*CL56</f>
        <v>0.26230716598954984</v>
      </c>
      <c r="CM59" s="130">
        <f>CM52*CM54*CM56</f>
        <v>0.32117666122269767</v>
      </c>
      <c r="CN59" s="164">
        <f>CN52*CN54*CN56</f>
        <v>0.26182818267175634</v>
      </c>
      <c r="CO59" s="164">
        <f t="shared" si="197"/>
        <v>0.26182818267175634</v>
      </c>
      <c r="CP59" s="199">
        <f>CP52*CP54*CP56</f>
        <v>0.25304669753572245</v>
      </c>
      <c r="CQ59" s="130">
        <f>CQ52*CQ54*CQ56</f>
        <v>0.25926875331855886</v>
      </c>
      <c r="CR59" s="130">
        <f>CR52*CR54*CR56</f>
        <v>0.26509424458136771</v>
      </c>
      <c r="CS59" s="164">
        <f>CS52*CS54*CS56</f>
        <v>0.27092265932228166</v>
      </c>
      <c r="CT59" s="164">
        <f t="shared" si="198"/>
        <v>0.27092265932228166</v>
      </c>
      <c r="CU59" s="199">
        <f>CU52*CU54*CU56</f>
        <v>0.2726146911979439</v>
      </c>
      <c r="CV59" s="130">
        <f>CV52*CV54*CV56</f>
        <v>0.27719594989028901</v>
      </c>
      <c r="CW59" s="130">
        <f>CW52*CW54*CW56</f>
        <v>0.28198796739953474</v>
      </c>
      <c r="CX59" s="164">
        <f>CX52*CX54*CX56</f>
        <v>0.28662609851346754</v>
      </c>
      <c r="CY59" s="164">
        <f t="shared" si="199"/>
        <v>0.28662609851346754</v>
      </c>
      <c r="CZ59" s="199">
        <f>CZ52*CZ54*CZ56</f>
        <v>0.29078935456531407</v>
      </c>
      <c r="DA59" s="130">
        <f>DA52*DA54*DA56</f>
        <v>0.29220618264101783</v>
      </c>
      <c r="DB59" s="130">
        <f>DB52*DB54*DB56</f>
        <v>0.29436183071304989</v>
      </c>
      <c r="DC59" s="164">
        <f>DC52*DC54*DC56</f>
        <v>0.29193399384237562</v>
      </c>
      <c r="DD59" s="164">
        <f t="shared" si="200"/>
        <v>0.29193399384237562</v>
      </c>
      <c r="DE59" s="199">
        <f>DE52*DE54*DE56</f>
        <v>0.2937156532538342</v>
      </c>
      <c r="DF59" s="130">
        <f>DF52*DF54*DF56</f>
        <v>0.29545511595669766</v>
      </c>
      <c r="DG59" s="130">
        <f>DG52*DG54*DG56</f>
        <v>0.29794330951305276</v>
      </c>
      <c r="DH59" s="164">
        <f>DH52*DH54*DH56</f>
        <v>0.3043968183757485</v>
      </c>
      <c r="DI59" s="164">
        <f t="shared" si="201"/>
        <v>0.3043968183757485</v>
      </c>
      <c r="DJ59" s="199">
        <f>DJ52*DJ54*DJ56</f>
        <v>0.30429410310003341</v>
      </c>
      <c r="DK59" s="130">
        <f>DK52*DK54*DK56</f>
        <v>0.30493139848210266</v>
      </c>
      <c r="DL59" s="130">
        <f>DL52*DL54*DL56</f>
        <v>0.30589157010966905</v>
      </c>
      <c r="DM59" s="164">
        <f>DM52*DM54*DM56</f>
        <v>0.30676767100702423</v>
      </c>
      <c r="DN59" s="164">
        <f t="shared" si="202"/>
        <v>0.30676767100702423</v>
      </c>
      <c r="DO59" s="199">
        <f>DO52*DO54*DO56</f>
        <v>0.30104587036070696</v>
      </c>
      <c r="DP59" s="130">
        <f>DP52*DP54*DP56</f>
        <v>0.29516596624314295</v>
      </c>
      <c r="DQ59" s="130">
        <f>DQ52*DQ54*DQ56</f>
        <v>0.29147373628122519</v>
      </c>
      <c r="DR59" s="164">
        <f>DR52*DR54*DR56</f>
        <v>0.28881949761260134</v>
      </c>
      <c r="DS59" s="164">
        <f t="shared" si="203"/>
        <v>0.28881949761260134</v>
      </c>
      <c r="DT59" s="199">
        <f>DT52*DT54*DT56</f>
        <v>0.29003789954974929</v>
      </c>
      <c r="DU59" s="130">
        <f>DU52*DU54*DU56</f>
        <v>0.2921304541035859</v>
      </c>
      <c r="DV59" s="130">
        <f>DV52*DV54*DV56</f>
        <v>0.29299094478262039</v>
      </c>
      <c r="DW59" s="164">
        <f>DW52*DW54*DW56</f>
        <v>0.29387677393714368</v>
      </c>
      <c r="DX59" s="164">
        <f t="shared" ref="DX59" si="209">DW59</f>
        <v>0.29387677393714368</v>
      </c>
      <c r="DY59" s="16"/>
      <c r="DZ59" s="16"/>
      <c r="EA59" s="16"/>
      <c r="EB59" s="16"/>
      <c r="EC59" s="16"/>
      <c r="ED59" s="16"/>
      <c r="EE59" s="16"/>
      <c r="EF59" s="16"/>
    </row>
    <row r="60" spans="1:136" x14ac:dyDescent="0.2">
      <c r="A60" s="2" t="s">
        <v>552</v>
      </c>
      <c r="B60" s="5"/>
      <c r="C60" s="5"/>
      <c r="D60" s="5"/>
      <c r="E60" s="5"/>
      <c r="F60" s="5"/>
      <c r="G60" s="5"/>
      <c r="H60" s="5"/>
      <c r="I60" s="5"/>
      <c r="J60" s="5"/>
      <c r="K60" s="5"/>
      <c r="L60" s="5"/>
      <c r="M60" s="5"/>
      <c r="N60" s="5"/>
      <c r="O60" s="5"/>
      <c r="P60" s="5"/>
      <c r="Q60" s="5"/>
      <c r="R60" s="5"/>
      <c r="S60" s="5"/>
      <c r="T60" s="5"/>
      <c r="U60" s="5"/>
      <c r="V60" s="5"/>
      <c r="W60" s="5"/>
      <c r="X60" s="5"/>
      <c r="Y60" s="5"/>
      <c r="Z60" s="5"/>
      <c r="AA60" s="212"/>
      <c r="AB60" s="5"/>
      <c r="AC60" s="5"/>
      <c r="AD60" s="5"/>
      <c r="AE60" s="5"/>
      <c r="AF60" s="5"/>
      <c r="AG60" s="5"/>
      <c r="AH60" s="5"/>
      <c r="AI60" s="5"/>
      <c r="AJ60" s="5"/>
      <c r="AK60" s="5"/>
      <c r="AL60" s="5"/>
      <c r="AM60" s="5"/>
      <c r="AN60" s="5"/>
      <c r="AO60" s="5"/>
      <c r="AP60" s="5"/>
      <c r="AQ60" s="5"/>
      <c r="AR60" s="5"/>
      <c r="AS60" s="5"/>
      <c r="AT60" s="5"/>
      <c r="AU60" s="5"/>
      <c r="AV60" s="293"/>
      <c r="AW60" s="5"/>
      <c r="AX60" s="5"/>
      <c r="AY60" s="5"/>
      <c r="AZ60" s="5"/>
      <c r="BA60" s="5"/>
      <c r="BB60" s="5"/>
      <c r="BC60" s="5"/>
      <c r="BD60" s="5"/>
      <c r="BE60" s="5"/>
      <c r="BF60" s="5"/>
      <c r="BG60" s="5"/>
      <c r="BH60" s="5"/>
      <c r="BI60" s="5"/>
      <c r="BJ60" s="5"/>
      <c r="BK60" s="5"/>
      <c r="BL60" s="5"/>
      <c r="BM60" s="5"/>
      <c r="BN60" s="5"/>
      <c r="BO60" s="5"/>
      <c r="BP60" s="212"/>
      <c r="BQ60" s="5"/>
      <c r="BR60" s="5"/>
      <c r="BS60" s="5"/>
      <c r="BT60" s="5"/>
      <c r="BU60" s="5"/>
      <c r="BV60" s="5"/>
      <c r="BW60" s="1363"/>
      <c r="BX60" s="5"/>
      <c r="BY60" s="5"/>
      <c r="BZ60" s="5"/>
      <c r="CA60" s="5"/>
      <c r="CB60" s="5"/>
      <c r="CC60" s="5"/>
      <c r="CD60" s="5"/>
      <c r="CE60" s="5"/>
      <c r="CF60" s="5"/>
      <c r="CG60" s="5"/>
      <c r="CH60" s="5"/>
      <c r="CI60" s="5"/>
      <c r="CJ60" s="5"/>
      <c r="CK60" s="5"/>
      <c r="CL60" s="5"/>
      <c r="CM60" s="5"/>
      <c r="CN60" s="5"/>
      <c r="CO60" s="212"/>
      <c r="CP60" s="5"/>
      <c r="CQ60" s="5"/>
      <c r="CR60" s="5"/>
      <c r="CS60" s="5"/>
      <c r="CT60" s="212"/>
      <c r="CU60" s="5"/>
      <c r="CV60" s="5"/>
      <c r="CW60" s="5"/>
      <c r="CX60" s="5"/>
      <c r="CY60" s="212"/>
      <c r="CZ60" s="5"/>
      <c r="DA60" s="5"/>
      <c r="DB60" s="5"/>
      <c r="DC60" s="5"/>
      <c r="DD60" s="212"/>
      <c r="DE60" s="5"/>
      <c r="DF60" s="5"/>
      <c r="DG60" s="5"/>
      <c r="DH60" s="5"/>
      <c r="DI60" s="212"/>
      <c r="DJ60" s="5"/>
      <c r="DK60" s="5"/>
      <c r="DL60" s="5"/>
      <c r="DM60" s="5"/>
      <c r="DN60" s="212"/>
      <c r="DO60" s="5"/>
      <c r="DP60" s="5"/>
      <c r="DQ60" s="5"/>
      <c r="DR60" s="5"/>
      <c r="DS60" s="213"/>
      <c r="DT60" s="5"/>
      <c r="DU60" s="5"/>
      <c r="DV60" s="5"/>
      <c r="DW60" s="5"/>
      <c r="DX60" s="213"/>
      <c r="DY60" s="21"/>
      <c r="DZ60" s="21"/>
      <c r="EA60" s="21"/>
      <c r="EB60" s="21"/>
      <c r="EC60" s="21"/>
      <c r="ED60" s="21"/>
      <c r="EE60" s="21"/>
      <c r="EF60" s="21"/>
    </row>
    <row r="61" spans="1:136" x14ac:dyDescent="0.2">
      <c r="A61" s="1035" t="s">
        <v>202</v>
      </c>
      <c r="B61" s="60"/>
      <c r="C61" s="22"/>
      <c r="D61" s="22"/>
      <c r="E61" s="22"/>
      <c r="F61" s="22"/>
      <c r="G61" s="60"/>
      <c r="H61" s="60"/>
      <c r="I61" s="60"/>
      <c r="J61" s="60"/>
      <c r="K61" s="60"/>
      <c r="L61" s="60"/>
      <c r="M61" s="60"/>
      <c r="N61" s="60"/>
      <c r="O61" s="60"/>
      <c r="P61" s="60"/>
      <c r="Q61" s="275"/>
      <c r="R61" s="60"/>
      <c r="S61" s="60"/>
      <c r="T61" s="60"/>
      <c r="U61" s="60"/>
      <c r="V61" s="275">
        <f>(V33+V31)/(V33+V31+V47)</f>
        <v>0.72943845717526945</v>
      </c>
      <c r="W61" s="60"/>
      <c r="X61" s="60"/>
      <c r="Y61" s="60"/>
      <c r="Z61" s="60">
        <f t="shared" ref="Z61:AT61" si="210">(Z33+Z31)/(Z33+Z31+Z47)</f>
        <v>0.63862332695984703</v>
      </c>
      <c r="AA61" s="275">
        <f t="shared" si="210"/>
        <v>0.63862332695984703</v>
      </c>
      <c r="AB61" s="60">
        <f t="shared" si="210"/>
        <v>0.61354838709677417</v>
      </c>
      <c r="AC61" s="60">
        <f t="shared" si="210"/>
        <v>0.58544509421702406</v>
      </c>
      <c r="AD61" s="60">
        <f t="shared" si="210"/>
        <v>0.56552614590058103</v>
      </c>
      <c r="AE61" s="60">
        <f t="shared" si="210"/>
        <v>0.55025125628140703</v>
      </c>
      <c r="AF61" s="275">
        <f t="shared" si="210"/>
        <v>0.55025125628140703</v>
      </c>
      <c r="AG61" s="60">
        <f t="shared" si="210"/>
        <v>0.53254067584480602</v>
      </c>
      <c r="AH61" s="60">
        <f t="shared" si="210"/>
        <v>0.5114551083591331</v>
      </c>
      <c r="AI61" s="60">
        <f t="shared" si="210"/>
        <v>0.5114551083591331</v>
      </c>
      <c r="AJ61" s="60">
        <f t="shared" si="210"/>
        <v>0.50900639163277162</v>
      </c>
      <c r="AK61" s="275">
        <f t="shared" si="210"/>
        <v>0.50900639163277162</v>
      </c>
      <c r="AL61" s="60">
        <f t="shared" si="210"/>
        <v>0.50814149354295335</v>
      </c>
      <c r="AM61" s="60">
        <f t="shared" si="210"/>
        <v>0.50474065811489122</v>
      </c>
      <c r="AN61" s="60">
        <f t="shared" si="210"/>
        <v>0.48216276477146042</v>
      </c>
      <c r="AO61" s="60">
        <f t="shared" si="210"/>
        <v>0.45781189165137115</v>
      </c>
      <c r="AP61" s="1036">
        <f t="shared" si="210"/>
        <v>0.45781189165137115</v>
      </c>
      <c r="AQ61" s="60">
        <f t="shared" si="210"/>
        <v>0.44667101118714025</v>
      </c>
      <c r="AR61" s="60">
        <f t="shared" si="210"/>
        <v>0.42608228018284483</v>
      </c>
      <c r="AS61" s="60">
        <f t="shared" si="210"/>
        <v>0.41145309106319861</v>
      </c>
      <c r="AT61" s="60">
        <f t="shared" si="210"/>
        <v>0.40277336720652063</v>
      </c>
      <c r="AU61" s="1036">
        <f>(AU33+AU31)/(AU33+AU31+AU47)</f>
        <v>0.40277336720652063</v>
      </c>
      <c r="AV61" s="279"/>
      <c r="AW61" s="60"/>
      <c r="AX61" s="60"/>
      <c r="AY61" s="60"/>
      <c r="AZ61" s="60"/>
      <c r="BA61" s="275"/>
      <c r="BB61" s="60">
        <f t="shared" ref="BB61:BI61" si="211">(BB33+BB31)/(BB33+BB31+BB47)</f>
        <v>0.64522098071311651</v>
      </c>
      <c r="BC61" s="60">
        <f t="shared" si="211"/>
        <v>0.66737319887811253</v>
      </c>
      <c r="BD61" s="60">
        <f t="shared" si="211"/>
        <v>0.67427100826590469</v>
      </c>
      <c r="BE61" s="60">
        <f t="shared" si="211"/>
        <v>0.74365990715856345</v>
      </c>
      <c r="BF61" s="275">
        <f t="shared" si="211"/>
        <v>0.74365990715856345</v>
      </c>
      <c r="BG61" s="60">
        <f t="shared" si="211"/>
        <v>0.63264057183422684</v>
      </c>
      <c r="BH61" s="60">
        <f t="shared" si="211"/>
        <v>0.72909864450380923</v>
      </c>
      <c r="BI61" s="60">
        <f t="shared" si="211"/>
        <v>0.7253638457392072</v>
      </c>
      <c r="BJ61" s="60">
        <f t="shared" ref="BJ61:BP61" si="212">(BJ33+BJ31)/(BJ33+BJ31+BJ47)</f>
        <v>0.71590222200730202</v>
      </c>
      <c r="BK61" s="275">
        <f t="shared" si="212"/>
        <v>0.71590222200730202</v>
      </c>
      <c r="BL61" s="60">
        <f t="shared" si="212"/>
        <v>0.71285556143812867</v>
      </c>
      <c r="BM61" s="60">
        <f t="shared" si="212"/>
        <v>0.69257372528859196</v>
      </c>
      <c r="BN61" s="60">
        <f t="shared" si="212"/>
        <v>0.67954357987352221</v>
      </c>
      <c r="BO61" s="60">
        <f t="shared" si="212"/>
        <v>0.66139622135870291</v>
      </c>
      <c r="BP61" s="275">
        <f t="shared" si="212"/>
        <v>0.66139622135870291</v>
      </c>
      <c r="BQ61" s="60">
        <f>(BQ33+BQ31)/(BQ33+BQ31+BQ47)</f>
        <v>0.65996474237386471</v>
      </c>
      <c r="BR61" s="60">
        <f t="shared" ref="BR61:DS61" si="213">(BR33+BR31)/(BR33+BR31+BR47)</f>
        <v>0.65769436281057969</v>
      </c>
      <c r="BS61" s="60">
        <f t="shared" si="213"/>
        <v>0.68115707821590166</v>
      </c>
      <c r="BT61" s="60">
        <f t="shared" si="213"/>
        <v>0.67592203898050984</v>
      </c>
      <c r="BU61" s="275">
        <f t="shared" si="213"/>
        <v>0.67592203898050984</v>
      </c>
      <c r="BV61" s="60">
        <f t="shared" si="213"/>
        <v>0.71904160807874229</v>
      </c>
      <c r="BW61" s="1367">
        <f t="shared" si="213"/>
        <v>0.55974490649574626</v>
      </c>
      <c r="BX61" s="60">
        <f t="shared" si="213"/>
        <v>0.56366159947124927</v>
      </c>
      <c r="BY61" s="60">
        <f t="shared" si="213"/>
        <v>0.57837738744305101</v>
      </c>
      <c r="BZ61" s="275">
        <f t="shared" si="213"/>
        <v>0.57837738744305101</v>
      </c>
      <c r="CA61" s="60">
        <f t="shared" ref="CA61:CB61" si="214">(CA33+CA31)/(CA33+CA31+CA47)</f>
        <v>0.56225715586223279</v>
      </c>
      <c r="CB61" s="60">
        <f t="shared" si="214"/>
        <v>0.55558018975579537</v>
      </c>
      <c r="CC61" s="60">
        <f t="shared" si="213"/>
        <v>0.55541858265662192</v>
      </c>
      <c r="CD61" s="60">
        <f t="shared" si="213"/>
        <v>0.55619796333479399</v>
      </c>
      <c r="CE61" s="275">
        <f t="shared" si="213"/>
        <v>0.55619796333479399</v>
      </c>
      <c r="CF61" s="60">
        <f t="shared" si="213"/>
        <v>0.58307077328721146</v>
      </c>
      <c r="CG61" s="60">
        <f t="shared" si="213"/>
        <v>0.61237594862813782</v>
      </c>
      <c r="CH61" s="60">
        <f t="shared" si="213"/>
        <v>0.60044950222376969</v>
      </c>
      <c r="CI61" s="60">
        <f t="shared" si="213"/>
        <v>0.72258617857990104</v>
      </c>
      <c r="CJ61" s="275">
        <f t="shared" si="213"/>
        <v>0.72258617857990104</v>
      </c>
      <c r="CK61" s="60">
        <f t="shared" si="213"/>
        <v>0.73664901640667191</v>
      </c>
      <c r="CL61" s="1037">
        <f t="shared" si="213"/>
        <v>0.73441795139173349</v>
      </c>
      <c r="CM61" s="1037">
        <f t="shared" si="213"/>
        <v>0.72984969270150346</v>
      </c>
      <c r="CN61" s="1037">
        <f t="shared" si="213"/>
        <v>0.72438916439538648</v>
      </c>
      <c r="CO61" s="1038">
        <f t="shared" si="213"/>
        <v>0.72438916439538648</v>
      </c>
      <c r="CP61" s="1037">
        <f t="shared" si="213"/>
        <v>0.72185168406396172</v>
      </c>
      <c r="CQ61" s="1037">
        <f t="shared" si="213"/>
        <v>0.71814458826482996</v>
      </c>
      <c r="CR61" s="1037">
        <f t="shared" si="213"/>
        <v>0.71248612597927363</v>
      </c>
      <c r="CS61" s="1037">
        <f t="shared" si="213"/>
        <v>0.7058659334681</v>
      </c>
      <c r="CT61" s="1038">
        <f t="shared" si="213"/>
        <v>0.7058659334681</v>
      </c>
      <c r="CU61" s="1037">
        <f t="shared" si="213"/>
        <v>0.70336009248635589</v>
      </c>
      <c r="CV61" s="1037">
        <f t="shared" si="213"/>
        <v>0.69863938685547833</v>
      </c>
      <c r="CW61" s="1037">
        <f t="shared" si="213"/>
        <v>0.69191218130653021</v>
      </c>
      <c r="CX61" s="1037">
        <f t="shared" si="213"/>
        <v>0.68420155090405743</v>
      </c>
      <c r="CY61" s="1038">
        <f t="shared" si="213"/>
        <v>0.68420155090405743</v>
      </c>
      <c r="CZ61" s="1037">
        <f t="shared" si="213"/>
        <v>0.6808837405456124</v>
      </c>
      <c r="DA61" s="1037">
        <f t="shared" si="213"/>
        <v>0.67555485624505207</v>
      </c>
      <c r="DB61" s="1037">
        <f t="shared" si="213"/>
        <v>0.66810954765616271</v>
      </c>
      <c r="DC61" s="1037">
        <f t="shared" si="213"/>
        <v>0.64844754783051406</v>
      </c>
      <c r="DD61" s="1038">
        <f t="shared" si="213"/>
        <v>0.64844754783051406</v>
      </c>
      <c r="DE61" s="1037">
        <f t="shared" si="213"/>
        <v>0.64422736597796992</v>
      </c>
      <c r="DF61" s="1037">
        <f t="shared" si="213"/>
        <v>0.63816974824637263</v>
      </c>
      <c r="DG61" s="1037">
        <f t="shared" si="213"/>
        <v>0.62986378578981539</v>
      </c>
      <c r="DH61" s="1037">
        <f t="shared" si="213"/>
        <v>0.62062368437609339</v>
      </c>
      <c r="DI61" s="1038">
        <f t="shared" si="213"/>
        <v>0.62062368437609339</v>
      </c>
      <c r="DJ61" s="1037">
        <f t="shared" si="213"/>
        <v>0.61649340176726741</v>
      </c>
      <c r="DK61" s="1037">
        <f t="shared" si="213"/>
        <v>0.60985462228164333</v>
      </c>
      <c r="DL61" s="1037">
        <f t="shared" si="213"/>
        <v>0.60101782699605566</v>
      </c>
      <c r="DM61" s="1037">
        <f t="shared" si="213"/>
        <v>0.59129283848722536</v>
      </c>
      <c r="DN61" s="1038">
        <f t="shared" si="213"/>
        <v>0.59129283848722536</v>
      </c>
      <c r="DO61" s="1037">
        <f t="shared" si="213"/>
        <v>0.58810465267482503</v>
      </c>
      <c r="DP61" s="1037">
        <f t="shared" si="213"/>
        <v>0.58260758172325777</v>
      </c>
      <c r="DQ61" s="1037">
        <f t="shared" si="213"/>
        <v>0.57462694873620235</v>
      </c>
      <c r="DR61" s="1037">
        <f t="shared" si="213"/>
        <v>0.56560656955172117</v>
      </c>
      <c r="DS61" s="1038">
        <f t="shared" si="213"/>
        <v>0.56560656955172117</v>
      </c>
      <c r="DT61" s="1037">
        <f t="shared" ref="DT61:DX61" si="215">(DT33+DT31)/(DT33+DT31+DT47)</f>
        <v>0.56142546850049968</v>
      </c>
      <c r="DU61" s="1037">
        <f t="shared" si="215"/>
        <v>0.55514338298132038</v>
      </c>
      <c r="DV61" s="1037">
        <f t="shared" si="215"/>
        <v>0.5468396171163773</v>
      </c>
      <c r="DW61" s="1037">
        <f t="shared" si="215"/>
        <v>0.53754190406553959</v>
      </c>
      <c r="DX61" s="1038">
        <f t="shared" si="215"/>
        <v>0.53754190406553959</v>
      </c>
      <c r="DY61" s="16"/>
      <c r="DZ61" s="16"/>
      <c r="EA61" s="16"/>
      <c r="EB61" s="16"/>
      <c r="EC61" s="16"/>
      <c r="ED61" s="16"/>
      <c r="EE61" s="16"/>
      <c r="EF61" s="16"/>
    </row>
    <row r="62" spans="1:136" x14ac:dyDescent="0.2">
      <c r="A62" s="1748" t="s">
        <v>489</v>
      </c>
      <c r="B62" s="1052"/>
      <c r="C62" s="1052"/>
      <c r="D62" s="1052"/>
      <c r="E62" s="1052"/>
      <c r="F62" s="1052"/>
      <c r="G62" s="1052"/>
      <c r="H62" s="1052"/>
      <c r="I62" s="1052"/>
      <c r="J62" s="1052"/>
      <c r="K62" s="1052"/>
      <c r="L62" s="1052"/>
      <c r="M62" s="1052"/>
      <c r="N62" s="1052"/>
      <c r="O62" s="1052"/>
      <c r="P62" s="1052"/>
      <c r="Q62" s="1053"/>
      <c r="R62" s="1052"/>
      <c r="S62" s="1052"/>
      <c r="T62" s="1052"/>
      <c r="U62" s="1052"/>
      <c r="V62" s="1053"/>
      <c r="W62" s="1749"/>
      <c r="X62" s="1749"/>
      <c r="Y62" s="1749"/>
      <c r="Z62" s="1052"/>
      <c r="AA62" s="1053" t="e">
        <f>AA33/IS!AA448</f>
        <v>#DIV/0!</v>
      </c>
      <c r="AB62" s="1052" t="e">
        <f>AB33/IS!AB448</f>
        <v>#DIV/0!</v>
      </c>
      <c r="AC62" s="1052" t="e">
        <f>AC33/IS!AC448</f>
        <v>#DIV/0!</v>
      </c>
      <c r="AD62" s="1052" t="e">
        <f>AD33/IS!AD448</f>
        <v>#DIV/0!</v>
      </c>
      <c r="AE62" s="1052" t="e">
        <f>AE33/IS!AE448</f>
        <v>#DIV/0!</v>
      </c>
      <c r="AF62" s="1053" t="e">
        <f>AF33/IS!AF448</f>
        <v>#DIV/0!</v>
      </c>
      <c r="AG62" s="1052" t="e">
        <f>AG33/IS!AG448</f>
        <v>#DIV/0!</v>
      </c>
      <c r="AH62" s="1052" t="e">
        <f>AH33/IS!AH448</f>
        <v>#DIV/0!</v>
      </c>
      <c r="AI62" s="1052" t="e">
        <f>AI33/IS!AI448</f>
        <v>#DIV/0!</v>
      </c>
      <c r="AJ62" s="1052" t="e">
        <f>AJ33/IS!AJ448</f>
        <v>#DIV/0!</v>
      </c>
      <c r="AK62" s="1053" t="e">
        <f>AK33/IS!AK448</f>
        <v>#DIV/0!</v>
      </c>
      <c r="AL62" s="1052" t="e">
        <f>AL33/IS!AL448</f>
        <v>#DIV/0!</v>
      </c>
      <c r="AM62" s="1052" t="e">
        <f>AM33/IS!AM448</f>
        <v>#DIV/0!</v>
      </c>
      <c r="AN62" s="1052" t="e">
        <f>AN33/IS!AN448</f>
        <v>#DIV/0!</v>
      </c>
      <c r="AO62" s="1052" t="e">
        <f>AO33/IS!AO448</f>
        <v>#DIV/0!</v>
      </c>
      <c r="AP62" s="1750" t="e">
        <f>AP33/IS!AP448</f>
        <v>#DIV/0!</v>
      </c>
      <c r="AQ62" s="1052" t="e">
        <f>AQ33/IS!AQ448</f>
        <v>#DIV/0!</v>
      </c>
      <c r="AR62" s="1052" t="e">
        <f>AR33/IS!AR448</f>
        <v>#DIV/0!</v>
      </c>
      <c r="AS62" s="1052">
        <f>AS33/IS!AW448</f>
        <v>6.4830827067669183</v>
      </c>
      <c r="AT62" s="1052">
        <f>AT33/IS!AX448</f>
        <v>3.0212669683257931</v>
      </c>
      <c r="AU62" s="1750"/>
      <c r="AV62" s="1751"/>
      <c r="AW62" s="1052"/>
      <c r="AX62" s="1052"/>
      <c r="AY62" s="1052"/>
      <c r="AZ62" s="1052"/>
      <c r="BA62" s="1053"/>
      <c r="BB62" s="1052">
        <f>(BB31+BB33+BB34)/IS!BB438</f>
        <v>5.9556934931506866</v>
      </c>
      <c r="BC62" s="1052">
        <f>(BC31+BC33+BC34)/IS!BC438</f>
        <v>6.4311724689875964</v>
      </c>
      <c r="BD62" s="1052">
        <f>(BD31+BD33+BD34)/IS!BD438</f>
        <v>5.8485682819383262</v>
      </c>
      <c r="BE62" s="1052">
        <f>(BE31+BE33+BE34)/IS!BE438</f>
        <v>5.3661538461538481</v>
      </c>
      <c r="BF62" s="1053">
        <f>(BF31+BF33+BF34)/IS!BF438</f>
        <v>5.3661538461538481</v>
      </c>
      <c r="BG62" s="1052">
        <f>(BG31+BG33+BG34)/IS!BG438</f>
        <v>4.4390083730093588</v>
      </c>
      <c r="BH62" s="1052">
        <f>(BH31+BH33+BH34)/IS!BH438</f>
        <v>4.8310393925011876</v>
      </c>
      <c r="BI62" s="1052">
        <f>(BI31+BI33+BI34)/IS!BI438</f>
        <v>4.8241324921135673</v>
      </c>
      <c r="BJ62" s="1052">
        <f>(BJ31+BJ33+BJ34)/IS!BJ438</f>
        <v>4.6761232939733182</v>
      </c>
      <c r="BK62" s="1053">
        <f>(BK31+BK33+BK34)/IS!BK438</f>
        <v>4.6761232939733182</v>
      </c>
      <c r="BL62" s="1052">
        <f>(BL31+BL33+BL34)/IS!BL438</f>
        <v>4.6655436447166929</v>
      </c>
      <c r="BM62" s="1052">
        <f>(BM31+BM33+BM34)/IS!BM438</f>
        <v>4.737939620292563</v>
      </c>
      <c r="BN62" s="1052">
        <f>(BN31+BN33+BN34)/IS!BN438</f>
        <v>4.6428244624065886</v>
      </c>
      <c r="BO62" s="1052">
        <f>(BO31+BO33+BO34)/IS!BO438</f>
        <v>4.5628004807692317</v>
      </c>
      <c r="BP62" s="1053">
        <f>(BP31+BP33+BP34)/IS!BP438</f>
        <v>4.5628004807692317</v>
      </c>
      <c r="BQ62" s="1052">
        <f>(BQ31+BQ33+BQ34)/IS!BQ438</f>
        <v>4.4533294134940462</v>
      </c>
      <c r="BR62" s="1052">
        <f>(BR31+BR33+BR34)/IS!BR438</f>
        <v>4.3164430488152998</v>
      </c>
      <c r="BS62" s="1052">
        <f>(BS31+BS33+BS34)/IS!BS438</f>
        <v>4.1961057023643953</v>
      </c>
      <c r="BT62" s="1052">
        <f>(BT31+BT33+BT34)/IS!BT438</f>
        <v>12.077913546183158</v>
      </c>
      <c r="BU62" s="1053">
        <f>(BU31+BU33+BU34)/IS!BU438</f>
        <v>12.077913546183158</v>
      </c>
      <c r="BV62" s="1052">
        <f>(BV31+BV33+BV34)/IS!CA438</f>
        <v>9.5782540512284378</v>
      </c>
      <c r="BW62" s="1752">
        <f>(BW31+BW33+BW34)/IS!CB438</f>
        <v>7.3736995422388683</v>
      </c>
      <c r="BX62" s="1052">
        <f>(BX31+BX33+BX34)/IS!CC438</f>
        <v>6.0340516645945579</v>
      </c>
      <c r="BY62" s="1052">
        <f>(BY31+BY33+BY34)/IS!CD438</f>
        <v>5.2345456727883803</v>
      </c>
      <c r="BZ62" s="1053">
        <f>(BZ31+BZ33+BZ34)/IS!CE438</f>
        <v>5.2345456727883803</v>
      </c>
      <c r="CA62" s="1052">
        <f>(CA31+CA33+CA34)/IS!CF438</f>
        <v>5.0827855023561588</v>
      </c>
      <c r="CB62" s="1052">
        <f>(CB31+CB33+CB34)/IS!CG438</f>
        <v>4.9326064851429221</v>
      </c>
      <c r="CC62" s="1052">
        <f>(CC31+CC33+CC34)/IS!CH438</f>
        <v>4.8005389353277614</v>
      </c>
      <c r="CD62" s="1052">
        <f>(CD31+CD33+CD34)/IS!CI438</f>
        <v>4.6195277992564279</v>
      </c>
      <c r="CE62" s="1053">
        <f>(CE31+CE33+CE34)/IS!CJ438</f>
        <v>4.6195277992564279</v>
      </c>
      <c r="CF62" s="1052">
        <f>(CF31+CF33+CF34)/IS!CK438</f>
        <v>5.1295366414039032</v>
      </c>
      <c r="CG62" s="1052">
        <f>(CG31+CG33+CG34)/IS!CL438</f>
        <v>5.8513524457402015</v>
      </c>
      <c r="CH62" s="1052">
        <f>(CH31+CH33+CH34)/IS!CM438</f>
        <v>5.663001734994249</v>
      </c>
      <c r="CI62" s="1052">
        <f>(CI31+CI33+CI34)/IS!CN438</f>
        <v>5.6495945568086485</v>
      </c>
      <c r="CJ62" s="1053">
        <f>(CJ31+CJ33+CJ34)/IS!CO438</f>
        <v>5.6495945568086485</v>
      </c>
      <c r="CK62" s="1052">
        <f>(CK31+CK33+CK34)/IS!CP438</f>
        <v>5.5010908099263709</v>
      </c>
      <c r="CL62" s="1749">
        <f>(CL31+CL33+CL34)/IS!CQ438</f>
        <v>5.4211014141649105</v>
      </c>
      <c r="CM62" s="1749">
        <f>(CM31+CM33+CM34)/IS!CR438</f>
        <v>5.326769730377789</v>
      </c>
      <c r="CN62" s="1749">
        <f>(CN31+CN33+CN34)/IS!CS438</f>
        <v>5.2661158581216849</v>
      </c>
      <c r="CO62" s="1753">
        <f>(CO31+CO33+CO34)/IS!CT438</f>
        <v>5.2661158581216849</v>
      </c>
      <c r="CP62" s="1749">
        <f>(CP31+CP33+CP34)/IS!CU438</f>
        <v>5.1541429195177848</v>
      </c>
      <c r="CQ62" s="1749">
        <f>(CQ31+CQ33+CQ34)/IS!CV438</f>
        <v>5.0313578916673602</v>
      </c>
      <c r="CR62" s="1749">
        <f>(CR31+CR33+CR34)/IS!CW438</f>
        <v>4.8950180892282029</v>
      </c>
      <c r="CS62" s="1749">
        <f>(CS31+CS33+CS34)/IS!CX438</f>
        <v>4.7568665532891039</v>
      </c>
      <c r="CT62" s="1753">
        <f>(CT31+CT33+CT34)/IS!CY438</f>
        <v>4.7568665532891039</v>
      </c>
      <c r="CU62" s="1749">
        <f>(CU31+CU33+CU34)/IS!CZ438</f>
        <v>4.6698473262890845</v>
      </c>
      <c r="CV62" s="1749">
        <f>(CV31+CV33+CV34)/IS!DA438</f>
        <v>4.5484989403697851</v>
      </c>
      <c r="CW62" s="1749">
        <f>(CW31+CW33+CW34)/IS!DB438</f>
        <v>4.4244136564727343</v>
      </c>
      <c r="CX62" s="1749">
        <f>(CX31+CX33+CX34)/IS!DC438</f>
        <v>4.3011333364920752</v>
      </c>
      <c r="CY62" s="1753">
        <f>(CY31+CY33+CY34)/IS!DD438</f>
        <v>4.3011333364920752</v>
      </c>
      <c r="CZ62" s="1749">
        <f>(CZ31+CZ33+CZ34)/IS!DE438</f>
        <v>4.200985734062197</v>
      </c>
      <c r="DA62" s="1749">
        <f>(DA31+DA33+DA34)/IS!DF438</f>
        <v>4.1359131804782479</v>
      </c>
      <c r="DB62" s="1749">
        <f>(DB31+DB33+DB34)/IS!DG438</f>
        <v>4.0581211260534182</v>
      </c>
      <c r="DC62" s="1749">
        <f>(DC31+DC33+DC34)/IS!DH438</f>
        <v>3.7622269690113193</v>
      </c>
      <c r="DD62" s="1753">
        <f>(DD31+DD33+DD34)/IS!DI438</f>
        <v>3.7622269690113193</v>
      </c>
      <c r="DE62" s="1749">
        <f>(DE31+DE33+DE34)/IS!DJ438</f>
        <v>3.6631123027634511</v>
      </c>
      <c r="DF62" s="1749">
        <f>(DF31+DF33+DF34)/IS!DK438</f>
        <v>3.5601608362130603</v>
      </c>
      <c r="DG62" s="1749">
        <f>(DG31+DG33+DG34)/IS!DL438</f>
        <v>3.4542131535830922</v>
      </c>
      <c r="DH62" s="1749">
        <f>(DH31+DH33+DH34)/IS!DM438</f>
        <v>3.349966272995367</v>
      </c>
      <c r="DI62" s="1753">
        <f>(DI31+DI33+DI34)/IS!DN438</f>
        <v>3.349966272995367</v>
      </c>
      <c r="DJ62" s="1749">
        <f>(DJ31+DJ33+DJ34)/IS!DO438</f>
        <v>3.2767644319730018</v>
      </c>
      <c r="DK62" s="1749">
        <f>(DK31+DK33+DK34)/IS!DP438</f>
        <v>3.2017797246348101</v>
      </c>
      <c r="DL62" s="1749">
        <f>(DL31+DL33+DL34)/IS!DQ438</f>
        <v>3.1243665458521903</v>
      </c>
      <c r="DM62" s="1749">
        <f>(DM31+DM33+DM34)/IS!DR438</f>
        <v>3.046872310115881</v>
      </c>
      <c r="DN62" s="1753">
        <f>(DN31+DN33+DN34)/IS!DS438</f>
        <v>3.046872310115881</v>
      </c>
      <c r="DO62" s="1749">
        <f>(DO31+DO33+DO34)/IS!DT438</f>
        <v>3.0231986146805609</v>
      </c>
      <c r="DP62" s="1749">
        <f>(DP31+DP33+DP34)/IS!DU438</f>
        <v>3.0060630313724133</v>
      </c>
      <c r="DQ62" s="1749">
        <f>(DQ31+DQ33+DQ34)/IS!DV438</f>
        <v>2.9877294158404415</v>
      </c>
      <c r="DR62" s="1749">
        <f>(DR31+DR33+DR34)/IS!DW438</f>
        <v>2.9619712573995454</v>
      </c>
      <c r="DS62" s="1753">
        <f>(DS31+DS33+DS34)/IS!DX438</f>
        <v>2.9619712573995454</v>
      </c>
      <c r="DT62" s="1749">
        <f>(DT31+DT33+DT34)/IS!DY438</f>
        <v>2.9049198430408412</v>
      </c>
      <c r="DU62" s="1749">
        <f>(DU31+DU33+DU34)/IS!DZ438</f>
        <v>2.8398105296080813</v>
      </c>
      <c r="DV62" s="1749">
        <f>(DV31+DV33+DV34)/IS!EA438</f>
        <v>2.7725284014389122</v>
      </c>
      <c r="DW62" s="1749">
        <f>(DW31+DW33+DW34)/IS!EB438</f>
        <v>2.7046943660363847</v>
      </c>
      <c r="DX62" s="1753">
        <f>(DX31+DX33+DX34)/IS!EC438</f>
        <v>2.7046943660363847</v>
      </c>
      <c r="DY62" s="16"/>
      <c r="DZ62" s="16"/>
      <c r="EA62" s="16"/>
      <c r="EB62" s="16"/>
      <c r="EC62" s="16"/>
      <c r="ED62" s="16"/>
      <c r="EE62" s="16"/>
      <c r="EF62" s="16"/>
    </row>
    <row r="63" spans="1:136" x14ac:dyDescent="0.2">
      <c r="A63" s="1754" t="s">
        <v>289</v>
      </c>
      <c r="B63" s="1054"/>
      <c r="C63" s="1054"/>
      <c r="D63" s="1054"/>
      <c r="E63" s="1054"/>
      <c r="F63" s="1054"/>
      <c r="G63" s="1054"/>
      <c r="H63" s="1054"/>
      <c r="I63" s="1054"/>
      <c r="J63" s="1054"/>
      <c r="K63" s="1054"/>
      <c r="L63" s="1054"/>
      <c r="M63" s="1054"/>
      <c r="N63" s="1054"/>
      <c r="O63" s="1054"/>
      <c r="P63" s="1054"/>
      <c r="Q63" s="1055"/>
      <c r="R63" s="1054"/>
      <c r="S63" s="1054"/>
      <c r="T63" s="1054"/>
      <c r="U63" s="1054"/>
      <c r="V63" s="1055"/>
      <c r="W63" s="1054"/>
      <c r="X63" s="1054"/>
      <c r="Y63" s="1054"/>
      <c r="Z63" s="1054"/>
      <c r="AA63" s="1055"/>
      <c r="AB63" s="1054"/>
      <c r="AC63" s="1054"/>
      <c r="AD63" s="1054"/>
      <c r="AE63" s="1054"/>
      <c r="AF63" s="1055"/>
      <c r="AG63" s="1054"/>
      <c r="AH63" s="1054"/>
      <c r="AI63" s="1054"/>
      <c r="AJ63" s="1054"/>
      <c r="AK63" s="1055"/>
      <c r="AL63" s="1054"/>
      <c r="AM63" s="1054"/>
      <c r="AN63" s="1054"/>
      <c r="AO63" s="1054"/>
      <c r="AP63" s="1755"/>
      <c r="AQ63" s="1054"/>
      <c r="AR63" s="1054"/>
      <c r="AS63" s="1054"/>
      <c r="AT63" s="1054"/>
      <c r="AU63" s="1755"/>
      <c r="AV63" s="1756"/>
      <c r="AW63" s="1054"/>
      <c r="AX63" s="1054"/>
      <c r="AY63" s="1054"/>
      <c r="AZ63" s="1054"/>
      <c r="BA63" s="1055"/>
      <c r="BB63" s="1054">
        <f>(BB31+BB33+BB34-BB10)/IS!BB438</f>
        <v>5.3839897260273988</v>
      </c>
      <c r="BC63" s="1054">
        <f>(BC31+BC33+BC34-BC10)/IS!BC438</f>
        <v>5.0778311324529817</v>
      </c>
      <c r="BD63" s="1054">
        <f>(BD31+BD33+BD34-BD10)/IS!BD438</f>
        <v>4.2652349486049923</v>
      </c>
      <c r="BE63" s="1054">
        <f>(BE31+BE33+BE34-BE10)/IS!BE438</f>
        <v>4.5815384615384627</v>
      </c>
      <c r="BF63" s="1055">
        <f>(BF31+BF33+BF34-BF10)/IS!BF438</f>
        <v>4.5815384615384627</v>
      </c>
      <c r="BG63" s="1054">
        <f>(BG31+BG33+BG34-BG10)/IS!BG438</f>
        <v>3.7333771137744218</v>
      </c>
      <c r="BH63" s="1054">
        <f>(BH31+BH33+BH34-BH10)/IS!BH438</f>
        <v>4.2335073564309456</v>
      </c>
      <c r="BI63" s="1054">
        <f>(BI31+BI33+BI34-BI10)/IS!BI438</f>
        <v>4.06261829652997</v>
      </c>
      <c r="BJ63" s="1054">
        <f>(BJ31+BJ33+BJ34-BJ10)/IS!BJ438</f>
        <v>3.8377549455604978</v>
      </c>
      <c r="BK63" s="1055">
        <f>(BK31+BK33+BK34-BK10)/IS!BK438</f>
        <v>3.8377549455604978</v>
      </c>
      <c r="BL63" s="1054">
        <f>(BL31+BL33+BL34-BL10)/IS!BL438</f>
        <v>3.7485451761102611</v>
      </c>
      <c r="BM63" s="1054">
        <f>(BM31+BM33+BM34-BM10)/IS!BM438</f>
        <v>3.7200435729847507</v>
      </c>
      <c r="BN63" s="1054">
        <f>(BN31+BN33+BN34-BN10)/IS!BN438</f>
        <v>3.4771999389964923</v>
      </c>
      <c r="BO63" s="1054">
        <f>(BO31+BO33+BO34-BO10)/IS!BO438</f>
        <v>3.3805588942307696</v>
      </c>
      <c r="BP63" s="1055">
        <f>(BP31+BP33+BP34-BP10)/IS!BP438</f>
        <v>3.3805588942307696</v>
      </c>
      <c r="BQ63" s="1054">
        <f>(BQ31+BQ33+BQ34-BQ10)/IS!BQ438</f>
        <v>3.1846244303983533</v>
      </c>
      <c r="BR63" s="1054">
        <f>(BR31+BR33+BR34-BR10)/IS!BR438</f>
        <v>3.0251213245789312</v>
      </c>
      <c r="BS63" s="1054">
        <f>(BS31+BS33+BS34-BS10)/IS!BS438</f>
        <v>2.7862308762169685</v>
      </c>
      <c r="BT63" s="1054">
        <f>(BT31+BT33+BT34-BT10)/IS!BT438</f>
        <v>9.7087110760741062</v>
      </c>
      <c r="BU63" s="1055">
        <f>(BU31+BU33+BU34-BU10)/IS!BZ438</f>
        <v>4.7907806016597538</v>
      </c>
      <c r="BV63" s="1054">
        <f>(BV31+BV33+BV34-BV10)/IS!CA438</f>
        <v>8.5098797699947735</v>
      </c>
      <c r="BW63" s="1757">
        <f>(BW31+BW33+BW34-BW10)/IS!CB438</f>
        <v>6.8003329171868501</v>
      </c>
      <c r="BX63" s="1054">
        <f>(BX31+BX33+BX34-BX10)/IS!CC438</f>
        <v>5.3602707556292311</v>
      </c>
      <c r="BY63" s="1054">
        <f>(BY31+BY33+BY34-BY10)/IS!CD438</f>
        <v>4.7797383267314846</v>
      </c>
      <c r="BZ63" s="1055">
        <f>(BZ31+BZ33+BZ34-BZ10)/IS!CE438</f>
        <v>4.7797383267314846</v>
      </c>
      <c r="CA63" s="1054">
        <f>(CA31+CA33+CA34-CA10)/IS!CF438</f>
        <v>4.6023037989411844</v>
      </c>
      <c r="CB63" s="1054">
        <f>(CB31+CB33+CB34-CB10)/IS!CG438</f>
        <v>4.3687718901819004</v>
      </c>
      <c r="CC63" s="1054">
        <f>(CC31+CC33+CC34-CC10)/IS!CH438</f>
        <v>4.0997030356357245</v>
      </c>
      <c r="CD63" s="1054">
        <f>(CD31+CD33+CD34-CD10)/IS!CI438</f>
        <v>3.8460845893929614</v>
      </c>
      <c r="CE63" s="1055">
        <f>(CE31+CE33+CE34-CE10)/IS!CJ438</f>
        <v>3.8460845893929614</v>
      </c>
      <c r="CF63" s="1054">
        <f>(CF31+CF33+CF34-CF10)/IS!CK438</f>
        <v>4.6492842216885517</v>
      </c>
      <c r="CG63" s="1054">
        <f>(CG31+CG33+CG34-CG10)/IS!CL438</f>
        <v>4.1124574829931975</v>
      </c>
      <c r="CH63" s="1054">
        <f>(CH31+CH33+CH34-CH10)/IS!CM438</f>
        <v>3.9050529270717589</v>
      </c>
      <c r="CI63" s="1054">
        <f>(CI31+CI33+CI34-CI10)/IS!CN438</f>
        <v>5.1493615434802864</v>
      </c>
      <c r="CJ63" s="1055">
        <f>(CJ31+CJ33+CJ34-CJ10)/IS!CO438</f>
        <v>5.1493615434802864</v>
      </c>
      <c r="CK63" s="1054">
        <f>(CK31+CK33+CK34-CK10)/IS!CP438</f>
        <v>5.1136714844105091</v>
      </c>
      <c r="CL63" s="1758">
        <f>(CL31+CL33+CL34-CL10)/IS!CQ438</f>
        <v>5.0018015928787287</v>
      </c>
      <c r="CM63" s="1758">
        <f>(CM31+CM33+CM34-CM10)/IS!CR438</f>
        <v>4.8734637515985506</v>
      </c>
      <c r="CN63" s="1758">
        <f>(CN31+CN33+CN34-CN10)/IS!CS438</f>
        <v>4.5913751330349388</v>
      </c>
      <c r="CO63" s="1055">
        <f>(CO31+CO33+CO34-CO10)/IS!CT438</f>
        <v>4.5913751330349388</v>
      </c>
      <c r="CP63" s="1758">
        <f>(CP31+CP33+CP34-CP10)/IS!CU438</f>
        <v>4.5858714873448934</v>
      </c>
      <c r="CQ63" s="1758">
        <f>(CQ31+CQ33+CQ34-CQ10)/IS!CV438</f>
        <v>4.4691690061662497</v>
      </c>
      <c r="CR63" s="1758">
        <f>(CR31+CR33+CR34-CR10)/IS!CW438</f>
        <v>4.2954079829151288</v>
      </c>
      <c r="CS63" s="1758">
        <f>(CS31+CS33+CS34-CS10)/IS!CX438</f>
        <v>3.9449492044860839</v>
      </c>
      <c r="CT63" s="1055">
        <f>(CT31+CT33+CT34-CT10)/IS!CY438</f>
        <v>3.9449492044860839</v>
      </c>
      <c r="CU63" s="1758">
        <f>(CU31+CU33+CU34-CU10)/IS!CZ438</f>
        <v>3.9595194839696122</v>
      </c>
      <c r="CV63" s="1758">
        <f>(CV31+CV33+CV34-CV10)/IS!DA438</f>
        <v>3.8401934021656126</v>
      </c>
      <c r="CW63" s="1758">
        <f>(CW31+CW33+CW34-CW10)/IS!DB438</f>
        <v>3.6744008719110441</v>
      </c>
      <c r="CX63" s="1758">
        <f>(CX31+CX33+CX34-CX10)/IS!DC438</f>
        <v>3.3405206881420595</v>
      </c>
      <c r="CY63" s="1055">
        <f>(CY31+CY33+CY34-CY10)/IS!DD438</f>
        <v>3.3405206881420595</v>
      </c>
      <c r="CZ63" s="1758">
        <f>(CZ31+CZ33+CZ34-CZ10)/IS!DE438</f>
        <v>3.3358692939019265</v>
      </c>
      <c r="DA63" s="1758">
        <f>(DA31+DA33+DA34-DA10)/IS!DF438</f>
        <v>3.2623076519172609</v>
      </c>
      <c r="DB63" s="1758">
        <f>(DB31+DB33+DB34-DB10)/IS!DG438</f>
        <v>3.1324210124688423</v>
      </c>
      <c r="DC63" s="1758">
        <f>(DC31+DC33+DC34-DC10)/IS!DH438</f>
        <v>2.8322238400201369</v>
      </c>
      <c r="DD63" s="1055">
        <f>(DD31+DD33+DD34-DD10)/IS!DI438</f>
        <v>2.8322238400201369</v>
      </c>
      <c r="DE63" s="1758">
        <f>(DE31+DE33+DE34-DE10)/IS!DJ438</f>
        <v>2.8201937623448239</v>
      </c>
      <c r="DF63" s="1758">
        <f>(DF31+DF33+DF34-DF10)/IS!DK438</f>
        <v>2.7099067948437474</v>
      </c>
      <c r="DG63" s="1758">
        <f>(DG31+DG33+DG34-DG10)/IS!DL438</f>
        <v>2.5538569713368493</v>
      </c>
      <c r="DH63" s="1758">
        <f>(DH31+DH33+DH34-DH10)/IS!DM438</f>
        <v>2.2391796982643957</v>
      </c>
      <c r="DI63" s="1055">
        <f>(DI31+DI33+DI34-DI10)/IS!DN438</f>
        <v>2.2391796982643957</v>
      </c>
      <c r="DJ63" s="1758">
        <f>(DJ31+DJ33+DJ34-DJ10)/IS!DO438</f>
        <v>2.2487769860555415</v>
      </c>
      <c r="DK63" s="1758">
        <f>(DK31+DK33+DK34-DK10)/IS!DP438</f>
        <v>2.1607267184066039</v>
      </c>
      <c r="DL63" s="1758">
        <f>(DL31+DL33+DL34-DL10)/IS!DQ438</f>
        <v>2.0287601330790337</v>
      </c>
      <c r="DM63" s="1758">
        <f>(DM31+DM33+DM34-DM10)/IS!DR438</f>
        <v>1.7411370974893221</v>
      </c>
      <c r="DN63" s="1055">
        <f>(DN31+DN33+DN34-DN10)/IS!DS438</f>
        <v>1.7411370974893221</v>
      </c>
      <c r="DO63" s="1758">
        <f>(DO31+DO33+DO34-DO10)/IS!DT438</f>
        <v>1.7868755303197685</v>
      </c>
      <c r="DP63" s="1758">
        <f>(DP31+DP33+DP34-DP10)/IS!DU438</f>
        <v>1.7454876855537826</v>
      </c>
      <c r="DQ63" s="1758">
        <f>(DQ31+DQ33+DQ34-DQ10)/IS!DV438</f>
        <v>1.6557068639099075</v>
      </c>
      <c r="DR63" s="1758">
        <f>(DR31+DR33+DR34-DR10)/IS!DW438</f>
        <v>1.3942536699849442</v>
      </c>
      <c r="DS63" s="1055">
        <f>(DS31+DS33+DS34-DS10)/IS!DX438</f>
        <v>1.3942536699849442</v>
      </c>
      <c r="DT63" s="1758">
        <f>(DT31+DT33+DT34-DT10)/IS!DY438</f>
        <v>1.4243517016636471</v>
      </c>
      <c r="DU63" s="1758">
        <f>(DU31+DU33+DU34-DU10)/IS!DZ438</f>
        <v>1.3566178724543803</v>
      </c>
      <c r="DV63" s="1758">
        <f>(DV31+DV33+DV34-DV10)/IS!EA438</f>
        <v>1.2453694643760489</v>
      </c>
      <c r="DW63" s="1758">
        <f>(DW31+DW33+DW34-DW10)/IS!EB438</f>
        <v>0.9732828818195991</v>
      </c>
      <c r="DX63" s="1055">
        <f>(DX31+DX33+DX34-DX10)/IS!EC438</f>
        <v>0.9732828818195991</v>
      </c>
      <c r="DY63" s="25"/>
      <c r="DZ63" s="25"/>
      <c r="EA63" s="25"/>
      <c r="EB63" s="25"/>
      <c r="EC63" s="25"/>
      <c r="ED63" s="25"/>
      <c r="EE63" s="25"/>
      <c r="EF63" s="25"/>
    </row>
    <row r="64" spans="1:136" x14ac:dyDescent="0.2">
      <c r="A64" s="1754" t="s">
        <v>780</v>
      </c>
      <c r="B64" s="1054"/>
      <c r="C64" s="1054"/>
      <c r="D64" s="1054"/>
      <c r="E64" s="1054"/>
      <c r="F64" s="1054"/>
      <c r="G64" s="1054"/>
      <c r="H64" s="1054"/>
      <c r="I64" s="1054"/>
      <c r="J64" s="1054"/>
      <c r="K64" s="1054"/>
      <c r="L64" s="1054"/>
      <c r="M64" s="1054"/>
      <c r="N64" s="1054"/>
      <c r="O64" s="1054"/>
      <c r="P64" s="1054"/>
      <c r="Q64" s="1055"/>
      <c r="R64" s="1054"/>
      <c r="S64" s="1054"/>
      <c r="T64" s="1054"/>
      <c r="U64" s="1054"/>
      <c r="V64" s="1055"/>
      <c r="W64" s="1054"/>
      <c r="X64" s="1054"/>
      <c r="Y64" s="1054"/>
      <c r="Z64" s="1054"/>
      <c r="AA64" s="1055"/>
      <c r="AB64" s="1054"/>
      <c r="AC64" s="1054"/>
      <c r="AD64" s="1054"/>
      <c r="AE64" s="1054"/>
      <c r="AF64" s="1055"/>
      <c r="AG64" s="1054"/>
      <c r="AH64" s="1054"/>
      <c r="AI64" s="1054"/>
      <c r="AJ64" s="1054"/>
      <c r="AK64" s="1055"/>
      <c r="AL64" s="1054"/>
      <c r="AM64" s="1054"/>
      <c r="AN64" s="1054"/>
      <c r="AO64" s="1054"/>
      <c r="AP64" s="1755"/>
      <c r="AQ64" s="1054"/>
      <c r="AR64" s="1054"/>
      <c r="AS64" s="1054"/>
      <c r="AT64" s="1054"/>
      <c r="AU64" s="1755"/>
      <c r="AV64" s="1756"/>
      <c r="AW64" s="1054"/>
      <c r="AX64" s="1054"/>
      <c r="AY64" s="1054"/>
      <c r="AZ64" s="1054"/>
      <c r="BA64" s="1055"/>
      <c r="BB64" s="1054"/>
      <c r="BC64" s="1054"/>
      <c r="BD64" s="1054"/>
      <c r="BE64" s="1054"/>
      <c r="BF64" s="1055"/>
      <c r="BG64" s="1054"/>
      <c r="BH64" s="1054"/>
      <c r="BI64" s="1054"/>
      <c r="BJ64" s="1054"/>
      <c r="BK64" s="1055"/>
      <c r="BL64" s="1054"/>
      <c r="BM64" s="1054"/>
      <c r="BN64" s="1054"/>
      <c r="BO64" s="1054"/>
      <c r="BP64" s="1055"/>
      <c r="BQ64" s="1054"/>
      <c r="BR64" s="1054"/>
      <c r="BS64" s="1054"/>
      <c r="BT64" s="1054">
        <f>(BT31+BT33+BT34+BT39-BT10)/IS!BY438</f>
        <v>6.9283584024896285</v>
      </c>
      <c r="BU64" s="1055">
        <f>(BU31+BU33+BU34+BU39-BU10)/IS!BZ438</f>
        <v>6.9283584024896285</v>
      </c>
      <c r="BV64" s="1054">
        <f>(BV31+BV33+BV34+BV39-BV10)/IS!CA438</f>
        <v>11.956821745948773</v>
      </c>
      <c r="BW64" s="1054">
        <f>(BW31+BW33+BW34+BW39-BW10)/IS!CB438</f>
        <v>9.5444028297960894</v>
      </c>
      <c r="BX64" s="1054">
        <f>(BX31+BX33+BX34+BX39-BX10)/IS!CC438</f>
        <v>7.6375189943362347</v>
      </c>
      <c r="BY64" s="1054">
        <f>(BY31+BY33+BY34+BY39-BY10)/IS!CD438</f>
        <v>6.7584923778658021</v>
      </c>
      <c r="BZ64" s="1055">
        <f>(BZ31+BZ33+BZ34+BZ39-BZ10)/IS!CE438</f>
        <v>6.7584923778658021</v>
      </c>
      <c r="CA64" s="1054">
        <f>(CA31+CA33+CA34+CA39-CA10)/IS!CF438</f>
        <v>6.5203909476991102</v>
      </c>
      <c r="CB64" s="1054">
        <f>(CB31+CB33+CB34+CB39-CB10)/IS!CG438</f>
        <v>6.2312733024517009</v>
      </c>
      <c r="CC64" s="1054">
        <f>(CC31+CC33+CC34+CC39-CC10)/IS!CH438</f>
        <v>5.9128354597448318</v>
      </c>
      <c r="CD64" s="1054">
        <f>(CD31+CD33+CD34+CD39-CD10)/IS!CI438</f>
        <v>5.5922104884068267</v>
      </c>
      <c r="CE64" s="1055">
        <f>(CE31+CE33+CE34+CE39-CE10)/IS!CJ438</f>
        <v>5.5922104884068267</v>
      </c>
      <c r="CF64" s="1054">
        <f>(CF31+CF33+CF34+CF39-CF10)/IS!CK438</f>
        <v>6.3630976514986131</v>
      </c>
      <c r="CG64" s="1054">
        <f>(CG31+CG33+CG34+CG39-CG10)/IS!CL438</f>
        <v>5.78125</v>
      </c>
      <c r="CH64" s="1054">
        <f>(CH31+CH33+CH34+CH39-CH10)/IS!CM438</f>
        <v>5.5118720393005436</v>
      </c>
      <c r="CI64" s="1054">
        <f>(CI31+CI33+CI34+CI39-CI10)/IS!CN438</f>
        <v>5.1493615434802864</v>
      </c>
      <c r="CJ64" s="1055">
        <f>(CJ31+CJ33+CJ34+CJ39-CJ10)/IS!CO438</f>
        <v>5.1493615434802864</v>
      </c>
      <c r="CK64" s="1054">
        <f>(CK31+CK33+CK34+CK39-CK10)/IS!CP438</f>
        <v>5.1136714844105091</v>
      </c>
      <c r="CL64" s="1054">
        <f>(CL31+CL33+CL34+CL39-CL10)/IS!CQ438</f>
        <v>5.0018015928787287</v>
      </c>
      <c r="CM64" s="1054">
        <f>(CM31+CM33+CM34+CM39-CM10)/IS!CR438</f>
        <v>4.8734637515985506</v>
      </c>
      <c r="CN64" s="1054">
        <f>(CN31+CN33+CN34+CN39-CN10)/IS!CS438</f>
        <v>4.5913751330349388</v>
      </c>
      <c r="CO64" s="1055">
        <f>(CO31+CO33+CO34+CO39-CO10)/IS!CT438</f>
        <v>4.5913751330349388</v>
      </c>
      <c r="CP64" s="1758"/>
      <c r="CQ64" s="1758"/>
      <c r="CR64" s="1758"/>
      <c r="CS64" s="1758"/>
      <c r="CT64" s="1055">
        <f>(CT31+CT33+CT34+CT39-CT10)/IS!CY438</f>
        <v>3.9449492044860839</v>
      </c>
      <c r="CU64" s="1758"/>
      <c r="CV64" s="1758"/>
      <c r="CW64" s="1758"/>
      <c r="CX64" s="1758"/>
      <c r="CY64" s="1055"/>
      <c r="CZ64" s="1758"/>
      <c r="DA64" s="1758"/>
      <c r="DB64" s="1758"/>
      <c r="DC64" s="1758"/>
      <c r="DD64" s="1055"/>
      <c r="DE64" s="1758"/>
      <c r="DF64" s="1758"/>
      <c r="DG64" s="1758"/>
      <c r="DH64" s="1758"/>
      <c r="DI64" s="1055"/>
      <c r="DJ64" s="1758"/>
      <c r="DK64" s="1758"/>
      <c r="DL64" s="1758"/>
      <c r="DM64" s="1758"/>
      <c r="DN64" s="1055"/>
      <c r="DO64" s="1758"/>
      <c r="DP64" s="1758"/>
      <c r="DQ64" s="1758"/>
      <c r="DR64" s="1758"/>
      <c r="DS64" s="1055"/>
      <c r="DT64" s="1758"/>
      <c r="DU64" s="1758"/>
      <c r="DV64" s="1758"/>
      <c r="DW64" s="1758"/>
      <c r="DX64" s="1055"/>
      <c r="DY64" s="25"/>
      <c r="DZ64" s="25"/>
      <c r="EA64" s="25"/>
      <c r="EB64" s="25"/>
      <c r="EC64" s="25"/>
      <c r="ED64" s="25"/>
      <c r="EE64" s="25"/>
      <c r="EF64" s="25"/>
    </row>
    <row r="65" spans="1:136" x14ac:dyDescent="0.2">
      <c r="A65" s="1759" t="s">
        <v>495</v>
      </c>
      <c r="B65" s="1760"/>
      <c r="C65" s="1760"/>
      <c r="D65" s="1760"/>
      <c r="E65" s="1760"/>
      <c r="F65" s="1760"/>
      <c r="G65" s="1760"/>
      <c r="H65" s="1760"/>
      <c r="I65" s="1760"/>
      <c r="J65" s="1760"/>
      <c r="K65" s="1760"/>
      <c r="L65" s="1760"/>
      <c r="M65" s="1760"/>
      <c r="N65" s="1760"/>
      <c r="O65" s="1760"/>
      <c r="P65" s="1760"/>
      <c r="Q65" s="1761"/>
      <c r="R65" s="1760">
        <f>(IS!R39+IS!P39+IS!O39+IS!N39)/(IS!R46+IS!P46+IS!O46+IS!N46)</f>
        <v>0</v>
      </c>
      <c r="S65" s="1760">
        <f>(IS!S39+IS!R39+IS!P39+IS!O39)/(IS!S46+IS!R46+IS!P46+IS!O46)</f>
        <v>0</v>
      </c>
      <c r="T65" s="1760">
        <f>(IS!T39+IS!S39+IS!R39+IS!P39)/(IS!T46+IS!S46+IS!R46+IS!P46)</f>
        <v>0</v>
      </c>
      <c r="U65" s="1760">
        <f>(IS!U39+IS!T39+IS!S39+IS!R39)/(IS!U46+IS!T46+IS!S46+IS!R46)</f>
        <v>0</v>
      </c>
      <c r="V65" s="1761">
        <f>U65</f>
        <v>0</v>
      </c>
      <c r="W65" s="1760">
        <f>(IS!W39+IS!U39+IS!T39+IS!S39)/(IS!W46+IS!U46+IS!T46+IS!S46)</f>
        <v>0</v>
      </c>
      <c r="X65" s="1760">
        <f>(IS!X39+IS!W39+IS!U39+IS!T39)/(IS!X46+IS!W46+IS!U46+IS!T46)</f>
        <v>0</v>
      </c>
      <c r="Y65" s="1760">
        <f>(IS!Y39+IS!X39+IS!W39+IS!U39)/(IS!Y46+IS!X46+IS!W46+IS!U46)</f>
        <v>0</v>
      </c>
      <c r="Z65" s="1760">
        <f>(IS!Z39+IS!Y39+IS!X39+IS!W39)/(IS!Z46+IS!Y46+IS!X46+IS!W46)</f>
        <v>0</v>
      </c>
      <c r="AA65" s="1761">
        <f>Z65</f>
        <v>0</v>
      </c>
      <c r="AB65" s="1760">
        <f>(IS!AB39+IS!Z39+IS!Y39+IS!X39)/(IS!AB46+IS!Z46+IS!Y46+IS!X46)</f>
        <v>0</v>
      </c>
      <c r="AC65" s="1760">
        <f>(IS!AC39+IS!AB39+IS!Z39+IS!Y39)/(IS!AC46+IS!AB46+IS!Z46+IS!Y46)</f>
        <v>0</v>
      </c>
      <c r="AD65" s="1760">
        <f>(IS!AD39+IS!AC39+IS!AB39+IS!Z39)/(IS!AD46+IS!AC46+IS!AB46+IS!Z46)</f>
        <v>0</v>
      </c>
      <c r="AE65" s="1760">
        <f>(IS!AE39+IS!AD39+IS!AC39+IS!AB39)/(IS!AE46+IS!AD46+IS!AC46+IS!AB46)</f>
        <v>0</v>
      </c>
      <c r="AF65" s="1761">
        <f>AE65</f>
        <v>0</v>
      </c>
      <c r="AG65" s="1760">
        <f>(IS!AG39+IS!AE39+IS!AD39+IS!AC39)/(IS!AG46+IS!AE46+IS!AD46+IS!AC46)</f>
        <v>0</v>
      </c>
      <c r="AH65" s="1760">
        <f>(IS!AH39+IS!AG39+IS!AE39+IS!AD39)/(IS!AH46+IS!AG46+IS!AE46+IS!AD46)</f>
        <v>0</v>
      </c>
      <c r="AI65" s="1760">
        <f>(IS!AI39+IS!AH39+IS!AG39+IS!AE39)/(IS!AI46+IS!AH46+IS!AG46+IS!AE46)</f>
        <v>0</v>
      </c>
      <c r="AJ65" s="1760">
        <f>(IS!AJ39+IS!AI39+IS!AH39+IS!AG39)/(IS!AJ46+IS!AI46+IS!AH46+IS!AG46)</f>
        <v>0</v>
      </c>
      <c r="AK65" s="1761">
        <f>AJ65</f>
        <v>0</v>
      </c>
      <c r="AL65" s="1760">
        <f>(IS!AL39+IS!AJ39+IS!AI39+IS!AH39)/(IS!AL46+IS!AJ46+IS!AI46+IS!AH46)</f>
        <v>0</v>
      </c>
      <c r="AM65" s="1760">
        <f>(IS!AM39+IS!AL39+IS!AJ39+IS!AI39)/(IS!AM46+IS!AL46+IS!AJ46+IS!AI46)</f>
        <v>0</v>
      </c>
      <c r="AN65" s="1760">
        <f>(IS!AN39+IS!AM39+IS!AL39+IS!AJ39)/(IS!AN46+IS!AM46+IS!AL46+IS!AJ46)</f>
        <v>0</v>
      </c>
      <c r="AO65" s="1760">
        <f>(IS!AO39+IS!AN39+IS!AM39+IS!AL39)/(IS!AO46+IS!AN46+IS!AM46+IS!AL46)</f>
        <v>0</v>
      </c>
      <c r="AP65" s="1762">
        <f>AO65</f>
        <v>0</v>
      </c>
      <c r="AQ65" s="1763">
        <f>(IS!AQ39+IS!AO39+IS!AN39+IS!AM39)/(IS!AQ46+IS!AO46+IS!AN46+IS!AM46)</f>
        <v>0</v>
      </c>
      <c r="AR65" s="1763">
        <f>(IS!AR39+IS!AQ39+IS!AO39+IS!AN39)/(IS!AR46+IS!AQ46+IS!AO46+IS!AN46)</f>
        <v>0</v>
      </c>
      <c r="AS65" s="1763">
        <f>(IS!AW39+IS!AR39+IS!AQ39+IS!AO39)/(IS!AW46+IS!AR46+IS!AQ46+IS!AO46)</f>
        <v>1.6036585365853653</v>
      </c>
      <c r="AT65" s="1763">
        <f>(IS!AX39+IS!AW39+IS!AR39+IS!AQ39)/(IS!AX46+IS!AW46+IS!AR46+IS!AQ46)</f>
        <v>3.3271604938271588</v>
      </c>
      <c r="AU65" s="1762">
        <f>AT65</f>
        <v>3.3271604938271588</v>
      </c>
      <c r="AV65" s="1756"/>
      <c r="AW65" s="1052"/>
      <c r="AX65" s="1763"/>
      <c r="AY65" s="1763"/>
      <c r="AZ65" s="1763"/>
      <c r="BA65" s="1764"/>
      <c r="BB65" s="1763">
        <f>(IS!BB39+IS!AX39+IS!AW39+IS!AR39)/(IS!BB46+IS!AX46+IS!AW46+IS!AR46)</f>
        <v>2.6152954808806483</v>
      </c>
      <c r="BC65" s="1763">
        <f>(IS!BC39+IS!BB39+IS!AX39+IS!AW39)/(IS!BC46+IS!BB46+IS!AX46+IS!AW46)</f>
        <v>2.4938556067588311</v>
      </c>
      <c r="BD65" s="1763">
        <f>(IS!BD39+IS!BC39+IS!BB39+IS!AX39)/(IS!BD46+IS!BC46+IS!BB46+IS!AX46)</f>
        <v>2.0112549240292625</v>
      </c>
      <c r="BE65" s="1763">
        <f>(IS!BE39+IS!BD39+IS!BC39+IS!BB39)/(IS!BE46+IS!BD46+IS!BC46+IS!BB46)</f>
        <v>1.5990295544772821</v>
      </c>
      <c r="BF65" s="1764">
        <f>BE65</f>
        <v>1.5990295544772821</v>
      </c>
      <c r="BG65" s="1763">
        <f>(IS!BG39+IS!BE39+IS!BD39+IS!BC39)/(IS!BG46+IS!BE46+IS!BD46+IS!BC46)</f>
        <v>1.6239388794567053</v>
      </c>
      <c r="BH65" s="1763">
        <f>(IS!BH39+IS!BG39+IS!BE39+IS!BD39)/(IS!BH46+IS!BG46+IS!BE46+IS!BD46)</f>
        <v>1.7384875369666233</v>
      </c>
      <c r="BI65" s="1763">
        <f>(IS!BI39+IS!BH39+IS!BG39+IS!BE39)/(IS!BI46+IS!BH46+IS!BG46+IS!BE46)</f>
        <v>1.6781756180733152</v>
      </c>
      <c r="BJ65" s="1763">
        <f>(IS!BJ39+IS!BI39+IS!BH39+IS!BG39)/(IS!BJ46+IS!BI46+IS!BH46+IS!BG46)</f>
        <v>1.866398570151921</v>
      </c>
      <c r="BK65" s="1764">
        <f>BJ65</f>
        <v>1.866398570151921</v>
      </c>
      <c r="BL65" s="1763">
        <f>(IS!BL39+IS!BJ39+IS!BI39+IS!BH39)/(IS!BL46+IS!BJ46+IS!BI46+IS!BH46)</f>
        <v>2.0392890551917673</v>
      </c>
      <c r="BM65" s="1763">
        <f>(IS!BM39+IS!BL39+IS!BJ39+IS!BI39)/(IS!BM46+IS!BL46+IS!BJ46+IS!BI46)</f>
        <v>2.1360116166505319</v>
      </c>
      <c r="BN65" s="1763">
        <f>(IS!BN39+IS!BM39+IS!BL39+IS!BJ39)/(IS!BN46+IS!BM46+IS!BL46+IS!BJ46)</f>
        <v>2.4711779448621556</v>
      </c>
      <c r="BO65" s="1763">
        <f>(IS!BO39+IS!BN39+IS!BM39+IS!BL39)/(IS!BO46+IS!BN46+IS!BM46+IS!BL46)</f>
        <v>2.6110000000000002</v>
      </c>
      <c r="BP65" s="1764">
        <f>BO65</f>
        <v>2.6110000000000002</v>
      </c>
      <c r="BQ65" s="1763">
        <f>(IS!BQ39+IS!BO39+IS!BN39+IS!BM39)/(IS!BQ46+IS!BO46+IS!BN46+IS!BM46)</f>
        <v>2.7431557989049278</v>
      </c>
      <c r="BR65" s="1763">
        <f>(IS!BR39+IS!BQ39+IS!BO39+IS!BN39)/(IS!BR46+IS!BQ46+IS!BO46+IS!BN46)</f>
        <v>2.8258064516129031</v>
      </c>
      <c r="BS65" s="1763">
        <f>(IS!BS39+IS!BR39+IS!BQ39+IS!BO39)/(IS!BS46+IS!BR46+IS!BQ46+IS!BO46)</f>
        <v>2.0967423494570574</v>
      </c>
      <c r="BT65" s="1763">
        <f>(IS!BT39+IS!BS39+IS!BR39+IS!BQ39)/(IS!BT46+IS!BS46+IS!BR46+IS!BQ46)</f>
        <v>0.65119600142806133</v>
      </c>
      <c r="BU65" s="1764">
        <f>BT65</f>
        <v>0.65119600142806133</v>
      </c>
      <c r="BV65" s="1763">
        <f>(IS!CA39+IS!BZ39+IS!BY39+IS!BX39)/(IS!CA46+IS!BZ46+IS!BY46+IS!BX46)</f>
        <v>2.392645043398812</v>
      </c>
      <c r="BW65" s="1763">
        <f>(IS!CB39+IS!CA39+IS!BZ39+IS!BY39)/(IS!CB46+IS!CA46+IS!BZ46+IS!BY46)</f>
        <v>2.3412061453794997</v>
      </c>
      <c r="BX65" s="1763">
        <f>(IS!CC39+IS!CB39+IS!CA39+IS!BZ39)/(IS!CC46+IS!CB46+IS!CA46+IS!BZ46)</f>
        <v>2.4261915779731607</v>
      </c>
      <c r="BY65" s="1763">
        <f>(IS!CD39+IS!CC39+IS!CB39+IS!CA39)/(IS!CD46+IS!CC46+IS!CB46+IS!CA46)</f>
        <v>2.4925778799916376</v>
      </c>
      <c r="BZ65" s="1764">
        <f t="shared" ref="BZ65:DS65" si="216">BY65</f>
        <v>2.4925778799916376</v>
      </c>
      <c r="CA65" s="1763">
        <f>(IS!CF39+IS!CE39+IS!CD39+IS!CC39)/(IS!CF46+IS!CE46+IS!CD46+IS!CC46)</f>
        <v>2.651805185364672</v>
      </c>
      <c r="CB65" s="1763">
        <f>(IS!CG39+IS!CF39+IS!CE39+IS!CD39)/(IS!CG46+IS!CF46+IS!CE46+IS!CD46)</f>
        <v>2.7447374788289376</v>
      </c>
      <c r="CC65" s="1763">
        <f>(IS!CH39+IS!CG39+IS!CF39+IS!CE39)/(IS!CH46+IS!CG46+IS!CF46+IS!CE46)</f>
        <v>2.8594033095784503</v>
      </c>
      <c r="CD65" s="1763">
        <f>(IS!CI39+IS!CH39+IS!CG39+IS!CF39)/(IS!CI46+IS!CH46+IS!CG46+IS!CF46)</f>
        <v>3.5696723067037901</v>
      </c>
      <c r="CE65" s="1764">
        <f t="shared" ref="CE65" si="217">CD65</f>
        <v>3.5696723067037901</v>
      </c>
      <c r="CF65" s="1763">
        <f>(IS!CK39+IS!CJ39+IS!CI39+IS!CH39)/(IS!CK46+IS!CJ46+IS!CI46+IS!CH46)</f>
        <v>3.5858777217369924</v>
      </c>
      <c r="CG65" s="1763">
        <f>(IS!CL39+IS!CK39+IS!CJ39+IS!CI39)/(IS!CL46+IS!CK46+IS!CJ46+IS!CI46)</f>
        <v>3.5318844099077236</v>
      </c>
      <c r="CH65" s="1763">
        <f>(IS!CM39+IS!CL39+IS!CK39+IS!CJ39)/(IS!CM46+IS!CL46+IS!CK46+IS!CJ46)</f>
        <v>3.4388935058767673</v>
      </c>
      <c r="CI65" s="1763">
        <f>(IS!CN39+IS!CM39+IS!CL39+IS!CK39)/(IS!CN46+IS!CM46+IS!CL46+IS!CK46)</f>
        <v>3.3891058180398286</v>
      </c>
      <c r="CJ65" s="1764">
        <f t="shared" ref="CJ65" si="218">CI65</f>
        <v>3.3891058180398286</v>
      </c>
      <c r="CK65" s="1763">
        <f>(IS!CP39+IS!CO39+IS!CN39+IS!CM39)/(IS!CP46+IS!CO46+IS!CN46+IS!CM46)</f>
        <v>3.3961733866609021</v>
      </c>
      <c r="CL65" s="1763">
        <f>(IS!CQ39+IS!CP39+IS!CO39+IS!CN39)/(IS!CQ46+IS!CP46+IS!CO46+IS!CN46)</f>
        <v>3.3532072950378473</v>
      </c>
      <c r="CM65" s="1763">
        <f>(IS!CR39+IS!CQ39+IS!CP39+IS!CO39)/(IS!CR46+IS!CQ46+IS!CP46+IS!CO46)</f>
        <v>3.343302694468318</v>
      </c>
      <c r="CN65" s="1763">
        <f>(IS!CS39+IS!CR39+IS!CQ39+IS!CP39)/(IS!CS46+IS!CR46+IS!CQ46+IS!CP46)</f>
        <v>3.4188929507560197</v>
      </c>
      <c r="CO65" s="1764">
        <f t="shared" ref="CO65" si="219">CN65</f>
        <v>3.4188929507560197</v>
      </c>
      <c r="CP65" s="1763">
        <f>(IS!CU39+IS!CT39+IS!CS39+IS!CR39)/(IS!CU46+IS!CT46+IS!CS46+IS!CR46)</f>
        <v>3.4898004035725556</v>
      </c>
      <c r="CQ65" s="1763">
        <f>(IS!CV39+IS!CU39+IS!CT39+IS!CS39)/(IS!CV46+IS!CU46+IS!CT46+IS!CS46)</f>
        <v>3.5001207385593975</v>
      </c>
      <c r="CR65" s="1763">
        <f>(IS!CW39+IS!CV39+IS!CU39+IS!CT39)/(IS!CW46+IS!CV46+IS!CU46+IS!CT46)</f>
        <v>3.5411479096883647</v>
      </c>
      <c r="CS65" s="1763">
        <f>(IS!CX39+IS!CW39+IS!CV39+IS!CU39)/(IS!CX46+IS!CW46+IS!CV46+IS!CU46)</f>
        <v>3.8581367164434126</v>
      </c>
      <c r="CT65" s="1764">
        <f t="shared" ref="CT65" si="220">CS65</f>
        <v>3.8581367164434126</v>
      </c>
      <c r="CU65" s="1765">
        <f t="shared" si="216"/>
        <v>3.8581367164434126</v>
      </c>
      <c r="CV65" s="1765">
        <f t="shared" si="216"/>
        <v>3.8581367164434126</v>
      </c>
      <c r="CW65" s="1765">
        <f t="shared" si="216"/>
        <v>3.8581367164434126</v>
      </c>
      <c r="CX65" s="1765">
        <f t="shared" si="216"/>
        <v>3.8581367164434126</v>
      </c>
      <c r="CY65" s="1766">
        <f t="shared" si="216"/>
        <v>3.8581367164434126</v>
      </c>
      <c r="CZ65" s="1765">
        <f t="shared" si="216"/>
        <v>3.8581367164434126</v>
      </c>
      <c r="DA65" s="1765">
        <f t="shared" si="216"/>
        <v>3.8581367164434126</v>
      </c>
      <c r="DB65" s="1765">
        <f t="shared" si="216"/>
        <v>3.8581367164434126</v>
      </c>
      <c r="DC65" s="1765">
        <f t="shared" si="216"/>
        <v>3.8581367164434126</v>
      </c>
      <c r="DD65" s="1766">
        <f t="shared" si="216"/>
        <v>3.8581367164434126</v>
      </c>
      <c r="DE65" s="1765">
        <f t="shared" si="216"/>
        <v>3.8581367164434126</v>
      </c>
      <c r="DF65" s="1765">
        <f t="shared" si="216"/>
        <v>3.8581367164434126</v>
      </c>
      <c r="DG65" s="1765">
        <f t="shared" si="216"/>
        <v>3.8581367164434126</v>
      </c>
      <c r="DH65" s="1765">
        <f t="shared" si="216"/>
        <v>3.8581367164434126</v>
      </c>
      <c r="DI65" s="1766">
        <f t="shared" si="216"/>
        <v>3.8581367164434126</v>
      </c>
      <c r="DJ65" s="1765">
        <f t="shared" si="216"/>
        <v>3.8581367164434126</v>
      </c>
      <c r="DK65" s="1765">
        <f t="shared" si="216"/>
        <v>3.8581367164434126</v>
      </c>
      <c r="DL65" s="1765">
        <f t="shared" si="216"/>
        <v>3.8581367164434126</v>
      </c>
      <c r="DM65" s="1765">
        <f t="shared" si="216"/>
        <v>3.8581367164434126</v>
      </c>
      <c r="DN65" s="1766">
        <f t="shared" si="216"/>
        <v>3.8581367164434126</v>
      </c>
      <c r="DO65" s="1765">
        <f t="shared" si="216"/>
        <v>3.8581367164434126</v>
      </c>
      <c r="DP65" s="1765">
        <f t="shared" si="216"/>
        <v>3.8581367164434126</v>
      </c>
      <c r="DQ65" s="1765">
        <f t="shared" si="216"/>
        <v>3.8581367164434126</v>
      </c>
      <c r="DR65" s="1765">
        <f t="shared" si="216"/>
        <v>3.8581367164434126</v>
      </c>
      <c r="DS65" s="1766">
        <f t="shared" si="216"/>
        <v>3.8581367164434126</v>
      </c>
      <c r="DT65" s="1765">
        <f t="shared" ref="DT65" si="221">DS65</f>
        <v>3.8581367164434126</v>
      </c>
      <c r="DU65" s="1765">
        <f t="shared" ref="DU65" si="222">DT65</f>
        <v>3.8581367164434126</v>
      </c>
      <c r="DV65" s="1765">
        <f t="shared" ref="DV65" si="223">DU65</f>
        <v>3.8581367164434126</v>
      </c>
      <c r="DW65" s="1765">
        <f t="shared" ref="DW65" si="224">DV65</f>
        <v>3.8581367164434126</v>
      </c>
      <c r="DX65" s="1766">
        <f t="shared" ref="DX65" si="225">DW65</f>
        <v>3.8581367164434126</v>
      </c>
      <c r="DY65" s="16"/>
      <c r="DZ65" s="16"/>
      <c r="EA65" s="16"/>
      <c r="EB65" s="16"/>
      <c r="EC65" s="16"/>
      <c r="ED65" s="16"/>
      <c r="EE65" s="16"/>
      <c r="EF65" s="16"/>
    </row>
    <row r="66" spans="1:136" x14ac:dyDescent="0.2">
      <c r="A66" s="815" t="s">
        <v>333</v>
      </c>
      <c r="B66" s="22"/>
      <c r="C66" s="22"/>
      <c r="D66" s="22"/>
      <c r="E66" s="22"/>
      <c r="F66" s="22"/>
      <c r="G66" s="22"/>
      <c r="H66" s="22"/>
      <c r="I66" s="22"/>
      <c r="J66" s="22"/>
      <c r="K66" s="22"/>
      <c r="L66" s="22"/>
      <c r="M66" s="22"/>
      <c r="N66" s="22"/>
      <c r="O66" s="22"/>
      <c r="P66" s="22"/>
      <c r="Q66" s="22"/>
      <c r="R66" s="22"/>
      <c r="S66" s="22"/>
      <c r="T66" s="22"/>
      <c r="U66" s="22"/>
      <c r="V66" s="22"/>
      <c r="W66" s="130"/>
      <c r="X66" s="130"/>
      <c r="Y66" s="130"/>
      <c r="Z66" s="22"/>
      <c r="AA66" s="22"/>
      <c r="AB66" s="22"/>
      <c r="AC66" s="22"/>
      <c r="AD66" s="22"/>
      <c r="AE66" s="22"/>
      <c r="AF66" s="22"/>
      <c r="AG66" s="22"/>
      <c r="AH66" s="22"/>
      <c r="AI66" s="22"/>
      <c r="AJ66" s="22"/>
      <c r="AK66" s="22"/>
      <c r="AL66" s="22"/>
      <c r="AM66" s="22"/>
      <c r="AN66" s="22"/>
      <c r="AO66" s="22"/>
      <c r="AP66" s="22"/>
      <c r="AQ66" s="22"/>
      <c r="AR66" s="22"/>
      <c r="AS66" s="22"/>
      <c r="AT66" s="22"/>
      <c r="AU66" s="22"/>
      <c r="AV66" s="243"/>
      <c r="AW66" s="22"/>
      <c r="AX66" s="22"/>
      <c r="AY66" s="22"/>
      <c r="AZ66" s="22"/>
      <c r="BA66" s="22"/>
      <c r="BB66" s="130"/>
      <c r="BC66" s="130"/>
      <c r="BD66" s="130"/>
      <c r="BE66" s="22"/>
      <c r="BF66" s="22"/>
      <c r="BG66" s="130"/>
      <c r="BH66" s="130"/>
      <c r="BI66" s="130"/>
      <c r="BJ66" s="22"/>
      <c r="BK66" s="22"/>
      <c r="BL66" s="130"/>
      <c r="BM66" s="130"/>
      <c r="BN66" s="22"/>
      <c r="BO66" s="130"/>
      <c r="BP66" s="130"/>
      <c r="BQ66" s="130"/>
      <c r="BR66" s="130"/>
      <c r="BS66" s="130"/>
      <c r="BT66" s="130"/>
      <c r="BU66" s="22"/>
      <c r="BV66" s="22"/>
      <c r="BW66" s="1350"/>
      <c r="BX66" s="22"/>
      <c r="BY66" s="22"/>
      <c r="BZ66" s="22"/>
      <c r="CA66" s="22"/>
      <c r="CB66" s="22"/>
      <c r="CC66" s="22"/>
      <c r="CD66" s="22"/>
      <c r="CE66" s="22"/>
      <c r="CF66" s="22"/>
      <c r="CG66" s="22"/>
      <c r="CH66" s="22"/>
      <c r="CI66" s="22"/>
      <c r="CJ66" s="22"/>
      <c r="CK66" s="22"/>
      <c r="CL66" s="130"/>
      <c r="CM66" s="130"/>
      <c r="CN66" s="130"/>
      <c r="CO66" s="130"/>
      <c r="CP66" s="130"/>
      <c r="CQ66" s="130"/>
      <c r="CR66" s="130"/>
      <c r="CS66" s="130"/>
      <c r="CT66" s="130"/>
      <c r="CU66" s="130"/>
      <c r="CV66" s="130"/>
      <c r="CW66" s="130"/>
      <c r="CX66" s="130"/>
      <c r="CY66" s="130"/>
      <c r="CZ66" s="130"/>
      <c r="DA66" s="130"/>
      <c r="DB66" s="130"/>
      <c r="DC66" s="130"/>
      <c r="DD66" s="130"/>
      <c r="DE66" s="130"/>
      <c r="DF66" s="130"/>
      <c r="DG66" s="130"/>
      <c r="DH66" s="130"/>
      <c r="DI66" s="130"/>
      <c r="DJ66" s="130"/>
      <c r="DK66" s="130"/>
      <c r="DL66" s="130"/>
      <c r="DM66" s="130"/>
      <c r="DN66" s="130"/>
      <c r="DO66" s="130"/>
      <c r="DP66" s="130"/>
      <c r="DQ66" s="130"/>
      <c r="DR66" s="130"/>
      <c r="DS66" s="130"/>
      <c r="DT66" s="130"/>
      <c r="DU66" s="130"/>
      <c r="DV66" s="130"/>
      <c r="DW66" s="130"/>
      <c r="DX66" s="130"/>
      <c r="DY66" s="16"/>
      <c r="DZ66" s="16"/>
      <c r="EA66" s="16"/>
      <c r="EB66" s="16"/>
      <c r="EC66" s="16"/>
      <c r="ED66" s="16"/>
      <c r="EE66" s="16"/>
      <c r="EF66" s="16"/>
    </row>
    <row r="67" spans="1:136" ht="10.5" customHeight="1" x14ac:dyDescent="0.2">
      <c r="A67" s="19"/>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243"/>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353"/>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6"/>
      <c r="DT67" s="16"/>
      <c r="DU67" s="16"/>
      <c r="DV67" s="16"/>
      <c r="DW67" s="16"/>
      <c r="DX67" s="16"/>
      <c r="DY67" s="16"/>
      <c r="DZ67" s="16"/>
      <c r="EA67" s="16"/>
      <c r="EB67" s="16"/>
      <c r="EC67" s="16"/>
      <c r="ED67" s="16"/>
      <c r="EE67" s="16"/>
      <c r="EF67" s="16"/>
    </row>
    <row r="68" spans="1:136" x14ac:dyDescent="0.2">
      <c r="A68" s="32"/>
      <c r="B68" s="25"/>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43"/>
      <c r="AW68" s="25"/>
      <c r="AX68" s="25"/>
      <c r="AY68" s="25"/>
      <c r="AZ68" s="37"/>
      <c r="BA68" s="25"/>
      <c r="BB68" s="25"/>
      <c r="BC68" s="25"/>
      <c r="BD68" s="25"/>
      <c r="BE68" s="25"/>
      <c r="BF68" s="25"/>
      <c r="BG68" s="25"/>
      <c r="BH68" s="25"/>
      <c r="BI68" s="25"/>
      <c r="BJ68" s="25"/>
      <c r="BK68" s="25"/>
      <c r="BL68" s="25"/>
      <c r="BM68" s="25"/>
      <c r="BN68" s="25"/>
      <c r="BO68" s="25"/>
      <c r="BP68" s="25"/>
      <c r="BQ68" s="25"/>
      <c r="BR68" s="25"/>
      <c r="BS68" s="25"/>
      <c r="BT68" s="25"/>
      <c r="BU68" s="25"/>
      <c r="BV68" s="25"/>
      <c r="BW68" s="1368"/>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25"/>
      <c r="DP68" s="25"/>
      <c r="DQ68" s="25"/>
      <c r="DR68" s="25"/>
      <c r="DS68" s="25"/>
      <c r="DT68" s="25"/>
      <c r="DU68" s="25"/>
      <c r="DV68" s="25"/>
      <c r="DW68" s="25"/>
      <c r="DX68" s="25"/>
      <c r="DY68" s="25"/>
      <c r="DZ68" s="25"/>
      <c r="EA68" s="25"/>
      <c r="EB68" s="25"/>
      <c r="EC68" s="25"/>
      <c r="ED68" s="25"/>
      <c r="EE68" s="25"/>
      <c r="EF68" s="25"/>
    </row>
    <row r="69" spans="1:136" x14ac:dyDescent="0.2">
      <c r="A69" s="32" t="s">
        <v>4</v>
      </c>
      <c r="B69" s="16"/>
      <c r="C69" s="16"/>
      <c r="D69" s="16"/>
      <c r="E69" s="16"/>
      <c r="F69" s="16"/>
      <c r="G69" s="173" t="s">
        <v>203</v>
      </c>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279"/>
      <c r="AW69" s="16"/>
      <c r="AX69" s="16"/>
      <c r="AY69" s="16"/>
      <c r="AZ69" s="21"/>
      <c r="BA69" s="16"/>
      <c r="BB69" s="16"/>
      <c r="BC69" s="16"/>
      <c r="BD69" s="16"/>
      <c r="BE69" s="16"/>
      <c r="BF69" s="16"/>
      <c r="BG69" s="16"/>
      <c r="BH69" s="16"/>
      <c r="BI69" s="16"/>
      <c r="BJ69" s="16"/>
      <c r="BK69" s="16"/>
      <c r="BL69" s="16"/>
      <c r="BM69" s="16"/>
      <c r="BN69" s="16"/>
      <c r="BO69" s="16"/>
      <c r="BP69" s="16"/>
      <c r="BQ69" s="16"/>
      <c r="BR69" s="16"/>
      <c r="BS69" s="16"/>
      <c r="BT69" s="16"/>
      <c r="BU69" s="16"/>
      <c r="BV69" s="16"/>
      <c r="BW69" s="1353"/>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6"/>
      <c r="DT69" s="16"/>
      <c r="DU69" s="16"/>
      <c r="DV69" s="16"/>
      <c r="DW69" s="16"/>
      <c r="DX69" s="16"/>
      <c r="DY69" s="16"/>
      <c r="DZ69" s="16"/>
      <c r="EA69" s="16"/>
      <c r="EB69" s="16"/>
      <c r="EC69" s="16"/>
      <c r="ED69" s="16"/>
      <c r="EE69" s="16"/>
      <c r="EF69" s="16"/>
    </row>
    <row r="70" spans="1:136" x14ac:dyDescent="0.2">
      <c r="A70" s="672" t="s">
        <v>16</v>
      </c>
      <c r="B70" s="16"/>
      <c r="C70" s="16"/>
      <c r="D70" s="16"/>
      <c r="E70" s="16"/>
      <c r="F70" s="16"/>
      <c r="G70" s="173" t="s">
        <v>204</v>
      </c>
      <c r="H70" s="16"/>
      <c r="I70" s="16"/>
      <c r="J70" s="16"/>
      <c r="K70" s="16"/>
      <c r="L70" s="16"/>
      <c r="M70" s="16"/>
      <c r="N70" s="16"/>
      <c r="O70" s="16"/>
      <c r="P70" s="16"/>
      <c r="Q70" s="16"/>
      <c r="R70" s="16"/>
      <c r="S70" s="16"/>
      <c r="T70" s="16"/>
      <c r="U70" s="16"/>
      <c r="V70" s="268"/>
      <c r="W70" s="267"/>
      <c r="X70" s="267"/>
      <c r="Y70" s="267"/>
      <c r="Z70" s="267"/>
      <c r="AA70" s="268">
        <f>V47</f>
        <v>477</v>
      </c>
      <c r="AB70" s="267">
        <f>AA47</f>
        <v>567</v>
      </c>
      <c r="AC70" s="267">
        <f>AB47</f>
        <v>599</v>
      </c>
      <c r="AD70" s="267">
        <f>AC47</f>
        <v>638</v>
      </c>
      <c r="AE70" s="267">
        <f>AD47</f>
        <v>673</v>
      </c>
      <c r="AF70" s="268">
        <f>AA47</f>
        <v>567</v>
      </c>
      <c r="AG70" s="267">
        <f>AF47</f>
        <v>716</v>
      </c>
      <c r="AH70" s="267">
        <f>AG47</f>
        <v>747</v>
      </c>
      <c r="AI70" s="267">
        <f>AH47</f>
        <v>789</v>
      </c>
      <c r="AJ70" s="267">
        <f>AI47</f>
        <v>789</v>
      </c>
      <c r="AK70" s="268">
        <f>AF47</f>
        <v>716</v>
      </c>
      <c r="AL70" s="267">
        <f>AK47</f>
        <v>845</v>
      </c>
      <c r="AM70" s="267">
        <f>AL47</f>
        <v>876</v>
      </c>
      <c r="AN70" s="267">
        <f>AM47</f>
        <v>888</v>
      </c>
      <c r="AO70" s="267">
        <f>AN47</f>
        <v>929</v>
      </c>
      <c r="AP70" s="268">
        <f>AK47</f>
        <v>845</v>
      </c>
      <c r="AQ70" s="267">
        <f>AP47</f>
        <v>974.79999999999973</v>
      </c>
      <c r="AR70" s="267">
        <f>AQ47</f>
        <v>1018.8999999999999</v>
      </c>
      <c r="AS70" s="267">
        <f>AR47</f>
        <v>1067.2</v>
      </c>
      <c r="AT70" s="267">
        <f>AS47</f>
        <v>1111</v>
      </c>
      <c r="AU70" s="268">
        <f>AP47</f>
        <v>974.79999999999973</v>
      </c>
      <c r="AV70" s="157"/>
      <c r="AW70" s="267"/>
      <c r="AX70" s="267">
        <f>AT47</f>
        <v>1128.3999999999999</v>
      </c>
      <c r="AY70" s="267">
        <f>AU47</f>
        <v>1128.3999999999999</v>
      </c>
      <c r="AZ70" s="267">
        <f>AS47</f>
        <v>1111</v>
      </c>
      <c r="BA70" s="268">
        <f>AP47</f>
        <v>974.79999999999973</v>
      </c>
      <c r="BB70" s="267">
        <f>BA47</f>
        <v>1444.1000000000001</v>
      </c>
      <c r="BC70" s="267">
        <f>BB47</f>
        <v>1495.5</v>
      </c>
      <c r="BD70" s="267">
        <f>BC47</f>
        <v>1553.6</v>
      </c>
      <c r="BE70" s="267">
        <f>BD47</f>
        <v>1493.5</v>
      </c>
      <c r="BF70" s="268">
        <f>BA47</f>
        <v>1444.1000000000001</v>
      </c>
      <c r="BG70" s="267">
        <f>BF47</f>
        <v>1049.2</v>
      </c>
      <c r="BH70" s="267">
        <f>BG47</f>
        <v>1500.7</v>
      </c>
      <c r="BI70" s="267">
        <f>BH47</f>
        <v>1095.2</v>
      </c>
      <c r="BJ70" s="267">
        <f>BI47</f>
        <v>1120.8999999999999</v>
      </c>
      <c r="BK70" s="268">
        <f>BF47</f>
        <v>1049.2</v>
      </c>
      <c r="BL70" s="267">
        <f>BK47</f>
        <v>1175</v>
      </c>
      <c r="BM70" s="267">
        <f>BL47</f>
        <v>1193.2000000000003</v>
      </c>
      <c r="BN70" s="267">
        <f>BM47</f>
        <v>1315.6</v>
      </c>
      <c r="BO70" s="267">
        <f>BN47</f>
        <v>1398.6</v>
      </c>
      <c r="BP70" s="268">
        <f>BK47</f>
        <v>1175</v>
      </c>
      <c r="BQ70" s="267">
        <f>BP47</f>
        <v>1516.2</v>
      </c>
      <c r="BR70" s="267">
        <f>BQ47</f>
        <v>1523.8</v>
      </c>
      <c r="BS70" s="267">
        <f>BR47</f>
        <v>1537.5</v>
      </c>
      <c r="BT70" s="267">
        <f>BS47</f>
        <v>1381.1000000000001</v>
      </c>
      <c r="BU70" s="268">
        <f>BP47</f>
        <v>1516.2</v>
      </c>
      <c r="BV70" s="267">
        <f>BU47</f>
        <v>4323.2</v>
      </c>
      <c r="BW70" s="1369">
        <f>BV47</f>
        <v>3516.7</v>
      </c>
      <c r="BX70" s="267">
        <f>BW47</f>
        <v>6841.2999999999993</v>
      </c>
      <c r="BY70" s="267">
        <f>BX47</f>
        <v>6601.8</v>
      </c>
      <c r="BZ70" s="268">
        <f>BU47</f>
        <v>4323.2</v>
      </c>
      <c r="CA70" s="267">
        <f>BZ47</f>
        <v>6209.7000000000007</v>
      </c>
      <c r="CB70" s="267">
        <f>CA47</f>
        <v>6635.7000000000007</v>
      </c>
      <c r="CC70" s="267">
        <f>CB47</f>
        <v>6815.4000000000005</v>
      </c>
      <c r="CD70" s="267">
        <f>CC47</f>
        <v>6816.1</v>
      </c>
      <c r="CE70" s="268">
        <f>BZ47</f>
        <v>6209.7000000000007</v>
      </c>
      <c r="CF70" s="267">
        <f>CE47</f>
        <v>6785.6</v>
      </c>
      <c r="CG70" s="267">
        <f>CF47</f>
        <v>6894.2999999999993</v>
      </c>
      <c r="CH70" s="267">
        <f>CG47</f>
        <v>7171.2</v>
      </c>
      <c r="CI70" s="267">
        <f>CH47</f>
        <v>7573.2000000000007</v>
      </c>
      <c r="CJ70" s="268">
        <f>CE47</f>
        <v>6785.6</v>
      </c>
      <c r="CK70" s="267">
        <f>CJ47</f>
        <v>4560.6000000000004</v>
      </c>
      <c r="CL70" s="269">
        <f>CK47</f>
        <v>4242.3999999999996</v>
      </c>
      <c r="CM70" s="269">
        <f>CL47</f>
        <v>4287.7307474949293</v>
      </c>
      <c r="CN70" s="269">
        <f>CM47</f>
        <v>4382.5368126005878</v>
      </c>
      <c r="CO70" s="587">
        <f>CJ47</f>
        <v>4560.6000000000004</v>
      </c>
      <c r="CP70" s="269">
        <f>CO47</f>
        <v>4498.4040366884456</v>
      </c>
      <c r="CQ70" s="269">
        <f>CP47</f>
        <v>4549.2758899550754</v>
      </c>
      <c r="CR70" s="269">
        <f>CQ47</f>
        <v>4627.0810806006048</v>
      </c>
      <c r="CS70" s="269">
        <f>CR47</f>
        <v>4750.6489378309179</v>
      </c>
      <c r="CT70" s="587">
        <f>CO47</f>
        <v>4498.4040366884456</v>
      </c>
      <c r="CU70" s="269">
        <f>CT47</f>
        <v>4898.5853100865907</v>
      </c>
      <c r="CV70" s="269">
        <f>CU47</f>
        <v>4950.8019910707617</v>
      </c>
      <c r="CW70" s="269">
        <f>CV47</f>
        <v>5056.2945228921699</v>
      </c>
      <c r="CX70" s="269">
        <f>CW47</f>
        <v>5211.9089960065212</v>
      </c>
      <c r="CY70" s="587">
        <f>CT47</f>
        <v>4898.5853100865907</v>
      </c>
      <c r="CZ70" s="269">
        <f>CY47</f>
        <v>5394.7664001708108</v>
      </c>
      <c r="DA70" s="269">
        <f>CZ47</f>
        <v>5470.0991919493335</v>
      </c>
      <c r="DB70" s="269">
        <f>DA47</f>
        <v>5597.2088122102887</v>
      </c>
      <c r="DC70" s="269">
        <f>DB47</f>
        <v>5781.0754946160014</v>
      </c>
      <c r="DD70" s="587">
        <f>CY47</f>
        <v>5394.7664001708108</v>
      </c>
      <c r="DE70" s="269">
        <f>DD47</f>
        <v>5965.8695712649842</v>
      </c>
      <c r="DF70" s="269">
        <f>DE47</f>
        <v>6069.4431067076584</v>
      </c>
      <c r="DG70" s="269">
        <f>DF47</f>
        <v>6223.5825739748507</v>
      </c>
      <c r="DH70" s="269">
        <f>DG47</f>
        <v>6442.3211829638676</v>
      </c>
      <c r="DI70" s="587">
        <f>DD47</f>
        <v>5965.8695712649842</v>
      </c>
      <c r="DJ70" s="269">
        <f>DI47</f>
        <v>6693.0529072623413</v>
      </c>
      <c r="DK70" s="269">
        <f>DJ47</f>
        <v>6802.6960509584569</v>
      </c>
      <c r="DL70" s="269">
        <f>DK47</f>
        <v>6986.9943034698099</v>
      </c>
      <c r="DM70" s="269">
        <f>DL47</f>
        <v>7241.1788777888214</v>
      </c>
      <c r="DN70" s="587">
        <f>DI47</f>
        <v>6693.0529072623413</v>
      </c>
      <c r="DO70" s="269">
        <f>DN47</f>
        <v>7530.1733238371799</v>
      </c>
      <c r="DP70" s="269">
        <f>DO47</f>
        <v>7620.4238674543703</v>
      </c>
      <c r="DQ70" s="269">
        <f>DP47</f>
        <v>7785.1341691642301</v>
      </c>
      <c r="DR70" s="269">
        <f>DQ47</f>
        <v>8033.9992178695775</v>
      </c>
      <c r="DS70" s="587">
        <f>DN47</f>
        <v>7530.1733238371799</v>
      </c>
      <c r="DT70" s="269">
        <f>DS47</f>
        <v>8324.6509584334362</v>
      </c>
      <c r="DU70" s="269">
        <f>DT47</f>
        <v>8456.6285792163726</v>
      </c>
      <c r="DV70" s="269">
        <f>DU47</f>
        <v>8663.8090872870835</v>
      </c>
      <c r="DW70" s="269">
        <f>DV47</f>
        <v>8948.1504324088746</v>
      </c>
      <c r="DX70" s="587">
        <f>DS47</f>
        <v>8324.6509584334362</v>
      </c>
      <c r="DY70" s="16"/>
      <c r="DZ70" s="16"/>
      <c r="EA70" s="16"/>
      <c r="EB70" s="16"/>
      <c r="EC70" s="16"/>
      <c r="ED70" s="16"/>
      <c r="EE70" s="16"/>
      <c r="EF70" s="16"/>
    </row>
    <row r="71" spans="1:136" x14ac:dyDescent="0.2">
      <c r="A71" s="585" t="s">
        <v>393</v>
      </c>
      <c r="B71" s="16"/>
      <c r="C71" s="16"/>
      <c r="D71" s="16"/>
      <c r="E71" s="16"/>
      <c r="F71" s="16"/>
      <c r="G71" s="173" t="s">
        <v>172</v>
      </c>
      <c r="H71" s="16"/>
      <c r="I71" s="16"/>
      <c r="J71" s="16"/>
      <c r="K71" s="16"/>
      <c r="L71" s="16"/>
      <c r="M71" s="16"/>
      <c r="N71" s="16"/>
      <c r="O71" s="16"/>
      <c r="P71" s="16"/>
      <c r="Q71" s="16"/>
      <c r="R71" s="16"/>
      <c r="S71" s="16"/>
      <c r="T71" s="16"/>
      <c r="U71" s="16"/>
      <c r="V71" s="240"/>
      <c r="W71" s="296"/>
      <c r="X71" s="296"/>
      <c r="Y71" s="296"/>
      <c r="Z71" s="296"/>
      <c r="AA71" s="240">
        <f>IS!AA51</f>
        <v>-142</v>
      </c>
      <c r="AB71" s="296">
        <f>IS!AB51</f>
        <v>-42</v>
      </c>
      <c r="AC71" s="296">
        <f>IS!AC51</f>
        <v>-37</v>
      </c>
      <c r="AD71" s="296">
        <f>IS!AD51</f>
        <v>-28</v>
      </c>
      <c r="AE71" s="296">
        <f>IS!AE51</f>
        <v>-36</v>
      </c>
      <c r="AF71" s="240">
        <f>IS!AF51</f>
        <v>-143</v>
      </c>
      <c r="AG71" s="296">
        <f>IS!AG51</f>
        <v>-47.2</v>
      </c>
      <c r="AH71" s="296">
        <f>IS!AH51</f>
        <v>-46</v>
      </c>
      <c r="AI71" s="296">
        <f>IS!AI51</f>
        <v>-40</v>
      </c>
      <c r="AJ71" s="296">
        <f>IS!AJ51</f>
        <v>-31</v>
      </c>
      <c r="AK71" s="240">
        <f>IS!AK51</f>
        <v>-164.2</v>
      </c>
      <c r="AL71" s="296">
        <f>IS!AL51</f>
        <v>-40</v>
      </c>
      <c r="AM71" s="296">
        <f>IS!AM51</f>
        <v>-41.6</v>
      </c>
      <c r="AN71" s="296">
        <f>IS!AN51</f>
        <v>-29</v>
      </c>
      <c r="AO71" s="296">
        <f>IS!AO51</f>
        <v>-28.799999999999997</v>
      </c>
      <c r="AP71" s="240">
        <f>IS!AP51</f>
        <v>-139.39999999999998</v>
      </c>
      <c r="AQ71" s="296">
        <f>IS!AQ51</f>
        <v>-36.4</v>
      </c>
      <c r="AR71" s="296">
        <f>IS!AR51</f>
        <v>-38</v>
      </c>
      <c r="AS71" s="296">
        <f>IS!AW51</f>
        <v>40.999999999999972</v>
      </c>
      <c r="AT71" s="296">
        <f>IS!AX51</f>
        <v>48.999999999999957</v>
      </c>
      <c r="AU71" s="240">
        <f>IS!AU51</f>
        <v>15.599999999999923</v>
      </c>
      <c r="AV71" s="888"/>
      <c r="AW71" s="239"/>
      <c r="AX71" s="296">
        <f>IS!AY51</f>
        <v>63.399999999999956</v>
      </c>
      <c r="AY71" s="296">
        <f>IS!AZ51</f>
        <v>-108.00000000000003</v>
      </c>
      <c r="AZ71" s="239"/>
      <c r="BA71" s="240"/>
      <c r="BB71" s="296">
        <f>IS!BB51</f>
        <v>-5.9000000000000039</v>
      </c>
      <c r="BC71" s="296">
        <f>IS!BC51</f>
        <v>30.199999999999942</v>
      </c>
      <c r="BD71" s="296">
        <f>IS!BD51</f>
        <v>38.800000000000026</v>
      </c>
      <c r="BE71" s="296">
        <f>IS!BE51</f>
        <v>24.999999999999865</v>
      </c>
      <c r="BF71" s="240">
        <f>IS!BF51</f>
        <v>88.099999999999824</v>
      </c>
      <c r="BG71" s="296">
        <f>IS!BG51</f>
        <v>14.299999999999965</v>
      </c>
      <c r="BH71" s="296">
        <f>IS!BH51</f>
        <v>48.199999999999918</v>
      </c>
      <c r="BI71" s="296">
        <f>IS!BI51</f>
        <v>6.599999999999957</v>
      </c>
      <c r="BJ71" s="296">
        <f>IS!BJ51</f>
        <v>48.60000000000003</v>
      </c>
      <c r="BK71" s="240">
        <f>IS!BK51</f>
        <v>117.70000000000005</v>
      </c>
      <c r="BL71" s="296">
        <f>IS!BL51</f>
        <v>35.799999999999976</v>
      </c>
      <c r="BM71" s="296">
        <f>IS!BM51</f>
        <v>62.90000000000002</v>
      </c>
      <c r="BN71" s="296">
        <f>IS!BN51</f>
        <v>68.200000000000017</v>
      </c>
      <c r="BO71" s="296">
        <f>IS!BO51</f>
        <v>66.799999999999955</v>
      </c>
      <c r="BP71" s="240">
        <f>IS!BP51</f>
        <v>233.7</v>
      </c>
      <c r="BQ71" s="296">
        <f>IS!BQ51</f>
        <v>60.400000000000013</v>
      </c>
      <c r="BR71" s="296">
        <f>IS!BR51</f>
        <v>75.09999999999998</v>
      </c>
      <c r="BS71" s="296">
        <f>IS!BS51</f>
        <v>-23.500000000000021</v>
      </c>
      <c r="BT71" s="296">
        <f>IS!BT51</f>
        <v>-389.4</v>
      </c>
      <c r="BU71" s="240">
        <f>IS!BU51</f>
        <v>-277.40000000000003</v>
      </c>
      <c r="BV71" s="296">
        <f>IS!CA51</f>
        <v>50.599999999999909</v>
      </c>
      <c r="BW71" s="1370">
        <f>IS!CB51</f>
        <v>93.799999999999855</v>
      </c>
      <c r="BX71" s="296">
        <f>IS!CC51</f>
        <v>182.8600000000001</v>
      </c>
      <c r="BY71" s="296">
        <f>IS!CD51</f>
        <v>184.46000000000012</v>
      </c>
      <c r="BZ71" s="240">
        <f>IS!CE51</f>
        <v>511.71999999999997</v>
      </c>
      <c r="CA71" s="296">
        <f>IS!CF51</f>
        <v>168.2999999999999</v>
      </c>
      <c r="CB71" s="296">
        <f>IS!CG51</f>
        <v>247.59999999999991</v>
      </c>
      <c r="CC71" s="296">
        <f>IS!CH51</f>
        <v>238.59999999999977</v>
      </c>
      <c r="CD71" s="296">
        <f>IS!CI51</f>
        <v>301.38</v>
      </c>
      <c r="CE71" s="240">
        <f>IS!CJ51</f>
        <v>955.87999999999954</v>
      </c>
      <c r="CF71" s="296">
        <f>IS!CK51</f>
        <v>166.60000000000002</v>
      </c>
      <c r="CG71" s="296">
        <f>IS!CL51</f>
        <v>243.50000000000014</v>
      </c>
      <c r="CH71" s="296">
        <f>IS!CM51</f>
        <v>246.79999999999995</v>
      </c>
      <c r="CI71" s="296">
        <f>IS!CN51</f>
        <v>578.4000000000002</v>
      </c>
      <c r="CJ71" s="240">
        <f>IS!CO51</f>
        <v>1235.3000000000002</v>
      </c>
      <c r="CK71" s="296">
        <f>IS!CP51</f>
        <v>278.79999999999978</v>
      </c>
      <c r="CL71" s="588">
        <f>IS!CQ51</f>
        <v>251.07427814492911</v>
      </c>
      <c r="CM71" s="588">
        <f>IS!CR51</f>
        <v>294.72715575565871</v>
      </c>
      <c r="CN71" s="588">
        <f>IS!CS51</f>
        <v>315.07587473785748</v>
      </c>
      <c r="CO71" s="589">
        <f>IS!CT51</f>
        <v>1139.6773086384451</v>
      </c>
      <c r="CP71" s="588">
        <f>IS!CU51</f>
        <v>259.98971601922165</v>
      </c>
      <c r="CQ71" s="588">
        <f>IS!CV51</f>
        <v>300.63052700052936</v>
      </c>
      <c r="CR71" s="588">
        <f>IS!CW51</f>
        <v>345.42141486531398</v>
      </c>
      <c r="CS71" s="588">
        <f>IS!CX51</f>
        <v>369.02815117067212</v>
      </c>
      <c r="CT71" s="589">
        <f>IS!CY51</f>
        <v>1275.0698090557371</v>
      </c>
      <c r="CU71" s="588">
        <f>IS!CZ51</f>
        <v>295.31856964007477</v>
      </c>
      <c r="CV71" s="588">
        <f>IS!DA51</f>
        <v>352.39568354822802</v>
      </c>
      <c r="CW71" s="588">
        <f>IS!DB51</f>
        <v>401.48723172181116</v>
      </c>
      <c r="CX71" s="588">
        <f>IS!DC51</f>
        <v>427.90976965238963</v>
      </c>
      <c r="CY71" s="589">
        <f>IS!DD51</f>
        <v>1477.1112545625035</v>
      </c>
      <c r="CZ71" s="588">
        <f>IS!DE51</f>
        <v>354.52519677190719</v>
      </c>
      <c r="DA71" s="588">
        <f>IS!DF51</f>
        <v>399.39578986320424</v>
      </c>
      <c r="DB71" s="588">
        <f>IS!DG51</f>
        <v>455.05282498216451</v>
      </c>
      <c r="DC71" s="588">
        <f>IS!DH51</f>
        <v>456.09019219963255</v>
      </c>
      <c r="DD71" s="589">
        <f>IS!DI51</f>
        <v>1665.0640038169086</v>
      </c>
      <c r="DE71" s="588">
        <f>IS!DJ51</f>
        <v>408.69617630805391</v>
      </c>
      <c r="DF71" s="588">
        <f>IS!DK51</f>
        <v>455.84389264053289</v>
      </c>
      <c r="DG71" s="588">
        <f>IS!DL51</f>
        <v>519.26028225570587</v>
      </c>
      <c r="DH71" s="588">
        <f>IS!DM51</f>
        <v>551.28064545851419</v>
      </c>
      <c r="DI71" s="589">
        <f>IS!DN51</f>
        <v>1935.0809966628069</v>
      </c>
      <c r="DJ71" s="588">
        <f>IS!DO51</f>
        <v>463.82434178875161</v>
      </c>
      <c r="DK71" s="588">
        <f>IS!DP51</f>
        <v>518.20911932933552</v>
      </c>
      <c r="DL71" s="588">
        <f>IS!DQ51</f>
        <v>586.81441163429304</v>
      </c>
      <c r="DM71" s="588">
        <f>IS!DR51</f>
        <v>621.55325386093818</v>
      </c>
      <c r="DN71" s="589">
        <f>IS!DS51</f>
        <v>2190.4011266133184</v>
      </c>
      <c r="DO71" s="588">
        <f>IS!DT51</f>
        <v>484.51258940836266</v>
      </c>
      <c r="DP71" s="588">
        <f>IS!DU51</f>
        <v>533.9189622724216</v>
      </c>
      <c r="DQ71" s="588">
        <f>IS!DV51</f>
        <v>616.73096528012832</v>
      </c>
      <c r="DR71" s="588">
        <f>IS!DW51</f>
        <v>658.36814756860917</v>
      </c>
      <c r="DS71" s="589">
        <f>IS!DX51</f>
        <v>2293.5306645295218</v>
      </c>
      <c r="DT71" s="588">
        <f>IS!DY51</f>
        <v>554.82074716127477</v>
      </c>
      <c r="DU71" s="588">
        <f>IS!DZ51</f>
        <v>615.14542361321151</v>
      </c>
      <c r="DV71" s="588">
        <f>IS!EA51</f>
        <v>690.89258304346879</v>
      </c>
      <c r="DW71" s="588">
        <f>IS!EB51</f>
        <v>736.01656320651716</v>
      </c>
      <c r="DX71" s="589">
        <f>IS!EC51</f>
        <v>2596.8753170244722</v>
      </c>
      <c r="DY71" s="16"/>
      <c r="DZ71" s="16"/>
      <c r="EA71" s="16"/>
      <c r="EB71" s="16"/>
      <c r="EC71" s="16"/>
      <c r="ED71" s="16"/>
      <c r="EE71" s="16"/>
      <c r="EF71" s="16"/>
    </row>
    <row r="72" spans="1:136" x14ac:dyDescent="0.2">
      <c r="A72" s="19" t="s">
        <v>538</v>
      </c>
      <c r="B72" s="16"/>
      <c r="C72" s="16"/>
      <c r="D72" s="16"/>
      <c r="E72" s="16"/>
      <c r="F72" s="16"/>
      <c r="G72" s="16"/>
      <c r="H72" s="16"/>
      <c r="I72" s="16"/>
      <c r="J72" s="16"/>
      <c r="K72" s="16"/>
      <c r="L72" s="16"/>
      <c r="M72" s="16"/>
      <c r="N72" s="16"/>
      <c r="O72" s="16"/>
      <c r="P72" s="16"/>
      <c r="Q72" s="478"/>
      <c r="R72" s="478">
        <f>(R40-Q40)+(R42-Q42)</f>
        <v>-1</v>
      </c>
      <c r="S72" s="478">
        <f>(S40-R40)+(S42-R42)</f>
        <v>0</v>
      </c>
      <c r="T72" s="478">
        <f>(T40-S40)+(T42-S42)</f>
        <v>0</v>
      </c>
      <c r="U72" s="478">
        <f>(U40-T40)+(U42-T42)</f>
        <v>407</v>
      </c>
      <c r="V72" s="240">
        <f>(V40-Q40)+(V42-Q42)</f>
        <v>406</v>
      </c>
      <c r="W72" s="296"/>
      <c r="X72" s="296"/>
      <c r="Y72" s="296"/>
      <c r="Z72" s="296"/>
      <c r="AA72" s="240">
        <f>(AA40-V40)+(AA42-V42)+(AA46-V46)+(AA41-V41)</f>
        <v>142</v>
      </c>
      <c r="AB72" s="296">
        <f>(AB40-AA40)+(AB42-AA42)+(AB46-AA46)+(AB41-AA41)</f>
        <v>-1</v>
      </c>
      <c r="AC72" s="296">
        <f>(AC40-AB40)+(AC42-AB42)+(AC46-AB46)+(AC41-AB41)</f>
        <v>9</v>
      </c>
      <c r="AD72" s="296">
        <f>(AD40-AC40)+(AD42-AC42)+(AD46-AC46)+(AD41-AC41)</f>
        <v>13</v>
      </c>
      <c r="AE72" s="296">
        <f>(AE40-AD40)+(AE42-AD42)+(AE46-AD46)+(AE41-AD41)</f>
        <v>4</v>
      </c>
      <c r="AF72" s="240">
        <f>(AF40-AA40)+(AF42-AA42)+(AF46-AA46)+(AF41-AA41)</f>
        <v>25</v>
      </c>
      <c r="AG72" s="296">
        <f>(AG40-AF40)+(AG42-AF42)+(AG46-AF46)+(AG41-AF41)</f>
        <v>-3</v>
      </c>
      <c r="AH72" s="296">
        <f>(AH40-AG40)+(AH42-AG42)+(AH46-AG46)+(AH41-AG41)</f>
        <v>8</v>
      </c>
      <c r="AI72" s="296">
        <f>(AI40-AH40)+(AI42-AH42)+(AI46-AH46)+(AI41-AH41)</f>
        <v>-21</v>
      </c>
      <c r="AJ72" s="296">
        <f>(AJ40-AI40)+(AJ42-AI42)+(AJ46-AI46)+(AJ41-AI41)</f>
        <v>5</v>
      </c>
      <c r="AK72" s="240">
        <f>(AK40-AF40)+(AK42-AF42)+(AK46-AF46)+(AK41-AF41)</f>
        <v>-11</v>
      </c>
      <c r="AL72" s="296">
        <f>(AL40-AK40)+(AL42-AK42)+(AL46-AK46)+(AL41-AK41)</f>
        <v>-10</v>
      </c>
      <c r="AM72" s="296">
        <f>(AM40-AL40)+(AM42-AL42)+(AM46-AL46)+(AM41-AL41)</f>
        <v>3</v>
      </c>
      <c r="AN72" s="296">
        <f>(AN40-AM40)+(AN42-AM42)+(AN46-AM46)+(AN41-AM41)</f>
        <v>4</v>
      </c>
      <c r="AO72" s="296">
        <f>(AO40-AN40)+(AO42-AN42)+(AO46-AN46)+(AO41-AN41)</f>
        <v>5.2999999999999776</v>
      </c>
      <c r="AP72" s="240">
        <f>(AP40-AK40)+(AP42-AK42)+(AP46-AK46)+(AP41-AK41)</f>
        <v>2.2999999999999758</v>
      </c>
      <c r="AQ72" s="296">
        <f>(AQ40-AP40)+(AQ42-AP42)+(AQ46-AP46)+(AQ41-AP41)</f>
        <v>3.3000000000000682</v>
      </c>
      <c r="AR72" s="296">
        <f>(AR40-AQ40)+(AR42-AQ42)+(AR46-AQ46)+(AR41-AQ41)</f>
        <v>4.2999999999999332</v>
      </c>
      <c r="AS72" s="296">
        <f>(AS40-AR40)+(AS42-AR42)+(AS46-AR46)+(AS41-AR41)</f>
        <v>8</v>
      </c>
      <c r="AT72" s="296">
        <f>(AT40-AS40)+(AT42-AS42)+(AT46-AS46)+(AT41-AS41)</f>
        <v>6.4000000000000696</v>
      </c>
      <c r="AU72" s="240">
        <f>(AU40-AP40)+(AU42-AP42)+(AU46-AP46)+(AU41-AP41)</f>
        <v>22.000000000000071</v>
      </c>
      <c r="AV72" s="247"/>
      <c r="AW72" s="239"/>
      <c r="AX72" s="296">
        <f>(AX40-AT40)+(AX42-AT42)+(AX46-AT46)+(AX41-AT41)</f>
        <v>0</v>
      </c>
      <c r="AY72" s="296">
        <f>(AY40-AU40)+(AY42-AU42)+(AY46-AU46)+(AY41-AU41)</f>
        <v>5.5999999999999091</v>
      </c>
      <c r="AZ72" s="239">
        <f>(AZ40-AS40)+(AZ42-AS42)+(AZ46-AS46)+(AZ41-AS41)</f>
        <v>982.6</v>
      </c>
      <c r="BA72" s="240">
        <f>(BA40-AP40)+(BA42-AP42)+(BA46-AP46)+(BA41-AP41)</f>
        <v>998.2</v>
      </c>
      <c r="BB72" s="296">
        <f>(BB40-BA40)+(BB42-BA42)+(BB46-BA46)+(BB41-BA41)</f>
        <v>0</v>
      </c>
      <c r="BC72" s="296">
        <f>(BC40-BB40)+(BC42-BB42)+(BC46-BB46)+(BC41-BB41)</f>
        <v>0</v>
      </c>
      <c r="BD72" s="296">
        <f>(BD40-BC40)+(BD42-BC42)+(BD46-BC46)+(BD41-BC41)</f>
        <v>0</v>
      </c>
      <c r="BE72" s="296">
        <f>(BE40-BD40)+(BE42-BD42)+(BE46-BD46)+(BE41-BD41)</f>
        <v>-373.40000000000009</v>
      </c>
      <c r="BF72" s="240">
        <f>(BF40-BA40)+(BF42-BA42)+(BF46-BA46)+(BF41-BA41)</f>
        <v>-373.40000000000009</v>
      </c>
      <c r="BG72" s="296">
        <f>(BG40-BF40)+(BG42-BF42)+(BG46-BF46)+(BG41-BF41)</f>
        <v>374.30000000000018</v>
      </c>
      <c r="BH72" s="296">
        <f>(BH40-BG40)+(BH42-BG42)+(BH46-BG46)+(BH41-BG41)</f>
        <v>-361.30000000000018</v>
      </c>
      <c r="BI72" s="296">
        <f>(BI40-BH40)+(BI42-BH42)+(BI46-BH46)+(BI41-BH41)</f>
        <v>1.7000000000000455</v>
      </c>
      <c r="BJ72" s="296">
        <f>(BJ40-BI40)+(BJ42-BI42)+(BJ46-BI46)+(BJ41-BI41)</f>
        <v>4.4000000000000909</v>
      </c>
      <c r="BK72" s="240">
        <f>(BK40-BF40)+(BK42-BF42)+(BK46-BF46)+(BK41-BF41)</f>
        <v>19.100000000000136</v>
      </c>
      <c r="BL72" s="296">
        <f>(BL40-BK40)+(BL42-BK42)+(BL46-BK46)+(BL41-BK41)</f>
        <v>6.7000000000000455</v>
      </c>
      <c r="BM72" s="296">
        <f>(BM40-BL40)+(BM42-BL42)+(BM46-BL46)+(BM41-BL41)</f>
        <v>7.3999999999998636</v>
      </c>
      <c r="BN72" s="296">
        <f>(BN40-BM40)+(BN42-BM42)+(BN46-BM46)+(BN41-BM41)</f>
        <v>3.2000000000000455</v>
      </c>
      <c r="BO72" s="296">
        <f>(BO40-BN40)+(BO42-BN42)+(BO46-BN46)+(BO41-BN41)</f>
        <v>9.6000000000000902</v>
      </c>
      <c r="BP72" s="240">
        <f>(BP40-BK40)+(BP42-BK42)+(BP46-BK46)+(BP41-BK41)</f>
        <v>26.900000000000045</v>
      </c>
      <c r="BQ72" s="296">
        <f>(BQ40-BP40)+(BQ42-BP42)+(BQ46-BP46)+(BQ41-BP41)</f>
        <v>6.0999999999999091</v>
      </c>
      <c r="BR72" s="296">
        <f>(BR40-BQ40)+(BR42-BQ42)+(BR46-BQ46)+(BR41-BQ41)</f>
        <v>3</v>
      </c>
      <c r="BS72" s="296">
        <f>(BS40-BR40)+(BS42-BR42)+(BS46-BR46)+(BS41-BR41)</f>
        <v>3.7999999999999545</v>
      </c>
      <c r="BT72" s="296">
        <f>(BT40-BS40)+(BT42-BS42)+(BT46-BS46)+(BT41-BS41)</f>
        <v>506.00000000000006</v>
      </c>
      <c r="BU72" s="240">
        <f>(BU40-BP40)+(BU42-BP42)+(BU46-BP46)+(BU41-BP41)</f>
        <v>518.89999999999986</v>
      </c>
      <c r="BV72" s="296">
        <f>(BV40-BU40)+(BV42-BU42)+(BV46-BU46)+(BV41-BU41)</f>
        <v>11.400000000000091</v>
      </c>
      <c r="BW72" s="1370">
        <f>(BW40-BV40)+(BW42-BV42)+(BW46-BV46)+(BW41-BV41)</f>
        <v>8</v>
      </c>
      <c r="BX72" s="296">
        <f>(BX40-BW40)+(BX42-BW42)+(BX46-BW46)+(BX41-BW41)</f>
        <v>20.199999999999818</v>
      </c>
      <c r="BY72" s="296">
        <f>(BY40-BX40)+(BY42-BX42)+(BY46-BX46)+(BY41-BX41)</f>
        <v>29.900000000000091</v>
      </c>
      <c r="BZ72" s="240">
        <f>(BZ40-BU40)+(BZ42-BU42)+(BZ46-BU46)+(BZ41-BU41)</f>
        <v>69.5</v>
      </c>
      <c r="CA72" s="296">
        <f>(CA40-BZ40)+(CA42-BZ42)+(CA46-BZ46)+(CA41-BZ41)</f>
        <v>83.299999999999955</v>
      </c>
      <c r="CB72" s="296">
        <f>(CB40-CA40)+(CB42-CA42)+(CB46-CA46)+(CB41-CA41)</f>
        <v>15.400000000000091</v>
      </c>
      <c r="CC72" s="296">
        <f>(CC40-CB40)+(CC42-CB42)+(CC46-CB46)+(CC41-CB41)</f>
        <v>12.599999999999909</v>
      </c>
      <c r="CD72" s="296">
        <f>(CD40-CC40)+(CD42-CC42)+(CD46-CC46)+(CD41-CC41)</f>
        <v>19.299999999999955</v>
      </c>
      <c r="CE72" s="240">
        <f>(CE40-BZ40)+(CE42-BZ42)+(CE46-BZ46)+(CE41-BZ41)</f>
        <v>130.59999999999991</v>
      </c>
      <c r="CF72" s="296">
        <f>(CF40-CE40)+(CF42-CE42)+(CF46-CE46)+(CF41-CE41)</f>
        <v>31.900000000000091</v>
      </c>
      <c r="CG72" s="296">
        <f>(CG40-CF40)+(CG42-CF42)+(CG46-CF46)+(CG41-CF41)</f>
        <v>16</v>
      </c>
      <c r="CH72" s="296">
        <f>(CH40-CG40)+(CH42-CG42)+(CH46-CG46)+(CH41-CG41)</f>
        <v>16.599999999999909</v>
      </c>
      <c r="CI72" s="296">
        <f>(CI40-CH40)+(CI42-CH42)+(CI46-CH46)+(CI41-CH41)</f>
        <v>31.900000000000091</v>
      </c>
      <c r="CJ72" s="240">
        <f>(CJ40-CE40)+(CJ42-CE42)+(CJ46-CE46)+(CJ41-CE41)</f>
        <v>96.400000000000091</v>
      </c>
      <c r="CK72" s="296">
        <f>(CK40-CJ40)+(CK42-CJ42)+(CK46-CJ46)+(CK41-CJ41)</f>
        <v>45.099999999999909</v>
      </c>
      <c r="CL72" s="588">
        <f>(CL40-CK40)+(CL42-CK42)+(CL46-CK46)+(CL41-CK41)</f>
        <v>14.090000000000002</v>
      </c>
      <c r="CM72" s="588">
        <f>(CM40-CL40)+(CM42-CL42)+(CM46-CL46)+(CM41-CL41)</f>
        <v>14.750000000000002</v>
      </c>
      <c r="CN72" s="588">
        <f>(CN40-CM40)+(CN42-CM42)+(CN46-CM46)+(CN41-CM41)</f>
        <v>14.200000000000003</v>
      </c>
      <c r="CO72" s="589">
        <f>(CO40-CJ40)+(CO42-CJ42)+(CO46-CJ46)+(CO41-CJ41)</f>
        <v>88.139999999999915</v>
      </c>
      <c r="CP72" s="588">
        <f>(CP40-CO40)+(CP42-CO42)+(CP46-CO46)+(CP41-CO41)</f>
        <v>15.299999999999997</v>
      </c>
      <c r="CQ72" s="588">
        <f>(CQ40-CP40)+(CQ42-CP42)+(CQ46-CP46)+(CQ41-CP41)</f>
        <v>14.090000000000003</v>
      </c>
      <c r="CR72" s="588">
        <f>(CR40-CQ40)+(CR42-CQ42)+(CR46-CQ46)+(CR41-CQ41)</f>
        <v>14.75</v>
      </c>
      <c r="CS72" s="588">
        <f>(CS40-CR40)+(CS42-CR42)+(CS46-CR46)+(CS41-CR41)</f>
        <v>14.200000000000003</v>
      </c>
      <c r="CT72" s="589">
        <f>(CT40-CO40)+(CT42-CO42)+(CT46-CO46)+(CT41-CO41)</f>
        <v>58.34</v>
      </c>
      <c r="CU72" s="588">
        <f>(CU40-CT40)+(CU42-CT42)+(CU46-CT46)+(CU41-CT41)</f>
        <v>15.299999999999997</v>
      </c>
      <c r="CV72" s="588">
        <f>(CV40-CU40)+(CV42-CU42)+(CV46-CU46)+(CV41-CU41)</f>
        <v>14.090000000000003</v>
      </c>
      <c r="CW72" s="588">
        <f>(CW40-CV40)+(CW42-CV42)+(CW46-CV46)+(CW41-CV41)</f>
        <v>14.75</v>
      </c>
      <c r="CX72" s="588">
        <f>(CX40-CW40)+(CX42-CW42)+(CX46-CW46)+(CX41-CW41)</f>
        <v>14.199999999999989</v>
      </c>
      <c r="CY72" s="589">
        <f>(CY40-CT40)+(CY42-CT42)+(CY46-CT46)+(CY41-CT41)</f>
        <v>58.339999999999989</v>
      </c>
      <c r="CZ72" s="588">
        <f>(CZ40-CY40)+(CZ42-CY42)+(CZ46-CY46)+(CZ41-CY41)</f>
        <v>15.300000000000011</v>
      </c>
      <c r="DA72" s="588">
        <f>(DA40-CZ40)+(DA42-CZ42)+(DA46-CZ46)+(DA41-CZ41)</f>
        <v>14.090000000000003</v>
      </c>
      <c r="DB72" s="588">
        <f>(DB40-DA40)+(DB42-DA42)+(DB46-DA46)+(DB41-DA41)</f>
        <v>14.75</v>
      </c>
      <c r="DC72" s="588">
        <f>(DC40-DB40)+(DC42-DB42)+(DC46-DB46)+(DC41-DB41)</f>
        <v>14.199999999999989</v>
      </c>
      <c r="DD72" s="589">
        <f>(DD40-CY40)+(DD42-CY42)+(DD46-CY46)+(DD41-CY41)</f>
        <v>58.34</v>
      </c>
      <c r="DE72" s="588">
        <f>(DE40-DD40)+(DE42-DD42)+(DE46-DD46)+(DE41-DD41)</f>
        <v>15.300000000000011</v>
      </c>
      <c r="DF72" s="588">
        <f>(DF40-DE40)+(DF42-DE42)+(DF46-DE46)+(DF41-DE41)</f>
        <v>14.090000000000003</v>
      </c>
      <c r="DG72" s="588">
        <f>(DG40-DF40)+(DG42-DF42)+(DG46-DF46)+(DG41-DF41)</f>
        <v>14.750000000000028</v>
      </c>
      <c r="DH72" s="588">
        <f>(DH40-DG40)+(DH42-DG42)+(DH46-DG46)+(DH41-DG41)</f>
        <v>14.199999999999989</v>
      </c>
      <c r="DI72" s="589">
        <f>(DI40-DD40)+(DI42-DD42)+(DI46-DD46)+(DI41-DD41)</f>
        <v>58.340000000000032</v>
      </c>
      <c r="DJ72" s="588">
        <f>(DJ40-DI40)+(DJ42-DI42)+(DJ46-DI46)+(DJ41-DI41)</f>
        <v>15.300000000000011</v>
      </c>
      <c r="DK72" s="588">
        <f>(DK40-DJ40)+(DK42-DJ42)+(DK46-DJ46)+(DK41-DJ41)</f>
        <v>14.089999999999975</v>
      </c>
      <c r="DL72" s="588">
        <f>(DL40-DK40)+(DL42-DK42)+(DL46-DK46)+(DL41-DK41)</f>
        <v>14.75</v>
      </c>
      <c r="DM72" s="588">
        <f>(DM40-DL40)+(DM42-DL42)+(DM46-DL46)+(DM41-DL41)</f>
        <v>14.199999999999989</v>
      </c>
      <c r="DN72" s="589">
        <f>(DN40-DI40)+(DN42-DI42)+(DN46-DI46)+(DN41-DI41)</f>
        <v>58.339999999999975</v>
      </c>
      <c r="DO72" s="588">
        <f>(DO40-DN40)+(DO42-DN42)+(DO46-DN46)+(DO41-DN41)</f>
        <v>15.518169152990822</v>
      </c>
      <c r="DP72" s="588">
        <f>(DP40-DO40)+(DP42-DO42)+(DP46-DO46)+(DP41-DO41)</f>
        <v>14.064967639099507</v>
      </c>
      <c r="DQ72" s="588">
        <f>(DQ40-DP40)+(DQ42-DP42)+(DQ46-DP46)+(DQ41-DP41)</f>
        <v>14.669928577671783</v>
      </c>
      <c r="DR72" s="588">
        <f>(DR40-DQ40)+(DR42-DQ42)+(DR46-DQ46)+(DR41-DQ41)</f>
        <v>14.081655098494707</v>
      </c>
      <c r="DS72" s="589">
        <f>(DS40-DN40)+(DS42-DN42)+(DS46-DN46)+(DS41-DN41)</f>
        <v>58.334720468256819</v>
      </c>
      <c r="DT72" s="588">
        <f>(DT40-DS40)+(DT42-DS42)+(DT46-DS46)+(DT41-DS41)</f>
        <v>15.320470697157816</v>
      </c>
      <c r="DU72" s="588">
        <f>(DU40-DT40)+(DU42-DT42)+(DU46-DT46)+(DU41-DT41)</f>
        <v>13.953613025161815</v>
      </c>
      <c r="DV72" s="588">
        <f>(DV40-DU40)+(DV42-DU42)+(DV46-DU46)+(DV41-DU41)</f>
        <v>14.490804383525244</v>
      </c>
      <c r="DW72" s="588">
        <f>(DW40-DV40)+(DW42-DV42)+(DW46-DV46)+(DW41-DV41)</f>
        <v>13.862407797920071</v>
      </c>
      <c r="DX72" s="589">
        <f>(DX40-DS40)+(DX42-DS42)+(DX46-DS46)+(DX41-DS41)</f>
        <v>57.627295903764946</v>
      </c>
      <c r="DY72" s="16"/>
      <c r="DZ72" s="16"/>
      <c r="EA72" s="16"/>
      <c r="EB72" s="16"/>
      <c r="EC72" s="16"/>
      <c r="ED72" s="16"/>
      <c r="EE72" s="16"/>
      <c r="EF72" s="16"/>
    </row>
    <row r="73" spans="1:136" x14ac:dyDescent="0.2">
      <c r="A73" s="585" t="s">
        <v>17</v>
      </c>
      <c r="B73" s="16"/>
      <c r="C73" s="16"/>
      <c r="D73" s="16"/>
      <c r="E73" s="16"/>
      <c r="F73" s="16"/>
      <c r="G73" s="16"/>
      <c r="H73" s="16"/>
      <c r="I73" s="16"/>
      <c r="J73" s="16"/>
      <c r="K73" s="16"/>
      <c r="L73" s="16"/>
      <c r="M73" s="16"/>
      <c r="N73" s="16"/>
      <c r="O73" s="16"/>
      <c r="P73" s="16"/>
      <c r="Q73" s="16"/>
      <c r="R73" s="16"/>
      <c r="S73" s="16"/>
      <c r="T73" s="16"/>
      <c r="U73" s="16"/>
      <c r="V73" s="240"/>
      <c r="W73" s="296"/>
      <c r="X73" s="296"/>
      <c r="Y73" s="296"/>
      <c r="Z73" s="296"/>
      <c r="AA73" s="240">
        <f>AA44-V44</f>
        <v>21</v>
      </c>
      <c r="AB73" s="296">
        <f>AB44-AA44</f>
        <v>-7</v>
      </c>
      <c r="AC73" s="296">
        <f>AC44-AB44</f>
        <v>-8</v>
      </c>
      <c r="AD73" s="296">
        <f>AD44-AC44</f>
        <v>-4</v>
      </c>
      <c r="AE73" s="296">
        <f>AE44-AD44</f>
        <v>12</v>
      </c>
      <c r="AF73" s="240">
        <f>AF44-AA44</f>
        <v>-7</v>
      </c>
      <c r="AG73" s="296">
        <f>AG44-AF44</f>
        <v>-7</v>
      </c>
      <c r="AH73" s="296">
        <f>AH44-AG44</f>
        <v>-6</v>
      </c>
      <c r="AI73" s="296">
        <f>AI44-AH44</f>
        <v>-12</v>
      </c>
      <c r="AJ73" s="296">
        <f>AJ44-AI44</f>
        <v>9</v>
      </c>
      <c r="AK73" s="240">
        <f>AK44-AF44</f>
        <v>-16</v>
      </c>
      <c r="AL73" s="296">
        <f>AL44-AK44</f>
        <v>-1</v>
      </c>
      <c r="AM73" s="296">
        <f>AM44-AL44</f>
        <v>-26</v>
      </c>
      <c r="AN73" s="296">
        <f>AN44-AM44</f>
        <v>-2</v>
      </c>
      <c r="AO73" s="296">
        <f>AO44-AN44</f>
        <v>-8.8999999999999986</v>
      </c>
      <c r="AP73" s="240">
        <f>AP44-AK44</f>
        <v>-37.9</v>
      </c>
      <c r="AQ73" s="296">
        <f>AQ44-AP44</f>
        <v>2.6999999999999957</v>
      </c>
      <c r="AR73" s="296">
        <f>AR44-AQ44</f>
        <v>2.4000000000000057</v>
      </c>
      <c r="AS73" s="296">
        <f>AS44-AR44</f>
        <v>3.2999999999999972</v>
      </c>
      <c r="AT73" s="296">
        <f>AT44-AS44</f>
        <v>-29.400000000000006</v>
      </c>
      <c r="AU73" s="240">
        <f>AU44-AP44</f>
        <v>-21.000000000000007</v>
      </c>
      <c r="AV73" s="280"/>
      <c r="AW73" s="239"/>
      <c r="AX73" s="296">
        <f>AX44-AT44</f>
        <v>0</v>
      </c>
      <c r="AY73" s="296">
        <f>AY44-AU44</f>
        <v>9.0000000000000071</v>
      </c>
      <c r="AZ73" s="239">
        <f>AZ44-AS44</f>
        <v>19.7</v>
      </c>
      <c r="BA73" s="240">
        <f>BA44-AP44</f>
        <v>28.099999999999998</v>
      </c>
      <c r="BB73" s="296">
        <f>BB44-BA44</f>
        <v>62.2</v>
      </c>
      <c r="BC73" s="296">
        <f>BC44-BB44</f>
        <v>7.8999999999999986</v>
      </c>
      <c r="BD73" s="296">
        <f>BD44-BC44</f>
        <v>-100.6</v>
      </c>
      <c r="BE73" s="296">
        <f>BE44-BD44</f>
        <v>-65</v>
      </c>
      <c r="BF73" s="240">
        <f>BF44-BA44</f>
        <v>-95.5</v>
      </c>
      <c r="BG73" s="296">
        <f>BG44-BF44</f>
        <v>37</v>
      </c>
      <c r="BH73" s="296">
        <f>BH44-BG44</f>
        <v>-66.500000000000014</v>
      </c>
      <c r="BI73" s="296">
        <f>BI44-BH44</f>
        <v>17.400000000000006</v>
      </c>
      <c r="BJ73" s="296">
        <f>BJ44-BI44</f>
        <v>15.100000000000009</v>
      </c>
      <c r="BK73" s="240">
        <f>BK44-BF44</f>
        <v>3</v>
      </c>
      <c r="BL73" s="296">
        <f>BL44-BK44</f>
        <v>-6.7999999999999972</v>
      </c>
      <c r="BM73" s="296">
        <f>BM44-BL44</f>
        <v>73.199999999999989</v>
      </c>
      <c r="BN73" s="296">
        <f>BN44-BM44</f>
        <v>32.700000000000003</v>
      </c>
      <c r="BO73" s="296">
        <f>BO44-BN44</f>
        <v>65.8</v>
      </c>
      <c r="BP73" s="240">
        <f>BP44-BK44</f>
        <v>164.9</v>
      </c>
      <c r="BQ73" s="296">
        <f>BQ44-BP44</f>
        <v>-34.299999999999997</v>
      </c>
      <c r="BR73" s="296">
        <f>BR44-BQ44</f>
        <v>-39.700000000000003</v>
      </c>
      <c r="BS73" s="296">
        <f>BS44-BR44</f>
        <v>-108.6</v>
      </c>
      <c r="BT73" s="296">
        <f>BT44-BS44</f>
        <v>16.299999999999997</v>
      </c>
      <c r="BU73" s="240">
        <f>BU44-BP44</f>
        <v>-166.3</v>
      </c>
      <c r="BV73" s="296">
        <f>BV44-BU44</f>
        <v>-328.3</v>
      </c>
      <c r="BW73" s="1370">
        <f>BW44-BV44</f>
        <v>19.699999999999989</v>
      </c>
      <c r="BX73" s="296">
        <f>BX44-BW44</f>
        <v>-140.80000000000001</v>
      </c>
      <c r="BY73" s="296">
        <f>BY44-BX44</f>
        <v>-172.60000000000002</v>
      </c>
      <c r="BZ73" s="240">
        <f>BZ44-BU44</f>
        <v>-622</v>
      </c>
      <c r="CA73" s="296">
        <f>CA44-BZ44</f>
        <v>165</v>
      </c>
      <c r="CB73" s="296">
        <f>CB44-CA44</f>
        <v>28.300000000000068</v>
      </c>
      <c r="CC73" s="296">
        <f>CC44-CB44</f>
        <v>-54.5</v>
      </c>
      <c r="CD73" s="296">
        <f>CD44-CC44</f>
        <v>-103.39999999999998</v>
      </c>
      <c r="CE73" s="240">
        <f>CE44-BZ44</f>
        <v>35.400000000000091</v>
      </c>
      <c r="CF73" s="296">
        <f>CF44-CE44</f>
        <v>31.699999999999932</v>
      </c>
      <c r="CG73" s="296">
        <f>CG44-CF44</f>
        <v>88.5</v>
      </c>
      <c r="CH73" s="296">
        <f>CH44-CG44</f>
        <v>153</v>
      </c>
      <c r="CI73" s="296">
        <f>CI44-CH44</f>
        <v>-50.599999999999966</v>
      </c>
      <c r="CJ73" s="240">
        <f>CJ44-CE44</f>
        <v>222.59999999999997</v>
      </c>
      <c r="CK73" s="296">
        <f>CK44-CJ44</f>
        <v>-96.800000000000011</v>
      </c>
      <c r="CL73" s="588">
        <f>CL44-CK44</f>
        <v>0</v>
      </c>
      <c r="CM73" s="588">
        <f>CM44-CL44</f>
        <v>0</v>
      </c>
      <c r="CN73" s="588">
        <f>CN44-CM44</f>
        <v>0</v>
      </c>
      <c r="CO73" s="589">
        <f>CO44-CJ44</f>
        <v>-96.800000000000011</v>
      </c>
      <c r="CP73" s="588">
        <f>CP44-CO44</f>
        <v>0</v>
      </c>
      <c r="CQ73" s="588">
        <f>CQ44-CP44</f>
        <v>0</v>
      </c>
      <c r="CR73" s="588">
        <f>CR44-CQ44</f>
        <v>0</v>
      </c>
      <c r="CS73" s="588">
        <f>CS44-CR44</f>
        <v>0</v>
      </c>
      <c r="CT73" s="589">
        <f>CT44-CO44</f>
        <v>0</v>
      </c>
      <c r="CU73" s="588">
        <f>CU44-CT44</f>
        <v>0</v>
      </c>
      <c r="CV73" s="588">
        <f>CV44-CU44</f>
        <v>0</v>
      </c>
      <c r="CW73" s="588">
        <f>CW44-CV44</f>
        <v>0</v>
      </c>
      <c r="CX73" s="588">
        <f>CX44-CW44</f>
        <v>0</v>
      </c>
      <c r="CY73" s="589">
        <f>CY44-CT44</f>
        <v>0</v>
      </c>
      <c r="CZ73" s="588">
        <f>CZ44-CY44</f>
        <v>0</v>
      </c>
      <c r="DA73" s="588">
        <f>DA44-CZ44</f>
        <v>0</v>
      </c>
      <c r="DB73" s="588">
        <f>DB44-DA44</f>
        <v>0</v>
      </c>
      <c r="DC73" s="588">
        <f>DC44-DB44</f>
        <v>0</v>
      </c>
      <c r="DD73" s="589">
        <f>DD44-CY44</f>
        <v>0</v>
      </c>
      <c r="DE73" s="588">
        <f>DE44-DD44</f>
        <v>0</v>
      </c>
      <c r="DF73" s="588">
        <f>DF44-DE44</f>
        <v>0</v>
      </c>
      <c r="DG73" s="588">
        <f>DG44-DF44</f>
        <v>0</v>
      </c>
      <c r="DH73" s="588">
        <f>DH44-DG44</f>
        <v>0</v>
      </c>
      <c r="DI73" s="589">
        <f>DI44-DD44</f>
        <v>0</v>
      </c>
      <c r="DJ73" s="588">
        <f>DJ44-DI44</f>
        <v>0</v>
      </c>
      <c r="DK73" s="588">
        <f>DK44-DJ44</f>
        <v>0</v>
      </c>
      <c r="DL73" s="588">
        <f>DL44-DK44</f>
        <v>0</v>
      </c>
      <c r="DM73" s="588">
        <f>DM44-DL44</f>
        <v>0</v>
      </c>
      <c r="DN73" s="589">
        <f>DN44-DI44</f>
        <v>0</v>
      </c>
      <c r="DO73" s="588">
        <f>DO44-DN44</f>
        <v>0</v>
      </c>
      <c r="DP73" s="588">
        <f>DP44-DO44</f>
        <v>0</v>
      </c>
      <c r="DQ73" s="588">
        <f>DQ44-DP44</f>
        <v>0</v>
      </c>
      <c r="DR73" s="588">
        <f>DR44-DQ44</f>
        <v>0</v>
      </c>
      <c r="DS73" s="589">
        <f>DS44-DN44</f>
        <v>0</v>
      </c>
      <c r="DT73" s="588">
        <f>DT44-DS44</f>
        <v>0</v>
      </c>
      <c r="DU73" s="588">
        <f>DU44-DT44</f>
        <v>0</v>
      </c>
      <c r="DV73" s="588">
        <f>DV44-DU44</f>
        <v>0</v>
      </c>
      <c r="DW73" s="588">
        <f>DW44-DV44</f>
        <v>0</v>
      </c>
      <c r="DX73" s="589">
        <f>DX44-DS44</f>
        <v>0</v>
      </c>
      <c r="DY73" s="16"/>
      <c r="DZ73" s="16"/>
      <c r="EA73" s="16"/>
      <c r="EB73" s="16"/>
      <c r="EC73" s="16"/>
      <c r="ED73" s="16"/>
      <c r="EE73" s="16"/>
      <c r="EF73" s="16"/>
    </row>
    <row r="74" spans="1:136" x14ac:dyDescent="0.2">
      <c r="A74" s="585" t="s">
        <v>18</v>
      </c>
      <c r="B74" s="16"/>
      <c r="C74" s="16"/>
      <c r="D74" s="16"/>
      <c r="E74" s="16"/>
      <c r="F74" s="16"/>
      <c r="G74" s="16"/>
      <c r="H74" s="16"/>
      <c r="I74" s="16"/>
      <c r="J74" s="16"/>
      <c r="K74" s="16"/>
      <c r="L74" s="16"/>
      <c r="M74" s="16"/>
      <c r="N74" s="16"/>
      <c r="O74" s="16"/>
      <c r="P74" s="16"/>
      <c r="Q74" s="16"/>
      <c r="R74" s="16"/>
      <c r="S74" s="16"/>
      <c r="T74" s="16"/>
      <c r="U74" s="16"/>
      <c r="V74" s="240"/>
      <c r="W74" s="296"/>
      <c r="X74" s="296"/>
      <c r="Y74" s="296"/>
      <c r="Z74" s="296"/>
      <c r="AA74" s="240">
        <f>AA43-V43-AA71</f>
        <v>69</v>
      </c>
      <c r="AB74" s="296">
        <f>AB43-AA43-AB71</f>
        <v>82</v>
      </c>
      <c r="AC74" s="296">
        <f>AC43-AB43-AC71</f>
        <v>75</v>
      </c>
      <c r="AD74" s="296">
        <f>AD43-AC43-AD71</f>
        <v>54</v>
      </c>
      <c r="AE74" s="296">
        <f>AE43-AD43-AE71</f>
        <v>63</v>
      </c>
      <c r="AF74" s="240">
        <f>AF43-AA43-AF71</f>
        <v>274</v>
      </c>
      <c r="AG74" s="296">
        <f>AG43-AF43-AG71</f>
        <v>88.2</v>
      </c>
      <c r="AH74" s="296">
        <f>AH43-AG43-AH71</f>
        <v>86</v>
      </c>
      <c r="AI74" s="296">
        <f>AI43-AH43-AI71</f>
        <v>73</v>
      </c>
      <c r="AJ74" s="296">
        <f>AJ43-AI43-AJ71</f>
        <v>73</v>
      </c>
      <c r="AK74" s="240">
        <f>AK43-AF43-AK71</f>
        <v>320.2</v>
      </c>
      <c r="AL74" s="296">
        <f>AL43-AK43-AL71</f>
        <v>82</v>
      </c>
      <c r="AM74" s="296">
        <f>AM43-AL43-AM71</f>
        <v>76.599999999999994</v>
      </c>
      <c r="AN74" s="296">
        <f>AN43-AM43-AN71</f>
        <v>68</v>
      </c>
      <c r="AO74" s="296">
        <f>AO43-AN43-AO71</f>
        <v>78.199999999999974</v>
      </c>
      <c r="AP74" s="240">
        <f>AP43-AK43-AP71</f>
        <v>304.79999999999995</v>
      </c>
      <c r="AQ74" s="296">
        <f>AQ43-AP43-AQ71</f>
        <v>74.500000000000028</v>
      </c>
      <c r="AR74" s="296">
        <f>AR43-AQ43-AR71</f>
        <v>79.600000000000023</v>
      </c>
      <c r="AS74" s="296">
        <f>AS43-AR43-AS71</f>
        <v>-8.4999999999999716</v>
      </c>
      <c r="AT74" s="296">
        <f>AT43-AS43-AT71</f>
        <v>-8.5999999999999801</v>
      </c>
      <c r="AU74" s="240">
        <f>AU43-AP43-AU71</f>
        <v>137.00000000000011</v>
      </c>
      <c r="AV74" s="129"/>
      <c r="AW74" s="239"/>
      <c r="AX74" s="296">
        <f>AX43-AT43-AX71</f>
        <v>-63.399999999999956</v>
      </c>
      <c r="AY74" s="296">
        <f>AY43-AU43-AY71</f>
        <v>163.20000000000007</v>
      </c>
      <c r="AZ74" s="239">
        <f>AZ43-AS43-AZ71</f>
        <v>-669.2</v>
      </c>
      <c r="BA74" s="240">
        <f>BA43-AP43-BA71</f>
        <v>-557</v>
      </c>
      <c r="BB74" s="296">
        <f>BB43-BA43-BB71</f>
        <v>-4.9000000000000075</v>
      </c>
      <c r="BC74" s="296">
        <f>BC43-BB43-BC71</f>
        <v>20.00000000000006</v>
      </c>
      <c r="BD74" s="296">
        <f>BD43-BC43-BD71</f>
        <v>1.6999999999999744</v>
      </c>
      <c r="BE74" s="296">
        <f>BE43-BD43-BE71</f>
        <v>-30.899999999999867</v>
      </c>
      <c r="BF74" s="240">
        <f>BF43-BA43-BF71</f>
        <v>-14.099999999999824</v>
      </c>
      <c r="BG74" s="296">
        <f>BG43-BF43-BG71</f>
        <v>25.900000000000038</v>
      </c>
      <c r="BH74" s="296">
        <f>BH43-BG43-BH71</f>
        <v>-25.89999999999992</v>
      </c>
      <c r="BI74" s="296">
        <f>BI43-BH43-BI71</f>
        <v>4.4408920985006262E-14</v>
      </c>
      <c r="BJ74" s="296">
        <f>BJ43-BI43-BJ71</f>
        <v>-14.000000000000036</v>
      </c>
      <c r="BK74" s="240">
        <f>BK43-BF43-BK71</f>
        <v>-14.000000000000057</v>
      </c>
      <c r="BL74" s="296">
        <f>BL43-BK43-BL71</f>
        <v>-17.499999999999964</v>
      </c>
      <c r="BM74" s="296">
        <f>BM43-BL43-BM71</f>
        <v>-21.100000000000037</v>
      </c>
      <c r="BN74" s="296">
        <f>BN43-BM43-BN71</f>
        <v>-21.099999999999994</v>
      </c>
      <c r="BO74" s="296">
        <f>BO43-BN43-BO71</f>
        <v>-24.599999999999966</v>
      </c>
      <c r="BP74" s="240">
        <f>BP43-BK43-BP71</f>
        <v>-84.299999999999983</v>
      </c>
      <c r="BQ74" s="296">
        <f>BQ43-BP43-BQ71</f>
        <v>-24.6</v>
      </c>
      <c r="BR74" s="296">
        <f>BR43-BQ43-BR71</f>
        <v>-24.700000000000003</v>
      </c>
      <c r="BS74" s="296">
        <f>BS43-BR43-BS71</f>
        <v>-28.099999999999945</v>
      </c>
      <c r="BT74" s="296">
        <f>BT43-BS43-BT71</f>
        <v>356.9</v>
      </c>
      <c r="BU74" s="240">
        <f>BU43-BP43-BU71</f>
        <v>279.5</v>
      </c>
      <c r="BV74" s="296">
        <f>BV43-BU43-BV71</f>
        <v>-76.899999999999892</v>
      </c>
      <c r="BW74" s="1370">
        <f>BW43-BV43-BW71</f>
        <v>-104.69999999999986</v>
      </c>
      <c r="BX74" s="296">
        <f>BX43-BW43-BX71</f>
        <v>-152.7600000000001</v>
      </c>
      <c r="BY74" s="296">
        <f>BY43-BX43-BY71</f>
        <v>-159.16000000000011</v>
      </c>
      <c r="BZ74" s="240">
        <f>BZ43-BU43-BZ71</f>
        <v>-493.52</v>
      </c>
      <c r="CA74" s="296">
        <f>CA43-BZ43-CA71</f>
        <v>-150.7999999999999</v>
      </c>
      <c r="CB74" s="296">
        <f>CB43-CA43-CB71</f>
        <v>-192.09999999999991</v>
      </c>
      <c r="CC74" s="296">
        <f>CC43-CB43-CC71</f>
        <v>-189.9999999999998</v>
      </c>
      <c r="CD74" s="296">
        <f>CD43-CC43-CD71</f>
        <v>-223.07999999999998</v>
      </c>
      <c r="CE74" s="240">
        <f>CE43-BZ43-CE71</f>
        <v>-755.97999999999956</v>
      </c>
      <c r="CF74" s="296">
        <f>CF43-CE43-CF71</f>
        <v>-159</v>
      </c>
      <c r="CG74" s="296">
        <f>CG43-CF43-CG71</f>
        <v>-199.20000000000013</v>
      </c>
      <c r="CH74" s="296">
        <f>CH43-CG43-CH71</f>
        <v>-203.29999999999995</v>
      </c>
      <c r="CI74" s="296">
        <f>CI43-CH43-CI71</f>
        <v>-468.9000000000002</v>
      </c>
      <c r="CJ74" s="240">
        <f>CJ43-CE43-CJ71</f>
        <v>-1030.4000000000001</v>
      </c>
      <c r="CK74" s="296">
        <f>CK43-CJ43-CK71</f>
        <v>-375.49999999999983</v>
      </c>
      <c r="CL74" s="588">
        <f>CL43-CK43-CL71</f>
        <v>-219.83353065</v>
      </c>
      <c r="CM74" s="588">
        <f>CM43-CL43-CM71</f>
        <v>-214.67109065000011</v>
      </c>
      <c r="CN74" s="588">
        <f>CN43-CM43-CN71</f>
        <v>-213.40865065000003</v>
      </c>
      <c r="CO74" s="589">
        <f>CO43-CJ43-CO71</f>
        <v>-1023.41327195</v>
      </c>
      <c r="CP74" s="588">
        <f>CP43-CO43-CP71</f>
        <v>-224.41786275259153</v>
      </c>
      <c r="CQ74" s="588">
        <f>CQ43-CP43-CQ71</f>
        <v>-236.91533635500002</v>
      </c>
      <c r="CR74" s="588">
        <f>CR43-CQ43-CR71</f>
        <v>-236.60355763500002</v>
      </c>
      <c r="CS74" s="588">
        <f>CS43-CR43-CS71</f>
        <v>-235.29177891500012</v>
      </c>
      <c r="CT74" s="589">
        <f>CT43-CO43-CT71</f>
        <v>-933.22853565759169</v>
      </c>
      <c r="CU74" s="588">
        <f>CU43-CT43-CU71</f>
        <v>-258.40188865590346</v>
      </c>
      <c r="CV74" s="588">
        <f>CV43-CU43-CV71</f>
        <v>-260.99315172681997</v>
      </c>
      <c r="CW74" s="588">
        <f>CW43-CV43-CW71</f>
        <v>-260.62275860746007</v>
      </c>
      <c r="CX74" s="588">
        <f>CX43-CW43-CX71</f>
        <v>-259.25236548809983</v>
      </c>
      <c r="CY74" s="589">
        <f>CY43-CT43-CY71</f>
        <v>-1039.2701644782833</v>
      </c>
      <c r="CZ74" s="588">
        <f>CZ43-CY43-CZ71</f>
        <v>-294.49240499338396</v>
      </c>
      <c r="DA74" s="588">
        <f>DA43-CZ43-DA71</f>
        <v>-286.37616960225017</v>
      </c>
      <c r="DB74" s="588">
        <f>DB43-DA43-DB71</f>
        <v>-285.93614257645044</v>
      </c>
      <c r="DC74" s="588">
        <f>DC43-DB43-DC71</f>
        <v>-285.49611555065093</v>
      </c>
      <c r="DD74" s="589">
        <f>DD43-CY43-DD71</f>
        <v>-1152.3008327227355</v>
      </c>
      <c r="DE74" s="588">
        <f>DE43-DD43-DE71</f>
        <v>-320.42264086537847</v>
      </c>
      <c r="DF74" s="588">
        <f>DF43-DE43-DF71</f>
        <v>-315.79442537334035</v>
      </c>
      <c r="DG74" s="588">
        <f>DG43-DF43-DG71</f>
        <v>-315.27167326668985</v>
      </c>
      <c r="DH74" s="588">
        <f>DH43-DG43-DH71</f>
        <v>-314.74892116003991</v>
      </c>
      <c r="DI74" s="589">
        <f>DI43-DD43-DI71</f>
        <v>-1266.2376606654486</v>
      </c>
      <c r="DJ74" s="588">
        <f>DJ43-DI43-DJ71</f>
        <v>-369.48119809263659</v>
      </c>
      <c r="DK74" s="588">
        <f>DK43-DJ43-DK71</f>
        <v>-348.00086681798177</v>
      </c>
      <c r="DL74" s="588">
        <f>DL43-DK43-DL71</f>
        <v>-347.37983731528152</v>
      </c>
      <c r="DM74" s="588">
        <f>DM43-DL43-DM71</f>
        <v>-346.75880781258138</v>
      </c>
      <c r="DN74" s="589">
        <f>DN43-DI43-DN71</f>
        <v>-1411.6207100384813</v>
      </c>
      <c r="DO74" s="588">
        <f>DO43-DN43-DO71</f>
        <v>-409.78021494416231</v>
      </c>
      <c r="DP74" s="588">
        <f>DP43-DO43-DP71</f>
        <v>-383.27362820166127</v>
      </c>
      <c r="DQ74" s="588">
        <f>DQ43-DP43-DQ71</f>
        <v>-382.53584515245313</v>
      </c>
      <c r="DR74" s="588">
        <f>DR43-DQ43-DR71</f>
        <v>-381.79806210324546</v>
      </c>
      <c r="DS74" s="589">
        <f>DS43-DN43-DS71</f>
        <v>-1557.3877504015222</v>
      </c>
      <c r="DT74" s="588">
        <f>DT43-DS43-DT71</f>
        <v>-438.16359707549577</v>
      </c>
      <c r="DU74" s="588">
        <f>DU43-DT43-DU71</f>
        <v>-421.91852856766241</v>
      </c>
      <c r="DV74" s="588">
        <f>DV43-DU43-DV71</f>
        <v>-421.04204230520247</v>
      </c>
      <c r="DW74" s="588">
        <f>DW43-DV43-DW71</f>
        <v>-420.16555604274424</v>
      </c>
      <c r="DX74" s="589">
        <f>DX43-DS43-DX71</f>
        <v>-1701.2897239911049</v>
      </c>
      <c r="DY74" s="16"/>
      <c r="DZ74" s="16"/>
      <c r="EA74" s="16"/>
      <c r="EB74" s="16"/>
      <c r="EC74" s="16"/>
      <c r="ED74" s="16"/>
      <c r="EE74" s="16"/>
      <c r="EF74" s="16"/>
    </row>
    <row r="75" spans="1:136" x14ac:dyDescent="0.2">
      <c r="A75" s="586" t="s">
        <v>19</v>
      </c>
      <c r="B75" s="16"/>
      <c r="C75" s="16"/>
      <c r="D75" s="16"/>
      <c r="E75" s="16"/>
      <c r="F75" s="16"/>
      <c r="G75" s="16"/>
      <c r="H75" s="16"/>
      <c r="I75" s="16"/>
      <c r="J75" s="16"/>
      <c r="K75" s="16"/>
      <c r="L75" s="16"/>
      <c r="M75" s="16"/>
      <c r="N75" s="16"/>
      <c r="O75" s="16"/>
      <c r="P75" s="16"/>
      <c r="Q75" s="16"/>
      <c r="R75" s="16"/>
      <c r="S75" s="16"/>
      <c r="T75" s="16"/>
      <c r="U75" s="16"/>
      <c r="V75" s="268"/>
      <c r="W75" s="267"/>
      <c r="X75" s="267"/>
      <c r="Y75" s="267"/>
      <c r="Z75" s="267"/>
      <c r="AA75" s="268">
        <f t="shared" ref="AA75:BK75" si="226">SUM(AA70:AA74)</f>
        <v>567</v>
      </c>
      <c r="AB75" s="267">
        <f t="shared" si="226"/>
        <v>599</v>
      </c>
      <c r="AC75" s="267">
        <f t="shared" si="226"/>
        <v>638</v>
      </c>
      <c r="AD75" s="267">
        <f t="shared" si="226"/>
        <v>673</v>
      </c>
      <c r="AE75" s="267">
        <f t="shared" si="226"/>
        <v>716</v>
      </c>
      <c r="AF75" s="268">
        <f t="shared" si="226"/>
        <v>716</v>
      </c>
      <c r="AG75" s="267">
        <f t="shared" si="226"/>
        <v>747</v>
      </c>
      <c r="AH75" s="267">
        <f t="shared" si="226"/>
        <v>789</v>
      </c>
      <c r="AI75" s="267">
        <f t="shared" si="226"/>
        <v>789</v>
      </c>
      <c r="AJ75" s="267">
        <f t="shared" si="226"/>
        <v>845</v>
      </c>
      <c r="AK75" s="268">
        <f t="shared" si="226"/>
        <v>845</v>
      </c>
      <c r="AL75" s="267">
        <f t="shared" si="226"/>
        <v>876</v>
      </c>
      <c r="AM75" s="267">
        <f t="shared" si="226"/>
        <v>888</v>
      </c>
      <c r="AN75" s="267">
        <f t="shared" si="226"/>
        <v>929</v>
      </c>
      <c r="AO75" s="267">
        <f t="shared" si="226"/>
        <v>974.8</v>
      </c>
      <c r="AP75" s="268">
        <f t="shared" si="226"/>
        <v>974.8</v>
      </c>
      <c r="AQ75" s="267">
        <f t="shared" si="226"/>
        <v>1018.8999999999999</v>
      </c>
      <c r="AR75" s="267">
        <f t="shared" si="226"/>
        <v>1067.1999999999998</v>
      </c>
      <c r="AS75" s="267">
        <f t="shared" si="226"/>
        <v>1111</v>
      </c>
      <c r="AT75" s="267">
        <f t="shared" si="226"/>
        <v>1128.4000000000001</v>
      </c>
      <c r="AU75" s="268">
        <f t="shared" si="226"/>
        <v>1128.3999999999999</v>
      </c>
      <c r="AV75" s="280"/>
      <c r="AW75" s="267"/>
      <c r="AX75" s="267">
        <f t="shared" si="226"/>
        <v>1128.3999999999999</v>
      </c>
      <c r="AY75" s="267">
        <f t="shared" si="226"/>
        <v>1198.1999999999998</v>
      </c>
      <c r="AZ75" s="267">
        <f t="shared" si="226"/>
        <v>1444.0999999999997</v>
      </c>
      <c r="BA75" s="268">
        <f t="shared" si="226"/>
        <v>1444.0999999999997</v>
      </c>
      <c r="BB75" s="267">
        <f t="shared" si="226"/>
        <v>1495.5</v>
      </c>
      <c r="BC75" s="267">
        <f t="shared" si="226"/>
        <v>1553.6000000000001</v>
      </c>
      <c r="BD75" s="267">
        <f t="shared" si="226"/>
        <v>1493.5</v>
      </c>
      <c r="BE75" s="267">
        <f t="shared" si="226"/>
        <v>1049.1999999999998</v>
      </c>
      <c r="BF75" s="268">
        <f t="shared" si="226"/>
        <v>1049.2</v>
      </c>
      <c r="BG75" s="267">
        <f t="shared" si="226"/>
        <v>1500.7000000000003</v>
      </c>
      <c r="BH75" s="267">
        <f t="shared" si="226"/>
        <v>1095.1999999999998</v>
      </c>
      <c r="BI75" s="267">
        <f t="shared" si="226"/>
        <v>1120.9000000000001</v>
      </c>
      <c r="BJ75" s="267">
        <f t="shared" si="226"/>
        <v>1175</v>
      </c>
      <c r="BK75" s="268">
        <f t="shared" si="226"/>
        <v>1175.0000000000002</v>
      </c>
      <c r="BL75" s="267">
        <f t="shared" ref="BL75:BS75" si="227">SUM(BL70:BL74)</f>
        <v>1193.2</v>
      </c>
      <c r="BM75" s="267">
        <f t="shared" si="227"/>
        <v>1315.6000000000001</v>
      </c>
      <c r="BN75" s="267">
        <f t="shared" si="227"/>
        <v>1398.6000000000001</v>
      </c>
      <c r="BO75" s="267">
        <f t="shared" si="227"/>
        <v>1516.2</v>
      </c>
      <c r="BP75" s="268">
        <f t="shared" si="227"/>
        <v>1516.2000000000003</v>
      </c>
      <c r="BQ75" s="267">
        <f t="shared" si="227"/>
        <v>1523.8000000000002</v>
      </c>
      <c r="BR75" s="267">
        <f t="shared" si="227"/>
        <v>1537.4999999999998</v>
      </c>
      <c r="BS75" s="267">
        <f t="shared" si="227"/>
        <v>1381.1000000000001</v>
      </c>
      <c r="BT75" s="267">
        <f t="shared" ref="BT75:BU75" si="228">SUM(BT70:BT74)</f>
        <v>1870.9</v>
      </c>
      <c r="BU75" s="268">
        <f t="shared" si="228"/>
        <v>1870.8999999999999</v>
      </c>
      <c r="BV75" s="267">
        <f t="shared" ref="BV75:DA75" si="229">SUM(BV70:BV74)</f>
        <v>3979.9999999999986</v>
      </c>
      <c r="BW75" s="1369">
        <f t="shared" si="229"/>
        <v>3533.4999999999995</v>
      </c>
      <c r="BX75" s="267">
        <f t="shared" si="229"/>
        <v>6750.7999999999984</v>
      </c>
      <c r="BY75" s="267">
        <f t="shared" si="229"/>
        <v>6484.4</v>
      </c>
      <c r="BZ75" s="268">
        <f t="shared" si="229"/>
        <v>3788.9</v>
      </c>
      <c r="CA75" s="267">
        <f t="shared" ref="CA75:CC75" si="230">SUM(CA70:CA74)</f>
        <v>6475.5000000000009</v>
      </c>
      <c r="CB75" s="267">
        <f t="shared" si="230"/>
        <v>6734.9000000000015</v>
      </c>
      <c r="CC75" s="267">
        <f t="shared" si="230"/>
        <v>6822.1</v>
      </c>
      <c r="CD75" s="267">
        <f t="shared" si="229"/>
        <v>6810.3000000000011</v>
      </c>
      <c r="CE75" s="268">
        <f t="shared" si="229"/>
        <v>6575.6</v>
      </c>
      <c r="CF75" s="267">
        <f t="shared" si="229"/>
        <v>6856.8</v>
      </c>
      <c r="CG75" s="267">
        <f t="shared" si="229"/>
        <v>7043.0999999999995</v>
      </c>
      <c r="CH75" s="267">
        <f t="shared" si="229"/>
        <v>7384.3</v>
      </c>
      <c r="CI75" s="267">
        <f t="shared" si="229"/>
        <v>7664.0000000000009</v>
      </c>
      <c r="CJ75" s="268">
        <f t="shared" si="229"/>
        <v>7309.5000000000018</v>
      </c>
      <c r="CK75" s="267">
        <f t="shared" si="229"/>
        <v>4412.2</v>
      </c>
      <c r="CL75" s="269">
        <f t="shared" si="229"/>
        <v>4287.7307474949284</v>
      </c>
      <c r="CM75" s="269">
        <f t="shared" si="229"/>
        <v>4382.5368126005878</v>
      </c>
      <c r="CN75" s="269">
        <f t="shared" si="229"/>
        <v>4498.4040366884456</v>
      </c>
      <c r="CO75" s="587">
        <f t="shared" si="229"/>
        <v>4668.2040366884457</v>
      </c>
      <c r="CP75" s="269">
        <f t="shared" si="229"/>
        <v>4549.2758899550754</v>
      </c>
      <c r="CQ75" s="269">
        <f t="shared" si="229"/>
        <v>4627.0810806006048</v>
      </c>
      <c r="CR75" s="269">
        <f t="shared" si="229"/>
        <v>4750.6489378309179</v>
      </c>
      <c r="CS75" s="269">
        <f t="shared" si="229"/>
        <v>4898.5853100865897</v>
      </c>
      <c r="CT75" s="587">
        <f t="shared" si="229"/>
        <v>4898.5853100865916</v>
      </c>
      <c r="CU75" s="269">
        <f t="shared" si="229"/>
        <v>4950.8019910707626</v>
      </c>
      <c r="CV75" s="269">
        <f t="shared" si="229"/>
        <v>5056.2945228921699</v>
      </c>
      <c r="CW75" s="269">
        <f t="shared" si="229"/>
        <v>5211.9089960065212</v>
      </c>
      <c r="CX75" s="269">
        <f t="shared" si="229"/>
        <v>5394.7664001708108</v>
      </c>
      <c r="CY75" s="587">
        <f t="shared" si="229"/>
        <v>5394.7664001708108</v>
      </c>
      <c r="CZ75" s="269">
        <f t="shared" si="229"/>
        <v>5470.0991919493335</v>
      </c>
      <c r="DA75" s="269">
        <f t="shared" si="229"/>
        <v>5597.2088122102878</v>
      </c>
      <c r="DB75" s="269">
        <f t="shared" ref="DB75:DS75" si="231">SUM(DB70:DB74)</f>
        <v>5781.0754946160032</v>
      </c>
      <c r="DC75" s="269">
        <f t="shared" si="231"/>
        <v>5965.8695712649833</v>
      </c>
      <c r="DD75" s="587">
        <f t="shared" si="231"/>
        <v>5965.8695712649842</v>
      </c>
      <c r="DE75" s="269">
        <f t="shared" si="231"/>
        <v>6069.4431067076594</v>
      </c>
      <c r="DF75" s="269">
        <f t="shared" si="231"/>
        <v>6223.5825739748507</v>
      </c>
      <c r="DG75" s="269">
        <f t="shared" si="231"/>
        <v>6442.3211829638667</v>
      </c>
      <c r="DH75" s="269">
        <f t="shared" si="231"/>
        <v>6693.0529072623422</v>
      </c>
      <c r="DI75" s="587">
        <f t="shared" si="231"/>
        <v>6693.0529072623422</v>
      </c>
      <c r="DJ75" s="269">
        <f t="shared" si="231"/>
        <v>6802.696050958456</v>
      </c>
      <c r="DK75" s="269">
        <f t="shared" si="231"/>
        <v>6986.9943034698108</v>
      </c>
      <c r="DL75" s="269">
        <f t="shared" si="231"/>
        <v>7241.1788777888214</v>
      </c>
      <c r="DM75" s="269">
        <f t="shared" si="231"/>
        <v>7530.173323837178</v>
      </c>
      <c r="DN75" s="587">
        <f t="shared" si="231"/>
        <v>7530.173323837178</v>
      </c>
      <c r="DO75" s="269">
        <f t="shared" si="231"/>
        <v>7620.4238674543712</v>
      </c>
      <c r="DP75" s="269">
        <f t="shared" si="231"/>
        <v>7785.1341691642301</v>
      </c>
      <c r="DQ75" s="269">
        <f t="shared" si="231"/>
        <v>8033.9992178695775</v>
      </c>
      <c r="DR75" s="269">
        <f t="shared" si="231"/>
        <v>8324.6509584334362</v>
      </c>
      <c r="DS75" s="587">
        <f t="shared" si="231"/>
        <v>8324.6509584334381</v>
      </c>
      <c r="DT75" s="269">
        <f t="shared" ref="DT75:DX75" si="232">SUM(DT70:DT74)</f>
        <v>8456.6285792163726</v>
      </c>
      <c r="DU75" s="269">
        <f t="shared" si="232"/>
        <v>8663.8090872870835</v>
      </c>
      <c r="DV75" s="269">
        <f t="shared" si="232"/>
        <v>8948.1504324088764</v>
      </c>
      <c r="DW75" s="269">
        <f t="shared" si="232"/>
        <v>9277.8638473705669</v>
      </c>
      <c r="DX75" s="587">
        <f t="shared" si="232"/>
        <v>9277.8638473705687</v>
      </c>
      <c r="DY75" s="16"/>
      <c r="DZ75" s="16"/>
      <c r="EA75" s="16"/>
      <c r="EB75" s="16"/>
      <c r="EC75" s="16"/>
      <c r="ED75" s="16"/>
      <c r="EE75" s="16"/>
      <c r="EF75" s="16"/>
    </row>
    <row r="76" spans="1:136" x14ac:dyDescent="0.2">
      <c r="A76" s="19"/>
      <c r="B76" s="16"/>
      <c r="C76" s="16"/>
      <c r="D76" s="16"/>
      <c r="E76" s="16"/>
      <c r="F76" s="16"/>
      <c r="G76" s="16"/>
      <c r="H76" s="16"/>
      <c r="I76" s="16"/>
      <c r="J76" s="16"/>
      <c r="K76" s="16"/>
      <c r="L76" s="16"/>
      <c r="M76" s="16"/>
      <c r="N76" s="16"/>
      <c r="O76" s="16"/>
      <c r="P76" s="16"/>
      <c r="Q76" s="16"/>
      <c r="R76" s="16"/>
      <c r="S76" s="16"/>
      <c r="T76" s="16"/>
      <c r="U76" s="16"/>
      <c r="V76" s="16"/>
      <c r="W76" s="16"/>
      <c r="X76" s="16"/>
      <c r="Y76" s="16"/>
      <c r="Z76" s="16"/>
      <c r="AA76" s="16">
        <f t="shared" ref="AA76:AU76" si="233">AA47-AA75</f>
        <v>0</v>
      </c>
      <c r="AB76" s="16">
        <f t="shared" si="233"/>
        <v>0</v>
      </c>
      <c r="AC76" s="16">
        <f t="shared" si="233"/>
        <v>0</v>
      </c>
      <c r="AD76" s="16">
        <f t="shared" si="233"/>
        <v>0</v>
      </c>
      <c r="AE76" s="150">
        <f t="shared" si="233"/>
        <v>0</v>
      </c>
      <c r="AF76" s="16">
        <f t="shared" si="233"/>
        <v>0</v>
      </c>
      <c r="AG76" s="16">
        <f t="shared" si="233"/>
        <v>0</v>
      </c>
      <c r="AH76" s="16">
        <f t="shared" si="233"/>
        <v>0</v>
      </c>
      <c r="AI76" s="16">
        <f t="shared" si="233"/>
        <v>0</v>
      </c>
      <c r="AJ76" s="16">
        <f t="shared" si="233"/>
        <v>0</v>
      </c>
      <c r="AK76" s="16">
        <f t="shared" si="233"/>
        <v>0</v>
      </c>
      <c r="AL76" s="16">
        <f t="shared" si="233"/>
        <v>0</v>
      </c>
      <c r="AM76" s="16">
        <f t="shared" si="233"/>
        <v>0</v>
      </c>
      <c r="AN76" s="16">
        <f t="shared" si="233"/>
        <v>0</v>
      </c>
      <c r="AO76" s="16">
        <f t="shared" si="233"/>
        <v>0</v>
      </c>
      <c r="AP76" s="16">
        <f t="shared" si="233"/>
        <v>0</v>
      </c>
      <c r="AQ76" s="16">
        <f t="shared" si="233"/>
        <v>0</v>
      </c>
      <c r="AR76" s="16">
        <f t="shared" si="233"/>
        <v>0</v>
      </c>
      <c r="AS76" s="16">
        <f t="shared" si="233"/>
        <v>0</v>
      </c>
      <c r="AT76" s="16">
        <f t="shared" si="233"/>
        <v>0</v>
      </c>
      <c r="AU76" s="16">
        <f t="shared" si="233"/>
        <v>0</v>
      </c>
      <c r="AV76" s="247"/>
      <c r="AW76" s="16"/>
      <c r="AX76" s="16">
        <f t="shared" ref="AX76:CA76" si="234">AX47-AX75</f>
        <v>0</v>
      </c>
      <c r="AY76" s="16">
        <f t="shared" si="234"/>
        <v>0</v>
      </c>
      <c r="AZ76" s="16">
        <f t="shared" si="234"/>
        <v>0</v>
      </c>
      <c r="BA76" s="16">
        <f t="shared" si="234"/>
        <v>0</v>
      </c>
      <c r="BB76" s="16">
        <f t="shared" si="234"/>
        <v>0</v>
      </c>
      <c r="BC76" s="16">
        <f t="shared" si="234"/>
        <v>0</v>
      </c>
      <c r="BD76" s="16">
        <f t="shared" si="234"/>
        <v>0</v>
      </c>
      <c r="BE76" s="16">
        <f t="shared" si="234"/>
        <v>0</v>
      </c>
      <c r="BF76" s="16">
        <f t="shared" si="234"/>
        <v>0</v>
      </c>
      <c r="BG76" s="16">
        <f t="shared" si="234"/>
        <v>0</v>
      </c>
      <c r="BH76" s="16">
        <f t="shared" si="234"/>
        <v>0</v>
      </c>
      <c r="BI76" s="16">
        <f t="shared" si="234"/>
        <v>0</v>
      </c>
      <c r="BJ76" s="16">
        <f t="shared" si="234"/>
        <v>0</v>
      </c>
      <c r="BK76" s="16">
        <f t="shared" si="234"/>
        <v>0</v>
      </c>
      <c r="BL76" s="16">
        <f t="shared" si="234"/>
        <v>0</v>
      </c>
      <c r="BM76" s="16">
        <f t="shared" si="234"/>
        <v>0</v>
      </c>
      <c r="BN76" s="16">
        <f t="shared" si="234"/>
        <v>0</v>
      </c>
      <c r="BO76" s="16">
        <f t="shared" si="234"/>
        <v>0</v>
      </c>
      <c r="BP76" s="16">
        <f t="shared" si="234"/>
        <v>0</v>
      </c>
      <c r="BQ76" s="16">
        <f t="shared" si="234"/>
        <v>0</v>
      </c>
      <c r="BR76" s="16">
        <f t="shared" si="234"/>
        <v>0</v>
      </c>
      <c r="BS76" s="16">
        <f t="shared" si="234"/>
        <v>0</v>
      </c>
      <c r="BT76" s="78">
        <f>BT47-BT75</f>
        <v>2452.2999999999997</v>
      </c>
      <c r="BU76" s="16">
        <f t="shared" si="234"/>
        <v>2452.3000000000002</v>
      </c>
      <c r="BV76" s="16">
        <f t="shared" si="234"/>
        <v>-463.29999999999882</v>
      </c>
      <c r="BW76" s="1353">
        <f t="shared" si="234"/>
        <v>3307.7999999999997</v>
      </c>
      <c r="BX76" s="1585">
        <f t="shared" si="234"/>
        <v>-148.99999999999818</v>
      </c>
      <c r="BY76" s="16">
        <f t="shared" si="234"/>
        <v>-274.69999999999891</v>
      </c>
      <c r="BZ76" s="16">
        <f t="shared" si="234"/>
        <v>2420.8000000000006</v>
      </c>
      <c r="CA76" s="16">
        <f t="shared" si="234"/>
        <v>160.19999999999982</v>
      </c>
      <c r="CB76" s="16">
        <f t="shared" ref="CB76:CC76" si="235">CB47-CB75</f>
        <v>80.499999999999091</v>
      </c>
      <c r="CC76" s="1193">
        <f t="shared" si="235"/>
        <v>-6</v>
      </c>
      <c r="CD76" s="16">
        <f t="shared" ref="CD76:DI76" si="236">CD47-CD75</f>
        <v>-24.700000000000728</v>
      </c>
      <c r="CE76" s="16">
        <f t="shared" si="236"/>
        <v>210</v>
      </c>
      <c r="CF76" s="16">
        <f t="shared" si="236"/>
        <v>37.499999999999091</v>
      </c>
      <c r="CG76" s="16">
        <f t="shared" si="236"/>
        <v>128.10000000000036</v>
      </c>
      <c r="CH76" s="16">
        <f t="shared" si="236"/>
        <v>188.90000000000055</v>
      </c>
      <c r="CI76" s="204">
        <f>CI47-CI75</f>
        <v>-3103.4000000000005</v>
      </c>
      <c r="CJ76" s="16">
        <f t="shared" si="236"/>
        <v>-2748.9000000000015</v>
      </c>
      <c r="CK76" s="16">
        <f t="shared" si="236"/>
        <v>-169.80000000000018</v>
      </c>
      <c r="CL76" s="16">
        <f t="shared" si="236"/>
        <v>0</v>
      </c>
      <c r="CM76" s="16">
        <f t="shared" si="236"/>
        <v>0</v>
      </c>
      <c r="CN76" s="16">
        <f t="shared" si="236"/>
        <v>0</v>
      </c>
      <c r="CO76" s="16">
        <f t="shared" si="236"/>
        <v>-169.80000000000018</v>
      </c>
      <c r="CP76" s="16">
        <f t="shared" si="236"/>
        <v>0</v>
      </c>
      <c r="CQ76" s="16">
        <f t="shared" si="236"/>
        <v>0</v>
      </c>
      <c r="CR76" s="16">
        <f t="shared" si="236"/>
        <v>0</v>
      </c>
      <c r="CS76" s="16">
        <f t="shared" si="236"/>
        <v>0</v>
      </c>
      <c r="CT76" s="16">
        <f t="shared" si="236"/>
        <v>0</v>
      </c>
      <c r="CU76" s="16">
        <f t="shared" si="236"/>
        <v>0</v>
      </c>
      <c r="CV76" s="16">
        <f t="shared" si="236"/>
        <v>0</v>
      </c>
      <c r="CW76" s="16">
        <f t="shared" si="236"/>
        <v>0</v>
      </c>
      <c r="CX76" s="16">
        <f t="shared" si="236"/>
        <v>0</v>
      </c>
      <c r="CY76" s="16">
        <f t="shared" si="236"/>
        <v>0</v>
      </c>
      <c r="CZ76" s="16">
        <f t="shared" si="236"/>
        <v>0</v>
      </c>
      <c r="DA76" s="16">
        <f t="shared" si="236"/>
        <v>0</v>
      </c>
      <c r="DB76" s="16">
        <f t="shared" si="236"/>
        <v>0</v>
      </c>
      <c r="DC76" s="16">
        <f t="shared" si="236"/>
        <v>0</v>
      </c>
      <c r="DD76" s="16">
        <f t="shared" si="236"/>
        <v>0</v>
      </c>
      <c r="DE76" s="16">
        <f t="shared" si="236"/>
        <v>0</v>
      </c>
      <c r="DF76" s="16">
        <f t="shared" si="236"/>
        <v>0</v>
      </c>
      <c r="DG76" s="16">
        <f t="shared" si="236"/>
        <v>0</v>
      </c>
      <c r="DH76" s="16">
        <f t="shared" si="236"/>
        <v>0</v>
      </c>
      <c r="DI76" s="16">
        <f t="shared" si="236"/>
        <v>0</v>
      </c>
      <c r="DJ76" s="16">
        <f t="shared" ref="DJ76:DS76" si="237">DJ47-DJ75</f>
        <v>0</v>
      </c>
      <c r="DK76" s="16">
        <f t="shared" si="237"/>
        <v>0</v>
      </c>
      <c r="DL76" s="16">
        <f t="shared" si="237"/>
        <v>0</v>
      </c>
      <c r="DM76" s="16">
        <f t="shared" si="237"/>
        <v>0</v>
      </c>
      <c r="DN76" s="16">
        <f t="shared" si="237"/>
        <v>0</v>
      </c>
      <c r="DO76" s="16">
        <f t="shared" si="237"/>
        <v>0</v>
      </c>
      <c r="DP76" s="16">
        <f t="shared" si="237"/>
        <v>0</v>
      </c>
      <c r="DQ76" s="16">
        <f t="shared" si="237"/>
        <v>0</v>
      </c>
      <c r="DR76" s="16">
        <f t="shared" si="237"/>
        <v>0</v>
      </c>
      <c r="DS76" s="16">
        <f t="shared" si="237"/>
        <v>0</v>
      </c>
      <c r="DT76" s="16">
        <f t="shared" ref="DT76:DX76" si="238">DT47-DT75</f>
        <v>0</v>
      </c>
      <c r="DU76" s="16">
        <f t="shared" si="238"/>
        <v>0</v>
      </c>
      <c r="DV76" s="16">
        <f t="shared" si="238"/>
        <v>0</v>
      </c>
      <c r="DW76" s="16">
        <f t="shared" si="238"/>
        <v>0</v>
      </c>
      <c r="DX76" s="16">
        <f t="shared" si="238"/>
        <v>0</v>
      </c>
      <c r="DY76" s="16"/>
      <c r="DZ76" s="16"/>
      <c r="EA76" s="16"/>
      <c r="EB76" s="16"/>
      <c r="EC76" s="16"/>
      <c r="ED76" s="16"/>
      <c r="EE76" s="16"/>
      <c r="EF76" s="16"/>
    </row>
    <row r="77" spans="1:136" x14ac:dyDescent="0.2">
      <c r="A77" s="19"/>
      <c r="B77" s="16"/>
      <c r="C77" s="16"/>
      <c r="D77" s="16"/>
      <c r="E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50"/>
      <c r="AF77" s="16"/>
      <c r="AG77" s="16"/>
      <c r="AH77" s="16"/>
      <c r="AI77" s="16"/>
      <c r="AJ77" s="16"/>
      <c r="AK77" s="16"/>
      <c r="AL77" s="16"/>
      <c r="AM77" s="16"/>
      <c r="AN77" s="16"/>
      <c r="AO77" s="16"/>
      <c r="AP77" s="16"/>
      <c r="AQ77" s="16"/>
      <c r="AR77" s="16"/>
      <c r="AS77" s="16"/>
      <c r="AT77" s="16"/>
      <c r="AU77" s="16"/>
      <c r="AV77" s="247"/>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353"/>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6"/>
      <c r="DT77" s="16"/>
      <c r="DU77" s="16"/>
      <c r="DV77" s="16"/>
      <c r="DW77" s="16"/>
      <c r="DX77" s="16"/>
      <c r="DY77" s="16"/>
      <c r="DZ77" s="16"/>
      <c r="EA77" s="16"/>
      <c r="EB77" s="16"/>
      <c r="EC77" s="16"/>
      <c r="ED77" s="16"/>
      <c r="EE77" s="16"/>
      <c r="EF77" s="16"/>
    </row>
    <row r="78" spans="1:136" x14ac:dyDescent="0.2">
      <c r="A78" s="27" t="s">
        <v>670</v>
      </c>
      <c r="B78" s="807"/>
      <c r="C78" s="807"/>
      <c r="D78" s="807"/>
      <c r="E78" s="807"/>
      <c r="F78" s="807"/>
      <c r="G78" s="807"/>
      <c r="H78" s="807"/>
      <c r="I78" s="807"/>
      <c r="J78" s="807"/>
      <c r="K78" s="807"/>
      <c r="L78" s="807"/>
      <c r="M78" s="807"/>
      <c r="N78" s="807"/>
      <c r="O78" s="807"/>
      <c r="P78" s="807"/>
      <c r="Q78" s="807"/>
      <c r="R78" s="807"/>
      <c r="S78" s="807"/>
      <c r="T78" s="807"/>
      <c r="U78" s="807"/>
      <c r="V78" s="807"/>
      <c r="W78" s="807"/>
      <c r="X78" s="807"/>
      <c r="Y78" s="807"/>
      <c r="Z78" s="807"/>
      <c r="AA78" s="807"/>
      <c r="AB78" s="807"/>
      <c r="AC78" s="807"/>
      <c r="AD78" s="807"/>
      <c r="AE78" s="807"/>
      <c r="AF78" s="807"/>
      <c r="AG78" s="807"/>
      <c r="AH78" s="807"/>
      <c r="AI78" s="807"/>
      <c r="AJ78" s="807"/>
      <c r="AK78" s="807"/>
      <c r="AL78" s="807"/>
      <c r="AM78" s="807"/>
      <c r="AN78" s="807"/>
      <c r="AO78" s="807"/>
      <c r="AP78" s="807"/>
      <c r="AQ78" s="807"/>
      <c r="AR78" s="807"/>
      <c r="AS78" s="807"/>
      <c r="AT78" s="807"/>
      <c r="AU78" s="807"/>
      <c r="AV78" s="280"/>
      <c r="AW78" s="807"/>
      <c r="AX78" s="807"/>
      <c r="AY78" s="807"/>
      <c r="AZ78" s="807"/>
      <c r="BA78" s="807"/>
      <c r="BB78" s="807"/>
      <c r="BC78" s="807"/>
      <c r="BD78" s="807"/>
      <c r="BE78" s="807"/>
      <c r="BF78" s="807"/>
      <c r="BG78" s="807"/>
      <c r="BH78" s="807"/>
      <c r="BI78" s="807"/>
      <c r="BJ78" s="807"/>
      <c r="BK78" s="807"/>
      <c r="BL78" s="807"/>
      <c r="BM78" s="807"/>
      <c r="BN78" s="807"/>
      <c r="BO78" s="807"/>
      <c r="BP78" s="807"/>
      <c r="BQ78" s="807"/>
      <c r="BR78" s="807"/>
      <c r="BS78" s="807"/>
      <c r="BT78" s="807"/>
      <c r="BU78" s="807"/>
      <c r="BV78" s="1572"/>
      <c r="BW78" s="1572"/>
      <c r="BX78" s="1572"/>
      <c r="BY78" s="1572"/>
      <c r="BZ78" s="1572"/>
      <c r="CA78" s="1572"/>
      <c r="CB78" s="1572"/>
      <c r="CC78" s="1572"/>
      <c r="CD78" s="807"/>
      <c r="CE78" s="807"/>
      <c r="CF78" s="807"/>
      <c r="CG78" s="807"/>
      <c r="CH78" s="807"/>
      <c r="CI78" s="807"/>
      <c r="CJ78" s="807"/>
      <c r="CK78" s="807"/>
      <c r="CL78" s="807"/>
      <c r="CM78" s="807"/>
      <c r="CN78" s="1571">
        <f>+CN102-CN33</f>
        <v>0</v>
      </c>
      <c r="CO78" s="1571">
        <f t="shared" ref="CO78:DX78" si="239">+CO102-CO33</f>
        <v>0</v>
      </c>
      <c r="CP78" s="1571">
        <f t="shared" si="239"/>
        <v>0</v>
      </c>
      <c r="CQ78" s="1571">
        <f t="shared" si="239"/>
        <v>0</v>
      </c>
      <c r="CR78" s="1571">
        <f t="shared" si="239"/>
        <v>0</v>
      </c>
      <c r="CS78" s="1571">
        <f t="shared" si="239"/>
        <v>0</v>
      </c>
      <c r="CT78" s="1571">
        <f t="shared" si="239"/>
        <v>0</v>
      </c>
      <c r="CU78" s="1571">
        <f t="shared" si="239"/>
        <v>0</v>
      </c>
      <c r="CV78" s="1571">
        <f t="shared" si="239"/>
        <v>0</v>
      </c>
      <c r="CW78" s="1571">
        <f t="shared" si="239"/>
        <v>0</v>
      </c>
      <c r="CX78" s="1571">
        <f t="shared" si="239"/>
        <v>0</v>
      </c>
      <c r="CY78" s="1571">
        <f t="shared" si="239"/>
        <v>0</v>
      </c>
      <c r="CZ78" s="1571">
        <f t="shared" si="239"/>
        <v>0</v>
      </c>
      <c r="DA78" s="1571">
        <f t="shared" si="239"/>
        <v>0</v>
      </c>
      <c r="DB78" s="1571">
        <f t="shared" si="239"/>
        <v>0</v>
      </c>
      <c r="DC78" s="1571">
        <f t="shared" si="239"/>
        <v>0</v>
      </c>
      <c r="DD78" s="1571">
        <f t="shared" si="239"/>
        <v>0</v>
      </c>
      <c r="DE78" s="1571">
        <f t="shared" si="239"/>
        <v>0</v>
      </c>
      <c r="DF78" s="1571">
        <f t="shared" si="239"/>
        <v>0</v>
      </c>
      <c r="DG78" s="1571">
        <f t="shared" si="239"/>
        <v>0</v>
      </c>
      <c r="DH78" s="1571">
        <f t="shared" si="239"/>
        <v>0</v>
      </c>
      <c r="DI78" s="1571">
        <f t="shared" si="239"/>
        <v>0</v>
      </c>
      <c r="DJ78" s="1571">
        <f t="shared" si="239"/>
        <v>0</v>
      </c>
      <c r="DK78" s="1571">
        <f t="shared" si="239"/>
        <v>0</v>
      </c>
      <c r="DL78" s="1571">
        <f t="shared" si="239"/>
        <v>0</v>
      </c>
      <c r="DM78" s="1571">
        <f t="shared" si="239"/>
        <v>0</v>
      </c>
      <c r="DN78" s="1571">
        <f t="shared" si="239"/>
        <v>0</v>
      </c>
      <c r="DO78" s="1571">
        <f t="shared" si="239"/>
        <v>0</v>
      </c>
      <c r="DP78" s="1571">
        <f t="shared" si="239"/>
        <v>0</v>
      </c>
      <c r="DQ78" s="1571">
        <f t="shared" si="239"/>
        <v>0</v>
      </c>
      <c r="DR78" s="1571">
        <f t="shared" si="239"/>
        <v>0</v>
      </c>
      <c r="DS78" s="1571">
        <f t="shared" si="239"/>
        <v>0</v>
      </c>
      <c r="DT78" s="1571">
        <f t="shared" si="239"/>
        <v>0</v>
      </c>
      <c r="DU78" s="1571">
        <f t="shared" si="239"/>
        <v>0</v>
      </c>
      <c r="DV78" s="1571">
        <f t="shared" si="239"/>
        <v>0</v>
      </c>
      <c r="DW78" s="1571">
        <f t="shared" si="239"/>
        <v>0</v>
      </c>
      <c r="DX78" s="1571">
        <f t="shared" si="239"/>
        <v>0</v>
      </c>
      <c r="DY78" s="16"/>
      <c r="DZ78" s="16"/>
      <c r="EA78" s="16"/>
      <c r="EB78" s="16"/>
      <c r="EC78" s="16"/>
      <c r="ED78" s="16"/>
      <c r="EE78" s="16"/>
      <c r="EF78" s="16"/>
    </row>
    <row r="79" spans="1:136" hidden="1" outlineLevel="1" x14ac:dyDescent="0.2">
      <c r="A79" s="82" t="s">
        <v>629</v>
      </c>
      <c r="B79" s="46"/>
      <c r="C79" s="46"/>
      <c r="D79" s="46"/>
      <c r="E79" s="46"/>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271"/>
      <c r="AW79" s="46"/>
      <c r="AX79" s="46"/>
      <c r="AY79" s="46"/>
      <c r="AZ79" s="46"/>
      <c r="BA79" s="48"/>
      <c r="BB79" s="46"/>
      <c r="BC79" s="46"/>
      <c r="BD79" s="46"/>
      <c r="BE79" s="46"/>
      <c r="BF79" s="48"/>
      <c r="BG79" s="46"/>
      <c r="BH79" s="46"/>
      <c r="BI79" s="46"/>
      <c r="BJ79" s="46"/>
      <c r="BK79" s="48"/>
      <c r="BL79" s="46"/>
      <c r="BM79" s="46"/>
      <c r="BN79" s="46"/>
      <c r="BO79" s="46"/>
      <c r="BP79" s="48"/>
      <c r="BQ79" s="820"/>
      <c r="BR79" s="820"/>
      <c r="BS79" s="820"/>
      <c r="BT79" s="820"/>
      <c r="BU79" s="48"/>
      <c r="BV79" s="46"/>
      <c r="BW79" s="1102"/>
      <c r="BX79" s="46"/>
      <c r="BY79" s="46"/>
      <c r="BZ79" s="48"/>
      <c r="CA79" s="46"/>
      <c r="CB79" s="46"/>
      <c r="CC79" s="46"/>
      <c r="CD79" s="46"/>
      <c r="CE79" s="48"/>
      <c r="CF79" s="46"/>
      <c r="CG79" s="46"/>
      <c r="CH79" s="46"/>
      <c r="CI79" s="46"/>
      <c r="CJ79" s="48"/>
      <c r="CK79" s="46"/>
      <c r="CL79" s="820"/>
      <c r="CM79" s="820"/>
      <c r="CN79" s="820"/>
      <c r="CO79" s="931"/>
      <c r="CP79" s="820"/>
      <c r="CQ79" s="820"/>
      <c r="CR79" s="820"/>
      <c r="CS79" s="820"/>
      <c r="CT79" s="931"/>
      <c r="CU79" s="820"/>
      <c r="CV79" s="820"/>
      <c r="CW79" s="820"/>
      <c r="CX79" s="820"/>
      <c r="CY79" s="931"/>
      <c r="CZ79" s="820"/>
      <c r="DA79" s="820"/>
      <c r="DB79" s="820"/>
      <c r="DC79" s="820"/>
      <c r="DD79" s="931"/>
      <c r="DE79" s="820"/>
      <c r="DF79" s="820"/>
      <c r="DG79" s="820"/>
      <c r="DH79" s="820"/>
      <c r="DI79" s="931"/>
      <c r="DJ79" s="820"/>
      <c r="DK79" s="820"/>
      <c r="DL79" s="820"/>
      <c r="DM79" s="820"/>
      <c r="DN79" s="931"/>
      <c r="DO79" s="820"/>
      <c r="DP79" s="820"/>
      <c r="DQ79" s="820"/>
      <c r="DR79" s="820"/>
      <c r="DS79" s="931"/>
      <c r="DT79" s="820"/>
      <c r="DU79" s="820"/>
      <c r="DV79" s="820"/>
      <c r="DW79" s="820"/>
      <c r="DX79" s="931"/>
      <c r="DY79" s="780"/>
      <c r="DZ79" s="780"/>
      <c r="EA79" s="780"/>
      <c r="EB79" s="780"/>
      <c r="EC79" s="780"/>
      <c r="ED79" s="780"/>
      <c r="EE79" s="780"/>
      <c r="EF79" s="780"/>
    </row>
    <row r="80" spans="1:136" hidden="1" outlineLevel="1" x14ac:dyDescent="0.2">
      <c r="A80" s="87" t="s">
        <v>771</v>
      </c>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244"/>
      <c r="AW80" s="38"/>
      <c r="AX80" s="38"/>
      <c r="AY80" s="38"/>
      <c r="AZ80" s="38"/>
      <c r="BA80" s="40"/>
      <c r="BB80" s="38"/>
      <c r="BC80" s="38"/>
      <c r="BD80" s="38"/>
      <c r="BE80" s="38"/>
      <c r="BF80" s="40"/>
      <c r="BG80" s="38"/>
      <c r="BH80" s="38"/>
      <c r="BI80" s="38"/>
      <c r="BJ80" s="38"/>
      <c r="BK80" s="40"/>
      <c r="BL80" s="38"/>
      <c r="BM80" s="38"/>
      <c r="BN80" s="38"/>
      <c r="BO80" s="38"/>
      <c r="BP80" s="40"/>
      <c r="BQ80" s="38"/>
      <c r="BR80" s="38"/>
      <c r="BS80" s="1045"/>
      <c r="BT80" s="38"/>
      <c r="BU80" s="40"/>
      <c r="BV80" s="38"/>
      <c r="BW80" s="1348"/>
      <c r="BX80" s="38">
        <v>1250</v>
      </c>
      <c r="BY80" s="38">
        <f t="shared" ref="BY80:CE80" si="240">BX80</f>
        <v>1250</v>
      </c>
      <c r="BZ80" s="40">
        <f t="shared" si="240"/>
        <v>1250</v>
      </c>
      <c r="CA80" s="38">
        <v>1250</v>
      </c>
      <c r="CB80" s="38">
        <v>1250</v>
      </c>
      <c r="CC80" s="38">
        <v>1250</v>
      </c>
      <c r="CD80" s="38">
        <v>1250</v>
      </c>
      <c r="CE80" s="40">
        <f t="shared" si="240"/>
        <v>1250</v>
      </c>
      <c r="CF80" s="38">
        <f>CE80-CF119</f>
        <v>1250</v>
      </c>
      <c r="CG80" s="38">
        <f t="shared" ref="CG80" si="241">CF80-CG119</f>
        <v>1250</v>
      </c>
      <c r="CH80" s="38">
        <f t="shared" ref="CH80" si="242">CG80-CH119</f>
        <v>1250</v>
      </c>
      <c r="CI80" s="38">
        <f t="shared" ref="CI80" si="243">CH80-CI119</f>
        <v>1250</v>
      </c>
      <c r="CJ80" s="40">
        <f>CI80</f>
        <v>1250</v>
      </c>
      <c r="CK80" s="38">
        <f>CJ80-CK119</f>
        <v>1250</v>
      </c>
      <c r="CL80" s="38">
        <f t="shared" ref="CL80" si="244">CK80-CL119</f>
        <v>1250</v>
      </c>
      <c r="CM80" s="38">
        <f t="shared" ref="CM80" si="245">CL80-CM119</f>
        <v>1250</v>
      </c>
      <c r="CN80" s="38">
        <f t="shared" ref="CN80" si="246">CM80-CN119</f>
        <v>1250</v>
      </c>
      <c r="CO80" s="40">
        <f>CN80</f>
        <v>1250</v>
      </c>
      <c r="CP80" s="38">
        <f>CO80-CP119</f>
        <v>1250</v>
      </c>
      <c r="CQ80" s="38">
        <f t="shared" ref="CQ80" si="247">CP80-CQ119</f>
        <v>1250</v>
      </c>
      <c r="CR80" s="38">
        <f t="shared" ref="CR80" si="248">CQ80-CR119</f>
        <v>1250</v>
      </c>
      <c r="CS80" s="38">
        <f t="shared" ref="CS80" si="249">CR80-CS119</f>
        <v>1250</v>
      </c>
      <c r="CT80" s="40">
        <f>CS80</f>
        <v>1250</v>
      </c>
      <c r="CU80" s="38">
        <f>CT80-CU119</f>
        <v>1250</v>
      </c>
      <c r="CV80" s="38">
        <f t="shared" ref="CV80" si="250">CU80-CV119</f>
        <v>1250</v>
      </c>
      <c r="CW80" s="38">
        <f t="shared" ref="CW80" si="251">CV80-CW119</f>
        <v>1250</v>
      </c>
      <c r="CX80" s="38">
        <f t="shared" ref="CX80" si="252">CW80-CX119</f>
        <v>1250</v>
      </c>
      <c r="CY80" s="40">
        <f>CX80</f>
        <v>1250</v>
      </c>
      <c r="CZ80" s="38">
        <f>CY80-CZ119</f>
        <v>1250</v>
      </c>
      <c r="DA80" s="38">
        <f t="shared" ref="DA80" si="253">CZ80-DA119</f>
        <v>1250</v>
      </c>
      <c r="DB80" s="38">
        <f t="shared" ref="DB80" si="254">DA80-DB119</f>
        <v>1250</v>
      </c>
      <c r="DC80" s="38">
        <f t="shared" ref="DC80" si="255">DB80-DC119</f>
        <v>6750</v>
      </c>
      <c r="DD80" s="40">
        <f>DC80</f>
        <v>6750</v>
      </c>
      <c r="DE80" s="38">
        <f>DD80-DE119</f>
        <v>6736.25</v>
      </c>
      <c r="DF80" s="38">
        <f t="shared" ref="DF80:DH80" si="256">DE80-DF119</f>
        <v>6722.5</v>
      </c>
      <c r="DG80" s="38">
        <f t="shared" si="256"/>
        <v>6708.75</v>
      </c>
      <c r="DH80" s="38">
        <f t="shared" si="256"/>
        <v>6695</v>
      </c>
      <c r="DI80" s="675">
        <f>DH80</f>
        <v>6695</v>
      </c>
      <c r="DJ80" s="38">
        <f>DI80-DJ119</f>
        <v>6681.25</v>
      </c>
      <c r="DK80" s="38">
        <f t="shared" ref="DK80:DM80" si="257">DJ80-DK119</f>
        <v>6667.5</v>
      </c>
      <c r="DL80" s="38">
        <f t="shared" si="257"/>
        <v>6653.75</v>
      </c>
      <c r="DM80" s="38">
        <f t="shared" si="257"/>
        <v>6640</v>
      </c>
      <c r="DN80" s="675">
        <f>DM80</f>
        <v>6640</v>
      </c>
      <c r="DO80" s="38">
        <f>DN80-DO119</f>
        <v>6626.25</v>
      </c>
      <c r="DP80" s="38">
        <f t="shared" ref="DP80:DR80" si="258">DO80-DP119</f>
        <v>6612.5</v>
      </c>
      <c r="DQ80" s="38">
        <f t="shared" si="258"/>
        <v>6598.75</v>
      </c>
      <c r="DR80" s="38">
        <f t="shared" si="258"/>
        <v>6585</v>
      </c>
      <c r="DS80" s="675">
        <f>DR80</f>
        <v>6585</v>
      </c>
      <c r="DT80" s="38">
        <f>DS80-DT119</f>
        <v>6571.25</v>
      </c>
      <c r="DU80" s="38">
        <f t="shared" ref="DU80" si="259">DT80-DU119</f>
        <v>6557.5</v>
      </c>
      <c r="DV80" s="38">
        <f t="shared" ref="DV80" si="260">DU80-DV119</f>
        <v>6543.75</v>
      </c>
      <c r="DW80" s="38">
        <f t="shared" ref="DW80" si="261">DV80-DW119</f>
        <v>6530</v>
      </c>
      <c r="DX80" s="675">
        <f>DW80</f>
        <v>6530</v>
      </c>
      <c r="DY80" s="673"/>
      <c r="DZ80" s="673"/>
      <c r="EA80" s="673"/>
      <c r="EB80" s="673"/>
      <c r="EC80" s="673"/>
      <c r="ED80" s="673"/>
      <c r="EE80" s="673"/>
      <c r="EF80" s="673"/>
    </row>
    <row r="81" spans="1:136" hidden="1" outlineLevel="1" x14ac:dyDescent="0.2">
      <c r="A81" s="87" t="s">
        <v>798</v>
      </c>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244"/>
      <c r="AW81" s="38"/>
      <c r="AX81" s="38"/>
      <c r="AY81" s="38"/>
      <c r="AZ81" s="38"/>
      <c r="BA81" s="40"/>
      <c r="BB81" s="38"/>
      <c r="BC81" s="38"/>
      <c r="BD81" s="38"/>
      <c r="BE81" s="38"/>
      <c r="BF81" s="40"/>
      <c r="BG81" s="38"/>
      <c r="BH81" s="38"/>
      <c r="BI81" s="38"/>
      <c r="BJ81" s="38"/>
      <c r="BK81" s="40"/>
      <c r="BL81" s="38"/>
      <c r="BM81" s="38"/>
      <c r="BN81" s="38"/>
      <c r="BO81" s="38"/>
      <c r="BP81" s="40"/>
      <c r="BQ81" s="38"/>
      <c r="BR81" s="38"/>
      <c r="BS81" s="1045"/>
      <c r="BT81" s="38">
        <v>6682.8</v>
      </c>
      <c r="BU81" s="40">
        <f t="shared" ref="BU81:BU92" si="262">BT81</f>
        <v>6682.8</v>
      </c>
      <c r="BV81" s="38">
        <f>BU81-BV111</f>
        <v>6665.9250000000002</v>
      </c>
      <c r="BW81" s="1348">
        <f>BV81-BW111</f>
        <v>6403.9449999999997</v>
      </c>
      <c r="BX81" s="38">
        <v>5065.5</v>
      </c>
      <c r="BY81" s="38">
        <f>BX81-BY111</f>
        <v>5048.625</v>
      </c>
      <c r="BZ81" s="40">
        <f>BY81</f>
        <v>5048.625</v>
      </c>
      <c r="CA81" s="38">
        <v>5084.8</v>
      </c>
      <c r="CB81" s="38">
        <v>5071.8999999999996</v>
      </c>
      <c r="CC81" s="38">
        <v>5059</v>
      </c>
      <c r="CD81" s="38">
        <v>5046.1000000000004</v>
      </c>
      <c r="CE81" s="40">
        <f>CD81</f>
        <v>5046.1000000000004</v>
      </c>
      <c r="CF81" s="38">
        <v>6187.1</v>
      </c>
      <c r="CG81" s="38">
        <f>CF81-CG111</f>
        <v>6420.2250000000004</v>
      </c>
      <c r="CH81" s="38">
        <f>CG81-CH111</f>
        <v>6403.35</v>
      </c>
      <c r="CI81" s="38">
        <f>CH81-CI111</f>
        <v>6386.4750000000004</v>
      </c>
      <c r="CJ81" s="40">
        <f>CI81</f>
        <v>6386.4750000000004</v>
      </c>
      <c r="CK81" s="38">
        <f>CJ81-CK111</f>
        <v>6369.6</v>
      </c>
      <c r="CL81" s="41">
        <f>CK81-CL111+'CF '!CL57</f>
        <v>6352.7250000000004</v>
      </c>
      <c r="CM81" s="41">
        <f>CL81-CM111</f>
        <v>6335.85</v>
      </c>
      <c r="CN81" s="41">
        <f>CM81-CN111</f>
        <v>6318.9750000000004</v>
      </c>
      <c r="CO81" s="40">
        <f>CN81</f>
        <v>6318.9750000000004</v>
      </c>
      <c r="CP81" s="41">
        <f>CO81-CP111</f>
        <v>6302.1</v>
      </c>
      <c r="CQ81" s="41">
        <f>CP81-CQ111</f>
        <v>6285.2250000000004</v>
      </c>
      <c r="CR81" s="41">
        <f>CQ81-CR111</f>
        <v>6268.35</v>
      </c>
      <c r="CS81" s="41">
        <f>CR81-CS111</f>
        <v>6251.4750000000004</v>
      </c>
      <c r="CT81" s="40">
        <f>CS81</f>
        <v>6251.4750000000004</v>
      </c>
      <c r="CU81" s="41">
        <f>CT81-CU111</f>
        <v>6234.6</v>
      </c>
      <c r="CV81" s="41">
        <f>CU81-CV111</f>
        <v>6217.7250000000004</v>
      </c>
      <c r="CW81" s="41">
        <f>CV81-CW111</f>
        <v>6200.85</v>
      </c>
      <c r="CX81" s="41">
        <f>CW81-CX111</f>
        <v>6183.9750000000004</v>
      </c>
      <c r="CY81" s="40">
        <f>CX81</f>
        <v>6183.9750000000004</v>
      </c>
      <c r="CZ81" s="41">
        <f>CY81-CZ111</f>
        <v>6167.1</v>
      </c>
      <c r="DA81" s="41">
        <f>CZ81-DA111</f>
        <v>6150.2250000000004</v>
      </c>
      <c r="DB81" s="41">
        <f>DA81-DB111</f>
        <v>6133.35</v>
      </c>
      <c r="DC81" s="41">
        <f>DB81-DC111</f>
        <v>0</v>
      </c>
      <c r="DD81" s="40">
        <f>DC81</f>
        <v>0</v>
      </c>
      <c r="DE81" s="38"/>
      <c r="DF81" s="38"/>
      <c r="DG81" s="38"/>
      <c r="DH81" s="38"/>
      <c r="DI81" s="675"/>
      <c r="DJ81" s="38"/>
      <c r="DK81" s="38"/>
      <c r="DL81" s="38"/>
      <c r="DM81" s="38"/>
      <c r="DN81" s="675"/>
      <c r="DO81" s="38"/>
      <c r="DP81" s="38"/>
      <c r="DQ81" s="38"/>
      <c r="DR81" s="38"/>
      <c r="DS81" s="675"/>
      <c r="DT81" s="38"/>
      <c r="DU81" s="38"/>
      <c r="DV81" s="38"/>
      <c r="DW81" s="38"/>
      <c r="DX81" s="675"/>
      <c r="DY81" s="673"/>
      <c r="DZ81" s="673"/>
      <c r="EA81" s="673"/>
      <c r="EB81" s="673"/>
      <c r="EC81" s="673"/>
      <c r="ED81" s="673"/>
      <c r="EE81" s="673"/>
      <c r="EF81" s="673"/>
    </row>
    <row r="82" spans="1:136" hidden="1" outlineLevel="1" x14ac:dyDescent="0.2">
      <c r="A82" s="87" t="s">
        <v>635</v>
      </c>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244"/>
      <c r="AW82" s="38"/>
      <c r="AX82" s="38"/>
      <c r="AY82" s="38"/>
      <c r="AZ82" s="38"/>
      <c r="BA82" s="40"/>
      <c r="BB82" s="38"/>
      <c r="BC82" s="38"/>
      <c r="BD82" s="38"/>
      <c r="BE82" s="38"/>
      <c r="BF82" s="40"/>
      <c r="BG82" s="38"/>
      <c r="BH82" s="38"/>
      <c r="BI82" s="38"/>
      <c r="BJ82" s="38"/>
      <c r="BK82" s="40"/>
      <c r="BL82" s="38"/>
      <c r="BM82" s="38"/>
      <c r="BN82" s="38"/>
      <c r="BO82" s="38"/>
      <c r="BP82" s="40"/>
      <c r="BQ82" s="38"/>
      <c r="BR82" s="38"/>
      <c r="BS82" s="1045"/>
      <c r="BT82" s="38">
        <v>0</v>
      </c>
      <c r="BU82" s="40">
        <f t="shared" si="262"/>
        <v>0</v>
      </c>
      <c r="BV82" s="38">
        <f>BU82</f>
        <v>0</v>
      </c>
      <c r="BW82" s="1348">
        <f t="shared" ref="BW82:CO83" si="263">BV82</f>
        <v>0</v>
      </c>
      <c r="BX82" s="38">
        <f t="shared" si="263"/>
        <v>0</v>
      </c>
      <c r="BY82" s="38">
        <f t="shared" si="263"/>
        <v>0</v>
      </c>
      <c r="BZ82" s="40">
        <f t="shared" si="263"/>
        <v>0</v>
      </c>
      <c r="CA82" s="38">
        <f>BZ82</f>
        <v>0</v>
      </c>
      <c r="CB82" s="38">
        <f t="shared" si="263"/>
        <v>0</v>
      </c>
      <c r="CC82" s="38">
        <f t="shared" si="263"/>
        <v>0</v>
      </c>
      <c r="CD82" s="38">
        <f t="shared" si="263"/>
        <v>0</v>
      </c>
      <c r="CE82" s="40">
        <f t="shared" si="263"/>
        <v>0</v>
      </c>
      <c r="CF82" s="38">
        <f>CE82</f>
        <v>0</v>
      </c>
      <c r="CG82" s="38">
        <f t="shared" si="263"/>
        <v>0</v>
      </c>
      <c r="CH82" s="38">
        <f t="shared" si="263"/>
        <v>0</v>
      </c>
      <c r="CI82" s="38">
        <f>CH82-CI115</f>
        <v>0</v>
      </c>
      <c r="CJ82" s="40">
        <f t="shared" si="263"/>
        <v>0</v>
      </c>
      <c r="CK82" s="38">
        <f t="shared" ref="CK82:DW82" si="264">CJ82-CK115</f>
        <v>0</v>
      </c>
      <c r="CL82" s="41">
        <f t="shared" si="264"/>
        <v>0</v>
      </c>
      <c r="CM82" s="41">
        <f t="shared" si="264"/>
        <v>0</v>
      </c>
      <c r="CN82" s="41">
        <f t="shared" si="264"/>
        <v>0</v>
      </c>
      <c r="CO82" s="40">
        <f t="shared" si="263"/>
        <v>0</v>
      </c>
      <c r="CP82" s="41">
        <f t="shared" si="264"/>
        <v>0</v>
      </c>
      <c r="CQ82" s="41">
        <f t="shared" si="264"/>
        <v>0</v>
      </c>
      <c r="CR82" s="41">
        <f t="shared" si="264"/>
        <v>0</v>
      </c>
      <c r="CS82" s="41">
        <f t="shared" si="264"/>
        <v>0</v>
      </c>
      <c r="CT82" s="40">
        <f t="shared" ref="CT82" si="265">CS82</f>
        <v>0</v>
      </c>
      <c r="CU82" s="41">
        <f t="shared" si="264"/>
        <v>0</v>
      </c>
      <c r="CV82" s="41">
        <f t="shared" si="264"/>
        <v>0</v>
      </c>
      <c r="CW82" s="41">
        <f t="shared" si="264"/>
        <v>0</v>
      </c>
      <c r="CX82" s="41">
        <f t="shared" si="264"/>
        <v>0</v>
      </c>
      <c r="CY82" s="40">
        <f t="shared" ref="CY82" si="266">CX82</f>
        <v>0</v>
      </c>
      <c r="CZ82" s="41">
        <f t="shared" si="264"/>
        <v>0</v>
      </c>
      <c r="DA82" s="41">
        <f t="shared" si="264"/>
        <v>0</v>
      </c>
      <c r="DB82" s="41">
        <f t="shared" si="264"/>
        <v>0</v>
      </c>
      <c r="DC82" s="41">
        <f t="shared" si="264"/>
        <v>0</v>
      </c>
      <c r="DD82" s="40">
        <f t="shared" ref="DD82" si="267">DC82</f>
        <v>0</v>
      </c>
      <c r="DE82" s="41">
        <f t="shared" si="264"/>
        <v>0</v>
      </c>
      <c r="DF82" s="41">
        <f t="shared" si="264"/>
        <v>0</v>
      </c>
      <c r="DG82" s="41">
        <f t="shared" si="264"/>
        <v>0</v>
      </c>
      <c r="DH82" s="41">
        <f t="shared" si="264"/>
        <v>0</v>
      </c>
      <c r="DI82" s="40">
        <f t="shared" ref="DI82" si="268">DH82</f>
        <v>0</v>
      </c>
      <c r="DJ82" s="41">
        <f t="shared" si="264"/>
        <v>0</v>
      </c>
      <c r="DK82" s="41">
        <f t="shared" si="264"/>
        <v>0</v>
      </c>
      <c r="DL82" s="41">
        <f t="shared" si="264"/>
        <v>0</v>
      </c>
      <c r="DM82" s="41">
        <f t="shared" si="264"/>
        <v>0</v>
      </c>
      <c r="DN82" s="40">
        <f t="shared" ref="DN82" si="269">DM82</f>
        <v>0</v>
      </c>
      <c r="DO82" s="41">
        <f t="shared" si="264"/>
        <v>0</v>
      </c>
      <c r="DP82" s="41">
        <f t="shared" si="264"/>
        <v>0</v>
      </c>
      <c r="DQ82" s="41">
        <f t="shared" si="264"/>
        <v>0</v>
      </c>
      <c r="DR82" s="41">
        <f t="shared" si="264"/>
        <v>0</v>
      </c>
      <c r="DS82" s="40">
        <f t="shared" ref="DS82" si="270">DR82</f>
        <v>0</v>
      </c>
      <c r="DT82" s="41">
        <f t="shared" si="264"/>
        <v>0</v>
      </c>
      <c r="DU82" s="41">
        <f t="shared" si="264"/>
        <v>0</v>
      </c>
      <c r="DV82" s="41">
        <f t="shared" si="264"/>
        <v>0</v>
      </c>
      <c r="DW82" s="41">
        <f t="shared" si="264"/>
        <v>0</v>
      </c>
      <c r="DX82" s="40">
        <f t="shared" ref="DX82" si="271">DW82</f>
        <v>0</v>
      </c>
      <c r="DY82" s="673"/>
      <c r="DZ82" s="673"/>
      <c r="EA82" s="673"/>
      <c r="EB82" s="673"/>
      <c r="EC82" s="673"/>
      <c r="ED82" s="673"/>
      <c r="EE82" s="673"/>
      <c r="EF82" s="673"/>
    </row>
    <row r="83" spans="1:136" hidden="1" outlineLevel="2" x14ac:dyDescent="0.2">
      <c r="A83" s="87" t="s">
        <v>757</v>
      </c>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244"/>
      <c r="AW83" s="38"/>
      <c r="AX83" s="38"/>
      <c r="AY83" s="38"/>
      <c r="AZ83" s="38"/>
      <c r="BA83" s="40"/>
      <c r="BB83" s="38"/>
      <c r="BC83" s="38"/>
      <c r="BD83" s="38"/>
      <c r="BE83" s="38"/>
      <c r="BF83" s="40"/>
      <c r="BG83" s="38"/>
      <c r="BH83" s="38"/>
      <c r="BI83" s="38"/>
      <c r="BJ83" s="38"/>
      <c r="BK83" s="40"/>
      <c r="BL83" s="38"/>
      <c r="BM83" s="38"/>
      <c r="BN83" s="38"/>
      <c r="BO83" s="38"/>
      <c r="BP83" s="40"/>
      <c r="BQ83" s="38"/>
      <c r="BR83" s="38"/>
      <c r="BS83" s="1045"/>
      <c r="BT83" s="38">
        <v>2250</v>
      </c>
      <c r="BU83" s="40">
        <f t="shared" si="262"/>
        <v>2250</v>
      </c>
      <c r="BV83" s="38">
        <f>BU83</f>
        <v>2250</v>
      </c>
      <c r="BW83" s="1348">
        <f t="shared" si="263"/>
        <v>2250</v>
      </c>
      <c r="BX83" s="38">
        <f t="shared" si="263"/>
        <v>2250</v>
      </c>
      <c r="BY83" s="38">
        <f t="shared" si="263"/>
        <v>2250</v>
      </c>
      <c r="BZ83" s="40">
        <f>BY83</f>
        <v>2250</v>
      </c>
      <c r="CA83" s="38">
        <v>2250</v>
      </c>
      <c r="CB83" s="38">
        <v>2250</v>
      </c>
      <c r="CC83" s="38">
        <v>2250</v>
      </c>
      <c r="CD83" s="38">
        <v>2250</v>
      </c>
      <c r="CE83" s="40">
        <f>CD83</f>
        <v>2250</v>
      </c>
      <c r="CF83" s="38">
        <f>CE83</f>
        <v>2250</v>
      </c>
      <c r="CG83" s="38">
        <f t="shared" ref="CG83" si="272">CF83</f>
        <v>2250</v>
      </c>
      <c r="CH83" s="38">
        <f>CG83-CH116</f>
        <v>1000</v>
      </c>
      <c r="CI83" s="38">
        <f>CH83-CI116</f>
        <v>0</v>
      </c>
      <c r="CJ83" s="40">
        <f>CI83</f>
        <v>0</v>
      </c>
      <c r="CK83" s="38">
        <f>CJ83</f>
        <v>0</v>
      </c>
      <c r="CL83" s="41">
        <f t="shared" ref="CL83" si="273">CK83</f>
        <v>0</v>
      </c>
      <c r="CM83" s="41">
        <f t="shared" ref="CM83" si="274">CL83</f>
        <v>0</v>
      </c>
      <c r="CN83" s="41">
        <f t="shared" ref="CN83" si="275">CM83</f>
        <v>0</v>
      </c>
      <c r="CO83" s="40">
        <f>CN83</f>
        <v>0</v>
      </c>
      <c r="CP83" s="41">
        <f>CO83</f>
        <v>0</v>
      </c>
      <c r="CQ83" s="41">
        <f t="shared" ref="CQ83" si="276">CP83</f>
        <v>0</v>
      </c>
      <c r="CR83" s="41">
        <f t="shared" ref="CR83" si="277">CQ83</f>
        <v>0</v>
      </c>
      <c r="CS83" s="41">
        <f t="shared" ref="CS83" si="278">CR83</f>
        <v>0</v>
      </c>
      <c r="CT83" s="40">
        <f>CS83</f>
        <v>0</v>
      </c>
      <c r="CU83" s="41">
        <f>CT83</f>
        <v>0</v>
      </c>
      <c r="CV83" s="41">
        <f t="shared" ref="CV83" si="279">CU83</f>
        <v>0</v>
      </c>
      <c r="CW83" s="41">
        <f t="shared" ref="CW83" si="280">CV83</f>
        <v>0</v>
      </c>
      <c r="CX83" s="41">
        <f t="shared" ref="CX83" si="281">CW83</f>
        <v>0</v>
      </c>
      <c r="CY83" s="40">
        <f>CX83</f>
        <v>0</v>
      </c>
      <c r="CZ83" s="41">
        <f>CY83</f>
        <v>0</v>
      </c>
      <c r="DA83" s="41">
        <f t="shared" ref="DA83" si="282">CZ83</f>
        <v>0</v>
      </c>
      <c r="DB83" s="41">
        <f>DA83-DB116</f>
        <v>0</v>
      </c>
      <c r="DC83" s="41">
        <f>DB83-DC116</f>
        <v>0</v>
      </c>
      <c r="DD83" s="40">
        <f>DC83</f>
        <v>0</v>
      </c>
      <c r="DE83" s="41">
        <f>DD83-DE116</f>
        <v>0</v>
      </c>
      <c r="DF83" s="38"/>
      <c r="DG83" s="38"/>
      <c r="DH83" s="38"/>
      <c r="DI83" s="675"/>
      <c r="DJ83" s="38"/>
      <c r="DK83" s="38"/>
      <c r="DL83" s="38"/>
      <c r="DM83" s="38"/>
      <c r="DN83" s="675"/>
      <c r="DO83" s="38"/>
      <c r="DP83" s="38"/>
      <c r="DQ83" s="38"/>
      <c r="DR83" s="38"/>
      <c r="DS83" s="675"/>
      <c r="DT83" s="38"/>
      <c r="DU83" s="38"/>
      <c r="DV83" s="38"/>
      <c r="DW83" s="38"/>
      <c r="DX83" s="675"/>
      <c r="DY83" s="673"/>
      <c r="DZ83" s="673"/>
      <c r="EA83" s="673"/>
      <c r="EB83" s="673"/>
      <c r="EC83" s="673"/>
      <c r="ED83" s="673"/>
      <c r="EE83" s="673"/>
      <c r="EF83" s="673"/>
    </row>
    <row r="84" spans="1:136" hidden="1" outlineLevel="1" collapsed="1" x14ac:dyDescent="0.2">
      <c r="A84" s="87" t="s">
        <v>846</v>
      </c>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244"/>
      <c r="AW84" s="38"/>
      <c r="AX84" s="38"/>
      <c r="AY84" s="38"/>
      <c r="AZ84" s="38"/>
      <c r="BA84" s="40"/>
      <c r="BB84" s="38"/>
      <c r="BC84" s="38"/>
      <c r="BD84" s="38"/>
      <c r="BE84" s="38"/>
      <c r="BF84" s="40"/>
      <c r="BG84" s="38"/>
      <c r="BH84" s="38"/>
      <c r="BI84" s="38"/>
      <c r="BJ84" s="38"/>
      <c r="BK84" s="40"/>
      <c r="BL84" s="38"/>
      <c r="BM84" s="38"/>
      <c r="BN84" s="38"/>
      <c r="BO84" s="38"/>
      <c r="BP84" s="40"/>
      <c r="BQ84" s="38"/>
      <c r="BR84" s="38"/>
      <c r="BS84" s="1045"/>
      <c r="BT84" s="38"/>
      <c r="BU84" s="40"/>
      <c r="BV84" s="38"/>
      <c r="BW84" s="1348"/>
      <c r="BX84" s="38"/>
      <c r="BY84" s="38"/>
      <c r="BZ84" s="40"/>
      <c r="CA84" s="38"/>
      <c r="CB84" s="38"/>
      <c r="CC84" s="38"/>
      <c r="CD84" s="38"/>
      <c r="CE84" s="40"/>
      <c r="CF84" s="38"/>
      <c r="CG84" s="38">
        <f>CF84-CG117</f>
        <v>1500</v>
      </c>
      <c r="CH84" s="38">
        <f t="shared" ref="CH84" si="283">CG84-CH117</f>
        <v>1500</v>
      </c>
      <c r="CI84" s="38">
        <f>CH84-CI117</f>
        <v>1500</v>
      </c>
      <c r="CJ84" s="40">
        <f>CI84</f>
        <v>1500</v>
      </c>
      <c r="CK84" s="38">
        <f>CJ84-CK117</f>
        <v>1500</v>
      </c>
      <c r="CL84" s="41">
        <f t="shared" ref="CL84:CN84" si="284">CK84-CL117</f>
        <v>1500</v>
      </c>
      <c r="CM84" s="41">
        <f t="shared" si="284"/>
        <v>1500</v>
      </c>
      <c r="CN84" s="41">
        <f t="shared" si="284"/>
        <v>1500</v>
      </c>
      <c r="CO84" s="40">
        <f>CN84</f>
        <v>1500</v>
      </c>
      <c r="CP84" s="41">
        <f>CO84-CP117</f>
        <v>1500</v>
      </c>
      <c r="CQ84" s="41">
        <f t="shared" ref="CQ84:CS84" si="285">CP84-CQ117</f>
        <v>1500</v>
      </c>
      <c r="CR84" s="41">
        <f t="shared" si="285"/>
        <v>1500</v>
      </c>
      <c r="CS84" s="41">
        <f t="shared" si="285"/>
        <v>1500</v>
      </c>
      <c r="CT84" s="40">
        <f>CS84</f>
        <v>1500</v>
      </c>
      <c r="CU84" s="41">
        <f>CT84-CU117</f>
        <v>1500</v>
      </c>
      <c r="CV84" s="41">
        <f t="shared" ref="CV84:CX84" si="286">CU84-CV117</f>
        <v>1500</v>
      </c>
      <c r="CW84" s="41">
        <f t="shared" si="286"/>
        <v>1500</v>
      </c>
      <c r="CX84" s="41">
        <f t="shared" si="286"/>
        <v>1500</v>
      </c>
      <c r="CY84" s="40">
        <f>CX84</f>
        <v>1500</v>
      </c>
      <c r="CZ84" s="41">
        <f>CY84-CZ117</f>
        <v>1500</v>
      </c>
      <c r="DA84" s="41">
        <f t="shared" ref="DA84:DC84" si="287">CZ84-DA117</f>
        <v>1500</v>
      </c>
      <c r="DB84" s="41">
        <f t="shared" si="287"/>
        <v>1500</v>
      </c>
      <c r="DC84" s="41">
        <f t="shared" si="287"/>
        <v>1500</v>
      </c>
      <c r="DD84" s="40">
        <f>DC84</f>
        <v>1500</v>
      </c>
      <c r="DE84" s="41">
        <f>DD84-DE117</f>
        <v>1500</v>
      </c>
      <c r="DF84" s="41">
        <f t="shared" ref="DF84:DH84" si="288">DE84-DF117</f>
        <v>1500</v>
      </c>
      <c r="DG84" s="41">
        <f t="shared" si="288"/>
        <v>1500</v>
      </c>
      <c r="DH84" s="41">
        <f t="shared" si="288"/>
        <v>1500</v>
      </c>
      <c r="DI84" s="40">
        <f>DH84</f>
        <v>1500</v>
      </c>
      <c r="DJ84" s="41">
        <f>DI84-DJ117</f>
        <v>1500</v>
      </c>
      <c r="DK84" s="41">
        <f t="shared" ref="DK84:DM84" si="289">DJ84-DK117</f>
        <v>1500</v>
      </c>
      <c r="DL84" s="41">
        <f t="shared" si="289"/>
        <v>1500</v>
      </c>
      <c r="DM84" s="41">
        <f t="shared" si="289"/>
        <v>1500</v>
      </c>
      <c r="DN84" s="40">
        <f>DM84</f>
        <v>1500</v>
      </c>
      <c r="DO84" s="41">
        <f>DN84-DO117</f>
        <v>1500</v>
      </c>
      <c r="DP84" s="41">
        <f t="shared" ref="DP84:DR84" si="290">DO84-DP117</f>
        <v>1500</v>
      </c>
      <c r="DQ84" s="41">
        <f t="shared" si="290"/>
        <v>1500</v>
      </c>
      <c r="DR84" s="41">
        <f t="shared" si="290"/>
        <v>1500</v>
      </c>
      <c r="DS84" s="40">
        <f>DR84</f>
        <v>1500</v>
      </c>
      <c r="DT84" s="41">
        <f>DS84-DT117</f>
        <v>1500</v>
      </c>
      <c r="DU84" s="41">
        <f t="shared" ref="DU84:DW84" si="291">DT84-DU117</f>
        <v>1500</v>
      </c>
      <c r="DV84" s="41">
        <f t="shared" si="291"/>
        <v>1500</v>
      </c>
      <c r="DW84" s="41">
        <f t="shared" si="291"/>
        <v>1500</v>
      </c>
      <c r="DX84" s="40">
        <f>DW84</f>
        <v>1500</v>
      </c>
      <c r="DY84" s="41"/>
      <c r="DZ84" s="41"/>
      <c r="EA84" s="41"/>
      <c r="EB84" s="41"/>
      <c r="EC84" s="673"/>
      <c r="ED84" s="673"/>
      <c r="EE84" s="673"/>
      <c r="EF84" s="673"/>
    </row>
    <row r="85" spans="1:136" hidden="1" outlineLevel="1" x14ac:dyDescent="0.2">
      <c r="A85" s="87" t="s">
        <v>847</v>
      </c>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244"/>
      <c r="AW85" s="38"/>
      <c r="AX85" s="38"/>
      <c r="AY85" s="38"/>
      <c r="AZ85" s="38"/>
      <c r="BA85" s="40"/>
      <c r="BB85" s="38"/>
      <c r="BC85" s="38"/>
      <c r="BD85" s="38"/>
      <c r="BE85" s="38"/>
      <c r="BF85" s="40"/>
      <c r="BG85" s="38"/>
      <c r="BH85" s="38"/>
      <c r="BI85" s="38"/>
      <c r="BJ85" s="38"/>
      <c r="BK85" s="40"/>
      <c r="BL85" s="38"/>
      <c r="BM85" s="38"/>
      <c r="BN85" s="38"/>
      <c r="BO85" s="38"/>
      <c r="BP85" s="40"/>
      <c r="BQ85" s="38"/>
      <c r="BR85" s="38"/>
      <c r="BS85" s="1045"/>
      <c r="BT85" s="38"/>
      <c r="BU85" s="40"/>
      <c r="BV85" s="38"/>
      <c r="BW85" s="1348"/>
      <c r="BX85" s="38"/>
      <c r="BY85" s="38"/>
      <c r="BZ85" s="40"/>
      <c r="CA85" s="38"/>
      <c r="CB85" s="38"/>
      <c r="CC85" s="38"/>
      <c r="CD85" s="38"/>
      <c r="CE85" s="40"/>
      <c r="CF85" s="38"/>
      <c r="CG85" s="38"/>
      <c r="CH85" s="38">
        <f>-CH118</f>
        <v>1300</v>
      </c>
      <c r="CI85" s="38">
        <f>CH85-CI118</f>
        <v>2800</v>
      </c>
      <c r="CJ85" s="40">
        <f>CI85</f>
        <v>2800</v>
      </c>
      <c r="CK85" s="38">
        <f>CJ85-CK118</f>
        <v>2800</v>
      </c>
      <c r="CL85" s="41">
        <f>CK85-CL118</f>
        <v>2800</v>
      </c>
      <c r="CM85" s="41">
        <f>CL85-CM118</f>
        <v>2800</v>
      </c>
      <c r="CN85" s="41">
        <f>CM85-CN118</f>
        <v>2800</v>
      </c>
      <c r="CO85" s="40">
        <f>CN85</f>
        <v>2800</v>
      </c>
      <c r="CP85" s="41">
        <f>CO85-CP118</f>
        <v>2800</v>
      </c>
      <c r="CQ85" s="41">
        <f>CP85-CQ118</f>
        <v>2800</v>
      </c>
      <c r="CR85" s="41">
        <f>CQ85-CR118</f>
        <v>2800</v>
      </c>
      <c r="CS85" s="41">
        <f>CR85-CS118</f>
        <v>2800</v>
      </c>
      <c r="CT85" s="40">
        <f>CS85</f>
        <v>2800</v>
      </c>
      <c r="CU85" s="41">
        <f>CT85-CU118</f>
        <v>2800</v>
      </c>
      <c r="CV85" s="41">
        <f>CU85-CV118</f>
        <v>2800</v>
      </c>
      <c r="CW85" s="41">
        <f>CV85-CW118</f>
        <v>2800</v>
      </c>
      <c r="CX85" s="41">
        <f>CW85-CX118</f>
        <v>2800</v>
      </c>
      <c r="CY85" s="40">
        <f>CX85</f>
        <v>2800</v>
      </c>
      <c r="CZ85" s="41">
        <f>CY85-CZ118</f>
        <v>2800</v>
      </c>
      <c r="DA85" s="41">
        <f>CZ85-DA118</f>
        <v>2800</v>
      </c>
      <c r="DB85" s="41">
        <f>DA85-DB118</f>
        <v>2800</v>
      </c>
      <c r="DC85" s="41">
        <f>DB85-DC118</f>
        <v>2800</v>
      </c>
      <c r="DD85" s="40">
        <f>DC85</f>
        <v>2800</v>
      </c>
      <c r="DE85" s="41">
        <f>DD85-DE118</f>
        <v>2800</v>
      </c>
      <c r="DF85" s="41">
        <f>DE85-DF118</f>
        <v>2800</v>
      </c>
      <c r="DG85" s="41">
        <f>DF85-DG118</f>
        <v>2800</v>
      </c>
      <c r="DH85" s="41">
        <f>DG85-DH118</f>
        <v>2800</v>
      </c>
      <c r="DI85" s="40">
        <f>DH85</f>
        <v>2800</v>
      </c>
      <c r="DJ85" s="41">
        <f>DI85-DJ118</f>
        <v>2800</v>
      </c>
      <c r="DK85" s="41">
        <f>DJ85-DK118</f>
        <v>2800</v>
      </c>
      <c r="DL85" s="41">
        <f>DK85-DL118</f>
        <v>2800</v>
      </c>
      <c r="DM85" s="41">
        <f>DL85-DM118</f>
        <v>2800</v>
      </c>
      <c r="DN85" s="40">
        <f>DM85</f>
        <v>2800</v>
      </c>
      <c r="DO85" s="41">
        <f>DN85-DO118</f>
        <v>2800</v>
      </c>
      <c r="DP85" s="41">
        <f>DO85-DP118</f>
        <v>2800</v>
      </c>
      <c r="DQ85" s="41">
        <f>DP85-DQ118</f>
        <v>2800</v>
      </c>
      <c r="DR85" s="41">
        <f>DQ85-DR118</f>
        <v>2800</v>
      </c>
      <c r="DS85" s="40">
        <f>DR85</f>
        <v>2800</v>
      </c>
      <c r="DT85" s="41">
        <f>DS85-DT118</f>
        <v>2800</v>
      </c>
      <c r="DU85" s="41">
        <f>DT85-DU118</f>
        <v>2800</v>
      </c>
      <c r="DV85" s="41">
        <f>DU85-DV118</f>
        <v>2800</v>
      </c>
      <c r="DW85" s="41">
        <f>DV85-DW118</f>
        <v>2800</v>
      </c>
      <c r="DX85" s="40">
        <f>DW85</f>
        <v>2800</v>
      </c>
      <c r="DY85" s="41"/>
      <c r="DZ85" s="41"/>
      <c r="EA85" s="41"/>
      <c r="EB85" s="41"/>
      <c r="EC85" s="673"/>
      <c r="ED85" s="673"/>
      <c r="EE85" s="673"/>
      <c r="EF85" s="673"/>
    </row>
    <row r="86" spans="1:136" hidden="1" outlineLevel="2" x14ac:dyDescent="0.2">
      <c r="A86" s="87" t="s">
        <v>631</v>
      </c>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244"/>
      <c r="AW86" s="38"/>
      <c r="AX86" s="38"/>
      <c r="AY86" s="38"/>
      <c r="AZ86" s="38"/>
      <c r="BA86" s="40"/>
      <c r="BB86" s="38"/>
      <c r="BC86" s="38"/>
      <c r="BD86" s="38"/>
      <c r="BE86" s="38"/>
      <c r="BF86" s="40"/>
      <c r="BG86" s="38"/>
      <c r="BH86" s="38"/>
      <c r="BI86" s="38"/>
      <c r="BJ86" s="38"/>
      <c r="BK86" s="40"/>
      <c r="BL86" s="38"/>
      <c r="BM86" s="38"/>
      <c r="BN86" s="38"/>
      <c r="BO86" s="38"/>
      <c r="BP86" s="40"/>
      <c r="BQ86" s="38"/>
      <c r="BR86" s="38"/>
      <c r="BS86" s="1045"/>
      <c r="BT86" s="38">
        <v>262</v>
      </c>
      <c r="BU86" s="40">
        <f t="shared" si="262"/>
        <v>262</v>
      </c>
      <c r="BV86" s="38">
        <v>0</v>
      </c>
      <c r="BW86" s="1348"/>
      <c r="BX86" s="38"/>
      <c r="BY86" s="38"/>
      <c r="BZ86" s="40"/>
      <c r="CA86" s="38">
        <v>0</v>
      </c>
      <c r="CB86" s="38"/>
      <c r="CC86" s="38"/>
      <c r="CD86" s="38"/>
      <c r="CE86" s="40"/>
      <c r="CF86" s="38"/>
      <c r="CG86" s="38"/>
      <c r="CH86" s="38"/>
      <c r="CI86" s="38"/>
      <c r="CJ86" s="40"/>
      <c r="CK86" s="38"/>
      <c r="CL86" s="38"/>
      <c r="CM86" s="38"/>
      <c r="CN86" s="38"/>
      <c r="CO86" s="675"/>
      <c r="CP86" s="38"/>
      <c r="CQ86" s="38"/>
      <c r="CR86" s="38"/>
      <c r="CS86" s="38"/>
      <c r="CT86" s="675"/>
      <c r="CU86" s="38"/>
      <c r="CV86" s="38"/>
      <c r="CW86" s="38"/>
      <c r="CX86" s="38"/>
      <c r="CY86" s="675"/>
      <c r="CZ86" s="38"/>
      <c r="DA86" s="38"/>
      <c r="DB86" s="38"/>
      <c r="DC86" s="38"/>
      <c r="DD86" s="675"/>
      <c r="DE86" s="38"/>
      <c r="DF86" s="38"/>
      <c r="DG86" s="38"/>
      <c r="DH86" s="38"/>
      <c r="DI86" s="675"/>
      <c r="DJ86" s="38"/>
      <c r="DK86" s="38"/>
      <c r="DL86" s="38"/>
      <c r="DM86" s="38"/>
      <c r="DN86" s="675"/>
      <c r="DO86" s="38"/>
      <c r="DP86" s="38"/>
      <c r="DQ86" s="38"/>
      <c r="DR86" s="38"/>
      <c r="DS86" s="675"/>
      <c r="DT86" s="38"/>
      <c r="DU86" s="38"/>
      <c r="DV86" s="38"/>
      <c r="DW86" s="38"/>
      <c r="DX86" s="675"/>
      <c r="DY86" s="673"/>
      <c r="DZ86" s="673"/>
      <c r="EA86" s="673"/>
      <c r="EB86" s="673"/>
      <c r="EC86" s="673"/>
      <c r="ED86" s="673"/>
      <c r="EE86" s="673"/>
      <c r="EF86" s="673"/>
    </row>
    <row r="87" spans="1:136" hidden="1" outlineLevel="2" x14ac:dyDescent="0.2">
      <c r="A87" s="87" t="s">
        <v>632</v>
      </c>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244"/>
      <c r="AW87" s="38"/>
      <c r="AX87" s="38"/>
      <c r="AY87" s="38"/>
      <c r="AZ87" s="38"/>
      <c r="BA87" s="40"/>
      <c r="BB87" s="38"/>
      <c r="BC87" s="38"/>
      <c r="BD87" s="38"/>
      <c r="BE87" s="38"/>
      <c r="BF87" s="40"/>
      <c r="BG87" s="38"/>
      <c r="BH87" s="38"/>
      <c r="BI87" s="38"/>
      <c r="BJ87" s="38"/>
      <c r="BK87" s="40"/>
      <c r="BL87" s="38"/>
      <c r="BM87" s="38"/>
      <c r="BN87" s="38"/>
      <c r="BO87" s="38"/>
      <c r="BP87" s="40"/>
      <c r="BQ87" s="38"/>
      <c r="BR87" s="38"/>
      <c r="BS87" s="1045"/>
      <c r="BT87" s="38">
        <v>390.7</v>
      </c>
      <c r="BU87" s="40">
        <f t="shared" si="262"/>
        <v>390.7</v>
      </c>
      <c r="BV87" s="38">
        <v>0</v>
      </c>
      <c r="BW87" s="1348"/>
      <c r="BX87" s="38"/>
      <c r="BY87" s="38"/>
      <c r="BZ87" s="40"/>
      <c r="CA87" s="38">
        <v>0</v>
      </c>
      <c r="CB87" s="38"/>
      <c r="CC87" s="38"/>
      <c r="CD87" s="38"/>
      <c r="CE87" s="40"/>
      <c r="CF87" s="38"/>
      <c r="CG87" s="38"/>
      <c r="CH87" s="38"/>
      <c r="CI87" s="38"/>
      <c r="CJ87" s="40"/>
      <c r="CK87" s="38"/>
      <c r="CL87" s="38"/>
      <c r="CM87" s="38"/>
      <c r="CN87" s="38"/>
      <c r="CO87" s="675"/>
      <c r="CP87" s="38"/>
      <c r="CQ87" s="38"/>
      <c r="CR87" s="38"/>
      <c r="CS87" s="38"/>
      <c r="CT87" s="675"/>
      <c r="CU87" s="38"/>
      <c r="CV87" s="38"/>
      <c r="CW87" s="38"/>
      <c r="CX87" s="38"/>
      <c r="CY87" s="675"/>
      <c r="CZ87" s="38"/>
      <c r="DA87" s="38"/>
      <c r="DB87" s="38"/>
      <c r="DC87" s="38"/>
      <c r="DD87" s="675"/>
      <c r="DE87" s="38"/>
      <c r="DF87" s="38"/>
      <c r="DG87" s="38"/>
      <c r="DH87" s="38"/>
      <c r="DI87" s="675"/>
      <c r="DJ87" s="38"/>
      <c r="DK87" s="38"/>
      <c r="DL87" s="38"/>
      <c r="DM87" s="38"/>
      <c r="DN87" s="675"/>
      <c r="DO87" s="38"/>
      <c r="DP87" s="38"/>
      <c r="DQ87" s="38"/>
      <c r="DR87" s="38"/>
      <c r="DS87" s="675"/>
      <c r="DT87" s="38"/>
      <c r="DU87" s="38"/>
      <c r="DV87" s="38"/>
      <c r="DW87" s="38"/>
      <c r="DX87" s="675"/>
      <c r="DY87" s="673"/>
      <c r="DZ87" s="673"/>
      <c r="EA87" s="673"/>
      <c r="EB87" s="673"/>
      <c r="EC87" s="673"/>
      <c r="ED87" s="673"/>
      <c r="EE87" s="673"/>
      <c r="EF87" s="673"/>
    </row>
    <row r="88" spans="1:136" hidden="1" outlineLevel="2" x14ac:dyDescent="0.2">
      <c r="A88" s="87" t="s">
        <v>633</v>
      </c>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244"/>
      <c r="AW88" s="38"/>
      <c r="AX88" s="38"/>
      <c r="AY88" s="38"/>
      <c r="AZ88" s="38"/>
      <c r="BA88" s="40"/>
      <c r="BB88" s="38"/>
      <c r="BC88" s="38"/>
      <c r="BD88" s="38"/>
      <c r="BE88" s="38"/>
      <c r="BF88" s="40"/>
      <c r="BG88" s="38"/>
      <c r="BH88" s="38"/>
      <c r="BI88" s="38"/>
      <c r="BJ88" s="38"/>
      <c r="BK88" s="40"/>
      <c r="BL88" s="38"/>
      <c r="BM88" s="38"/>
      <c r="BN88" s="38"/>
      <c r="BO88" s="38"/>
      <c r="BP88" s="40"/>
      <c r="BQ88" s="38"/>
      <c r="BR88" s="38"/>
      <c r="BS88" s="1045"/>
      <c r="BT88" s="38">
        <v>392.1</v>
      </c>
      <c r="BU88" s="40">
        <f t="shared" si="262"/>
        <v>392.1</v>
      </c>
      <c r="BV88" s="38">
        <v>0</v>
      </c>
      <c r="BW88" s="1348"/>
      <c r="BX88" s="38"/>
      <c r="BY88" s="38"/>
      <c r="BZ88" s="40"/>
      <c r="CA88" s="38">
        <v>0</v>
      </c>
      <c r="CB88" s="38"/>
      <c r="CC88" s="38"/>
      <c r="CD88" s="38"/>
      <c r="CE88" s="40"/>
      <c r="CF88" s="38"/>
      <c r="CG88" s="38"/>
      <c r="CH88" s="38"/>
      <c r="CI88" s="38"/>
      <c r="CJ88" s="40"/>
      <c r="CK88" s="38"/>
      <c r="CL88" s="38"/>
      <c r="CM88" s="38"/>
      <c r="CN88" s="38"/>
      <c r="CO88" s="675"/>
      <c r="CP88" s="38"/>
      <c r="CQ88" s="38"/>
      <c r="CR88" s="38"/>
      <c r="CS88" s="38"/>
      <c r="CT88" s="675"/>
      <c r="CU88" s="38"/>
      <c r="CV88" s="38"/>
      <c r="CW88" s="38"/>
      <c r="CX88" s="38"/>
      <c r="CY88" s="675"/>
      <c r="CZ88" s="38"/>
      <c r="DA88" s="38"/>
      <c r="DB88" s="38"/>
      <c r="DC88" s="38"/>
      <c r="DD88" s="675"/>
      <c r="DE88" s="38"/>
      <c r="DF88" s="38"/>
      <c r="DG88" s="38"/>
      <c r="DH88" s="38"/>
      <c r="DI88" s="675"/>
      <c r="DJ88" s="38"/>
      <c r="DK88" s="38"/>
      <c r="DL88" s="38"/>
      <c r="DM88" s="38"/>
      <c r="DN88" s="675"/>
      <c r="DO88" s="38"/>
      <c r="DP88" s="38"/>
      <c r="DQ88" s="38"/>
      <c r="DR88" s="38"/>
      <c r="DS88" s="675"/>
      <c r="DT88" s="38"/>
      <c r="DU88" s="38"/>
      <c r="DV88" s="38"/>
      <c r="DW88" s="38"/>
      <c r="DX88" s="675"/>
      <c r="DY88" s="673"/>
      <c r="DZ88" s="673"/>
      <c r="EA88" s="673"/>
      <c r="EB88" s="673"/>
      <c r="EC88" s="673"/>
      <c r="ED88" s="673"/>
      <c r="EE88" s="673"/>
      <c r="EF88" s="673"/>
    </row>
    <row r="89" spans="1:136" hidden="1" outlineLevel="1" collapsed="1" x14ac:dyDescent="0.2">
      <c r="A89" s="87" t="s">
        <v>778</v>
      </c>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244"/>
      <c r="AW89" s="38"/>
      <c r="AX89" s="38"/>
      <c r="AY89" s="38"/>
      <c r="AZ89" s="38"/>
      <c r="BA89" s="40"/>
      <c r="BB89" s="38"/>
      <c r="BC89" s="38"/>
      <c r="BD89" s="38"/>
      <c r="BE89" s="38"/>
      <c r="BF89" s="40"/>
      <c r="BG89" s="38"/>
      <c r="BH89" s="38"/>
      <c r="BI89" s="38"/>
      <c r="BJ89" s="38"/>
      <c r="BK89" s="40"/>
      <c r="BL89" s="38"/>
      <c r="BM89" s="38"/>
      <c r="BN89" s="38"/>
      <c r="BO89" s="38"/>
      <c r="BP89" s="40"/>
      <c r="BQ89" s="38"/>
      <c r="BR89" s="38"/>
      <c r="BS89" s="1045"/>
      <c r="BT89" s="38"/>
      <c r="BU89" s="40"/>
      <c r="BV89" s="38"/>
      <c r="BW89" s="1348"/>
      <c r="BX89" s="38">
        <v>40.9</v>
      </c>
      <c r="BY89" s="38">
        <f>BX89</f>
        <v>40.9</v>
      </c>
      <c r="BZ89" s="40">
        <f>BY89</f>
        <v>40.9</v>
      </c>
      <c r="CA89" s="38">
        <v>42</v>
      </c>
      <c r="CB89" s="38">
        <v>42.2</v>
      </c>
      <c r="CC89" s="38">
        <v>41.6</v>
      </c>
      <c r="CD89" s="38">
        <v>40.6</v>
      </c>
      <c r="CE89" s="40">
        <f>CD89</f>
        <v>40.6</v>
      </c>
      <c r="CF89" s="38">
        <v>41</v>
      </c>
      <c r="CG89" s="38">
        <f>CF89</f>
        <v>41</v>
      </c>
      <c r="CH89" s="38">
        <f t="shared" ref="CH89:CI89" si="292">CG89</f>
        <v>41</v>
      </c>
      <c r="CI89" s="38">
        <f t="shared" si="292"/>
        <v>41</v>
      </c>
      <c r="CJ89" s="40">
        <f>CI89</f>
        <v>41</v>
      </c>
      <c r="CK89" s="38">
        <f>CI89</f>
        <v>41</v>
      </c>
      <c r="CL89" s="38">
        <f>CK89</f>
        <v>41</v>
      </c>
      <c r="CM89" s="38">
        <f t="shared" ref="CM89" si="293">CL89</f>
        <v>41</v>
      </c>
      <c r="CN89" s="38">
        <f t="shared" ref="CN89" si="294">CM89</f>
        <v>41</v>
      </c>
      <c r="CO89" s="40">
        <f>CN89</f>
        <v>41</v>
      </c>
      <c r="CP89" s="38">
        <f>CN89</f>
        <v>41</v>
      </c>
      <c r="CQ89" s="38">
        <f>CP89</f>
        <v>41</v>
      </c>
      <c r="CR89" s="38">
        <f t="shared" ref="CR89" si="295">CQ89</f>
        <v>41</v>
      </c>
      <c r="CS89" s="38">
        <f t="shared" ref="CS89" si="296">CR89</f>
        <v>41</v>
      </c>
      <c r="CT89" s="40">
        <f>CS89</f>
        <v>41</v>
      </c>
      <c r="CU89" s="38">
        <f>CS89</f>
        <v>41</v>
      </c>
      <c r="CV89" s="38">
        <f>CU89</f>
        <v>41</v>
      </c>
      <c r="CW89" s="38">
        <f t="shared" ref="CW89" si="297">CV89</f>
        <v>41</v>
      </c>
      <c r="CX89" s="38">
        <f t="shared" ref="CX89" si="298">CW89</f>
        <v>41</v>
      </c>
      <c r="CY89" s="40">
        <f>CX89</f>
        <v>41</v>
      </c>
      <c r="CZ89" s="38">
        <f>CX89</f>
        <v>41</v>
      </c>
      <c r="DA89" s="38">
        <f>CZ89</f>
        <v>41</v>
      </c>
      <c r="DB89" s="38">
        <f t="shared" ref="DB89" si="299">DA89</f>
        <v>41</v>
      </c>
      <c r="DC89" s="38">
        <f t="shared" ref="DC89" si="300">DB89</f>
        <v>41</v>
      </c>
      <c r="DD89" s="40">
        <f>DC89</f>
        <v>41</v>
      </c>
      <c r="DE89" s="38">
        <f>DC89</f>
        <v>41</v>
      </c>
      <c r="DF89" s="38">
        <f>DE89</f>
        <v>41</v>
      </c>
      <c r="DG89" s="38">
        <f t="shared" ref="DG89" si="301">DF89</f>
        <v>41</v>
      </c>
      <c r="DH89" s="38">
        <f t="shared" ref="DH89" si="302">DG89</f>
        <v>41</v>
      </c>
      <c r="DI89" s="40">
        <f>DH89</f>
        <v>41</v>
      </c>
      <c r="DJ89" s="38">
        <f>DH89</f>
        <v>41</v>
      </c>
      <c r="DK89" s="38">
        <f>DJ89</f>
        <v>41</v>
      </c>
      <c r="DL89" s="38">
        <f t="shared" ref="DL89" si="303">DK89</f>
        <v>41</v>
      </c>
      <c r="DM89" s="38">
        <f t="shared" ref="DM89" si="304">DL89</f>
        <v>41</v>
      </c>
      <c r="DN89" s="40">
        <f>DM89</f>
        <v>41</v>
      </c>
      <c r="DO89" s="38">
        <f>DM89</f>
        <v>41</v>
      </c>
      <c r="DP89" s="38">
        <f>DO89</f>
        <v>41</v>
      </c>
      <c r="DQ89" s="38">
        <f t="shared" ref="DQ89" si="305">DP89</f>
        <v>41</v>
      </c>
      <c r="DR89" s="38">
        <f t="shared" ref="DR89" si="306">DQ89</f>
        <v>41</v>
      </c>
      <c r="DS89" s="40">
        <f>DR89</f>
        <v>41</v>
      </c>
      <c r="DT89" s="38">
        <f>DR89</f>
        <v>41</v>
      </c>
      <c r="DU89" s="38">
        <f>DT89</f>
        <v>41</v>
      </c>
      <c r="DV89" s="38">
        <f t="shared" ref="DV89" si="307">DU89</f>
        <v>41</v>
      </c>
      <c r="DW89" s="38">
        <f t="shared" ref="DW89" si="308">DV89</f>
        <v>41</v>
      </c>
      <c r="DX89" s="40">
        <f>DW89</f>
        <v>41</v>
      </c>
      <c r="DY89" s="673"/>
      <c r="DZ89" s="673"/>
      <c r="EA89" s="673"/>
      <c r="EB89" s="673"/>
      <c r="EC89" s="673"/>
      <c r="ED89" s="673"/>
      <c r="EE89" s="673"/>
      <c r="EF89" s="673"/>
    </row>
    <row r="90" spans="1:136" hidden="1" outlineLevel="1" x14ac:dyDescent="0.2">
      <c r="A90" s="87" t="s">
        <v>643</v>
      </c>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244"/>
      <c r="AW90" s="38"/>
      <c r="AX90" s="38"/>
      <c r="AY90" s="38"/>
      <c r="AZ90" s="38"/>
      <c r="BA90" s="40"/>
      <c r="BB90" s="38"/>
      <c r="BC90" s="38"/>
      <c r="BD90" s="38"/>
      <c r="BE90" s="38"/>
      <c r="BF90" s="40"/>
      <c r="BG90" s="38"/>
      <c r="BH90" s="38"/>
      <c r="BI90" s="38"/>
      <c r="BJ90" s="38"/>
      <c r="BK90" s="40"/>
      <c r="BL90" s="38"/>
      <c r="BM90" s="38"/>
      <c r="BN90" s="38"/>
      <c r="BO90" s="38"/>
      <c r="BP90" s="40"/>
      <c r="BQ90" s="38"/>
      <c r="BR90" s="38"/>
      <c r="BS90" s="1045"/>
      <c r="BT90" s="38">
        <v>65.3</v>
      </c>
      <c r="BU90" s="40">
        <f t="shared" si="262"/>
        <v>65.3</v>
      </c>
      <c r="BV90" s="38">
        <f>BU90</f>
        <v>65.3</v>
      </c>
      <c r="BW90" s="1348">
        <f t="shared" ref="BW90:BY90" si="309">BV90</f>
        <v>65.3</v>
      </c>
      <c r="BX90" s="38">
        <v>93</v>
      </c>
      <c r="BY90" s="38">
        <f t="shared" si="309"/>
        <v>93</v>
      </c>
      <c r="BZ90" s="40">
        <f>BY90</f>
        <v>93</v>
      </c>
      <c r="CA90" s="38">
        <v>93.2</v>
      </c>
      <c r="CB90" s="38">
        <v>93.5</v>
      </c>
      <c r="CC90" s="38">
        <v>92.6</v>
      </c>
      <c r="CD90" s="38">
        <v>85.4</v>
      </c>
      <c r="CE90" s="40">
        <f>CD90</f>
        <v>85.4</v>
      </c>
      <c r="CF90" s="38">
        <v>87.4</v>
      </c>
      <c r="CG90" s="38">
        <f t="shared" ref="CG90:CI90" si="310">CF90</f>
        <v>87.4</v>
      </c>
      <c r="CH90" s="38">
        <f t="shared" si="310"/>
        <v>87.4</v>
      </c>
      <c r="CI90" s="38">
        <f t="shared" si="310"/>
        <v>87.4</v>
      </c>
      <c r="CJ90" s="40">
        <f>CI90</f>
        <v>87.4</v>
      </c>
      <c r="CK90" s="38">
        <f>CJ90</f>
        <v>87.4</v>
      </c>
      <c r="CL90" s="41">
        <f t="shared" ref="CL90:CN90" si="311">CK90</f>
        <v>87.4</v>
      </c>
      <c r="CM90" s="41">
        <f t="shared" si="311"/>
        <v>87.4</v>
      </c>
      <c r="CN90" s="41">
        <f t="shared" si="311"/>
        <v>87.4</v>
      </c>
      <c r="CO90" s="40">
        <f>CN90</f>
        <v>87.4</v>
      </c>
      <c r="CP90" s="41">
        <f>CO90</f>
        <v>87.4</v>
      </c>
      <c r="CQ90" s="41">
        <f t="shared" ref="CQ90:CS90" si="312">CP90</f>
        <v>87.4</v>
      </c>
      <c r="CR90" s="41">
        <f t="shared" si="312"/>
        <v>87.4</v>
      </c>
      <c r="CS90" s="41">
        <f t="shared" si="312"/>
        <v>87.4</v>
      </c>
      <c r="CT90" s="40">
        <f>CS90</f>
        <v>87.4</v>
      </c>
      <c r="CU90" s="41">
        <f>CT90</f>
        <v>87.4</v>
      </c>
      <c r="CV90" s="41">
        <f t="shared" ref="CV90:CX90" si="313">CU90</f>
        <v>87.4</v>
      </c>
      <c r="CW90" s="41">
        <f t="shared" si="313"/>
        <v>87.4</v>
      </c>
      <c r="CX90" s="41">
        <f t="shared" si="313"/>
        <v>87.4</v>
      </c>
      <c r="CY90" s="40">
        <f>CX90</f>
        <v>87.4</v>
      </c>
      <c r="CZ90" s="41">
        <f>CY90</f>
        <v>87.4</v>
      </c>
      <c r="DA90" s="41">
        <f t="shared" ref="DA90:DC90" si="314">CZ90</f>
        <v>87.4</v>
      </c>
      <c r="DB90" s="41">
        <f t="shared" si="314"/>
        <v>87.4</v>
      </c>
      <c r="DC90" s="41">
        <f t="shared" si="314"/>
        <v>87.4</v>
      </c>
      <c r="DD90" s="40">
        <f>DC90</f>
        <v>87.4</v>
      </c>
      <c r="DE90" s="41">
        <f>DD90</f>
        <v>87.4</v>
      </c>
      <c r="DF90" s="41">
        <f t="shared" ref="DF90:DH90" si="315">DE90</f>
        <v>87.4</v>
      </c>
      <c r="DG90" s="41">
        <f t="shared" si="315"/>
        <v>87.4</v>
      </c>
      <c r="DH90" s="41">
        <f t="shared" si="315"/>
        <v>87.4</v>
      </c>
      <c r="DI90" s="40">
        <f>DH90</f>
        <v>87.4</v>
      </c>
      <c r="DJ90" s="41">
        <f>DI90</f>
        <v>87.4</v>
      </c>
      <c r="DK90" s="41">
        <f t="shared" ref="DK90:DM90" si="316">DJ90</f>
        <v>87.4</v>
      </c>
      <c r="DL90" s="41">
        <f t="shared" si="316"/>
        <v>87.4</v>
      </c>
      <c r="DM90" s="41">
        <f t="shared" si="316"/>
        <v>87.4</v>
      </c>
      <c r="DN90" s="40">
        <f>DM90</f>
        <v>87.4</v>
      </c>
      <c r="DO90" s="41">
        <f>DN90</f>
        <v>87.4</v>
      </c>
      <c r="DP90" s="41">
        <f t="shared" ref="DP90:DR90" si="317">DO90</f>
        <v>87.4</v>
      </c>
      <c r="DQ90" s="41">
        <f t="shared" si="317"/>
        <v>87.4</v>
      </c>
      <c r="DR90" s="41">
        <f t="shared" si="317"/>
        <v>87.4</v>
      </c>
      <c r="DS90" s="40">
        <f>DR90</f>
        <v>87.4</v>
      </c>
      <c r="DT90" s="41">
        <f>DS90</f>
        <v>87.4</v>
      </c>
      <c r="DU90" s="41">
        <f t="shared" ref="DU90" si="318">DT90</f>
        <v>87.4</v>
      </c>
      <c r="DV90" s="41">
        <f t="shared" ref="DV90" si="319">DU90</f>
        <v>87.4</v>
      </c>
      <c r="DW90" s="41">
        <f t="shared" ref="DW90" si="320">DV90</f>
        <v>87.4</v>
      </c>
      <c r="DX90" s="40">
        <f>DW90</f>
        <v>87.4</v>
      </c>
      <c r="DY90" s="673"/>
      <c r="DZ90" s="673"/>
      <c r="EA90" s="673"/>
      <c r="EB90" s="673"/>
      <c r="EC90" s="673"/>
      <c r="ED90" s="673"/>
      <c r="EE90" s="673"/>
      <c r="EF90" s="673"/>
    </row>
    <row r="91" spans="1:136" hidden="1" outlineLevel="2" x14ac:dyDescent="0.2">
      <c r="A91" s="87" t="s">
        <v>464</v>
      </c>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244"/>
      <c r="AW91" s="38"/>
      <c r="AX91" s="38"/>
      <c r="AY91" s="38"/>
      <c r="AZ91" s="38"/>
      <c r="BA91" s="40"/>
      <c r="BB91" s="38"/>
      <c r="BC91" s="38"/>
      <c r="BD91" s="38"/>
      <c r="BE91" s="38"/>
      <c r="BF91" s="40"/>
      <c r="BG91" s="38"/>
      <c r="BH91" s="38"/>
      <c r="BI91" s="38"/>
      <c r="BJ91" s="38"/>
      <c r="BK91" s="40">
        <v>1023.6</v>
      </c>
      <c r="BL91" s="38">
        <v>1017.1</v>
      </c>
      <c r="BM91" s="38">
        <v>1010.7</v>
      </c>
      <c r="BN91" s="38">
        <v>1004.3</v>
      </c>
      <c r="BO91" s="38">
        <f>BP91</f>
        <v>991.4</v>
      </c>
      <c r="BP91" s="40">
        <v>991.4</v>
      </c>
      <c r="BQ91" s="38">
        <v>978.5</v>
      </c>
      <c r="BR91" s="38">
        <v>965.6</v>
      </c>
      <c r="BS91" s="1045">
        <v>952.8</v>
      </c>
      <c r="BT91" s="41">
        <v>0</v>
      </c>
      <c r="BU91" s="40">
        <f t="shared" si="262"/>
        <v>0</v>
      </c>
      <c r="BV91" s="38">
        <f>BU91-BV125</f>
        <v>0</v>
      </c>
      <c r="BW91" s="1348"/>
      <c r="BX91" s="38"/>
      <c r="BY91" s="38"/>
      <c r="BZ91" s="40"/>
      <c r="CA91" s="38">
        <f>BZ91-CA125</f>
        <v>0</v>
      </c>
      <c r="CB91" s="38"/>
      <c r="CC91" s="38"/>
      <c r="CD91" s="38"/>
      <c r="CE91" s="40"/>
      <c r="CF91" s="38"/>
      <c r="CG91" s="38"/>
      <c r="CH91" s="38"/>
      <c r="CI91" s="38"/>
      <c r="CJ91" s="40"/>
      <c r="CK91" s="38"/>
      <c r="CL91" s="38"/>
      <c r="CM91" s="38"/>
      <c r="CN91" s="38"/>
      <c r="CO91" s="675"/>
      <c r="CP91" s="38"/>
      <c r="CQ91" s="38"/>
      <c r="CR91" s="38"/>
      <c r="CS91" s="38"/>
      <c r="CT91" s="675"/>
      <c r="CU91" s="38"/>
      <c r="CV91" s="38"/>
      <c r="CW91" s="38"/>
      <c r="CX91" s="38"/>
      <c r="CY91" s="675"/>
      <c r="CZ91" s="38"/>
      <c r="DA91" s="38"/>
      <c r="DB91" s="38"/>
      <c r="DC91" s="38"/>
      <c r="DD91" s="675"/>
      <c r="DE91" s="38"/>
      <c r="DF91" s="38"/>
      <c r="DG91" s="38"/>
      <c r="DH91" s="38"/>
      <c r="DI91" s="675"/>
      <c r="DJ91" s="38"/>
      <c r="DK91" s="38"/>
      <c r="DL91" s="38"/>
      <c r="DM91" s="38"/>
      <c r="DN91" s="675"/>
      <c r="DO91" s="38"/>
      <c r="DP91" s="38"/>
      <c r="DQ91" s="38"/>
      <c r="DR91" s="38"/>
      <c r="DS91" s="675"/>
      <c r="DT91" s="38"/>
      <c r="DU91" s="38"/>
      <c r="DV91" s="38"/>
      <c r="DW91" s="38"/>
      <c r="DX91" s="675"/>
      <c r="DY91" s="673"/>
      <c r="DZ91" s="673"/>
      <c r="EA91" s="673"/>
      <c r="EB91" s="673"/>
      <c r="EC91" s="673"/>
      <c r="ED91" s="673"/>
      <c r="EE91" s="673"/>
      <c r="EF91" s="673"/>
    </row>
    <row r="92" spans="1:136" hidden="1" outlineLevel="2" x14ac:dyDescent="0.2">
      <c r="A92" s="87" t="s">
        <v>465</v>
      </c>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244"/>
      <c r="AW92" s="38"/>
      <c r="AX92" s="38"/>
      <c r="AY92" s="38"/>
      <c r="AZ92" s="38"/>
      <c r="BA92" s="40"/>
      <c r="BB92" s="38"/>
      <c r="BC92" s="38"/>
      <c r="BD92" s="38"/>
      <c r="BE92" s="38"/>
      <c r="BF92" s="40"/>
      <c r="BG92" s="38"/>
      <c r="BH92" s="38"/>
      <c r="BI92" s="38"/>
      <c r="BJ92" s="38"/>
      <c r="BK92" s="40">
        <v>695.1</v>
      </c>
      <c r="BL92" s="38">
        <v>693.7</v>
      </c>
      <c r="BM92" s="38">
        <v>692.3</v>
      </c>
      <c r="BN92" s="38">
        <v>690.8</v>
      </c>
      <c r="BO92" s="38">
        <f t="shared" ref="BO92:BO97" si="321">BP92</f>
        <v>689.4</v>
      </c>
      <c r="BP92" s="40">
        <v>689.4</v>
      </c>
      <c r="BQ92" s="38">
        <v>688</v>
      </c>
      <c r="BR92" s="38">
        <v>686.6</v>
      </c>
      <c r="BS92" s="1045">
        <v>685.2</v>
      </c>
      <c r="BT92" s="41">
        <v>0</v>
      </c>
      <c r="BU92" s="40">
        <f t="shared" si="262"/>
        <v>0</v>
      </c>
      <c r="BV92" s="38">
        <f>BU92-BV126</f>
        <v>0</v>
      </c>
      <c r="BW92" s="1348"/>
      <c r="BX92" s="38"/>
      <c r="BY92" s="38"/>
      <c r="BZ92" s="40"/>
      <c r="CA92" s="38">
        <f>BZ92-CA126</f>
        <v>0</v>
      </c>
      <c r="CB92" s="38"/>
      <c r="CC92" s="38"/>
      <c r="CD92" s="38"/>
      <c r="CE92" s="40"/>
      <c r="CF92" s="38"/>
      <c r="CG92" s="38"/>
      <c r="CH92" s="38"/>
      <c r="CI92" s="38"/>
      <c r="CJ92" s="40"/>
      <c r="CK92" s="38"/>
      <c r="CL92" s="38"/>
      <c r="CM92" s="38"/>
      <c r="CN92" s="38"/>
      <c r="CO92" s="675"/>
      <c r="CP92" s="38"/>
      <c r="CQ92" s="38"/>
      <c r="CR92" s="38"/>
      <c r="CS92" s="38"/>
      <c r="CT92" s="675"/>
      <c r="CU92" s="38"/>
      <c r="CV92" s="38"/>
      <c r="CW92" s="38"/>
      <c r="CX92" s="38"/>
      <c r="CY92" s="675"/>
      <c r="CZ92" s="38"/>
      <c r="DA92" s="38"/>
      <c r="DB92" s="38"/>
      <c r="DC92" s="38"/>
      <c r="DD92" s="675"/>
      <c r="DE92" s="38"/>
      <c r="DF92" s="38"/>
      <c r="DG92" s="38"/>
      <c r="DH92" s="38"/>
      <c r="DI92" s="675"/>
      <c r="DJ92" s="38"/>
      <c r="DK92" s="38"/>
      <c r="DL92" s="38"/>
      <c r="DM92" s="38"/>
      <c r="DN92" s="675"/>
      <c r="DO92" s="38"/>
      <c r="DP92" s="38"/>
      <c r="DQ92" s="38"/>
      <c r="DR92" s="38"/>
      <c r="DS92" s="675"/>
      <c r="DT92" s="38"/>
      <c r="DU92" s="38"/>
      <c r="DV92" s="38"/>
      <c r="DW92" s="38"/>
      <c r="DX92" s="675"/>
      <c r="DY92" s="673"/>
      <c r="DZ92" s="673"/>
      <c r="EA92" s="673"/>
      <c r="EB92" s="673"/>
      <c r="EC92" s="673"/>
      <c r="ED92" s="673"/>
      <c r="EE92" s="673"/>
      <c r="EF92" s="673"/>
    </row>
    <row r="93" spans="1:136" hidden="1" outlineLevel="2" x14ac:dyDescent="0.2">
      <c r="A93" s="87" t="s">
        <v>466</v>
      </c>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246"/>
      <c r="AW93" s="38"/>
      <c r="AX93" s="38"/>
      <c r="AY93" s="38"/>
      <c r="AZ93" s="38"/>
      <c r="BA93" s="40"/>
      <c r="BB93" s="38"/>
      <c r="BC93" s="38"/>
      <c r="BD93" s="38"/>
      <c r="BE93" s="38"/>
      <c r="BF93" s="40"/>
      <c r="BG93" s="38"/>
      <c r="BH93" s="38"/>
      <c r="BI93" s="38"/>
      <c r="BJ93" s="38"/>
      <c r="BK93" s="40">
        <v>0</v>
      </c>
      <c r="BL93" s="38">
        <v>0</v>
      </c>
      <c r="BM93" s="38">
        <v>0</v>
      </c>
      <c r="BN93" s="38">
        <v>0</v>
      </c>
      <c r="BO93" s="38">
        <f t="shared" si="321"/>
        <v>0</v>
      </c>
      <c r="BP93" s="40">
        <f>BK93</f>
        <v>0</v>
      </c>
      <c r="BQ93" s="38">
        <v>0</v>
      </c>
      <c r="BR93" s="38">
        <v>0</v>
      </c>
      <c r="BS93" s="1045">
        <v>0</v>
      </c>
      <c r="BT93" s="41">
        <v>0</v>
      </c>
      <c r="BU93" s="40">
        <v>0</v>
      </c>
      <c r="BV93" s="38">
        <v>0</v>
      </c>
      <c r="BW93" s="1348"/>
      <c r="BX93" s="38"/>
      <c r="BY93" s="38"/>
      <c r="BZ93" s="40"/>
      <c r="CA93" s="38">
        <v>0</v>
      </c>
      <c r="CB93" s="38"/>
      <c r="CC93" s="38"/>
      <c r="CD93" s="38"/>
      <c r="CE93" s="40"/>
      <c r="CF93" s="38"/>
      <c r="CG93" s="38"/>
      <c r="CH93" s="38"/>
      <c r="CI93" s="38"/>
      <c r="CJ93" s="40"/>
      <c r="CK93" s="38"/>
      <c r="CL93" s="38"/>
      <c r="CM93" s="38"/>
      <c r="CN93" s="38"/>
      <c r="CO93" s="675"/>
      <c r="CP93" s="38"/>
      <c r="CQ93" s="38"/>
      <c r="CR93" s="38"/>
      <c r="CS93" s="38"/>
      <c r="CT93" s="675"/>
      <c r="CU93" s="38"/>
      <c r="CV93" s="38"/>
      <c r="CW93" s="38"/>
      <c r="CX93" s="38"/>
      <c r="CY93" s="675"/>
      <c r="CZ93" s="38"/>
      <c r="DA93" s="38"/>
      <c r="DB93" s="38"/>
      <c r="DC93" s="38"/>
      <c r="DD93" s="675"/>
      <c r="DE93" s="38"/>
      <c r="DF93" s="38"/>
      <c r="DG93" s="38"/>
      <c r="DH93" s="38"/>
      <c r="DI93" s="675"/>
      <c r="DJ93" s="38"/>
      <c r="DK93" s="38"/>
      <c r="DL93" s="38"/>
      <c r="DM93" s="38"/>
      <c r="DN93" s="675"/>
      <c r="DO93" s="38"/>
      <c r="DP93" s="38"/>
      <c r="DQ93" s="38"/>
      <c r="DR93" s="38"/>
      <c r="DS93" s="675"/>
      <c r="DT93" s="38"/>
      <c r="DU93" s="38"/>
      <c r="DV93" s="38"/>
      <c r="DW93" s="38"/>
      <c r="DX93" s="675"/>
      <c r="DY93" s="673"/>
      <c r="DZ93" s="673"/>
      <c r="EA93" s="673"/>
      <c r="EB93" s="673"/>
      <c r="EC93" s="673"/>
      <c r="ED93" s="673"/>
      <c r="EE93" s="673"/>
      <c r="EF93" s="673"/>
    </row>
    <row r="94" spans="1:136" hidden="1" outlineLevel="2" x14ac:dyDescent="0.2">
      <c r="A94" s="87" t="s">
        <v>467</v>
      </c>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156"/>
      <c r="AW94" s="38"/>
      <c r="AX94" s="38"/>
      <c r="AY94" s="38"/>
      <c r="AZ94" s="38"/>
      <c r="BA94" s="40"/>
      <c r="BB94" s="38"/>
      <c r="BC94" s="38"/>
      <c r="BD94" s="38"/>
      <c r="BE94" s="38"/>
      <c r="BF94" s="40"/>
      <c r="BG94" s="38"/>
      <c r="BH94" s="38"/>
      <c r="BI94" s="38"/>
      <c r="BJ94" s="38"/>
      <c r="BK94" s="40">
        <v>794.5</v>
      </c>
      <c r="BL94" s="38">
        <v>794.5</v>
      </c>
      <c r="BM94" s="38">
        <v>794.5</v>
      </c>
      <c r="BN94" s="38">
        <v>794.5</v>
      </c>
      <c r="BO94" s="38">
        <f t="shared" si="321"/>
        <v>794.5</v>
      </c>
      <c r="BP94" s="40">
        <f>BK94</f>
        <v>794.5</v>
      </c>
      <c r="BQ94" s="38">
        <v>794.5</v>
      </c>
      <c r="BR94" s="38">
        <v>794.5</v>
      </c>
      <c r="BS94" s="1045">
        <v>794.5</v>
      </c>
      <c r="BT94" s="41">
        <v>0</v>
      </c>
      <c r="BU94" s="40">
        <v>0</v>
      </c>
      <c r="BV94" s="38">
        <f>BU94-BV190</f>
        <v>0</v>
      </c>
      <c r="BW94" s="1348"/>
      <c r="BX94" s="38"/>
      <c r="BY94" s="38"/>
      <c r="BZ94" s="40"/>
      <c r="CA94" s="38">
        <f>BZ94-CA190</f>
        <v>0</v>
      </c>
      <c r="CB94" s="38"/>
      <c r="CC94" s="38"/>
      <c r="CD94" s="38"/>
      <c r="CE94" s="40"/>
      <c r="CF94" s="38"/>
      <c r="CG94" s="38"/>
      <c r="CH94" s="38"/>
      <c r="CI94" s="38"/>
      <c r="CJ94" s="40"/>
      <c r="CK94" s="38"/>
      <c r="CL94" s="38"/>
      <c r="CM94" s="38"/>
      <c r="CN94" s="38"/>
      <c r="CO94" s="675"/>
      <c r="CP94" s="38"/>
      <c r="CQ94" s="38"/>
      <c r="CR94" s="38"/>
      <c r="CS94" s="38"/>
      <c r="CT94" s="675"/>
      <c r="CU94" s="38"/>
      <c r="CV94" s="38"/>
      <c r="CW94" s="38"/>
      <c r="CX94" s="38"/>
      <c r="CY94" s="675"/>
      <c r="CZ94" s="38"/>
      <c r="DA94" s="38"/>
      <c r="DB94" s="38"/>
      <c r="DC94" s="38"/>
      <c r="DD94" s="675"/>
      <c r="DE94" s="38"/>
      <c r="DF94" s="38"/>
      <c r="DG94" s="38"/>
      <c r="DH94" s="38"/>
      <c r="DI94" s="675"/>
      <c r="DJ94" s="38"/>
      <c r="DK94" s="38"/>
      <c r="DL94" s="38"/>
      <c r="DM94" s="38"/>
      <c r="DN94" s="675"/>
      <c r="DO94" s="38"/>
      <c r="DP94" s="38"/>
      <c r="DQ94" s="38"/>
      <c r="DR94" s="38"/>
      <c r="DS94" s="675"/>
      <c r="DT94" s="38"/>
      <c r="DU94" s="38"/>
      <c r="DV94" s="38"/>
      <c r="DW94" s="38"/>
      <c r="DX94" s="675"/>
      <c r="DY94" s="673"/>
      <c r="DZ94" s="673"/>
      <c r="EA94" s="673"/>
      <c r="EB94" s="673"/>
      <c r="EC94" s="673"/>
      <c r="ED94" s="673"/>
      <c r="EE94" s="673"/>
      <c r="EF94" s="673"/>
    </row>
    <row r="95" spans="1:136" hidden="1" outlineLevel="2" x14ac:dyDescent="0.2">
      <c r="A95" s="87" t="s">
        <v>468</v>
      </c>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158"/>
      <c r="AW95" s="38"/>
      <c r="AX95" s="38"/>
      <c r="AY95" s="38"/>
      <c r="AZ95" s="38"/>
      <c r="BA95" s="40"/>
      <c r="BB95" s="38"/>
      <c r="BC95" s="38"/>
      <c r="BD95" s="38"/>
      <c r="BE95" s="38"/>
      <c r="BF95" s="40"/>
      <c r="BG95" s="38"/>
      <c r="BH95" s="38"/>
      <c r="BI95" s="38"/>
      <c r="BJ95" s="38"/>
      <c r="BK95" s="40">
        <v>407.1</v>
      </c>
      <c r="BL95" s="38">
        <v>418.1</v>
      </c>
      <c r="BM95" s="38">
        <v>429.4</v>
      </c>
      <c r="BN95" s="38">
        <v>441.1</v>
      </c>
      <c r="BO95" s="38">
        <f t="shared" si="321"/>
        <v>453.1</v>
      </c>
      <c r="BP95" s="40">
        <v>453.1</v>
      </c>
      <c r="BQ95" s="38">
        <v>465.4</v>
      </c>
      <c r="BR95" s="38">
        <v>478</v>
      </c>
      <c r="BS95" s="1045">
        <v>490.9</v>
      </c>
      <c r="BT95" s="41">
        <v>0</v>
      </c>
      <c r="BU95" s="40">
        <f>BT95</f>
        <v>0</v>
      </c>
      <c r="BV95" s="38">
        <f>BU95+BV179</f>
        <v>0</v>
      </c>
      <c r="BW95" s="1348"/>
      <c r="BX95" s="38"/>
      <c r="BY95" s="38"/>
      <c r="BZ95" s="40"/>
      <c r="CA95" s="38">
        <f>BZ95+CA179</f>
        <v>0</v>
      </c>
      <c r="CB95" s="38"/>
      <c r="CC95" s="38"/>
      <c r="CD95" s="38"/>
      <c r="CE95" s="40"/>
      <c r="CF95" s="38"/>
      <c r="CG95" s="38"/>
      <c r="CH95" s="38"/>
      <c r="CI95" s="38"/>
      <c r="CJ95" s="40"/>
      <c r="CK95" s="38"/>
      <c r="CL95" s="41"/>
      <c r="CM95" s="41"/>
      <c r="CN95" s="41"/>
      <c r="CO95" s="675"/>
      <c r="CP95" s="38"/>
      <c r="CQ95" s="38"/>
      <c r="CR95" s="38"/>
      <c r="CS95" s="38"/>
      <c r="CT95" s="675"/>
      <c r="CU95" s="38"/>
      <c r="CV95" s="38"/>
      <c r="CW95" s="38"/>
      <c r="CX95" s="38"/>
      <c r="CY95" s="675"/>
      <c r="CZ95" s="38"/>
      <c r="DA95" s="38"/>
      <c r="DB95" s="38"/>
      <c r="DC95" s="38"/>
      <c r="DD95" s="675"/>
      <c r="DE95" s="38"/>
      <c r="DF95" s="38"/>
      <c r="DG95" s="38"/>
      <c r="DH95" s="38"/>
      <c r="DI95" s="675"/>
      <c r="DJ95" s="38"/>
      <c r="DK95" s="38"/>
      <c r="DL95" s="38"/>
      <c r="DM95" s="38"/>
      <c r="DN95" s="675"/>
      <c r="DO95" s="38"/>
      <c r="DP95" s="38"/>
      <c r="DQ95" s="38"/>
      <c r="DR95" s="38"/>
      <c r="DS95" s="675"/>
      <c r="DT95" s="38"/>
      <c r="DU95" s="38"/>
      <c r="DV95" s="38"/>
      <c r="DW95" s="38"/>
      <c r="DX95" s="675"/>
      <c r="DY95" s="673"/>
      <c r="DZ95" s="673"/>
      <c r="EA95" s="673"/>
      <c r="EB95" s="673"/>
      <c r="EC95" s="673"/>
      <c r="ED95" s="673"/>
      <c r="EE95" s="673"/>
      <c r="EF95" s="673"/>
    </row>
    <row r="96" spans="1:136" hidden="1" outlineLevel="2" x14ac:dyDescent="0.2">
      <c r="A96" s="87" t="s">
        <v>178</v>
      </c>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158"/>
      <c r="AW96" s="38"/>
      <c r="AX96" s="38"/>
      <c r="AY96" s="38"/>
      <c r="AZ96" s="38"/>
      <c r="BA96" s="40"/>
      <c r="BB96" s="38"/>
      <c r="BC96" s="38"/>
      <c r="BD96" s="38"/>
      <c r="BE96" s="38"/>
      <c r="BF96" s="40"/>
      <c r="BG96" s="38"/>
      <c r="BH96" s="38"/>
      <c r="BI96" s="38"/>
      <c r="BJ96" s="38"/>
      <c r="BK96" s="40">
        <v>29</v>
      </c>
      <c r="BL96" s="38">
        <v>27.2</v>
      </c>
      <c r="BM96" s="38">
        <v>25.5</v>
      </c>
      <c r="BN96" s="38">
        <v>23.7</v>
      </c>
      <c r="BO96" s="38">
        <f t="shared" si="321"/>
        <v>22</v>
      </c>
      <c r="BP96" s="40">
        <v>22</v>
      </c>
      <c r="BQ96" s="38">
        <v>20.2</v>
      </c>
      <c r="BR96" s="38">
        <v>18.399999999999999</v>
      </c>
      <c r="BS96" s="1045">
        <v>16.600000000000001</v>
      </c>
      <c r="BT96" s="41">
        <v>0</v>
      </c>
      <c r="BU96" s="40">
        <f>BT96</f>
        <v>0</v>
      </c>
      <c r="BV96" s="38">
        <f>BU96</f>
        <v>0</v>
      </c>
      <c r="BW96" s="1348"/>
      <c r="BX96" s="38"/>
      <c r="BY96" s="38"/>
      <c r="BZ96" s="40"/>
      <c r="CA96" s="38">
        <f>BZ96</f>
        <v>0</v>
      </c>
      <c r="CB96" s="38"/>
      <c r="CC96" s="38"/>
      <c r="CD96" s="38"/>
      <c r="CE96" s="40"/>
      <c r="CF96" s="38"/>
      <c r="CG96" s="38"/>
      <c r="CH96" s="38"/>
      <c r="CI96" s="38"/>
      <c r="CJ96" s="40"/>
      <c r="CK96" s="38"/>
      <c r="CL96" s="38"/>
      <c r="CM96" s="38"/>
      <c r="CN96" s="38"/>
      <c r="CO96" s="675"/>
      <c r="CP96" s="38"/>
      <c r="CQ96" s="38"/>
      <c r="CR96" s="38"/>
      <c r="CS96" s="38"/>
      <c r="CT96" s="675"/>
      <c r="CU96" s="38"/>
      <c r="CV96" s="38"/>
      <c r="CW96" s="38"/>
      <c r="CX96" s="38"/>
      <c r="CY96" s="675"/>
      <c r="CZ96" s="38"/>
      <c r="DA96" s="38"/>
      <c r="DB96" s="38"/>
      <c r="DC96" s="38"/>
      <c r="DD96" s="675"/>
      <c r="DE96" s="38"/>
      <c r="DF96" s="38"/>
      <c r="DG96" s="38"/>
      <c r="DH96" s="38"/>
      <c r="DI96" s="675"/>
      <c r="DJ96" s="38"/>
      <c r="DK96" s="38"/>
      <c r="DL96" s="38"/>
      <c r="DM96" s="38"/>
      <c r="DN96" s="675"/>
      <c r="DO96" s="38"/>
      <c r="DP96" s="38"/>
      <c r="DQ96" s="38"/>
      <c r="DR96" s="38"/>
      <c r="DS96" s="675"/>
      <c r="DT96" s="38"/>
      <c r="DU96" s="38"/>
      <c r="DV96" s="38"/>
      <c r="DW96" s="38"/>
      <c r="DX96" s="675"/>
      <c r="DY96" s="673"/>
      <c r="DZ96" s="673"/>
      <c r="EA96" s="673"/>
      <c r="EB96" s="673"/>
      <c r="EC96" s="673"/>
      <c r="ED96" s="673"/>
      <c r="EE96" s="673"/>
      <c r="EF96" s="673"/>
    </row>
    <row r="97" spans="1:142" hidden="1" outlineLevel="2" x14ac:dyDescent="0.2">
      <c r="A97" s="87" t="s">
        <v>147</v>
      </c>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158"/>
      <c r="AW97" s="38"/>
      <c r="AX97" s="38"/>
      <c r="AY97" s="38"/>
      <c r="AZ97" s="38"/>
      <c r="BA97" s="40"/>
      <c r="BB97" s="38"/>
      <c r="BC97" s="38"/>
      <c r="BD97" s="38"/>
      <c r="BE97" s="38"/>
      <c r="BF97" s="40"/>
      <c r="BG97" s="38"/>
      <c r="BH97" s="38"/>
      <c r="BI97" s="38"/>
      <c r="BJ97" s="38"/>
      <c r="BK97" s="40">
        <v>0.9</v>
      </c>
      <c r="BL97" s="38">
        <v>0.9</v>
      </c>
      <c r="BM97" s="38">
        <v>0.9</v>
      </c>
      <c r="BN97" s="38">
        <v>0.8</v>
      </c>
      <c r="BO97" s="38">
        <f t="shared" si="321"/>
        <v>0.7</v>
      </c>
      <c r="BP97" s="40">
        <v>0.7</v>
      </c>
      <c r="BQ97" s="38">
        <v>0.7</v>
      </c>
      <c r="BR97" s="38">
        <v>0.7</v>
      </c>
      <c r="BS97" s="1045">
        <v>0.6</v>
      </c>
      <c r="BT97" s="41">
        <v>0</v>
      </c>
      <c r="BU97" s="40">
        <f>BT97</f>
        <v>0</v>
      </c>
      <c r="BV97" s="38">
        <f>BU97</f>
        <v>0</v>
      </c>
      <c r="BW97" s="1348">
        <f t="shared" ref="BW97:CD97" si="322">BV97</f>
        <v>0</v>
      </c>
      <c r="BX97" s="38">
        <f>BW97</f>
        <v>0</v>
      </c>
      <c r="BY97" s="38">
        <f>BX97</f>
        <v>0</v>
      </c>
      <c r="BZ97" s="40">
        <f>BY97</f>
        <v>0</v>
      </c>
      <c r="CA97" s="38">
        <f>BZ97</f>
        <v>0</v>
      </c>
      <c r="CB97" s="38">
        <f t="shared" si="322"/>
        <v>0</v>
      </c>
      <c r="CC97" s="38">
        <f t="shared" si="322"/>
        <v>0</v>
      </c>
      <c r="CD97" s="38">
        <f t="shared" si="322"/>
        <v>0</v>
      </c>
      <c r="CE97" s="40">
        <f t="shared" ref="CE97:DS98" si="323">CD97</f>
        <v>0</v>
      </c>
      <c r="CF97" s="38">
        <f t="shared" si="323"/>
        <v>0</v>
      </c>
      <c r="CG97" s="38">
        <f t="shared" si="323"/>
        <v>0</v>
      </c>
      <c r="CH97" s="38">
        <f t="shared" si="323"/>
        <v>0</v>
      </c>
      <c r="CI97" s="38">
        <f t="shared" si="323"/>
        <v>0</v>
      </c>
      <c r="CJ97" s="40">
        <f t="shared" si="323"/>
        <v>0</v>
      </c>
      <c r="CK97" s="38">
        <f t="shared" si="323"/>
        <v>0</v>
      </c>
      <c r="CL97" s="41">
        <f t="shared" si="323"/>
        <v>0</v>
      </c>
      <c r="CM97" s="41">
        <f t="shared" si="323"/>
        <v>0</v>
      </c>
      <c r="CN97" s="41">
        <f t="shared" si="323"/>
        <v>0</v>
      </c>
      <c r="CO97" s="40">
        <f t="shared" si="323"/>
        <v>0</v>
      </c>
      <c r="CP97" s="41">
        <f t="shared" si="323"/>
        <v>0</v>
      </c>
      <c r="CQ97" s="41">
        <f t="shared" si="323"/>
        <v>0</v>
      </c>
      <c r="CR97" s="41">
        <f t="shared" si="323"/>
        <v>0</v>
      </c>
      <c r="CS97" s="41">
        <f t="shared" si="323"/>
        <v>0</v>
      </c>
      <c r="CT97" s="40">
        <f t="shared" si="323"/>
        <v>0</v>
      </c>
      <c r="CU97" s="41">
        <f t="shared" si="323"/>
        <v>0</v>
      </c>
      <c r="CV97" s="41">
        <f t="shared" si="323"/>
        <v>0</v>
      </c>
      <c r="CW97" s="41">
        <f t="shared" si="323"/>
        <v>0</v>
      </c>
      <c r="CX97" s="41">
        <f t="shared" si="323"/>
        <v>0</v>
      </c>
      <c r="CY97" s="40">
        <f t="shared" si="323"/>
        <v>0</v>
      </c>
      <c r="CZ97" s="41">
        <f t="shared" si="323"/>
        <v>0</v>
      </c>
      <c r="DA97" s="41">
        <f t="shared" si="323"/>
        <v>0</v>
      </c>
      <c r="DB97" s="41">
        <f t="shared" si="323"/>
        <v>0</v>
      </c>
      <c r="DC97" s="41">
        <f t="shared" si="323"/>
        <v>0</v>
      </c>
      <c r="DD97" s="40">
        <f t="shared" si="323"/>
        <v>0</v>
      </c>
      <c r="DE97" s="41">
        <f t="shared" si="323"/>
        <v>0</v>
      </c>
      <c r="DF97" s="41">
        <f t="shared" si="323"/>
        <v>0</v>
      </c>
      <c r="DG97" s="41">
        <f t="shared" si="323"/>
        <v>0</v>
      </c>
      <c r="DH97" s="41">
        <f t="shared" si="323"/>
        <v>0</v>
      </c>
      <c r="DI97" s="40">
        <f t="shared" si="323"/>
        <v>0</v>
      </c>
      <c r="DJ97" s="41">
        <f t="shared" si="323"/>
        <v>0</v>
      </c>
      <c r="DK97" s="41">
        <f t="shared" si="323"/>
        <v>0</v>
      </c>
      <c r="DL97" s="41">
        <f t="shared" si="323"/>
        <v>0</v>
      </c>
      <c r="DM97" s="41">
        <f t="shared" si="323"/>
        <v>0</v>
      </c>
      <c r="DN97" s="40">
        <f t="shared" si="323"/>
        <v>0</v>
      </c>
      <c r="DO97" s="41">
        <f t="shared" si="323"/>
        <v>0</v>
      </c>
      <c r="DP97" s="41">
        <f t="shared" si="323"/>
        <v>0</v>
      </c>
      <c r="DQ97" s="41">
        <f t="shared" si="323"/>
        <v>0</v>
      </c>
      <c r="DR97" s="41">
        <f t="shared" si="323"/>
        <v>0</v>
      </c>
      <c r="DS97" s="40">
        <f t="shared" si="323"/>
        <v>0</v>
      </c>
      <c r="DT97" s="41">
        <f t="shared" ref="DT97" si="324">DS97</f>
        <v>0</v>
      </c>
      <c r="DU97" s="41">
        <f t="shared" ref="DU97:DU98" si="325">DT97</f>
        <v>0</v>
      </c>
      <c r="DV97" s="41">
        <f t="shared" ref="DV97:DV98" si="326">DU97</f>
        <v>0</v>
      </c>
      <c r="DW97" s="41">
        <f t="shared" ref="DW97:DW98" si="327">DV97</f>
        <v>0</v>
      </c>
      <c r="DX97" s="40">
        <f t="shared" ref="DX97:DX98" si="328">DW97</f>
        <v>0</v>
      </c>
      <c r="DY97" s="673"/>
      <c r="DZ97" s="673"/>
      <c r="EA97" s="673"/>
      <c r="EB97" s="673"/>
      <c r="EC97" s="673"/>
      <c r="ED97" s="673"/>
      <c r="EE97" s="673"/>
      <c r="EF97" s="673"/>
    </row>
    <row r="98" spans="1:142" hidden="1" outlineLevel="2" x14ac:dyDescent="0.2">
      <c r="A98" s="87" t="s">
        <v>777</v>
      </c>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158"/>
      <c r="AW98" s="38"/>
      <c r="AX98" s="38"/>
      <c r="AY98" s="38"/>
      <c r="AZ98" s="38"/>
      <c r="BA98" s="40"/>
      <c r="BB98" s="38"/>
      <c r="BC98" s="38"/>
      <c r="BD98" s="38"/>
      <c r="BE98" s="38"/>
      <c r="BF98" s="40"/>
      <c r="BG98" s="38"/>
      <c r="BH98" s="38"/>
      <c r="BI98" s="38"/>
      <c r="BJ98" s="38"/>
      <c r="BK98" s="40"/>
      <c r="BL98" s="38"/>
      <c r="BM98" s="38"/>
      <c r="BN98" s="38"/>
      <c r="BO98" s="38"/>
      <c r="BP98" s="40"/>
      <c r="BQ98" s="38"/>
      <c r="BR98" s="38"/>
      <c r="BS98" s="1045"/>
      <c r="BT98" s="41"/>
      <c r="BU98" s="40"/>
      <c r="BV98" s="38"/>
      <c r="BW98" s="1348"/>
      <c r="BX98" s="38">
        <v>-188.6</v>
      </c>
      <c r="BY98" s="38"/>
      <c r="BZ98" s="40"/>
      <c r="CA98" s="38">
        <v>-215.1</v>
      </c>
      <c r="CB98" s="38">
        <v>-205.9</v>
      </c>
      <c r="CC98" s="38">
        <v>-196.5</v>
      </c>
      <c r="CD98" s="38">
        <v>-187.1</v>
      </c>
      <c r="CE98" s="40">
        <f t="shared" ref="CE98" si="329">CD98</f>
        <v>-187.1</v>
      </c>
      <c r="CF98" s="38">
        <v>-193.3</v>
      </c>
      <c r="CG98" s="38">
        <f t="shared" ref="CG98" si="330">CF98</f>
        <v>-193.3</v>
      </c>
      <c r="CH98" s="38">
        <f t="shared" ref="CH98" si="331">CG98</f>
        <v>-193.3</v>
      </c>
      <c r="CI98" s="38">
        <f t="shared" ref="CI98" si="332">CH98</f>
        <v>-193.3</v>
      </c>
      <c r="CJ98" s="40">
        <f t="shared" ref="CJ98" si="333">CI98</f>
        <v>-193.3</v>
      </c>
      <c r="CK98" s="38">
        <f>CJ98</f>
        <v>-193.3</v>
      </c>
      <c r="CL98" s="41">
        <f t="shared" si="323"/>
        <v>-193.3</v>
      </c>
      <c r="CM98" s="41">
        <f t="shared" si="323"/>
        <v>-193.3</v>
      </c>
      <c r="CN98" s="41">
        <f t="shared" si="323"/>
        <v>-193.3</v>
      </c>
      <c r="CO98" s="40">
        <f t="shared" si="323"/>
        <v>-193.3</v>
      </c>
      <c r="CP98" s="41">
        <f>CO98</f>
        <v>-193.3</v>
      </c>
      <c r="CQ98" s="41">
        <f t="shared" ref="CQ98" si="334">CP98</f>
        <v>-193.3</v>
      </c>
      <c r="CR98" s="41">
        <f t="shared" ref="CR98" si="335">CQ98</f>
        <v>-193.3</v>
      </c>
      <c r="CS98" s="41">
        <f t="shared" ref="CS98" si="336">CR98</f>
        <v>-193.3</v>
      </c>
      <c r="CT98" s="40">
        <f t="shared" si="323"/>
        <v>-193.3</v>
      </c>
      <c r="CU98" s="41">
        <f>CT98</f>
        <v>-193.3</v>
      </c>
      <c r="CV98" s="41">
        <f t="shared" si="323"/>
        <v>-193.3</v>
      </c>
      <c r="CW98" s="41">
        <f t="shared" si="323"/>
        <v>-193.3</v>
      </c>
      <c r="CX98" s="41">
        <f t="shared" si="323"/>
        <v>-193.3</v>
      </c>
      <c r="CY98" s="40">
        <f t="shared" si="323"/>
        <v>-193.3</v>
      </c>
      <c r="CZ98" s="41">
        <f>CY98</f>
        <v>-193.3</v>
      </c>
      <c r="DA98" s="41">
        <f t="shared" ref="DA98" si="337">CZ98</f>
        <v>-193.3</v>
      </c>
      <c r="DB98" s="41">
        <f t="shared" ref="DB98" si="338">DA98</f>
        <v>-193.3</v>
      </c>
      <c r="DC98" s="41">
        <f t="shared" ref="DC98" si="339">DB98</f>
        <v>-193.3</v>
      </c>
      <c r="DD98" s="40">
        <f t="shared" ref="DD98" si="340">DC98</f>
        <v>-193.3</v>
      </c>
      <c r="DE98" s="41">
        <f>DD98</f>
        <v>-193.3</v>
      </c>
      <c r="DF98" s="41">
        <f t="shared" ref="DF98" si="341">DE98</f>
        <v>-193.3</v>
      </c>
      <c r="DG98" s="41">
        <f t="shared" ref="DG98" si="342">DF98</f>
        <v>-193.3</v>
      </c>
      <c r="DH98" s="41">
        <f t="shared" ref="DH98" si="343">DG98</f>
        <v>-193.3</v>
      </c>
      <c r="DI98" s="40">
        <f t="shared" ref="DI98" si="344">DH98</f>
        <v>-193.3</v>
      </c>
      <c r="DJ98" s="41">
        <f>DI98</f>
        <v>-193.3</v>
      </c>
      <c r="DK98" s="41">
        <f t="shared" ref="DK98" si="345">DJ98</f>
        <v>-193.3</v>
      </c>
      <c r="DL98" s="41">
        <f t="shared" ref="DL98" si="346">DK98</f>
        <v>-193.3</v>
      </c>
      <c r="DM98" s="41">
        <f t="shared" ref="DM98" si="347">DL98</f>
        <v>-193.3</v>
      </c>
      <c r="DN98" s="40">
        <f t="shared" ref="DN98" si="348">DM98</f>
        <v>-193.3</v>
      </c>
      <c r="DO98" s="41">
        <f>DN98</f>
        <v>-193.3</v>
      </c>
      <c r="DP98" s="41">
        <f t="shared" ref="DP98" si="349">DO98</f>
        <v>-193.3</v>
      </c>
      <c r="DQ98" s="41">
        <f t="shared" ref="DQ98" si="350">DP98</f>
        <v>-193.3</v>
      </c>
      <c r="DR98" s="41">
        <f t="shared" ref="DR98" si="351">DQ98</f>
        <v>-193.3</v>
      </c>
      <c r="DS98" s="40">
        <f t="shared" ref="DS98" si="352">DR98</f>
        <v>-193.3</v>
      </c>
      <c r="DT98" s="41">
        <f>DS98</f>
        <v>-193.3</v>
      </c>
      <c r="DU98" s="41">
        <f t="shared" si="325"/>
        <v>-193.3</v>
      </c>
      <c r="DV98" s="41">
        <f t="shared" si="326"/>
        <v>-193.3</v>
      </c>
      <c r="DW98" s="41">
        <f t="shared" si="327"/>
        <v>-193.3</v>
      </c>
      <c r="DX98" s="40">
        <f t="shared" si="328"/>
        <v>-193.3</v>
      </c>
      <c r="DY98" s="673"/>
      <c r="DZ98" s="673"/>
      <c r="EA98" s="673"/>
      <c r="EB98" s="673"/>
      <c r="EC98" s="673"/>
      <c r="ED98" s="673"/>
      <c r="EE98" s="673"/>
      <c r="EF98" s="673"/>
    </row>
    <row r="99" spans="1:142" hidden="1" outlineLevel="1" collapsed="1" x14ac:dyDescent="0.2">
      <c r="A99" s="82" t="s">
        <v>179</v>
      </c>
      <c r="B99" s="46"/>
      <c r="C99" s="46"/>
      <c r="D99" s="46"/>
      <c r="E99" s="46"/>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891"/>
      <c r="AW99" s="46"/>
      <c r="AX99" s="46"/>
      <c r="AY99" s="46"/>
      <c r="AZ99" s="46"/>
      <c r="BA99" s="48"/>
      <c r="BB99" s="46"/>
      <c r="BC99" s="46"/>
      <c r="BD99" s="46"/>
      <c r="BE99" s="46"/>
      <c r="BF99" s="48"/>
      <c r="BG99" s="46"/>
      <c r="BH99" s="46"/>
      <c r="BI99" s="46"/>
      <c r="BJ99" s="46"/>
      <c r="BK99" s="48">
        <f t="shared" ref="BK99:BS99" si="353">SUM(BK91:BK97)</f>
        <v>2950.2</v>
      </c>
      <c r="BL99" s="46">
        <f t="shared" si="353"/>
        <v>2951.5</v>
      </c>
      <c r="BM99" s="46">
        <f t="shared" si="353"/>
        <v>2953.3</v>
      </c>
      <c r="BN99" s="46">
        <f t="shared" si="353"/>
        <v>2955.2</v>
      </c>
      <c r="BO99" s="46">
        <f t="shared" si="353"/>
        <v>2951.1</v>
      </c>
      <c r="BP99" s="48">
        <f t="shared" si="353"/>
        <v>2951.1</v>
      </c>
      <c r="BQ99" s="46">
        <f t="shared" si="353"/>
        <v>2947.2999999999997</v>
      </c>
      <c r="BR99" s="46">
        <f t="shared" si="353"/>
        <v>2943.7999999999997</v>
      </c>
      <c r="BS99" s="1046">
        <f t="shared" si="353"/>
        <v>2940.6</v>
      </c>
      <c r="BT99" s="46">
        <f>SUM(BT81:BT91)</f>
        <v>10042.9</v>
      </c>
      <c r="BU99" s="48">
        <f t="shared" ref="BU99" si="354">SUM(BU81:BU91)</f>
        <v>10042.9</v>
      </c>
      <c r="BV99" s="46">
        <f>SUM(BV79:BV97)</f>
        <v>8981.2249999999985</v>
      </c>
      <c r="BW99" s="1102">
        <f>SUM(BW79:BW97)</f>
        <v>8719.244999999999</v>
      </c>
      <c r="BX99" s="46">
        <f>SUM(BX79:BX98)</f>
        <v>8510.7999999999993</v>
      </c>
      <c r="BY99" s="46">
        <f t="shared" ref="BY99:BZ99" si="355">SUM(BY79:BY97)</f>
        <v>8682.5249999999996</v>
      </c>
      <c r="BZ99" s="48">
        <f t="shared" si="355"/>
        <v>8682.5249999999996</v>
      </c>
      <c r="CA99" s="46">
        <f>SUM(CA79:CA98)</f>
        <v>8504.9</v>
      </c>
      <c r="CB99" s="46">
        <f>SUM(CB79:CB98)</f>
        <v>8501.7000000000007</v>
      </c>
      <c r="CC99" s="46">
        <f t="shared" ref="CC99:CE99" si="356">SUM(CC79:CC98)</f>
        <v>8496.7000000000007</v>
      </c>
      <c r="CD99" s="46">
        <f t="shared" si="356"/>
        <v>8485</v>
      </c>
      <c r="CE99" s="48">
        <f t="shared" si="356"/>
        <v>8485</v>
      </c>
      <c r="CF99" s="46">
        <f t="shared" ref="CF99" si="357">SUM(CF79:CF98)</f>
        <v>9622.2000000000007</v>
      </c>
      <c r="CG99" s="46">
        <f t="shared" ref="CG99" si="358">SUM(CG79:CG98)</f>
        <v>11355.325000000001</v>
      </c>
      <c r="CH99" s="46">
        <f t="shared" ref="CH99" si="359">SUM(CH79:CH98)</f>
        <v>11388.45</v>
      </c>
      <c r="CI99" s="46">
        <f t="shared" ref="CI99" si="360">SUM(CI79:CI98)</f>
        <v>11871.575000000001</v>
      </c>
      <c r="CJ99" s="48">
        <f t="shared" ref="CJ99" si="361">SUM(CJ79:CJ98)</f>
        <v>11871.575000000001</v>
      </c>
      <c r="CK99" s="46">
        <f>SUM(CK79:CK98)</f>
        <v>11854.7</v>
      </c>
      <c r="CL99" s="46">
        <f t="shared" ref="CL99:CN99" si="362">SUM(CL79:CL98)</f>
        <v>11837.825000000001</v>
      </c>
      <c r="CM99" s="46">
        <f t="shared" si="362"/>
        <v>11820.95</v>
      </c>
      <c r="CN99" s="46">
        <f t="shared" si="362"/>
        <v>11804.075000000001</v>
      </c>
      <c r="CO99" s="48">
        <f>SUM(CO79:CO98)</f>
        <v>11804.075000000001</v>
      </c>
      <c r="CP99" s="46">
        <f>SUM(CP79:CP98)</f>
        <v>11787.2</v>
      </c>
      <c r="CQ99" s="46">
        <f t="shared" ref="CQ99:CS99" si="363">SUM(CQ79:CQ98)</f>
        <v>11770.325000000001</v>
      </c>
      <c r="CR99" s="46">
        <f t="shared" si="363"/>
        <v>11753.45</v>
      </c>
      <c r="CS99" s="46">
        <f t="shared" si="363"/>
        <v>11736.575000000001</v>
      </c>
      <c r="CT99" s="48">
        <f>SUM(CT79:CT98)</f>
        <v>11736.575000000001</v>
      </c>
      <c r="CU99" s="46">
        <f>SUM(CU79:CU98)</f>
        <v>11719.7</v>
      </c>
      <c r="CV99" s="46">
        <f t="shared" ref="CV99:CX99" si="364">SUM(CV79:CV98)</f>
        <v>11702.825000000001</v>
      </c>
      <c r="CW99" s="46">
        <f t="shared" si="364"/>
        <v>11685.95</v>
      </c>
      <c r="CX99" s="46">
        <f t="shared" si="364"/>
        <v>11669.075000000001</v>
      </c>
      <c r="CY99" s="48">
        <f>SUM(CY79:CY98)</f>
        <v>11669.075000000001</v>
      </c>
      <c r="CZ99" s="46">
        <f t="shared" ref="CZ99:DD99" si="365">SUM(CZ79:CZ98)</f>
        <v>11652.2</v>
      </c>
      <c r="DA99" s="46">
        <f t="shared" si="365"/>
        <v>11635.325000000001</v>
      </c>
      <c r="DB99" s="46">
        <f t="shared" si="365"/>
        <v>11618.45</v>
      </c>
      <c r="DC99" s="47">
        <f t="shared" si="365"/>
        <v>10985.1</v>
      </c>
      <c r="DD99" s="47">
        <f t="shared" si="365"/>
        <v>10985.1</v>
      </c>
      <c r="DE99" s="46">
        <f>SUM(DE79:DE98)</f>
        <v>10971.35</v>
      </c>
      <c r="DF99" s="46">
        <f t="shared" ref="DF99:DH99" si="366">SUM(DF79:DF98)</f>
        <v>10957.6</v>
      </c>
      <c r="DG99" s="46">
        <f t="shared" si="366"/>
        <v>10943.85</v>
      </c>
      <c r="DH99" s="46">
        <f t="shared" si="366"/>
        <v>10930.1</v>
      </c>
      <c r="DI99" s="48">
        <f>SUM(DI79:DI98)</f>
        <v>10930.1</v>
      </c>
      <c r="DJ99" s="46">
        <f>SUM(DJ79:DJ98)</f>
        <v>10916.35</v>
      </c>
      <c r="DK99" s="46">
        <f t="shared" ref="DK99:DM99" si="367">SUM(DK79:DK98)</f>
        <v>10902.6</v>
      </c>
      <c r="DL99" s="46">
        <f t="shared" si="367"/>
        <v>10888.85</v>
      </c>
      <c r="DM99" s="46">
        <f t="shared" si="367"/>
        <v>10875.1</v>
      </c>
      <c r="DN99" s="48">
        <f t="shared" ref="DN99:DX99" si="368">SUM(DN79:DN98)</f>
        <v>10875.1</v>
      </c>
      <c r="DO99" s="46">
        <f t="shared" si="368"/>
        <v>10861.35</v>
      </c>
      <c r="DP99" s="46">
        <f t="shared" si="368"/>
        <v>10847.6</v>
      </c>
      <c r="DQ99" s="46">
        <f t="shared" si="368"/>
        <v>10833.85</v>
      </c>
      <c r="DR99" s="46">
        <f t="shared" si="368"/>
        <v>10820.1</v>
      </c>
      <c r="DS99" s="48">
        <f t="shared" si="368"/>
        <v>10820.1</v>
      </c>
      <c r="DT99" s="46">
        <f t="shared" si="368"/>
        <v>10806.35</v>
      </c>
      <c r="DU99" s="46">
        <f t="shared" si="368"/>
        <v>10792.6</v>
      </c>
      <c r="DV99" s="46">
        <f t="shared" si="368"/>
        <v>10778.85</v>
      </c>
      <c r="DW99" s="46">
        <f t="shared" si="368"/>
        <v>10765.1</v>
      </c>
      <c r="DX99" s="48">
        <f t="shared" si="368"/>
        <v>10765.1</v>
      </c>
      <c r="DY99" s="780"/>
      <c r="DZ99" s="780"/>
      <c r="EA99" s="780"/>
      <c r="EB99" s="780"/>
      <c r="EC99" s="780"/>
      <c r="ED99" s="780"/>
      <c r="EE99" s="780"/>
      <c r="EF99" s="780"/>
    </row>
    <row r="100" spans="1:142" hidden="1" outlineLevel="1" x14ac:dyDescent="0.2">
      <c r="A100" s="87" t="s">
        <v>102</v>
      </c>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158"/>
      <c r="AW100" s="38"/>
      <c r="AX100" s="38"/>
      <c r="AY100" s="38"/>
      <c r="AZ100" s="38"/>
      <c r="BA100" s="40"/>
      <c r="BB100" s="38"/>
      <c r="BC100" s="38"/>
      <c r="BD100" s="38"/>
      <c r="BE100" s="38"/>
      <c r="BF100" s="40"/>
      <c r="BG100" s="38"/>
      <c r="BH100" s="38"/>
      <c r="BI100" s="38"/>
      <c r="BJ100" s="38"/>
      <c r="BK100" s="40">
        <v>-45.1</v>
      </c>
      <c r="BL100" s="38">
        <v>-51.5</v>
      </c>
      <c r="BM100" s="38">
        <v>-58</v>
      </c>
      <c r="BN100" s="38">
        <v>-64.400000000000006</v>
      </c>
      <c r="BO100" s="38">
        <f>BP100</f>
        <v>-70.900000000000006</v>
      </c>
      <c r="BP100" s="40">
        <v>-70.900000000000006</v>
      </c>
      <c r="BQ100" s="38">
        <v>-77.400000000000006</v>
      </c>
      <c r="BR100" s="38">
        <v>-83.8</v>
      </c>
      <c r="BS100" s="1045">
        <v>-90.3</v>
      </c>
      <c r="BT100" s="38">
        <v>-61.4</v>
      </c>
      <c r="BU100" s="40">
        <f>BT100</f>
        <v>-61.4</v>
      </c>
      <c r="BV100" s="38">
        <f>BU100</f>
        <v>-61.4</v>
      </c>
      <c r="BW100" s="1348">
        <f>-SUM(BX111:BY111,CA111:CB111)</f>
        <v>-57.024999999999636</v>
      </c>
      <c r="BX100" s="38">
        <v>-39.1</v>
      </c>
      <c r="BY100" s="38">
        <f>-SUM(CA111,CB111:CD111)</f>
        <v>2.5249999999996362</v>
      </c>
      <c r="BZ100" s="40">
        <f>BY100</f>
        <v>2.5249999999996362</v>
      </c>
      <c r="CA100" s="38">
        <v>-39.299999999999997</v>
      </c>
      <c r="CB100" s="38">
        <v>-76.5</v>
      </c>
      <c r="CC100" s="38">
        <v>-75.400000000000006</v>
      </c>
      <c r="CD100" s="38">
        <v>-74.8</v>
      </c>
      <c r="CE100" s="40">
        <f>CD100</f>
        <v>-74.8</v>
      </c>
      <c r="CF100" s="38">
        <v>-90.7</v>
      </c>
      <c r="CG100" s="38">
        <f>-SUM(CH111:CI111,CK111:CL111)</f>
        <v>-67.5</v>
      </c>
      <c r="CH100" s="38">
        <f>-SUM(CI111,CK111:CM111)</f>
        <v>-67.5</v>
      </c>
      <c r="CI100" s="38">
        <f>-SUM(CK111,CL111:CN111)</f>
        <v>-67.5</v>
      </c>
      <c r="CJ100" s="40">
        <f>CI100</f>
        <v>-67.5</v>
      </c>
      <c r="CK100" s="38">
        <f>-SUM(CL111,CM111,CN111,CP111)</f>
        <v>-67.5</v>
      </c>
      <c r="CL100" s="41">
        <f>-SUM(CM111:CN111,CP111:CQ111)</f>
        <v>-67.5</v>
      </c>
      <c r="CM100" s="41">
        <f>-SUM(CN111,CP111:CR111)</f>
        <v>-67.5</v>
      </c>
      <c r="CN100" s="41">
        <f>-SUM(CP111,CQ111:CS111)</f>
        <v>-67.5</v>
      </c>
      <c r="CO100" s="40">
        <f>CN100</f>
        <v>-67.5</v>
      </c>
      <c r="CP100" s="41">
        <f>-SUM(CQ111,CR111,CS111,CU111)</f>
        <v>-67.5</v>
      </c>
      <c r="CQ100" s="41">
        <f>-SUM(CR111:CS111,CU111:CV111)</f>
        <v>-67.5</v>
      </c>
      <c r="CR100" s="41">
        <f>-SUM(CS111,CU111:CW111)</f>
        <v>-67.5</v>
      </c>
      <c r="CS100" s="41">
        <f>-SUM(CU111,CV111:CX111)</f>
        <v>-67.5</v>
      </c>
      <c r="CT100" s="40">
        <f>CS100</f>
        <v>-67.5</v>
      </c>
      <c r="CU100" s="41">
        <f>-SUM(CV111,CW111,CX111,CZ111)</f>
        <v>-67.5</v>
      </c>
      <c r="CV100" s="41">
        <f>-SUM(CW111:CX111,CZ111:DA111)</f>
        <v>-67.5</v>
      </c>
      <c r="CW100" s="41">
        <f>-SUM(CX111,CZ111:DB111)</f>
        <v>-67.5</v>
      </c>
      <c r="CX100" s="41">
        <f>-SUM(CZ111,DA111:DC111)</f>
        <v>-6183.9750000000004</v>
      </c>
      <c r="CY100" s="40">
        <f>CX100</f>
        <v>-6183.9750000000004</v>
      </c>
      <c r="CZ100" s="41">
        <f>-SUM(DA111,DB111,DC111,DE111)</f>
        <v>-6167.1</v>
      </c>
      <c r="DA100" s="41">
        <f>-SUM(DB111:DC111,DE111:DF111)</f>
        <v>-6150.2250000000004</v>
      </c>
      <c r="DB100" s="41">
        <f>-SUM(DC111,DE111:DG111)</f>
        <v>-6133.35</v>
      </c>
      <c r="DC100" s="41">
        <f>-SUM(DE111,DF111:DH111)</f>
        <v>0</v>
      </c>
      <c r="DD100" s="40">
        <f>DC100</f>
        <v>0</v>
      </c>
      <c r="DE100" s="41">
        <f>-SUM(DF111,DG111,DH111,DJ111)</f>
        <v>0</v>
      </c>
      <c r="DF100" s="41">
        <f>-SUM(DG111:DH111,DJ111:DK111)</f>
        <v>0</v>
      </c>
      <c r="DG100" s="41">
        <f>-SUM(DH111,DJ111:DL111)</f>
        <v>0</v>
      </c>
      <c r="DH100" s="41">
        <f>-SUM(DJ111,DK111:DM111)</f>
        <v>0</v>
      </c>
      <c r="DI100" s="40">
        <f>DH100</f>
        <v>0</v>
      </c>
      <c r="DJ100" s="41">
        <f>-SUM(DK111,DL111,DM111,DO111)</f>
        <v>0</v>
      </c>
      <c r="DK100" s="41">
        <f>-SUM(DL111:DM111,DO111:DP111)</f>
        <v>0</v>
      </c>
      <c r="DL100" s="41">
        <f>-SUM(DM111,DO111:DQ111)</f>
        <v>0</v>
      </c>
      <c r="DM100" s="41">
        <f>-SUM(DO111,DP111:DR111)</f>
        <v>0</v>
      </c>
      <c r="DN100" s="40">
        <f>DM100</f>
        <v>0</v>
      </c>
      <c r="DO100" s="41">
        <f>DJ100</f>
        <v>0</v>
      </c>
      <c r="DP100" s="41">
        <f>DK100</f>
        <v>0</v>
      </c>
      <c r="DQ100" s="41">
        <f>DL100</f>
        <v>0</v>
      </c>
      <c r="DR100" s="41">
        <f>DM100</f>
        <v>0</v>
      </c>
      <c r="DS100" s="40">
        <f>DR100</f>
        <v>0</v>
      </c>
      <c r="DT100" s="41">
        <f>DO100</f>
        <v>0</v>
      </c>
      <c r="DU100" s="41">
        <f>DP100</f>
        <v>0</v>
      </c>
      <c r="DV100" s="41">
        <f>DQ100</f>
        <v>0</v>
      </c>
      <c r="DW100" s="41">
        <f>DR100</f>
        <v>0</v>
      </c>
      <c r="DX100" s="40">
        <f>DW100</f>
        <v>0</v>
      </c>
      <c r="DY100" s="673"/>
      <c r="DZ100" s="673"/>
      <c r="EA100" s="673"/>
      <c r="EB100" s="673"/>
      <c r="EC100" s="673"/>
      <c r="ED100" s="673"/>
      <c r="EE100" s="673"/>
      <c r="EF100" s="673"/>
    </row>
    <row r="101" spans="1:142" hidden="1" outlineLevel="1" x14ac:dyDescent="0.2">
      <c r="A101" s="87" t="s">
        <v>634</v>
      </c>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158"/>
      <c r="AW101" s="38"/>
      <c r="AX101" s="38"/>
      <c r="AY101" s="38"/>
      <c r="AZ101" s="38"/>
      <c r="BA101" s="40"/>
      <c r="BB101" s="38"/>
      <c r="BC101" s="38"/>
      <c r="BD101" s="38"/>
      <c r="BE101" s="38"/>
      <c r="BF101" s="40"/>
      <c r="BG101" s="38"/>
      <c r="BH101" s="38"/>
      <c r="BI101" s="38"/>
      <c r="BJ101" s="38"/>
      <c r="BK101" s="40"/>
      <c r="BL101" s="38"/>
      <c r="BM101" s="38"/>
      <c r="BN101" s="38"/>
      <c r="BO101" s="38"/>
      <c r="BP101" s="40"/>
      <c r="BQ101" s="38"/>
      <c r="BR101" s="38"/>
      <c r="BS101" s="1045"/>
      <c r="BT101" s="38">
        <v>-1044.8</v>
      </c>
      <c r="BU101" s="40">
        <f>BT101</f>
        <v>-1044.8</v>
      </c>
      <c r="BV101" s="38">
        <v>0</v>
      </c>
      <c r="BW101" s="1348"/>
      <c r="BX101" s="38"/>
      <c r="BY101" s="38"/>
      <c r="BZ101" s="40"/>
      <c r="CA101" s="38">
        <v>0</v>
      </c>
      <c r="CB101" s="38"/>
      <c r="CC101" s="38"/>
      <c r="CD101" s="38"/>
      <c r="CE101" s="40"/>
      <c r="CF101" s="38"/>
      <c r="CG101" s="38"/>
      <c r="CH101" s="38"/>
      <c r="CI101" s="38"/>
      <c r="CJ101" s="40"/>
      <c r="CK101" s="38"/>
      <c r="CL101" s="41"/>
      <c r="CM101" s="41"/>
      <c r="CN101" s="41"/>
      <c r="CO101" s="40"/>
      <c r="CP101" s="41"/>
      <c r="CQ101" s="41"/>
      <c r="CR101" s="41"/>
      <c r="CS101" s="41"/>
      <c r="CT101" s="40"/>
      <c r="CU101" s="41"/>
      <c r="CV101" s="41"/>
      <c r="CW101" s="41"/>
      <c r="CX101" s="41"/>
      <c r="CY101" s="40"/>
      <c r="CZ101" s="41"/>
      <c r="DA101" s="41"/>
      <c r="DB101" s="41"/>
      <c r="DC101" s="41"/>
      <c r="DD101" s="40"/>
      <c r="DE101" s="41"/>
      <c r="DF101" s="41"/>
      <c r="DG101" s="41"/>
      <c r="DH101" s="41"/>
      <c r="DI101" s="40"/>
      <c r="DJ101" s="41"/>
      <c r="DK101" s="41"/>
      <c r="DL101" s="41"/>
      <c r="DM101" s="41"/>
      <c r="DN101" s="40"/>
      <c r="DO101" s="41"/>
      <c r="DP101" s="41"/>
      <c r="DQ101" s="41"/>
      <c r="DR101" s="41"/>
      <c r="DS101" s="40"/>
      <c r="DT101" s="41"/>
      <c r="DU101" s="41"/>
      <c r="DV101" s="41"/>
      <c r="DW101" s="41"/>
      <c r="DX101" s="40"/>
      <c r="DY101" s="673"/>
      <c r="DZ101" s="673"/>
      <c r="EA101" s="673"/>
      <c r="EB101" s="673"/>
      <c r="EC101" s="673"/>
      <c r="ED101" s="673"/>
      <c r="EE101" s="673"/>
      <c r="EF101" s="673"/>
    </row>
    <row r="102" spans="1:142" hidden="1" outlineLevel="1" x14ac:dyDescent="0.2">
      <c r="A102" s="904" t="s">
        <v>180</v>
      </c>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157"/>
      <c r="AW102" s="33"/>
      <c r="AX102" s="33"/>
      <c r="AY102" s="33"/>
      <c r="AZ102" s="33"/>
      <c r="BA102" s="793"/>
      <c r="BB102" s="33"/>
      <c r="BC102" s="33"/>
      <c r="BD102" s="33"/>
      <c r="BE102" s="33"/>
      <c r="BF102" s="793"/>
      <c r="BG102" s="33"/>
      <c r="BH102" s="33"/>
      <c r="BI102" s="33"/>
      <c r="BJ102" s="33"/>
      <c r="BK102" s="792">
        <f t="shared" ref="BK102:CP102" si="369">BK99+BK100</f>
        <v>2905.1</v>
      </c>
      <c r="BL102" s="905">
        <f t="shared" si="369"/>
        <v>2900</v>
      </c>
      <c r="BM102" s="905">
        <f t="shared" si="369"/>
        <v>2895.3</v>
      </c>
      <c r="BN102" s="905">
        <f t="shared" si="369"/>
        <v>2890.7999999999997</v>
      </c>
      <c r="BO102" s="905">
        <f t="shared" si="369"/>
        <v>2880.2</v>
      </c>
      <c r="BP102" s="792">
        <f t="shared" si="369"/>
        <v>2880.2</v>
      </c>
      <c r="BQ102" s="905">
        <f>BQ33</f>
        <v>2869.9</v>
      </c>
      <c r="BR102" s="905">
        <f t="shared" si="369"/>
        <v>2859.9999999999995</v>
      </c>
      <c r="BS102" s="1047">
        <f t="shared" si="369"/>
        <v>2850.2999999999997</v>
      </c>
      <c r="BT102" s="905">
        <f>BT99+BT100+BT101</f>
        <v>8936.7000000000007</v>
      </c>
      <c r="BU102" s="792">
        <f t="shared" ref="BU102" si="370">BU99+BU100+BU101</f>
        <v>8936.7000000000007</v>
      </c>
      <c r="BV102" s="905">
        <f t="shared" si="369"/>
        <v>8919.8249999999989</v>
      </c>
      <c r="BW102" s="905">
        <f t="shared" si="369"/>
        <v>8662.2199999999993</v>
      </c>
      <c r="BX102" s="905">
        <f>BX99+BX100</f>
        <v>8471.6999999999989</v>
      </c>
      <c r="BY102" s="905">
        <f t="shared" si="369"/>
        <v>8685.0499999999993</v>
      </c>
      <c r="BZ102" s="792">
        <f t="shared" si="369"/>
        <v>8685.0499999999993</v>
      </c>
      <c r="CA102" s="905">
        <f t="shared" ref="CA102" si="371">CA99+CA100</f>
        <v>8465.6</v>
      </c>
      <c r="CB102" s="905">
        <f t="shared" si="369"/>
        <v>8425.2000000000007</v>
      </c>
      <c r="CC102" s="905">
        <f t="shared" si="369"/>
        <v>8421.3000000000011</v>
      </c>
      <c r="CD102" s="905">
        <f t="shared" si="369"/>
        <v>8410.2000000000007</v>
      </c>
      <c r="CE102" s="792">
        <f t="shared" si="369"/>
        <v>8410.2000000000007</v>
      </c>
      <c r="CF102" s="905">
        <f t="shared" si="369"/>
        <v>9531.5</v>
      </c>
      <c r="CG102" s="905">
        <f t="shared" si="369"/>
        <v>11287.825000000001</v>
      </c>
      <c r="CH102" s="905">
        <f t="shared" si="369"/>
        <v>11320.95</v>
      </c>
      <c r="CI102" s="905">
        <f t="shared" si="369"/>
        <v>11804.075000000001</v>
      </c>
      <c r="CJ102" s="792">
        <f t="shared" si="369"/>
        <v>11804.075000000001</v>
      </c>
      <c r="CK102" s="905">
        <f t="shared" si="369"/>
        <v>11787.2</v>
      </c>
      <c r="CL102" s="905">
        <f t="shared" si="369"/>
        <v>11770.325000000001</v>
      </c>
      <c r="CM102" s="905">
        <f t="shared" si="369"/>
        <v>11753.45</v>
      </c>
      <c r="CN102" s="905">
        <f>CN99+CN100</f>
        <v>11736.575000000001</v>
      </c>
      <c r="CO102" s="792">
        <f t="shared" si="369"/>
        <v>11736.575000000001</v>
      </c>
      <c r="CP102" s="905">
        <f t="shared" si="369"/>
        <v>11719.7</v>
      </c>
      <c r="CQ102" s="905">
        <f t="shared" ref="CQ102:DS102" si="372">CQ99+CQ100</f>
        <v>11702.825000000001</v>
      </c>
      <c r="CR102" s="905">
        <f t="shared" si="372"/>
        <v>11685.95</v>
      </c>
      <c r="CS102" s="905">
        <f t="shared" si="372"/>
        <v>11669.075000000001</v>
      </c>
      <c r="CT102" s="792">
        <f t="shared" si="372"/>
        <v>11669.075000000001</v>
      </c>
      <c r="CU102" s="905">
        <f t="shared" si="372"/>
        <v>11652.2</v>
      </c>
      <c r="CV102" s="905">
        <f t="shared" si="372"/>
        <v>11635.325000000001</v>
      </c>
      <c r="CW102" s="905">
        <f t="shared" si="372"/>
        <v>11618.45</v>
      </c>
      <c r="CX102" s="905">
        <f t="shared" si="372"/>
        <v>5485.1</v>
      </c>
      <c r="CY102" s="792">
        <f t="shared" si="372"/>
        <v>5485.1</v>
      </c>
      <c r="CZ102" s="905">
        <f t="shared" si="372"/>
        <v>5485.1</v>
      </c>
      <c r="DA102" s="905">
        <f t="shared" si="372"/>
        <v>5485.1</v>
      </c>
      <c r="DB102" s="905">
        <f t="shared" si="372"/>
        <v>5485.1</v>
      </c>
      <c r="DC102" s="905">
        <f t="shared" si="372"/>
        <v>10985.1</v>
      </c>
      <c r="DD102" s="792">
        <f t="shared" si="372"/>
        <v>10985.1</v>
      </c>
      <c r="DE102" s="905">
        <f t="shared" si="372"/>
        <v>10971.35</v>
      </c>
      <c r="DF102" s="905">
        <f t="shared" si="372"/>
        <v>10957.6</v>
      </c>
      <c r="DG102" s="905">
        <f t="shared" si="372"/>
        <v>10943.85</v>
      </c>
      <c r="DH102" s="905">
        <f t="shared" si="372"/>
        <v>10930.1</v>
      </c>
      <c r="DI102" s="792">
        <f t="shared" si="372"/>
        <v>10930.1</v>
      </c>
      <c r="DJ102" s="905">
        <f t="shared" si="372"/>
        <v>10916.35</v>
      </c>
      <c r="DK102" s="905">
        <f t="shared" si="372"/>
        <v>10902.6</v>
      </c>
      <c r="DL102" s="905">
        <f t="shared" si="372"/>
        <v>10888.85</v>
      </c>
      <c r="DM102" s="905">
        <f t="shared" si="372"/>
        <v>10875.1</v>
      </c>
      <c r="DN102" s="792">
        <f t="shared" si="372"/>
        <v>10875.1</v>
      </c>
      <c r="DO102" s="905">
        <f t="shared" si="372"/>
        <v>10861.35</v>
      </c>
      <c r="DP102" s="905">
        <f t="shared" si="372"/>
        <v>10847.6</v>
      </c>
      <c r="DQ102" s="905">
        <f t="shared" si="372"/>
        <v>10833.85</v>
      </c>
      <c r="DR102" s="905">
        <f t="shared" si="372"/>
        <v>10820.1</v>
      </c>
      <c r="DS102" s="792">
        <f t="shared" si="372"/>
        <v>10820.1</v>
      </c>
      <c r="DT102" s="905">
        <f t="shared" ref="DT102:DX102" si="373">DT99+DT100</f>
        <v>10806.35</v>
      </c>
      <c r="DU102" s="905">
        <f t="shared" si="373"/>
        <v>10792.6</v>
      </c>
      <c r="DV102" s="905">
        <f t="shared" si="373"/>
        <v>10778.85</v>
      </c>
      <c r="DW102" s="905">
        <f t="shared" si="373"/>
        <v>10765.1</v>
      </c>
      <c r="DX102" s="792">
        <f t="shared" si="373"/>
        <v>10765.1</v>
      </c>
      <c r="DY102" s="25"/>
      <c r="DZ102" s="25"/>
      <c r="EA102" s="25"/>
      <c r="EB102" s="25"/>
      <c r="EC102" s="25"/>
      <c r="ED102" s="25"/>
      <c r="EE102" s="25"/>
      <c r="EF102" s="25"/>
    </row>
    <row r="103" spans="1:142" s="1072" customFormat="1" hidden="1" outlineLevel="1" x14ac:dyDescent="0.2">
      <c r="A103" s="439" t="s">
        <v>118</v>
      </c>
      <c r="B103" s="61"/>
      <c r="C103" s="61"/>
      <c r="D103" s="61"/>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1195"/>
      <c r="AW103" s="61"/>
      <c r="AX103" s="61"/>
      <c r="AY103" s="61"/>
      <c r="AZ103" s="61"/>
      <c r="BA103" s="61"/>
      <c r="BB103" s="61"/>
      <c r="BC103" s="61"/>
      <c r="BD103" s="61"/>
      <c r="BE103" s="61"/>
      <c r="BF103" s="61"/>
      <c r="BG103" s="61"/>
      <c r="BH103" s="61"/>
      <c r="BI103" s="61"/>
      <c r="BJ103" s="61"/>
      <c r="BK103" s="762"/>
      <c r="BL103" s="762"/>
      <c r="BM103" s="762"/>
      <c r="BN103" s="762"/>
      <c r="BO103" s="762"/>
      <c r="BP103" s="762"/>
      <c r="BQ103" s="762"/>
      <c r="BR103" s="762"/>
      <c r="BS103" s="763"/>
      <c r="BT103" s="762"/>
      <c r="BU103" s="762"/>
      <c r="BV103" s="762">
        <f t="shared" ref="BV103:CE103" si="374">BV10</f>
        <v>1021.9</v>
      </c>
      <c r="BW103" s="1373">
        <f t="shared" si="374"/>
        <v>688.9</v>
      </c>
      <c r="BX103" s="762">
        <f t="shared" si="374"/>
        <v>975.5</v>
      </c>
      <c r="BY103" s="762">
        <f t="shared" si="374"/>
        <v>757.8</v>
      </c>
      <c r="BZ103" s="762">
        <f t="shared" si="374"/>
        <v>757.8</v>
      </c>
      <c r="CA103" s="762">
        <f t="shared" si="374"/>
        <v>825.9</v>
      </c>
      <c r="CB103" s="762">
        <f t="shared" si="374"/>
        <v>998.1</v>
      </c>
      <c r="CC103" s="762">
        <f t="shared" si="374"/>
        <v>1274.4000000000001</v>
      </c>
      <c r="CD103" s="762">
        <f t="shared" si="374"/>
        <v>1460.4</v>
      </c>
      <c r="CE103" s="762">
        <f t="shared" si="374"/>
        <v>1460.4</v>
      </c>
      <c r="CF103" s="762">
        <f t="shared" ref="CF103:CG103" si="375">CF10</f>
        <v>923.9</v>
      </c>
      <c r="CG103" s="762">
        <f t="shared" si="375"/>
        <v>3435.5</v>
      </c>
      <c r="CH103" s="762">
        <f>CH10</f>
        <v>3607.1</v>
      </c>
      <c r="CI103" s="762">
        <f t="shared" ref="CI103:DX103" si="376">CI10</f>
        <v>1073.4000000000001</v>
      </c>
      <c r="CJ103" s="762">
        <f t="shared" si="376"/>
        <v>1073.4000000000001</v>
      </c>
      <c r="CK103" s="762">
        <f t="shared" si="376"/>
        <v>852.4</v>
      </c>
      <c r="CL103" s="762">
        <f t="shared" si="376"/>
        <v>935.38424829506721</v>
      </c>
      <c r="CM103" s="762">
        <f t="shared" si="376"/>
        <v>1027.71809665518</v>
      </c>
      <c r="CN103" s="762">
        <f t="shared" si="376"/>
        <v>1545.2036277047257</v>
      </c>
      <c r="CO103" s="762">
        <f t="shared" si="376"/>
        <v>1545.2036277047257</v>
      </c>
      <c r="CP103" s="762">
        <f t="shared" si="376"/>
        <v>1327.7932213713621</v>
      </c>
      <c r="CQ103" s="762">
        <f t="shared" si="376"/>
        <v>1343.7520719715656</v>
      </c>
      <c r="CR103" s="762">
        <f t="shared" si="376"/>
        <v>1471.0482325030589</v>
      </c>
      <c r="CS103" s="762">
        <f t="shared" si="376"/>
        <v>2046.8802340869402</v>
      </c>
      <c r="CT103" s="762">
        <f t="shared" si="376"/>
        <v>2046.8802340869402</v>
      </c>
      <c r="CU103" s="762">
        <f t="shared" si="376"/>
        <v>1821.5713381088854</v>
      </c>
      <c r="CV103" s="762">
        <f t="shared" si="376"/>
        <v>1862.2164360808745</v>
      </c>
      <c r="CW103" s="762">
        <f t="shared" si="376"/>
        <v>2024.3112114208122</v>
      </c>
      <c r="CX103" s="762">
        <f t="shared" si="376"/>
        <v>2663.2723976584775</v>
      </c>
      <c r="CY103" s="762">
        <f t="shared" si="376"/>
        <v>2663.2723976584775</v>
      </c>
      <c r="CZ103" s="762">
        <f t="shared" si="376"/>
        <v>2452.2149585647617</v>
      </c>
      <c r="DA103" s="762">
        <f t="shared" si="376"/>
        <v>2511.6738981101403</v>
      </c>
      <c r="DB103" s="762">
        <f t="shared" si="376"/>
        <v>2708.6185114464729</v>
      </c>
      <c r="DC103" s="762">
        <f t="shared" si="376"/>
        <v>2778.667863069224</v>
      </c>
      <c r="DD103" s="762">
        <f t="shared" si="376"/>
        <v>2778.667863069224</v>
      </c>
      <c r="DE103" s="762">
        <f t="shared" si="376"/>
        <v>2583.4557657617265</v>
      </c>
      <c r="DF103" s="762">
        <f t="shared" si="376"/>
        <v>2678.0120563957416</v>
      </c>
      <c r="DG103" s="762">
        <f t="shared" si="376"/>
        <v>2919.2130399990237</v>
      </c>
      <c r="DH103" s="762">
        <f t="shared" si="376"/>
        <v>3709.003451105159</v>
      </c>
      <c r="DI103" s="762">
        <f t="shared" si="376"/>
        <v>3709.003451105159</v>
      </c>
      <c r="DJ103" s="762">
        <f t="shared" si="376"/>
        <v>3504.8986228915442</v>
      </c>
      <c r="DK103" s="762">
        <f t="shared" si="376"/>
        <v>3628.1014805667623</v>
      </c>
      <c r="DL103" s="762">
        <f t="shared" si="376"/>
        <v>3908.005116647003</v>
      </c>
      <c r="DM103" s="762">
        <f t="shared" si="376"/>
        <v>4770.0973409518883</v>
      </c>
      <c r="DN103" s="762">
        <f t="shared" si="376"/>
        <v>4770.0973409518883</v>
      </c>
      <c r="DO103" s="762">
        <f t="shared" si="376"/>
        <v>4546.2661560677534</v>
      </c>
      <c r="DP103" s="762">
        <f t="shared" si="376"/>
        <v>4656.1053747558653</v>
      </c>
      <c r="DQ103" s="762">
        <f t="shared" si="376"/>
        <v>4944.065755233747</v>
      </c>
      <c r="DR103" s="762">
        <f t="shared" si="376"/>
        <v>5862.2197670922296</v>
      </c>
      <c r="DS103" s="762">
        <f t="shared" si="376"/>
        <v>5862.2197670922296</v>
      </c>
      <c r="DT103" s="762">
        <f t="shared" si="376"/>
        <v>5638.0622162631307</v>
      </c>
      <c r="DU103" s="762">
        <f t="shared" si="376"/>
        <v>5770.3699817933812</v>
      </c>
      <c r="DV103" s="762">
        <f t="shared" si="376"/>
        <v>6078.0303062797366</v>
      </c>
      <c r="DW103" s="762">
        <f t="shared" si="376"/>
        <v>7054.9707667042403</v>
      </c>
      <c r="DX103" s="762">
        <f t="shared" si="376"/>
        <v>7054.9707667042403</v>
      </c>
      <c r="DY103" s="118"/>
      <c r="DZ103" s="118"/>
      <c r="EA103" s="118"/>
      <c r="EB103" s="118"/>
      <c r="EC103" s="118"/>
      <c r="ED103" s="118"/>
      <c r="EE103" s="118"/>
      <c r="EF103" s="118"/>
      <c r="EG103"/>
      <c r="EH103"/>
      <c r="EI103"/>
      <c r="EJ103"/>
      <c r="EK103"/>
      <c r="EL103"/>
    </row>
    <row r="104" spans="1:142" hidden="1" outlineLevel="1" x14ac:dyDescent="0.2">
      <c r="A104" s="19"/>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889"/>
      <c r="AW104" s="16"/>
      <c r="AX104" s="16"/>
      <c r="AY104" s="16"/>
      <c r="AZ104" s="16"/>
      <c r="BA104" s="16"/>
      <c r="BB104" s="16"/>
      <c r="BC104" s="16"/>
      <c r="BD104" s="16"/>
      <c r="BE104" s="16"/>
      <c r="BF104" s="16"/>
      <c r="BG104" s="16"/>
      <c r="BH104" s="16"/>
      <c r="BI104" s="16"/>
      <c r="BJ104" s="16"/>
      <c r="BK104" s="16"/>
      <c r="BL104" s="55"/>
      <c r="BM104" s="55"/>
      <c r="BN104" s="55"/>
      <c r="BO104" s="55"/>
      <c r="BP104" s="55"/>
      <c r="BQ104" s="55"/>
      <c r="BR104" s="16"/>
      <c r="BS104" s="16"/>
      <c r="BT104" s="55"/>
      <c r="BU104" s="16"/>
      <c r="BV104" s="78">
        <f t="shared" ref="BV104:BW104" si="377">BV102-BV33</f>
        <v>-41.175000000001091</v>
      </c>
      <c r="BW104" s="78">
        <f t="shared" si="377"/>
        <v>10.420000000000073</v>
      </c>
      <c r="BX104" s="78">
        <f>BX102-BX33</f>
        <v>0</v>
      </c>
      <c r="BY104" s="78"/>
      <c r="BZ104" s="78"/>
      <c r="CA104" s="78">
        <f>CA102-CA33</f>
        <v>0</v>
      </c>
      <c r="CB104" s="78">
        <f>CB102-CB33</f>
        <v>0</v>
      </c>
      <c r="CC104" s="16"/>
      <c r="CD104" s="16"/>
      <c r="CE104" s="16"/>
      <c r="CF104" s="16"/>
      <c r="CG104" s="16"/>
      <c r="CH104" s="16"/>
      <c r="CI104" s="78"/>
      <c r="CJ104" s="16"/>
      <c r="CK104" s="16"/>
      <c r="CL104" s="16"/>
      <c r="CM104" s="16"/>
      <c r="CN104" s="16"/>
      <c r="CO104" s="16"/>
      <c r="CP104" s="16"/>
      <c r="CQ104" s="16"/>
      <c r="CR104" s="16"/>
      <c r="CS104" s="16"/>
      <c r="CT104" s="16"/>
      <c r="CU104" s="16"/>
      <c r="CV104" s="16"/>
      <c r="CW104" s="16"/>
      <c r="CX104" s="16"/>
      <c r="CY104" s="16"/>
      <c r="CZ104" s="16"/>
      <c r="DA104" s="16"/>
      <c r="DB104" s="16"/>
      <c r="DC104" s="16"/>
      <c r="DD104" s="16"/>
      <c r="DE104" s="16"/>
      <c r="DF104" s="16"/>
      <c r="DG104" s="16"/>
      <c r="DH104" s="16"/>
      <c r="DI104" s="16"/>
      <c r="DJ104" s="16"/>
      <c r="DK104" s="16"/>
      <c r="DL104" s="16"/>
      <c r="DM104" s="16"/>
      <c r="DN104" s="16"/>
      <c r="DO104" s="16"/>
      <c r="DP104" s="16"/>
      <c r="DQ104" s="16"/>
      <c r="DR104" s="16"/>
      <c r="DS104" s="16"/>
      <c r="DT104" s="16"/>
      <c r="DU104" s="16"/>
      <c r="DV104" s="16"/>
      <c r="DW104" s="16"/>
      <c r="DX104" s="16"/>
      <c r="DY104" s="16"/>
      <c r="DZ104" s="16"/>
      <c r="EA104" s="16"/>
      <c r="EB104" s="16"/>
      <c r="EC104" s="16"/>
      <c r="ED104" s="16"/>
      <c r="EE104" s="16"/>
      <c r="EF104" s="16"/>
    </row>
    <row r="105" spans="1:142" hidden="1" outlineLevel="1" x14ac:dyDescent="0.2">
      <c r="A105" s="27" t="s">
        <v>114</v>
      </c>
      <c r="B105" s="807"/>
      <c r="C105" s="807"/>
      <c r="D105" s="807"/>
      <c r="E105" s="807"/>
      <c r="F105" s="807"/>
      <c r="G105" s="807"/>
      <c r="H105" s="807"/>
      <c r="I105" s="807"/>
      <c r="J105" s="807"/>
      <c r="K105" s="807"/>
      <c r="L105" s="807"/>
      <c r="M105" s="807"/>
      <c r="N105" s="807"/>
      <c r="O105" s="807"/>
      <c r="P105" s="807"/>
      <c r="Q105" s="807"/>
      <c r="R105" s="807"/>
      <c r="S105" s="807"/>
      <c r="T105" s="807"/>
      <c r="U105" s="807"/>
      <c r="V105" s="807"/>
      <c r="W105" s="807"/>
      <c r="X105" s="807"/>
      <c r="Y105" s="807"/>
      <c r="Z105" s="807"/>
      <c r="AA105" s="807"/>
      <c r="AB105" s="807"/>
      <c r="AC105" s="807"/>
      <c r="AD105" s="807"/>
      <c r="AE105" s="807"/>
      <c r="AF105" s="807"/>
      <c r="AG105" s="807"/>
      <c r="AH105" s="807"/>
      <c r="AI105" s="807"/>
      <c r="AJ105" s="807"/>
      <c r="AK105" s="807"/>
      <c r="AL105" s="807"/>
      <c r="AM105" s="807"/>
      <c r="AN105" s="807"/>
      <c r="AO105" s="807"/>
      <c r="AP105" s="807"/>
      <c r="AQ105" s="807"/>
      <c r="AR105" s="807"/>
      <c r="AS105" s="807"/>
      <c r="AT105" s="807"/>
      <c r="AU105" s="807"/>
      <c r="AV105" s="280"/>
      <c r="AW105" s="807"/>
      <c r="AX105" s="807"/>
      <c r="AY105" s="807"/>
      <c r="AZ105" s="807"/>
      <c r="BA105" s="807"/>
      <c r="BB105" s="807"/>
      <c r="BC105" s="807"/>
      <c r="BD105" s="807"/>
      <c r="BE105" s="807"/>
      <c r="BF105" s="807"/>
      <c r="BG105" s="807"/>
      <c r="BH105" s="807"/>
      <c r="BI105" s="807"/>
      <c r="BJ105" s="807"/>
      <c r="BK105" s="807"/>
      <c r="BL105" s="807"/>
      <c r="BM105" s="807"/>
      <c r="BN105" s="807"/>
      <c r="BO105" s="807"/>
      <c r="BP105" s="807"/>
      <c r="BQ105" s="807"/>
      <c r="BR105" s="807"/>
      <c r="BS105" s="807"/>
      <c r="BT105" s="807"/>
      <c r="BU105" s="807"/>
      <c r="BV105" s="807"/>
      <c r="BW105" s="1371"/>
      <c r="BX105" s="807"/>
      <c r="BY105" s="807"/>
      <c r="BZ105" s="807"/>
      <c r="CA105" s="807"/>
      <c r="CB105" s="807"/>
      <c r="CC105" s="807"/>
      <c r="CD105" s="807"/>
      <c r="CE105" s="807"/>
      <c r="CF105" s="807"/>
      <c r="CG105" s="807"/>
      <c r="CH105" s="807"/>
      <c r="CI105" s="807"/>
      <c r="CJ105" s="807"/>
      <c r="CK105" s="807"/>
      <c r="CL105" s="807"/>
      <c r="CM105" s="807"/>
      <c r="CN105" s="807"/>
      <c r="CO105" s="807"/>
      <c r="CP105" s="807"/>
      <c r="CQ105" s="807"/>
      <c r="CR105" s="807"/>
      <c r="CS105" s="807"/>
      <c r="CT105" s="807"/>
      <c r="CU105" s="807"/>
      <c r="CV105" s="807"/>
      <c r="CW105" s="807"/>
      <c r="CX105" s="807"/>
      <c r="CY105" s="807"/>
      <c r="CZ105" s="807"/>
      <c r="DA105" s="807"/>
      <c r="DB105" s="807"/>
      <c r="DC105" s="807"/>
      <c r="DD105" s="807"/>
      <c r="DE105" s="807"/>
      <c r="DF105" s="807"/>
      <c r="DG105" s="807"/>
      <c r="DH105" s="807"/>
      <c r="DI105" s="807"/>
      <c r="DJ105" s="807"/>
      <c r="DK105" s="807"/>
      <c r="DL105" s="807"/>
      <c r="DM105" s="807"/>
      <c r="DN105" s="807"/>
      <c r="DO105" s="807"/>
      <c r="DP105" s="807"/>
      <c r="DQ105" s="807"/>
      <c r="DR105" s="807"/>
      <c r="DS105" s="808"/>
      <c r="DT105" s="807"/>
      <c r="DU105" s="807"/>
      <c r="DV105" s="807"/>
      <c r="DW105" s="807"/>
      <c r="DX105" s="808"/>
      <c r="DY105" s="16"/>
      <c r="DZ105" s="16"/>
      <c r="EA105" s="16"/>
      <c r="EB105" s="16"/>
      <c r="EC105" s="16"/>
      <c r="ED105" s="16"/>
      <c r="EE105" s="16"/>
      <c r="EF105" s="16"/>
    </row>
    <row r="106" spans="1:142" hidden="1" outlineLevel="1" x14ac:dyDescent="0.2">
      <c r="A106" s="788" t="s">
        <v>114</v>
      </c>
      <c r="B106" s="364"/>
      <c r="C106" s="364"/>
      <c r="D106" s="364"/>
      <c r="E106" s="364"/>
      <c r="F106" s="364"/>
      <c r="G106" s="364"/>
      <c r="H106" s="364"/>
      <c r="I106" s="364"/>
      <c r="J106" s="364"/>
      <c r="K106" s="364"/>
      <c r="L106" s="364"/>
      <c r="M106" s="364"/>
      <c r="N106" s="364"/>
      <c r="O106" s="364"/>
      <c r="P106" s="364"/>
      <c r="Q106" s="364"/>
      <c r="R106" s="364"/>
      <c r="S106" s="364"/>
      <c r="T106" s="364"/>
      <c r="U106" s="364"/>
      <c r="V106" s="364"/>
      <c r="W106" s="364"/>
      <c r="X106" s="364"/>
      <c r="Y106" s="364"/>
      <c r="Z106" s="364"/>
      <c r="AA106" s="364"/>
      <c r="AB106" s="364"/>
      <c r="AC106" s="364"/>
      <c r="AD106" s="364"/>
      <c r="AE106" s="364"/>
      <c r="AF106" s="364"/>
      <c r="AG106" s="364"/>
      <c r="AH106" s="364"/>
      <c r="AI106" s="364"/>
      <c r="AJ106" s="364"/>
      <c r="AK106" s="364"/>
      <c r="AL106" s="364"/>
      <c r="AM106" s="364"/>
      <c r="AN106" s="364"/>
      <c r="AO106" s="364"/>
      <c r="AP106" s="364"/>
      <c r="AQ106" s="364"/>
      <c r="AR106" s="364"/>
      <c r="AS106" s="364"/>
      <c r="AT106" s="364"/>
      <c r="AU106" s="364"/>
      <c r="AV106" s="280"/>
      <c r="AW106" s="364"/>
      <c r="AX106" s="364"/>
      <c r="AY106" s="364"/>
      <c r="AZ106" s="364"/>
      <c r="BA106" s="768"/>
      <c r="BB106" s="364"/>
      <c r="BC106" s="364"/>
      <c r="BD106" s="364"/>
      <c r="BE106" s="364"/>
      <c r="BF106" s="768"/>
      <c r="BG106" s="364"/>
      <c r="BH106" s="364"/>
      <c r="BI106" s="364"/>
      <c r="BJ106" s="364"/>
      <c r="BK106" s="768">
        <f t="shared" ref="BK106:BQ106" si="378">BK108-BK107</f>
        <v>99.1</v>
      </c>
      <c r="BL106" s="364">
        <f t="shared" si="378"/>
        <v>95.100000000000009</v>
      </c>
      <c r="BM106" s="364">
        <f t="shared" si="378"/>
        <v>91.3</v>
      </c>
      <c r="BN106" s="364">
        <f t="shared" si="378"/>
        <v>89.1</v>
      </c>
      <c r="BO106" s="364">
        <f t="shared" si="378"/>
        <v>85.9</v>
      </c>
      <c r="BP106" s="768">
        <f t="shared" si="378"/>
        <v>85.9</v>
      </c>
      <c r="BQ106" s="364">
        <f t="shared" si="378"/>
        <v>82.299999999999983</v>
      </c>
      <c r="BR106" s="364">
        <f>BR108-BR107</f>
        <v>80.3</v>
      </c>
      <c r="BS106" s="364">
        <f>BS108-BS107</f>
        <v>76.400000000000006</v>
      </c>
      <c r="BT106" s="364">
        <f>BT108-BT107</f>
        <v>194.39999999999998</v>
      </c>
      <c r="BU106" s="40">
        <f t="shared" ref="BU106:CV106" si="379">BT106</f>
        <v>194.39999999999998</v>
      </c>
      <c r="BV106" s="364">
        <f>BV108-BV107</f>
        <v>139.19999999999999</v>
      </c>
      <c r="BW106" s="364">
        <f>BW108-BW107</f>
        <v>150.67500000000035</v>
      </c>
      <c r="BX106" s="364">
        <f>BX108+BX107</f>
        <v>218.62499999999966</v>
      </c>
      <c r="BY106" s="364">
        <f>BY108+BY107</f>
        <v>218.62499999999966</v>
      </c>
      <c r="BZ106" s="40">
        <f t="shared" si="379"/>
        <v>218.62499999999966</v>
      </c>
      <c r="CA106" s="364">
        <f>CA108-CA107</f>
        <v>231.9</v>
      </c>
      <c r="CB106" s="364">
        <f>CB108-CB107</f>
        <v>230</v>
      </c>
      <c r="CC106" s="364">
        <f t="shared" ref="CC106:CD106" si="380">CC108-CC107</f>
        <v>232.6</v>
      </c>
      <c r="CD106" s="364">
        <f t="shared" si="380"/>
        <v>237.5</v>
      </c>
      <c r="CE106" s="40">
        <f t="shared" si="379"/>
        <v>237.5</v>
      </c>
      <c r="CF106" s="364">
        <f t="shared" si="379"/>
        <v>237.5</v>
      </c>
      <c r="CG106" s="364">
        <f t="shared" si="379"/>
        <v>237.5</v>
      </c>
      <c r="CH106" s="364">
        <f t="shared" si="379"/>
        <v>237.5</v>
      </c>
      <c r="CI106" s="364">
        <f t="shared" si="379"/>
        <v>237.5</v>
      </c>
      <c r="CJ106" s="40">
        <f t="shared" si="379"/>
        <v>237.5</v>
      </c>
      <c r="CK106" s="364">
        <f t="shared" si="379"/>
        <v>237.5</v>
      </c>
      <c r="CL106" s="840">
        <f t="shared" si="379"/>
        <v>237.5</v>
      </c>
      <c r="CM106" s="840">
        <f t="shared" si="379"/>
        <v>237.5</v>
      </c>
      <c r="CN106" s="840">
        <f t="shared" si="379"/>
        <v>237.5</v>
      </c>
      <c r="CO106" s="40">
        <f t="shared" si="379"/>
        <v>237.5</v>
      </c>
      <c r="CP106" s="840">
        <f t="shared" si="379"/>
        <v>237.5</v>
      </c>
      <c r="CQ106" s="840">
        <f t="shared" si="379"/>
        <v>237.5</v>
      </c>
      <c r="CR106" s="840">
        <f t="shared" si="379"/>
        <v>237.5</v>
      </c>
      <c r="CS106" s="840">
        <f t="shared" si="379"/>
        <v>237.5</v>
      </c>
      <c r="CT106" s="40">
        <f t="shared" si="379"/>
        <v>237.5</v>
      </c>
      <c r="CU106" s="840">
        <f t="shared" si="379"/>
        <v>237.5</v>
      </c>
      <c r="CV106" s="840">
        <f t="shared" si="379"/>
        <v>237.5</v>
      </c>
      <c r="CW106" s="840">
        <f t="shared" ref="CW106:DS106" si="381">CV106</f>
        <v>237.5</v>
      </c>
      <c r="CX106" s="840">
        <f t="shared" si="381"/>
        <v>237.5</v>
      </c>
      <c r="CY106" s="40">
        <f t="shared" si="381"/>
        <v>237.5</v>
      </c>
      <c r="CZ106" s="840">
        <f t="shared" si="381"/>
        <v>237.5</v>
      </c>
      <c r="DA106" s="840">
        <f t="shared" si="381"/>
        <v>237.5</v>
      </c>
      <c r="DB106" s="840">
        <f t="shared" si="381"/>
        <v>237.5</v>
      </c>
      <c r="DC106" s="840">
        <f t="shared" si="381"/>
        <v>237.5</v>
      </c>
      <c r="DD106" s="40">
        <f t="shared" si="381"/>
        <v>237.5</v>
      </c>
      <c r="DE106" s="840">
        <f t="shared" si="381"/>
        <v>237.5</v>
      </c>
      <c r="DF106" s="840">
        <f t="shared" si="381"/>
        <v>237.5</v>
      </c>
      <c r="DG106" s="840">
        <f t="shared" si="381"/>
        <v>237.5</v>
      </c>
      <c r="DH106" s="840">
        <f t="shared" si="381"/>
        <v>237.5</v>
      </c>
      <c r="DI106" s="40">
        <f t="shared" si="381"/>
        <v>237.5</v>
      </c>
      <c r="DJ106" s="840">
        <f t="shared" si="381"/>
        <v>237.5</v>
      </c>
      <c r="DK106" s="840">
        <f t="shared" si="381"/>
        <v>237.5</v>
      </c>
      <c r="DL106" s="840">
        <f t="shared" si="381"/>
        <v>237.5</v>
      </c>
      <c r="DM106" s="840">
        <f t="shared" si="381"/>
        <v>237.5</v>
      </c>
      <c r="DN106" s="40">
        <f t="shared" si="381"/>
        <v>237.5</v>
      </c>
      <c r="DO106" s="840">
        <f t="shared" si="381"/>
        <v>237.5</v>
      </c>
      <c r="DP106" s="840">
        <f t="shared" si="381"/>
        <v>237.5</v>
      </c>
      <c r="DQ106" s="840">
        <f t="shared" si="381"/>
        <v>237.5</v>
      </c>
      <c r="DR106" s="840">
        <f t="shared" si="381"/>
        <v>237.5</v>
      </c>
      <c r="DS106" s="40">
        <f t="shared" si="381"/>
        <v>237.5</v>
      </c>
      <c r="DT106" s="840">
        <f t="shared" ref="DT106:DT107" si="382">DS106</f>
        <v>237.5</v>
      </c>
      <c r="DU106" s="840">
        <f t="shared" ref="DU106:DU107" si="383">DT106</f>
        <v>237.5</v>
      </c>
      <c r="DV106" s="840">
        <f t="shared" ref="DV106:DV107" si="384">DU106</f>
        <v>237.5</v>
      </c>
      <c r="DW106" s="840">
        <f t="shared" ref="DW106:DW107" si="385">DV106</f>
        <v>237.5</v>
      </c>
      <c r="DX106" s="40">
        <f t="shared" ref="DX106:DX107" si="386">DW106</f>
        <v>237.5</v>
      </c>
      <c r="DY106" s="673"/>
      <c r="DZ106" s="673"/>
      <c r="EA106" s="673"/>
      <c r="EB106" s="673"/>
      <c r="EC106" s="673"/>
      <c r="ED106" s="673"/>
      <c r="EE106" s="673"/>
      <c r="EF106" s="673"/>
    </row>
    <row r="107" spans="1:142" hidden="1" outlineLevel="1" x14ac:dyDescent="0.2">
      <c r="A107" s="87" t="s">
        <v>102</v>
      </c>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158"/>
      <c r="AW107" s="38"/>
      <c r="AX107" s="38"/>
      <c r="AY107" s="38"/>
      <c r="AZ107" s="38"/>
      <c r="BA107" s="40"/>
      <c r="BB107" s="38"/>
      <c r="BC107" s="38"/>
      <c r="BD107" s="38"/>
      <c r="BE107" s="38"/>
      <c r="BF107" s="40"/>
      <c r="BG107" s="38"/>
      <c r="BH107" s="38"/>
      <c r="BI107" s="38"/>
      <c r="BJ107" s="38"/>
      <c r="BK107" s="40">
        <f t="shared" ref="BK107:BT107" si="387">-BK31-BK100</f>
        <v>-10.699999999999996</v>
      </c>
      <c r="BL107" s="38">
        <f t="shared" si="387"/>
        <v>-10.700000000000003</v>
      </c>
      <c r="BM107" s="38">
        <f t="shared" si="387"/>
        <v>-10.5</v>
      </c>
      <c r="BN107" s="38">
        <f t="shared" si="387"/>
        <v>-10.599999999999994</v>
      </c>
      <c r="BO107" s="38">
        <f t="shared" si="387"/>
        <v>-10.5</v>
      </c>
      <c r="BP107" s="40">
        <f t="shared" si="387"/>
        <v>-10.5</v>
      </c>
      <c r="BQ107" s="38">
        <f t="shared" si="387"/>
        <v>-10.199999999999989</v>
      </c>
      <c r="BR107" s="38">
        <f t="shared" si="387"/>
        <v>-10.299999999999997</v>
      </c>
      <c r="BS107" s="38">
        <f t="shared" si="387"/>
        <v>-9.9000000000000057</v>
      </c>
      <c r="BT107" s="38">
        <f t="shared" si="387"/>
        <v>-18.699999999999996</v>
      </c>
      <c r="BU107" s="40">
        <f t="shared" ref="BU107:CV107" si="388">BT107</f>
        <v>-18.699999999999996</v>
      </c>
      <c r="BV107" s="38">
        <f t="shared" ref="BV107:BW107" si="389">-BV31-BV100</f>
        <v>22.299999999999997</v>
      </c>
      <c r="BW107" s="38">
        <f t="shared" si="389"/>
        <v>10.724999999999639</v>
      </c>
      <c r="BX107" s="38">
        <f t="shared" si="388"/>
        <v>10.724999999999639</v>
      </c>
      <c r="BY107" s="38">
        <f t="shared" si="388"/>
        <v>10.724999999999639</v>
      </c>
      <c r="BZ107" s="40">
        <f t="shared" si="388"/>
        <v>10.724999999999639</v>
      </c>
      <c r="CA107" s="38">
        <f t="shared" ref="CA107:CB107" si="390">-CA31-CA100</f>
        <v>-18.300000000000004</v>
      </c>
      <c r="CB107" s="38">
        <f t="shared" si="390"/>
        <v>-18.400000000000006</v>
      </c>
      <c r="CC107" s="38">
        <f t="shared" ref="CC107:CD107" si="391">-CC31-CC100</f>
        <v>-18.699999999999989</v>
      </c>
      <c r="CD107" s="38">
        <f t="shared" si="391"/>
        <v>-19.100000000000009</v>
      </c>
      <c r="CE107" s="40">
        <f t="shared" si="388"/>
        <v>-19.100000000000009</v>
      </c>
      <c r="CF107" s="38">
        <f t="shared" si="388"/>
        <v>-19.100000000000009</v>
      </c>
      <c r="CG107" s="38">
        <f t="shared" si="388"/>
        <v>-19.100000000000009</v>
      </c>
      <c r="CH107" s="38">
        <f t="shared" si="388"/>
        <v>-19.100000000000009</v>
      </c>
      <c r="CI107" s="38">
        <f t="shared" si="388"/>
        <v>-19.100000000000009</v>
      </c>
      <c r="CJ107" s="40">
        <f t="shared" si="388"/>
        <v>-19.100000000000009</v>
      </c>
      <c r="CK107" s="38">
        <f t="shared" si="388"/>
        <v>-19.100000000000009</v>
      </c>
      <c r="CL107" s="41">
        <f t="shared" si="388"/>
        <v>-19.100000000000009</v>
      </c>
      <c r="CM107" s="41">
        <f t="shared" si="388"/>
        <v>-19.100000000000009</v>
      </c>
      <c r="CN107" s="41">
        <f t="shared" si="388"/>
        <v>-19.100000000000009</v>
      </c>
      <c r="CO107" s="40">
        <f t="shared" si="388"/>
        <v>-19.100000000000009</v>
      </c>
      <c r="CP107" s="41">
        <f t="shared" si="388"/>
        <v>-19.100000000000009</v>
      </c>
      <c r="CQ107" s="41">
        <f t="shared" si="388"/>
        <v>-19.100000000000009</v>
      </c>
      <c r="CR107" s="41">
        <f t="shared" si="388"/>
        <v>-19.100000000000009</v>
      </c>
      <c r="CS107" s="41">
        <f t="shared" si="388"/>
        <v>-19.100000000000009</v>
      </c>
      <c r="CT107" s="40">
        <f t="shared" si="388"/>
        <v>-19.100000000000009</v>
      </c>
      <c r="CU107" s="41">
        <f t="shared" si="388"/>
        <v>-19.100000000000009</v>
      </c>
      <c r="CV107" s="41">
        <f t="shared" si="388"/>
        <v>-19.100000000000009</v>
      </c>
      <c r="CW107" s="41">
        <f t="shared" ref="CW107:DS107" si="392">CV107</f>
        <v>-19.100000000000009</v>
      </c>
      <c r="CX107" s="41">
        <f t="shared" si="392"/>
        <v>-19.100000000000009</v>
      </c>
      <c r="CY107" s="40">
        <f t="shared" si="392"/>
        <v>-19.100000000000009</v>
      </c>
      <c r="CZ107" s="41">
        <f t="shared" si="392"/>
        <v>-19.100000000000009</v>
      </c>
      <c r="DA107" s="41">
        <f t="shared" si="392"/>
        <v>-19.100000000000009</v>
      </c>
      <c r="DB107" s="41">
        <f t="shared" si="392"/>
        <v>-19.100000000000009</v>
      </c>
      <c r="DC107" s="41">
        <f t="shared" si="392"/>
        <v>-19.100000000000009</v>
      </c>
      <c r="DD107" s="40">
        <f t="shared" si="392"/>
        <v>-19.100000000000009</v>
      </c>
      <c r="DE107" s="41">
        <f t="shared" si="392"/>
        <v>-19.100000000000009</v>
      </c>
      <c r="DF107" s="41">
        <f t="shared" si="392"/>
        <v>-19.100000000000009</v>
      </c>
      <c r="DG107" s="41">
        <f t="shared" si="392"/>
        <v>-19.100000000000009</v>
      </c>
      <c r="DH107" s="41">
        <f t="shared" si="392"/>
        <v>-19.100000000000009</v>
      </c>
      <c r="DI107" s="40">
        <f t="shared" si="392"/>
        <v>-19.100000000000009</v>
      </c>
      <c r="DJ107" s="41">
        <f t="shared" si="392"/>
        <v>-19.100000000000009</v>
      </c>
      <c r="DK107" s="41">
        <f t="shared" si="392"/>
        <v>-19.100000000000009</v>
      </c>
      <c r="DL107" s="41">
        <f t="shared" si="392"/>
        <v>-19.100000000000009</v>
      </c>
      <c r="DM107" s="41">
        <f t="shared" si="392"/>
        <v>-19.100000000000009</v>
      </c>
      <c r="DN107" s="40">
        <f t="shared" si="392"/>
        <v>-19.100000000000009</v>
      </c>
      <c r="DO107" s="41">
        <f t="shared" si="392"/>
        <v>-19.100000000000009</v>
      </c>
      <c r="DP107" s="41">
        <f t="shared" si="392"/>
        <v>-19.100000000000009</v>
      </c>
      <c r="DQ107" s="41">
        <f t="shared" si="392"/>
        <v>-19.100000000000009</v>
      </c>
      <c r="DR107" s="41">
        <f t="shared" si="392"/>
        <v>-19.100000000000009</v>
      </c>
      <c r="DS107" s="40">
        <f t="shared" si="392"/>
        <v>-19.100000000000009</v>
      </c>
      <c r="DT107" s="41">
        <f t="shared" si="382"/>
        <v>-19.100000000000009</v>
      </c>
      <c r="DU107" s="41">
        <f t="shared" si="383"/>
        <v>-19.100000000000009</v>
      </c>
      <c r="DV107" s="41">
        <f t="shared" si="384"/>
        <v>-19.100000000000009</v>
      </c>
      <c r="DW107" s="41">
        <f t="shared" si="385"/>
        <v>-19.100000000000009</v>
      </c>
      <c r="DX107" s="40">
        <f t="shared" si="386"/>
        <v>-19.100000000000009</v>
      </c>
      <c r="DY107" s="673"/>
      <c r="DZ107" s="673"/>
      <c r="EA107" s="673"/>
      <c r="EB107" s="673"/>
      <c r="EC107" s="673"/>
      <c r="ED107" s="673"/>
      <c r="EE107" s="673"/>
      <c r="EF107" s="673"/>
    </row>
    <row r="108" spans="1:142" hidden="1" outlineLevel="1" x14ac:dyDescent="0.2">
      <c r="A108" s="904" t="s">
        <v>115</v>
      </c>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33"/>
      <c r="AU108" s="33"/>
      <c r="AV108" s="157"/>
      <c r="AW108" s="33"/>
      <c r="AX108" s="33"/>
      <c r="AY108" s="33"/>
      <c r="AZ108" s="33"/>
      <c r="BA108" s="793"/>
      <c r="BB108" s="33"/>
      <c r="BC108" s="33"/>
      <c r="BD108" s="33"/>
      <c r="BE108" s="33"/>
      <c r="BF108" s="793"/>
      <c r="BG108" s="33"/>
      <c r="BH108" s="33"/>
      <c r="BI108" s="33"/>
      <c r="BJ108" s="33"/>
      <c r="BK108" s="792">
        <f t="shared" ref="BK108:BU108" si="393">BK34</f>
        <v>88.4</v>
      </c>
      <c r="BL108" s="905">
        <f t="shared" si="393"/>
        <v>84.4</v>
      </c>
      <c r="BM108" s="905">
        <f t="shared" si="393"/>
        <v>80.8</v>
      </c>
      <c r="BN108" s="905">
        <f t="shared" si="393"/>
        <v>78.5</v>
      </c>
      <c r="BO108" s="905">
        <f t="shared" si="393"/>
        <v>75.400000000000006</v>
      </c>
      <c r="BP108" s="792">
        <f t="shared" si="393"/>
        <v>75.400000000000006</v>
      </c>
      <c r="BQ108" s="905">
        <f t="shared" si="393"/>
        <v>72.099999999999994</v>
      </c>
      <c r="BR108" s="905">
        <f t="shared" si="393"/>
        <v>70</v>
      </c>
      <c r="BS108" s="905">
        <f t="shared" si="393"/>
        <v>66.5</v>
      </c>
      <c r="BT108" s="905">
        <f t="shared" si="393"/>
        <v>175.7</v>
      </c>
      <c r="BU108" s="792">
        <f t="shared" si="393"/>
        <v>175.7</v>
      </c>
      <c r="BV108" s="905">
        <f t="shared" ref="BV108:BW108" si="394">BV34</f>
        <v>161.5</v>
      </c>
      <c r="BW108" s="905">
        <f t="shared" si="394"/>
        <v>161.4</v>
      </c>
      <c r="BX108" s="905">
        <v>207.9</v>
      </c>
      <c r="BY108" s="905">
        <v>207.9</v>
      </c>
      <c r="BZ108" s="792">
        <f>BZ34</f>
        <v>203.4</v>
      </c>
      <c r="CA108" s="905">
        <f>CA34</f>
        <v>213.6</v>
      </c>
      <c r="CB108" s="905">
        <f t="shared" ref="CB108:CD108" si="395">CB34</f>
        <v>211.6</v>
      </c>
      <c r="CC108" s="905">
        <f t="shared" si="395"/>
        <v>213.9</v>
      </c>
      <c r="CD108" s="905">
        <f t="shared" si="395"/>
        <v>218.4</v>
      </c>
      <c r="CE108" s="792">
        <f>CE34</f>
        <v>218.4</v>
      </c>
      <c r="CF108" s="905">
        <f>SUM(CF106:CF107)</f>
        <v>218.39999999999998</v>
      </c>
      <c r="CG108" s="905">
        <f>SUM(CG106:CG107)</f>
        <v>218.39999999999998</v>
      </c>
      <c r="CH108" s="905">
        <f>SUM(CH106:CH107)</f>
        <v>218.39999999999998</v>
      </c>
      <c r="CI108" s="905">
        <f>SUM(CI106:CI107)</f>
        <v>218.39999999999998</v>
      </c>
      <c r="CJ108" s="792">
        <f>CJ34</f>
        <v>243.8</v>
      </c>
      <c r="CK108" s="905">
        <f>SUM(CK106:CK107)</f>
        <v>218.39999999999998</v>
      </c>
      <c r="CL108" s="905">
        <f>SUM(CL106:CL107)</f>
        <v>218.39999999999998</v>
      </c>
      <c r="CM108" s="905">
        <f>SUM(CM106:CM107)</f>
        <v>218.39999999999998</v>
      </c>
      <c r="CN108" s="905">
        <f>SUM(CN106:CN107)</f>
        <v>218.39999999999998</v>
      </c>
      <c r="CO108" s="792">
        <f>CO34</f>
        <v>236.6</v>
      </c>
      <c r="CP108" s="905">
        <f>SUM(CP106:CP107)</f>
        <v>218.39999999999998</v>
      </c>
      <c r="CQ108" s="905">
        <f>SUM(CQ106:CQ107)</f>
        <v>218.39999999999998</v>
      </c>
      <c r="CR108" s="905">
        <f>SUM(CR106:CR107)</f>
        <v>218.39999999999998</v>
      </c>
      <c r="CS108" s="905">
        <f>SUM(CS106:CS107)</f>
        <v>218.39999999999998</v>
      </c>
      <c r="CT108" s="792">
        <f>CT34</f>
        <v>236.6</v>
      </c>
      <c r="CU108" s="905">
        <f>SUM(CU106:CU107)</f>
        <v>218.39999999999998</v>
      </c>
      <c r="CV108" s="905">
        <f>SUM(CV106:CV107)</f>
        <v>218.39999999999998</v>
      </c>
      <c r="CW108" s="905">
        <f>SUM(CW106:CW107)</f>
        <v>218.39999999999998</v>
      </c>
      <c r="CX108" s="905">
        <f>SUM(CX106:CX107)</f>
        <v>218.39999999999998</v>
      </c>
      <c r="CY108" s="792">
        <f>CY34</f>
        <v>236.6</v>
      </c>
      <c r="CZ108" s="905">
        <f>SUM(CZ106:CZ107)</f>
        <v>218.39999999999998</v>
      </c>
      <c r="DA108" s="905">
        <f>SUM(DA106:DA107)</f>
        <v>218.39999999999998</v>
      </c>
      <c r="DB108" s="905">
        <f>SUM(DB106:DB107)</f>
        <v>218.39999999999998</v>
      </c>
      <c r="DC108" s="905">
        <f>SUM(DC106:DC107)</f>
        <v>218.39999999999998</v>
      </c>
      <c r="DD108" s="792">
        <f>DD34</f>
        <v>236.6</v>
      </c>
      <c r="DE108" s="905">
        <f>SUM(DE106:DE107)</f>
        <v>218.39999999999998</v>
      </c>
      <c r="DF108" s="905">
        <f>SUM(DF106:DF107)</f>
        <v>218.39999999999998</v>
      </c>
      <c r="DG108" s="905">
        <f>SUM(DG106:DG107)</f>
        <v>218.39999999999998</v>
      </c>
      <c r="DH108" s="905">
        <f>SUM(DH106:DH107)</f>
        <v>218.39999999999998</v>
      </c>
      <c r="DI108" s="792">
        <f>DI34</f>
        <v>236.6</v>
      </c>
      <c r="DJ108" s="905">
        <f>SUM(DJ106:DJ107)</f>
        <v>218.39999999999998</v>
      </c>
      <c r="DK108" s="905">
        <f>SUM(DK106:DK107)</f>
        <v>218.39999999999998</v>
      </c>
      <c r="DL108" s="905">
        <f>SUM(DL106:DL107)</f>
        <v>218.39999999999998</v>
      </c>
      <c r="DM108" s="905">
        <f>SUM(DM106:DM107)</f>
        <v>218.39999999999998</v>
      </c>
      <c r="DN108" s="792">
        <f>DN34</f>
        <v>236.6</v>
      </c>
      <c r="DO108" s="905">
        <f>SUM(DO106:DO107)</f>
        <v>218.39999999999998</v>
      </c>
      <c r="DP108" s="905">
        <f>SUM(DP106:DP107)</f>
        <v>218.39999999999998</v>
      </c>
      <c r="DQ108" s="905">
        <f>SUM(DQ106:DQ107)</f>
        <v>218.39999999999998</v>
      </c>
      <c r="DR108" s="905">
        <f>SUM(DR106:DR107)</f>
        <v>218.39999999999998</v>
      </c>
      <c r="DS108" s="792">
        <f>DS34</f>
        <v>236.6</v>
      </c>
      <c r="DT108" s="905">
        <f>SUM(DT106:DT107)</f>
        <v>218.39999999999998</v>
      </c>
      <c r="DU108" s="905">
        <f>SUM(DU106:DU107)</f>
        <v>218.39999999999998</v>
      </c>
      <c r="DV108" s="905">
        <f>SUM(DV106:DV107)</f>
        <v>218.39999999999998</v>
      </c>
      <c r="DW108" s="905">
        <f>SUM(DW106:DW107)</f>
        <v>218.39999999999998</v>
      </c>
      <c r="DX108" s="792">
        <f>DX34</f>
        <v>236.6</v>
      </c>
      <c r="DY108" s="25"/>
      <c r="DZ108" s="25"/>
      <c r="EA108" s="25"/>
      <c r="EB108" s="25"/>
      <c r="EC108" s="25"/>
      <c r="ED108" s="25"/>
      <c r="EE108" s="25"/>
      <c r="EF108" s="25"/>
    </row>
    <row r="109" spans="1:142" hidden="1" outlineLevel="1" x14ac:dyDescent="0.2">
      <c r="A109" s="87"/>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244"/>
      <c r="AW109" s="38"/>
      <c r="AX109" s="38"/>
      <c r="AY109" s="38"/>
      <c r="AZ109" s="38"/>
      <c r="BA109" s="38"/>
      <c r="BB109" s="38"/>
      <c r="BC109" s="38"/>
      <c r="BD109" s="38"/>
      <c r="BE109" s="38"/>
      <c r="BF109" s="38"/>
      <c r="BG109" s="38"/>
      <c r="BH109" s="38"/>
      <c r="BI109" s="38"/>
      <c r="BJ109" s="38"/>
      <c r="BK109" s="38"/>
      <c r="BL109" s="38"/>
      <c r="BM109" s="38"/>
      <c r="BN109" s="38"/>
      <c r="BO109" s="38"/>
      <c r="BP109" s="38"/>
      <c r="BQ109" s="41"/>
      <c r="BR109" s="41"/>
      <c r="BS109" s="41"/>
      <c r="BT109" s="41"/>
      <c r="BU109" s="38"/>
      <c r="BV109" s="38"/>
      <c r="BW109" s="1348"/>
      <c r="BX109" s="38"/>
      <c r="BY109" s="38"/>
      <c r="BZ109" s="38"/>
      <c r="CA109" s="38"/>
      <c r="CB109" s="38"/>
      <c r="CC109" s="38"/>
      <c r="CD109" s="38"/>
      <c r="CE109" s="38"/>
      <c r="CF109" s="38"/>
      <c r="CG109" s="38"/>
      <c r="CH109" s="38"/>
      <c r="CI109" s="38"/>
      <c r="CJ109" s="38"/>
      <c r="CK109" s="38"/>
      <c r="CL109" s="38"/>
      <c r="CM109" s="38"/>
      <c r="CN109" s="38"/>
      <c r="CO109" s="41"/>
      <c r="CP109" s="38"/>
      <c r="CQ109" s="38"/>
      <c r="CR109" s="38"/>
      <c r="CS109" s="38"/>
      <c r="CT109" s="41"/>
      <c r="CU109" s="38"/>
      <c r="CV109" s="38"/>
      <c r="CW109" s="38"/>
      <c r="CX109" s="38"/>
      <c r="CY109" s="41"/>
      <c r="CZ109" s="38"/>
      <c r="DA109" s="38"/>
      <c r="DB109" s="38"/>
      <c r="DC109" s="38"/>
      <c r="DD109" s="41"/>
      <c r="DE109" s="38"/>
      <c r="DF109" s="38"/>
      <c r="DG109" s="38"/>
      <c r="DH109" s="38"/>
      <c r="DI109" s="41"/>
      <c r="DJ109" s="38"/>
      <c r="DK109" s="38"/>
      <c r="DL109" s="38"/>
      <c r="DM109" s="38"/>
      <c r="DN109" s="41"/>
      <c r="DO109" s="38"/>
      <c r="DP109" s="38"/>
      <c r="DQ109" s="38"/>
      <c r="DR109" s="38"/>
      <c r="DS109" s="41"/>
      <c r="DT109" s="38"/>
      <c r="DU109" s="38"/>
      <c r="DV109" s="38"/>
      <c r="DW109" s="38"/>
      <c r="DX109" s="41"/>
      <c r="DY109" s="673"/>
      <c r="DZ109" s="673"/>
      <c r="EA109" s="673"/>
      <c r="EB109" s="673"/>
      <c r="EC109" s="673"/>
      <c r="ED109" s="673"/>
      <c r="EE109" s="673"/>
      <c r="EF109" s="673"/>
    </row>
    <row r="110" spans="1:142" hidden="1" outlineLevel="1" x14ac:dyDescent="0.2">
      <c r="A110" s="27" t="s">
        <v>742</v>
      </c>
      <c r="B110" s="807"/>
      <c r="C110" s="807"/>
      <c r="D110" s="807"/>
      <c r="E110" s="807"/>
      <c r="F110" s="807"/>
      <c r="G110" s="807"/>
      <c r="H110" s="807"/>
      <c r="I110" s="807"/>
      <c r="J110" s="807"/>
      <c r="K110" s="807"/>
      <c r="L110" s="807"/>
      <c r="M110" s="807"/>
      <c r="N110" s="807"/>
      <c r="O110" s="807"/>
      <c r="P110" s="807"/>
      <c r="Q110" s="807"/>
      <c r="R110" s="807"/>
      <c r="S110" s="807"/>
      <c r="T110" s="807"/>
      <c r="U110" s="807"/>
      <c r="V110" s="807"/>
      <c r="W110" s="807"/>
      <c r="X110" s="807"/>
      <c r="Y110" s="807"/>
      <c r="Z110" s="807"/>
      <c r="AA110" s="807"/>
      <c r="AB110" s="807"/>
      <c r="AC110" s="807"/>
      <c r="AD110" s="807"/>
      <c r="AE110" s="807"/>
      <c r="AF110" s="807"/>
      <c r="AG110" s="807"/>
      <c r="AH110" s="807"/>
      <c r="AI110" s="807"/>
      <c r="AJ110" s="807"/>
      <c r="AK110" s="807"/>
      <c r="AL110" s="807"/>
      <c r="AM110" s="807"/>
      <c r="AN110" s="807"/>
      <c r="AO110" s="807"/>
      <c r="AP110" s="807"/>
      <c r="AQ110" s="807"/>
      <c r="AR110" s="807"/>
      <c r="AS110" s="807"/>
      <c r="AT110" s="807"/>
      <c r="AU110" s="807"/>
      <c r="AV110" s="45"/>
      <c r="AW110" s="807"/>
      <c r="AX110" s="807"/>
      <c r="AY110" s="807"/>
      <c r="AZ110" s="807"/>
      <c r="BA110" s="807"/>
      <c r="BB110" s="807"/>
      <c r="BC110" s="807"/>
      <c r="BD110" s="807"/>
      <c r="BE110" s="807"/>
      <c r="BF110" s="807"/>
      <c r="BG110" s="807"/>
      <c r="BH110" s="807"/>
      <c r="BI110" s="807"/>
      <c r="BJ110" s="807"/>
      <c r="BK110" s="807"/>
      <c r="BL110" s="807"/>
      <c r="BM110" s="807"/>
      <c r="BN110" s="807"/>
      <c r="BO110" s="807"/>
      <c r="BP110" s="807"/>
      <c r="BQ110" s="807"/>
      <c r="BR110" s="807"/>
      <c r="BS110" s="807"/>
      <c r="BT110" s="807"/>
      <c r="BU110" s="808"/>
      <c r="BV110" s="807"/>
      <c r="BW110" s="1371"/>
      <c r="BX110" s="807"/>
      <c r="BY110" s="807"/>
      <c r="BZ110" s="808"/>
      <c r="CA110" s="807"/>
      <c r="CB110" s="807"/>
      <c r="CC110" s="807"/>
      <c r="CD110" s="807"/>
      <c r="CE110" s="808"/>
      <c r="CF110" s="807"/>
      <c r="CG110" s="807"/>
      <c r="CH110" s="807"/>
      <c r="CI110" s="807"/>
      <c r="CJ110" s="808"/>
      <c r="CK110" s="807"/>
      <c r="CL110" s="807"/>
      <c r="CM110" s="807"/>
      <c r="CN110" s="807"/>
      <c r="CO110" s="808"/>
      <c r="CP110" s="807"/>
      <c r="CQ110" s="807"/>
      <c r="CR110" s="807"/>
      <c r="CS110" s="807"/>
      <c r="CT110" s="808"/>
      <c r="CU110" s="807"/>
      <c r="CV110" s="807"/>
      <c r="CW110" s="807"/>
      <c r="CX110" s="807"/>
      <c r="CY110" s="808"/>
      <c r="CZ110" s="807"/>
      <c r="DA110" s="807"/>
      <c r="DB110" s="807"/>
      <c r="DC110" s="807"/>
      <c r="DD110" s="808"/>
      <c r="DE110" s="807"/>
      <c r="DF110" s="807"/>
      <c r="DG110" s="807"/>
      <c r="DH110" s="807"/>
      <c r="DI110" s="808"/>
      <c r="DJ110" s="807"/>
      <c r="DK110" s="807"/>
      <c r="DL110" s="807"/>
      <c r="DM110" s="807"/>
      <c r="DN110" s="808"/>
      <c r="DO110" s="807"/>
      <c r="DP110" s="807"/>
      <c r="DQ110" s="807"/>
      <c r="DR110" s="807"/>
      <c r="DS110" s="808"/>
      <c r="DT110" s="807"/>
      <c r="DU110" s="807"/>
      <c r="DV110" s="807"/>
      <c r="DW110" s="807"/>
      <c r="DX110" s="808"/>
      <c r="DY110" s="16"/>
      <c r="DZ110" s="16"/>
      <c r="EA110" s="16"/>
      <c r="EB110" s="16"/>
      <c r="EC110" s="16"/>
      <c r="ED110" s="16"/>
      <c r="EE110" s="16"/>
      <c r="EF110" s="16"/>
    </row>
    <row r="111" spans="1:142" hidden="1" outlineLevel="1" x14ac:dyDescent="0.2">
      <c r="A111" s="788" t="s">
        <v>832</v>
      </c>
      <c r="B111" s="364"/>
      <c r="C111" s="364"/>
      <c r="D111" s="364"/>
      <c r="E111" s="364"/>
      <c r="F111" s="364"/>
      <c r="G111" s="364"/>
      <c r="H111" s="364"/>
      <c r="I111" s="364"/>
      <c r="J111" s="364"/>
      <c r="K111" s="364"/>
      <c r="L111" s="364"/>
      <c r="M111" s="364"/>
      <c r="N111" s="364"/>
      <c r="O111" s="364"/>
      <c r="P111" s="364"/>
      <c r="Q111" s="364"/>
      <c r="R111" s="364"/>
      <c r="S111" s="364"/>
      <c r="T111" s="364"/>
      <c r="U111" s="364"/>
      <c r="V111" s="364"/>
      <c r="W111" s="364"/>
      <c r="X111" s="364"/>
      <c r="Y111" s="364"/>
      <c r="Z111" s="364"/>
      <c r="AA111" s="364"/>
      <c r="AB111" s="364"/>
      <c r="AC111" s="364"/>
      <c r="AD111" s="364"/>
      <c r="AE111" s="364"/>
      <c r="AF111" s="364"/>
      <c r="AG111" s="364"/>
      <c r="AH111" s="364"/>
      <c r="AI111" s="364"/>
      <c r="AJ111" s="364"/>
      <c r="AK111" s="364"/>
      <c r="AL111" s="364"/>
      <c r="AM111" s="364"/>
      <c r="AN111" s="364"/>
      <c r="AO111" s="364"/>
      <c r="AP111" s="364"/>
      <c r="AQ111" s="364"/>
      <c r="AR111" s="364"/>
      <c r="AS111" s="364"/>
      <c r="AT111" s="364"/>
      <c r="AU111" s="364"/>
      <c r="AV111" s="45"/>
      <c r="AW111" s="364"/>
      <c r="AX111" s="364"/>
      <c r="AY111" s="364"/>
      <c r="AZ111" s="364"/>
      <c r="BA111" s="768"/>
      <c r="BB111" s="364"/>
      <c r="BC111" s="364"/>
      <c r="BD111" s="364"/>
      <c r="BE111" s="364"/>
      <c r="BF111" s="768"/>
      <c r="BG111" s="364"/>
      <c r="BH111" s="364"/>
      <c r="BI111" s="364"/>
      <c r="BJ111" s="364"/>
      <c r="BK111" s="768"/>
      <c r="BL111" s="364"/>
      <c r="BM111" s="364"/>
      <c r="BN111" s="364"/>
      <c r="BO111" s="364"/>
      <c r="BP111" s="768"/>
      <c r="BQ111" s="840"/>
      <c r="BR111" s="840"/>
      <c r="BS111" s="840"/>
      <c r="BT111" s="840"/>
      <c r="BU111" s="387"/>
      <c r="BV111" s="364">
        <f>BV112+BV113</f>
        <v>16.875</v>
      </c>
      <c r="BW111" s="1374">
        <f t="shared" ref="BW111:BY111" si="396">BW112+BW113</f>
        <v>261.98</v>
      </c>
      <c r="BX111" s="364">
        <f t="shared" si="396"/>
        <v>16.875</v>
      </c>
      <c r="BY111" s="364">
        <f t="shared" si="396"/>
        <v>16.875</v>
      </c>
      <c r="BZ111" s="40">
        <f>SUM(BV111:BY111)</f>
        <v>312.60500000000002</v>
      </c>
      <c r="CA111" s="364">
        <f>CA112+CA113</f>
        <v>36.175000000000182</v>
      </c>
      <c r="CB111" s="364">
        <f t="shared" ref="CB111" si="397">CB112+CB113</f>
        <v>-12.900000000000546</v>
      </c>
      <c r="CC111" s="364">
        <f t="shared" ref="CC111" si="398">CC112+CC113</f>
        <v>-12.899999999999636</v>
      </c>
      <c r="CD111" s="364">
        <f t="shared" ref="CD111" si="399">CD112+CD113</f>
        <v>-12.899999999999636</v>
      </c>
      <c r="CE111" s="40">
        <f>SUM(CA111:CD111)</f>
        <v>-2.5249999999996362</v>
      </c>
      <c r="CF111" s="364">
        <f>CF112+CF113</f>
        <v>16.875</v>
      </c>
      <c r="CG111" s="364">
        <f t="shared" ref="CG111" si="400">CG112+CG113</f>
        <v>-233.125</v>
      </c>
      <c r="CH111" s="364">
        <f t="shared" ref="CH111" si="401">CH112+CH113</f>
        <v>16.875</v>
      </c>
      <c r="CI111" s="364">
        <f t="shared" ref="CI111" si="402">CI112+CI113</f>
        <v>16.875</v>
      </c>
      <c r="CJ111" s="40">
        <f>SUM(CF111:CI111)</f>
        <v>-182.5</v>
      </c>
      <c r="CK111" s="364">
        <f>CK112+CK113</f>
        <v>16.875</v>
      </c>
      <c r="CL111" s="364">
        <f t="shared" ref="CL111" si="403">CL112+CL113</f>
        <v>16.875</v>
      </c>
      <c r="CM111" s="364">
        <f t="shared" ref="CM111" si="404">CM112+CM113</f>
        <v>16.875</v>
      </c>
      <c r="CN111" s="364">
        <f t="shared" ref="CN111" si="405">CN112+CN113</f>
        <v>16.875</v>
      </c>
      <c r="CO111" s="40">
        <f>SUM(CK111:CN111)</f>
        <v>67.5</v>
      </c>
      <c r="CP111" s="364">
        <f>CP112+CP113</f>
        <v>16.875</v>
      </c>
      <c r="CQ111" s="364">
        <f t="shared" ref="CQ111" si="406">CQ112+CQ113</f>
        <v>16.875</v>
      </c>
      <c r="CR111" s="364">
        <f t="shared" ref="CR111" si="407">CR112+CR113</f>
        <v>16.875</v>
      </c>
      <c r="CS111" s="364">
        <f t="shared" ref="CS111" si="408">CS112+CS113</f>
        <v>16.875</v>
      </c>
      <c r="CT111" s="40">
        <f>SUM(CP111:CS111)</f>
        <v>67.5</v>
      </c>
      <c r="CU111" s="364">
        <f>CU112+CU113</f>
        <v>16.875</v>
      </c>
      <c r="CV111" s="364">
        <f t="shared" ref="CV111" si="409">CV112+CV113</f>
        <v>16.875</v>
      </c>
      <c r="CW111" s="364">
        <f t="shared" ref="CW111" si="410">CW112+CW113</f>
        <v>16.875</v>
      </c>
      <c r="CX111" s="364">
        <f t="shared" ref="CX111" si="411">CX112+CX113</f>
        <v>16.875</v>
      </c>
      <c r="CY111" s="40">
        <f>SUM(CU111:CX111)</f>
        <v>67.5</v>
      </c>
      <c r="CZ111" s="364">
        <f>CZ112+CZ113</f>
        <v>16.875</v>
      </c>
      <c r="DA111" s="364">
        <f t="shared" ref="DA111" si="412">DA112+DA113</f>
        <v>16.875</v>
      </c>
      <c r="DB111" s="364">
        <f t="shared" ref="DB111" si="413">DB112+DB113</f>
        <v>16.875</v>
      </c>
      <c r="DC111" s="364">
        <f t="shared" ref="DC111" si="414">DC112+DC113</f>
        <v>6133.35</v>
      </c>
      <c r="DD111" s="40">
        <f>SUM(CZ111:DC111)</f>
        <v>6183.9750000000004</v>
      </c>
      <c r="DE111" s="840"/>
      <c r="DF111" s="840"/>
      <c r="DG111" s="840"/>
      <c r="DH111" s="840"/>
      <c r="DI111" s="40">
        <f>SUM(DE111:DH111)</f>
        <v>0</v>
      </c>
      <c r="DJ111" s="840"/>
      <c r="DK111" s="840"/>
      <c r="DL111" s="840"/>
      <c r="DM111" s="840"/>
      <c r="DN111" s="40">
        <f>SUM(DJ111:DM111)</f>
        <v>0</v>
      </c>
      <c r="DO111" s="840"/>
      <c r="DP111" s="840"/>
      <c r="DQ111" s="840"/>
      <c r="DR111" s="840"/>
      <c r="DS111" s="40">
        <f>SUM(DO111:DR111)</f>
        <v>0</v>
      </c>
      <c r="DT111" s="840"/>
      <c r="DU111" s="840"/>
      <c r="DV111" s="840"/>
      <c r="DW111" s="840"/>
      <c r="DX111" s="40">
        <f>SUM(DT111:DW111)</f>
        <v>0</v>
      </c>
      <c r="DY111" s="673"/>
      <c r="DZ111" s="673"/>
      <c r="EA111" s="673"/>
      <c r="EB111" s="673"/>
      <c r="EC111" s="673"/>
      <c r="ED111" s="673"/>
      <c r="EE111" s="673"/>
      <c r="EF111" s="673"/>
    </row>
    <row r="112" spans="1:142" hidden="1" outlineLevel="1" x14ac:dyDescent="0.2">
      <c r="A112" s="87" t="s">
        <v>833</v>
      </c>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45"/>
      <c r="AW112" s="38"/>
      <c r="AX112" s="38"/>
      <c r="AY112" s="38"/>
      <c r="AZ112" s="38"/>
      <c r="BA112" s="40"/>
      <c r="BB112" s="38"/>
      <c r="BC112" s="38"/>
      <c r="BD112" s="38"/>
      <c r="BE112" s="38"/>
      <c r="BF112" s="40"/>
      <c r="BG112" s="38"/>
      <c r="BH112" s="38"/>
      <c r="BI112" s="38"/>
      <c r="BJ112" s="38"/>
      <c r="BK112" s="40"/>
      <c r="BL112" s="38"/>
      <c r="BM112" s="38"/>
      <c r="BN112" s="38"/>
      <c r="BO112" s="38"/>
      <c r="BP112" s="40"/>
      <c r="BQ112" s="41"/>
      <c r="BR112" s="41"/>
      <c r="BS112" s="41"/>
      <c r="BT112" s="41"/>
      <c r="BU112" s="123"/>
      <c r="BV112" s="38">
        <f>6750*0.0025</f>
        <v>16.875</v>
      </c>
      <c r="BW112" s="1348">
        <f t="shared" ref="BW112:BY112" si="415">6750*0.0025</f>
        <v>16.875</v>
      </c>
      <c r="BX112" s="38">
        <f t="shared" si="415"/>
        <v>16.875</v>
      </c>
      <c r="BY112" s="38">
        <f t="shared" si="415"/>
        <v>16.875</v>
      </c>
      <c r="BZ112" s="40">
        <f>SUM(BV112:BY112)</f>
        <v>67.5</v>
      </c>
      <c r="CA112" s="38">
        <f>CA81-BZ81</f>
        <v>36.175000000000182</v>
      </c>
      <c r="CB112" s="38">
        <f>CB81-CA81</f>
        <v>-12.900000000000546</v>
      </c>
      <c r="CC112" s="38">
        <f>CC81-CB81</f>
        <v>-12.899999999999636</v>
      </c>
      <c r="CD112" s="38">
        <f>CD81-CC81</f>
        <v>-12.899999999999636</v>
      </c>
      <c r="CE112" s="40">
        <f>SUM(CA112:CD112)</f>
        <v>-2.5249999999996362</v>
      </c>
      <c r="CF112" s="38">
        <f>6750*0.0025</f>
        <v>16.875</v>
      </c>
      <c r="CG112" s="38">
        <f t="shared" ref="CG112:CI112" si="416">6750*0.0025</f>
        <v>16.875</v>
      </c>
      <c r="CH112" s="38">
        <f t="shared" si="416"/>
        <v>16.875</v>
      </c>
      <c r="CI112" s="38">
        <f t="shared" si="416"/>
        <v>16.875</v>
      </c>
      <c r="CJ112" s="40">
        <v>67.8</v>
      </c>
      <c r="CK112" s="38">
        <f>6750*0.0025</f>
        <v>16.875</v>
      </c>
      <c r="CL112" s="41">
        <f t="shared" ref="CL112:CN112" si="417">6750*0.0025</f>
        <v>16.875</v>
      </c>
      <c r="CM112" s="41">
        <f t="shared" si="417"/>
        <v>16.875</v>
      </c>
      <c r="CN112" s="41">
        <f t="shared" si="417"/>
        <v>16.875</v>
      </c>
      <c r="CO112" s="40">
        <v>64.5</v>
      </c>
      <c r="CP112" s="41">
        <f>6750*0.0025</f>
        <v>16.875</v>
      </c>
      <c r="CQ112" s="41">
        <f t="shared" ref="CQ112:CS112" si="418">6750*0.0025</f>
        <v>16.875</v>
      </c>
      <c r="CR112" s="41">
        <f t="shared" si="418"/>
        <v>16.875</v>
      </c>
      <c r="CS112" s="41">
        <f t="shared" si="418"/>
        <v>16.875</v>
      </c>
      <c r="CT112" s="40">
        <v>60.9</v>
      </c>
      <c r="CU112" s="41">
        <f>6750*0.0025</f>
        <v>16.875</v>
      </c>
      <c r="CV112" s="41">
        <f t="shared" ref="CV112:CX112" si="419">6750*0.0025</f>
        <v>16.875</v>
      </c>
      <c r="CW112" s="41">
        <f t="shared" si="419"/>
        <v>16.875</v>
      </c>
      <c r="CX112" s="41">
        <f t="shared" si="419"/>
        <v>16.875</v>
      </c>
      <c r="CY112" s="40">
        <v>55.9</v>
      </c>
      <c r="CZ112" s="41">
        <f>6750*0.0025</f>
        <v>16.875</v>
      </c>
      <c r="DA112" s="41">
        <f t="shared" ref="DA112:DC112" si="420">6750*0.0025</f>
        <v>16.875</v>
      </c>
      <c r="DB112" s="41">
        <f t="shared" si="420"/>
        <v>16.875</v>
      </c>
      <c r="DC112" s="41">
        <f t="shared" si="420"/>
        <v>16.875</v>
      </c>
      <c r="DD112" s="40">
        <v>51.1</v>
      </c>
      <c r="DE112" s="41"/>
      <c r="DF112" s="41"/>
      <c r="DG112" s="41"/>
      <c r="DH112" s="41"/>
      <c r="DI112" s="40"/>
      <c r="DJ112" s="41"/>
      <c r="DK112" s="41"/>
      <c r="DL112" s="41"/>
      <c r="DM112" s="41"/>
      <c r="DN112" s="40"/>
      <c r="DO112" s="41"/>
      <c r="DP112" s="41"/>
      <c r="DQ112" s="41"/>
      <c r="DR112" s="41"/>
      <c r="DS112" s="40"/>
      <c r="DT112" s="41"/>
      <c r="DU112" s="41"/>
      <c r="DV112" s="41"/>
      <c r="DW112" s="41"/>
      <c r="DX112" s="40"/>
      <c r="DY112" s="673"/>
      <c r="DZ112" s="673"/>
      <c r="EA112" s="673"/>
      <c r="EB112" s="673"/>
      <c r="EC112" s="673"/>
      <c r="ED112" s="673"/>
      <c r="EE112" s="673"/>
      <c r="EF112" s="673"/>
    </row>
    <row r="113" spans="1:142" hidden="1" outlineLevel="1" x14ac:dyDescent="0.2">
      <c r="A113" s="87" t="s">
        <v>831</v>
      </c>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45"/>
      <c r="AW113" s="38"/>
      <c r="AX113" s="38"/>
      <c r="AY113" s="38"/>
      <c r="AZ113" s="38"/>
      <c r="BA113" s="40"/>
      <c r="BB113" s="38"/>
      <c r="BC113" s="38"/>
      <c r="BD113" s="38"/>
      <c r="BE113" s="38"/>
      <c r="BF113" s="40"/>
      <c r="BG113" s="38"/>
      <c r="BH113" s="38"/>
      <c r="BI113" s="38"/>
      <c r="BJ113" s="38"/>
      <c r="BK113" s="40"/>
      <c r="BL113" s="38"/>
      <c r="BM113" s="38"/>
      <c r="BN113" s="38"/>
      <c r="BO113" s="38"/>
      <c r="BP113" s="40"/>
      <c r="BQ113" s="41"/>
      <c r="BR113" s="41"/>
      <c r="BS113" s="41"/>
      <c r="BT113" s="41"/>
      <c r="BU113" s="123"/>
      <c r="BV113" s="38">
        <v>0</v>
      </c>
      <c r="BW113" s="1348">
        <v>245.10499999999999</v>
      </c>
      <c r="BX113" s="38">
        <v>0</v>
      </c>
      <c r="BY113" s="38">
        <v>0</v>
      </c>
      <c r="BZ113" s="40">
        <f t="shared" ref="BZ113" si="421">SUM(BV113:BY113)</f>
        <v>245.10499999999999</v>
      </c>
      <c r="CA113" s="38">
        <v>0</v>
      </c>
      <c r="CB113" s="38">
        <v>0</v>
      </c>
      <c r="CC113" s="38">
        <v>0</v>
      </c>
      <c r="CD113" s="38">
        <v>0</v>
      </c>
      <c r="CE113" s="40">
        <f t="shared" ref="CE113" si="422">SUM(CA113:CD113)</f>
        <v>0</v>
      </c>
      <c r="CF113" s="38">
        <v>0</v>
      </c>
      <c r="CG113" s="38">
        <v>-250</v>
      </c>
      <c r="CH113" s="38">
        <v>0</v>
      </c>
      <c r="CI113" s="38">
        <v>0</v>
      </c>
      <c r="CJ113" s="40">
        <f t="shared" ref="CJ113" si="423">SUM(CF113:CI113)</f>
        <v>-250</v>
      </c>
      <c r="CK113" s="38">
        <v>0</v>
      </c>
      <c r="CL113" s="41"/>
      <c r="CM113" s="41">
        <v>0</v>
      </c>
      <c r="CN113" s="41">
        <v>0</v>
      </c>
      <c r="CO113" s="40">
        <f t="shared" ref="CO113" si="424">SUM(CK113:CN113)</f>
        <v>0</v>
      </c>
      <c r="CP113" s="41">
        <v>0</v>
      </c>
      <c r="CQ113" s="41">
        <v>0</v>
      </c>
      <c r="CR113" s="41">
        <v>0</v>
      </c>
      <c r="CS113" s="41">
        <v>0</v>
      </c>
      <c r="CT113" s="40">
        <f t="shared" ref="CT113:CT119" si="425">SUM(CP113:CS113)</f>
        <v>0</v>
      </c>
      <c r="CU113" s="41">
        <v>0</v>
      </c>
      <c r="CV113" s="41">
        <v>0</v>
      </c>
      <c r="CW113" s="41">
        <v>0</v>
      </c>
      <c r="CX113" s="41">
        <v>0</v>
      </c>
      <c r="CY113" s="40">
        <f t="shared" ref="CY113:CY119" si="426">SUM(CU113:CX113)</f>
        <v>0</v>
      </c>
      <c r="CZ113" s="41">
        <v>0</v>
      </c>
      <c r="DA113" s="41">
        <v>0</v>
      </c>
      <c r="DB113" s="41">
        <v>0</v>
      </c>
      <c r="DC113" s="41">
        <f>DB81-DC112</f>
        <v>6116.4750000000004</v>
      </c>
      <c r="DD113" s="40">
        <f t="shared" ref="DD113:DD120" si="427">SUM(CZ113:DC113)</f>
        <v>6116.4750000000004</v>
      </c>
      <c r="DE113" s="41"/>
      <c r="DF113" s="41"/>
      <c r="DG113" s="41"/>
      <c r="DH113" s="41"/>
      <c r="DI113" s="40"/>
      <c r="DJ113" s="41"/>
      <c r="DK113" s="41"/>
      <c r="DL113" s="41"/>
      <c r="DM113" s="41"/>
      <c r="DN113" s="40"/>
      <c r="DO113" s="41"/>
      <c r="DP113" s="41"/>
      <c r="DQ113" s="41"/>
      <c r="DR113" s="41"/>
      <c r="DS113" s="40"/>
      <c r="DT113" s="41"/>
      <c r="DU113" s="41"/>
      <c r="DV113" s="41"/>
      <c r="DW113" s="41"/>
      <c r="DX113" s="40"/>
      <c r="DY113" s="673"/>
      <c r="DZ113" s="673"/>
      <c r="EA113" s="673"/>
      <c r="EB113" s="673"/>
      <c r="EC113" s="673"/>
      <c r="ED113" s="673"/>
      <c r="EE113" s="673"/>
      <c r="EF113" s="673"/>
    </row>
    <row r="114" spans="1:142" ht="3.75" hidden="1" customHeight="1" outlineLevel="1" x14ac:dyDescent="0.2">
      <c r="A114" s="87"/>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45"/>
      <c r="AW114" s="38"/>
      <c r="AX114" s="38"/>
      <c r="AY114" s="38"/>
      <c r="AZ114" s="38"/>
      <c r="BA114" s="40"/>
      <c r="BB114" s="38"/>
      <c r="BC114" s="38"/>
      <c r="BD114" s="38"/>
      <c r="BE114" s="38"/>
      <c r="BF114" s="40"/>
      <c r="BG114" s="38"/>
      <c r="BH114" s="38"/>
      <c r="BI114" s="38"/>
      <c r="BJ114" s="38"/>
      <c r="BK114" s="40"/>
      <c r="BL114" s="38"/>
      <c r="BM114" s="38"/>
      <c r="BN114" s="38"/>
      <c r="BO114" s="38"/>
      <c r="BP114" s="40"/>
      <c r="BQ114" s="41"/>
      <c r="BR114" s="41"/>
      <c r="BS114" s="41"/>
      <c r="BT114" s="41"/>
      <c r="BU114" s="123"/>
      <c r="BV114" s="38"/>
      <c r="BW114" s="1348"/>
      <c r="BX114" s="38"/>
      <c r="BY114" s="38"/>
      <c r="BZ114" s="40"/>
      <c r="CA114" s="38"/>
      <c r="CB114" s="38"/>
      <c r="CC114" s="38"/>
      <c r="CD114" s="38"/>
      <c r="CE114" s="40"/>
      <c r="CF114" s="38"/>
      <c r="CG114" s="38"/>
      <c r="CH114" s="38"/>
      <c r="CI114" s="38"/>
      <c r="CJ114" s="40"/>
      <c r="CK114" s="38"/>
      <c r="CL114" s="41"/>
      <c r="CM114" s="41"/>
      <c r="CN114" s="41"/>
      <c r="CO114" s="40"/>
      <c r="CP114" s="41"/>
      <c r="CQ114" s="41"/>
      <c r="CR114" s="41"/>
      <c r="CS114" s="41"/>
      <c r="CT114" s="40">
        <f t="shared" si="425"/>
        <v>0</v>
      </c>
      <c r="CU114" s="41"/>
      <c r="CV114" s="41"/>
      <c r="CW114" s="41"/>
      <c r="CX114" s="41"/>
      <c r="CY114" s="40">
        <f t="shared" si="426"/>
        <v>0</v>
      </c>
      <c r="CZ114" s="41"/>
      <c r="DA114" s="41"/>
      <c r="DB114" s="41"/>
      <c r="DC114" s="41"/>
      <c r="DD114" s="40">
        <f t="shared" si="427"/>
        <v>0</v>
      </c>
      <c r="DE114" s="41"/>
      <c r="DF114" s="41"/>
      <c r="DG114" s="41"/>
      <c r="DH114" s="41"/>
      <c r="DI114" s="40"/>
      <c r="DJ114" s="41"/>
      <c r="DK114" s="41"/>
      <c r="DL114" s="41"/>
      <c r="DM114" s="41"/>
      <c r="DN114" s="40"/>
      <c r="DO114" s="41"/>
      <c r="DP114" s="41"/>
      <c r="DQ114" s="41"/>
      <c r="DR114" s="41"/>
      <c r="DS114" s="40"/>
      <c r="DT114" s="41"/>
      <c r="DU114" s="41"/>
      <c r="DV114" s="41"/>
      <c r="DW114" s="41"/>
      <c r="DX114" s="40"/>
      <c r="DY114" s="673"/>
      <c r="DZ114" s="673"/>
      <c r="EA114" s="673"/>
      <c r="EB114" s="673"/>
      <c r="EC114" s="673"/>
      <c r="ED114" s="673"/>
      <c r="EE114" s="673"/>
      <c r="EF114" s="673"/>
    </row>
    <row r="115" spans="1:142" ht="12.75" hidden="1" customHeight="1" outlineLevel="1" x14ac:dyDescent="0.2">
      <c r="A115" s="87" t="s">
        <v>635</v>
      </c>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45"/>
      <c r="AW115" s="38"/>
      <c r="AX115" s="38"/>
      <c r="AY115" s="38"/>
      <c r="AZ115" s="38"/>
      <c r="BA115" s="40"/>
      <c r="BB115" s="38"/>
      <c r="BC115" s="38"/>
      <c r="BD115" s="38"/>
      <c r="BE115" s="38"/>
      <c r="BF115" s="40"/>
      <c r="BG115" s="38"/>
      <c r="BH115" s="38"/>
      <c r="BI115" s="38"/>
      <c r="BJ115" s="38"/>
      <c r="BK115" s="40"/>
      <c r="BL115" s="38"/>
      <c r="BM115" s="38"/>
      <c r="BN115" s="38"/>
      <c r="BO115" s="38"/>
      <c r="BP115" s="40"/>
      <c r="BQ115" s="41"/>
      <c r="BR115" s="41"/>
      <c r="BS115" s="41"/>
      <c r="BT115" s="41"/>
      <c r="BU115" s="123"/>
      <c r="BV115" s="38"/>
      <c r="BW115" s="1348"/>
      <c r="BX115" s="38"/>
      <c r="BY115" s="38"/>
      <c r="BZ115" s="40"/>
      <c r="CA115" s="38"/>
      <c r="CB115" s="38"/>
      <c r="CC115" s="38"/>
      <c r="CD115" s="38"/>
      <c r="CE115" s="40"/>
      <c r="CF115" s="38"/>
      <c r="CG115" s="38"/>
      <c r="CH115" s="38"/>
      <c r="CI115" s="38"/>
      <c r="CJ115" s="40">
        <f>SUM(CF115:CI115)</f>
        <v>0</v>
      </c>
      <c r="CK115" s="38"/>
      <c r="CL115" s="41"/>
      <c r="CM115" s="41"/>
      <c r="CN115" s="41"/>
      <c r="CO115" s="40">
        <f>SUM(CK115:CN115)</f>
        <v>0</v>
      </c>
      <c r="CP115" s="41"/>
      <c r="CQ115" s="41"/>
      <c r="CR115" s="41"/>
      <c r="CS115" s="41"/>
      <c r="CT115" s="40">
        <f t="shared" si="425"/>
        <v>0</v>
      </c>
      <c r="CU115" s="41"/>
      <c r="CV115" s="41"/>
      <c r="CW115" s="41"/>
      <c r="CX115" s="41"/>
      <c r="CY115" s="40">
        <f t="shared" si="426"/>
        <v>0</v>
      </c>
      <c r="CZ115" s="41"/>
      <c r="DA115" s="41"/>
      <c r="DB115" s="41"/>
      <c r="DC115" s="41"/>
      <c r="DD115" s="40">
        <f t="shared" si="427"/>
        <v>0</v>
      </c>
      <c r="DE115" s="41"/>
      <c r="DF115" s="41"/>
      <c r="DG115" s="41"/>
      <c r="DH115" s="41"/>
      <c r="DI115" s="40"/>
      <c r="DJ115" s="41"/>
      <c r="DK115" s="41"/>
      <c r="DL115" s="41"/>
      <c r="DM115" s="41"/>
      <c r="DN115" s="40"/>
      <c r="DO115" s="41"/>
      <c r="DP115" s="41"/>
      <c r="DQ115" s="41"/>
      <c r="DR115" s="41"/>
      <c r="DS115" s="40"/>
      <c r="DT115" s="41"/>
      <c r="DU115" s="41"/>
      <c r="DV115" s="41"/>
      <c r="DW115" s="41"/>
      <c r="DX115" s="40"/>
      <c r="DY115" s="673"/>
      <c r="DZ115" s="673"/>
      <c r="EA115" s="673"/>
      <c r="EB115" s="673"/>
      <c r="EC115" s="673"/>
      <c r="ED115" s="673"/>
      <c r="EE115" s="673"/>
      <c r="EF115" s="673"/>
    </row>
    <row r="116" spans="1:142" hidden="1" outlineLevel="1" x14ac:dyDescent="0.2">
      <c r="A116" s="87" t="s">
        <v>636</v>
      </c>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45"/>
      <c r="AW116" s="38"/>
      <c r="AX116" s="38"/>
      <c r="AY116" s="38"/>
      <c r="AZ116" s="38"/>
      <c r="BA116" s="40"/>
      <c r="BB116" s="38"/>
      <c r="BC116" s="38"/>
      <c r="BD116" s="38"/>
      <c r="BE116" s="38"/>
      <c r="BF116" s="40"/>
      <c r="BG116" s="38"/>
      <c r="BH116" s="38"/>
      <c r="BI116" s="38"/>
      <c r="BJ116" s="38"/>
      <c r="BK116" s="40"/>
      <c r="BL116" s="38"/>
      <c r="BM116" s="38"/>
      <c r="BN116" s="38"/>
      <c r="BO116" s="38"/>
      <c r="BP116" s="40"/>
      <c r="BQ116" s="41"/>
      <c r="BR116" s="41"/>
      <c r="BS116" s="41"/>
      <c r="BT116" s="41"/>
      <c r="BU116" s="123"/>
      <c r="BV116" s="38">
        <v>0</v>
      </c>
      <c r="BW116" s="1348">
        <f>BW102-BW33</f>
        <v>10.420000000000073</v>
      </c>
      <c r="BX116" s="38">
        <v>0</v>
      </c>
      <c r="BY116" s="38">
        <v>0</v>
      </c>
      <c r="BZ116" s="40">
        <f t="shared" ref="BZ116:BZ126" si="428">SUM(BV116:BY116)</f>
        <v>10.420000000000073</v>
      </c>
      <c r="CA116" s="38">
        <v>0</v>
      </c>
      <c r="CB116" s="38">
        <v>0</v>
      </c>
      <c r="CC116" s="38">
        <v>0</v>
      </c>
      <c r="CD116" s="38">
        <v>0</v>
      </c>
      <c r="CE116" s="40">
        <f t="shared" ref="CE116" si="429">SUM(CA116:CD116)</f>
        <v>0</v>
      </c>
      <c r="CF116" s="38">
        <v>0</v>
      </c>
      <c r="CG116" s="38">
        <v>0</v>
      </c>
      <c r="CH116" s="38">
        <v>1250</v>
      </c>
      <c r="CI116" s="38">
        <v>1000</v>
      </c>
      <c r="CJ116" s="40">
        <f>SUM(CF116:CI116)</f>
        <v>2250</v>
      </c>
      <c r="CK116" s="38">
        <v>0</v>
      </c>
      <c r="CL116" s="41">
        <v>0</v>
      </c>
      <c r="CM116" s="41">
        <v>0</v>
      </c>
      <c r="CN116" s="41">
        <v>0</v>
      </c>
      <c r="CO116" s="40">
        <f>SUM(CK116:CN116)</f>
        <v>0</v>
      </c>
      <c r="CP116" s="41">
        <v>0</v>
      </c>
      <c r="CQ116" s="41">
        <v>0</v>
      </c>
      <c r="CR116" s="41">
        <v>0</v>
      </c>
      <c r="CS116" s="41">
        <v>0</v>
      </c>
      <c r="CT116" s="40">
        <f t="shared" si="425"/>
        <v>0</v>
      </c>
      <c r="CU116" s="41">
        <v>0</v>
      </c>
      <c r="CV116" s="41">
        <v>0</v>
      </c>
      <c r="CW116" s="41">
        <v>0</v>
      </c>
      <c r="CX116" s="41">
        <v>0</v>
      </c>
      <c r="CY116" s="40">
        <f t="shared" si="426"/>
        <v>0</v>
      </c>
      <c r="CZ116" s="41">
        <v>0</v>
      </c>
      <c r="DA116" s="41">
        <v>0</v>
      </c>
      <c r="DB116" s="41">
        <v>0</v>
      </c>
      <c r="DC116" s="41">
        <v>0</v>
      </c>
      <c r="DD116" s="40">
        <f t="shared" si="427"/>
        <v>0</v>
      </c>
      <c r="DE116" s="41">
        <v>0</v>
      </c>
      <c r="DF116" s="41">
        <v>0</v>
      </c>
      <c r="DG116" s="41">
        <v>0</v>
      </c>
      <c r="DH116" s="41">
        <v>0</v>
      </c>
      <c r="DI116" s="40">
        <f t="shared" ref="DI116:DI119" si="430">SUM(DE116:DH116)</f>
        <v>0</v>
      </c>
      <c r="DJ116" s="41">
        <v>0</v>
      </c>
      <c r="DK116" s="41">
        <v>0</v>
      </c>
      <c r="DL116" s="41">
        <v>0</v>
      </c>
      <c r="DM116" s="41">
        <v>0</v>
      </c>
      <c r="DN116" s="40">
        <f t="shared" ref="DN116" si="431">SUM(DJ116:DM116)</f>
        <v>0</v>
      </c>
      <c r="DO116" s="41"/>
      <c r="DP116" s="41"/>
      <c r="DQ116" s="41"/>
      <c r="DR116" s="41"/>
      <c r="DS116" s="40"/>
      <c r="DT116" s="41"/>
      <c r="DU116" s="41"/>
      <c r="DV116" s="41"/>
      <c r="DW116" s="41"/>
      <c r="DX116" s="40"/>
      <c r="DY116" s="673"/>
      <c r="DZ116" s="673"/>
      <c r="EA116" s="673"/>
      <c r="EB116" s="673"/>
      <c r="EC116" s="673"/>
      <c r="ED116" s="673"/>
      <c r="EE116" s="673"/>
      <c r="EF116" s="673"/>
    </row>
    <row r="117" spans="1:142" hidden="1" outlineLevel="1" x14ac:dyDescent="0.2">
      <c r="A117" s="87" t="s">
        <v>845</v>
      </c>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45"/>
      <c r="AW117" s="38"/>
      <c r="AX117" s="38"/>
      <c r="AY117" s="38"/>
      <c r="AZ117" s="38"/>
      <c r="BA117" s="40"/>
      <c r="BB117" s="38"/>
      <c r="BC117" s="38"/>
      <c r="BD117" s="38"/>
      <c r="BE117" s="38"/>
      <c r="BF117" s="40"/>
      <c r="BG117" s="38"/>
      <c r="BH117" s="38"/>
      <c r="BI117" s="38"/>
      <c r="BJ117" s="38"/>
      <c r="BK117" s="40"/>
      <c r="BL117" s="38"/>
      <c r="BM117" s="38"/>
      <c r="BN117" s="38"/>
      <c r="BO117" s="38"/>
      <c r="BP117" s="40"/>
      <c r="BQ117" s="41"/>
      <c r="BR117" s="41"/>
      <c r="BS117" s="41"/>
      <c r="BT117" s="41"/>
      <c r="BU117" s="123"/>
      <c r="BV117" s="38"/>
      <c r="BW117" s="1348"/>
      <c r="BX117" s="38"/>
      <c r="BY117" s="38"/>
      <c r="BZ117" s="40"/>
      <c r="CA117" s="38"/>
      <c r="CB117" s="38"/>
      <c r="CC117" s="38"/>
      <c r="CD117" s="38"/>
      <c r="CE117" s="40"/>
      <c r="CF117" s="38"/>
      <c r="CG117" s="38">
        <v>-1500</v>
      </c>
      <c r="CH117" s="38"/>
      <c r="CI117" s="38"/>
      <c r="CJ117" s="40"/>
      <c r="CK117" s="38"/>
      <c r="CL117" s="41"/>
      <c r="CM117" s="41"/>
      <c r="CN117" s="41"/>
      <c r="CO117" s="40"/>
      <c r="CP117" s="41"/>
      <c r="CQ117" s="41"/>
      <c r="CR117" s="41"/>
      <c r="CS117" s="41"/>
      <c r="CT117" s="40"/>
      <c r="CU117" s="41"/>
      <c r="CV117" s="41"/>
      <c r="CW117" s="41"/>
      <c r="CX117" s="41"/>
      <c r="CY117" s="40"/>
      <c r="CZ117" s="41"/>
      <c r="DA117" s="41"/>
      <c r="DB117" s="41"/>
      <c r="DC117" s="41"/>
      <c r="DD117" s="40"/>
      <c r="DE117" s="41"/>
      <c r="DF117" s="41"/>
      <c r="DG117" s="41"/>
      <c r="DH117" s="41"/>
      <c r="DI117" s="40"/>
      <c r="DJ117" s="41"/>
      <c r="DK117" s="41"/>
      <c r="DL117" s="41"/>
      <c r="DM117" s="41"/>
      <c r="DN117" s="40"/>
      <c r="DO117" s="41"/>
      <c r="DP117" s="41"/>
      <c r="DQ117" s="41"/>
      <c r="DR117" s="41"/>
      <c r="DS117" s="40"/>
      <c r="DT117" s="41"/>
      <c r="DU117" s="41"/>
      <c r="DV117" s="41"/>
      <c r="DW117" s="41"/>
      <c r="DX117" s="40"/>
      <c r="DY117" s="673"/>
      <c r="DZ117" s="673"/>
      <c r="EA117" s="673"/>
      <c r="EB117" s="673"/>
      <c r="EC117" s="673"/>
      <c r="ED117" s="673"/>
      <c r="EE117" s="673"/>
      <c r="EF117" s="673"/>
    </row>
    <row r="118" spans="1:142" hidden="1" outlineLevel="1" x14ac:dyDescent="0.2">
      <c r="A118" s="87" t="s">
        <v>828</v>
      </c>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45"/>
      <c r="AW118" s="38"/>
      <c r="AX118" s="38"/>
      <c r="AY118" s="38"/>
      <c r="AZ118" s="38"/>
      <c r="BA118" s="40"/>
      <c r="BB118" s="38"/>
      <c r="BC118" s="38"/>
      <c r="BD118" s="38"/>
      <c r="BE118" s="38"/>
      <c r="BF118" s="40"/>
      <c r="BG118" s="38"/>
      <c r="BH118" s="38"/>
      <c r="BI118" s="38"/>
      <c r="BJ118" s="38"/>
      <c r="BK118" s="40"/>
      <c r="BL118" s="38"/>
      <c r="BM118" s="38"/>
      <c r="BN118" s="38"/>
      <c r="BO118" s="38"/>
      <c r="BP118" s="40"/>
      <c r="BQ118" s="41"/>
      <c r="BR118" s="41"/>
      <c r="BS118" s="41"/>
      <c r="BT118" s="41"/>
      <c r="BU118" s="123"/>
      <c r="BV118" s="38"/>
      <c r="BW118" s="1348"/>
      <c r="BX118" s="38"/>
      <c r="BY118" s="38"/>
      <c r="BZ118" s="40"/>
      <c r="CA118" s="38"/>
      <c r="CB118" s="38"/>
      <c r="CC118" s="38"/>
      <c r="CD118" s="38"/>
      <c r="CE118" s="40"/>
      <c r="CF118" s="38"/>
      <c r="CG118" s="38"/>
      <c r="CH118" s="38">
        <v>-1300</v>
      </c>
      <c r="CI118" s="38">
        <v>-1500</v>
      </c>
      <c r="CJ118" s="40"/>
      <c r="CK118" s="38"/>
      <c r="CL118" s="41"/>
      <c r="CM118" s="41"/>
      <c r="CN118" s="41"/>
      <c r="CO118" s="40"/>
      <c r="CP118" s="41"/>
      <c r="CQ118" s="41"/>
      <c r="CR118" s="41"/>
      <c r="CS118" s="41"/>
      <c r="CT118" s="40">
        <f t="shared" si="425"/>
        <v>0</v>
      </c>
      <c r="CU118" s="41"/>
      <c r="CV118" s="41"/>
      <c r="CW118" s="41"/>
      <c r="CX118" s="41"/>
      <c r="CY118" s="40">
        <f t="shared" si="426"/>
        <v>0</v>
      </c>
      <c r="CZ118" s="41"/>
      <c r="DA118" s="41"/>
      <c r="DB118" s="41"/>
      <c r="DC118" s="41"/>
      <c r="DD118" s="40">
        <f t="shared" si="427"/>
        <v>0</v>
      </c>
      <c r="DE118" s="41"/>
      <c r="DF118" s="41"/>
      <c r="DG118" s="41"/>
      <c r="DH118" s="41"/>
      <c r="DI118" s="40"/>
      <c r="DJ118" s="41"/>
      <c r="DK118" s="41"/>
      <c r="DL118" s="41"/>
      <c r="DM118" s="41"/>
      <c r="DN118" s="40"/>
      <c r="DO118" s="41"/>
      <c r="DP118" s="41"/>
      <c r="DQ118" s="41"/>
      <c r="DR118" s="41"/>
      <c r="DS118" s="40"/>
      <c r="DT118" s="41"/>
      <c r="DU118" s="41"/>
      <c r="DV118" s="41"/>
      <c r="DW118" s="41"/>
      <c r="DX118" s="40"/>
      <c r="DY118" s="673"/>
      <c r="DZ118" s="673"/>
      <c r="EA118" s="673"/>
      <c r="EB118" s="673"/>
      <c r="EC118" s="673"/>
      <c r="ED118" s="673"/>
      <c r="EE118" s="673"/>
      <c r="EF118" s="673"/>
    </row>
    <row r="119" spans="1:142" ht="12.75" hidden="1" customHeight="1" outlineLevel="1" x14ac:dyDescent="0.2">
      <c r="A119" s="87" t="s">
        <v>685</v>
      </c>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45"/>
      <c r="AW119" s="38"/>
      <c r="AX119" s="38"/>
      <c r="AY119" s="38"/>
      <c r="AZ119" s="38"/>
      <c r="BA119" s="40"/>
      <c r="BB119" s="38"/>
      <c r="BC119" s="38"/>
      <c r="BD119" s="38"/>
      <c r="BE119" s="38"/>
      <c r="BF119" s="40"/>
      <c r="BG119" s="38"/>
      <c r="BH119" s="38"/>
      <c r="BI119" s="38"/>
      <c r="BJ119" s="38"/>
      <c r="BK119" s="40"/>
      <c r="BL119" s="38"/>
      <c r="BM119" s="38"/>
      <c r="BN119" s="38"/>
      <c r="BO119" s="38"/>
      <c r="BP119" s="40"/>
      <c r="BQ119" s="41"/>
      <c r="BR119" s="41"/>
      <c r="BS119" s="41"/>
      <c r="BT119" s="41"/>
      <c r="BU119" s="123"/>
      <c r="BV119" s="38"/>
      <c r="BW119" s="1348"/>
      <c r="BX119" s="38"/>
      <c r="BY119" s="38"/>
      <c r="BZ119" s="40"/>
      <c r="CA119" s="38"/>
      <c r="CB119" s="38"/>
      <c r="CC119" s="38"/>
      <c r="CD119" s="38"/>
      <c r="CE119" s="40"/>
      <c r="CF119" s="38"/>
      <c r="CG119" s="38">
        <v>0</v>
      </c>
      <c r="CH119" s="38"/>
      <c r="CI119" s="1676"/>
      <c r="CJ119" s="40">
        <f>SUM(CF119:CI119)</f>
        <v>0</v>
      </c>
      <c r="CK119" s="38"/>
      <c r="CL119" s="41"/>
      <c r="CM119" s="41"/>
      <c r="CN119" s="41"/>
      <c r="CO119" s="40">
        <f>SUM(CK119:CN119)</f>
        <v>0</v>
      </c>
      <c r="CP119" s="41"/>
      <c r="CQ119" s="41"/>
      <c r="CR119" s="41"/>
      <c r="CS119" s="41"/>
      <c r="CT119" s="40">
        <f t="shared" si="425"/>
        <v>0</v>
      </c>
      <c r="CU119" s="41"/>
      <c r="CV119" s="41"/>
      <c r="CW119" s="41"/>
      <c r="CX119" s="41"/>
      <c r="CY119" s="40">
        <f t="shared" si="426"/>
        <v>0</v>
      </c>
      <c r="CZ119" s="41"/>
      <c r="DA119" s="41"/>
      <c r="DB119" s="41"/>
      <c r="DC119" s="1653">
        <v>-5500</v>
      </c>
      <c r="DD119" s="40">
        <f t="shared" si="427"/>
        <v>-5500</v>
      </c>
      <c r="DE119" s="41">
        <f>-$DC$119*0.0025</f>
        <v>13.75</v>
      </c>
      <c r="DF119" s="41">
        <f t="shared" ref="DF119:DH119" si="432">-$DC$119*0.0025</f>
        <v>13.75</v>
      </c>
      <c r="DG119" s="41">
        <f t="shared" si="432"/>
        <v>13.75</v>
      </c>
      <c r="DH119" s="41">
        <f t="shared" si="432"/>
        <v>13.75</v>
      </c>
      <c r="DI119" s="40">
        <f t="shared" si="430"/>
        <v>55</v>
      </c>
      <c r="DJ119" s="41">
        <f>-$DC$119*0.0025</f>
        <v>13.75</v>
      </c>
      <c r="DK119" s="41">
        <f t="shared" ref="DK119:DM119" si="433">-$DC$119*0.0025</f>
        <v>13.75</v>
      </c>
      <c r="DL119" s="41">
        <f t="shared" si="433"/>
        <v>13.75</v>
      </c>
      <c r="DM119" s="41">
        <f t="shared" si="433"/>
        <v>13.75</v>
      </c>
      <c r="DN119" s="40">
        <f t="shared" ref="DN119" si="434">SUM(DJ119:DM119)</f>
        <v>55</v>
      </c>
      <c r="DO119" s="41">
        <f>-$DC$119*0.0025</f>
        <v>13.75</v>
      </c>
      <c r="DP119" s="41">
        <f t="shared" ref="DP119:DR119" si="435">-$DC$119*0.0025</f>
        <v>13.75</v>
      </c>
      <c r="DQ119" s="41">
        <f t="shared" si="435"/>
        <v>13.75</v>
      </c>
      <c r="DR119" s="41">
        <f t="shared" si="435"/>
        <v>13.75</v>
      </c>
      <c r="DS119" s="40">
        <f t="shared" ref="DS119" si="436">SUM(DO119:DR119)</f>
        <v>55</v>
      </c>
      <c r="DT119" s="41">
        <f>-$DC$119*0.0025</f>
        <v>13.75</v>
      </c>
      <c r="DU119" s="41">
        <f t="shared" ref="DU119:DW119" si="437">-$DC$119*0.0025</f>
        <v>13.75</v>
      </c>
      <c r="DV119" s="41">
        <f t="shared" si="437"/>
        <v>13.75</v>
      </c>
      <c r="DW119" s="41">
        <f t="shared" si="437"/>
        <v>13.75</v>
      </c>
      <c r="DX119" s="40">
        <f t="shared" ref="DX119" si="438">SUM(DT119:DW119)</f>
        <v>55</v>
      </c>
      <c r="DY119" s="673"/>
      <c r="DZ119" s="673"/>
      <c r="EA119" s="673"/>
      <c r="EB119" s="673"/>
      <c r="EC119" s="673"/>
      <c r="ED119" s="673"/>
      <c r="EE119" s="673"/>
      <c r="EF119" s="673"/>
    </row>
    <row r="120" spans="1:142" ht="3.75" hidden="1" customHeight="1" outlineLevel="1" x14ac:dyDescent="0.2">
      <c r="A120" s="87"/>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45"/>
      <c r="AW120" s="38"/>
      <c r="AX120" s="38"/>
      <c r="AY120" s="38"/>
      <c r="AZ120" s="38"/>
      <c r="BA120" s="40"/>
      <c r="BB120" s="38"/>
      <c r="BC120" s="38"/>
      <c r="BD120" s="38"/>
      <c r="BE120" s="38"/>
      <c r="BF120" s="40"/>
      <c r="BG120" s="38"/>
      <c r="BH120" s="38"/>
      <c r="BI120" s="38"/>
      <c r="BJ120" s="38"/>
      <c r="BK120" s="40"/>
      <c r="BL120" s="38"/>
      <c r="BM120" s="38"/>
      <c r="BN120" s="38"/>
      <c r="BO120" s="38"/>
      <c r="BP120" s="40"/>
      <c r="BQ120" s="41"/>
      <c r="BR120" s="41"/>
      <c r="BS120" s="41"/>
      <c r="BT120" s="41"/>
      <c r="BU120" s="123"/>
      <c r="BV120" s="38"/>
      <c r="BW120" s="1348"/>
      <c r="BX120" s="38"/>
      <c r="BY120" s="38"/>
      <c r="BZ120" s="40"/>
      <c r="CA120" s="38"/>
      <c r="CB120" s="38"/>
      <c r="CC120" s="38"/>
      <c r="CD120" s="38"/>
      <c r="CE120" s="40"/>
      <c r="CF120" s="38"/>
      <c r="CG120" s="38"/>
      <c r="CH120" s="38"/>
      <c r="CI120" s="38"/>
      <c r="CJ120" s="40"/>
      <c r="CK120" s="38"/>
      <c r="CL120" s="41"/>
      <c r="CM120" s="41"/>
      <c r="CN120" s="41"/>
      <c r="CO120" s="40"/>
      <c r="CP120" s="41"/>
      <c r="CQ120" s="41"/>
      <c r="CR120" s="41"/>
      <c r="CS120" s="41"/>
      <c r="CT120" s="40"/>
      <c r="CU120" s="41"/>
      <c r="CV120" s="41"/>
      <c r="CW120" s="41"/>
      <c r="CX120" s="41"/>
      <c r="CY120" s="40"/>
      <c r="CZ120" s="41"/>
      <c r="DA120" s="41"/>
      <c r="DB120" s="41"/>
      <c r="DC120" s="41"/>
      <c r="DD120" s="40">
        <f t="shared" si="427"/>
        <v>0</v>
      </c>
      <c r="DE120" s="41"/>
      <c r="DF120" s="41"/>
      <c r="DG120" s="41"/>
      <c r="DH120" s="41"/>
      <c r="DI120" s="40"/>
      <c r="DJ120" s="41"/>
      <c r="DK120" s="41"/>
      <c r="DL120" s="41"/>
      <c r="DM120" s="41"/>
      <c r="DN120" s="40"/>
      <c r="DO120" s="41"/>
      <c r="DP120" s="41"/>
      <c r="DQ120" s="41"/>
      <c r="DR120" s="41"/>
      <c r="DS120" s="40"/>
      <c r="DT120" s="41"/>
      <c r="DU120" s="41"/>
      <c r="DV120" s="41"/>
      <c r="DW120" s="41"/>
      <c r="DX120" s="40"/>
      <c r="DY120" s="673"/>
      <c r="DZ120" s="673"/>
      <c r="EA120" s="673"/>
      <c r="EB120" s="673"/>
      <c r="EC120" s="673"/>
      <c r="ED120" s="673"/>
      <c r="EE120" s="673"/>
      <c r="EF120" s="673"/>
    </row>
    <row r="121" spans="1:142" hidden="1" outlineLevel="1" x14ac:dyDescent="0.2">
      <c r="A121" s="87" t="s">
        <v>665</v>
      </c>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45"/>
      <c r="AW121" s="38"/>
      <c r="AX121" s="38"/>
      <c r="AY121" s="38"/>
      <c r="AZ121" s="38"/>
      <c r="BA121" s="40"/>
      <c r="BB121" s="38"/>
      <c r="BC121" s="38"/>
      <c r="BD121" s="38"/>
      <c r="BE121" s="38"/>
      <c r="BF121" s="40"/>
      <c r="BG121" s="38"/>
      <c r="BH121" s="38"/>
      <c r="BI121" s="38"/>
      <c r="BJ121" s="38"/>
      <c r="BK121" s="40"/>
      <c r="BL121" s="38"/>
      <c r="BM121" s="38"/>
      <c r="BN121" s="38"/>
      <c r="BO121" s="38"/>
      <c r="BP121" s="40"/>
      <c r="BQ121" s="41"/>
      <c r="BR121" s="41"/>
      <c r="BS121" s="41"/>
      <c r="BT121" s="41"/>
      <c r="BU121" s="123"/>
      <c r="BV121" s="38">
        <f t="shared" ref="BV121:BY123" si="439">BU86-BV86</f>
        <v>262</v>
      </c>
      <c r="BW121" s="1348">
        <f t="shared" si="439"/>
        <v>0</v>
      </c>
      <c r="BX121" s="38">
        <f t="shared" si="439"/>
        <v>0</v>
      </c>
      <c r="BY121" s="38">
        <f t="shared" si="439"/>
        <v>0</v>
      </c>
      <c r="BZ121" s="40">
        <f t="shared" si="428"/>
        <v>262</v>
      </c>
      <c r="CA121" s="38">
        <f>BZ86-CA86</f>
        <v>0</v>
      </c>
      <c r="CB121" s="38"/>
      <c r="CC121" s="38"/>
      <c r="CD121" s="38"/>
      <c r="CE121" s="40"/>
      <c r="CF121" s="38"/>
      <c r="CG121" s="38"/>
      <c r="CH121" s="38"/>
      <c r="CI121" s="38"/>
      <c r="CJ121" s="40"/>
      <c r="CK121" s="38"/>
      <c r="CL121" s="41"/>
      <c r="CM121" s="41"/>
      <c r="CN121" s="41"/>
      <c r="CO121" s="40"/>
      <c r="CP121" s="41"/>
      <c r="CQ121" s="41"/>
      <c r="CR121" s="41"/>
      <c r="CS121" s="41"/>
      <c r="CT121" s="40"/>
      <c r="CU121" s="41"/>
      <c r="CV121" s="41"/>
      <c r="CW121" s="41"/>
      <c r="CX121" s="41"/>
      <c r="CY121" s="40"/>
      <c r="CZ121" s="41"/>
      <c r="DA121" s="41"/>
      <c r="DB121" s="41"/>
      <c r="DC121" s="41"/>
      <c r="DD121" s="40"/>
      <c r="DE121" s="41"/>
      <c r="DF121" s="41"/>
      <c r="DG121" s="41"/>
      <c r="DH121" s="41"/>
      <c r="DI121" s="40"/>
      <c r="DJ121" s="41"/>
      <c r="DK121" s="41"/>
      <c r="DL121" s="41"/>
      <c r="DM121" s="41"/>
      <c r="DN121" s="40"/>
      <c r="DO121" s="41"/>
      <c r="DP121" s="41"/>
      <c r="DQ121" s="41"/>
      <c r="DR121" s="41"/>
      <c r="DS121" s="40"/>
      <c r="DT121" s="41"/>
      <c r="DU121" s="41"/>
      <c r="DV121" s="41"/>
      <c r="DW121" s="41"/>
      <c r="DX121" s="40"/>
      <c r="DY121" s="673"/>
      <c r="DZ121" s="673"/>
      <c r="EA121" s="673"/>
      <c r="EB121" s="673"/>
      <c r="EC121" s="673"/>
      <c r="ED121" s="673"/>
      <c r="EE121" s="673"/>
      <c r="EF121" s="673"/>
    </row>
    <row r="122" spans="1:142" hidden="1" outlineLevel="1" x14ac:dyDescent="0.2">
      <c r="A122" s="87" t="s">
        <v>666</v>
      </c>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45"/>
      <c r="AW122" s="38"/>
      <c r="AX122" s="38"/>
      <c r="AY122" s="38"/>
      <c r="AZ122" s="38"/>
      <c r="BA122" s="40"/>
      <c r="BB122" s="38"/>
      <c r="BC122" s="38"/>
      <c r="BD122" s="38"/>
      <c r="BE122" s="38"/>
      <c r="BF122" s="40"/>
      <c r="BG122" s="38"/>
      <c r="BH122" s="38"/>
      <c r="BI122" s="38"/>
      <c r="BJ122" s="38"/>
      <c r="BK122" s="40"/>
      <c r="BL122" s="38"/>
      <c r="BM122" s="38"/>
      <c r="BN122" s="38"/>
      <c r="BO122" s="38"/>
      <c r="BP122" s="40"/>
      <c r="BQ122" s="41"/>
      <c r="BR122" s="41"/>
      <c r="BS122" s="41"/>
      <c r="BT122" s="41"/>
      <c r="BU122" s="123"/>
      <c r="BV122" s="38">
        <f t="shared" si="439"/>
        <v>390.7</v>
      </c>
      <c r="BW122" s="1348">
        <f t="shared" si="439"/>
        <v>0</v>
      </c>
      <c r="BX122" s="38">
        <f t="shared" si="439"/>
        <v>0</v>
      </c>
      <c r="BY122" s="38">
        <f t="shared" si="439"/>
        <v>0</v>
      </c>
      <c r="BZ122" s="40">
        <f t="shared" si="428"/>
        <v>390.7</v>
      </c>
      <c r="CA122" s="38">
        <f>BZ87-CA87</f>
        <v>0</v>
      </c>
      <c r="CB122" s="38"/>
      <c r="CC122" s="38"/>
      <c r="CD122" s="38"/>
      <c r="CE122" s="40"/>
      <c r="CF122" s="38"/>
      <c r="CG122" s="38"/>
      <c r="CH122" s="38"/>
      <c r="CI122" s="38"/>
      <c r="CJ122" s="40"/>
      <c r="CK122" s="38"/>
      <c r="CL122" s="41"/>
      <c r="CM122" s="41"/>
      <c r="CN122" s="41"/>
      <c r="CO122" s="40"/>
      <c r="CP122" s="41"/>
      <c r="CQ122" s="41"/>
      <c r="CR122" s="41"/>
      <c r="CS122" s="41"/>
      <c r="CT122" s="40"/>
      <c r="CU122" s="41"/>
      <c r="CV122" s="41"/>
      <c r="CW122" s="41"/>
      <c r="CX122" s="41"/>
      <c r="CY122" s="40"/>
      <c r="CZ122" s="41"/>
      <c r="DA122" s="41"/>
      <c r="DB122" s="41"/>
      <c r="DC122" s="41"/>
      <c r="DD122" s="40"/>
      <c r="DE122" s="41"/>
      <c r="DF122" s="41"/>
      <c r="DG122" s="41"/>
      <c r="DH122" s="41"/>
      <c r="DI122" s="40"/>
      <c r="DJ122" s="41"/>
      <c r="DK122" s="41"/>
      <c r="DL122" s="41"/>
      <c r="DM122" s="41"/>
      <c r="DN122" s="40"/>
      <c r="DO122" s="41"/>
      <c r="DP122" s="41"/>
      <c r="DQ122" s="41"/>
      <c r="DR122" s="41"/>
      <c r="DS122" s="40"/>
      <c r="DT122" s="41"/>
      <c r="DU122" s="41"/>
      <c r="DV122" s="41"/>
      <c r="DW122" s="41"/>
      <c r="DX122" s="40"/>
      <c r="DY122" s="673"/>
      <c r="DZ122" s="673"/>
      <c r="EA122" s="673"/>
      <c r="EB122" s="673"/>
      <c r="EC122" s="673"/>
      <c r="ED122" s="673"/>
      <c r="EE122" s="673"/>
      <c r="EF122" s="673"/>
    </row>
    <row r="123" spans="1:142" hidden="1" outlineLevel="1" x14ac:dyDescent="0.2">
      <c r="A123" s="87" t="s">
        <v>667</v>
      </c>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45"/>
      <c r="AW123" s="38"/>
      <c r="AX123" s="38"/>
      <c r="AY123" s="38"/>
      <c r="AZ123" s="38"/>
      <c r="BA123" s="40"/>
      <c r="BB123" s="38"/>
      <c r="BC123" s="38"/>
      <c r="BD123" s="38"/>
      <c r="BE123" s="38"/>
      <c r="BF123" s="40"/>
      <c r="BG123" s="38"/>
      <c r="BH123" s="38"/>
      <c r="BI123" s="38"/>
      <c r="BJ123" s="38"/>
      <c r="BK123" s="40"/>
      <c r="BL123" s="38"/>
      <c r="BM123" s="38"/>
      <c r="BN123" s="38"/>
      <c r="BO123" s="38"/>
      <c r="BP123" s="40"/>
      <c r="BQ123" s="41"/>
      <c r="BR123" s="41"/>
      <c r="BS123" s="41"/>
      <c r="BT123" s="41"/>
      <c r="BU123" s="123"/>
      <c r="BV123" s="38">
        <f t="shared" si="439"/>
        <v>392.1</v>
      </c>
      <c r="BW123" s="1348">
        <f t="shared" si="439"/>
        <v>0</v>
      </c>
      <c r="BX123" s="38">
        <f t="shared" si="439"/>
        <v>0</v>
      </c>
      <c r="BY123" s="38">
        <f t="shared" si="439"/>
        <v>0</v>
      </c>
      <c r="BZ123" s="40">
        <f t="shared" si="428"/>
        <v>392.1</v>
      </c>
      <c r="CA123" s="38">
        <f>BZ88-CA88</f>
        <v>0</v>
      </c>
      <c r="CB123" s="38"/>
      <c r="CC123" s="38"/>
      <c r="CD123" s="38"/>
      <c r="CE123" s="40"/>
      <c r="CF123" s="38"/>
      <c r="CG123" s="38"/>
      <c r="CH123" s="38"/>
      <c r="CI123" s="38"/>
      <c r="CJ123" s="40"/>
      <c r="CK123" s="38"/>
      <c r="CL123" s="41"/>
      <c r="CM123" s="41"/>
      <c r="CN123" s="41"/>
      <c r="CO123" s="40"/>
      <c r="CP123" s="41"/>
      <c r="CQ123" s="41"/>
      <c r="CR123" s="41"/>
      <c r="CS123" s="41"/>
      <c r="CT123" s="40"/>
      <c r="CU123" s="41"/>
      <c r="CV123" s="41"/>
      <c r="CW123" s="41"/>
      <c r="CX123" s="41"/>
      <c r="CY123" s="40"/>
      <c r="CZ123" s="41"/>
      <c r="DA123" s="41"/>
      <c r="DB123" s="41"/>
      <c r="DC123" s="41"/>
      <c r="DD123" s="40"/>
      <c r="DE123" s="41"/>
      <c r="DF123" s="41"/>
      <c r="DG123" s="41"/>
      <c r="DH123" s="41"/>
      <c r="DI123" s="40"/>
      <c r="DJ123" s="41"/>
      <c r="DK123" s="41"/>
      <c r="DL123" s="41"/>
      <c r="DM123" s="41"/>
      <c r="DN123" s="40"/>
      <c r="DO123" s="41"/>
      <c r="DP123" s="41"/>
      <c r="DQ123" s="41"/>
      <c r="DR123" s="41"/>
      <c r="DS123" s="40"/>
      <c r="DT123" s="41"/>
      <c r="DU123" s="41"/>
      <c r="DV123" s="41"/>
      <c r="DW123" s="41"/>
      <c r="DX123" s="40"/>
      <c r="DY123" s="673"/>
      <c r="DZ123" s="673"/>
      <c r="EA123" s="673"/>
      <c r="EB123" s="673"/>
      <c r="EC123" s="673"/>
      <c r="ED123" s="673"/>
      <c r="EE123" s="673"/>
      <c r="EF123" s="673"/>
    </row>
    <row r="124" spans="1:142" ht="3.75" hidden="1" customHeight="1" outlineLevel="1" x14ac:dyDescent="0.2">
      <c r="A124" s="87"/>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45"/>
      <c r="AW124" s="38"/>
      <c r="AX124" s="38"/>
      <c r="AY124" s="38"/>
      <c r="AZ124" s="38"/>
      <c r="BA124" s="40"/>
      <c r="BB124" s="38"/>
      <c r="BC124" s="38"/>
      <c r="BD124" s="38"/>
      <c r="BE124" s="38"/>
      <c r="BF124" s="40"/>
      <c r="BG124" s="38"/>
      <c r="BH124" s="38"/>
      <c r="BI124" s="38"/>
      <c r="BJ124" s="38"/>
      <c r="BK124" s="40"/>
      <c r="BL124" s="38"/>
      <c r="BM124" s="38"/>
      <c r="BN124" s="38"/>
      <c r="BO124" s="38"/>
      <c r="BP124" s="40"/>
      <c r="BQ124" s="41"/>
      <c r="BR124" s="41"/>
      <c r="BS124" s="41"/>
      <c r="BT124" s="41"/>
      <c r="BU124" s="123"/>
      <c r="BV124" s="38"/>
      <c r="BW124" s="1348"/>
      <c r="BX124" s="38"/>
      <c r="BY124" s="38"/>
      <c r="BZ124" s="40">
        <f t="shared" si="428"/>
        <v>0</v>
      </c>
      <c r="CA124" s="38"/>
      <c r="CB124" s="38"/>
      <c r="CC124" s="38"/>
      <c r="CD124" s="38"/>
      <c r="CE124" s="40"/>
      <c r="CF124" s="38"/>
      <c r="CG124" s="38"/>
      <c r="CH124" s="38"/>
      <c r="CI124" s="38"/>
      <c r="CJ124" s="40"/>
      <c r="CK124" s="38"/>
      <c r="CL124" s="41"/>
      <c r="CM124" s="41"/>
      <c r="CN124" s="41"/>
      <c r="CO124" s="40"/>
      <c r="CP124" s="41"/>
      <c r="CQ124" s="41"/>
      <c r="CR124" s="41"/>
      <c r="CS124" s="41"/>
      <c r="CT124" s="40"/>
      <c r="CU124" s="41"/>
      <c r="CV124" s="41"/>
      <c r="CW124" s="41"/>
      <c r="CX124" s="41"/>
      <c r="CY124" s="40"/>
      <c r="CZ124" s="41"/>
      <c r="DA124" s="41"/>
      <c r="DB124" s="41"/>
      <c r="DC124" s="41"/>
      <c r="DD124" s="40"/>
      <c r="DE124" s="41"/>
      <c r="DF124" s="41"/>
      <c r="DG124" s="41"/>
      <c r="DH124" s="41"/>
      <c r="DI124" s="40"/>
      <c r="DJ124" s="41"/>
      <c r="DK124" s="41"/>
      <c r="DL124" s="41"/>
      <c r="DM124" s="41"/>
      <c r="DN124" s="40"/>
      <c r="DO124" s="41"/>
      <c r="DP124" s="41"/>
      <c r="DQ124" s="41"/>
      <c r="DR124" s="41"/>
      <c r="DS124" s="40"/>
      <c r="DT124" s="41"/>
      <c r="DU124" s="41"/>
      <c r="DV124" s="41"/>
      <c r="DW124" s="41"/>
      <c r="DX124" s="40"/>
      <c r="DY124" s="673"/>
      <c r="DZ124" s="673"/>
      <c r="EA124" s="673"/>
      <c r="EB124" s="673"/>
      <c r="EC124" s="673"/>
      <c r="ED124" s="673"/>
      <c r="EE124" s="673"/>
      <c r="EF124" s="673"/>
    </row>
    <row r="125" spans="1:142" hidden="1" outlineLevel="2" x14ac:dyDescent="0.2">
      <c r="A125" s="87" t="s">
        <v>464</v>
      </c>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45"/>
      <c r="AW125" s="38"/>
      <c r="AX125" s="38"/>
      <c r="AY125" s="38"/>
      <c r="AZ125" s="38"/>
      <c r="BA125" s="40"/>
      <c r="BB125" s="38"/>
      <c r="BC125" s="38"/>
      <c r="BD125" s="38"/>
      <c r="BE125" s="38"/>
      <c r="BF125" s="40"/>
      <c r="BG125" s="38"/>
      <c r="BH125" s="38"/>
      <c r="BI125" s="38"/>
      <c r="BJ125" s="38"/>
      <c r="BK125" s="40">
        <v>1023.6</v>
      </c>
      <c r="BL125" s="38">
        <v>6.4</v>
      </c>
      <c r="BM125" s="38">
        <v>6.4</v>
      </c>
      <c r="BN125" s="38">
        <v>6.4</v>
      </c>
      <c r="BO125" s="38">
        <v>6.4</v>
      </c>
      <c r="BP125" s="40">
        <f>SUM(BL125:BO125)</f>
        <v>25.6</v>
      </c>
      <c r="BQ125" s="38">
        <v>12.9</v>
      </c>
      <c r="BR125" s="38">
        <v>12.9</v>
      </c>
      <c r="BS125" s="38">
        <v>12.9</v>
      </c>
      <c r="BT125" s="41">
        <v>12.9</v>
      </c>
      <c r="BU125" s="40">
        <f>SUM(BQ125:BT125)</f>
        <v>51.6</v>
      </c>
      <c r="BV125" s="38">
        <v>0</v>
      </c>
      <c r="BW125" s="1348">
        <v>0</v>
      </c>
      <c r="BX125" s="38">
        <v>0</v>
      </c>
      <c r="BY125" s="38">
        <v>0</v>
      </c>
      <c r="BZ125" s="40">
        <f t="shared" si="428"/>
        <v>0</v>
      </c>
      <c r="CA125" s="38">
        <v>0</v>
      </c>
      <c r="CB125" s="38"/>
      <c r="CC125" s="38"/>
      <c r="CD125" s="38"/>
      <c r="CE125" s="40"/>
      <c r="CF125" s="38"/>
      <c r="CG125" s="38"/>
      <c r="CH125" s="38"/>
      <c r="CI125" s="38"/>
      <c r="CJ125" s="40"/>
      <c r="CK125" s="38"/>
      <c r="CL125" s="41"/>
      <c r="CM125" s="41"/>
      <c r="CN125" s="41"/>
      <c r="CO125" s="675"/>
      <c r="CP125" s="41"/>
      <c r="CQ125" s="41"/>
      <c r="CR125" s="41"/>
      <c r="CS125" s="38"/>
      <c r="CT125" s="675"/>
      <c r="CU125" s="38"/>
      <c r="CV125" s="38"/>
      <c r="CW125" s="38"/>
      <c r="CX125" s="38"/>
      <c r="CY125" s="675"/>
      <c r="CZ125" s="38"/>
      <c r="DA125" s="38"/>
      <c r="DB125" s="38"/>
      <c r="DC125" s="38"/>
      <c r="DD125" s="675"/>
      <c r="DE125" s="38"/>
      <c r="DF125" s="38"/>
      <c r="DG125" s="38"/>
      <c r="DH125" s="38"/>
      <c r="DI125" s="675"/>
      <c r="DJ125" s="38"/>
      <c r="DK125" s="38"/>
      <c r="DL125" s="38"/>
      <c r="DM125" s="38"/>
      <c r="DN125" s="675"/>
      <c r="DO125" s="38"/>
      <c r="DP125" s="38"/>
      <c r="DQ125" s="38"/>
      <c r="DR125" s="38"/>
      <c r="DS125" s="675"/>
      <c r="DT125" s="38"/>
      <c r="DU125" s="38"/>
      <c r="DV125" s="38"/>
      <c r="DW125" s="38"/>
      <c r="DX125" s="675"/>
      <c r="DY125" s="673"/>
      <c r="DZ125" s="673"/>
      <c r="EA125" s="673"/>
      <c r="EB125" s="673"/>
      <c r="EC125" s="673"/>
      <c r="ED125" s="673"/>
      <c r="EE125" s="673"/>
      <c r="EF125" s="673"/>
    </row>
    <row r="126" spans="1:142" hidden="1" outlineLevel="2" x14ac:dyDescent="0.2">
      <c r="A126" s="87" t="s">
        <v>465</v>
      </c>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45"/>
      <c r="AW126" s="38"/>
      <c r="AX126" s="38"/>
      <c r="AY126" s="38"/>
      <c r="AZ126" s="38"/>
      <c r="BA126" s="40"/>
      <c r="BB126" s="38"/>
      <c r="BC126" s="38"/>
      <c r="BD126" s="38"/>
      <c r="BE126" s="38"/>
      <c r="BF126" s="40"/>
      <c r="BG126" s="38"/>
      <c r="BH126" s="38"/>
      <c r="BI126" s="38"/>
      <c r="BJ126" s="38"/>
      <c r="BK126" s="40">
        <v>695.1</v>
      </c>
      <c r="BL126" s="38">
        <f>705*0.0025</f>
        <v>1.7625</v>
      </c>
      <c r="BM126" s="38">
        <f>705*0.0025</f>
        <v>1.7625</v>
      </c>
      <c r="BN126" s="38">
        <f>705*0.0025</f>
        <v>1.7625</v>
      </c>
      <c r="BO126" s="38">
        <f>705*0.0025</f>
        <v>1.7625</v>
      </c>
      <c r="BP126" s="40">
        <f>SUM(BL126:BO126)</f>
        <v>7.05</v>
      </c>
      <c r="BQ126" s="38">
        <f>705*0.0025</f>
        <v>1.7625</v>
      </c>
      <c r="BR126" s="38">
        <f>705*0.0025</f>
        <v>1.7625</v>
      </c>
      <c r="BS126" s="38">
        <f>705*0.0025</f>
        <v>1.7625</v>
      </c>
      <c r="BT126" s="41">
        <f>705*0.0025</f>
        <v>1.7625</v>
      </c>
      <c r="BU126" s="40">
        <f>SUM(BQ126:BT126)</f>
        <v>7.05</v>
      </c>
      <c r="BV126" s="38">
        <v>0</v>
      </c>
      <c r="BW126" s="1348">
        <v>0</v>
      </c>
      <c r="BX126" s="38">
        <v>0</v>
      </c>
      <c r="BY126" s="38">
        <v>0</v>
      </c>
      <c r="BZ126" s="40">
        <f t="shared" si="428"/>
        <v>0</v>
      </c>
      <c r="CA126" s="38">
        <v>0</v>
      </c>
      <c r="CB126" s="38"/>
      <c r="CC126" s="38"/>
      <c r="CD126" s="38"/>
      <c r="CE126" s="40"/>
      <c r="CF126" s="38"/>
      <c r="CG126" s="38"/>
      <c r="CH126" s="38"/>
      <c r="CI126" s="38"/>
      <c r="CJ126" s="40"/>
      <c r="CK126" s="38"/>
      <c r="CL126" s="41"/>
      <c r="CM126" s="41"/>
      <c r="CN126" s="41"/>
      <c r="CO126" s="675"/>
      <c r="CP126" s="41"/>
      <c r="CQ126" s="41"/>
      <c r="CR126" s="41"/>
      <c r="CS126" s="38"/>
      <c r="CT126" s="675"/>
      <c r="CU126" s="38"/>
      <c r="CV126" s="38"/>
      <c r="CW126" s="38"/>
      <c r="CX126" s="38"/>
      <c r="CY126" s="675"/>
      <c r="CZ126" s="38"/>
      <c r="DA126" s="38"/>
      <c r="DB126" s="38"/>
      <c r="DC126" s="38"/>
      <c r="DD126" s="675"/>
      <c r="DE126" s="38"/>
      <c r="DF126" s="38"/>
      <c r="DG126" s="38"/>
      <c r="DH126" s="38"/>
      <c r="DI126" s="675"/>
      <c r="DJ126" s="38"/>
      <c r="DK126" s="38"/>
      <c r="DL126" s="38"/>
      <c r="DM126" s="38"/>
      <c r="DN126" s="675"/>
      <c r="DO126" s="38"/>
      <c r="DP126" s="38"/>
      <c r="DQ126" s="38"/>
      <c r="DR126" s="38"/>
      <c r="DS126" s="675"/>
      <c r="DT126" s="38"/>
      <c r="DU126" s="38"/>
      <c r="DV126" s="38"/>
      <c r="DW126" s="38"/>
      <c r="DX126" s="675"/>
      <c r="DY126" s="673"/>
      <c r="DZ126" s="673"/>
      <c r="EA126" s="673"/>
      <c r="EB126" s="673"/>
      <c r="EC126" s="673"/>
      <c r="ED126" s="673"/>
      <c r="EE126" s="673"/>
      <c r="EF126" s="673"/>
    </row>
    <row r="127" spans="1:142" hidden="1" outlineLevel="1" collapsed="1" x14ac:dyDescent="0.2">
      <c r="A127" s="790" t="s">
        <v>209</v>
      </c>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45"/>
      <c r="AW127" s="33"/>
      <c r="AX127" s="33"/>
      <c r="AY127" s="33"/>
      <c r="AZ127" s="33"/>
      <c r="BA127" s="793"/>
      <c r="BB127" s="33"/>
      <c r="BC127" s="33"/>
      <c r="BD127" s="33"/>
      <c r="BE127" s="33"/>
      <c r="BF127" s="793"/>
      <c r="BG127" s="33"/>
      <c r="BH127" s="33"/>
      <c r="BI127" s="33"/>
      <c r="BJ127" s="33"/>
      <c r="BK127" s="792">
        <f t="shared" ref="BK127:BP127" si="440">SUM(BK125:BK126)</f>
        <v>1718.7</v>
      </c>
      <c r="BL127" s="905">
        <f t="shared" si="440"/>
        <v>8.1624999999999996</v>
      </c>
      <c r="BM127" s="905">
        <f t="shared" si="440"/>
        <v>8.1624999999999996</v>
      </c>
      <c r="BN127" s="905">
        <f t="shared" si="440"/>
        <v>8.1624999999999996</v>
      </c>
      <c r="BO127" s="905">
        <f t="shared" si="440"/>
        <v>8.1624999999999996</v>
      </c>
      <c r="BP127" s="792">
        <f t="shared" si="440"/>
        <v>32.65</v>
      </c>
      <c r="BQ127" s="905">
        <f>SUM(BQ111:BQ126)</f>
        <v>14.6625</v>
      </c>
      <c r="BR127" s="905">
        <f>SUM(BR111:BR126)</f>
        <v>14.6625</v>
      </c>
      <c r="BS127" s="905">
        <f>SUM(BS111:BS126)</f>
        <v>14.6625</v>
      </c>
      <c r="BT127" s="905">
        <f>SUM(BT111:BT126)</f>
        <v>14.6625</v>
      </c>
      <c r="BU127" s="792">
        <f>SUM(BU125:BU126)</f>
        <v>58.65</v>
      </c>
      <c r="BV127" s="905">
        <f>SUM(BV118:BV126,BV116,BV111)</f>
        <v>1061.6750000000002</v>
      </c>
      <c r="BW127" s="1372">
        <f t="shared" ref="BW127:BY127" si="441">SUM(BW118:BW126,BW116,BW111)</f>
        <v>272.40000000000009</v>
      </c>
      <c r="BX127" s="905">
        <f t="shared" si="441"/>
        <v>16.875</v>
      </c>
      <c r="BY127" s="905">
        <f t="shared" si="441"/>
        <v>16.875</v>
      </c>
      <c r="BZ127" s="792">
        <f>SUM(BV127:BY127)</f>
        <v>1367.8250000000003</v>
      </c>
      <c r="CA127" s="905">
        <f>SUM(CA118:CA126,CA116,CA111)</f>
        <v>36.175000000000182</v>
      </c>
      <c r="CB127" s="905">
        <f t="shared" ref="CB127" si="442">SUM(CB118:CB126,CB116,CB111)</f>
        <v>-12.900000000000546</v>
      </c>
      <c r="CC127" s="905">
        <f t="shared" ref="CC127" si="443">SUM(CC118:CC126,CC116,CC111)</f>
        <v>-12.899999999999636</v>
      </c>
      <c r="CD127" s="905">
        <f t="shared" ref="CD127" si="444">SUM(CD118:CD126,CD116,CD111)</f>
        <v>-12.899999999999636</v>
      </c>
      <c r="CE127" s="792">
        <f>SUM(CA127:CD127)</f>
        <v>-2.5249999999996362</v>
      </c>
      <c r="CF127" s="905">
        <f>SUM(CF118:CF126,CF116,CF111)</f>
        <v>16.875</v>
      </c>
      <c r="CG127" s="905">
        <f>SUM(CG112:CG126)</f>
        <v>-1733.125</v>
      </c>
      <c r="CH127" s="905">
        <f t="shared" ref="CH127" si="445">SUM(CH118:CH126,CH116,CH111)</f>
        <v>-33.125</v>
      </c>
      <c r="CI127" s="905">
        <f>SUM(CI112:CI126)</f>
        <v>-483.125</v>
      </c>
      <c r="CJ127" s="792">
        <f t="shared" ref="CJ127:CN127" si="446">SUM(CJ112:CJ126)</f>
        <v>2067.8000000000002</v>
      </c>
      <c r="CK127" s="905">
        <f t="shared" si="446"/>
        <v>16.875</v>
      </c>
      <c r="CL127" s="905">
        <f t="shared" si="446"/>
        <v>16.875</v>
      </c>
      <c r="CM127" s="905">
        <f t="shared" si="446"/>
        <v>16.875</v>
      </c>
      <c r="CN127" s="905">
        <f t="shared" si="446"/>
        <v>16.875</v>
      </c>
      <c r="CO127" s="792">
        <f t="shared" ref="CO127" si="447">SUM(CO112:CO126)</f>
        <v>64.5</v>
      </c>
      <c r="CP127" s="905">
        <f t="shared" ref="CP127" si="448">SUM(CP112:CP126)</f>
        <v>16.875</v>
      </c>
      <c r="CQ127" s="905">
        <f t="shared" ref="CQ127" si="449">SUM(CQ112:CQ126)</f>
        <v>16.875</v>
      </c>
      <c r="CR127" s="905">
        <f t="shared" ref="CR127" si="450">SUM(CR112:CR126)</f>
        <v>16.875</v>
      </c>
      <c r="CS127" s="905">
        <f t="shared" ref="CS127" si="451">SUM(CS112:CS126)</f>
        <v>16.875</v>
      </c>
      <c r="CT127" s="792">
        <f t="shared" ref="CT127" si="452">SUM(CT112:CT126)</f>
        <v>60.9</v>
      </c>
      <c r="CU127" s="905">
        <f t="shared" ref="CU127" si="453">SUM(CU112:CU126)</f>
        <v>16.875</v>
      </c>
      <c r="CV127" s="905">
        <f t="shared" ref="CV127" si="454">SUM(CV112:CV126)</f>
        <v>16.875</v>
      </c>
      <c r="CW127" s="905">
        <f t="shared" ref="CW127" si="455">SUM(CW112:CW126)</f>
        <v>16.875</v>
      </c>
      <c r="CX127" s="905">
        <f t="shared" ref="CX127" si="456">SUM(CX112:CX126)</f>
        <v>16.875</v>
      </c>
      <c r="CY127" s="792">
        <f t="shared" ref="CY127" si="457">SUM(CY112:CY126)</f>
        <v>55.9</v>
      </c>
      <c r="CZ127" s="905">
        <f t="shared" ref="CZ127" si="458">SUM(CZ112:CZ126)</f>
        <v>16.875</v>
      </c>
      <c r="DA127" s="905">
        <f t="shared" ref="DA127" si="459">SUM(DA112:DA126)</f>
        <v>16.875</v>
      </c>
      <c r="DB127" s="905">
        <f t="shared" ref="DB127" si="460">SUM(DB112:DB126)</f>
        <v>16.875</v>
      </c>
      <c r="DC127" s="905">
        <f t="shared" ref="DC127" si="461">SUM(DC112:DC126)</f>
        <v>633.35000000000036</v>
      </c>
      <c r="DD127" s="792">
        <f t="shared" ref="DD127" si="462">SUM(DD112:DD126)</f>
        <v>667.57500000000073</v>
      </c>
      <c r="DE127" s="905">
        <f t="shared" ref="DE127" si="463">SUM(DE112:DE126)</f>
        <v>13.75</v>
      </c>
      <c r="DF127" s="905">
        <f t="shared" ref="DF127" si="464">SUM(DF112:DF126)</f>
        <v>13.75</v>
      </c>
      <c r="DG127" s="905">
        <f t="shared" ref="DG127" si="465">SUM(DG112:DG126)</f>
        <v>13.75</v>
      </c>
      <c r="DH127" s="905">
        <f t="shared" ref="DH127" si="466">SUM(DH112:DH126)</f>
        <v>13.75</v>
      </c>
      <c r="DI127" s="792">
        <f t="shared" ref="DI127" si="467">SUM(DI112:DI126)</f>
        <v>55</v>
      </c>
      <c r="DJ127" s="905">
        <f t="shared" ref="DJ127" si="468">SUM(DJ112:DJ126)</f>
        <v>13.75</v>
      </c>
      <c r="DK127" s="905">
        <f t="shared" ref="DK127" si="469">SUM(DK112:DK126)</f>
        <v>13.75</v>
      </c>
      <c r="DL127" s="905">
        <f t="shared" ref="DL127" si="470">SUM(DL112:DL126)</f>
        <v>13.75</v>
      </c>
      <c r="DM127" s="905">
        <f t="shared" ref="DM127" si="471">SUM(DM112:DM126)</f>
        <v>13.75</v>
      </c>
      <c r="DN127" s="792">
        <f t="shared" ref="DN127" si="472">SUM(DN112:DN126)</f>
        <v>55</v>
      </c>
      <c r="DO127" s="905">
        <f t="shared" ref="DO127" si="473">SUM(DO112:DO126)</f>
        <v>13.75</v>
      </c>
      <c r="DP127" s="905">
        <f t="shared" ref="DP127" si="474">SUM(DP112:DP126)</f>
        <v>13.75</v>
      </c>
      <c r="DQ127" s="905">
        <f t="shared" ref="DQ127" si="475">SUM(DQ112:DQ126)</f>
        <v>13.75</v>
      </c>
      <c r="DR127" s="905">
        <f t="shared" ref="DR127" si="476">SUM(DR112:DR126)</f>
        <v>13.75</v>
      </c>
      <c r="DS127" s="792">
        <f t="shared" ref="DS127" si="477">SUM(DS112:DS126)</f>
        <v>55</v>
      </c>
      <c r="DT127" s="905">
        <f t="shared" ref="DT127" si="478">SUM(DT112:DT126)</f>
        <v>13.75</v>
      </c>
      <c r="DU127" s="905">
        <f t="shared" ref="DU127" si="479">SUM(DU112:DU126)</f>
        <v>13.75</v>
      </c>
      <c r="DV127" s="905">
        <f t="shared" ref="DV127" si="480">SUM(DV112:DV126)</f>
        <v>13.75</v>
      </c>
      <c r="DW127" s="905">
        <f t="shared" ref="DW127" si="481">SUM(DW112:DW126)</f>
        <v>13.75</v>
      </c>
      <c r="DX127" s="792">
        <f t="shared" ref="DX127" si="482">SUM(DX112:DX126)</f>
        <v>55</v>
      </c>
      <c r="DY127" s="25"/>
      <c r="DZ127" s="25"/>
      <c r="EA127" s="25"/>
      <c r="EB127" s="25"/>
      <c r="EC127" s="25"/>
      <c r="ED127" s="25"/>
      <c r="EE127" s="25"/>
      <c r="EF127" s="25"/>
    </row>
    <row r="128" spans="1:142" s="1072" customFormat="1" hidden="1" outlineLevel="1" x14ac:dyDescent="0.2">
      <c r="A128" s="1087" t="s">
        <v>118</v>
      </c>
      <c r="B128" s="1088"/>
      <c r="C128" s="1088"/>
      <c r="D128" s="1088"/>
      <c r="E128" s="1088"/>
      <c r="F128" s="1088"/>
      <c r="G128" s="1088"/>
      <c r="H128" s="1088"/>
      <c r="I128" s="1088"/>
      <c r="J128" s="1088"/>
      <c r="K128" s="1088"/>
      <c r="L128" s="1088"/>
      <c r="M128" s="1088"/>
      <c r="N128" s="1088"/>
      <c r="O128" s="1088"/>
      <c r="P128" s="1088"/>
      <c r="Q128" s="1088"/>
      <c r="R128" s="1088"/>
      <c r="S128" s="1088"/>
      <c r="T128" s="1088"/>
      <c r="U128" s="1088"/>
      <c r="V128" s="1088"/>
      <c r="W128" s="1088"/>
      <c r="X128" s="1088"/>
      <c r="Y128" s="1088"/>
      <c r="Z128" s="1088"/>
      <c r="AA128" s="1088"/>
      <c r="AB128" s="1088"/>
      <c r="AC128" s="1088"/>
      <c r="AD128" s="1088"/>
      <c r="AE128" s="1088"/>
      <c r="AF128" s="1088"/>
      <c r="AG128" s="1088"/>
      <c r="AH128" s="1088"/>
      <c r="AI128" s="1088"/>
      <c r="AJ128" s="1088"/>
      <c r="AK128" s="1088"/>
      <c r="AL128" s="1088"/>
      <c r="AM128" s="1088"/>
      <c r="AN128" s="1088"/>
      <c r="AO128" s="1088"/>
      <c r="AP128" s="1088"/>
      <c r="AQ128" s="1088"/>
      <c r="AR128" s="1088"/>
      <c r="AS128" s="1088"/>
      <c r="AT128" s="1088"/>
      <c r="AU128" s="1088"/>
      <c r="AV128" s="281"/>
      <c r="AW128" s="1088"/>
      <c r="AX128" s="1088"/>
      <c r="AY128" s="1088"/>
      <c r="AZ128" s="1088"/>
      <c r="BA128" s="1088"/>
      <c r="BB128" s="1088"/>
      <c r="BC128" s="1088"/>
      <c r="BD128" s="1088"/>
      <c r="BE128" s="1088"/>
      <c r="BF128" s="1088"/>
      <c r="BG128" s="1088"/>
      <c r="BH128" s="1088"/>
      <c r="BI128" s="1088"/>
      <c r="BJ128" s="1088"/>
      <c r="BK128" s="1089">
        <f t="shared" ref="BK128:DB128" si="483">BK10</f>
        <v>546.70000000000005</v>
      </c>
      <c r="BL128" s="1089">
        <f t="shared" si="483"/>
        <v>598.79999999999995</v>
      </c>
      <c r="BM128" s="1089">
        <f t="shared" si="483"/>
        <v>654.1</v>
      </c>
      <c r="BN128" s="1089">
        <f t="shared" si="483"/>
        <v>764.3</v>
      </c>
      <c r="BO128" s="1089">
        <f t="shared" si="483"/>
        <v>786.9</v>
      </c>
      <c r="BP128" s="1089">
        <f t="shared" si="483"/>
        <v>786.9</v>
      </c>
      <c r="BQ128" s="762">
        <f t="shared" si="483"/>
        <v>863.1</v>
      </c>
      <c r="BR128" s="762">
        <f t="shared" si="483"/>
        <v>904.7</v>
      </c>
      <c r="BS128" s="762">
        <f t="shared" si="483"/>
        <v>1013.7</v>
      </c>
      <c r="BT128" s="762">
        <f t="shared" si="483"/>
        <v>1803.2</v>
      </c>
      <c r="BU128" s="1089">
        <f t="shared" si="483"/>
        <v>1803.2</v>
      </c>
      <c r="BV128" s="1089">
        <f t="shared" si="483"/>
        <v>1021.9</v>
      </c>
      <c r="BW128" s="1375">
        <f t="shared" si="483"/>
        <v>688.9</v>
      </c>
      <c r="BX128" s="1089">
        <f t="shared" si="483"/>
        <v>975.5</v>
      </c>
      <c r="BY128" s="1089">
        <f t="shared" si="483"/>
        <v>757.8</v>
      </c>
      <c r="BZ128" s="1089">
        <f t="shared" si="483"/>
        <v>757.8</v>
      </c>
      <c r="CA128" s="1089">
        <f t="shared" si="483"/>
        <v>825.9</v>
      </c>
      <c r="CB128" s="1089">
        <f t="shared" si="483"/>
        <v>998.1</v>
      </c>
      <c r="CC128" s="1089">
        <f t="shared" si="483"/>
        <v>1274.4000000000001</v>
      </c>
      <c r="CD128" s="1089">
        <f t="shared" si="483"/>
        <v>1460.4</v>
      </c>
      <c r="CE128" s="1089">
        <f t="shared" si="483"/>
        <v>1460.4</v>
      </c>
      <c r="CF128" s="1089">
        <f t="shared" si="483"/>
        <v>923.9</v>
      </c>
      <c r="CG128" s="1089">
        <f t="shared" si="483"/>
        <v>3435.5</v>
      </c>
      <c r="CH128" s="1089">
        <f t="shared" si="483"/>
        <v>3607.1</v>
      </c>
      <c r="CI128" s="1089">
        <f t="shared" si="483"/>
        <v>1073.4000000000001</v>
      </c>
      <c r="CJ128" s="1089">
        <f t="shared" si="483"/>
        <v>1073.4000000000001</v>
      </c>
      <c r="CK128" s="1089">
        <f t="shared" si="483"/>
        <v>852.4</v>
      </c>
      <c r="CL128" s="1089">
        <f t="shared" si="483"/>
        <v>935.38424829506721</v>
      </c>
      <c r="CM128" s="1089">
        <f t="shared" si="483"/>
        <v>1027.71809665518</v>
      </c>
      <c r="CN128" s="1089">
        <f t="shared" si="483"/>
        <v>1545.2036277047257</v>
      </c>
      <c r="CO128" s="1089">
        <f t="shared" si="483"/>
        <v>1545.2036277047257</v>
      </c>
      <c r="CP128" s="1089">
        <f t="shared" si="483"/>
        <v>1327.7932213713621</v>
      </c>
      <c r="CQ128" s="1089">
        <f t="shared" si="483"/>
        <v>1343.7520719715656</v>
      </c>
      <c r="CR128" s="1089">
        <f t="shared" si="483"/>
        <v>1471.0482325030589</v>
      </c>
      <c r="CS128" s="1089">
        <f t="shared" si="483"/>
        <v>2046.8802340869402</v>
      </c>
      <c r="CT128" s="1089">
        <f t="shared" si="483"/>
        <v>2046.8802340869402</v>
      </c>
      <c r="CU128" s="1089">
        <f t="shared" si="483"/>
        <v>1821.5713381088854</v>
      </c>
      <c r="CV128" s="1089">
        <f t="shared" si="483"/>
        <v>1862.2164360808745</v>
      </c>
      <c r="CW128" s="1089">
        <f t="shared" si="483"/>
        <v>2024.3112114208122</v>
      </c>
      <c r="CX128" s="1089">
        <f t="shared" si="483"/>
        <v>2663.2723976584775</v>
      </c>
      <c r="CY128" s="1089">
        <f t="shared" si="483"/>
        <v>2663.2723976584775</v>
      </c>
      <c r="CZ128" s="1089">
        <f t="shared" si="483"/>
        <v>2452.2149585647617</v>
      </c>
      <c r="DA128" s="1089">
        <f t="shared" si="483"/>
        <v>2511.6738981101403</v>
      </c>
      <c r="DB128" s="1089">
        <f t="shared" si="483"/>
        <v>2708.6185114464729</v>
      </c>
      <c r="DC128" s="1089">
        <f>DC10</f>
        <v>2778.667863069224</v>
      </c>
      <c r="DD128" s="1089">
        <f t="shared" ref="DD128:DS128" si="484">DD10</f>
        <v>2778.667863069224</v>
      </c>
      <c r="DE128" s="1089">
        <f t="shared" si="484"/>
        <v>2583.4557657617265</v>
      </c>
      <c r="DF128" s="1089">
        <f t="shared" si="484"/>
        <v>2678.0120563957416</v>
      </c>
      <c r="DG128" s="1089">
        <f t="shared" si="484"/>
        <v>2919.2130399990237</v>
      </c>
      <c r="DH128" s="1089">
        <f t="shared" si="484"/>
        <v>3709.003451105159</v>
      </c>
      <c r="DI128" s="1089">
        <f t="shared" si="484"/>
        <v>3709.003451105159</v>
      </c>
      <c r="DJ128" s="1089">
        <f t="shared" si="484"/>
        <v>3504.8986228915442</v>
      </c>
      <c r="DK128" s="1089">
        <f t="shared" si="484"/>
        <v>3628.1014805667623</v>
      </c>
      <c r="DL128" s="1089">
        <f t="shared" si="484"/>
        <v>3908.005116647003</v>
      </c>
      <c r="DM128" s="1089">
        <f t="shared" si="484"/>
        <v>4770.0973409518883</v>
      </c>
      <c r="DN128" s="1089">
        <f t="shared" si="484"/>
        <v>4770.0973409518883</v>
      </c>
      <c r="DO128" s="1089">
        <f t="shared" si="484"/>
        <v>4546.2661560677534</v>
      </c>
      <c r="DP128" s="1089">
        <f t="shared" si="484"/>
        <v>4656.1053747558653</v>
      </c>
      <c r="DQ128" s="1089">
        <f t="shared" si="484"/>
        <v>4944.065755233747</v>
      </c>
      <c r="DR128" s="1089">
        <f t="shared" si="484"/>
        <v>5862.2197670922296</v>
      </c>
      <c r="DS128" s="1090">
        <f t="shared" si="484"/>
        <v>5862.2197670922296</v>
      </c>
      <c r="DT128" s="1089">
        <f t="shared" ref="DT128:DX128" si="485">DT10</f>
        <v>5638.0622162631307</v>
      </c>
      <c r="DU128" s="1089">
        <f t="shared" si="485"/>
        <v>5770.3699817933812</v>
      </c>
      <c r="DV128" s="1089">
        <f t="shared" si="485"/>
        <v>6078.0303062797366</v>
      </c>
      <c r="DW128" s="1089">
        <f t="shared" si="485"/>
        <v>7054.9707667042403</v>
      </c>
      <c r="DX128" s="1090">
        <f t="shared" si="485"/>
        <v>7054.9707667042403</v>
      </c>
      <c r="DY128" s="118"/>
      <c r="DZ128" s="118"/>
      <c r="EA128" s="118"/>
      <c r="EB128" s="118"/>
      <c r="EC128" s="118"/>
      <c r="ED128" s="118"/>
      <c r="EE128" s="118"/>
      <c r="EF128" s="118"/>
      <c r="EG128"/>
      <c r="EH128"/>
      <c r="EI128"/>
      <c r="EJ128"/>
      <c r="EK128"/>
      <c r="EL128"/>
    </row>
    <row r="129" spans="1:136" hidden="1" outlineLevel="1" x14ac:dyDescent="0.2">
      <c r="A129" s="790"/>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33"/>
      <c r="AU129" s="33"/>
      <c r="AV129" s="45"/>
      <c r="AW129" s="33"/>
      <c r="AX129" s="33"/>
      <c r="AY129" s="33"/>
      <c r="AZ129" s="33"/>
      <c r="BA129" s="33"/>
      <c r="BB129" s="33"/>
      <c r="BC129" s="33"/>
      <c r="BD129" s="33"/>
      <c r="BE129" s="33"/>
      <c r="BF129" s="33"/>
      <c r="BG129" s="33"/>
      <c r="BH129" s="33"/>
      <c r="BI129" s="33"/>
      <c r="BJ129" s="33"/>
      <c r="BK129" s="905"/>
      <c r="BL129" s="905"/>
      <c r="BM129" s="905"/>
      <c r="BN129" s="905"/>
      <c r="BO129" s="905"/>
      <c r="BP129" s="905"/>
      <c r="BQ129" s="51"/>
      <c r="BR129" s="51"/>
      <c r="BS129" s="51"/>
      <c r="BT129" s="51"/>
      <c r="BU129" s="905"/>
      <c r="BV129" s="905"/>
      <c r="BW129" s="1372"/>
      <c r="BX129" s="905"/>
      <c r="BY129" s="905"/>
      <c r="BZ129" s="905"/>
      <c r="CA129" s="905"/>
      <c r="CB129" s="905"/>
      <c r="CC129" s="905"/>
      <c r="CD129" s="905"/>
      <c r="CE129" s="905"/>
      <c r="CF129" s="905"/>
      <c r="CG129" s="905"/>
      <c r="CH129" s="905"/>
      <c r="CI129" s="905"/>
      <c r="CJ129" s="905"/>
      <c r="CK129" s="905"/>
      <c r="CL129" s="905"/>
      <c r="CM129" s="905"/>
      <c r="CN129" s="905"/>
      <c r="CO129" s="905"/>
      <c r="CP129" s="905"/>
      <c r="CQ129" s="905"/>
      <c r="CR129" s="905"/>
      <c r="CS129" s="905"/>
      <c r="CT129" s="905"/>
      <c r="CU129" s="905"/>
      <c r="CV129" s="905"/>
      <c r="CW129" s="905"/>
      <c r="CX129" s="905"/>
      <c r="CY129" s="905"/>
      <c r="CZ129" s="905"/>
      <c r="DA129" s="905"/>
      <c r="DB129" s="905"/>
      <c r="DC129" s="905"/>
      <c r="DD129" s="905"/>
      <c r="DE129" s="905"/>
      <c r="DF129" s="905"/>
      <c r="DG129" s="905"/>
      <c r="DH129" s="905"/>
      <c r="DI129" s="905"/>
      <c r="DJ129" s="905"/>
      <c r="DK129" s="905"/>
      <c r="DL129" s="905"/>
      <c r="DM129" s="905"/>
      <c r="DN129" s="905"/>
      <c r="DO129" s="905"/>
      <c r="DP129" s="905"/>
      <c r="DQ129" s="905"/>
      <c r="DR129" s="905"/>
      <c r="DS129" s="1086"/>
      <c r="DT129" s="905"/>
      <c r="DU129" s="905"/>
      <c r="DV129" s="905"/>
      <c r="DW129" s="905"/>
      <c r="DX129" s="1086"/>
      <c r="DY129" s="25"/>
      <c r="DZ129" s="25"/>
      <c r="EA129" s="25"/>
      <c r="EB129" s="25"/>
      <c r="EC129" s="25"/>
      <c r="ED129" s="25"/>
      <c r="EE129" s="25"/>
      <c r="EF129" s="25"/>
    </row>
    <row r="130" spans="1:136" hidden="1" outlineLevel="1" x14ac:dyDescent="0.2">
      <c r="A130" s="27" t="s">
        <v>569</v>
      </c>
      <c r="B130" s="807"/>
      <c r="C130" s="807"/>
      <c r="D130" s="807"/>
      <c r="E130" s="807"/>
      <c r="F130" s="807"/>
      <c r="G130" s="807"/>
      <c r="H130" s="807"/>
      <c r="I130" s="807"/>
      <c r="J130" s="807"/>
      <c r="K130" s="807"/>
      <c r="L130" s="807"/>
      <c r="M130" s="807"/>
      <c r="N130" s="807"/>
      <c r="O130" s="807"/>
      <c r="P130" s="807"/>
      <c r="Q130" s="807"/>
      <c r="R130" s="807"/>
      <c r="S130" s="807"/>
      <c r="T130" s="807"/>
      <c r="U130" s="807"/>
      <c r="V130" s="807"/>
      <c r="W130" s="807"/>
      <c r="X130" s="807"/>
      <c r="Y130" s="807"/>
      <c r="Z130" s="807"/>
      <c r="AA130" s="807"/>
      <c r="AB130" s="807"/>
      <c r="AC130" s="807"/>
      <c r="AD130" s="807"/>
      <c r="AE130" s="807"/>
      <c r="AF130" s="807"/>
      <c r="AG130" s="807"/>
      <c r="AH130" s="807"/>
      <c r="AI130" s="807"/>
      <c r="AJ130" s="807"/>
      <c r="AK130" s="807"/>
      <c r="AL130" s="807"/>
      <c r="AM130" s="807"/>
      <c r="AN130" s="807"/>
      <c r="AO130" s="807"/>
      <c r="AP130" s="807"/>
      <c r="AQ130" s="807"/>
      <c r="AR130" s="807"/>
      <c r="AS130" s="807"/>
      <c r="AT130" s="807"/>
      <c r="AU130" s="807"/>
      <c r="AV130" s="45"/>
      <c r="AW130" s="807"/>
      <c r="AX130" s="807"/>
      <c r="AY130" s="807"/>
      <c r="AZ130" s="807"/>
      <c r="BA130" s="807"/>
      <c r="BB130" s="807"/>
      <c r="BC130" s="807"/>
      <c r="BD130" s="807"/>
      <c r="BE130" s="807"/>
      <c r="BF130" s="807"/>
      <c r="BG130" s="807"/>
      <c r="BH130" s="807"/>
      <c r="BI130" s="807"/>
      <c r="BJ130" s="807"/>
      <c r="BK130" s="807"/>
      <c r="BL130" s="807"/>
      <c r="BM130" s="807"/>
      <c r="BN130" s="807"/>
      <c r="BO130" s="807"/>
      <c r="BP130" s="807"/>
      <c r="BQ130" s="255"/>
      <c r="BR130" s="255"/>
      <c r="BS130" s="255"/>
      <c r="BT130" s="255"/>
      <c r="BU130" s="807"/>
      <c r="BV130" s="807"/>
      <c r="BW130" s="1371"/>
      <c r="BX130" s="807"/>
      <c r="BY130" s="807"/>
      <c r="BZ130" s="807"/>
      <c r="CA130" s="807"/>
      <c r="CB130" s="807"/>
      <c r="CC130" s="807"/>
      <c r="CD130" s="807"/>
      <c r="CE130" s="807"/>
      <c r="CF130" s="807"/>
      <c r="CG130" s="807"/>
      <c r="CH130" s="807"/>
      <c r="CI130" s="807"/>
      <c r="CJ130" s="807"/>
      <c r="CK130" s="807"/>
      <c r="CL130" s="807"/>
      <c r="CM130" s="807"/>
      <c r="CN130" s="807"/>
      <c r="CO130" s="807"/>
      <c r="CP130" s="807"/>
      <c r="CQ130" s="807"/>
      <c r="CR130" s="807"/>
      <c r="CS130" s="807"/>
      <c r="CT130" s="807"/>
      <c r="CU130" s="807"/>
      <c r="CV130" s="807"/>
      <c r="CW130" s="807"/>
      <c r="CX130" s="807"/>
      <c r="CY130" s="807"/>
      <c r="CZ130" s="807"/>
      <c r="DA130" s="807"/>
      <c r="DB130" s="807"/>
      <c r="DC130" s="807"/>
      <c r="DD130" s="807"/>
      <c r="DE130" s="807"/>
      <c r="DF130" s="807"/>
      <c r="DG130" s="807"/>
      <c r="DH130" s="807"/>
      <c r="DI130" s="807"/>
      <c r="DJ130" s="807"/>
      <c r="DK130" s="807"/>
      <c r="DL130" s="807"/>
      <c r="DM130" s="807"/>
      <c r="DN130" s="807"/>
      <c r="DO130" s="807"/>
      <c r="DP130" s="807"/>
      <c r="DQ130" s="807"/>
      <c r="DR130" s="807"/>
      <c r="DS130" s="808"/>
      <c r="DT130" s="807"/>
      <c r="DU130" s="807"/>
      <c r="DV130" s="807"/>
      <c r="DW130" s="807"/>
      <c r="DX130" s="808"/>
      <c r="DY130" s="16"/>
      <c r="DZ130" s="16"/>
      <c r="EA130" s="16"/>
      <c r="EB130" s="16"/>
      <c r="EC130" s="16"/>
      <c r="ED130" s="16"/>
      <c r="EE130" s="16"/>
      <c r="EF130" s="16"/>
    </row>
    <row r="131" spans="1:136" hidden="1" outlineLevel="1" x14ac:dyDescent="0.2">
      <c r="A131" s="788" t="s">
        <v>637</v>
      </c>
      <c r="B131" s="364"/>
      <c r="C131" s="364"/>
      <c r="D131" s="364"/>
      <c r="E131" s="364"/>
      <c r="F131" s="364"/>
      <c r="G131" s="364"/>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45"/>
      <c r="AW131" s="364"/>
      <c r="AX131" s="364"/>
      <c r="AY131" s="364"/>
      <c r="AZ131" s="364"/>
      <c r="BA131" s="768"/>
      <c r="BB131" s="364"/>
      <c r="BC131" s="364"/>
      <c r="BD131" s="364"/>
      <c r="BE131" s="364"/>
      <c r="BF131" s="768"/>
      <c r="BG131" s="364"/>
      <c r="BH131" s="364"/>
      <c r="BI131" s="364"/>
      <c r="BJ131" s="364"/>
      <c r="BK131" s="768"/>
      <c r="BL131" s="364"/>
      <c r="BM131" s="364"/>
      <c r="BN131" s="364"/>
      <c r="BO131" s="364"/>
      <c r="BP131" s="768"/>
      <c r="BQ131" s="840"/>
      <c r="BR131" s="840"/>
      <c r="BS131" s="840"/>
      <c r="BT131" s="840"/>
      <c r="BU131" s="387"/>
      <c r="BV131" s="364"/>
      <c r="BW131" s="1374"/>
      <c r="BX131" s="364"/>
      <c r="BY131" s="364"/>
      <c r="BZ131" s="768"/>
      <c r="CA131" s="364"/>
      <c r="CB131" s="364"/>
      <c r="CC131" s="364"/>
      <c r="CD131" s="364"/>
      <c r="CE131" s="40"/>
      <c r="CF131" s="364"/>
      <c r="CG131" s="364"/>
      <c r="CH131" s="364"/>
      <c r="CI131" s="364"/>
      <c r="CJ131" s="40"/>
      <c r="CK131" s="364"/>
      <c r="CL131" s="840"/>
      <c r="CM131" s="840"/>
      <c r="CN131" s="840"/>
      <c r="CO131" s="40"/>
      <c r="CP131" s="840"/>
      <c r="CQ131" s="840"/>
      <c r="CR131" s="840"/>
      <c r="CS131" s="840"/>
      <c r="CT131" s="40"/>
      <c r="CU131" s="840"/>
      <c r="CV131" s="840"/>
      <c r="CW131" s="840"/>
      <c r="CX131" s="840"/>
      <c r="CY131" s="40"/>
      <c r="CZ131" s="840"/>
      <c r="DA131" s="840"/>
      <c r="DB131" s="840"/>
      <c r="DC131" s="840"/>
      <c r="DD131" s="40"/>
      <c r="DE131" s="840"/>
      <c r="DF131" s="840"/>
      <c r="DG131" s="840"/>
      <c r="DH131" s="840"/>
      <c r="DI131" s="40"/>
      <c r="DJ131" s="840"/>
      <c r="DK131" s="840"/>
      <c r="DL131" s="840"/>
      <c r="DM131" s="840"/>
      <c r="DN131" s="40"/>
      <c r="DO131" s="840"/>
      <c r="DP131" s="840"/>
      <c r="DQ131" s="840"/>
      <c r="DR131" s="840"/>
      <c r="DS131" s="40"/>
      <c r="DT131" s="840"/>
      <c r="DU131" s="840"/>
      <c r="DV131" s="840"/>
      <c r="DW131" s="840"/>
      <c r="DX131" s="40"/>
      <c r="DY131" s="673"/>
      <c r="DZ131" s="673"/>
      <c r="EA131" s="673"/>
      <c r="EB131" s="673"/>
      <c r="EC131" s="673"/>
      <c r="ED131" s="673"/>
      <c r="EE131" s="673"/>
      <c r="EF131" s="673"/>
    </row>
    <row r="132" spans="1:136" hidden="1" outlineLevel="1" x14ac:dyDescent="0.2">
      <c r="A132" s="87" t="s">
        <v>743</v>
      </c>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45"/>
      <c r="AW132" s="38"/>
      <c r="AX132" s="38"/>
      <c r="AY132" s="38"/>
      <c r="AZ132" s="38"/>
      <c r="BA132" s="40"/>
      <c r="BB132" s="38"/>
      <c r="BC132" s="38"/>
      <c r="BD132" s="38"/>
      <c r="BE132" s="38"/>
      <c r="BF132" s="40"/>
      <c r="BG132" s="38"/>
      <c r="BH132" s="38"/>
      <c r="BI132" s="38"/>
      <c r="BJ132" s="38"/>
      <c r="BK132" s="123"/>
      <c r="BL132" s="1075"/>
      <c r="BM132" s="1075"/>
      <c r="BN132" s="1075"/>
      <c r="BO132" s="1075"/>
      <c r="BP132" s="290"/>
      <c r="BQ132" s="907"/>
      <c r="BR132" s="131"/>
      <c r="BS132" s="131"/>
      <c r="BT132" s="164"/>
      <c r="BU132" s="123"/>
      <c r="BV132" s="124"/>
      <c r="BW132" s="1376"/>
      <c r="BX132" s="124"/>
      <c r="BY132" s="124"/>
      <c r="BZ132" s="123"/>
      <c r="CA132" s="124"/>
      <c r="CB132" s="124"/>
      <c r="CC132" s="124"/>
      <c r="CD132" s="124"/>
      <c r="CE132" s="123"/>
      <c r="CF132" s="124"/>
      <c r="CG132" s="124"/>
      <c r="CH132" s="124"/>
      <c r="CI132" s="22">
        <f>CI138</f>
        <v>4.1000000000000002E-2</v>
      </c>
      <c r="CJ132" s="123">
        <f t="shared" ref="CJ132:DX132" si="486">CJ138</f>
        <v>4.1000000000000002E-2</v>
      </c>
      <c r="CK132" s="22">
        <f t="shared" si="486"/>
        <v>4.1000000000000002E-2</v>
      </c>
      <c r="CL132" s="1196">
        <f t="shared" si="486"/>
        <v>4.1000000000000002E-2</v>
      </c>
      <c r="CM132" s="1196">
        <f t="shared" si="486"/>
        <v>4.1000000000000002E-2</v>
      </c>
      <c r="CN132" s="1196">
        <f t="shared" si="486"/>
        <v>4.1000000000000002E-2</v>
      </c>
      <c r="CO132" s="123">
        <f t="shared" si="486"/>
        <v>4.1000000000000002E-2</v>
      </c>
      <c r="CP132" s="1196">
        <f t="shared" si="486"/>
        <v>4.1000000000000002E-2</v>
      </c>
      <c r="CQ132" s="1196">
        <f t="shared" si="486"/>
        <v>4.1000000000000002E-2</v>
      </c>
      <c r="CR132" s="1196">
        <f t="shared" si="486"/>
        <v>4.1000000000000002E-2</v>
      </c>
      <c r="CS132" s="1196">
        <f t="shared" si="486"/>
        <v>4.1000000000000002E-2</v>
      </c>
      <c r="CT132" s="123">
        <f t="shared" si="486"/>
        <v>4.1000000000000002E-2</v>
      </c>
      <c r="CU132" s="1196">
        <f t="shared" si="486"/>
        <v>4.1000000000000002E-2</v>
      </c>
      <c r="CV132" s="1196">
        <f t="shared" si="486"/>
        <v>4.1000000000000002E-2</v>
      </c>
      <c r="CW132" s="1196">
        <f t="shared" si="486"/>
        <v>4.1000000000000002E-2</v>
      </c>
      <c r="CX132" s="1196">
        <f t="shared" si="486"/>
        <v>4.1000000000000002E-2</v>
      </c>
      <c r="CY132" s="123">
        <f t="shared" si="486"/>
        <v>4.1000000000000002E-2</v>
      </c>
      <c r="CZ132" s="1196">
        <f t="shared" si="486"/>
        <v>4.1000000000000002E-2</v>
      </c>
      <c r="DA132" s="1196">
        <f t="shared" si="486"/>
        <v>4.1000000000000002E-2</v>
      </c>
      <c r="DB132" s="1196">
        <f t="shared" si="486"/>
        <v>4.1000000000000002E-2</v>
      </c>
      <c r="DC132" s="1196">
        <f t="shared" si="486"/>
        <v>4.1000000000000002E-2</v>
      </c>
      <c r="DD132" s="123">
        <f t="shared" si="486"/>
        <v>4.1000000000000002E-2</v>
      </c>
      <c r="DE132" s="1196">
        <f t="shared" si="486"/>
        <v>4.5999999999999999E-2</v>
      </c>
      <c r="DF132" s="1196">
        <f t="shared" si="486"/>
        <v>4.5999999999999999E-2</v>
      </c>
      <c r="DG132" s="1196">
        <f t="shared" si="486"/>
        <v>4.5999999999999999E-2</v>
      </c>
      <c r="DH132" s="1196">
        <f t="shared" si="486"/>
        <v>4.5999999999999999E-2</v>
      </c>
      <c r="DI132" s="123">
        <f t="shared" si="486"/>
        <v>4.5999999999999999E-2</v>
      </c>
      <c r="DJ132" s="1196">
        <f t="shared" si="486"/>
        <v>4.5999999999999999E-2</v>
      </c>
      <c r="DK132" s="1196">
        <f t="shared" si="486"/>
        <v>4.5999999999999999E-2</v>
      </c>
      <c r="DL132" s="1196">
        <f t="shared" si="486"/>
        <v>4.5999999999999999E-2</v>
      </c>
      <c r="DM132" s="1196">
        <f t="shared" si="486"/>
        <v>4.5999999999999999E-2</v>
      </c>
      <c r="DN132" s="123">
        <f t="shared" si="486"/>
        <v>4.5999999999999999E-2</v>
      </c>
      <c r="DO132" s="1196">
        <f t="shared" si="486"/>
        <v>4.5999999999999999E-2</v>
      </c>
      <c r="DP132" s="1196">
        <f t="shared" si="486"/>
        <v>4.5999999999999999E-2</v>
      </c>
      <c r="DQ132" s="1196">
        <f t="shared" si="486"/>
        <v>4.5999999999999999E-2</v>
      </c>
      <c r="DR132" s="1196">
        <f t="shared" si="486"/>
        <v>4.5999999999999999E-2</v>
      </c>
      <c r="DS132" s="123">
        <f t="shared" si="486"/>
        <v>4.5999999999999999E-2</v>
      </c>
      <c r="DT132" s="1196">
        <f t="shared" si="486"/>
        <v>4.5999999999999999E-2</v>
      </c>
      <c r="DU132" s="1196">
        <f t="shared" si="486"/>
        <v>4.5999999999999999E-2</v>
      </c>
      <c r="DV132" s="1196">
        <f t="shared" si="486"/>
        <v>4.5999999999999999E-2</v>
      </c>
      <c r="DW132" s="1196">
        <f t="shared" si="486"/>
        <v>4.5999999999999999E-2</v>
      </c>
      <c r="DX132" s="123">
        <f t="shared" si="486"/>
        <v>4.5999999999999999E-2</v>
      </c>
      <c r="DY132" s="673"/>
      <c r="DZ132" s="673"/>
      <c r="EA132" s="673"/>
      <c r="EB132" s="673"/>
      <c r="EC132" s="673"/>
      <c r="ED132" s="673"/>
      <c r="EE132" s="673"/>
      <c r="EF132" s="673"/>
    </row>
    <row r="133" spans="1:136" hidden="1" outlineLevel="1" x14ac:dyDescent="0.2">
      <c r="A133" s="87" t="s">
        <v>771</v>
      </c>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45"/>
      <c r="AW133" s="38"/>
      <c r="AX133" s="38"/>
      <c r="AY133" s="38"/>
      <c r="AZ133" s="38"/>
      <c r="BA133" s="40"/>
      <c r="BB133" s="38"/>
      <c r="BC133" s="38"/>
      <c r="BD133" s="38"/>
      <c r="BE133" s="38"/>
      <c r="BF133" s="40"/>
      <c r="BG133" s="38"/>
      <c r="BH133" s="38"/>
      <c r="BI133" s="38"/>
      <c r="BJ133" s="38"/>
      <c r="BK133" s="123"/>
      <c r="BL133" s="1075"/>
      <c r="BM133" s="1075"/>
      <c r="BN133" s="1075"/>
      <c r="BO133" s="1075"/>
      <c r="BP133" s="290"/>
      <c r="BQ133" s="907"/>
      <c r="BR133" s="131"/>
      <c r="BS133" s="131"/>
      <c r="BT133" s="164"/>
      <c r="BU133" s="123"/>
      <c r="BV133" s="124"/>
      <c r="BW133" s="1376"/>
      <c r="BX133" s="124">
        <f>BX163/BX80*4</f>
        <v>4.6080000000000003E-2</v>
      </c>
      <c r="BY133" s="124">
        <f>BX133</f>
        <v>4.6080000000000003E-2</v>
      </c>
      <c r="BZ133" s="123">
        <f>BY133</f>
        <v>4.6080000000000003E-2</v>
      </c>
      <c r="CA133" s="124">
        <f>CA163/CA80*4</f>
        <v>4.6399999999999997E-2</v>
      </c>
      <c r="CB133" s="124">
        <f>CB163/CB80*4</f>
        <v>4.6080000000000003E-2</v>
      </c>
      <c r="CC133" s="124">
        <f>CB133</f>
        <v>4.6080000000000003E-2</v>
      </c>
      <c r="CD133" s="124">
        <f>CC133</f>
        <v>4.6080000000000003E-2</v>
      </c>
      <c r="CE133" s="123">
        <f>CD133</f>
        <v>4.6080000000000003E-2</v>
      </c>
      <c r="CF133" s="124">
        <v>4.6249999999999999E-2</v>
      </c>
      <c r="CG133" s="124">
        <f>CF133</f>
        <v>4.6249999999999999E-2</v>
      </c>
      <c r="CH133" s="124">
        <f>CG133</f>
        <v>4.6249999999999999E-2</v>
      </c>
      <c r="CI133" s="124">
        <f>CH133</f>
        <v>4.6249999999999999E-2</v>
      </c>
      <c r="CJ133" s="123">
        <f>CI133</f>
        <v>4.6249999999999999E-2</v>
      </c>
      <c r="CK133" s="124">
        <f>CI133</f>
        <v>4.6249999999999999E-2</v>
      </c>
      <c r="CL133" s="131">
        <f>CK133</f>
        <v>4.6249999999999999E-2</v>
      </c>
      <c r="CM133" s="131">
        <f>CL133</f>
        <v>4.6249999999999999E-2</v>
      </c>
      <c r="CN133" s="131">
        <f>CM133</f>
        <v>4.6249999999999999E-2</v>
      </c>
      <c r="CO133" s="123">
        <f>CN133</f>
        <v>4.6249999999999999E-2</v>
      </c>
      <c r="CP133" s="131">
        <f>CN133</f>
        <v>4.6249999999999999E-2</v>
      </c>
      <c r="CQ133" s="131">
        <f>CP133</f>
        <v>4.6249999999999999E-2</v>
      </c>
      <c r="CR133" s="131">
        <f>CQ133</f>
        <v>4.6249999999999999E-2</v>
      </c>
      <c r="CS133" s="131">
        <f>CR133</f>
        <v>4.6249999999999999E-2</v>
      </c>
      <c r="CT133" s="123">
        <f>CS133</f>
        <v>4.6249999999999999E-2</v>
      </c>
      <c r="CU133" s="131">
        <f>CS133</f>
        <v>4.6249999999999999E-2</v>
      </c>
      <c r="CV133" s="131">
        <f>CU133</f>
        <v>4.6249999999999999E-2</v>
      </c>
      <c r="CW133" s="131">
        <f>CV133</f>
        <v>4.6249999999999999E-2</v>
      </c>
      <c r="CX133" s="131">
        <f>CW133</f>
        <v>4.6249999999999999E-2</v>
      </c>
      <c r="CY133" s="123">
        <f>CX133</f>
        <v>4.6249999999999999E-2</v>
      </c>
      <c r="CZ133" s="131">
        <f>CX133</f>
        <v>4.6249999999999999E-2</v>
      </c>
      <c r="DA133" s="131">
        <f>CZ133</f>
        <v>4.6249999999999999E-2</v>
      </c>
      <c r="DB133" s="131">
        <f>DA133</f>
        <v>4.6249999999999999E-2</v>
      </c>
      <c r="DC133" s="131">
        <f>DB133</f>
        <v>4.6249999999999999E-2</v>
      </c>
      <c r="DD133" s="123">
        <f>DC133</f>
        <v>4.6249999999999999E-2</v>
      </c>
      <c r="DE133" s="131">
        <f>DC133</f>
        <v>4.6249999999999999E-2</v>
      </c>
      <c r="DF133" s="131">
        <f>DE133</f>
        <v>4.6249999999999999E-2</v>
      </c>
      <c r="DG133" s="131">
        <f>DF133</f>
        <v>4.6249999999999999E-2</v>
      </c>
      <c r="DH133" s="131">
        <f>DG133</f>
        <v>4.6249999999999999E-2</v>
      </c>
      <c r="DI133" s="123">
        <f>DH133</f>
        <v>4.6249999999999999E-2</v>
      </c>
      <c r="DJ133" s="131">
        <f>DH133</f>
        <v>4.6249999999999999E-2</v>
      </c>
      <c r="DK133" s="131">
        <f>DJ133</f>
        <v>4.6249999999999999E-2</v>
      </c>
      <c r="DL133" s="131">
        <f>DK133</f>
        <v>4.6249999999999999E-2</v>
      </c>
      <c r="DM133" s="131">
        <f>DL133</f>
        <v>4.6249999999999999E-2</v>
      </c>
      <c r="DN133" s="123">
        <f>DM133</f>
        <v>4.6249999999999999E-2</v>
      </c>
      <c r="DO133" s="131">
        <f>DM133</f>
        <v>4.6249999999999999E-2</v>
      </c>
      <c r="DP133" s="131">
        <f>DO133</f>
        <v>4.6249999999999999E-2</v>
      </c>
      <c r="DQ133" s="131">
        <f>DP133</f>
        <v>4.6249999999999999E-2</v>
      </c>
      <c r="DR133" s="131">
        <f>DQ133</f>
        <v>4.6249999999999999E-2</v>
      </c>
      <c r="DS133" s="123">
        <f>DR133</f>
        <v>4.6249999999999999E-2</v>
      </c>
      <c r="DT133" s="131">
        <f>DR133</f>
        <v>4.6249999999999999E-2</v>
      </c>
      <c r="DU133" s="131">
        <f>DT133</f>
        <v>4.6249999999999999E-2</v>
      </c>
      <c r="DV133" s="131">
        <f>DU133</f>
        <v>4.6249999999999999E-2</v>
      </c>
      <c r="DW133" s="131">
        <f>DV133</f>
        <v>4.6249999999999999E-2</v>
      </c>
      <c r="DX133" s="123">
        <f>DW133</f>
        <v>4.6249999999999999E-2</v>
      </c>
      <c r="DY133" s="131"/>
      <c r="DZ133" s="131"/>
      <c r="EA133" s="131"/>
      <c r="EB133" s="131"/>
      <c r="EC133" s="673"/>
      <c r="ED133" s="673"/>
      <c r="EE133" s="673"/>
      <c r="EF133" s="673"/>
    </row>
    <row r="134" spans="1:136" hidden="1" outlineLevel="1" x14ac:dyDescent="0.2">
      <c r="A134" s="82" t="s">
        <v>630</v>
      </c>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45"/>
      <c r="AW134" s="38"/>
      <c r="AX134" s="38"/>
      <c r="AY134" s="38"/>
      <c r="AZ134" s="38"/>
      <c r="BA134" s="40"/>
      <c r="BB134" s="38"/>
      <c r="BC134" s="38"/>
      <c r="BD134" s="38"/>
      <c r="BE134" s="38"/>
      <c r="BF134" s="40"/>
      <c r="BG134" s="38"/>
      <c r="BH134" s="38"/>
      <c r="BI134" s="38"/>
      <c r="BJ134" s="38"/>
      <c r="BK134" s="123"/>
      <c r="BL134" s="1075"/>
      <c r="BM134" s="1075"/>
      <c r="BN134" s="1075"/>
      <c r="BO134" s="1075"/>
      <c r="BP134" s="290"/>
      <c r="BQ134" s="907"/>
      <c r="BR134" s="131"/>
      <c r="BS134" s="131"/>
      <c r="BT134" s="164">
        <v>4.5999999999999999E-2</v>
      </c>
      <c r="BU134" s="123">
        <f>AVERAGE(BQ134:BT134)</f>
        <v>4.5999999999999999E-2</v>
      </c>
      <c r="BV134" s="124"/>
      <c r="BW134" s="1376"/>
      <c r="BX134" s="124"/>
      <c r="BY134" s="124"/>
      <c r="BZ134" s="123"/>
      <c r="CA134" s="124"/>
      <c r="CB134" s="124"/>
      <c r="CC134" s="124"/>
      <c r="CD134" s="124"/>
      <c r="CE134" s="123"/>
      <c r="CF134" s="124"/>
      <c r="CG134" s="124"/>
      <c r="CH134" s="124"/>
      <c r="CI134" s="124"/>
      <c r="CJ134" s="123"/>
      <c r="CK134" s="124"/>
      <c r="CL134" s="131"/>
      <c r="CM134" s="131"/>
      <c r="CN134" s="131"/>
      <c r="CO134" s="123"/>
      <c r="CP134" s="131"/>
      <c r="CQ134" s="131"/>
      <c r="CR134" s="131"/>
      <c r="CS134" s="131"/>
      <c r="CT134" s="123"/>
      <c r="CU134" s="131"/>
      <c r="CV134" s="131"/>
      <c r="CW134" s="131"/>
      <c r="CX134" s="131"/>
      <c r="CY134" s="123"/>
      <c r="CZ134" s="131"/>
      <c r="DA134" s="131"/>
      <c r="DB134" s="131"/>
      <c r="DC134" s="131"/>
      <c r="DD134" s="123"/>
      <c r="DE134" s="131"/>
      <c r="DF134" s="131"/>
      <c r="DG134" s="131"/>
      <c r="DH134" s="131"/>
      <c r="DI134" s="123"/>
      <c r="DJ134" s="131"/>
      <c r="DK134" s="131"/>
      <c r="DL134" s="131"/>
      <c r="DM134" s="131"/>
      <c r="DN134" s="123"/>
      <c r="DO134" s="131"/>
      <c r="DP134" s="131"/>
      <c r="DQ134" s="131"/>
      <c r="DR134" s="131"/>
      <c r="DS134" s="123"/>
      <c r="DT134" s="131"/>
      <c r="DU134" s="131"/>
      <c r="DV134" s="131"/>
      <c r="DW134" s="131"/>
      <c r="DX134" s="123"/>
      <c r="DY134" s="673"/>
      <c r="DZ134" s="673"/>
      <c r="EA134" s="673"/>
      <c r="EB134" s="673"/>
      <c r="EC134" s="673"/>
      <c r="ED134" s="673"/>
      <c r="EE134" s="673"/>
      <c r="EF134" s="673"/>
    </row>
    <row r="135" spans="1:136" hidden="1" outlineLevel="1" x14ac:dyDescent="0.2">
      <c r="A135" s="87" t="s">
        <v>638</v>
      </c>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45"/>
      <c r="AW135" s="38"/>
      <c r="AX135" s="38"/>
      <c r="AY135" s="38"/>
      <c r="AZ135" s="38"/>
      <c r="BA135" s="40"/>
      <c r="BB135" s="38"/>
      <c r="BC135" s="38"/>
      <c r="BD135" s="38"/>
      <c r="BE135" s="38"/>
      <c r="BF135" s="40"/>
      <c r="BG135" s="38"/>
      <c r="BH135" s="38"/>
      <c r="BI135" s="38"/>
      <c r="BJ135" s="38"/>
      <c r="BK135" s="123"/>
      <c r="BL135" s="1075"/>
      <c r="BM135" s="1075"/>
      <c r="BN135" s="1075"/>
      <c r="BO135" s="1075"/>
      <c r="BP135" s="290"/>
      <c r="BQ135" s="907"/>
      <c r="BR135" s="131"/>
      <c r="BS135" s="131"/>
      <c r="BT135" s="164"/>
      <c r="BU135" s="123"/>
      <c r="BV135" s="1062">
        <v>100</v>
      </c>
      <c r="BW135" s="1377">
        <v>100</v>
      </c>
      <c r="BX135" s="1062">
        <v>100</v>
      </c>
      <c r="BY135" s="1062">
        <v>100</v>
      </c>
      <c r="BZ135" s="1061">
        <f>AVERAGE(BV135:BY135)</f>
        <v>100</v>
      </c>
      <c r="CA135" s="1062">
        <v>100</v>
      </c>
      <c r="CB135" s="1062">
        <v>100</v>
      </c>
      <c r="CC135" s="1062">
        <v>100</v>
      </c>
      <c r="CD135" s="1062">
        <v>100</v>
      </c>
      <c r="CE135" s="1061">
        <f>AVERAGE(CA135:CD135)</f>
        <v>100</v>
      </c>
      <c r="CF135" s="1062">
        <v>100</v>
      </c>
      <c r="CG135" s="1062">
        <v>100</v>
      </c>
      <c r="CH135" s="1062">
        <v>100</v>
      </c>
      <c r="CI135" s="1062">
        <v>100</v>
      </c>
      <c r="CJ135" s="1061">
        <f>AVERAGE(CF135:CI135)</f>
        <v>100</v>
      </c>
      <c r="CK135" s="1062">
        <v>100</v>
      </c>
      <c r="CL135" s="1076">
        <v>100</v>
      </c>
      <c r="CM135" s="1076">
        <v>100</v>
      </c>
      <c r="CN135" s="1076">
        <v>100</v>
      </c>
      <c r="CO135" s="1061">
        <f>AVERAGE(CK135:CN135)</f>
        <v>100</v>
      </c>
      <c r="CP135" s="1076">
        <v>100</v>
      </c>
      <c r="CQ135" s="1076">
        <v>100</v>
      </c>
      <c r="CR135" s="1076">
        <v>100</v>
      </c>
      <c r="CS135" s="1076">
        <v>100</v>
      </c>
      <c r="CT135" s="1061">
        <f>AVERAGE(CP135:CS135)</f>
        <v>100</v>
      </c>
      <c r="CU135" s="1076">
        <v>100</v>
      </c>
      <c r="CV135" s="1076">
        <v>100</v>
      </c>
      <c r="CW135" s="1076">
        <v>100</v>
      </c>
      <c r="CX135" s="1076">
        <v>100</v>
      </c>
      <c r="CY135" s="1061">
        <f>AVERAGE(CU135:CX135)</f>
        <v>100</v>
      </c>
      <c r="CZ135" s="1076">
        <v>100</v>
      </c>
      <c r="DA135" s="1076">
        <v>100</v>
      </c>
      <c r="DB135" s="1076">
        <v>100</v>
      </c>
      <c r="DC135" s="1076">
        <v>100</v>
      </c>
      <c r="DD135" s="1061">
        <f>AVERAGE(CZ135:DC135)</f>
        <v>100</v>
      </c>
      <c r="DE135" s="1076">
        <v>100</v>
      </c>
      <c r="DF135" s="1076">
        <v>100</v>
      </c>
      <c r="DG135" s="1076">
        <v>100</v>
      </c>
      <c r="DH135" s="1076">
        <v>100</v>
      </c>
      <c r="DI135" s="1061">
        <f>AVERAGE(DE135:DH135)</f>
        <v>100</v>
      </c>
      <c r="DJ135" s="1076">
        <v>100</v>
      </c>
      <c r="DK135" s="1076">
        <v>100</v>
      </c>
      <c r="DL135" s="1076">
        <v>100</v>
      </c>
      <c r="DM135" s="1076">
        <v>100</v>
      </c>
      <c r="DN135" s="1061">
        <f>AVERAGE(DJ135:DM135)</f>
        <v>100</v>
      </c>
      <c r="DO135" s="1076">
        <v>100</v>
      </c>
      <c r="DP135" s="1076">
        <v>100</v>
      </c>
      <c r="DQ135" s="1076">
        <v>100</v>
      </c>
      <c r="DR135" s="1076">
        <v>100</v>
      </c>
      <c r="DS135" s="1061">
        <f>AVERAGE(DO135:DR135)</f>
        <v>100</v>
      </c>
      <c r="DT135" s="1076">
        <v>100</v>
      </c>
      <c r="DU135" s="1076">
        <v>100</v>
      </c>
      <c r="DV135" s="1076">
        <v>100</v>
      </c>
      <c r="DW135" s="1076">
        <v>100</v>
      </c>
      <c r="DX135" s="1061">
        <f>AVERAGE(DT135:DW135)</f>
        <v>100</v>
      </c>
      <c r="DY135" s="673"/>
      <c r="DZ135" s="673"/>
      <c r="EA135" s="673"/>
      <c r="EB135" s="673"/>
      <c r="EC135" s="673"/>
      <c r="ED135" s="673"/>
      <c r="EE135" s="673"/>
      <c r="EF135" s="673"/>
    </row>
    <row r="136" spans="1:136" hidden="1" outlineLevel="1" x14ac:dyDescent="0.2">
      <c r="A136" s="87" t="s">
        <v>639</v>
      </c>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45"/>
      <c r="AW136" s="38"/>
      <c r="AX136" s="38"/>
      <c r="AY136" s="38"/>
      <c r="AZ136" s="38"/>
      <c r="BA136" s="40"/>
      <c r="BB136" s="38"/>
      <c r="BC136" s="38"/>
      <c r="BD136" s="38"/>
      <c r="BE136" s="38"/>
      <c r="BF136" s="40"/>
      <c r="BG136" s="38"/>
      <c r="BH136" s="38"/>
      <c r="BI136" s="38"/>
      <c r="BJ136" s="38"/>
      <c r="BK136" s="123"/>
      <c r="BL136" s="1075"/>
      <c r="BM136" s="1075"/>
      <c r="BN136" s="1075"/>
      <c r="BO136" s="1075"/>
      <c r="BP136" s="290"/>
      <c r="BQ136" s="907"/>
      <c r="BR136" s="131"/>
      <c r="BS136" s="131"/>
      <c r="BT136" s="164"/>
      <c r="BU136" s="123"/>
      <c r="BV136" s="1062">
        <v>350</v>
      </c>
      <c r="BW136" s="1377">
        <v>322</v>
      </c>
      <c r="BX136" s="1062">
        <v>320</v>
      </c>
      <c r="BY136" s="1062">
        <v>300</v>
      </c>
      <c r="BZ136" s="1061">
        <f t="shared" ref="BZ136:BZ150" si="487">AVERAGE(BV136:BY136)</f>
        <v>323</v>
      </c>
      <c r="CA136" s="1062">
        <f>BY136</f>
        <v>300</v>
      </c>
      <c r="CB136" s="1062">
        <f>CA136</f>
        <v>300</v>
      </c>
      <c r="CC136" s="1062">
        <f t="shared" ref="CC136:CD136" si="488">CA136</f>
        <v>300</v>
      </c>
      <c r="CD136" s="1062">
        <f t="shared" si="488"/>
        <v>300</v>
      </c>
      <c r="CE136" s="1061">
        <f t="shared" ref="CE136:CE138" si="489">AVERAGE(CA136:CD136)</f>
        <v>300</v>
      </c>
      <c r="CF136" s="1062">
        <f>CD136</f>
        <v>300</v>
      </c>
      <c r="CG136" s="1062">
        <f>CF136</f>
        <v>300</v>
      </c>
      <c r="CH136" s="1062">
        <f t="shared" ref="CH136" si="490">CF136</f>
        <v>300</v>
      </c>
      <c r="CI136" s="1062">
        <f t="shared" ref="CI136" si="491">CG136</f>
        <v>300</v>
      </c>
      <c r="CJ136" s="1061">
        <f t="shared" ref="CJ136:CJ138" si="492">AVERAGE(CF136:CI136)</f>
        <v>300</v>
      </c>
      <c r="CK136" s="1062">
        <f>CI136</f>
        <v>300</v>
      </c>
      <c r="CL136" s="1076">
        <f>CK136</f>
        <v>300</v>
      </c>
      <c r="CM136" s="1076">
        <f t="shared" ref="CM136" si="493">CK136</f>
        <v>300</v>
      </c>
      <c r="CN136" s="1076">
        <f t="shared" ref="CN136" si="494">CL136</f>
        <v>300</v>
      </c>
      <c r="CO136" s="1061">
        <f t="shared" ref="CO136:CO138" si="495">AVERAGE(CK136:CN136)</f>
        <v>300</v>
      </c>
      <c r="CP136" s="1076">
        <f>CN136</f>
        <v>300</v>
      </c>
      <c r="CQ136" s="1076">
        <f>CP136</f>
        <v>300</v>
      </c>
      <c r="CR136" s="1076">
        <f t="shared" ref="CR136" si="496">CP136</f>
        <v>300</v>
      </c>
      <c r="CS136" s="1076">
        <f t="shared" ref="CS136" si="497">CQ136</f>
        <v>300</v>
      </c>
      <c r="CT136" s="1061">
        <f t="shared" ref="CT136:CT138" si="498">AVERAGE(CP136:CS136)</f>
        <v>300</v>
      </c>
      <c r="CU136" s="1076">
        <f>CS136</f>
        <v>300</v>
      </c>
      <c r="CV136" s="1076">
        <f>CU136</f>
        <v>300</v>
      </c>
      <c r="CW136" s="1076">
        <f t="shared" ref="CW136" si="499">CU136</f>
        <v>300</v>
      </c>
      <c r="CX136" s="1076">
        <f t="shared" ref="CX136" si="500">CV136</f>
        <v>300</v>
      </c>
      <c r="CY136" s="1061">
        <f t="shared" ref="CY136:CY138" si="501">AVERAGE(CU136:CX136)</f>
        <v>300</v>
      </c>
      <c r="CZ136" s="1076">
        <f>CX136</f>
        <v>300</v>
      </c>
      <c r="DA136" s="1076">
        <f>CZ136</f>
        <v>300</v>
      </c>
      <c r="DB136" s="1076">
        <f t="shared" ref="DB136" si="502">CZ136</f>
        <v>300</v>
      </c>
      <c r="DC136" s="1076">
        <f t="shared" ref="DC136" si="503">DA136</f>
        <v>300</v>
      </c>
      <c r="DD136" s="1061">
        <f t="shared" ref="DD136:DD138" si="504">AVERAGE(CZ136:DC136)</f>
        <v>300</v>
      </c>
      <c r="DE136" s="1076">
        <v>350</v>
      </c>
      <c r="DF136" s="1076">
        <v>350</v>
      </c>
      <c r="DG136" s="1076">
        <v>350</v>
      </c>
      <c r="DH136" s="1076">
        <v>350</v>
      </c>
      <c r="DI136" s="1061">
        <f t="shared" ref="DI136:DI138" si="505">AVERAGE(DE136:DH136)</f>
        <v>350</v>
      </c>
      <c r="DJ136" s="1076">
        <v>350</v>
      </c>
      <c r="DK136" s="1076">
        <v>350</v>
      </c>
      <c r="DL136" s="1076">
        <v>350</v>
      </c>
      <c r="DM136" s="1076">
        <v>350</v>
      </c>
      <c r="DN136" s="1061">
        <f t="shared" ref="DN136:DN138" si="506">AVERAGE(DJ136:DM136)</f>
        <v>350</v>
      </c>
      <c r="DO136" s="1076">
        <v>350</v>
      </c>
      <c r="DP136" s="1076">
        <v>350</v>
      </c>
      <c r="DQ136" s="1076">
        <v>350</v>
      </c>
      <c r="DR136" s="1076">
        <v>350</v>
      </c>
      <c r="DS136" s="1061">
        <f t="shared" ref="DS136:DS138" si="507">AVERAGE(DO136:DR136)</f>
        <v>350</v>
      </c>
      <c r="DT136" s="1076">
        <v>350</v>
      </c>
      <c r="DU136" s="1076">
        <v>350</v>
      </c>
      <c r="DV136" s="1076">
        <v>350</v>
      </c>
      <c r="DW136" s="1076">
        <v>350</v>
      </c>
      <c r="DX136" s="1061">
        <f t="shared" ref="DX136:DX138" si="508">AVERAGE(DT136:DW136)</f>
        <v>350</v>
      </c>
      <c r="DY136" s="673"/>
      <c r="DZ136" s="673"/>
      <c r="EA136" s="673"/>
      <c r="EB136" s="673"/>
      <c r="EC136" s="673"/>
      <c r="ED136" s="673"/>
      <c r="EE136" s="673"/>
      <c r="EF136" s="673"/>
    </row>
    <row r="137" spans="1:136" hidden="1" outlineLevel="1" x14ac:dyDescent="0.2">
      <c r="A137" s="87" t="s">
        <v>640</v>
      </c>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45"/>
      <c r="AW137" s="38"/>
      <c r="AX137" s="38"/>
      <c r="AY137" s="38"/>
      <c r="AZ137" s="38"/>
      <c r="BA137" s="40"/>
      <c r="BB137" s="38"/>
      <c r="BC137" s="38"/>
      <c r="BD137" s="38"/>
      <c r="BE137" s="38"/>
      <c r="BF137" s="40"/>
      <c r="BG137" s="38"/>
      <c r="BH137" s="38"/>
      <c r="BI137" s="38"/>
      <c r="BJ137" s="38"/>
      <c r="BK137" s="123"/>
      <c r="BL137" s="1075"/>
      <c r="BM137" s="1075"/>
      <c r="BN137" s="1075"/>
      <c r="BO137" s="1075"/>
      <c r="BP137" s="290"/>
      <c r="BQ137" s="907"/>
      <c r="BR137" s="131"/>
      <c r="BS137" s="131"/>
      <c r="BT137" s="164"/>
      <c r="BU137" s="123"/>
      <c r="BV137" s="1062">
        <v>10</v>
      </c>
      <c r="BW137" s="1377">
        <v>20</v>
      </c>
      <c r="BX137" s="1062">
        <v>20</v>
      </c>
      <c r="BY137" s="1062">
        <v>20</v>
      </c>
      <c r="BZ137" s="1061">
        <f t="shared" si="487"/>
        <v>17.5</v>
      </c>
      <c r="CA137" s="1062">
        <v>10</v>
      </c>
      <c r="CB137" s="1062">
        <v>10</v>
      </c>
      <c r="CC137" s="1062">
        <v>10</v>
      </c>
      <c r="CD137" s="1062">
        <v>10</v>
      </c>
      <c r="CE137" s="1061">
        <f t="shared" si="489"/>
        <v>10</v>
      </c>
      <c r="CF137" s="1062">
        <v>10</v>
      </c>
      <c r="CG137" s="1062">
        <v>10</v>
      </c>
      <c r="CH137" s="1062">
        <v>10</v>
      </c>
      <c r="CI137" s="1062">
        <v>10</v>
      </c>
      <c r="CJ137" s="1061">
        <f t="shared" si="492"/>
        <v>10</v>
      </c>
      <c r="CK137" s="1062">
        <v>10</v>
      </c>
      <c r="CL137" s="1076">
        <v>10</v>
      </c>
      <c r="CM137" s="1076">
        <v>10</v>
      </c>
      <c r="CN137" s="1076">
        <v>10</v>
      </c>
      <c r="CO137" s="1061">
        <f t="shared" si="495"/>
        <v>10</v>
      </c>
      <c r="CP137" s="1076">
        <v>10</v>
      </c>
      <c r="CQ137" s="1076">
        <v>10</v>
      </c>
      <c r="CR137" s="1076">
        <v>10</v>
      </c>
      <c r="CS137" s="1076">
        <v>10</v>
      </c>
      <c r="CT137" s="1061">
        <f t="shared" si="498"/>
        <v>10</v>
      </c>
      <c r="CU137" s="1076">
        <v>10</v>
      </c>
      <c r="CV137" s="1076">
        <v>10</v>
      </c>
      <c r="CW137" s="1076">
        <v>10</v>
      </c>
      <c r="CX137" s="1076">
        <v>10</v>
      </c>
      <c r="CY137" s="1061">
        <f t="shared" si="501"/>
        <v>10</v>
      </c>
      <c r="CZ137" s="1076">
        <v>10</v>
      </c>
      <c r="DA137" s="1076">
        <v>10</v>
      </c>
      <c r="DB137" s="1076">
        <v>10</v>
      </c>
      <c r="DC137" s="1076">
        <v>10</v>
      </c>
      <c r="DD137" s="1061">
        <f t="shared" si="504"/>
        <v>10</v>
      </c>
      <c r="DE137" s="1076">
        <v>10</v>
      </c>
      <c r="DF137" s="1076">
        <v>10</v>
      </c>
      <c r="DG137" s="1076">
        <v>10</v>
      </c>
      <c r="DH137" s="1076">
        <v>10</v>
      </c>
      <c r="DI137" s="1061">
        <f t="shared" si="505"/>
        <v>10</v>
      </c>
      <c r="DJ137" s="1076">
        <v>10</v>
      </c>
      <c r="DK137" s="1076">
        <v>10</v>
      </c>
      <c r="DL137" s="1076">
        <v>10</v>
      </c>
      <c r="DM137" s="1076">
        <v>10</v>
      </c>
      <c r="DN137" s="1061">
        <f t="shared" si="506"/>
        <v>10</v>
      </c>
      <c r="DO137" s="1076">
        <v>10</v>
      </c>
      <c r="DP137" s="1076">
        <v>10</v>
      </c>
      <c r="DQ137" s="1076">
        <v>10</v>
      </c>
      <c r="DR137" s="1076">
        <v>10</v>
      </c>
      <c r="DS137" s="1061">
        <f t="shared" si="507"/>
        <v>10</v>
      </c>
      <c r="DT137" s="1076">
        <v>10</v>
      </c>
      <c r="DU137" s="1076">
        <v>10</v>
      </c>
      <c r="DV137" s="1076">
        <v>10</v>
      </c>
      <c r="DW137" s="1076">
        <v>10</v>
      </c>
      <c r="DX137" s="1061">
        <f t="shared" si="508"/>
        <v>10</v>
      </c>
      <c r="DY137" s="673"/>
      <c r="DZ137" s="673"/>
      <c r="EA137" s="673"/>
      <c r="EB137" s="673"/>
      <c r="EC137" s="673"/>
      <c r="ED137" s="673"/>
      <c r="EE137" s="673"/>
      <c r="EF137" s="673"/>
    </row>
    <row r="138" spans="1:136" hidden="1" outlineLevel="1" x14ac:dyDescent="0.2">
      <c r="A138" s="87" t="s">
        <v>630</v>
      </c>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45"/>
      <c r="AW138" s="38"/>
      <c r="AX138" s="38"/>
      <c r="AY138" s="38"/>
      <c r="AZ138" s="38"/>
      <c r="BA138" s="40"/>
      <c r="BB138" s="38"/>
      <c r="BC138" s="38"/>
      <c r="BD138" s="38"/>
      <c r="BE138" s="38"/>
      <c r="BF138" s="40"/>
      <c r="BG138" s="38"/>
      <c r="BH138" s="38"/>
      <c r="BI138" s="38"/>
      <c r="BJ138" s="38"/>
      <c r="BK138" s="123"/>
      <c r="BL138" s="1075"/>
      <c r="BM138" s="1075"/>
      <c r="BN138" s="1075"/>
      <c r="BO138" s="1075"/>
      <c r="BP138" s="290"/>
      <c r="BQ138" s="907"/>
      <c r="BR138" s="131"/>
      <c r="BS138" s="131"/>
      <c r="BT138" s="164"/>
      <c r="BU138" s="123"/>
      <c r="BV138" s="245">
        <f>SUM(BV135:BV137)/10000</f>
        <v>4.5999999999999999E-2</v>
      </c>
      <c r="BW138" s="1378">
        <f t="shared" ref="BW138:BY138" si="509">SUM(BW135:BW137)/10000</f>
        <v>4.4200000000000003E-2</v>
      </c>
      <c r="BX138" s="245">
        <f>BX164/BX81*4</f>
        <v>4.1535879972362057E-2</v>
      </c>
      <c r="BY138" s="245">
        <f t="shared" si="509"/>
        <v>4.2000000000000003E-2</v>
      </c>
      <c r="BZ138" s="300">
        <f t="shared" si="487"/>
        <v>4.3433969993090515E-2</v>
      </c>
      <c r="CA138" s="245">
        <f>CA164/CA81*4</f>
        <v>4.0748898678414094E-2</v>
      </c>
      <c r="CB138" s="245">
        <f>CB164/CB81*4</f>
        <v>4.2666456357578035E-2</v>
      </c>
      <c r="CC138" s="245">
        <f>CB138</f>
        <v>4.2666456357578035E-2</v>
      </c>
      <c r="CD138" s="245">
        <f>CC138</f>
        <v>4.2666456357578035E-2</v>
      </c>
      <c r="CE138" s="300">
        <f t="shared" si="489"/>
        <v>4.2187066937787052E-2</v>
      </c>
      <c r="CF138" s="245">
        <f>SUM(CF135:CF137)/10000</f>
        <v>4.1000000000000002E-2</v>
      </c>
      <c r="CG138" s="245">
        <f t="shared" ref="CG138" si="510">SUM(CG135:CG137)/10000</f>
        <v>4.1000000000000002E-2</v>
      </c>
      <c r="CH138" s="245">
        <f t="shared" ref="CH138" si="511">SUM(CH135:CH137)/10000</f>
        <v>4.1000000000000002E-2</v>
      </c>
      <c r="CI138" s="245">
        <f t="shared" ref="CI138" si="512">SUM(CI135:CI137)/10000</f>
        <v>4.1000000000000002E-2</v>
      </c>
      <c r="CJ138" s="300">
        <f t="shared" si="492"/>
        <v>4.1000000000000002E-2</v>
      </c>
      <c r="CK138" s="245">
        <f>SUM(CK135:CK137)/10000</f>
        <v>4.1000000000000002E-2</v>
      </c>
      <c r="CL138" s="316">
        <f t="shared" ref="CL138" si="513">SUM(CL135:CL137)/10000</f>
        <v>4.1000000000000002E-2</v>
      </c>
      <c r="CM138" s="316">
        <f t="shared" ref="CM138" si="514">SUM(CM135:CM137)/10000</f>
        <v>4.1000000000000002E-2</v>
      </c>
      <c r="CN138" s="316">
        <f t="shared" ref="CN138" si="515">SUM(CN135:CN137)/10000</f>
        <v>4.1000000000000002E-2</v>
      </c>
      <c r="CO138" s="300">
        <f t="shared" si="495"/>
        <v>4.1000000000000002E-2</v>
      </c>
      <c r="CP138" s="316">
        <f>SUM(CP135:CP137)/10000</f>
        <v>4.1000000000000002E-2</v>
      </c>
      <c r="CQ138" s="316">
        <f t="shared" ref="CQ138" si="516">SUM(CQ135:CQ137)/10000</f>
        <v>4.1000000000000002E-2</v>
      </c>
      <c r="CR138" s="316">
        <f t="shared" ref="CR138" si="517">SUM(CR135:CR137)/10000</f>
        <v>4.1000000000000002E-2</v>
      </c>
      <c r="CS138" s="316">
        <f t="shared" ref="CS138" si="518">SUM(CS135:CS137)/10000</f>
        <v>4.1000000000000002E-2</v>
      </c>
      <c r="CT138" s="300">
        <f t="shared" si="498"/>
        <v>4.1000000000000002E-2</v>
      </c>
      <c r="CU138" s="316">
        <f>SUM(CU135:CU137)/10000</f>
        <v>4.1000000000000002E-2</v>
      </c>
      <c r="CV138" s="316">
        <f t="shared" ref="CV138" si="519">SUM(CV135:CV137)/10000</f>
        <v>4.1000000000000002E-2</v>
      </c>
      <c r="CW138" s="316">
        <f t="shared" ref="CW138" si="520">SUM(CW135:CW137)/10000</f>
        <v>4.1000000000000002E-2</v>
      </c>
      <c r="CX138" s="316">
        <f t="shared" ref="CX138" si="521">SUM(CX135:CX137)/10000</f>
        <v>4.1000000000000002E-2</v>
      </c>
      <c r="CY138" s="300">
        <f t="shared" si="501"/>
        <v>4.1000000000000002E-2</v>
      </c>
      <c r="CZ138" s="316">
        <f>SUM(CZ135:CZ137)/10000</f>
        <v>4.1000000000000002E-2</v>
      </c>
      <c r="DA138" s="316">
        <f t="shared" ref="DA138" si="522">SUM(DA135:DA137)/10000</f>
        <v>4.1000000000000002E-2</v>
      </c>
      <c r="DB138" s="316">
        <f t="shared" ref="DB138" si="523">SUM(DB135:DB137)/10000</f>
        <v>4.1000000000000002E-2</v>
      </c>
      <c r="DC138" s="316">
        <f t="shared" ref="DC138" si="524">SUM(DC135:DC137)/10000</f>
        <v>4.1000000000000002E-2</v>
      </c>
      <c r="DD138" s="300">
        <f t="shared" si="504"/>
        <v>4.1000000000000002E-2</v>
      </c>
      <c r="DE138" s="316">
        <f>SUM(DE135:DE137)/10000</f>
        <v>4.5999999999999999E-2</v>
      </c>
      <c r="DF138" s="316">
        <f t="shared" ref="DF138" si="525">SUM(DF135:DF137)/10000</f>
        <v>4.5999999999999999E-2</v>
      </c>
      <c r="DG138" s="316">
        <f t="shared" ref="DG138" si="526">SUM(DG135:DG137)/10000</f>
        <v>4.5999999999999999E-2</v>
      </c>
      <c r="DH138" s="316">
        <f t="shared" ref="DH138" si="527">SUM(DH135:DH137)/10000</f>
        <v>4.5999999999999999E-2</v>
      </c>
      <c r="DI138" s="300">
        <f t="shared" si="505"/>
        <v>4.5999999999999999E-2</v>
      </c>
      <c r="DJ138" s="316">
        <f>SUM(DJ135:DJ137)/10000</f>
        <v>4.5999999999999999E-2</v>
      </c>
      <c r="DK138" s="316">
        <f t="shared" ref="DK138" si="528">SUM(DK135:DK137)/10000</f>
        <v>4.5999999999999999E-2</v>
      </c>
      <c r="DL138" s="316">
        <f t="shared" ref="DL138" si="529">SUM(DL135:DL137)/10000</f>
        <v>4.5999999999999999E-2</v>
      </c>
      <c r="DM138" s="316">
        <f t="shared" ref="DM138" si="530">SUM(DM135:DM137)/10000</f>
        <v>4.5999999999999999E-2</v>
      </c>
      <c r="DN138" s="300">
        <f t="shared" si="506"/>
        <v>4.5999999999999999E-2</v>
      </c>
      <c r="DO138" s="316">
        <f>SUM(DO135:DO137)/10000</f>
        <v>4.5999999999999999E-2</v>
      </c>
      <c r="DP138" s="316">
        <f t="shared" ref="DP138" si="531">SUM(DP135:DP137)/10000</f>
        <v>4.5999999999999999E-2</v>
      </c>
      <c r="DQ138" s="316">
        <f t="shared" ref="DQ138" si="532">SUM(DQ135:DQ137)/10000</f>
        <v>4.5999999999999999E-2</v>
      </c>
      <c r="DR138" s="316">
        <f t="shared" ref="DR138" si="533">SUM(DR135:DR137)/10000</f>
        <v>4.5999999999999999E-2</v>
      </c>
      <c r="DS138" s="300">
        <f t="shared" si="507"/>
        <v>4.5999999999999999E-2</v>
      </c>
      <c r="DT138" s="316">
        <f>SUM(DT135:DT137)/10000</f>
        <v>4.5999999999999999E-2</v>
      </c>
      <c r="DU138" s="316">
        <f t="shared" ref="DU138:DW138" si="534">SUM(DU135:DU137)/10000</f>
        <v>4.5999999999999999E-2</v>
      </c>
      <c r="DV138" s="316">
        <f t="shared" si="534"/>
        <v>4.5999999999999999E-2</v>
      </c>
      <c r="DW138" s="316">
        <f t="shared" si="534"/>
        <v>4.5999999999999999E-2</v>
      </c>
      <c r="DX138" s="300">
        <f t="shared" si="508"/>
        <v>4.5999999999999999E-2</v>
      </c>
      <c r="DY138" s="673"/>
      <c r="DZ138" s="673"/>
      <c r="EA138" s="673"/>
      <c r="EB138" s="673"/>
      <c r="EC138" s="673"/>
      <c r="ED138" s="673"/>
      <c r="EE138" s="673"/>
      <c r="EF138" s="673"/>
    </row>
    <row r="139" spans="1:136" ht="3.75" hidden="1" customHeight="1" outlineLevel="1" x14ac:dyDescent="0.2">
      <c r="A139" s="87"/>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45"/>
      <c r="AW139" s="38"/>
      <c r="AX139" s="38"/>
      <c r="AY139" s="38"/>
      <c r="AZ139" s="38"/>
      <c r="BA139" s="40"/>
      <c r="BB139" s="38"/>
      <c r="BC139" s="38"/>
      <c r="BD139" s="38"/>
      <c r="BE139" s="38"/>
      <c r="BF139" s="40"/>
      <c r="BG139" s="38"/>
      <c r="BH139" s="38"/>
      <c r="BI139" s="38"/>
      <c r="BJ139" s="38"/>
      <c r="BK139" s="123"/>
      <c r="BL139" s="1075"/>
      <c r="BM139" s="1075"/>
      <c r="BN139" s="1075"/>
      <c r="BO139" s="1075"/>
      <c r="BP139" s="290"/>
      <c r="BQ139" s="907"/>
      <c r="BR139" s="131"/>
      <c r="BS139" s="131"/>
      <c r="BT139" s="164"/>
      <c r="BU139" s="123"/>
      <c r="BV139" s="124"/>
      <c r="BW139" s="1376"/>
      <c r="BX139" s="124"/>
      <c r="BY139" s="124"/>
      <c r="BZ139" s="290"/>
      <c r="CA139" s="124"/>
      <c r="CB139" s="124"/>
      <c r="CC139" s="124"/>
      <c r="CD139" s="124"/>
      <c r="CE139" s="290"/>
      <c r="CF139" s="124"/>
      <c r="CG139" s="124"/>
      <c r="CH139" s="124"/>
      <c r="CI139" s="124"/>
      <c r="CJ139" s="290"/>
      <c r="CK139" s="124"/>
      <c r="CL139" s="131"/>
      <c r="CM139" s="131"/>
      <c r="CN139" s="131"/>
      <c r="CO139" s="290"/>
      <c r="CP139" s="131"/>
      <c r="CQ139" s="131"/>
      <c r="CR139" s="131"/>
      <c r="CS139" s="131"/>
      <c r="CT139" s="290"/>
      <c r="CU139" s="131"/>
      <c r="CV139" s="131"/>
      <c r="CW139" s="131"/>
      <c r="CX139" s="131"/>
      <c r="CY139" s="290"/>
      <c r="CZ139" s="131"/>
      <c r="DA139" s="131"/>
      <c r="DB139" s="131"/>
      <c r="DC139" s="131"/>
      <c r="DD139" s="290"/>
      <c r="DE139" s="131"/>
      <c r="DF139" s="131"/>
      <c r="DG139" s="131"/>
      <c r="DH139" s="131"/>
      <c r="DI139" s="290"/>
      <c r="DJ139" s="131"/>
      <c r="DK139" s="131"/>
      <c r="DL139" s="131"/>
      <c r="DM139" s="131"/>
      <c r="DN139" s="290"/>
      <c r="DO139" s="131"/>
      <c r="DP139" s="131"/>
      <c r="DQ139" s="131"/>
      <c r="DR139" s="131"/>
      <c r="DS139" s="290"/>
      <c r="DT139" s="131"/>
      <c r="DU139" s="131"/>
      <c r="DV139" s="131"/>
      <c r="DW139" s="131"/>
      <c r="DX139" s="290"/>
      <c r="DY139" s="673"/>
      <c r="DZ139" s="673"/>
      <c r="EA139" s="673"/>
      <c r="EB139" s="673"/>
      <c r="EC139" s="673"/>
      <c r="ED139" s="673"/>
      <c r="EE139" s="673"/>
      <c r="EF139" s="673"/>
    </row>
    <row r="140" spans="1:136" ht="12.75" hidden="1" customHeight="1" outlineLevel="1" x14ac:dyDescent="0.2">
      <c r="A140" s="87" t="s">
        <v>639</v>
      </c>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45"/>
      <c r="AW140" s="38"/>
      <c r="AX140" s="38"/>
      <c r="AY140" s="38"/>
      <c r="AZ140" s="38"/>
      <c r="BA140" s="40"/>
      <c r="BB140" s="38"/>
      <c r="BC140" s="38"/>
      <c r="BD140" s="38"/>
      <c r="BE140" s="38"/>
      <c r="BF140" s="40"/>
      <c r="BG140" s="38"/>
      <c r="BH140" s="38"/>
      <c r="BI140" s="38"/>
      <c r="BJ140" s="38"/>
      <c r="BK140" s="123"/>
      <c r="BL140" s="1075"/>
      <c r="BM140" s="1075"/>
      <c r="BN140" s="1075"/>
      <c r="BO140" s="1075"/>
      <c r="BP140" s="290"/>
      <c r="BQ140" s="907"/>
      <c r="BR140" s="131"/>
      <c r="BS140" s="131"/>
      <c r="BT140" s="164"/>
      <c r="BU140" s="123"/>
      <c r="BV140" s="1062">
        <v>300</v>
      </c>
      <c r="BW140" s="1377">
        <v>300</v>
      </c>
      <c r="BX140" s="1062">
        <v>500</v>
      </c>
      <c r="BY140" s="1062">
        <v>500</v>
      </c>
      <c r="BZ140" s="1061">
        <f t="shared" si="487"/>
        <v>400</v>
      </c>
      <c r="CA140" s="1062">
        <v>500</v>
      </c>
      <c r="CB140" s="1062">
        <v>500</v>
      </c>
      <c r="CC140" s="1062">
        <v>500</v>
      </c>
      <c r="CD140" s="1062">
        <v>500</v>
      </c>
      <c r="CE140" s="1061">
        <f t="shared" ref="CE140:CE142" si="535">AVERAGE(CA140:CD140)</f>
        <v>500</v>
      </c>
      <c r="CF140" s="1062">
        <v>300</v>
      </c>
      <c r="CG140" s="1062">
        <v>300</v>
      </c>
      <c r="CH140" s="1062">
        <v>300</v>
      </c>
      <c r="CI140" s="1062">
        <v>300</v>
      </c>
      <c r="CJ140" s="1061">
        <f t="shared" ref="CJ140:CJ142" si="536">AVERAGE(CF140:CI140)</f>
        <v>300</v>
      </c>
      <c r="CK140" s="1062">
        <v>300</v>
      </c>
      <c r="CL140" s="1076">
        <v>300</v>
      </c>
      <c r="CM140" s="1076">
        <v>300</v>
      </c>
      <c r="CN140" s="1076">
        <v>300</v>
      </c>
      <c r="CO140" s="1061">
        <f t="shared" ref="CO140:CO142" si="537">AVERAGE(CK140:CN140)</f>
        <v>300</v>
      </c>
      <c r="CP140" s="1076">
        <v>300</v>
      </c>
      <c r="CQ140" s="1076">
        <v>300</v>
      </c>
      <c r="CR140" s="1076">
        <v>300</v>
      </c>
      <c r="CS140" s="1076">
        <v>300</v>
      </c>
      <c r="CT140" s="1061">
        <f t="shared" ref="CT140:CT142" si="538">AVERAGE(CP140:CS140)</f>
        <v>300</v>
      </c>
      <c r="CU140" s="1076">
        <v>300</v>
      </c>
      <c r="CV140" s="1076">
        <v>300</v>
      </c>
      <c r="CW140" s="1076">
        <v>300</v>
      </c>
      <c r="CX140" s="1076">
        <v>300</v>
      </c>
      <c r="CY140" s="1061">
        <f t="shared" ref="CY140:CY142" si="539">AVERAGE(CU140:CX140)</f>
        <v>300</v>
      </c>
      <c r="CZ140" s="1076">
        <v>300</v>
      </c>
      <c r="DA140" s="1076">
        <v>300</v>
      </c>
      <c r="DB140" s="1076">
        <v>300</v>
      </c>
      <c r="DC140" s="1076">
        <v>300</v>
      </c>
      <c r="DD140" s="1061">
        <f t="shared" ref="DD140:DD142" si="540">AVERAGE(CZ140:DC140)</f>
        <v>300</v>
      </c>
      <c r="DE140" s="1076">
        <v>300</v>
      </c>
      <c r="DF140" s="1076">
        <v>300</v>
      </c>
      <c r="DG140" s="1076">
        <v>300</v>
      </c>
      <c r="DH140" s="1076">
        <v>300</v>
      </c>
      <c r="DI140" s="1061">
        <f t="shared" ref="DI140:DI142" si="541">AVERAGE(DE140:DH140)</f>
        <v>300</v>
      </c>
      <c r="DJ140" s="1076">
        <v>300</v>
      </c>
      <c r="DK140" s="1076">
        <v>300</v>
      </c>
      <c r="DL140" s="1076">
        <v>300</v>
      </c>
      <c r="DM140" s="1076">
        <v>300</v>
      </c>
      <c r="DN140" s="1061">
        <f t="shared" ref="DN140:DN142" si="542">AVERAGE(DJ140:DM140)</f>
        <v>300</v>
      </c>
      <c r="DO140" s="1076">
        <v>300</v>
      </c>
      <c r="DP140" s="1076">
        <v>300</v>
      </c>
      <c r="DQ140" s="1076">
        <v>300</v>
      </c>
      <c r="DR140" s="1076">
        <v>300</v>
      </c>
      <c r="DS140" s="1061">
        <f t="shared" ref="DS140:DS142" si="543">AVERAGE(DO140:DR140)</f>
        <v>300</v>
      </c>
      <c r="DT140" s="1076">
        <v>300</v>
      </c>
      <c r="DU140" s="1076">
        <v>300</v>
      </c>
      <c r="DV140" s="1076">
        <v>300</v>
      </c>
      <c r="DW140" s="1076">
        <v>300</v>
      </c>
      <c r="DX140" s="1061">
        <f t="shared" ref="DX140:DX142" si="544">AVERAGE(DT140:DW140)</f>
        <v>300</v>
      </c>
      <c r="DY140" s="673"/>
      <c r="DZ140" s="673"/>
      <c r="EA140" s="673"/>
      <c r="EB140" s="673"/>
      <c r="EC140" s="673"/>
      <c r="ED140" s="673"/>
      <c r="EE140" s="673"/>
      <c r="EF140" s="673"/>
    </row>
    <row r="141" spans="1:136" ht="12.75" hidden="1" customHeight="1" outlineLevel="1" x14ac:dyDescent="0.2">
      <c r="A141" s="87" t="s">
        <v>641</v>
      </c>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45"/>
      <c r="AW141" s="38"/>
      <c r="AX141" s="38"/>
      <c r="AY141" s="38"/>
      <c r="AZ141" s="38"/>
      <c r="BA141" s="40"/>
      <c r="BB141" s="38"/>
      <c r="BC141" s="38"/>
      <c r="BD141" s="38"/>
      <c r="BE141" s="38"/>
      <c r="BF141" s="40"/>
      <c r="BG141" s="38"/>
      <c r="BH141" s="38"/>
      <c r="BI141" s="38"/>
      <c r="BJ141" s="38"/>
      <c r="BK141" s="123"/>
      <c r="BL141" s="1075"/>
      <c r="BM141" s="1075"/>
      <c r="BN141" s="1075"/>
      <c r="BO141" s="1075"/>
      <c r="BP141" s="290"/>
      <c r="BQ141" s="907"/>
      <c r="BR141" s="131"/>
      <c r="BS141" s="131"/>
      <c r="BT141" s="164"/>
      <c r="BU141" s="123"/>
      <c r="BV141" s="245">
        <f>(BV135+BV140+BV137)/10000</f>
        <v>4.1000000000000002E-2</v>
      </c>
      <c r="BW141" s="1378">
        <f t="shared" ref="BW141:BY141" si="545">(BW135+BW140+BW137)/10000</f>
        <v>4.2000000000000003E-2</v>
      </c>
      <c r="BX141" s="245">
        <f t="shared" si="545"/>
        <v>6.2E-2</v>
      </c>
      <c r="BY141" s="245">
        <f t="shared" si="545"/>
        <v>6.2E-2</v>
      </c>
      <c r="BZ141" s="300">
        <f t="shared" si="487"/>
        <v>5.1750000000000004E-2</v>
      </c>
      <c r="CA141" s="245">
        <f>(CA135+CA140+CA137)/10000</f>
        <v>6.0999999999999999E-2</v>
      </c>
      <c r="CB141" s="245">
        <f>(CB135+CB140+CB137)/10000</f>
        <v>6.0999999999999999E-2</v>
      </c>
      <c r="CC141" s="245">
        <f t="shared" ref="CC141" si="546">(CC135+CC140+CC137)/10000</f>
        <v>6.0999999999999999E-2</v>
      </c>
      <c r="CD141" s="245">
        <f t="shared" ref="CD141" si="547">(CD135+CD140+CD137)/10000</f>
        <v>6.0999999999999999E-2</v>
      </c>
      <c r="CE141" s="300">
        <f t="shared" si="535"/>
        <v>6.0999999999999999E-2</v>
      </c>
      <c r="CF141" s="245">
        <f>(CF135+CF140+CF137)/10000</f>
        <v>4.1000000000000002E-2</v>
      </c>
      <c r="CG141" s="245">
        <f t="shared" ref="CG141" si="548">(CG135+CG140+CG137)/10000</f>
        <v>4.1000000000000002E-2</v>
      </c>
      <c r="CH141" s="245">
        <f t="shared" ref="CH141" si="549">(CH135+CH140+CH137)/10000</f>
        <v>4.1000000000000002E-2</v>
      </c>
      <c r="CI141" s="245">
        <f t="shared" ref="CI141" si="550">(CI135+CI140+CI137)/10000</f>
        <v>4.1000000000000002E-2</v>
      </c>
      <c r="CJ141" s="300">
        <f t="shared" si="536"/>
        <v>4.1000000000000002E-2</v>
      </c>
      <c r="CK141" s="245">
        <f>(CK135+CK140+CK137)/10000</f>
        <v>4.1000000000000002E-2</v>
      </c>
      <c r="CL141" s="316">
        <f t="shared" ref="CL141" si="551">(CL135+CL140+CL137)/10000</f>
        <v>4.1000000000000002E-2</v>
      </c>
      <c r="CM141" s="316">
        <f t="shared" ref="CM141" si="552">(CM135+CM140+CM137)/10000</f>
        <v>4.1000000000000002E-2</v>
      </c>
      <c r="CN141" s="316">
        <f t="shared" ref="CN141" si="553">(CN135+CN140+CN137)/10000</f>
        <v>4.1000000000000002E-2</v>
      </c>
      <c r="CO141" s="300">
        <f t="shared" si="537"/>
        <v>4.1000000000000002E-2</v>
      </c>
      <c r="CP141" s="316">
        <f>(CP135+CP140+CP137)/10000</f>
        <v>4.1000000000000002E-2</v>
      </c>
      <c r="CQ141" s="316">
        <f t="shared" ref="CQ141" si="554">(CQ135+CQ140+CQ137)/10000</f>
        <v>4.1000000000000002E-2</v>
      </c>
      <c r="CR141" s="316">
        <f t="shared" ref="CR141" si="555">(CR135+CR140+CR137)/10000</f>
        <v>4.1000000000000002E-2</v>
      </c>
      <c r="CS141" s="316">
        <f t="shared" ref="CS141" si="556">(CS135+CS140+CS137)/10000</f>
        <v>4.1000000000000002E-2</v>
      </c>
      <c r="CT141" s="300">
        <f t="shared" si="538"/>
        <v>4.1000000000000002E-2</v>
      </c>
      <c r="CU141" s="316">
        <f>(CU135+CU140+CU137)/10000</f>
        <v>4.1000000000000002E-2</v>
      </c>
      <c r="CV141" s="316">
        <f t="shared" ref="CV141" si="557">(CV135+CV140+CV137)/10000</f>
        <v>4.1000000000000002E-2</v>
      </c>
      <c r="CW141" s="316">
        <f t="shared" ref="CW141" si="558">(CW135+CW140+CW137)/10000</f>
        <v>4.1000000000000002E-2</v>
      </c>
      <c r="CX141" s="316">
        <f t="shared" ref="CX141" si="559">(CX135+CX140+CX137)/10000</f>
        <v>4.1000000000000002E-2</v>
      </c>
      <c r="CY141" s="300">
        <f t="shared" si="539"/>
        <v>4.1000000000000002E-2</v>
      </c>
      <c r="CZ141" s="316">
        <f>(CZ135+CZ140+CZ137)/10000</f>
        <v>4.1000000000000002E-2</v>
      </c>
      <c r="DA141" s="316">
        <f t="shared" ref="DA141" si="560">(DA135+DA140+DA137)/10000</f>
        <v>4.1000000000000002E-2</v>
      </c>
      <c r="DB141" s="316">
        <f t="shared" ref="DB141" si="561">(DB135+DB140+DB137)/10000</f>
        <v>4.1000000000000002E-2</v>
      </c>
      <c r="DC141" s="316">
        <f t="shared" ref="DC141" si="562">(DC135+DC140+DC137)/10000</f>
        <v>4.1000000000000002E-2</v>
      </c>
      <c r="DD141" s="300">
        <f t="shared" si="540"/>
        <v>4.1000000000000002E-2</v>
      </c>
      <c r="DE141" s="316">
        <f>(DE135+DE140+DE137)/10000</f>
        <v>4.1000000000000002E-2</v>
      </c>
      <c r="DF141" s="316">
        <f t="shared" ref="DF141" si="563">(DF135+DF140+DF137)/10000</f>
        <v>4.1000000000000002E-2</v>
      </c>
      <c r="DG141" s="316">
        <f t="shared" ref="DG141" si="564">(DG135+DG140+DG137)/10000</f>
        <v>4.1000000000000002E-2</v>
      </c>
      <c r="DH141" s="316">
        <f t="shared" ref="DH141" si="565">(DH135+DH140+DH137)/10000</f>
        <v>4.1000000000000002E-2</v>
      </c>
      <c r="DI141" s="300">
        <f t="shared" si="541"/>
        <v>4.1000000000000002E-2</v>
      </c>
      <c r="DJ141" s="316">
        <f>(DJ135+DJ140+DJ137)/10000</f>
        <v>4.1000000000000002E-2</v>
      </c>
      <c r="DK141" s="316">
        <f t="shared" ref="DK141" si="566">(DK135+DK140+DK137)/10000</f>
        <v>4.1000000000000002E-2</v>
      </c>
      <c r="DL141" s="316">
        <f t="shared" ref="DL141" si="567">(DL135+DL140+DL137)/10000</f>
        <v>4.1000000000000002E-2</v>
      </c>
      <c r="DM141" s="316">
        <f t="shared" ref="DM141" si="568">(DM135+DM140+DM137)/10000</f>
        <v>4.1000000000000002E-2</v>
      </c>
      <c r="DN141" s="300">
        <f t="shared" si="542"/>
        <v>4.1000000000000002E-2</v>
      </c>
      <c r="DO141" s="316">
        <f>(DO135+DO140+DO137)/10000</f>
        <v>4.1000000000000002E-2</v>
      </c>
      <c r="DP141" s="316">
        <f t="shared" ref="DP141" si="569">(DP135+DP140+DP137)/10000</f>
        <v>4.1000000000000002E-2</v>
      </c>
      <c r="DQ141" s="316">
        <f t="shared" ref="DQ141" si="570">(DQ135+DQ140+DQ137)/10000</f>
        <v>4.1000000000000002E-2</v>
      </c>
      <c r="DR141" s="316">
        <f t="shared" ref="DR141" si="571">(DR135+DR140+DR137)/10000</f>
        <v>4.1000000000000002E-2</v>
      </c>
      <c r="DS141" s="300">
        <f t="shared" si="543"/>
        <v>4.1000000000000002E-2</v>
      </c>
      <c r="DT141" s="316">
        <f>(DT135+DT140+DT137)/10000</f>
        <v>4.1000000000000002E-2</v>
      </c>
      <c r="DU141" s="316">
        <f t="shared" ref="DU141:DW141" si="572">(DU135+DU140+DU137)/10000</f>
        <v>4.1000000000000002E-2</v>
      </c>
      <c r="DV141" s="316">
        <f t="shared" si="572"/>
        <v>4.1000000000000002E-2</v>
      </c>
      <c r="DW141" s="316">
        <f t="shared" si="572"/>
        <v>4.1000000000000002E-2</v>
      </c>
      <c r="DX141" s="300">
        <f t="shared" si="544"/>
        <v>4.1000000000000002E-2</v>
      </c>
      <c r="DY141" s="673"/>
      <c r="DZ141" s="673"/>
      <c r="EA141" s="673"/>
      <c r="EB141" s="673"/>
      <c r="EC141" s="673"/>
      <c r="ED141" s="673"/>
      <c r="EE141" s="673"/>
      <c r="EF141" s="673"/>
    </row>
    <row r="142" spans="1:136" ht="12.75" hidden="1" customHeight="1" outlineLevel="1" x14ac:dyDescent="0.2">
      <c r="A142" s="87" t="s">
        <v>642</v>
      </c>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45"/>
      <c r="AW142" s="38"/>
      <c r="AX142" s="38"/>
      <c r="AY142" s="38"/>
      <c r="AZ142" s="38"/>
      <c r="BA142" s="40"/>
      <c r="BB142" s="38"/>
      <c r="BC142" s="38"/>
      <c r="BD142" s="38"/>
      <c r="BE142" s="38"/>
      <c r="BF142" s="40"/>
      <c r="BG142" s="38"/>
      <c r="BH142" s="38"/>
      <c r="BI142" s="38"/>
      <c r="BJ142" s="38"/>
      <c r="BK142" s="123"/>
      <c r="BL142" s="1075"/>
      <c r="BM142" s="1075"/>
      <c r="BN142" s="1075"/>
      <c r="BO142" s="1075"/>
      <c r="BP142" s="290"/>
      <c r="BQ142" s="907"/>
      <c r="BR142" s="131"/>
      <c r="BS142" s="131"/>
      <c r="BT142" s="164"/>
      <c r="BU142" s="123"/>
      <c r="BV142" s="1062">
        <v>50</v>
      </c>
      <c r="BW142" s="1377">
        <v>50</v>
      </c>
      <c r="BX142" s="1062">
        <v>50</v>
      </c>
      <c r="BY142" s="1062">
        <v>50</v>
      </c>
      <c r="BZ142" s="1061">
        <f t="shared" si="487"/>
        <v>50</v>
      </c>
      <c r="CA142" s="1062">
        <v>50</v>
      </c>
      <c r="CB142" s="1062">
        <v>50</v>
      </c>
      <c r="CC142" s="1062">
        <v>50</v>
      </c>
      <c r="CD142" s="1062">
        <v>50</v>
      </c>
      <c r="CE142" s="1061">
        <f t="shared" si="535"/>
        <v>50</v>
      </c>
      <c r="CF142" s="1062">
        <v>50</v>
      </c>
      <c r="CG142" s="1062">
        <v>50</v>
      </c>
      <c r="CH142" s="1062">
        <v>50</v>
      </c>
      <c r="CI142" s="1062">
        <v>50</v>
      </c>
      <c r="CJ142" s="1061">
        <f t="shared" si="536"/>
        <v>50</v>
      </c>
      <c r="CK142" s="1062">
        <v>50</v>
      </c>
      <c r="CL142" s="1076">
        <v>50</v>
      </c>
      <c r="CM142" s="1076">
        <v>50</v>
      </c>
      <c r="CN142" s="1076">
        <v>50</v>
      </c>
      <c r="CO142" s="1061">
        <f t="shared" si="537"/>
        <v>50</v>
      </c>
      <c r="CP142" s="1076">
        <v>50</v>
      </c>
      <c r="CQ142" s="1076">
        <v>50</v>
      </c>
      <c r="CR142" s="1076">
        <v>50</v>
      </c>
      <c r="CS142" s="1076">
        <v>50</v>
      </c>
      <c r="CT142" s="1061">
        <f t="shared" si="538"/>
        <v>50</v>
      </c>
      <c r="CU142" s="1076">
        <v>50</v>
      </c>
      <c r="CV142" s="1076">
        <v>50</v>
      </c>
      <c r="CW142" s="1076">
        <v>50</v>
      </c>
      <c r="CX142" s="1076">
        <v>50</v>
      </c>
      <c r="CY142" s="1061">
        <f t="shared" si="539"/>
        <v>50</v>
      </c>
      <c r="CZ142" s="1076">
        <v>50</v>
      </c>
      <c r="DA142" s="1076">
        <v>50</v>
      </c>
      <c r="DB142" s="1076">
        <v>50</v>
      </c>
      <c r="DC142" s="1076">
        <v>50</v>
      </c>
      <c r="DD142" s="1061">
        <f t="shared" si="540"/>
        <v>50</v>
      </c>
      <c r="DE142" s="1076">
        <v>50</v>
      </c>
      <c r="DF142" s="1076">
        <v>50</v>
      </c>
      <c r="DG142" s="1076">
        <v>50</v>
      </c>
      <c r="DH142" s="1076">
        <v>50</v>
      </c>
      <c r="DI142" s="1061">
        <f t="shared" si="541"/>
        <v>50</v>
      </c>
      <c r="DJ142" s="1076">
        <v>50</v>
      </c>
      <c r="DK142" s="1076">
        <v>50</v>
      </c>
      <c r="DL142" s="1076">
        <v>50</v>
      </c>
      <c r="DM142" s="1076">
        <v>50</v>
      </c>
      <c r="DN142" s="1061">
        <f t="shared" si="542"/>
        <v>50</v>
      </c>
      <c r="DO142" s="1076">
        <v>50</v>
      </c>
      <c r="DP142" s="1076">
        <v>50</v>
      </c>
      <c r="DQ142" s="1076">
        <v>50</v>
      </c>
      <c r="DR142" s="1076">
        <v>50</v>
      </c>
      <c r="DS142" s="1061">
        <f t="shared" si="543"/>
        <v>50</v>
      </c>
      <c r="DT142" s="1076">
        <v>50</v>
      </c>
      <c r="DU142" s="1076">
        <v>50</v>
      </c>
      <c r="DV142" s="1076">
        <v>50</v>
      </c>
      <c r="DW142" s="1076">
        <v>50</v>
      </c>
      <c r="DX142" s="1061">
        <f t="shared" si="544"/>
        <v>50</v>
      </c>
      <c r="DY142" s="673"/>
      <c r="DZ142" s="673"/>
      <c r="EA142" s="673"/>
      <c r="EB142" s="673"/>
      <c r="EC142" s="673"/>
      <c r="ED142" s="673"/>
      <c r="EE142" s="673"/>
      <c r="EF142" s="673"/>
    </row>
    <row r="143" spans="1:136" ht="12.75" hidden="1" customHeight="1" outlineLevel="1" x14ac:dyDescent="0.2">
      <c r="A143" s="87"/>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45"/>
      <c r="AW143" s="38"/>
      <c r="AX143" s="38"/>
      <c r="AY143" s="38"/>
      <c r="AZ143" s="38"/>
      <c r="BA143" s="40"/>
      <c r="BB143" s="38"/>
      <c r="BC143" s="38"/>
      <c r="BD143" s="38"/>
      <c r="BE143" s="38"/>
      <c r="BF143" s="40"/>
      <c r="BG143" s="38"/>
      <c r="BH143" s="38"/>
      <c r="BI143" s="38"/>
      <c r="BJ143" s="38"/>
      <c r="BK143" s="123"/>
      <c r="BL143" s="1075"/>
      <c r="BM143" s="1075"/>
      <c r="BN143" s="1075"/>
      <c r="BO143" s="1075"/>
      <c r="BP143" s="290"/>
      <c r="BQ143" s="907"/>
      <c r="BR143" s="131"/>
      <c r="BS143" s="131"/>
      <c r="BT143" s="164"/>
      <c r="BU143" s="123"/>
      <c r="BV143" s="245"/>
      <c r="BW143" s="1376"/>
      <c r="BX143" s="124"/>
      <c r="BY143" s="124"/>
      <c r="BZ143" s="300"/>
      <c r="CA143" s="245"/>
      <c r="CB143" s="124"/>
      <c r="CC143" s="124"/>
      <c r="CD143" s="124"/>
      <c r="CE143" s="300"/>
      <c r="CF143" s="245"/>
      <c r="CG143" s="124"/>
      <c r="CH143" s="124"/>
      <c r="CI143" s="124"/>
      <c r="CJ143" s="300"/>
      <c r="CK143" s="245"/>
      <c r="CL143" s="131"/>
      <c r="CM143" s="131"/>
      <c r="CN143" s="131"/>
      <c r="CO143" s="300"/>
      <c r="CP143" s="316"/>
      <c r="CQ143" s="131"/>
      <c r="CR143" s="131"/>
      <c r="CS143" s="131"/>
      <c r="CT143" s="300"/>
      <c r="CU143" s="316"/>
      <c r="CV143" s="131"/>
      <c r="CW143" s="131"/>
      <c r="CX143" s="131"/>
      <c r="CY143" s="300"/>
      <c r="CZ143" s="316"/>
      <c r="DA143" s="131"/>
      <c r="DB143" s="131"/>
      <c r="DC143" s="131"/>
      <c r="DD143" s="300"/>
      <c r="DE143" s="316"/>
      <c r="DF143" s="131"/>
      <c r="DG143" s="131"/>
      <c r="DH143" s="131"/>
      <c r="DI143" s="300"/>
      <c r="DJ143" s="316"/>
      <c r="DK143" s="131"/>
      <c r="DL143" s="131"/>
      <c r="DM143" s="131"/>
      <c r="DN143" s="300"/>
      <c r="DO143" s="316"/>
      <c r="DP143" s="131"/>
      <c r="DQ143" s="131"/>
      <c r="DR143" s="131"/>
      <c r="DS143" s="300"/>
      <c r="DT143" s="316"/>
      <c r="DU143" s="131"/>
      <c r="DV143" s="131"/>
      <c r="DW143" s="131"/>
      <c r="DX143" s="300"/>
      <c r="DY143" s="673"/>
      <c r="DZ143" s="673"/>
      <c r="EA143" s="673"/>
      <c r="EB143" s="673"/>
      <c r="EC143" s="673"/>
      <c r="ED143" s="673"/>
      <c r="EE143" s="673"/>
      <c r="EF143" s="673"/>
    </row>
    <row r="144" spans="1:136" hidden="1" outlineLevel="1" x14ac:dyDescent="0.2">
      <c r="A144" s="87" t="s">
        <v>636</v>
      </c>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45"/>
      <c r="AW144" s="38"/>
      <c r="AX144" s="38"/>
      <c r="AY144" s="38"/>
      <c r="AZ144" s="38"/>
      <c r="BA144" s="40"/>
      <c r="BB144" s="38"/>
      <c r="BC144" s="38"/>
      <c r="BD144" s="38"/>
      <c r="BE144" s="38"/>
      <c r="BF144" s="40"/>
      <c r="BG144" s="38"/>
      <c r="BH144" s="38"/>
      <c r="BI144" s="38"/>
      <c r="BJ144" s="38"/>
      <c r="BK144" s="123"/>
      <c r="BL144" s="1075"/>
      <c r="BM144" s="1075"/>
      <c r="BN144" s="1075"/>
      <c r="BO144" s="1075"/>
      <c r="BP144" s="290"/>
      <c r="BQ144" s="907"/>
      <c r="BR144" s="131"/>
      <c r="BS144" s="131"/>
      <c r="BT144" s="164">
        <v>0.06</v>
      </c>
      <c r="BU144" s="123">
        <f t="shared" ref="BU144:BU150" si="573">AVERAGE(BQ144:BT144)</f>
        <v>0.06</v>
      </c>
      <c r="BV144" s="35">
        <v>0.06</v>
      </c>
      <c r="BW144" s="1379">
        <v>0.06</v>
      </c>
      <c r="BX144" s="35">
        <f>BX167/BX83*4</f>
        <v>6.0088888888888886E-2</v>
      </c>
      <c r="BY144" s="35">
        <v>0.06</v>
      </c>
      <c r="BZ144" s="142">
        <f t="shared" si="487"/>
        <v>6.002222222222222E-2</v>
      </c>
      <c r="CA144" s="35">
        <f>CA167/CA83*4</f>
        <v>5.9911111111111116E-2</v>
      </c>
      <c r="CB144" s="35">
        <f>CB167/CB83*4</f>
        <v>6.0088888888888886E-2</v>
      </c>
      <c r="CC144" s="35">
        <v>0.06</v>
      </c>
      <c r="CD144" s="35">
        <v>0.06</v>
      </c>
      <c r="CE144" s="142">
        <f t="shared" ref="CE144" si="574">AVERAGE(CA144:CD144)</f>
        <v>0.06</v>
      </c>
      <c r="CF144" s="35">
        <v>0.06</v>
      </c>
      <c r="CG144" s="35">
        <v>0.06</v>
      </c>
      <c r="CH144" s="35">
        <v>0.06</v>
      </c>
      <c r="CI144" s="35">
        <v>0.06</v>
      </c>
      <c r="CJ144" s="142">
        <f t="shared" ref="CJ144" si="575">AVERAGE(CF144:CI144)</f>
        <v>0.06</v>
      </c>
      <c r="CK144" s="35">
        <v>0.06</v>
      </c>
      <c r="CL144" s="1082">
        <v>0.06</v>
      </c>
      <c r="CM144" s="1082">
        <v>0.06</v>
      </c>
      <c r="CN144" s="1082">
        <v>0.06</v>
      </c>
      <c r="CO144" s="142">
        <f t="shared" ref="CO144" si="576">AVERAGE(CK144:CN144)</f>
        <v>0.06</v>
      </c>
      <c r="CP144" s="1082">
        <v>0.06</v>
      </c>
      <c r="CQ144" s="1082">
        <v>0.06</v>
      </c>
      <c r="CR144" s="1082">
        <v>0.06</v>
      </c>
      <c r="CS144" s="1082">
        <v>0.06</v>
      </c>
      <c r="CT144" s="142">
        <f t="shared" ref="CT144" si="577">AVERAGE(CP144:CS144)</f>
        <v>0.06</v>
      </c>
      <c r="CU144" s="1082">
        <v>0.06</v>
      </c>
      <c r="CV144" s="1082">
        <v>0.06</v>
      </c>
      <c r="CW144" s="1082">
        <v>0.06</v>
      </c>
      <c r="CX144" s="1082">
        <v>0.06</v>
      </c>
      <c r="CY144" s="142">
        <f t="shared" ref="CY144" si="578">AVERAGE(CU144:CX144)</f>
        <v>0.06</v>
      </c>
      <c r="CZ144" s="1082">
        <v>0.06</v>
      </c>
      <c r="DA144" s="1082">
        <v>0.06</v>
      </c>
      <c r="DB144" s="1082">
        <v>0.06</v>
      </c>
      <c r="DC144" s="1082">
        <v>0.06</v>
      </c>
      <c r="DD144" s="142">
        <f t="shared" ref="DD144" si="579">AVERAGE(CZ144:DC144)</f>
        <v>0.06</v>
      </c>
      <c r="DE144" s="1082">
        <v>0.06</v>
      </c>
      <c r="DF144" s="1082">
        <v>0.06</v>
      </c>
      <c r="DG144" s="1082">
        <v>0.06</v>
      </c>
      <c r="DH144" s="1082">
        <v>0.06</v>
      </c>
      <c r="DI144" s="142">
        <f t="shared" ref="DI144" si="580">AVERAGE(DE144:DH144)</f>
        <v>0.06</v>
      </c>
      <c r="DJ144" s="1082">
        <v>0.06</v>
      </c>
      <c r="DK144" s="1082">
        <v>0.06</v>
      </c>
      <c r="DL144" s="1082">
        <v>0.06</v>
      </c>
      <c r="DM144" s="1082">
        <v>0.06</v>
      </c>
      <c r="DN144" s="142">
        <f t="shared" ref="DN144" si="581">AVERAGE(DJ144:DM144)</f>
        <v>0.06</v>
      </c>
      <c r="DO144" s="1082">
        <v>0.06</v>
      </c>
      <c r="DP144" s="1082">
        <v>0.06</v>
      </c>
      <c r="DQ144" s="1082">
        <v>0.06</v>
      </c>
      <c r="DR144" s="1082">
        <v>0.06</v>
      </c>
      <c r="DS144" s="142">
        <f t="shared" ref="DS144" si="582">AVERAGE(DO144:DR144)</f>
        <v>0.06</v>
      </c>
      <c r="DT144" s="1082">
        <v>0.06</v>
      </c>
      <c r="DU144" s="1082">
        <v>0.06</v>
      </c>
      <c r="DV144" s="1082">
        <v>0.06</v>
      </c>
      <c r="DW144" s="1082">
        <v>0.06</v>
      </c>
      <c r="DX144" s="142">
        <f t="shared" ref="DX144" si="583">AVERAGE(DT144:DW144)</f>
        <v>0.06</v>
      </c>
      <c r="DY144" s="673"/>
      <c r="DZ144" s="673"/>
      <c r="EA144" s="673"/>
      <c r="EB144" s="673"/>
      <c r="EC144" s="673"/>
      <c r="ED144" s="673"/>
      <c r="EE144" s="673"/>
      <c r="EF144" s="673"/>
    </row>
    <row r="145" spans="1:136" hidden="1" outlineLevel="1" x14ac:dyDescent="0.2">
      <c r="A145" s="87" t="s">
        <v>818</v>
      </c>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45"/>
      <c r="AW145" s="38"/>
      <c r="AX145" s="38"/>
      <c r="AY145" s="38"/>
      <c r="AZ145" s="38"/>
      <c r="BA145" s="40"/>
      <c r="BB145" s="38"/>
      <c r="BC145" s="38"/>
      <c r="BD145" s="38"/>
      <c r="BE145" s="38"/>
      <c r="BF145" s="40"/>
      <c r="BG145" s="38"/>
      <c r="BH145" s="38"/>
      <c r="BI145" s="38"/>
      <c r="BJ145" s="38"/>
      <c r="BK145" s="123"/>
      <c r="BL145" s="1075"/>
      <c r="BM145" s="1075"/>
      <c r="BN145" s="1075"/>
      <c r="BO145" s="1075"/>
      <c r="BP145" s="290"/>
      <c r="BQ145" s="907"/>
      <c r="BR145" s="131"/>
      <c r="BS145" s="131"/>
      <c r="BT145" s="164"/>
      <c r="BU145" s="123"/>
      <c r="BV145" s="35"/>
      <c r="BW145" s="1379"/>
      <c r="BX145" s="35"/>
      <c r="BY145" s="35"/>
      <c r="BZ145" s="142"/>
      <c r="CA145" s="35"/>
      <c r="CB145" s="35"/>
      <c r="CC145" s="35"/>
      <c r="CD145" s="35"/>
      <c r="CE145" s="142"/>
      <c r="CF145" s="35"/>
      <c r="CG145" s="35">
        <v>4.2500000000000003E-2</v>
      </c>
      <c r="CH145" s="35">
        <v>4.2999999999999997E-2</v>
      </c>
      <c r="CI145" s="35">
        <v>4.2999999999999997E-2</v>
      </c>
      <c r="CJ145" s="142">
        <f t="shared" ref="CJ145" si="584">AVERAGE(CF145:CI145)</f>
        <v>4.2833333333333334E-2</v>
      </c>
      <c r="CK145" s="35">
        <v>4.2999999999999997E-2</v>
      </c>
      <c r="CL145" s="1082">
        <v>4.2999999999999997E-2</v>
      </c>
      <c r="CM145" s="1082">
        <v>4.2999999999999997E-2</v>
      </c>
      <c r="CN145" s="1082">
        <v>4.2999999999999997E-2</v>
      </c>
      <c r="CO145" s="142">
        <f t="shared" ref="CO145" si="585">AVERAGE(CK145:CN145)</f>
        <v>4.2999999999999997E-2</v>
      </c>
      <c r="CP145" s="1082">
        <v>4.2999999999999997E-2</v>
      </c>
      <c r="CQ145" s="1082">
        <v>4.2999999999999997E-2</v>
      </c>
      <c r="CR145" s="1082">
        <v>4.2999999999999997E-2</v>
      </c>
      <c r="CS145" s="1082">
        <v>4.2999999999999997E-2</v>
      </c>
      <c r="CT145" s="142">
        <f t="shared" ref="CT145" si="586">AVERAGE(CP145:CS145)</f>
        <v>4.2999999999999997E-2</v>
      </c>
      <c r="CU145" s="1082">
        <v>4.2999999999999997E-2</v>
      </c>
      <c r="CV145" s="1082">
        <v>4.2999999999999997E-2</v>
      </c>
      <c r="CW145" s="1082">
        <v>4.2999999999999997E-2</v>
      </c>
      <c r="CX145" s="1082">
        <v>4.2999999999999997E-2</v>
      </c>
      <c r="CY145" s="142">
        <f t="shared" ref="CY145" si="587">AVERAGE(CU145:CX145)</f>
        <v>4.2999999999999997E-2</v>
      </c>
      <c r="CZ145" s="1082">
        <v>4.2999999999999997E-2</v>
      </c>
      <c r="DA145" s="1082">
        <v>4.2999999999999997E-2</v>
      </c>
      <c r="DB145" s="1082">
        <v>4.2999999999999997E-2</v>
      </c>
      <c r="DC145" s="1082">
        <v>4.2999999999999997E-2</v>
      </c>
      <c r="DD145" s="142">
        <f t="shared" ref="DD145" si="588">AVERAGE(CZ145:DC145)</f>
        <v>4.2999999999999997E-2</v>
      </c>
      <c r="DE145" s="1082">
        <v>4.2999999999999997E-2</v>
      </c>
      <c r="DF145" s="1082">
        <v>4.2999999999999997E-2</v>
      </c>
      <c r="DG145" s="1082">
        <v>4.2999999999999997E-2</v>
      </c>
      <c r="DH145" s="1082">
        <v>4.2999999999999997E-2</v>
      </c>
      <c r="DI145" s="142">
        <f t="shared" ref="DI145" si="589">AVERAGE(DE145:DH145)</f>
        <v>4.2999999999999997E-2</v>
      </c>
      <c r="DJ145" s="1082">
        <v>4.2999999999999997E-2</v>
      </c>
      <c r="DK145" s="1082">
        <v>4.2999999999999997E-2</v>
      </c>
      <c r="DL145" s="1082">
        <v>4.2999999999999997E-2</v>
      </c>
      <c r="DM145" s="1082">
        <v>4.2999999999999997E-2</v>
      </c>
      <c r="DN145" s="142">
        <f t="shared" ref="DN145" si="590">AVERAGE(DJ145:DM145)</f>
        <v>4.2999999999999997E-2</v>
      </c>
      <c r="DO145" s="1082">
        <v>4.2999999999999997E-2</v>
      </c>
      <c r="DP145" s="1082">
        <v>4.2999999999999997E-2</v>
      </c>
      <c r="DQ145" s="1082">
        <v>4.2999999999999997E-2</v>
      </c>
      <c r="DR145" s="1082">
        <v>4.2999999999999997E-2</v>
      </c>
      <c r="DS145" s="142">
        <f t="shared" ref="DS145" si="591">AVERAGE(DO145:DR145)</f>
        <v>4.2999999999999997E-2</v>
      </c>
      <c r="DT145" s="1082">
        <v>4.2999999999999997E-2</v>
      </c>
      <c r="DU145" s="1082">
        <v>4.2999999999999997E-2</v>
      </c>
      <c r="DV145" s="1082">
        <v>4.2999999999999997E-2</v>
      </c>
      <c r="DW145" s="1082">
        <v>4.2999999999999997E-2</v>
      </c>
      <c r="DX145" s="142">
        <f t="shared" ref="DX145" si="592">AVERAGE(DT145:DW145)</f>
        <v>4.2999999999999997E-2</v>
      </c>
      <c r="DY145" s="673"/>
      <c r="DZ145" s="673"/>
      <c r="EA145" s="673"/>
      <c r="EB145" s="673"/>
      <c r="EC145" s="673"/>
      <c r="ED145" s="673"/>
      <c r="EE145" s="673"/>
      <c r="EF145" s="673"/>
    </row>
    <row r="146" spans="1:136" hidden="1" outlineLevel="1" x14ac:dyDescent="0.2">
      <c r="A146" s="87" t="s">
        <v>828</v>
      </c>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45"/>
      <c r="AW146" s="38"/>
      <c r="AX146" s="38"/>
      <c r="AY146" s="38"/>
      <c r="AZ146" s="38"/>
      <c r="BA146" s="40"/>
      <c r="BB146" s="38"/>
      <c r="BC146" s="38"/>
      <c r="BD146" s="38"/>
      <c r="BE146" s="38"/>
      <c r="BF146" s="40"/>
      <c r="BG146" s="38"/>
      <c r="BH146" s="38"/>
      <c r="BI146" s="38"/>
      <c r="BJ146" s="38"/>
      <c r="BK146" s="123"/>
      <c r="BL146" s="1075"/>
      <c r="BM146" s="1075"/>
      <c r="BN146" s="1075"/>
      <c r="BO146" s="1075"/>
      <c r="BP146" s="290"/>
      <c r="BQ146" s="907"/>
      <c r="BR146" s="131"/>
      <c r="BS146" s="131"/>
      <c r="BT146" s="164"/>
      <c r="BU146" s="123"/>
      <c r="BV146" s="35"/>
      <c r="BW146" s="1379"/>
      <c r="BX146" s="35"/>
      <c r="BY146" s="35"/>
      <c r="BZ146" s="142"/>
      <c r="CA146" s="35"/>
      <c r="CB146" s="35"/>
      <c r="CC146" s="35"/>
      <c r="CD146" s="35"/>
      <c r="CE146" s="142"/>
      <c r="CF146" s="35"/>
      <c r="CG146" s="35"/>
      <c r="CH146" s="35">
        <v>0.05</v>
      </c>
      <c r="CI146" s="35">
        <v>0.05</v>
      </c>
      <c r="CJ146" s="142"/>
      <c r="CK146" s="35">
        <v>0.05</v>
      </c>
      <c r="CL146" s="1082">
        <v>0.05</v>
      </c>
      <c r="CM146" s="1082">
        <v>0.05</v>
      </c>
      <c r="CN146" s="1082">
        <v>0.05</v>
      </c>
      <c r="CO146" s="142"/>
      <c r="CP146" s="1082">
        <f>CK146</f>
        <v>0.05</v>
      </c>
      <c r="CQ146" s="1082">
        <f t="shared" ref="CQ146" si="593">CL146</f>
        <v>0.05</v>
      </c>
      <c r="CR146" s="1082">
        <f t="shared" ref="CR146" si="594">CM146</f>
        <v>0.05</v>
      </c>
      <c r="CS146" s="1082">
        <f t="shared" ref="CS146" si="595">CN146</f>
        <v>0.05</v>
      </c>
      <c r="CT146" s="142"/>
      <c r="CU146" s="1082">
        <f>CP146</f>
        <v>0.05</v>
      </c>
      <c r="CV146" s="1082">
        <f t="shared" ref="CV146" si="596">CQ146</f>
        <v>0.05</v>
      </c>
      <c r="CW146" s="1082">
        <f t="shared" ref="CW146" si="597">CR146</f>
        <v>0.05</v>
      </c>
      <c r="CX146" s="1082">
        <f t="shared" ref="CX146" si="598">CS146</f>
        <v>0.05</v>
      </c>
      <c r="CY146" s="142"/>
      <c r="CZ146" s="1082">
        <f>CU146</f>
        <v>0.05</v>
      </c>
      <c r="DA146" s="1082">
        <f t="shared" ref="DA146" si="599">CV146</f>
        <v>0.05</v>
      </c>
      <c r="DB146" s="1082">
        <f t="shared" ref="DB146" si="600">CW146</f>
        <v>0.05</v>
      </c>
      <c r="DC146" s="1082">
        <f t="shared" ref="DC146" si="601">CX146</f>
        <v>0.05</v>
      </c>
      <c r="DD146" s="142"/>
      <c r="DE146" s="1082">
        <f>CZ146</f>
        <v>0.05</v>
      </c>
      <c r="DF146" s="1082">
        <f t="shared" ref="DF146" si="602">DA146</f>
        <v>0.05</v>
      </c>
      <c r="DG146" s="1082">
        <f t="shared" ref="DG146" si="603">DB146</f>
        <v>0.05</v>
      </c>
      <c r="DH146" s="1082">
        <f t="shared" ref="DH146" si="604">DC146</f>
        <v>0.05</v>
      </c>
      <c r="DI146" s="142"/>
      <c r="DJ146" s="1082">
        <f>DE146</f>
        <v>0.05</v>
      </c>
      <c r="DK146" s="1082">
        <f t="shared" ref="DK146:DM146" si="605">DF146</f>
        <v>0.05</v>
      </c>
      <c r="DL146" s="1082">
        <f t="shared" si="605"/>
        <v>0.05</v>
      </c>
      <c r="DM146" s="1082">
        <f t="shared" si="605"/>
        <v>0.05</v>
      </c>
      <c r="DN146" s="142"/>
      <c r="DO146" s="1082">
        <f>DJ146</f>
        <v>0.05</v>
      </c>
      <c r="DP146" s="1082">
        <f t="shared" ref="DP146" si="606">DK146</f>
        <v>0.05</v>
      </c>
      <c r="DQ146" s="1082">
        <f t="shared" ref="DQ146" si="607">DL146</f>
        <v>0.05</v>
      </c>
      <c r="DR146" s="1082">
        <f t="shared" ref="DR146" si="608">DM146</f>
        <v>0.05</v>
      </c>
      <c r="DS146" s="142"/>
      <c r="DT146" s="1082">
        <f>DO146</f>
        <v>0.05</v>
      </c>
      <c r="DU146" s="1082">
        <f t="shared" ref="DU146" si="609">DP146</f>
        <v>0.05</v>
      </c>
      <c r="DV146" s="1082">
        <f t="shared" ref="DV146" si="610">DQ146</f>
        <v>0.05</v>
      </c>
      <c r="DW146" s="1082">
        <f t="shared" ref="DW146" si="611">DR146</f>
        <v>0.05</v>
      </c>
      <c r="DX146" s="142"/>
      <c r="DY146" s="673"/>
      <c r="DZ146" s="673"/>
      <c r="EA146" s="673"/>
      <c r="EB146" s="673"/>
      <c r="EC146" s="673"/>
      <c r="ED146" s="673"/>
      <c r="EE146" s="673"/>
      <c r="EF146" s="673"/>
    </row>
    <row r="147" spans="1:136" hidden="1" outlineLevel="1" x14ac:dyDescent="0.2">
      <c r="A147" s="87" t="s">
        <v>778</v>
      </c>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45"/>
      <c r="AW147" s="38"/>
      <c r="AX147" s="38"/>
      <c r="AY147" s="38"/>
      <c r="AZ147" s="38"/>
      <c r="BA147" s="40"/>
      <c r="BB147" s="38"/>
      <c r="BC147" s="38"/>
      <c r="BD147" s="38"/>
      <c r="BE147" s="38"/>
      <c r="BF147" s="40"/>
      <c r="BG147" s="38"/>
      <c r="BH147" s="38"/>
      <c r="BI147" s="38"/>
      <c r="BJ147" s="38"/>
      <c r="BK147" s="123"/>
      <c r="BL147" s="1075"/>
      <c r="BM147" s="1075"/>
      <c r="BN147" s="1075"/>
      <c r="BO147" s="1075"/>
      <c r="BP147" s="290"/>
      <c r="BQ147" s="907"/>
      <c r="BR147" s="131"/>
      <c r="BS147" s="131"/>
      <c r="BT147" s="164"/>
      <c r="BU147" s="123"/>
      <c r="BV147" s="35"/>
      <c r="BW147" s="1376"/>
      <c r="BX147" s="22">
        <f>BX170/BX89*4</f>
        <v>3.9119804400978002E-2</v>
      </c>
      <c r="BY147" s="22">
        <f>BX147</f>
        <v>3.9119804400978002E-2</v>
      </c>
      <c r="BZ147" s="142"/>
      <c r="CA147" s="22">
        <f>CA170/CA89*4</f>
        <v>3.8095238095238099E-2</v>
      </c>
      <c r="CB147" s="22">
        <f>CB170/CB89*4</f>
        <v>2.843601895734597E-2</v>
      </c>
      <c r="CC147" s="35">
        <f>CB147</f>
        <v>2.843601895734597E-2</v>
      </c>
      <c r="CD147" s="35">
        <f>CC147</f>
        <v>2.843601895734597E-2</v>
      </c>
      <c r="CE147" s="142"/>
      <c r="CF147" s="35">
        <f>CD147</f>
        <v>2.843601895734597E-2</v>
      </c>
      <c r="CG147" s="35">
        <f>CF147</f>
        <v>2.843601895734597E-2</v>
      </c>
      <c r="CH147" s="35">
        <f>CG147</f>
        <v>2.843601895734597E-2</v>
      </c>
      <c r="CI147" s="35">
        <f>CH147</f>
        <v>2.843601895734597E-2</v>
      </c>
      <c r="CJ147" s="142"/>
      <c r="CK147" s="35"/>
      <c r="CL147" s="131"/>
      <c r="CM147" s="131"/>
      <c r="CN147" s="131"/>
      <c r="CO147" s="142"/>
      <c r="CP147" s="1082"/>
      <c r="CQ147" s="131"/>
      <c r="CR147" s="131"/>
      <c r="CS147" s="131"/>
      <c r="CT147" s="142"/>
      <c r="CU147" s="1082"/>
      <c r="CV147" s="131"/>
      <c r="CW147" s="131"/>
      <c r="CX147" s="131"/>
      <c r="CY147" s="142"/>
      <c r="CZ147" s="1082"/>
      <c r="DA147" s="131"/>
      <c r="DB147" s="131"/>
      <c r="DC147" s="131"/>
      <c r="DD147" s="142"/>
      <c r="DE147" s="1082"/>
      <c r="DF147" s="131"/>
      <c r="DG147" s="131"/>
      <c r="DH147" s="131"/>
      <c r="DI147" s="142"/>
      <c r="DJ147" s="1082"/>
      <c r="DK147" s="131"/>
      <c r="DL147" s="131"/>
      <c r="DM147" s="131"/>
      <c r="DN147" s="142"/>
      <c r="DO147" s="1082"/>
      <c r="DP147" s="131"/>
      <c r="DQ147" s="131"/>
      <c r="DR147" s="131"/>
      <c r="DS147" s="142"/>
      <c r="DT147" s="1082"/>
      <c r="DU147" s="131"/>
      <c r="DV147" s="131"/>
      <c r="DW147" s="131"/>
      <c r="DX147" s="142"/>
      <c r="DY147" s="673"/>
      <c r="DZ147" s="673"/>
      <c r="EA147" s="673"/>
      <c r="EB147" s="673"/>
      <c r="EC147" s="673"/>
      <c r="ED147" s="673"/>
      <c r="EE147" s="673"/>
      <c r="EF147" s="673"/>
    </row>
    <row r="148" spans="1:136" hidden="1" outlineLevel="1" x14ac:dyDescent="0.2">
      <c r="A148" s="87" t="s">
        <v>631</v>
      </c>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45"/>
      <c r="AW148" s="38"/>
      <c r="AX148" s="38"/>
      <c r="AY148" s="38"/>
      <c r="AZ148" s="38"/>
      <c r="BA148" s="40"/>
      <c r="BB148" s="38"/>
      <c r="BC148" s="38"/>
      <c r="BD148" s="38"/>
      <c r="BE148" s="38"/>
      <c r="BF148" s="40"/>
      <c r="BG148" s="38"/>
      <c r="BH148" s="38"/>
      <c r="BI148" s="38"/>
      <c r="BJ148" s="38"/>
      <c r="BK148" s="123"/>
      <c r="BL148" s="1075"/>
      <c r="BM148" s="1075"/>
      <c r="BN148" s="1075"/>
      <c r="BO148" s="1075"/>
      <c r="BP148" s="290"/>
      <c r="BQ148" s="907"/>
      <c r="BR148" s="131"/>
      <c r="BS148" s="131"/>
      <c r="BT148" s="164">
        <v>4.2000000000000003E-2</v>
      </c>
      <c r="BU148" s="123">
        <f t="shared" si="573"/>
        <v>4.2000000000000003E-2</v>
      </c>
      <c r="BV148" s="126">
        <v>4.2000000000000003E-2</v>
      </c>
      <c r="BW148" s="1380">
        <v>4.2000000000000003E-2</v>
      </c>
      <c r="BX148" s="126">
        <v>4.2000000000000003E-2</v>
      </c>
      <c r="BY148" s="126">
        <v>4.2000000000000003E-2</v>
      </c>
      <c r="BZ148" s="127">
        <f t="shared" si="487"/>
        <v>4.2000000000000003E-2</v>
      </c>
      <c r="CA148" s="126">
        <v>4.2000000000000003E-2</v>
      </c>
      <c r="CB148" s="126">
        <v>4.2000000000000003E-2</v>
      </c>
      <c r="CC148" s="126">
        <v>4.2000000000000003E-2</v>
      </c>
      <c r="CD148" s="126">
        <v>4.2000000000000003E-2</v>
      </c>
      <c r="CE148" s="127">
        <f t="shared" ref="CE148:CE150" si="612">AVERAGE(CA148:CD148)</f>
        <v>4.2000000000000003E-2</v>
      </c>
      <c r="CF148" s="126">
        <v>4.2000000000000003E-2</v>
      </c>
      <c r="CG148" s="126">
        <v>4.2000000000000003E-2</v>
      </c>
      <c r="CH148" s="126">
        <v>4.2000000000000003E-2</v>
      </c>
      <c r="CI148" s="126">
        <v>4.2000000000000003E-2</v>
      </c>
      <c r="CJ148" s="127">
        <f t="shared" ref="CJ148:CJ150" si="613">AVERAGE(CF148:CI148)</f>
        <v>4.2000000000000003E-2</v>
      </c>
      <c r="CK148" s="126">
        <v>4.2000000000000003E-2</v>
      </c>
      <c r="CL148" s="299">
        <v>4.2000000000000003E-2</v>
      </c>
      <c r="CM148" s="299">
        <v>4.2000000000000003E-2</v>
      </c>
      <c r="CN148" s="299">
        <v>4.2000000000000003E-2</v>
      </c>
      <c r="CO148" s="127">
        <f t="shared" ref="CO148:CO150" si="614">AVERAGE(CK148:CN148)</f>
        <v>4.2000000000000003E-2</v>
      </c>
      <c r="CP148" s="299">
        <v>4.2000000000000003E-2</v>
      </c>
      <c r="CQ148" s="299">
        <v>4.2000000000000003E-2</v>
      </c>
      <c r="CR148" s="299">
        <v>4.2000000000000003E-2</v>
      </c>
      <c r="CS148" s="299">
        <v>4.2000000000000003E-2</v>
      </c>
      <c r="CT148" s="127">
        <f t="shared" ref="CT148:CT150" si="615">AVERAGE(CP148:CS148)</f>
        <v>4.2000000000000003E-2</v>
      </c>
      <c r="CU148" s="299">
        <v>4.2000000000000003E-2</v>
      </c>
      <c r="CV148" s="299">
        <v>4.2000000000000003E-2</v>
      </c>
      <c r="CW148" s="299">
        <v>4.2000000000000003E-2</v>
      </c>
      <c r="CX148" s="299">
        <v>4.2000000000000003E-2</v>
      </c>
      <c r="CY148" s="127">
        <f t="shared" ref="CY148:CY150" si="616">AVERAGE(CU148:CX148)</f>
        <v>4.2000000000000003E-2</v>
      </c>
      <c r="CZ148" s="299">
        <v>4.2000000000000003E-2</v>
      </c>
      <c r="DA148" s="299">
        <v>4.2000000000000003E-2</v>
      </c>
      <c r="DB148" s="299">
        <v>4.2000000000000003E-2</v>
      </c>
      <c r="DC148" s="299">
        <v>4.2000000000000003E-2</v>
      </c>
      <c r="DD148" s="127">
        <f t="shared" ref="DD148:DD150" si="617">AVERAGE(CZ148:DC148)</f>
        <v>4.2000000000000003E-2</v>
      </c>
      <c r="DE148" s="299">
        <v>4.2000000000000003E-2</v>
      </c>
      <c r="DF148" s="299">
        <v>4.2000000000000003E-2</v>
      </c>
      <c r="DG148" s="299">
        <v>4.2000000000000003E-2</v>
      </c>
      <c r="DH148" s="299">
        <v>4.2000000000000003E-2</v>
      </c>
      <c r="DI148" s="127">
        <f t="shared" ref="DI148:DI150" si="618">AVERAGE(DE148:DH148)</f>
        <v>4.2000000000000003E-2</v>
      </c>
      <c r="DJ148" s="299">
        <v>4.2000000000000003E-2</v>
      </c>
      <c r="DK148" s="299">
        <v>4.2000000000000003E-2</v>
      </c>
      <c r="DL148" s="299">
        <v>4.2000000000000003E-2</v>
      </c>
      <c r="DM148" s="299">
        <v>4.2000000000000003E-2</v>
      </c>
      <c r="DN148" s="127">
        <f t="shared" ref="DN148:DN150" si="619">AVERAGE(DJ148:DM148)</f>
        <v>4.2000000000000003E-2</v>
      </c>
      <c r="DO148" s="299">
        <v>4.2000000000000003E-2</v>
      </c>
      <c r="DP148" s="299">
        <v>4.2000000000000003E-2</v>
      </c>
      <c r="DQ148" s="299">
        <v>4.2000000000000003E-2</v>
      </c>
      <c r="DR148" s="299">
        <v>4.2000000000000003E-2</v>
      </c>
      <c r="DS148" s="127">
        <f t="shared" ref="DS148:DS150" si="620">AVERAGE(DO148:DR148)</f>
        <v>4.2000000000000003E-2</v>
      </c>
      <c r="DT148" s="299">
        <v>4.2000000000000003E-2</v>
      </c>
      <c r="DU148" s="299">
        <v>4.2000000000000003E-2</v>
      </c>
      <c r="DV148" s="299">
        <v>4.2000000000000003E-2</v>
      </c>
      <c r="DW148" s="299">
        <v>4.2000000000000003E-2</v>
      </c>
      <c r="DX148" s="127">
        <f t="shared" ref="DX148:DX150" si="621">AVERAGE(DT148:DW148)</f>
        <v>4.2000000000000003E-2</v>
      </c>
      <c r="DY148" s="673"/>
      <c r="DZ148" s="673"/>
      <c r="EA148" s="673"/>
      <c r="EB148" s="673"/>
      <c r="EC148" s="673"/>
      <c r="ED148" s="673"/>
      <c r="EE148" s="673"/>
      <c r="EF148" s="673"/>
    </row>
    <row r="149" spans="1:136" hidden="1" outlineLevel="1" x14ac:dyDescent="0.2">
      <c r="A149" s="87" t="s">
        <v>632</v>
      </c>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45"/>
      <c r="AW149" s="38"/>
      <c r="AX149" s="38"/>
      <c r="AY149" s="38"/>
      <c r="AZ149" s="38"/>
      <c r="BA149" s="40"/>
      <c r="BB149" s="38"/>
      <c r="BC149" s="38"/>
      <c r="BD149" s="38"/>
      <c r="BE149" s="38"/>
      <c r="BF149" s="40"/>
      <c r="BG149" s="38"/>
      <c r="BH149" s="38"/>
      <c r="BI149" s="38"/>
      <c r="BJ149" s="38"/>
      <c r="BK149" s="123"/>
      <c r="BL149" s="1075"/>
      <c r="BM149" s="1075"/>
      <c r="BN149" s="1075"/>
      <c r="BO149" s="1075"/>
      <c r="BP149" s="290"/>
      <c r="BQ149" s="907"/>
      <c r="BR149" s="131"/>
      <c r="BS149" s="131"/>
      <c r="BT149" s="164">
        <v>4.4999999999999998E-2</v>
      </c>
      <c r="BU149" s="123">
        <f t="shared" si="573"/>
        <v>4.4999999999999998E-2</v>
      </c>
      <c r="BV149" s="126">
        <v>5.3999999999999999E-2</v>
      </c>
      <c r="BW149" s="1380">
        <v>5.3999999999999999E-2</v>
      </c>
      <c r="BX149" s="126">
        <v>5.3999999999999999E-2</v>
      </c>
      <c r="BY149" s="126">
        <v>5.3999999999999999E-2</v>
      </c>
      <c r="BZ149" s="127">
        <f t="shared" si="487"/>
        <v>5.3999999999999999E-2</v>
      </c>
      <c r="CA149" s="126">
        <v>5.3999999999999999E-2</v>
      </c>
      <c r="CB149" s="126">
        <v>5.3999999999999999E-2</v>
      </c>
      <c r="CC149" s="126">
        <v>5.3999999999999999E-2</v>
      </c>
      <c r="CD149" s="126">
        <v>5.3999999999999999E-2</v>
      </c>
      <c r="CE149" s="127">
        <f t="shared" si="612"/>
        <v>5.3999999999999999E-2</v>
      </c>
      <c r="CF149" s="126">
        <v>5.3999999999999999E-2</v>
      </c>
      <c r="CG149" s="126">
        <v>5.3999999999999999E-2</v>
      </c>
      <c r="CH149" s="126">
        <v>5.3999999999999999E-2</v>
      </c>
      <c r="CI149" s="126">
        <v>5.3999999999999999E-2</v>
      </c>
      <c r="CJ149" s="127">
        <f t="shared" si="613"/>
        <v>5.3999999999999999E-2</v>
      </c>
      <c r="CK149" s="126">
        <v>5.3999999999999999E-2</v>
      </c>
      <c r="CL149" s="299">
        <v>5.3999999999999999E-2</v>
      </c>
      <c r="CM149" s="299">
        <v>5.3999999999999999E-2</v>
      </c>
      <c r="CN149" s="299">
        <v>5.3999999999999999E-2</v>
      </c>
      <c r="CO149" s="127">
        <f t="shared" si="614"/>
        <v>5.3999999999999999E-2</v>
      </c>
      <c r="CP149" s="299">
        <v>5.3999999999999999E-2</v>
      </c>
      <c r="CQ149" s="299">
        <v>5.3999999999999999E-2</v>
      </c>
      <c r="CR149" s="299">
        <v>5.3999999999999999E-2</v>
      </c>
      <c r="CS149" s="299">
        <v>5.3999999999999999E-2</v>
      </c>
      <c r="CT149" s="127">
        <f t="shared" si="615"/>
        <v>5.3999999999999999E-2</v>
      </c>
      <c r="CU149" s="299">
        <v>5.3999999999999999E-2</v>
      </c>
      <c r="CV149" s="299">
        <v>5.3999999999999999E-2</v>
      </c>
      <c r="CW149" s="299">
        <v>5.3999999999999999E-2</v>
      </c>
      <c r="CX149" s="299">
        <v>5.3999999999999999E-2</v>
      </c>
      <c r="CY149" s="127">
        <f t="shared" si="616"/>
        <v>5.3999999999999999E-2</v>
      </c>
      <c r="CZ149" s="299">
        <v>5.3999999999999999E-2</v>
      </c>
      <c r="DA149" s="299">
        <v>5.3999999999999999E-2</v>
      </c>
      <c r="DB149" s="299">
        <v>5.3999999999999999E-2</v>
      </c>
      <c r="DC149" s="299">
        <v>5.3999999999999999E-2</v>
      </c>
      <c r="DD149" s="127">
        <f t="shared" si="617"/>
        <v>5.3999999999999999E-2</v>
      </c>
      <c r="DE149" s="299">
        <v>5.3999999999999999E-2</v>
      </c>
      <c r="DF149" s="299">
        <v>5.3999999999999999E-2</v>
      </c>
      <c r="DG149" s="299">
        <v>5.3999999999999999E-2</v>
      </c>
      <c r="DH149" s="299">
        <v>5.3999999999999999E-2</v>
      </c>
      <c r="DI149" s="127">
        <f t="shared" si="618"/>
        <v>5.3999999999999999E-2</v>
      </c>
      <c r="DJ149" s="299">
        <v>5.3999999999999999E-2</v>
      </c>
      <c r="DK149" s="299">
        <v>5.3999999999999999E-2</v>
      </c>
      <c r="DL149" s="299">
        <v>5.3999999999999999E-2</v>
      </c>
      <c r="DM149" s="299">
        <v>5.3999999999999999E-2</v>
      </c>
      <c r="DN149" s="127">
        <f t="shared" si="619"/>
        <v>5.3999999999999999E-2</v>
      </c>
      <c r="DO149" s="299">
        <v>5.3999999999999999E-2</v>
      </c>
      <c r="DP149" s="299">
        <v>5.3999999999999999E-2</v>
      </c>
      <c r="DQ149" s="299">
        <v>5.3999999999999999E-2</v>
      </c>
      <c r="DR149" s="299">
        <v>5.3999999999999999E-2</v>
      </c>
      <c r="DS149" s="127">
        <f t="shared" si="620"/>
        <v>5.3999999999999999E-2</v>
      </c>
      <c r="DT149" s="299">
        <v>5.3999999999999999E-2</v>
      </c>
      <c r="DU149" s="299">
        <v>5.3999999999999999E-2</v>
      </c>
      <c r="DV149" s="299">
        <v>5.3999999999999999E-2</v>
      </c>
      <c r="DW149" s="299">
        <v>5.3999999999999999E-2</v>
      </c>
      <c r="DX149" s="127">
        <f t="shared" si="621"/>
        <v>5.3999999999999999E-2</v>
      </c>
      <c r="DY149" s="673"/>
      <c r="DZ149" s="673"/>
      <c r="EA149" s="673"/>
      <c r="EB149" s="673"/>
      <c r="EC149" s="673"/>
      <c r="ED149" s="673"/>
      <c r="EE149" s="673"/>
      <c r="EF149" s="673"/>
    </row>
    <row r="150" spans="1:136" hidden="1" outlineLevel="1" x14ac:dyDescent="0.2">
      <c r="A150" s="87" t="s">
        <v>633</v>
      </c>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45"/>
      <c r="AW150" s="38"/>
      <c r="AX150" s="38"/>
      <c r="AY150" s="38"/>
      <c r="AZ150" s="38"/>
      <c r="BA150" s="40"/>
      <c r="BB150" s="38"/>
      <c r="BC150" s="38"/>
      <c r="BD150" s="38"/>
      <c r="BE150" s="38"/>
      <c r="BF150" s="40"/>
      <c r="BG150" s="38"/>
      <c r="BH150" s="38"/>
      <c r="BI150" s="38"/>
      <c r="BJ150" s="38"/>
      <c r="BK150" s="123"/>
      <c r="BL150" s="1075"/>
      <c r="BM150" s="1075"/>
      <c r="BN150" s="1075"/>
      <c r="BO150" s="1075"/>
      <c r="BP150" s="290"/>
      <c r="BQ150" s="907"/>
      <c r="BR150" s="131"/>
      <c r="BS150" s="131"/>
      <c r="BT150" s="164">
        <v>2.9000000000000001E-2</v>
      </c>
      <c r="BU150" s="123">
        <f t="shared" si="573"/>
        <v>2.9000000000000001E-2</v>
      </c>
      <c r="BV150" s="126">
        <v>2.9000000000000001E-2</v>
      </c>
      <c r="BW150" s="1380">
        <v>2.9000000000000001E-2</v>
      </c>
      <c r="BX150" s="126">
        <v>2.9000000000000001E-2</v>
      </c>
      <c r="BY150" s="126">
        <v>2.9000000000000001E-2</v>
      </c>
      <c r="BZ150" s="127">
        <f t="shared" si="487"/>
        <v>2.9000000000000001E-2</v>
      </c>
      <c r="CA150" s="126">
        <v>2.9000000000000001E-2</v>
      </c>
      <c r="CB150" s="126">
        <v>2.9000000000000001E-2</v>
      </c>
      <c r="CC150" s="126">
        <v>2.9000000000000001E-2</v>
      </c>
      <c r="CD150" s="126">
        <v>2.9000000000000001E-2</v>
      </c>
      <c r="CE150" s="127">
        <f t="shared" si="612"/>
        <v>2.9000000000000001E-2</v>
      </c>
      <c r="CF150" s="126">
        <v>2.9000000000000001E-2</v>
      </c>
      <c r="CG150" s="126">
        <v>2.9000000000000001E-2</v>
      </c>
      <c r="CH150" s="126">
        <v>2.9000000000000001E-2</v>
      </c>
      <c r="CI150" s="126">
        <v>2.9000000000000001E-2</v>
      </c>
      <c r="CJ150" s="127">
        <f t="shared" si="613"/>
        <v>2.9000000000000001E-2</v>
      </c>
      <c r="CK150" s="126">
        <v>2.9000000000000001E-2</v>
      </c>
      <c r="CL150" s="299">
        <v>2.9000000000000001E-2</v>
      </c>
      <c r="CM150" s="299">
        <v>2.9000000000000001E-2</v>
      </c>
      <c r="CN150" s="299">
        <v>2.9000000000000001E-2</v>
      </c>
      <c r="CO150" s="127">
        <f t="shared" si="614"/>
        <v>2.9000000000000001E-2</v>
      </c>
      <c r="CP150" s="299">
        <v>2.9000000000000001E-2</v>
      </c>
      <c r="CQ150" s="299">
        <v>2.9000000000000001E-2</v>
      </c>
      <c r="CR150" s="299">
        <v>2.9000000000000001E-2</v>
      </c>
      <c r="CS150" s="299">
        <v>2.9000000000000001E-2</v>
      </c>
      <c r="CT150" s="127">
        <f t="shared" si="615"/>
        <v>2.9000000000000001E-2</v>
      </c>
      <c r="CU150" s="299">
        <v>2.9000000000000001E-2</v>
      </c>
      <c r="CV150" s="299">
        <v>2.9000000000000001E-2</v>
      </c>
      <c r="CW150" s="299">
        <v>2.9000000000000001E-2</v>
      </c>
      <c r="CX150" s="299">
        <v>2.9000000000000001E-2</v>
      </c>
      <c r="CY150" s="127">
        <f t="shared" si="616"/>
        <v>2.9000000000000001E-2</v>
      </c>
      <c r="CZ150" s="299">
        <v>2.9000000000000001E-2</v>
      </c>
      <c r="DA150" s="299">
        <v>2.9000000000000001E-2</v>
      </c>
      <c r="DB150" s="299">
        <v>2.9000000000000001E-2</v>
      </c>
      <c r="DC150" s="299">
        <v>2.9000000000000001E-2</v>
      </c>
      <c r="DD150" s="127">
        <f t="shared" si="617"/>
        <v>2.9000000000000001E-2</v>
      </c>
      <c r="DE150" s="299">
        <v>2.9000000000000001E-2</v>
      </c>
      <c r="DF150" s="299">
        <v>2.9000000000000001E-2</v>
      </c>
      <c r="DG150" s="299">
        <v>2.9000000000000001E-2</v>
      </c>
      <c r="DH150" s="299">
        <v>2.9000000000000001E-2</v>
      </c>
      <c r="DI150" s="127">
        <f t="shared" si="618"/>
        <v>2.9000000000000001E-2</v>
      </c>
      <c r="DJ150" s="299">
        <v>2.9000000000000001E-2</v>
      </c>
      <c r="DK150" s="299">
        <v>2.9000000000000001E-2</v>
      </c>
      <c r="DL150" s="299">
        <v>2.9000000000000001E-2</v>
      </c>
      <c r="DM150" s="299">
        <v>2.9000000000000001E-2</v>
      </c>
      <c r="DN150" s="127">
        <f t="shared" si="619"/>
        <v>2.9000000000000001E-2</v>
      </c>
      <c r="DO150" s="299">
        <v>2.9000000000000001E-2</v>
      </c>
      <c r="DP150" s="299">
        <v>2.9000000000000001E-2</v>
      </c>
      <c r="DQ150" s="299">
        <v>2.9000000000000001E-2</v>
      </c>
      <c r="DR150" s="299">
        <v>2.9000000000000001E-2</v>
      </c>
      <c r="DS150" s="127">
        <f t="shared" si="620"/>
        <v>2.9000000000000001E-2</v>
      </c>
      <c r="DT150" s="299">
        <v>2.9000000000000001E-2</v>
      </c>
      <c r="DU150" s="299">
        <v>2.9000000000000001E-2</v>
      </c>
      <c r="DV150" s="299">
        <v>2.9000000000000001E-2</v>
      </c>
      <c r="DW150" s="299">
        <v>2.9000000000000001E-2</v>
      </c>
      <c r="DX150" s="127">
        <f t="shared" si="621"/>
        <v>2.9000000000000001E-2</v>
      </c>
      <c r="DY150" s="673"/>
      <c r="DZ150" s="673"/>
      <c r="EA150" s="673"/>
      <c r="EB150" s="673"/>
      <c r="EC150" s="673"/>
      <c r="ED150" s="673"/>
      <c r="EE150" s="673"/>
      <c r="EF150" s="673"/>
    </row>
    <row r="151" spans="1:136" hidden="1" outlineLevel="2" x14ac:dyDescent="0.2">
      <c r="A151" s="87" t="s">
        <v>177</v>
      </c>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45"/>
      <c r="AW151" s="38"/>
      <c r="AX151" s="38"/>
      <c r="AY151" s="38"/>
      <c r="AZ151" s="38"/>
      <c r="BA151" s="40"/>
      <c r="BB151" s="38"/>
      <c r="BC151" s="38"/>
      <c r="BD151" s="38"/>
      <c r="BE151" s="38"/>
      <c r="BF151" s="40"/>
      <c r="BG151" s="38"/>
      <c r="BH151" s="38"/>
      <c r="BI151" s="38"/>
      <c r="BJ151" s="38"/>
      <c r="BK151" s="123">
        <v>2.5624999999999998E-2</v>
      </c>
      <c r="BL151" s="38"/>
      <c r="BM151" s="38"/>
      <c r="BN151" s="38"/>
      <c r="BO151" s="38"/>
      <c r="BP151" s="290">
        <v>2.5000000000000001E-2</v>
      </c>
      <c r="BQ151" s="907">
        <f>BP151</f>
        <v>2.5000000000000001E-2</v>
      </c>
      <c r="BR151" s="131">
        <f>BQ151</f>
        <v>2.5000000000000001E-2</v>
      </c>
      <c r="BS151" s="131">
        <f t="shared" ref="BS151:BS155" si="622">BR151</f>
        <v>2.5000000000000001E-2</v>
      </c>
      <c r="BT151" s="908"/>
      <c r="BU151" s="290"/>
      <c r="BV151" s="124"/>
      <c r="BW151" s="1376"/>
      <c r="BX151" s="38"/>
      <c r="BY151" s="38"/>
      <c r="BZ151" s="1061"/>
      <c r="CA151" s="124"/>
      <c r="CB151" s="124"/>
      <c r="CC151" s="38"/>
      <c r="CD151" s="38"/>
      <c r="CE151" s="1061"/>
      <c r="CF151" s="124"/>
      <c r="CG151" s="124"/>
      <c r="CH151" s="38"/>
      <c r="CI151" s="38"/>
      <c r="CJ151" s="1061"/>
      <c r="CK151" s="124"/>
      <c r="CL151" s="131"/>
      <c r="CM151" s="38"/>
      <c r="CN151" s="38"/>
      <c r="CO151" s="1061"/>
      <c r="CP151" s="131"/>
      <c r="CQ151" s="131"/>
      <c r="CR151" s="38"/>
      <c r="CS151" s="38"/>
      <c r="CT151" s="1061"/>
      <c r="CU151" s="131"/>
      <c r="CV151" s="131"/>
      <c r="CW151" s="38"/>
      <c r="CX151" s="38"/>
      <c r="CY151" s="1061"/>
      <c r="CZ151" s="131"/>
      <c r="DA151" s="131"/>
      <c r="DB151" s="38"/>
      <c r="DC151" s="38"/>
      <c r="DD151" s="1061"/>
      <c r="DE151" s="131"/>
      <c r="DF151" s="131"/>
      <c r="DG151" s="38"/>
      <c r="DH151" s="38"/>
      <c r="DI151" s="1061"/>
      <c r="DJ151" s="131"/>
      <c r="DK151" s="131"/>
      <c r="DL151" s="38"/>
      <c r="DM151" s="38"/>
      <c r="DN151" s="1061"/>
      <c r="DO151" s="131"/>
      <c r="DP151" s="131"/>
      <c r="DQ151" s="38"/>
      <c r="DR151" s="38"/>
      <c r="DS151" s="1061"/>
      <c r="DT151" s="131"/>
      <c r="DU151" s="131"/>
      <c r="DV151" s="38"/>
      <c r="DW151" s="38"/>
      <c r="DX151" s="1061"/>
      <c r="DY151" s="673"/>
      <c r="DZ151" s="673"/>
      <c r="EA151" s="673"/>
      <c r="EB151" s="673"/>
      <c r="EC151" s="673"/>
      <c r="ED151" s="673"/>
      <c r="EE151" s="673"/>
      <c r="EF151" s="673"/>
    </row>
    <row r="152" spans="1:136" hidden="1" outlineLevel="2" x14ac:dyDescent="0.2">
      <c r="A152" s="87" t="s">
        <v>465</v>
      </c>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45"/>
      <c r="AW152" s="38"/>
      <c r="AX152" s="38"/>
      <c r="AY152" s="38"/>
      <c r="AZ152" s="38"/>
      <c r="BA152" s="40"/>
      <c r="BB152" s="38"/>
      <c r="BC152" s="38"/>
      <c r="BD152" s="38"/>
      <c r="BE152" s="38"/>
      <c r="BF152" s="40"/>
      <c r="BG152" s="38"/>
      <c r="BH152" s="38"/>
      <c r="BI152" s="38"/>
      <c r="BJ152" s="38"/>
      <c r="BK152" s="123">
        <v>3.7499999999999999E-2</v>
      </c>
      <c r="BL152" s="38"/>
      <c r="BM152" s="38"/>
      <c r="BN152" s="38"/>
      <c r="BO152" s="38"/>
      <c r="BP152" s="290">
        <v>3.7499999999999999E-2</v>
      </c>
      <c r="BQ152" s="907">
        <f>BP152</f>
        <v>3.7499999999999999E-2</v>
      </c>
      <c r="BR152" s="131">
        <f>BQ152</f>
        <v>3.7499999999999999E-2</v>
      </c>
      <c r="BS152" s="131">
        <f t="shared" si="622"/>
        <v>3.7499999999999999E-2</v>
      </c>
      <c r="BT152" s="908"/>
      <c r="BU152" s="290"/>
      <c r="BV152" s="124"/>
      <c r="BW152" s="1376"/>
      <c r="BX152" s="38"/>
      <c r="BY152" s="38"/>
      <c r="BZ152" s="290"/>
      <c r="CA152" s="124"/>
      <c r="CB152" s="124"/>
      <c r="CC152" s="38"/>
      <c r="CD152" s="38"/>
      <c r="CE152" s="290"/>
      <c r="CF152" s="124"/>
      <c r="CG152" s="124"/>
      <c r="CH152" s="38"/>
      <c r="CI152" s="38"/>
      <c r="CJ152" s="290"/>
      <c r="CK152" s="124"/>
      <c r="CL152" s="131"/>
      <c r="CM152" s="38"/>
      <c r="CN152" s="38"/>
      <c r="CO152" s="290"/>
      <c r="CP152" s="131"/>
      <c r="CQ152" s="131"/>
      <c r="CR152" s="38"/>
      <c r="CS152" s="38"/>
      <c r="CT152" s="290"/>
      <c r="CU152" s="131"/>
      <c r="CV152" s="131"/>
      <c r="CW152" s="38"/>
      <c r="CX152" s="38"/>
      <c r="CY152" s="290"/>
      <c r="CZ152" s="131"/>
      <c r="DA152" s="131"/>
      <c r="DB152" s="38"/>
      <c r="DC152" s="38"/>
      <c r="DD152" s="290"/>
      <c r="DE152" s="131"/>
      <c r="DF152" s="131"/>
      <c r="DG152" s="38"/>
      <c r="DH152" s="38"/>
      <c r="DI152" s="290"/>
      <c r="DJ152" s="131"/>
      <c r="DK152" s="131"/>
      <c r="DL152" s="38"/>
      <c r="DM152" s="38"/>
      <c r="DN152" s="290"/>
      <c r="DO152" s="131"/>
      <c r="DP152" s="131"/>
      <c r="DQ152" s="38"/>
      <c r="DR152" s="38"/>
      <c r="DS152" s="290"/>
      <c r="DT152" s="131"/>
      <c r="DU152" s="131"/>
      <c r="DV152" s="38"/>
      <c r="DW152" s="38"/>
      <c r="DX152" s="290"/>
      <c r="DY152" s="673"/>
      <c r="DZ152" s="673"/>
      <c r="EA152" s="673"/>
      <c r="EB152" s="673"/>
      <c r="EC152" s="673"/>
      <c r="ED152" s="673"/>
      <c r="EE152" s="673"/>
      <c r="EF152" s="673"/>
    </row>
    <row r="153" spans="1:136" hidden="1" outlineLevel="2" x14ac:dyDescent="0.2">
      <c r="A153" s="87" t="s">
        <v>466</v>
      </c>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45"/>
      <c r="AW153" s="38"/>
      <c r="AX153" s="38"/>
      <c r="AY153" s="38"/>
      <c r="AZ153" s="38"/>
      <c r="BA153" s="40"/>
      <c r="BB153" s="38"/>
      <c r="BC153" s="38"/>
      <c r="BD153" s="38"/>
      <c r="BE153" s="38"/>
      <c r="BF153" s="40"/>
      <c r="BG153" s="38"/>
      <c r="BH153" s="38"/>
      <c r="BI153" s="38"/>
      <c r="BJ153" s="38"/>
      <c r="BK153" s="123"/>
      <c r="BL153" s="38"/>
      <c r="BM153" s="38"/>
      <c r="BN153" s="38"/>
      <c r="BO153" s="38"/>
      <c r="BP153" s="290"/>
      <c r="BQ153" s="907"/>
      <c r="BR153" s="131"/>
      <c r="BS153" s="131"/>
      <c r="BT153" s="908"/>
      <c r="BU153" s="290"/>
      <c r="BV153" s="124"/>
      <c r="BW153" s="1376"/>
      <c r="BX153" s="38"/>
      <c r="BY153" s="38"/>
      <c r="BZ153" s="290"/>
      <c r="CA153" s="124"/>
      <c r="CB153" s="124"/>
      <c r="CC153" s="38"/>
      <c r="CD153" s="38"/>
      <c r="CE153" s="290"/>
      <c r="CF153" s="124"/>
      <c r="CG153" s="124"/>
      <c r="CH153" s="38"/>
      <c r="CI153" s="38"/>
      <c r="CJ153" s="290"/>
      <c r="CK153" s="124"/>
      <c r="CL153" s="131"/>
      <c r="CM153" s="38"/>
      <c r="CN153" s="38"/>
      <c r="CO153" s="290"/>
      <c r="CP153" s="131"/>
      <c r="CQ153" s="131"/>
      <c r="CR153" s="38"/>
      <c r="CS153" s="38"/>
      <c r="CT153" s="290"/>
      <c r="CU153" s="131"/>
      <c r="CV153" s="131"/>
      <c r="CW153" s="38"/>
      <c r="CX153" s="38"/>
      <c r="CY153" s="290"/>
      <c r="CZ153" s="131"/>
      <c r="DA153" s="131"/>
      <c r="DB153" s="38"/>
      <c r="DC153" s="38"/>
      <c r="DD153" s="290"/>
      <c r="DE153" s="131"/>
      <c r="DF153" s="131"/>
      <c r="DG153" s="38"/>
      <c r="DH153" s="38"/>
      <c r="DI153" s="290"/>
      <c r="DJ153" s="131"/>
      <c r="DK153" s="131"/>
      <c r="DL153" s="38"/>
      <c r="DM153" s="38"/>
      <c r="DN153" s="290"/>
      <c r="DO153" s="131"/>
      <c r="DP153" s="131"/>
      <c r="DQ153" s="38"/>
      <c r="DR153" s="38"/>
      <c r="DS153" s="290"/>
      <c r="DT153" s="131"/>
      <c r="DU153" s="131"/>
      <c r="DV153" s="38"/>
      <c r="DW153" s="38"/>
      <c r="DX153" s="290"/>
      <c r="DY153" s="673"/>
      <c r="DZ153" s="673"/>
      <c r="EA153" s="673"/>
      <c r="EB153" s="673"/>
      <c r="EC153" s="673"/>
      <c r="ED153" s="673"/>
      <c r="EE153" s="673"/>
      <c r="EF153" s="673"/>
    </row>
    <row r="154" spans="1:136" hidden="1" outlineLevel="2" x14ac:dyDescent="0.2">
      <c r="A154" s="87" t="s">
        <v>467</v>
      </c>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45"/>
      <c r="AW154" s="38"/>
      <c r="AX154" s="38"/>
      <c r="AY154" s="38"/>
      <c r="AZ154" s="38"/>
      <c r="BA154" s="40"/>
      <c r="BB154" s="38"/>
      <c r="BC154" s="38"/>
      <c r="BD154" s="38"/>
      <c r="BE154" s="38"/>
      <c r="BF154" s="40"/>
      <c r="BG154" s="38"/>
      <c r="BH154" s="38"/>
      <c r="BI154" s="38"/>
      <c r="BJ154" s="38"/>
      <c r="BK154" s="123"/>
      <c r="BL154" s="38"/>
      <c r="BM154" s="38"/>
      <c r="BN154" s="38"/>
      <c r="BO154" s="38"/>
      <c r="BP154" s="290">
        <v>9.8750000000000004E-2</v>
      </c>
      <c r="BQ154" s="907">
        <f>BP154</f>
        <v>9.8750000000000004E-2</v>
      </c>
      <c r="BR154" s="131">
        <f>BQ154</f>
        <v>9.8750000000000004E-2</v>
      </c>
      <c r="BS154" s="131">
        <f t="shared" si="622"/>
        <v>9.8750000000000004E-2</v>
      </c>
      <c r="BT154" s="908"/>
      <c r="BU154" s="290"/>
      <c r="BV154" s="124"/>
      <c r="BW154" s="1376"/>
      <c r="BX154" s="38"/>
      <c r="BY154" s="38"/>
      <c r="BZ154" s="290"/>
      <c r="CA154" s="124"/>
      <c r="CB154" s="124"/>
      <c r="CC154" s="38"/>
      <c r="CD154" s="38"/>
      <c r="CE154" s="290"/>
      <c r="CF154" s="124"/>
      <c r="CG154" s="124"/>
      <c r="CH154" s="38"/>
      <c r="CI154" s="38"/>
      <c r="CJ154" s="290"/>
      <c r="CK154" s="124"/>
      <c r="CL154" s="131"/>
      <c r="CM154" s="38"/>
      <c r="CN154" s="38"/>
      <c r="CO154" s="290"/>
      <c r="CP154" s="131"/>
      <c r="CQ154" s="131"/>
      <c r="CR154" s="38"/>
      <c r="CS154" s="38"/>
      <c r="CT154" s="290"/>
      <c r="CU154" s="131"/>
      <c r="CV154" s="131"/>
      <c r="CW154" s="38"/>
      <c r="CX154" s="38"/>
      <c r="CY154" s="290"/>
      <c r="CZ154" s="131"/>
      <c r="DA154" s="131"/>
      <c r="DB154" s="38"/>
      <c r="DC154" s="38"/>
      <c r="DD154" s="290"/>
      <c r="DE154" s="131"/>
      <c r="DF154" s="131"/>
      <c r="DG154" s="38"/>
      <c r="DH154" s="38"/>
      <c r="DI154" s="290"/>
      <c r="DJ154" s="131"/>
      <c r="DK154" s="131"/>
      <c r="DL154" s="38"/>
      <c r="DM154" s="38"/>
      <c r="DN154" s="290"/>
      <c r="DO154" s="131"/>
      <c r="DP154" s="131"/>
      <c r="DQ154" s="38"/>
      <c r="DR154" s="38"/>
      <c r="DS154" s="290"/>
      <c r="DT154" s="131"/>
      <c r="DU154" s="131"/>
      <c r="DV154" s="38"/>
      <c r="DW154" s="38"/>
      <c r="DX154" s="290"/>
      <c r="DY154" s="673"/>
      <c r="DZ154" s="673"/>
      <c r="EA154" s="673"/>
      <c r="EB154" s="673"/>
      <c r="EC154" s="673"/>
      <c r="ED154" s="673"/>
      <c r="EE154" s="673"/>
      <c r="EF154" s="673"/>
    </row>
    <row r="155" spans="1:136" hidden="1" outlineLevel="2" x14ac:dyDescent="0.2">
      <c r="A155" s="87" t="s">
        <v>468</v>
      </c>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45"/>
      <c r="AW155" s="38"/>
      <c r="AX155" s="38"/>
      <c r="AY155" s="38"/>
      <c r="AZ155" s="38"/>
      <c r="BA155" s="40"/>
      <c r="BB155" s="38"/>
      <c r="BC155" s="38"/>
      <c r="BD155" s="38"/>
      <c r="BE155" s="38"/>
      <c r="BF155" s="40"/>
      <c r="BG155" s="38"/>
      <c r="BH155" s="38"/>
      <c r="BI155" s="38"/>
      <c r="BJ155" s="38"/>
      <c r="BK155" s="123"/>
      <c r="BL155" s="38"/>
      <c r="BM155" s="38"/>
      <c r="BN155" s="38"/>
      <c r="BO155" s="38"/>
      <c r="BP155" s="290">
        <v>0.11</v>
      </c>
      <c r="BQ155" s="907">
        <f>BP155</f>
        <v>0.11</v>
      </c>
      <c r="BR155" s="131">
        <f>BQ155</f>
        <v>0.11</v>
      </c>
      <c r="BS155" s="131">
        <f t="shared" si="622"/>
        <v>0.11</v>
      </c>
      <c r="BT155" s="908"/>
      <c r="BU155" s="290"/>
      <c r="BV155" s="124"/>
      <c r="BW155" s="1376"/>
      <c r="BX155" s="38"/>
      <c r="BY155" s="38"/>
      <c r="BZ155" s="290"/>
      <c r="CA155" s="124"/>
      <c r="CB155" s="124"/>
      <c r="CC155" s="38"/>
      <c r="CD155" s="38"/>
      <c r="CE155" s="290"/>
      <c r="CF155" s="124"/>
      <c r="CG155" s="124"/>
      <c r="CH155" s="38"/>
      <c r="CI155" s="38"/>
      <c r="CJ155" s="290"/>
      <c r="CK155" s="124"/>
      <c r="CL155" s="131"/>
      <c r="CM155" s="38"/>
      <c r="CN155" s="38"/>
      <c r="CO155" s="290"/>
      <c r="CP155" s="131"/>
      <c r="CQ155" s="131"/>
      <c r="CR155" s="38"/>
      <c r="CS155" s="38"/>
      <c r="CT155" s="290"/>
      <c r="CU155" s="131"/>
      <c r="CV155" s="131"/>
      <c r="CW155" s="38"/>
      <c r="CX155" s="38"/>
      <c r="CY155" s="290"/>
      <c r="CZ155" s="131"/>
      <c r="DA155" s="131"/>
      <c r="DB155" s="38"/>
      <c r="DC155" s="38"/>
      <c r="DD155" s="290"/>
      <c r="DE155" s="131"/>
      <c r="DF155" s="131"/>
      <c r="DG155" s="38"/>
      <c r="DH155" s="38"/>
      <c r="DI155" s="290"/>
      <c r="DJ155" s="131"/>
      <c r="DK155" s="131"/>
      <c r="DL155" s="38"/>
      <c r="DM155" s="38"/>
      <c r="DN155" s="290"/>
      <c r="DO155" s="131"/>
      <c r="DP155" s="131"/>
      <c r="DQ155" s="38"/>
      <c r="DR155" s="38"/>
      <c r="DS155" s="290"/>
      <c r="DT155" s="131"/>
      <c r="DU155" s="131"/>
      <c r="DV155" s="38"/>
      <c r="DW155" s="38"/>
      <c r="DX155" s="290"/>
      <c r="DY155" s="673"/>
      <c r="DZ155" s="673"/>
      <c r="EA155" s="673"/>
      <c r="EB155" s="673"/>
      <c r="EC155" s="673"/>
      <c r="ED155" s="673"/>
      <c r="EE155" s="673"/>
      <c r="EF155" s="673"/>
    </row>
    <row r="156" spans="1:136" hidden="1" outlineLevel="1" collapsed="1" x14ac:dyDescent="0.2">
      <c r="A156" s="87" t="s">
        <v>116</v>
      </c>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45"/>
      <c r="AW156" s="38"/>
      <c r="AX156" s="38"/>
      <c r="AY156" s="38"/>
      <c r="AZ156" s="38"/>
      <c r="BA156" s="40"/>
      <c r="BB156" s="38"/>
      <c r="BC156" s="38"/>
      <c r="BD156" s="38"/>
      <c r="BE156" s="38"/>
      <c r="BF156" s="40"/>
      <c r="BG156" s="38"/>
      <c r="BH156" s="38"/>
      <c r="BI156" s="38"/>
      <c r="BJ156" s="38"/>
      <c r="BK156" s="123"/>
      <c r="BL156" s="22">
        <f>BL182/AVERAGE(BK106:BL106)*4</f>
        <v>6.5911431513903204E-2</v>
      </c>
      <c r="BM156" s="22">
        <f>BM182/AVERAGE(BL106:BM106)*4</f>
        <v>7.2961373390557929E-2</v>
      </c>
      <c r="BN156" s="22">
        <f>BN182/AVERAGE(BM106:BN106)*4</f>
        <v>7.0953436807095357E-2</v>
      </c>
      <c r="BO156" s="22">
        <f>BO182/AVERAGE(BN106:BO106)*4</f>
        <v>6.8571428571428575E-2</v>
      </c>
      <c r="BP156" s="123">
        <f>BP182/AVERAGE(BL106:BO106)</f>
        <v>7.0835639180962931E-2</v>
      </c>
      <c r="BQ156" s="907">
        <v>7.0000000000000007E-2</v>
      </c>
      <c r="BR156" s="131">
        <v>7.0000000000000007E-2</v>
      </c>
      <c r="BS156" s="131">
        <v>7.0000000000000007E-2</v>
      </c>
      <c r="BT156" s="908"/>
      <c r="BU156" s="123"/>
      <c r="BV156" s="1260">
        <v>7.0000000000000007E-2</v>
      </c>
      <c r="BW156" s="1376">
        <v>7.0000000000000007E-2</v>
      </c>
      <c r="BX156" s="124">
        <f>BX182/BX108*4</f>
        <v>0.10197210197210196</v>
      </c>
      <c r="BY156" s="124">
        <f>BX156</f>
        <v>0.10197210197210196</v>
      </c>
      <c r="BZ156" s="123">
        <f>BZ182/AVERAGE(BV106:BY106)</f>
        <v>8.9826750274919445E-2</v>
      </c>
      <c r="CA156" s="124">
        <f>CA182/CA108*4</f>
        <v>8.98876404494382E-2</v>
      </c>
      <c r="CB156" s="124">
        <f>CB182/CB108*4</f>
        <v>9.4517958412098299E-2</v>
      </c>
      <c r="CC156" s="124">
        <f>CB156</f>
        <v>9.4517958412098299E-2</v>
      </c>
      <c r="CD156" s="124">
        <f>CC156</f>
        <v>9.4517958412098299E-2</v>
      </c>
      <c r="CE156" s="123">
        <f>CE182/AVERAGE(CA106:CD106)</f>
        <v>8.8215070949317284E-2</v>
      </c>
      <c r="CF156" s="122">
        <v>7.0000000000000007E-2</v>
      </c>
      <c r="CG156" s="22">
        <v>7.0000000000000007E-2</v>
      </c>
      <c r="CH156" s="22">
        <v>7.0000000000000007E-2</v>
      </c>
      <c r="CI156" s="22">
        <v>7.0000000000000007E-2</v>
      </c>
      <c r="CJ156" s="123">
        <f>CJ182/AVERAGE(CF106:CI106)</f>
        <v>7.3552631578947369E-2</v>
      </c>
      <c r="CK156" s="122">
        <v>7.0000000000000007E-2</v>
      </c>
      <c r="CL156" s="130">
        <v>7.0000000000000007E-2</v>
      </c>
      <c r="CM156" s="130">
        <v>7.0000000000000007E-2</v>
      </c>
      <c r="CN156" s="130">
        <v>7.0000000000000007E-2</v>
      </c>
      <c r="CO156" s="123">
        <f>CO182/AVERAGE(CK106:CN106)</f>
        <v>7.0000000000000007E-2</v>
      </c>
      <c r="CP156" s="199">
        <v>7.0000000000000007E-2</v>
      </c>
      <c r="CQ156" s="130">
        <v>7.0000000000000007E-2</v>
      </c>
      <c r="CR156" s="130">
        <v>7.0000000000000007E-2</v>
      </c>
      <c r="CS156" s="130">
        <v>7.0000000000000007E-2</v>
      </c>
      <c r="CT156" s="123">
        <f>CT182/AVERAGE(CP106:CS106)</f>
        <v>7.0000000000000007E-2</v>
      </c>
      <c r="CU156" s="199">
        <v>7.0000000000000007E-2</v>
      </c>
      <c r="CV156" s="130">
        <v>7.0000000000000007E-2</v>
      </c>
      <c r="CW156" s="130">
        <v>7.0000000000000007E-2</v>
      </c>
      <c r="CX156" s="130">
        <v>7.0000000000000007E-2</v>
      </c>
      <c r="CY156" s="123">
        <f>CY182/AVERAGE(CU106:CX106)</f>
        <v>7.0000000000000007E-2</v>
      </c>
      <c r="CZ156" s="199">
        <v>7.0000000000000007E-2</v>
      </c>
      <c r="DA156" s="130">
        <v>7.0000000000000007E-2</v>
      </c>
      <c r="DB156" s="130">
        <v>7.0000000000000007E-2</v>
      </c>
      <c r="DC156" s="130">
        <v>7.0000000000000007E-2</v>
      </c>
      <c r="DD156" s="123">
        <f>DD182/AVERAGE(CZ106:DC106)</f>
        <v>7.0000000000000007E-2</v>
      </c>
      <c r="DE156" s="199">
        <v>7.0000000000000007E-2</v>
      </c>
      <c r="DF156" s="130">
        <v>7.0000000000000007E-2</v>
      </c>
      <c r="DG156" s="130">
        <v>7.0000000000000007E-2</v>
      </c>
      <c r="DH156" s="130">
        <v>7.0000000000000007E-2</v>
      </c>
      <c r="DI156" s="123">
        <f>DI182/AVERAGE(DE106:DH106)</f>
        <v>7.0000000000000007E-2</v>
      </c>
      <c r="DJ156" s="199">
        <v>7.0000000000000007E-2</v>
      </c>
      <c r="DK156" s="130">
        <v>7.0000000000000007E-2</v>
      </c>
      <c r="DL156" s="130">
        <v>7.0000000000000007E-2</v>
      </c>
      <c r="DM156" s="130">
        <v>7.0000000000000007E-2</v>
      </c>
      <c r="DN156" s="123">
        <f>DN182/AVERAGE(DJ106:DM106)</f>
        <v>7.0000000000000007E-2</v>
      </c>
      <c r="DO156" s="199">
        <v>7.0000000000000007E-2</v>
      </c>
      <c r="DP156" s="130">
        <v>7.0000000000000007E-2</v>
      </c>
      <c r="DQ156" s="130">
        <v>7.0000000000000007E-2</v>
      </c>
      <c r="DR156" s="130">
        <v>7.0000000000000007E-2</v>
      </c>
      <c r="DS156" s="123">
        <f>DS182/AVERAGE(DO106:DR106)</f>
        <v>7.0000000000000007E-2</v>
      </c>
      <c r="DT156" s="199">
        <v>7.0000000000000007E-2</v>
      </c>
      <c r="DU156" s="130">
        <v>7.0000000000000007E-2</v>
      </c>
      <c r="DV156" s="130">
        <v>7.0000000000000007E-2</v>
      </c>
      <c r="DW156" s="130">
        <v>7.0000000000000007E-2</v>
      </c>
      <c r="DX156" s="123">
        <f>DX182/AVERAGE(DT106:DW106)</f>
        <v>7.0000000000000007E-2</v>
      </c>
      <c r="DY156" s="673"/>
      <c r="DZ156" s="673"/>
      <c r="EA156" s="673"/>
      <c r="EB156" s="673"/>
      <c r="EC156" s="673"/>
      <c r="ED156" s="673"/>
      <c r="EE156" s="673"/>
      <c r="EF156" s="673"/>
    </row>
    <row r="157" spans="1:136" hidden="1" outlineLevel="1" x14ac:dyDescent="0.2">
      <c r="A157" s="790" t="s">
        <v>551</v>
      </c>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3"/>
      <c r="AV157" s="45"/>
      <c r="AW157" s="33"/>
      <c r="AX157" s="33"/>
      <c r="AY157" s="33"/>
      <c r="AZ157" s="33"/>
      <c r="BA157" s="793"/>
      <c r="BB157" s="33"/>
      <c r="BC157" s="33"/>
      <c r="BD157" s="33"/>
      <c r="BE157" s="33"/>
      <c r="BF157" s="837">
        <v>7.4999999999999997E-2</v>
      </c>
      <c r="BG157" s="838"/>
      <c r="BH157" s="838"/>
      <c r="BI157" s="838"/>
      <c r="BJ157" s="838"/>
      <c r="BK157" s="837">
        <v>7.2999999999999995E-2</v>
      </c>
      <c r="BL157" s="838"/>
      <c r="BM157" s="838"/>
      <c r="BN157" s="838"/>
      <c r="BO157" s="838"/>
      <c r="BP157" s="145">
        <v>6.6000000000000003E-2</v>
      </c>
      <c r="BQ157" s="880"/>
      <c r="BR157" s="146"/>
      <c r="BS157" s="146"/>
      <c r="BT157" s="906"/>
      <c r="BU157" s="145">
        <v>0.06</v>
      </c>
      <c r="BV157" s="33"/>
      <c r="BW157" s="1381"/>
      <c r="BX157" s="33"/>
      <c r="BY157" s="33"/>
      <c r="BZ157" s="145"/>
      <c r="CA157" s="33"/>
      <c r="CB157" s="33"/>
      <c r="CC157" s="33"/>
      <c r="CD157" s="33"/>
      <c r="CE157" s="145"/>
      <c r="CF157" s="1649">
        <v>0.05</v>
      </c>
      <c r="CG157" s="33"/>
      <c r="CH157" s="33"/>
      <c r="CI157" s="33"/>
      <c r="CJ157" s="145"/>
      <c r="CK157" s="33"/>
      <c r="CL157" s="33"/>
      <c r="CM157" s="33"/>
      <c r="CN157" s="33"/>
      <c r="CO157" s="145"/>
      <c r="CP157" s="33"/>
      <c r="CQ157" s="33"/>
      <c r="CR157" s="33"/>
      <c r="CS157" s="33"/>
      <c r="CT157" s="145"/>
      <c r="CU157" s="33"/>
      <c r="CV157" s="33"/>
      <c r="CW157" s="33"/>
      <c r="CX157" s="33"/>
      <c r="CY157" s="145"/>
      <c r="CZ157" s="33"/>
      <c r="DA157" s="33"/>
      <c r="DB157" s="33"/>
      <c r="DC157" s="33"/>
      <c r="DD157" s="145"/>
      <c r="DE157" s="33"/>
      <c r="DF157" s="33"/>
      <c r="DG157" s="33"/>
      <c r="DH157" s="33"/>
      <c r="DI157" s="145"/>
      <c r="DJ157" s="33"/>
      <c r="DK157" s="33"/>
      <c r="DL157" s="33"/>
      <c r="DM157" s="33"/>
      <c r="DN157" s="792"/>
      <c r="DO157" s="33"/>
      <c r="DP157" s="33"/>
      <c r="DQ157" s="33"/>
      <c r="DR157" s="33"/>
      <c r="DS157" s="792"/>
      <c r="DT157" s="33"/>
      <c r="DU157" s="33"/>
      <c r="DV157" s="33"/>
      <c r="DW157" s="33"/>
      <c r="DX157" s="792"/>
      <c r="DY157" s="25"/>
      <c r="DZ157" s="25"/>
      <c r="EA157" s="25"/>
      <c r="EB157" s="25"/>
      <c r="EC157" s="25"/>
      <c r="ED157" s="25"/>
      <c r="EE157" s="25"/>
      <c r="EF157" s="25"/>
    </row>
    <row r="158" spans="1:136" hidden="1" outlineLevel="1" x14ac:dyDescent="0.2">
      <c r="A158" s="32"/>
      <c r="B158" s="37"/>
      <c r="C158" s="37"/>
      <c r="D158" s="37"/>
      <c r="E158" s="37"/>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37"/>
      <c r="AK158" s="37"/>
      <c r="AL158" s="37"/>
      <c r="AM158" s="37"/>
      <c r="AN158" s="37"/>
      <c r="AO158" s="37"/>
      <c r="AP158" s="37"/>
      <c r="AQ158" s="37"/>
      <c r="AR158" s="37"/>
      <c r="AS158" s="37"/>
      <c r="AT158" s="37"/>
      <c r="AU158" s="37"/>
      <c r="AV158" s="45"/>
      <c r="AW158" s="37"/>
      <c r="AX158" s="37"/>
      <c r="AY158" s="37"/>
      <c r="AZ158" s="37"/>
      <c r="BA158" s="37"/>
      <c r="BB158" s="37"/>
      <c r="BC158" s="37"/>
      <c r="BD158" s="37"/>
      <c r="BE158" s="37"/>
      <c r="BF158" s="522"/>
      <c r="BG158" s="522"/>
      <c r="BH158" s="522"/>
      <c r="BI158" s="522"/>
      <c r="BJ158" s="522"/>
      <c r="BK158" s="522"/>
      <c r="BL158" s="522"/>
      <c r="BM158" s="522"/>
      <c r="BN158" s="522"/>
      <c r="BO158" s="522"/>
      <c r="BP158" s="522"/>
      <c r="BQ158" s="37"/>
      <c r="BR158" s="37"/>
      <c r="BS158" s="37"/>
      <c r="BT158" s="37"/>
      <c r="BU158" s="51"/>
      <c r="BV158" s="37"/>
      <c r="BW158" s="1382"/>
      <c r="BX158" s="37"/>
      <c r="BY158" s="37"/>
      <c r="BZ158" s="51"/>
      <c r="CA158" s="37"/>
      <c r="CB158" s="37"/>
      <c r="CC158" s="37"/>
      <c r="CD158" s="37"/>
      <c r="CE158" s="51"/>
      <c r="CF158" s="37"/>
      <c r="CG158" s="37"/>
      <c r="CH158" s="37"/>
      <c r="CI158" s="37"/>
      <c r="CJ158" s="51"/>
      <c r="CK158" s="37"/>
      <c r="CL158" s="37"/>
      <c r="CM158" s="37"/>
      <c r="CN158" s="37"/>
      <c r="CO158" s="51"/>
      <c r="CP158" s="37"/>
      <c r="CQ158" s="37"/>
      <c r="CR158" s="37"/>
      <c r="CS158" s="37"/>
      <c r="CT158" s="51"/>
      <c r="CU158" s="37"/>
      <c r="CV158" s="37"/>
      <c r="CW158" s="37"/>
      <c r="CX158" s="37"/>
      <c r="CY158" s="51"/>
      <c r="CZ158" s="37"/>
      <c r="DA158" s="37"/>
      <c r="DB158" s="37"/>
      <c r="DC158" s="37"/>
      <c r="DD158" s="51"/>
      <c r="DE158" s="37"/>
      <c r="DF158" s="37"/>
      <c r="DG158" s="37"/>
      <c r="DH158" s="37"/>
      <c r="DI158" s="51"/>
      <c r="DJ158" s="37"/>
      <c r="DK158" s="37"/>
      <c r="DL158" s="37"/>
      <c r="DM158" s="37"/>
      <c r="DN158" s="51"/>
      <c r="DO158" s="37"/>
      <c r="DP158" s="37"/>
      <c r="DQ158" s="37"/>
      <c r="DR158" s="37"/>
      <c r="DS158" s="51"/>
      <c r="DT158" s="37"/>
      <c r="DU158" s="37"/>
      <c r="DV158" s="37"/>
      <c r="DW158" s="37"/>
      <c r="DX158" s="51"/>
      <c r="DY158" s="25"/>
      <c r="DZ158" s="25"/>
      <c r="EA158" s="25"/>
      <c r="EB158" s="25"/>
      <c r="EC158" s="25"/>
      <c r="ED158" s="25"/>
      <c r="EE158" s="25"/>
      <c r="EF158" s="25"/>
    </row>
    <row r="159" spans="1:136" hidden="1" outlineLevel="1" x14ac:dyDescent="0.2">
      <c r="A159" s="27" t="s">
        <v>173</v>
      </c>
      <c r="B159" s="807"/>
      <c r="C159" s="807"/>
      <c r="D159" s="807"/>
      <c r="E159" s="807"/>
      <c r="F159" s="807"/>
      <c r="G159" s="807"/>
      <c r="H159" s="807"/>
      <c r="I159" s="807"/>
      <c r="J159" s="807"/>
      <c r="K159" s="807"/>
      <c r="L159" s="807"/>
      <c r="M159" s="807"/>
      <c r="N159" s="807"/>
      <c r="O159" s="807"/>
      <c r="P159" s="807"/>
      <c r="Q159" s="807"/>
      <c r="R159" s="807"/>
      <c r="S159" s="807"/>
      <c r="T159" s="807"/>
      <c r="U159" s="807"/>
      <c r="V159" s="807"/>
      <c r="W159" s="807"/>
      <c r="X159" s="807"/>
      <c r="Y159" s="807"/>
      <c r="Z159" s="807"/>
      <c r="AA159" s="807"/>
      <c r="AB159" s="807"/>
      <c r="AC159" s="807"/>
      <c r="AD159" s="807"/>
      <c r="AE159" s="807"/>
      <c r="AF159" s="807"/>
      <c r="AG159" s="807"/>
      <c r="AH159" s="807"/>
      <c r="AI159" s="807"/>
      <c r="AJ159" s="807"/>
      <c r="AK159" s="807"/>
      <c r="AL159" s="807"/>
      <c r="AM159" s="807"/>
      <c r="AN159" s="807"/>
      <c r="AO159" s="807"/>
      <c r="AP159" s="807"/>
      <c r="AQ159" s="807"/>
      <c r="AR159" s="807"/>
      <c r="AS159" s="807"/>
      <c r="AT159" s="807"/>
      <c r="AU159" s="807"/>
      <c r="AV159" s="45"/>
      <c r="AW159" s="807"/>
      <c r="AX159" s="807"/>
      <c r="AY159" s="807"/>
      <c r="AZ159" s="807"/>
      <c r="BA159" s="807"/>
      <c r="BB159" s="807"/>
      <c r="BC159" s="807"/>
      <c r="BD159" s="807"/>
      <c r="BE159" s="807"/>
      <c r="BF159" s="807"/>
      <c r="BG159" s="892">
        <f>-BG185/AVERAGE(BF10:BG10)*4</f>
        <v>1.8001800180018003E-3</v>
      </c>
      <c r="BH159" s="892">
        <f>-BH185/AVERAGE(BG10:BH10)*4</f>
        <v>2.9721362229102165E-3</v>
      </c>
      <c r="BI159" s="892">
        <f>-BI185/AVERAGE(BH10:BI10)*4</f>
        <v>1.8593840790238235E-3</v>
      </c>
      <c r="BJ159" s="892">
        <f>-BJ185/AVERAGE(BI10:BJ10)*4</f>
        <v>3.1083050024283644E-3</v>
      </c>
      <c r="BK159" s="893">
        <f>-BK185/AVERAGE(BG10:BJ10)</f>
        <v>2.3952095808383238E-3</v>
      </c>
      <c r="BL159" s="892">
        <f>-BL185/AVERAGE(BK10:BL10)*4</f>
        <v>3.4919249236141422E-3</v>
      </c>
      <c r="BM159" s="892">
        <f>-BM185/AVERAGE(BL10:BM10)*4</f>
        <v>3.8311118205762626E-3</v>
      </c>
      <c r="BN159" s="892">
        <f>-BN185/AVERAGE(BM10:BN10)*4</f>
        <v>3.9481105470953182E-3</v>
      </c>
      <c r="BO159" s="892">
        <f>-BO185/AVERAGE(BN10:BO10)*4</f>
        <v>4.1258380608561124E-3</v>
      </c>
      <c r="BP159" s="893">
        <f>-BP185/AVERAGE(BL10:BO10)</f>
        <v>3.7088548910523878E-3</v>
      </c>
      <c r="BQ159" s="892">
        <f>-BQ185/AVERAGE(BP10:BQ10)*4</f>
        <v>4.3636363636363638E-3</v>
      </c>
      <c r="BR159" s="892">
        <f>-BR185/AVERAGE(BQ10:BR10)*4</f>
        <v>4.9779386808462495E-3</v>
      </c>
      <c r="BS159" s="892">
        <f>-BS185/AVERAGE(BR10:BS10)*4</f>
        <v>3.336113427856547E-3</v>
      </c>
      <c r="BT159" s="892">
        <f>-BT185/AVERAGE(BS10:BT10)*4</f>
        <v>2.5560012780006399E-3</v>
      </c>
      <c r="BU159" s="893">
        <f>-BU185/AVERAGE(BQ10:BT10)</f>
        <v>3.2281283399131899E-3</v>
      </c>
      <c r="BV159" s="1261">
        <f>BQ159+0.001</f>
        <v>5.3636363636363638E-3</v>
      </c>
      <c r="BW159" s="1383">
        <f>BR159+0.001</f>
        <v>5.9779386808462495E-3</v>
      </c>
      <c r="BX159" s="1261">
        <f>BS159+0.001</f>
        <v>4.336113427856547E-3</v>
      </c>
      <c r="BY159" s="1261">
        <f>BT159+0.001</f>
        <v>3.5560012780006399E-3</v>
      </c>
      <c r="BZ159" s="893">
        <f>-BZ185/AVERAGE(BV10:BY10)</f>
        <v>5.624616532803833E-3</v>
      </c>
      <c r="CA159" s="1261">
        <f>BV159+0.001</f>
        <v>6.3636363636363638E-3</v>
      </c>
      <c r="CB159" s="1261">
        <f>BW159+0.001</f>
        <v>6.9779386808462495E-3</v>
      </c>
      <c r="CC159" s="1261">
        <f>BX159</f>
        <v>4.336113427856547E-3</v>
      </c>
      <c r="CD159" s="1261">
        <f>BY159</f>
        <v>3.5560012780006399E-3</v>
      </c>
      <c r="CE159" s="893">
        <f>-CE185/AVERAGE(CA10:CD10)</f>
        <v>3.523400049911835E-3</v>
      </c>
      <c r="CF159" s="1261">
        <f>CA159+0.001</f>
        <v>7.3636363636363639E-3</v>
      </c>
      <c r="CG159" s="1261">
        <f>CB159+0.001</f>
        <v>7.9779386808462496E-3</v>
      </c>
      <c r="CH159" s="1261">
        <f>CC159+0.001</f>
        <v>5.336113427856547E-3</v>
      </c>
      <c r="CI159" s="1261">
        <f>CD159+0.001</f>
        <v>4.5560012780006404E-3</v>
      </c>
      <c r="CJ159" s="893">
        <f>-CJ185/AVERAGE(CF10:CI10)</f>
        <v>6.1527572470825914E-3</v>
      </c>
      <c r="CK159" s="1261">
        <v>8.0000000000000002E-3</v>
      </c>
      <c r="CL159" s="894">
        <f>CG159+0.001</f>
        <v>8.9779386808462487E-3</v>
      </c>
      <c r="CM159" s="894">
        <f>CH159+0.001</f>
        <v>6.3361134278565471E-3</v>
      </c>
      <c r="CN159" s="894">
        <f>CI159+0.001</f>
        <v>5.5560012780006404E-3</v>
      </c>
      <c r="CO159" s="893">
        <f>-CO185/AVERAGE(CK10:CN10)</f>
        <v>6.6721550635965394E-3</v>
      </c>
      <c r="CP159" s="894">
        <f>CK159+0.001</f>
        <v>9.0000000000000011E-3</v>
      </c>
      <c r="CQ159" s="894">
        <f>CL159+0.001</f>
        <v>9.9779386808462496E-3</v>
      </c>
      <c r="CR159" s="894">
        <f>CM159+0.001</f>
        <v>7.3361134278565471E-3</v>
      </c>
      <c r="CS159" s="894">
        <f>CN159+0.001</f>
        <v>6.5560012780006404E-3</v>
      </c>
      <c r="CT159" s="893">
        <f>-CT185/AVERAGE(CP10:CS10)</f>
        <v>7.7734172828997127E-3</v>
      </c>
      <c r="CU159" s="894">
        <f>CP159+0.001</f>
        <v>1.0000000000000002E-2</v>
      </c>
      <c r="CV159" s="894">
        <f>CQ159+0.001</f>
        <v>1.097793868084625E-2</v>
      </c>
      <c r="CW159" s="894">
        <f>CR159+0.001</f>
        <v>8.336113427856548E-3</v>
      </c>
      <c r="CX159" s="894">
        <f>CS159+0.001</f>
        <v>7.5560012780006404E-3</v>
      </c>
      <c r="CY159" s="893">
        <f>-CY185/AVERAGE(CU10:CX10)</f>
        <v>8.776509149083728E-3</v>
      </c>
      <c r="CZ159" s="894">
        <f>CU159+0.001</f>
        <v>1.1000000000000003E-2</v>
      </c>
      <c r="DA159" s="894">
        <f>CV159+0.001</f>
        <v>1.1977938680846251E-2</v>
      </c>
      <c r="DB159" s="894">
        <f>CW159+0.001</f>
        <v>9.3361134278565489E-3</v>
      </c>
      <c r="DC159" s="894">
        <f>CX159+0.001</f>
        <v>8.5560012780006404E-3</v>
      </c>
      <c r="DD159" s="893">
        <f>-DD185/AVERAGE(CZ10:DC10)</f>
        <v>1.0114364360029502E-2</v>
      </c>
      <c r="DE159" s="894">
        <f>CZ159+0.001</f>
        <v>1.2000000000000004E-2</v>
      </c>
      <c r="DF159" s="894">
        <f>DA159+0.001</f>
        <v>1.2977938680846252E-2</v>
      </c>
      <c r="DG159" s="894">
        <f>DB159+0.001</f>
        <v>1.033611342785655E-2</v>
      </c>
      <c r="DH159" s="894">
        <f>DC159+0.001</f>
        <v>9.5560012780006413E-3</v>
      </c>
      <c r="DI159" s="893">
        <f>-DI185/AVERAGE(DE10:DH10)</f>
        <v>1.0674012966328498E-2</v>
      </c>
      <c r="DJ159" s="894">
        <f>DE159+0.001</f>
        <v>1.3000000000000005E-2</v>
      </c>
      <c r="DK159" s="894">
        <f>DF159+0.001</f>
        <v>1.3977938680846253E-2</v>
      </c>
      <c r="DL159" s="894">
        <f>DG159+0.001</f>
        <v>1.1336113427856551E-2</v>
      </c>
      <c r="DM159" s="894">
        <f>DH159+0.001</f>
        <v>1.0556001278000642E-2</v>
      </c>
      <c r="DN159" s="893">
        <f>-DN185/AVERAGE(DJ10:DM10)</f>
        <v>1.1717133052903948E-2</v>
      </c>
      <c r="DO159" s="894">
        <f>DJ159+0.001</f>
        <v>1.4000000000000005E-2</v>
      </c>
      <c r="DP159" s="894">
        <f>DK159+0.001</f>
        <v>1.4977938680846254E-2</v>
      </c>
      <c r="DQ159" s="894">
        <f>DL159+0.001</f>
        <v>1.2336113427856552E-2</v>
      </c>
      <c r="DR159" s="894">
        <f>DM159+0.001</f>
        <v>1.1556001278000643E-2</v>
      </c>
      <c r="DS159" s="893">
        <f>-DS185/AVERAGE(DO10:DR10)</f>
        <v>1.2783663926050803E-2</v>
      </c>
      <c r="DT159" s="894">
        <f>DO159+0.001</f>
        <v>1.5000000000000006E-2</v>
      </c>
      <c r="DU159" s="894">
        <f>DP159+0.001</f>
        <v>1.5977938680846255E-2</v>
      </c>
      <c r="DV159" s="894">
        <f>DQ159+0.001</f>
        <v>1.3336113427856552E-2</v>
      </c>
      <c r="DW159" s="894">
        <f>DR159+0.001</f>
        <v>1.2556001278000644E-2</v>
      </c>
      <c r="DX159" s="893">
        <f>-DX185/AVERAGE(DT10:DW10)</f>
        <v>1.3807201902342258E-2</v>
      </c>
      <c r="DY159" s="16"/>
      <c r="DZ159" s="16"/>
      <c r="EA159" s="16"/>
      <c r="EB159" s="16"/>
      <c r="EC159" s="16"/>
      <c r="ED159" s="16"/>
      <c r="EE159" s="16"/>
      <c r="EF159" s="16"/>
    </row>
    <row r="160" spans="1:136" hidden="1" outlineLevel="1" x14ac:dyDescent="0.2">
      <c r="A160" s="87"/>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244"/>
      <c r="AW160" s="38"/>
      <c r="AX160" s="38"/>
      <c r="AY160" s="38"/>
      <c r="AZ160" s="38"/>
      <c r="BA160" s="38"/>
      <c r="BB160" s="38"/>
      <c r="BC160" s="38"/>
      <c r="BD160" s="38"/>
      <c r="BE160" s="38"/>
      <c r="BF160" s="38"/>
      <c r="BG160" s="38"/>
      <c r="BH160" s="38"/>
      <c r="BI160" s="38"/>
      <c r="BJ160" s="38"/>
      <c r="BK160" s="38"/>
      <c r="BL160" s="38"/>
      <c r="BM160" s="38"/>
      <c r="BN160" s="38"/>
      <c r="BO160" s="38"/>
      <c r="BP160" s="38"/>
      <c r="BQ160" s="41"/>
      <c r="BR160" s="41"/>
      <c r="BS160" s="41"/>
      <c r="BT160" s="41"/>
      <c r="BU160" s="38"/>
      <c r="BV160" s="38"/>
      <c r="BW160" s="1348"/>
      <c r="BX160" s="38"/>
      <c r="BY160" s="38"/>
      <c r="BZ160" s="38"/>
      <c r="CA160" s="38"/>
      <c r="CB160" s="38"/>
      <c r="CC160" s="38"/>
      <c r="CD160" s="38"/>
      <c r="CE160" s="38"/>
      <c r="CF160" s="38"/>
      <c r="CG160" s="38"/>
      <c r="CH160" s="38"/>
      <c r="CI160" s="38"/>
      <c r="CJ160" s="38"/>
      <c r="CK160" s="38"/>
      <c r="CL160" s="38"/>
      <c r="CM160" s="38"/>
      <c r="CN160" s="38"/>
      <c r="CO160" s="41"/>
      <c r="CP160" s="38"/>
      <c r="CQ160" s="38"/>
      <c r="CR160" s="38"/>
      <c r="CS160" s="38"/>
      <c r="CT160" s="41"/>
      <c r="CU160" s="38"/>
      <c r="CV160" s="38"/>
      <c r="CW160" s="38"/>
      <c r="CX160" s="38"/>
      <c r="CY160" s="41"/>
      <c r="CZ160" s="38"/>
      <c r="DA160" s="38"/>
      <c r="DB160" s="38"/>
      <c r="DC160" s="38"/>
      <c r="DD160" s="41"/>
      <c r="DE160" s="38"/>
      <c r="DF160" s="38"/>
      <c r="DG160" s="38"/>
      <c r="DH160" s="38"/>
      <c r="DI160" s="41"/>
      <c r="DJ160" s="38"/>
      <c r="DK160" s="38"/>
      <c r="DL160" s="38"/>
      <c r="DM160" s="38"/>
      <c r="DN160" s="41"/>
      <c r="DO160" s="38"/>
      <c r="DP160" s="38"/>
      <c r="DQ160" s="38"/>
      <c r="DR160" s="38"/>
      <c r="DS160" s="41"/>
      <c r="DT160" s="38"/>
      <c r="DU160" s="38"/>
      <c r="DV160" s="38"/>
      <c r="DW160" s="38"/>
      <c r="DX160" s="41"/>
      <c r="DY160" s="673"/>
      <c r="DZ160" s="673"/>
      <c r="EA160" s="673"/>
      <c r="EB160" s="673"/>
      <c r="EC160" s="673"/>
      <c r="ED160" s="673"/>
      <c r="EE160" s="673"/>
      <c r="EF160" s="673"/>
    </row>
    <row r="161" spans="1:136" hidden="1" outlineLevel="1" x14ac:dyDescent="0.2">
      <c r="A161" s="32" t="s">
        <v>469</v>
      </c>
      <c r="B161" s="16"/>
      <c r="C161" s="16"/>
      <c r="D161" s="16"/>
      <c r="E161" s="16"/>
      <c r="F161" s="16"/>
      <c r="G161" s="16"/>
      <c r="H161" s="16"/>
      <c r="I161" s="16"/>
      <c r="J161" s="16"/>
      <c r="K161" s="16"/>
      <c r="L161" s="16"/>
      <c r="M161" s="16"/>
      <c r="N161" s="16"/>
      <c r="O161" s="16"/>
      <c r="P161" s="16"/>
      <c r="Q161" s="16"/>
      <c r="R161" s="16"/>
      <c r="S161" s="16"/>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890"/>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353"/>
      <c r="BX161" s="16"/>
      <c r="BY161" s="16"/>
      <c r="BZ161" s="29"/>
      <c r="CA161" s="16"/>
      <c r="CB161" s="16"/>
      <c r="CC161" s="16"/>
      <c r="CD161" s="16"/>
      <c r="CE161" s="29"/>
      <c r="CF161" s="1652" t="s">
        <v>817</v>
      </c>
      <c r="CG161" s="1651"/>
      <c r="CH161" s="1651"/>
      <c r="CI161" s="1651"/>
      <c r="CJ161" s="16"/>
      <c r="CK161" s="16"/>
      <c r="CL161" s="16"/>
      <c r="CM161" s="16"/>
      <c r="CN161" s="16"/>
      <c r="CO161" s="16"/>
      <c r="CP161" s="16"/>
      <c r="CQ161" s="16"/>
      <c r="CR161" s="16"/>
      <c r="CS161" s="16"/>
      <c r="CT161" s="16"/>
      <c r="CU161" s="16"/>
      <c r="CV161" s="16"/>
      <c r="CW161" s="16"/>
      <c r="CX161" s="16"/>
      <c r="CY161" s="16"/>
      <c r="CZ161" s="16"/>
      <c r="DA161" s="16"/>
      <c r="DB161" s="16"/>
      <c r="DC161" s="16"/>
      <c r="DD161" s="16"/>
      <c r="DE161" s="16"/>
      <c r="DF161" s="16"/>
      <c r="DG161" s="16"/>
      <c r="DH161" s="16"/>
      <c r="DI161" s="16"/>
      <c r="DJ161" s="16"/>
      <c r="DK161" s="16"/>
      <c r="DL161" s="16"/>
      <c r="DM161" s="16"/>
      <c r="DN161" s="16"/>
      <c r="DO161" s="16"/>
      <c r="DP161" s="16"/>
      <c r="DQ161" s="16"/>
      <c r="DR161" s="16"/>
      <c r="DS161" s="16"/>
      <c r="DT161" s="16"/>
      <c r="DU161" s="16"/>
      <c r="DV161" s="16"/>
      <c r="DW161" s="16"/>
      <c r="DX161" s="16"/>
      <c r="DY161" s="16"/>
      <c r="DZ161" s="16"/>
      <c r="EA161" s="16"/>
      <c r="EB161" s="16"/>
      <c r="EC161" s="16"/>
      <c r="ED161" s="16"/>
      <c r="EE161" s="16"/>
      <c r="EF161" s="16"/>
    </row>
    <row r="162" spans="1:136" hidden="1" outlineLevel="1" x14ac:dyDescent="0.2">
      <c r="A162" s="788" t="s">
        <v>113</v>
      </c>
      <c r="B162" s="364"/>
      <c r="C162" s="364"/>
      <c r="D162" s="364"/>
      <c r="E162" s="364"/>
      <c r="F162" s="364"/>
      <c r="G162" s="364"/>
      <c r="H162" s="364"/>
      <c r="I162" s="364"/>
      <c r="J162" s="364"/>
      <c r="K162" s="364"/>
      <c r="L162" s="364"/>
      <c r="M162" s="364"/>
      <c r="N162" s="364"/>
      <c r="O162" s="364"/>
      <c r="P162" s="364"/>
      <c r="Q162" s="364"/>
      <c r="R162" s="364"/>
      <c r="S162" s="364"/>
      <c r="T162" s="364"/>
      <c r="U162" s="364"/>
      <c r="V162" s="364"/>
      <c r="W162" s="364"/>
      <c r="X162" s="364"/>
      <c r="Y162" s="364"/>
      <c r="Z162" s="364"/>
      <c r="AA162" s="364"/>
      <c r="AB162" s="364"/>
      <c r="AC162" s="364"/>
      <c r="AD162" s="364"/>
      <c r="AE162" s="364"/>
      <c r="AF162" s="364"/>
      <c r="AG162" s="364"/>
      <c r="AH162" s="364"/>
      <c r="AI162" s="364"/>
      <c r="AJ162" s="364"/>
      <c r="AK162" s="364"/>
      <c r="AL162" s="364"/>
      <c r="AM162" s="364"/>
      <c r="AN162" s="364"/>
      <c r="AO162" s="364"/>
      <c r="AP162" s="364"/>
      <c r="AQ162" s="364"/>
      <c r="AR162" s="364"/>
      <c r="AS162" s="364"/>
      <c r="AT162" s="364"/>
      <c r="AU162" s="364"/>
      <c r="AV162" s="272"/>
      <c r="AW162" s="364"/>
      <c r="AX162" s="364"/>
      <c r="AY162" s="364"/>
      <c r="AZ162" s="789"/>
      <c r="BA162" s="768"/>
      <c r="BB162" s="321"/>
      <c r="BC162" s="321"/>
      <c r="BD162" s="321"/>
      <c r="BE162" s="321"/>
      <c r="BF162" s="328"/>
      <c r="BG162" s="321"/>
      <c r="BH162" s="321"/>
      <c r="BI162" s="321"/>
      <c r="BJ162" s="321"/>
      <c r="BK162" s="328"/>
      <c r="BL162" s="321"/>
      <c r="BM162" s="321"/>
      <c r="BN162" s="321"/>
      <c r="BO162" s="321"/>
      <c r="BP162" s="328"/>
      <c r="BQ162" s="321"/>
      <c r="BR162" s="787"/>
      <c r="BS162" s="787"/>
      <c r="BT162" s="787"/>
      <c r="BU162" s="328"/>
      <c r="BV162" s="321"/>
      <c r="BW162" s="1384"/>
      <c r="BX162" s="321"/>
      <c r="BY162" s="321"/>
      <c r="BZ162" s="910">
        <f t="shared" ref="BZ162" si="623">SUM(BV162:BY162)</f>
        <v>0</v>
      </c>
      <c r="CA162" s="321">
        <f>CA80*CA132/4</f>
        <v>0</v>
      </c>
      <c r="CB162" s="321">
        <f>CB80*CB132/4</f>
        <v>0</v>
      </c>
      <c r="CC162" s="321">
        <f>CC80*CC132/4</f>
        <v>0</v>
      </c>
      <c r="CD162" s="321">
        <f>CD80*CD132/4</f>
        <v>0</v>
      </c>
      <c r="CE162" s="910">
        <f>SUM(CA162:CD162)</f>
        <v>0</v>
      </c>
      <c r="CF162" s="321">
        <f>CF80*CF132/4</f>
        <v>0</v>
      </c>
      <c r="CG162" s="321">
        <f>CG80*CG132/4</f>
        <v>0</v>
      </c>
      <c r="CH162" s="321">
        <f>CH80*CH132/4</f>
        <v>0</v>
      </c>
      <c r="CI162" s="683">
        <v>0</v>
      </c>
      <c r="CJ162" s="910">
        <f>SUM(CF162:CI162)</f>
        <v>0</v>
      </c>
      <c r="CK162" s="321"/>
      <c r="CL162" s="787"/>
      <c r="CM162" s="787"/>
      <c r="CN162" s="787"/>
      <c r="CO162" s="910">
        <f>SUM(CK162:CN162)</f>
        <v>0</v>
      </c>
      <c r="CP162" s="787"/>
      <c r="CQ162" s="787"/>
      <c r="CR162" s="787"/>
      <c r="CS162" s="787"/>
      <c r="CT162" s="910">
        <f>SUM(CP162:CS162)</f>
        <v>0</v>
      </c>
      <c r="CU162" s="787"/>
      <c r="CV162" s="787"/>
      <c r="CW162" s="787"/>
      <c r="CX162" s="787"/>
      <c r="CY162" s="910">
        <f>SUM(CU162:CX162)</f>
        <v>0</v>
      </c>
      <c r="CZ162" s="787"/>
      <c r="DA162" s="787"/>
      <c r="DB162" s="787"/>
      <c r="DC162" s="787"/>
      <c r="DD162" s="910">
        <f>SUM(CZ162:DC162)</f>
        <v>0</v>
      </c>
      <c r="DE162" s="787"/>
      <c r="DF162" s="787"/>
      <c r="DG162" s="787"/>
      <c r="DH162" s="787"/>
      <c r="DI162" s="910">
        <f>SUM(DE162:DH162)</f>
        <v>0</v>
      </c>
      <c r="DJ162" s="787"/>
      <c r="DK162" s="787"/>
      <c r="DL162" s="787"/>
      <c r="DM162" s="787"/>
      <c r="DN162" s="910">
        <f>SUM(DJ162:DM162)</f>
        <v>0</v>
      </c>
      <c r="DO162" s="787"/>
      <c r="DP162" s="787"/>
      <c r="DQ162" s="787"/>
      <c r="DR162" s="787"/>
      <c r="DS162" s="910">
        <f>SUM(DO162:DR162)</f>
        <v>0</v>
      </c>
      <c r="DT162" s="787"/>
      <c r="DU162" s="787"/>
      <c r="DV162" s="787"/>
      <c r="DW162" s="787"/>
      <c r="DX162" s="910">
        <f>SUM(DT162:DW162)</f>
        <v>0</v>
      </c>
      <c r="DY162" s="673"/>
      <c r="DZ162" s="673"/>
      <c r="EA162" s="673"/>
      <c r="EB162" s="673"/>
      <c r="EC162" s="673"/>
      <c r="ED162" s="673"/>
      <c r="EE162" s="673"/>
      <c r="EF162" s="673"/>
    </row>
    <row r="163" spans="1:136" hidden="1" outlineLevel="1" x14ac:dyDescent="0.2">
      <c r="A163" s="87" t="s">
        <v>772</v>
      </c>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272"/>
      <c r="AW163" s="38"/>
      <c r="AX163" s="38"/>
      <c r="AY163" s="38"/>
      <c r="AZ163" s="39"/>
      <c r="BA163" s="40"/>
      <c r="BB163" s="65"/>
      <c r="BC163" s="65"/>
      <c r="BD163" s="65"/>
      <c r="BE163" s="65"/>
      <c r="BF163" s="215"/>
      <c r="BG163" s="65"/>
      <c r="BH163" s="65"/>
      <c r="BI163" s="65"/>
      <c r="BJ163" s="65"/>
      <c r="BK163" s="215"/>
      <c r="BL163" s="65"/>
      <c r="BM163" s="65"/>
      <c r="BN163" s="65"/>
      <c r="BO163" s="65"/>
      <c r="BP163" s="215"/>
      <c r="BQ163" s="65"/>
      <c r="BR163" s="217"/>
      <c r="BS163" s="217"/>
      <c r="BT163" s="217"/>
      <c r="BU163" s="215"/>
      <c r="BV163" s="65"/>
      <c r="BW163" s="1385"/>
      <c r="BX163" s="65">
        <v>14.4</v>
      </c>
      <c r="BY163" s="65">
        <f>BY133*BY80/4</f>
        <v>14.4</v>
      </c>
      <c r="BZ163" s="784">
        <f>SUM(BV163:BY163)</f>
        <v>28.8</v>
      </c>
      <c r="CA163" s="65">
        <v>14.5</v>
      </c>
      <c r="CB163" s="65">
        <v>14.4</v>
      </c>
      <c r="CC163" s="65">
        <v>14.5</v>
      </c>
      <c r="CD163" s="65">
        <f>CD133*CD80/4</f>
        <v>14.4</v>
      </c>
      <c r="CE163" s="784">
        <f>SUM(CA163:CD163)</f>
        <v>57.8</v>
      </c>
      <c r="CF163" s="65">
        <f>CF133*CF80/4</f>
        <v>14.453125</v>
      </c>
      <c r="CG163" s="65">
        <f>CG133*CG80/4</f>
        <v>14.453125</v>
      </c>
      <c r="CH163" s="65">
        <f>CH133*CH80/4</f>
        <v>14.453125</v>
      </c>
      <c r="CI163" s="65">
        <f>CI133*(CH80*0.8+CI80*0.2)/4</f>
        <v>14.453125</v>
      </c>
      <c r="CJ163" s="784">
        <f>SUM(CF163:CI163)</f>
        <v>57.8125</v>
      </c>
      <c r="CK163" s="65">
        <f>CK133*CK80/4</f>
        <v>14.453125</v>
      </c>
      <c r="CL163" s="217">
        <f>CL133*CL80/4</f>
        <v>14.453125</v>
      </c>
      <c r="CM163" s="217">
        <f>CM133*CM80/4</f>
        <v>14.453125</v>
      </c>
      <c r="CN163" s="217">
        <f>CN133*CN80/4</f>
        <v>14.453125</v>
      </c>
      <c r="CO163" s="784">
        <f>SUM(CK163:CN163)</f>
        <v>57.8125</v>
      </c>
      <c r="CP163" s="217">
        <f>CP133*CP80/4</f>
        <v>14.453125</v>
      </c>
      <c r="CQ163" s="217">
        <f>CQ133*CQ80/4</f>
        <v>14.453125</v>
      </c>
      <c r="CR163" s="217">
        <f>CR133*CR80/4</f>
        <v>14.453125</v>
      </c>
      <c r="CS163" s="217">
        <f>CS133*CS80/4</f>
        <v>14.453125</v>
      </c>
      <c r="CT163" s="784">
        <f>SUM(CP163:CS163)</f>
        <v>57.8125</v>
      </c>
      <c r="CU163" s="217">
        <f>CU133*CU80/4</f>
        <v>14.453125</v>
      </c>
      <c r="CV163" s="217">
        <f>CV133*CV80/4</f>
        <v>14.453125</v>
      </c>
      <c r="CW163" s="217">
        <f>CW133*CW80/4</f>
        <v>14.453125</v>
      </c>
      <c r="CX163" s="217">
        <f>CX133*CX80/4</f>
        <v>14.453125</v>
      </c>
      <c r="CY163" s="784">
        <f>SUM(CU163:CX163)</f>
        <v>57.8125</v>
      </c>
      <c r="CZ163" s="217">
        <f>CZ133*CZ80/4</f>
        <v>14.453125</v>
      </c>
      <c r="DA163" s="217">
        <f>DA133*DA80/4</f>
        <v>14.453125</v>
      </c>
      <c r="DB163" s="217">
        <f>DB133*DB80/4</f>
        <v>14.453125</v>
      </c>
      <c r="DC163" s="217">
        <f>DC133*DC80/4</f>
        <v>78.046875</v>
      </c>
      <c r="DD163" s="784">
        <f>SUM(CZ163:DC163)</f>
        <v>121.40625</v>
      </c>
      <c r="DE163" s="217">
        <f>DE133*DE80/4</f>
        <v>77.887890624999997</v>
      </c>
      <c r="DF163" s="217">
        <f>DF133*DF80/4</f>
        <v>77.728906249999994</v>
      </c>
      <c r="DG163" s="217">
        <f>DG133*DG80/4</f>
        <v>77.569921875000006</v>
      </c>
      <c r="DH163" s="217">
        <f>DH133*DH80/4</f>
        <v>77.410937500000003</v>
      </c>
      <c r="DI163" s="784">
        <f>SUM(DE163:DH163)</f>
        <v>310.59765625</v>
      </c>
      <c r="DJ163" s="217">
        <f>DJ133*DJ80/4</f>
        <v>77.251953125</v>
      </c>
      <c r="DK163" s="217">
        <f>DK133*DK80/4</f>
        <v>77.092968749999997</v>
      </c>
      <c r="DL163" s="217">
        <f>DL133*DL80/4</f>
        <v>76.933984374999994</v>
      </c>
      <c r="DM163" s="217">
        <f>DM133*DM80/4</f>
        <v>76.775000000000006</v>
      </c>
      <c r="DN163" s="784">
        <f>SUM(DJ163:DM163)</f>
        <v>308.05390625000001</v>
      </c>
      <c r="DO163" s="217">
        <f>DO133*DO80/4</f>
        <v>76.616015625000003</v>
      </c>
      <c r="DP163" s="217">
        <f>DP133*DP80/4</f>
        <v>76.45703125</v>
      </c>
      <c r="DQ163" s="217">
        <f>DQ133*DQ80/4</f>
        <v>76.298046874999997</v>
      </c>
      <c r="DR163" s="217">
        <f>DR133*DR80/4</f>
        <v>76.139062499999994</v>
      </c>
      <c r="DS163" s="784">
        <f>SUM(DO163:DR163)</f>
        <v>305.51015625000002</v>
      </c>
      <c r="DT163" s="217">
        <f>DT133*DT80/4</f>
        <v>75.980078125000006</v>
      </c>
      <c r="DU163" s="217">
        <f>DU133*DU80/4</f>
        <v>75.821093750000003</v>
      </c>
      <c r="DV163" s="217">
        <f>DV133*DV80/4</f>
        <v>75.662109375</v>
      </c>
      <c r="DW163" s="217">
        <f>DW133*DW80/4</f>
        <v>75.503124999999997</v>
      </c>
      <c r="DX163" s="784">
        <f>SUM(DT163:DW163)</f>
        <v>302.96640625000003</v>
      </c>
      <c r="DY163" s="217"/>
      <c r="DZ163" s="217">
        <f>DZ133*DZ80/4</f>
        <v>0</v>
      </c>
      <c r="EA163" s="217">
        <f>EA133*EA80/4</f>
        <v>0</v>
      </c>
      <c r="EB163" s="217">
        <f>EB133*EB80/4</f>
        <v>0</v>
      </c>
      <c r="EC163" s="673"/>
      <c r="ED163" s="673"/>
      <c r="EE163" s="673"/>
      <c r="EF163" s="673"/>
    </row>
    <row r="164" spans="1:136" hidden="1" outlineLevel="1" x14ac:dyDescent="0.2">
      <c r="A164" s="87" t="s">
        <v>630</v>
      </c>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272"/>
      <c r="AW164" s="38"/>
      <c r="AX164" s="38"/>
      <c r="AY164" s="38"/>
      <c r="AZ164" s="39"/>
      <c r="BA164" s="40"/>
      <c r="BB164" s="65"/>
      <c r="BC164" s="65"/>
      <c r="BD164" s="65"/>
      <c r="BE164" s="65"/>
      <c r="BF164" s="215"/>
      <c r="BG164" s="65"/>
      <c r="BH164" s="65"/>
      <c r="BI164" s="65"/>
      <c r="BJ164" s="65"/>
      <c r="BK164" s="215"/>
      <c r="BL164" s="65"/>
      <c r="BM164" s="65"/>
      <c r="BN164" s="65"/>
      <c r="BO164" s="65"/>
      <c r="BP164" s="215"/>
      <c r="BQ164" s="65"/>
      <c r="BR164" s="217"/>
      <c r="BS164" s="217"/>
      <c r="BT164" s="673">
        <f t="shared" ref="BT164:BT167" si="624">BU164-SUM(BQ164:BS164)</f>
        <v>54.8</v>
      </c>
      <c r="BU164" s="215">
        <v>54.8</v>
      </c>
      <c r="BV164" s="53">
        <f>BV138*AVERAGE(BU81:BV81)/4</f>
        <v>76.755168749999996</v>
      </c>
      <c r="BW164" s="1351">
        <f>BW138*AVERAGE(BV81:BW81)/4</f>
        <v>72.211031750000004</v>
      </c>
      <c r="BX164" s="53">
        <v>52.6</v>
      </c>
      <c r="BY164" s="53">
        <f>BY138*AVERAGE(BX81:BY81)/4</f>
        <v>53.09915625</v>
      </c>
      <c r="BZ164" s="215">
        <f>SUM(BV164:BY164)</f>
        <v>254.66535675</v>
      </c>
      <c r="CA164" s="53">
        <v>51.8</v>
      </c>
      <c r="CB164" s="53">
        <v>54.1</v>
      </c>
      <c r="CC164" s="53">
        <v>54.6</v>
      </c>
      <c r="CD164" s="53">
        <f>CD138*AVERAGE(CC81:CD81)/4</f>
        <v>53.89360101737023</v>
      </c>
      <c r="CE164" s="215">
        <f>SUM(CA164:CD164)</f>
        <v>214.39360101737023</v>
      </c>
      <c r="CF164" s="53">
        <f>CF138*AVERAGE(CE81:CF81)/4</f>
        <v>57.570150000000005</v>
      </c>
      <c r="CG164" s="53">
        <f>CG138*AVERAGE(CF81:CG81)/4</f>
        <v>64.612540625000008</v>
      </c>
      <c r="CH164" s="53">
        <f>CH138*AVERAGE(CG81:CH81)/4</f>
        <v>65.720821875000013</v>
      </c>
      <c r="CI164" s="53">
        <f>CI138*AVERAGE(CH81:CI81)/4</f>
        <v>65.547853125000003</v>
      </c>
      <c r="CJ164" s="215">
        <f>SUM(CF164:CI164)</f>
        <v>253.45136562500005</v>
      </c>
      <c r="CK164" s="53">
        <f>CK138*AVERAGE(CJ81:CK81)/4</f>
        <v>65.374884375000008</v>
      </c>
      <c r="CL164" s="765">
        <f>CL138*AVERAGE(CK81:CL81)/4</f>
        <v>65.201915625000012</v>
      </c>
      <c r="CM164" s="765">
        <f>CM138*AVERAGE(CL81:CM81)/4</f>
        <v>65.028946875000003</v>
      </c>
      <c r="CN164" s="765">
        <f>CN138*AVERAGE(CM81:CN81)/4</f>
        <v>64.855978125000007</v>
      </c>
      <c r="CO164" s="215">
        <f>SUM(CK164:CN164)</f>
        <v>260.461725</v>
      </c>
      <c r="CP164" s="765">
        <f>CP138*AVERAGE(CO81:CP81)/4</f>
        <v>64.683009375000012</v>
      </c>
      <c r="CQ164" s="765">
        <f>CQ138*AVERAGE(CP81:CQ81)/4</f>
        <v>64.510040625000002</v>
      </c>
      <c r="CR164" s="765">
        <f>CR138*AVERAGE(CQ81:CR81)/4</f>
        <v>64.337071875000007</v>
      </c>
      <c r="CS164" s="765">
        <f>CS138*AVERAGE(CR81:CS81)/4</f>
        <v>64.164103125000011</v>
      </c>
      <c r="CT164" s="215">
        <f>SUM(CP164:CS164)</f>
        <v>257.69422500000002</v>
      </c>
      <c r="CU164" s="765">
        <f>CU138*AVERAGE(CT81:CU81)/4</f>
        <v>63.991134375000009</v>
      </c>
      <c r="CV164" s="765">
        <f>CV138*AVERAGE(CU81:CV81)/4</f>
        <v>63.818165625000006</v>
      </c>
      <c r="CW164" s="765">
        <f>CW138*AVERAGE(CV81:CW81)/4</f>
        <v>63.645196875000003</v>
      </c>
      <c r="CX164" s="765">
        <f>CX138*AVERAGE(CW81:CX81)/4</f>
        <v>63.472228125000008</v>
      </c>
      <c r="CY164" s="215">
        <f>SUM(CU164:CX164)</f>
        <v>254.92672500000003</v>
      </c>
      <c r="CZ164" s="765">
        <f>CZ138*AVERAGE(CY81:CZ81)/4</f>
        <v>63.299259375000005</v>
      </c>
      <c r="DA164" s="765">
        <f>DA138*AVERAGE(CZ81:DA81)/4</f>
        <v>63.126290625000003</v>
      </c>
      <c r="DB164" s="765">
        <f>DB138*AVERAGE(DA81:DB81)/4</f>
        <v>62.953321875000007</v>
      </c>
      <c r="DC164" s="765">
        <f>DC138*AVERAGE(DB81:DC81)/4</f>
        <v>31.433418750000005</v>
      </c>
      <c r="DD164" s="215">
        <f>SUM(CZ164:DC164)</f>
        <v>220.81229062500003</v>
      </c>
      <c r="DE164" s="765"/>
      <c r="DF164" s="765"/>
      <c r="DG164" s="765"/>
      <c r="DH164" s="765"/>
      <c r="DI164" s="215">
        <f>SUM(DE164:DH164)</f>
        <v>0</v>
      </c>
      <c r="DJ164" s="217"/>
      <c r="DK164" s="217"/>
      <c r="DL164" s="217"/>
      <c r="DM164" s="217"/>
      <c r="DN164" s="784"/>
      <c r="DO164" s="217"/>
      <c r="DP164" s="217"/>
      <c r="DQ164" s="217"/>
      <c r="DR164" s="217"/>
      <c r="DS164" s="784"/>
      <c r="DT164" s="217"/>
      <c r="DU164" s="217"/>
      <c r="DV164" s="217"/>
      <c r="DW164" s="217"/>
      <c r="DX164" s="784"/>
      <c r="DY164" s="673"/>
      <c r="DZ164" s="673"/>
      <c r="EA164" s="673"/>
      <c r="EB164" s="673"/>
      <c r="EC164" s="673"/>
      <c r="ED164" s="673"/>
      <c r="EE164" s="673"/>
      <c r="EF164" s="673"/>
    </row>
    <row r="165" spans="1:136" hidden="1" outlineLevel="1" x14ac:dyDescent="0.2">
      <c r="A165" s="87" t="s">
        <v>635</v>
      </c>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272"/>
      <c r="AW165" s="38"/>
      <c r="AX165" s="38"/>
      <c r="AY165" s="38"/>
      <c r="AZ165" s="39"/>
      <c r="BA165" s="40"/>
      <c r="BB165" s="65"/>
      <c r="BC165" s="65"/>
      <c r="BD165" s="65"/>
      <c r="BE165" s="65"/>
      <c r="BF165" s="215"/>
      <c r="BG165" s="65"/>
      <c r="BH165" s="65"/>
      <c r="BI165" s="65"/>
      <c r="BJ165" s="65"/>
      <c r="BK165" s="215"/>
      <c r="BL165" s="65"/>
      <c r="BM165" s="65"/>
      <c r="BN165" s="65"/>
      <c r="BO165" s="65"/>
      <c r="BP165" s="215"/>
      <c r="BQ165" s="65"/>
      <c r="BR165" s="217"/>
      <c r="BS165" s="217"/>
      <c r="BT165" s="217"/>
      <c r="BU165" s="215"/>
      <c r="BV165" s="65"/>
      <c r="BW165" s="1385"/>
      <c r="BX165" s="65"/>
      <c r="BY165" s="65"/>
      <c r="BZ165" s="784"/>
      <c r="CA165" s="65"/>
      <c r="CB165" s="65"/>
      <c r="CC165" s="65"/>
      <c r="CD165" s="65"/>
      <c r="CE165" s="784"/>
      <c r="CF165" s="53">
        <f t="shared" ref="CF165:CH165" si="625">CF141*AVERAGE(CE82:CF82)/4</f>
        <v>0</v>
      </c>
      <c r="CG165" s="53">
        <f t="shared" si="625"/>
        <v>0</v>
      </c>
      <c r="CH165" s="53">
        <f t="shared" si="625"/>
        <v>0</v>
      </c>
      <c r="CI165" s="53">
        <f>CI141*AVERAGE(CH82:CI82)/4</f>
        <v>0</v>
      </c>
      <c r="CJ165" s="215">
        <f t="shared" ref="CJ165" si="626">SUM(CF165:CI165)</f>
        <v>0</v>
      </c>
      <c r="CK165" s="53">
        <f>CK141*AVERAGE(CJ82:CK82)/4</f>
        <v>0</v>
      </c>
      <c r="CL165" s="765">
        <f t="shared" ref="CL165:CN165" si="627">CL141*AVERAGE(CK82:CL82)/4</f>
        <v>0</v>
      </c>
      <c r="CM165" s="765">
        <f t="shared" si="627"/>
        <v>0</v>
      </c>
      <c r="CN165" s="765">
        <f t="shared" si="627"/>
        <v>0</v>
      </c>
      <c r="CO165" s="215">
        <f t="shared" ref="CO165" si="628">SUM(CK165:CN165)</f>
        <v>0</v>
      </c>
      <c r="CP165" s="765">
        <f>CP141*AVERAGE(CO82:CP82)/4</f>
        <v>0</v>
      </c>
      <c r="CQ165" s="765">
        <f t="shared" ref="CQ165:CS165" si="629">CQ141*AVERAGE(CP82:CQ82)/4</f>
        <v>0</v>
      </c>
      <c r="CR165" s="765">
        <f t="shared" si="629"/>
        <v>0</v>
      </c>
      <c r="CS165" s="765">
        <f t="shared" si="629"/>
        <v>0</v>
      </c>
      <c r="CT165" s="215">
        <f t="shared" ref="CT165" si="630">SUM(CP165:CS165)</f>
        <v>0</v>
      </c>
      <c r="CU165" s="765">
        <f>CU141*AVERAGE(CT82:CU82)/4</f>
        <v>0</v>
      </c>
      <c r="CV165" s="765">
        <f t="shared" ref="CV165:CX165" si="631">CV141*AVERAGE(CU82:CV82)/4</f>
        <v>0</v>
      </c>
      <c r="CW165" s="765">
        <f t="shared" si="631"/>
        <v>0</v>
      </c>
      <c r="CX165" s="765">
        <f t="shared" si="631"/>
        <v>0</v>
      </c>
      <c r="CY165" s="215">
        <f t="shared" ref="CY165" si="632">SUM(CU165:CX165)</f>
        <v>0</v>
      </c>
      <c r="CZ165" s="765">
        <f>CZ141*AVERAGE(CY82:CZ82)/4</f>
        <v>0</v>
      </c>
      <c r="DA165" s="765">
        <f t="shared" ref="DA165:DC165" si="633">DA141*AVERAGE(CZ82:DA82)/4</f>
        <v>0</v>
      </c>
      <c r="DB165" s="765">
        <f t="shared" si="633"/>
        <v>0</v>
      </c>
      <c r="DC165" s="765">
        <f t="shared" si="633"/>
        <v>0</v>
      </c>
      <c r="DD165" s="215">
        <f t="shared" ref="DD165" si="634">SUM(CZ165:DC165)</f>
        <v>0</v>
      </c>
      <c r="DE165" s="765">
        <f>DE141*AVERAGE(DD82:DE82)/4</f>
        <v>0</v>
      </c>
      <c r="DF165" s="765">
        <f t="shared" ref="DF165:DH165" si="635">DF141*AVERAGE(DE82:DF82)/4</f>
        <v>0</v>
      </c>
      <c r="DG165" s="765">
        <f t="shared" si="635"/>
        <v>0</v>
      </c>
      <c r="DH165" s="765">
        <f t="shared" si="635"/>
        <v>0</v>
      </c>
      <c r="DI165" s="215">
        <f t="shared" ref="DI165" si="636">SUM(DE165:DH165)</f>
        <v>0</v>
      </c>
      <c r="DJ165" s="217"/>
      <c r="DK165" s="217"/>
      <c r="DL165" s="217"/>
      <c r="DM165" s="217"/>
      <c r="DN165" s="784"/>
      <c r="DO165" s="217"/>
      <c r="DP165" s="217"/>
      <c r="DQ165" s="217"/>
      <c r="DR165" s="217"/>
      <c r="DS165" s="784"/>
      <c r="DT165" s="217"/>
      <c r="DU165" s="217"/>
      <c r="DV165" s="217"/>
      <c r="DW165" s="217"/>
      <c r="DX165" s="784"/>
      <c r="DY165" s="673"/>
      <c r="DZ165" s="673"/>
      <c r="EA165" s="673"/>
      <c r="EB165" s="673"/>
      <c r="EC165" s="673"/>
      <c r="ED165" s="673"/>
      <c r="EE165" s="673"/>
      <c r="EF165" s="673"/>
    </row>
    <row r="166" spans="1:136" hidden="1" outlineLevel="1" x14ac:dyDescent="0.2">
      <c r="A166" s="87" t="s">
        <v>671</v>
      </c>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272"/>
      <c r="AW166" s="38"/>
      <c r="AX166" s="38"/>
      <c r="AY166" s="38"/>
      <c r="AZ166" s="39"/>
      <c r="BA166" s="40"/>
      <c r="BB166" s="65"/>
      <c r="BC166" s="65"/>
      <c r="BD166" s="65"/>
      <c r="BE166" s="65"/>
      <c r="BF166" s="215"/>
      <c r="BG166" s="65"/>
      <c r="BH166" s="65"/>
      <c r="BI166" s="65"/>
      <c r="BJ166" s="65"/>
      <c r="BK166" s="215"/>
      <c r="BL166" s="65"/>
      <c r="BM166" s="65"/>
      <c r="BN166" s="65"/>
      <c r="BO166" s="65"/>
      <c r="BP166" s="215"/>
      <c r="BQ166" s="65"/>
      <c r="BR166" s="217"/>
      <c r="BS166" s="217"/>
      <c r="BT166" s="217"/>
      <c r="BU166" s="215"/>
      <c r="BV166" s="65">
        <f>(500-AVERAGE(BU82:BV82))*BV142/10000/4</f>
        <v>0.625</v>
      </c>
      <c r="BW166" s="1385">
        <f>(500-AVERAGE(BV82:BW82))*BW142/10000/4</f>
        <v>0.625</v>
      </c>
      <c r="BX166" s="65">
        <v>0</v>
      </c>
      <c r="BY166" s="65">
        <v>0</v>
      </c>
      <c r="BZ166" s="215">
        <f t="shared" ref="BZ166:BZ183" si="637">SUM(BV166:BY166)</f>
        <v>1.25</v>
      </c>
      <c r="CA166" s="65"/>
      <c r="CB166" s="65"/>
      <c r="CC166" s="65"/>
      <c r="CD166" s="65"/>
      <c r="CE166" s="215">
        <f t="shared" ref="CE166:CE183" si="638">SUM(CA166:CD166)</f>
        <v>0</v>
      </c>
      <c r="CF166" s="65">
        <f>(500-AVERAGE(CE82:CF82))*CF142/10000/4</f>
        <v>0.625</v>
      </c>
      <c r="CG166" s="65">
        <f>(500-AVERAGE(CF82:CG82))*CG142/10000/4</f>
        <v>0.625</v>
      </c>
      <c r="CH166" s="65">
        <f>(500-AVERAGE(CG82:CH82))*CH142/10000/4</f>
        <v>0.625</v>
      </c>
      <c r="CI166" s="65">
        <f>(500-AVERAGE(CH82:CI82))*CI142/10000/4</f>
        <v>0.625</v>
      </c>
      <c r="CJ166" s="215">
        <f t="shared" ref="CJ166:CJ183" si="639">SUM(CF166:CI166)</f>
        <v>2.5</v>
      </c>
      <c r="CK166" s="65">
        <f>(500-AVERAGE(CJ82:CK82))*CK142/10000/4</f>
        <v>0.625</v>
      </c>
      <c r="CL166" s="217">
        <f>(500-AVERAGE(CK82:CL82))*CL142/10000/4</f>
        <v>0.625</v>
      </c>
      <c r="CM166" s="217">
        <f>(500-AVERAGE(CL82:CM82))*CM142/10000/4</f>
        <v>0.625</v>
      </c>
      <c r="CN166" s="217">
        <f>(500-AVERAGE(CM82:CN82))*CN142/10000/4</f>
        <v>0.625</v>
      </c>
      <c r="CO166" s="215">
        <f t="shared" ref="CO166:CO183" si="640">SUM(CK166:CN166)</f>
        <v>2.5</v>
      </c>
      <c r="CP166" s="217">
        <f>(500-AVERAGE(CO82:CP82))*CP142/10000/4</f>
        <v>0.625</v>
      </c>
      <c r="CQ166" s="217">
        <f>(500-AVERAGE(CP82:CQ82))*CQ142/10000/4</f>
        <v>0.625</v>
      </c>
      <c r="CR166" s="217">
        <f>(500-AVERAGE(CQ82:CR82))*CR142/10000/4</f>
        <v>0.625</v>
      </c>
      <c r="CS166" s="217">
        <f>(500-AVERAGE(CR82:CS82))*CS142/10000/4</f>
        <v>0.625</v>
      </c>
      <c r="CT166" s="215">
        <f t="shared" ref="CT166" si="641">SUM(CP166:CS166)</f>
        <v>2.5</v>
      </c>
      <c r="CU166" s="217">
        <f>(500-AVERAGE(CT82:CU82))*CU142/10000/4</f>
        <v>0.625</v>
      </c>
      <c r="CV166" s="217">
        <f>(500-AVERAGE(CU82:CV82))*CV142/10000/4</f>
        <v>0.625</v>
      </c>
      <c r="CW166" s="217">
        <f>(500-AVERAGE(CV82:CW82))*CW142/10000/4</f>
        <v>0.625</v>
      </c>
      <c r="CX166" s="217">
        <f>(500-AVERAGE(CW82:CX82))*CX142/10000/4</f>
        <v>0.625</v>
      </c>
      <c r="CY166" s="215">
        <f t="shared" ref="CY166" si="642">SUM(CU166:CX166)</f>
        <v>2.5</v>
      </c>
      <c r="CZ166" s="217">
        <f>(500-AVERAGE(CY82:CZ82))*CZ142/10000/4</f>
        <v>0.625</v>
      </c>
      <c r="DA166" s="217">
        <f>(500-AVERAGE(CZ82:DA82))*DA142/10000/4</f>
        <v>0.625</v>
      </c>
      <c r="DB166" s="217">
        <f>(500-AVERAGE(DA82:DB82))*DB142/10000/4</f>
        <v>0.625</v>
      </c>
      <c r="DC166" s="217">
        <f>(500-AVERAGE(DB82:DC82))*DC142/10000/4</f>
        <v>0.625</v>
      </c>
      <c r="DD166" s="215">
        <f t="shared" ref="DD166" si="643">SUM(CZ166:DC166)</f>
        <v>2.5</v>
      </c>
      <c r="DE166" s="217">
        <f>(500-AVERAGE(DD82:DE82))*DE142/10000/4</f>
        <v>0.625</v>
      </c>
      <c r="DF166" s="217">
        <f>(500-AVERAGE(DE82:DF82))*DF142/10000/4</f>
        <v>0.625</v>
      </c>
      <c r="DG166" s="217">
        <f>(500-AVERAGE(DF82:DG82))*DG142/10000/4</f>
        <v>0.625</v>
      </c>
      <c r="DH166" s="217">
        <f>(500-AVERAGE(DG82:DH82))*DH142/10000/4</f>
        <v>0.625</v>
      </c>
      <c r="DI166" s="215">
        <f t="shared" ref="DI166" si="644">SUM(DE166:DH166)</f>
        <v>2.5</v>
      </c>
      <c r="DJ166" s="217"/>
      <c r="DK166" s="217"/>
      <c r="DL166" s="217"/>
      <c r="DM166" s="217"/>
      <c r="DN166" s="784"/>
      <c r="DO166" s="217"/>
      <c r="DP166" s="217"/>
      <c r="DQ166" s="217"/>
      <c r="DR166" s="217"/>
      <c r="DS166" s="784"/>
      <c r="DT166" s="217"/>
      <c r="DU166" s="217"/>
      <c r="DV166" s="217"/>
      <c r="DW166" s="217"/>
      <c r="DX166" s="784"/>
      <c r="DY166" s="673"/>
      <c r="DZ166" s="673"/>
      <c r="EA166" s="673"/>
      <c r="EB166" s="673"/>
      <c r="EC166" s="673"/>
      <c r="ED166" s="673"/>
      <c r="EE166" s="673"/>
      <c r="EF166" s="673"/>
    </row>
    <row r="167" spans="1:136" hidden="1" outlineLevel="1" x14ac:dyDescent="0.2">
      <c r="A167" s="87" t="s">
        <v>636</v>
      </c>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272"/>
      <c r="AW167" s="38"/>
      <c r="AX167" s="38"/>
      <c r="AY167" s="38"/>
      <c r="AZ167" s="39"/>
      <c r="BA167" s="40"/>
      <c r="BB167" s="65"/>
      <c r="BC167" s="65"/>
      <c r="BD167" s="65"/>
      <c r="BE167" s="65"/>
      <c r="BF167" s="215"/>
      <c r="BG167" s="65"/>
      <c r="BH167" s="65"/>
      <c r="BI167" s="65"/>
      <c r="BJ167" s="65"/>
      <c r="BK167" s="215"/>
      <c r="BL167" s="65"/>
      <c r="BM167" s="65"/>
      <c r="BN167" s="65"/>
      <c r="BO167" s="65"/>
      <c r="BP167" s="215"/>
      <c r="BQ167" s="65"/>
      <c r="BR167" s="217"/>
      <c r="BS167" s="217"/>
      <c r="BT167" s="673">
        <f t="shared" si="624"/>
        <v>31.1</v>
      </c>
      <c r="BU167" s="215">
        <v>31.1</v>
      </c>
      <c r="BV167" s="297">
        <f>BV144*AVERAGE(BU83:BV83)/4</f>
        <v>33.75</v>
      </c>
      <c r="BW167" s="1385">
        <f>BW144*AVERAGE(BV83:BW83)/4</f>
        <v>33.75</v>
      </c>
      <c r="BX167" s="65">
        <v>33.799999999999997</v>
      </c>
      <c r="BY167" s="65">
        <f>BY144*AVERAGE(BX83:BY83)/4</f>
        <v>33.75</v>
      </c>
      <c r="BZ167" s="215">
        <f t="shared" si="637"/>
        <v>135.05000000000001</v>
      </c>
      <c r="CA167" s="297">
        <v>33.700000000000003</v>
      </c>
      <c r="CB167" s="65">
        <v>33.799999999999997</v>
      </c>
      <c r="CC167" s="65">
        <v>33.799999999999997</v>
      </c>
      <c r="CD167" s="65">
        <f>CD144*AVERAGE(CC83:CD83)/4</f>
        <v>33.75</v>
      </c>
      <c r="CE167" s="215">
        <f t="shared" si="638"/>
        <v>135.05000000000001</v>
      </c>
      <c r="CF167" s="65">
        <f>CF144*AVERAGE(CE83:CF83)/4</f>
        <v>33.75</v>
      </c>
      <c r="CG167" s="65">
        <f>CG144*AVERAGE(CF83:CG83)/4</f>
        <v>33.75</v>
      </c>
      <c r="CH167" s="65">
        <f>CH144*CG83/4*(2/3)+CH144*CH83/4*(1/3)</f>
        <v>27.5</v>
      </c>
      <c r="CI167" s="65">
        <f>CI144*CH83/4*(1/2)</f>
        <v>7.5</v>
      </c>
      <c r="CJ167" s="215">
        <f t="shared" si="639"/>
        <v>102.5</v>
      </c>
      <c r="CK167" s="65">
        <f t="shared" ref="CK167:CN167" si="645">IF(CJ83=0,0,CK144*AVERAGE(CJ83:CK83)/4)</f>
        <v>0</v>
      </c>
      <c r="CL167" s="217">
        <f t="shared" si="645"/>
        <v>0</v>
      </c>
      <c r="CM167" s="217">
        <f t="shared" si="645"/>
        <v>0</v>
      </c>
      <c r="CN167" s="217">
        <f t="shared" si="645"/>
        <v>0</v>
      </c>
      <c r="CO167" s="215">
        <f t="shared" si="640"/>
        <v>0</v>
      </c>
      <c r="CP167" s="217">
        <f t="shared" ref="CP167:CS167" si="646">IF(CO83=0,0,CP144*AVERAGE(CO83:CP83)/4)</f>
        <v>0</v>
      </c>
      <c r="CQ167" s="217">
        <f t="shared" si="646"/>
        <v>0</v>
      </c>
      <c r="CR167" s="217">
        <f t="shared" si="646"/>
        <v>0</v>
      </c>
      <c r="CS167" s="217">
        <f t="shared" si="646"/>
        <v>0</v>
      </c>
      <c r="CT167" s="215">
        <f t="shared" ref="CT167:CT183" si="647">SUM(CP167:CS167)</f>
        <v>0</v>
      </c>
      <c r="CU167" s="217">
        <f t="shared" ref="CU167:CX167" si="648">IF(CT83=0,0,CU144*AVERAGE(CT83:CU83)/4)</f>
        <v>0</v>
      </c>
      <c r="CV167" s="217">
        <f t="shared" si="648"/>
        <v>0</v>
      </c>
      <c r="CW167" s="217">
        <f t="shared" si="648"/>
        <v>0</v>
      </c>
      <c r="CX167" s="217">
        <f t="shared" si="648"/>
        <v>0</v>
      </c>
      <c r="CY167" s="215">
        <f t="shared" ref="CY167:CY183" si="649">SUM(CU167:CX167)</f>
        <v>0</v>
      </c>
      <c r="CZ167" s="217">
        <f t="shared" ref="CZ167:DR167" si="650">IF(CY83=0,0,CZ144*AVERAGE(CY83:CZ83)/4)</f>
        <v>0</v>
      </c>
      <c r="DA167" s="217">
        <f t="shared" si="650"/>
        <v>0</v>
      </c>
      <c r="DB167" s="217">
        <f t="shared" si="650"/>
        <v>0</v>
      </c>
      <c r="DC167" s="217">
        <f t="shared" si="650"/>
        <v>0</v>
      </c>
      <c r="DD167" s="215">
        <f t="shared" ref="DD167:DD183" si="651">SUM(CZ167:DC167)</f>
        <v>0</v>
      </c>
      <c r="DE167" s="217">
        <f t="shared" si="650"/>
        <v>0</v>
      </c>
      <c r="DF167" s="217">
        <f t="shared" si="650"/>
        <v>0</v>
      </c>
      <c r="DG167" s="217">
        <f t="shared" si="650"/>
        <v>0</v>
      </c>
      <c r="DH167" s="217">
        <f t="shared" si="650"/>
        <v>0</v>
      </c>
      <c r="DI167" s="215">
        <f t="shared" ref="DI167:DI183" si="652">SUM(DE167:DH167)</f>
        <v>0</v>
      </c>
      <c r="DJ167" s="217">
        <f t="shared" si="650"/>
        <v>0</v>
      </c>
      <c r="DK167" s="217">
        <f t="shared" si="650"/>
        <v>0</v>
      </c>
      <c r="DL167" s="217">
        <f t="shared" si="650"/>
        <v>0</v>
      </c>
      <c r="DM167" s="217">
        <f t="shared" si="650"/>
        <v>0</v>
      </c>
      <c r="DN167" s="215">
        <f t="shared" ref="DN167" si="653">SUM(DJ167:DM167)</f>
        <v>0</v>
      </c>
      <c r="DO167" s="217">
        <f t="shared" si="650"/>
        <v>0</v>
      </c>
      <c r="DP167" s="217">
        <f t="shared" si="650"/>
        <v>0</v>
      </c>
      <c r="DQ167" s="217">
        <f t="shared" si="650"/>
        <v>0</v>
      </c>
      <c r="DR167" s="217">
        <f t="shared" si="650"/>
        <v>0</v>
      </c>
      <c r="DS167" s="215">
        <f t="shared" ref="DS167" si="654">SUM(DO167:DR167)</f>
        <v>0</v>
      </c>
      <c r="DT167" s="217">
        <f t="shared" ref="DT167" si="655">IF(DS83=0,0,DT144*AVERAGE(DS83:DT83)/4)</f>
        <v>0</v>
      </c>
      <c r="DU167" s="217">
        <f t="shared" ref="DU167" si="656">IF(DT83=0,0,DU144*AVERAGE(DT83:DU83)/4)</f>
        <v>0</v>
      </c>
      <c r="DV167" s="217">
        <f t="shared" ref="DV167" si="657">IF(DU83=0,0,DV144*AVERAGE(DU83:DV83)/4)</f>
        <v>0</v>
      </c>
      <c r="DW167" s="217">
        <f t="shared" ref="DW167" si="658">IF(DV83=0,0,DW144*AVERAGE(DV83:DW83)/4)</f>
        <v>0</v>
      </c>
      <c r="DX167" s="215">
        <f t="shared" ref="DX167" si="659">SUM(DT167:DW167)</f>
        <v>0</v>
      </c>
      <c r="DY167" s="673"/>
      <c r="DZ167" s="673"/>
      <c r="EA167" s="673"/>
      <c r="EB167" s="673"/>
      <c r="EC167" s="673"/>
      <c r="ED167" s="673"/>
      <c r="EE167" s="673"/>
      <c r="EF167" s="673"/>
    </row>
    <row r="168" spans="1:136" hidden="1" outlineLevel="1" x14ac:dyDescent="0.2">
      <c r="A168" s="87" t="s">
        <v>818</v>
      </c>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272"/>
      <c r="AW168" s="38"/>
      <c r="AX168" s="38"/>
      <c r="AY168" s="38"/>
      <c r="AZ168" s="39"/>
      <c r="BA168" s="40"/>
      <c r="BB168" s="65"/>
      <c r="BC168" s="65"/>
      <c r="BD168" s="65"/>
      <c r="BE168" s="65"/>
      <c r="BF168" s="215"/>
      <c r="BG168" s="65"/>
      <c r="BH168" s="65"/>
      <c r="BI168" s="65"/>
      <c r="BJ168" s="65"/>
      <c r="BK168" s="215"/>
      <c r="BL168" s="65"/>
      <c r="BM168" s="65"/>
      <c r="BN168" s="65"/>
      <c r="BO168" s="65"/>
      <c r="BP168" s="215"/>
      <c r="BQ168" s="65"/>
      <c r="BR168" s="217"/>
      <c r="BS168" s="217"/>
      <c r="BT168" s="673"/>
      <c r="BU168" s="215"/>
      <c r="BV168" s="297"/>
      <c r="BW168" s="1385"/>
      <c r="BX168" s="65"/>
      <c r="BY168" s="65"/>
      <c r="BZ168" s="215"/>
      <c r="CA168" s="297"/>
      <c r="CB168" s="65"/>
      <c r="CC168" s="65"/>
      <c r="CD168" s="65"/>
      <c r="CE168" s="215"/>
      <c r="CF168" s="65"/>
      <c r="CG168" s="65">
        <f>CG145*AVERAGE(CF84:CG84)*0.5/(4)</f>
        <v>7.9687500000000009</v>
      </c>
      <c r="CH168" s="65">
        <f>CH145*AVERAGE(CG84:CH84)/4</f>
        <v>16.125</v>
      </c>
      <c r="CI168" s="65">
        <f>CI145*(CH84*5/6+CI84*1/6)/4</f>
        <v>16.125</v>
      </c>
      <c r="CJ168" s="215">
        <f t="shared" si="639"/>
        <v>40.21875</v>
      </c>
      <c r="CK168" s="65">
        <f t="shared" ref="CK168:DP168" si="660">CK145*AVERAGE(CJ84:CK84)/4</f>
        <v>16.125</v>
      </c>
      <c r="CL168" s="217">
        <f t="shared" si="660"/>
        <v>16.125</v>
      </c>
      <c r="CM168" s="217">
        <f t="shared" si="660"/>
        <v>16.125</v>
      </c>
      <c r="CN168" s="217">
        <f t="shared" si="660"/>
        <v>16.125</v>
      </c>
      <c r="CO168" s="215">
        <f t="shared" si="640"/>
        <v>64.5</v>
      </c>
      <c r="CP168" s="217">
        <f t="shared" si="660"/>
        <v>16.125</v>
      </c>
      <c r="CQ168" s="217">
        <f t="shared" si="660"/>
        <v>16.125</v>
      </c>
      <c r="CR168" s="217">
        <f t="shared" si="660"/>
        <v>16.125</v>
      </c>
      <c r="CS168" s="217">
        <f t="shared" si="660"/>
        <v>16.125</v>
      </c>
      <c r="CT168" s="215">
        <f t="shared" ref="CT168" si="661">SUM(CP168:CS168)</f>
        <v>64.5</v>
      </c>
      <c r="CU168" s="217">
        <f t="shared" si="660"/>
        <v>16.125</v>
      </c>
      <c r="CV168" s="217">
        <f t="shared" si="660"/>
        <v>16.125</v>
      </c>
      <c r="CW168" s="217">
        <f t="shared" si="660"/>
        <v>16.125</v>
      </c>
      <c r="CX168" s="217">
        <f t="shared" si="660"/>
        <v>16.125</v>
      </c>
      <c r="CY168" s="215">
        <f t="shared" ref="CY168" si="662">SUM(CU168:CX168)</f>
        <v>64.5</v>
      </c>
      <c r="CZ168" s="217">
        <f t="shared" si="660"/>
        <v>16.125</v>
      </c>
      <c r="DA168" s="217">
        <f t="shared" si="660"/>
        <v>16.125</v>
      </c>
      <c r="DB168" s="217">
        <f t="shared" si="660"/>
        <v>16.125</v>
      </c>
      <c r="DC168" s="217">
        <f t="shared" si="660"/>
        <v>16.125</v>
      </c>
      <c r="DD168" s="215">
        <f t="shared" ref="DD168" si="663">SUM(CZ168:DC168)</f>
        <v>64.5</v>
      </c>
      <c r="DE168" s="217">
        <f t="shared" si="660"/>
        <v>16.125</v>
      </c>
      <c r="DF168" s="217">
        <f t="shared" si="660"/>
        <v>16.125</v>
      </c>
      <c r="DG168" s="217">
        <f t="shared" si="660"/>
        <v>16.125</v>
      </c>
      <c r="DH168" s="217">
        <f t="shared" si="660"/>
        <v>16.125</v>
      </c>
      <c r="DI168" s="215">
        <f t="shared" ref="DI168" si="664">SUM(DE168:DH168)</f>
        <v>64.5</v>
      </c>
      <c r="DJ168" s="217">
        <f t="shared" si="660"/>
        <v>16.125</v>
      </c>
      <c r="DK168" s="217">
        <f t="shared" si="660"/>
        <v>16.125</v>
      </c>
      <c r="DL168" s="217">
        <f t="shared" si="660"/>
        <v>16.125</v>
      </c>
      <c r="DM168" s="217">
        <f t="shared" si="660"/>
        <v>16.125</v>
      </c>
      <c r="DN168" s="215">
        <f t="shared" ref="DN168" si="665">SUM(DJ168:DM168)</f>
        <v>64.5</v>
      </c>
      <c r="DO168" s="217">
        <f t="shared" si="660"/>
        <v>16.125</v>
      </c>
      <c r="DP168" s="217">
        <f t="shared" si="660"/>
        <v>16.125</v>
      </c>
      <c r="DQ168" s="217"/>
      <c r="DR168" s="217"/>
      <c r="DS168" s="215">
        <f t="shared" ref="DS168" si="666">SUM(DO168:DR168)</f>
        <v>32.25</v>
      </c>
      <c r="DT168" s="217"/>
      <c r="DU168" s="217"/>
      <c r="DV168" s="217"/>
      <c r="DW168" s="217"/>
      <c r="DX168" s="215"/>
      <c r="DY168" s="673"/>
      <c r="DZ168" s="673"/>
      <c r="EA168" s="673"/>
      <c r="EB168" s="673"/>
      <c r="EC168" s="673"/>
      <c r="ED168" s="673"/>
      <c r="EE168" s="673"/>
      <c r="EF168" s="673"/>
    </row>
    <row r="169" spans="1:136" hidden="1" outlineLevel="1" x14ac:dyDescent="0.2">
      <c r="A169" s="87" t="s">
        <v>828</v>
      </c>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272"/>
      <c r="AW169" s="38"/>
      <c r="AX169" s="38"/>
      <c r="AY169" s="38"/>
      <c r="AZ169" s="39"/>
      <c r="BA169" s="40"/>
      <c r="BB169" s="65"/>
      <c r="BC169" s="65"/>
      <c r="BD169" s="65"/>
      <c r="BE169" s="65"/>
      <c r="BF169" s="215"/>
      <c r="BG169" s="65"/>
      <c r="BH169" s="65"/>
      <c r="BI169" s="65"/>
      <c r="BJ169" s="65"/>
      <c r="BK169" s="215"/>
      <c r="BL169" s="65"/>
      <c r="BM169" s="65"/>
      <c r="BN169" s="65"/>
      <c r="BO169" s="65"/>
      <c r="BP169" s="215"/>
      <c r="BQ169" s="65"/>
      <c r="BR169" s="217"/>
      <c r="BS169" s="217"/>
      <c r="BT169" s="673"/>
      <c r="BU169" s="215"/>
      <c r="BV169" s="297"/>
      <c r="BW169" s="1385"/>
      <c r="BX169" s="65"/>
      <c r="BY169" s="65"/>
      <c r="BZ169" s="215"/>
      <c r="CA169" s="297"/>
      <c r="CB169" s="65"/>
      <c r="CC169" s="65"/>
      <c r="CD169" s="65"/>
      <c r="CE169" s="215"/>
      <c r="CF169" s="65"/>
      <c r="CG169" s="65"/>
      <c r="CH169" s="53">
        <f>CH146*1300/4*(2/3)+CH146*1500/4*(1/3)</f>
        <v>17.083333333333332</v>
      </c>
      <c r="CI169" s="53">
        <f>CI146*AVERAGE(CI85,CH85)/4</f>
        <v>25.625</v>
      </c>
      <c r="CJ169" s="215">
        <f>SUM(CF169:CI169)</f>
        <v>42.708333333333329</v>
      </c>
      <c r="CK169" s="53">
        <f>CK146*AVERAGE(CK85,CJ85)/4</f>
        <v>35</v>
      </c>
      <c r="CL169" s="765">
        <f>CL146*AVERAGE(CL85,CK85)/4</f>
        <v>35</v>
      </c>
      <c r="CM169" s="765">
        <f>CM146*AVERAGE(CM85,CL85)/4</f>
        <v>35</v>
      </c>
      <c r="CN169" s="765">
        <f>CN146*AVERAGE(CN85,CM85)/4</f>
        <v>35</v>
      </c>
      <c r="CO169" s="215">
        <f>SUM(CK169:CN169)</f>
        <v>140</v>
      </c>
      <c r="CP169" s="765">
        <f>CP146*AVERAGE(CP85,CO85)/4</f>
        <v>35</v>
      </c>
      <c r="CQ169" s="765">
        <f>CQ146*AVERAGE(CQ85,CP85)/4</f>
        <v>35</v>
      </c>
      <c r="CR169" s="765">
        <f>CR146*AVERAGE(CR85,CQ85)/4</f>
        <v>35</v>
      </c>
      <c r="CS169" s="765">
        <f>CS146*AVERAGE(CS85,CR85)/4</f>
        <v>35</v>
      </c>
      <c r="CT169" s="215">
        <f>SUM(CP169:CS169)</f>
        <v>140</v>
      </c>
      <c r="CU169" s="765">
        <f>CU146*AVERAGE(CU85,CT85)/4</f>
        <v>35</v>
      </c>
      <c r="CV169" s="765">
        <f>CV146*AVERAGE(CV85,CU85)/4</f>
        <v>35</v>
      </c>
      <c r="CW169" s="765">
        <f>CW146*AVERAGE(CW85,CV85)/4</f>
        <v>35</v>
      </c>
      <c r="CX169" s="765">
        <f>CX146*AVERAGE(CX85,CW85)/4</f>
        <v>35</v>
      </c>
      <c r="CY169" s="215">
        <f>SUM(CU169:CX169)</f>
        <v>140</v>
      </c>
      <c r="CZ169" s="765">
        <f>CZ146*AVERAGE(CZ85,CY85)/4</f>
        <v>35</v>
      </c>
      <c r="DA169" s="765">
        <f>DA146*AVERAGE(DA85,CZ85)/4</f>
        <v>35</v>
      </c>
      <c r="DB169" s="765">
        <f>DB146*AVERAGE(DB85,DA85)/4</f>
        <v>35</v>
      </c>
      <c r="DC169" s="765">
        <f>DC146*AVERAGE(DC85,DB85)/4</f>
        <v>35</v>
      </c>
      <c r="DD169" s="215">
        <f>SUM(CZ169:DC169)</f>
        <v>140</v>
      </c>
      <c r="DE169" s="765">
        <f>DE146*AVERAGE(DE85,DD85)/4</f>
        <v>35</v>
      </c>
      <c r="DF169" s="765">
        <f>DF146*AVERAGE(DF85,DE85)/4</f>
        <v>35</v>
      </c>
      <c r="DG169" s="765">
        <f>DG146*AVERAGE(DG85,DF85)/4</f>
        <v>35</v>
      </c>
      <c r="DH169" s="765">
        <f>DH146*AVERAGE(DH85,DG85)/4</f>
        <v>35</v>
      </c>
      <c r="DI169" s="215">
        <f>SUM(DE169:DH169)</f>
        <v>140</v>
      </c>
      <c r="DJ169" s="765">
        <f>DJ146*AVERAGE(DJ85,DI85)/4</f>
        <v>35</v>
      </c>
      <c r="DK169" s="765">
        <f>DK146*AVERAGE(DK85,DJ85)/4</f>
        <v>35</v>
      </c>
      <c r="DL169" s="765">
        <f>DL146*AVERAGE(DL85,DK85)/4</f>
        <v>35</v>
      </c>
      <c r="DM169" s="765">
        <f>DM146*AVERAGE(DM85,DL85)/4</f>
        <v>35</v>
      </c>
      <c r="DN169" s="215">
        <f>SUM(DJ169:DM169)</f>
        <v>140</v>
      </c>
      <c r="DO169" s="765">
        <f>DO146*AVERAGE(DO85,DN85)/4</f>
        <v>35</v>
      </c>
      <c r="DP169" s="765">
        <f>DP146*AVERAGE(DP85,DO85)/4</f>
        <v>35</v>
      </c>
      <c r="DQ169" s="765">
        <f>DQ146*AVERAGE(DQ85,DP85)/4</f>
        <v>35</v>
      </c>
      <c r="DR169" s="765">
        <f>DR146*AVERAGE(DR85,DQ85)/4</f>
        <v>35</v>
      </c>
      <c r="DS169" s="215">
        <f>SUM(DO169:DR169)</f>
        <v>140</v>
      </c>
      <c r="DT169" s="765">
        <f>DT146*AVERAGE(DT85,DS85)/4</f>
        <v>35</v>
      </c>
      <c r="DU169" s="765">
        <f>DU146*AVERAGE(DU85,DT85)/4</f>
        <v>35</v>
      </c>
      <c r="DV169" s="765">
        <f>DV146*AVERAGE(DV85,DU85)/4</f>
        <v>35</v>
      </c>
      <c r="DW169" s="765">
        <f>DW146*AVERAGE(DW85,DV85)/4</f>
        <v>35</v>
      </c>
      <c r="DX169" s="215">
        <f>SUM(DT169:DW169)</f>
        <v>140</v>
      </c>
      <c r="DY169" s="673"/>
      <c r="DZ169" s="673"/>
      <c r="EA169" s="673"/>
      <c r="EB169" s="673"/>
      <c r="EC169" s="673"/>
      <c r="ED169" s="673"/>
      <c r="EE169" s="673"/>
      <c r="EF169" s="673"/>
    </row>
    <row r="170" spans="1:136" hidden="1" outlineLevel="1" x14ac:dyDescent="0.2">
      <c r="A170" s="87" t="s">
        <v>665</v>
      </c>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272"/>
      <c r="AW170" s="38"/>
      <c r="AX170" s="38"/>
      <c r="AY170" s="38"/>
      <c r="AZ170" s="39"/>
      <c r="BA170" s="40"/>
      <c r="BB170" s="65"/>
      <c r="BC170" s="65"/>
      <c r="BD170" s="65"/>
      <c r="BE170" s="65"/>
      <c r="BF170" s="215"/>
      <c r="BG170" s="65"/>
      <c r="BH170" s="65"/>
      <c r="BI170" s="65"/>
      <c r="BJ170" s="65"/>
      <c r="BK170" s="215"/>
      <c r="BL170" s="65"/>
      <c r="BM170" s="65"/>
      <c r="BN170" s="65"/>
      <c r="BO170" s="65"/>
      <c r="BP170" s="215"/>
      <c r="BQ170" s="65"/>
      <c r="BR170" s="217"/>
      <c r="BS170" s="217"/>
      <c r="BT170" s="673">
        <f>BU170-SUM(BQ170:BS170)</f>
        <v>1.8</v>
      </c>
      <c r="BU170" s="215">
        <v>1.8</v>
      </c>
      <c r="BV170" s="53">
        <f>BV148*AVERAGE(BU86:BV86)/4</f>
        <v>1.3755000000000002</v>
      </c>
      <c r="BW170" s="1351"/>
      <c r="BX170" s="839">
        <v>0.4</v>
      </c>
      <c r="BY170" s="53">
        <f>BY147*BY89/4</f>
        <v>0.40000000000000008</v>
      </c>
      <c r="BZ170" s="215">
        <f t="shared" si="637"/>
        <v>2.1755</v>
      </c>
      <c r="CA170" s="53">
        <v>0.4</v>
      </c>
      <c r="CB170" s="53">
        <v>0.3</v>
      </c>
      <c r="CC170" s="53">
        <v>0.4</v>
      </c>
      <c r="CD170" s="53">
        <f t="shared" ref="CD170:CN170" si="667">CD147*CD89/4</f>
        <v>0.28862559241706159</v>
      </c>
      <c r="CE170" s="215">
        <f t="shared" si="638"/>
        <v>1.3886255924170616</v>
      </c>
      <c r="CF170" s="53">
        <f t="shared" si="667"/>
        <v>0.29146919431279622</v>
      </c>
      <c r="CG170" s="53">
        <f t="shared" si="667"/>
        <v>0.29146919431279622</v>
      </c>
      <c r="CH170" s="53">
        <f t="shared" si="667"/>
        <v>0.29146919431279622</v>
      </c>
      <c r="CI170" s="53">
        <f t="shared" si="667"/>
        <v>0.29146919431279622</v>
      </c>
      <c r="CJ170" s="215">
        <f t="shared" si="639"/>
        <v>1.1658767772511849</v>
      </c>
      <c r="CK170" s="53">
        <f t="shared" si="667"/>
        <v>0</v>
      </c>
      <c r="CL170" s="765">
        <f t="shared" si="667"/>
        <v>0</v>
      </c>
      <c r="CM170" s="765">
        <f t="shared" si="667"/>
        <v>0</v>
      </c>
      <c r="CN170" s="765">
        <f t="shared" si="667"/>
        <v>0</v>
      </c>
      <c r="CO170" s="215">
        <f t="shared" si="640"/>
        <v>0</v>
      </c>
      <c r="CP170" s="765"/>
      <c r="CQ170" s="765"/>
      <c r="CR170" s="765"/>
      <c r="CS170" s="765"/>
      <c r="CT170" s="215">
        <f t="shared" si="647"/>
        <v>0</v>
      </c>
      <c r="CU170" s="765"/>
      <c r="CV170" s="765"/>
      <c r="CW170" s="765"/>
      <c r="CX170" s="765"/>
      <c r="CY170" s="215">
        <f t="shared" si="649"/>
        <v>0</v>
      </c>
      <c r="CZ170" s="765"/>
      <c r="DA170" s="765"/>
      <c r="DB170" s="765"/>
      <c r="DC170" s="765"/>
      <c r="DD170" s="215">
        <f t="shared" si="651"/>
        <v>0</v>
      </c>
      <c r="DE170" s="765"/>
      <c r="DF170" s="765"/>
      <c r="DG170" s="765"/>
      <c r="DH170" s="765"/>
      <c r="DI170" s="215">
        <f t="shared" si="652"/>
        <v>0</v>
      </c>
      <c r="DJ170" s="217"/>
      <c r="DK170" s="217"/>
      <c r="DL170" s="217"/>
      <c r="DM170" s="217"/>
      <c r="DN170" s="784"/>
      <c r="DO170" s="217"/>
      <c r="DP170" s="217"/>
      <c r="DQ170" s="217"/>
      <c r="DR170" s="217"/>
      <c r="DS170" s="784"/>
      <c r="DT170" s="217"/>
      <c r="DU170" s="217"/>
      <c r="DV170" s="217"/>
      <c r="DW170" s="217"/>
      <c r="DX170" s="784"/>
      <c r="DY170" s="673"/>
      <c r="DZ170" s="673"/>
      <c r="EA170" s="673"/>
      <c r="EB170" s="673"/>
      <c r="EC170" s="673"/>
      <c r="ED170" s="673"/>
      <c r="EE170" s="673"/>
      <c r="EF170" s="673"/>
    </row>
    <row r="171" spans="1:136" hidden="1" outlineLevel="1" x14ac:dyDescent="0.2">
      <c r="A171" s="87" t="s">
        <v>666</v>
      </c>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272"/>
      <c r="AW171" s="38"/>
      <c r="AX171" s="38"/>
      <c r="AY171" s="38"/>
      <c r="AZ171" s="39"/>
      <c r="BA171" s="40"/>
      <c r="BB171" s="65"/>
      <c r="BC171" s="65"/>
      <c r="BD171" s="65"/>
      <c r="BE171" s="65"/>
      <c r="BF171" s="215"/>
      <c r="BG171" s="65"/>
      <c r="BH171" s="65"/>
      <c r="BI171" s="65"/>
      <c r="BJ171" s="65"/>
      <c r="BK171" s="215"/>
      <c r="BL171" s="65"/>
      <c r="BM171" s="65"/>
      <c r="BN171" s="65"/>
      <c r="BO171" s="65"/>
      <c r="BP171" s="215"/>
      <c r="BQ171" s="65"/>
      <c r="BR171" s="217"/>
      <c r="BS171" s="217"/>
      <c r="BT171" s="217"/>
      <c r="BU171" s="215"/>
      <c r="BV171" s="53">
        <f>BV149*AVERAGE(BU87:BV87)/4</f>
        <v>2.6372249999999999</v>
      </c>
      <c r="BW171" s="1351"/>
      <c r="BX171" s="53"/>
      <c r="BY171" s="53"/>
      <c r="BZ171" s="215">
        <f t="shared" si="637"/>
        <v>2.6372249999999999</v>
      </c>
      <c r="CA171" s="53">
        <f>CA149*AVERAGE(BZ87:CA87)/4</f>
        <v>0</v>
      </c>
      <c r="CB171" s="53"/>
      <c r="CC171" s="53"/>
      <c r="CD171" s="53"/>
      <c r="CE171" s="215">
        <f t="shared" si="638"/>
        <v>0</v>
      </c>
      <c r="CF171" s="53"/>
      <c r="CG171" s="53"/>
      <c r="CH171" s="53"/>
      <c r="CI171" s="53"/>
      <c r="CJ171" s="215">
        <f t="shared" si="639"/>
        <v>0</v>
      </c>
      <c r="CK171" s="53"/>
      <c r="CL171" s="765"/>
      <c r="CM171" s="765"/>
      <c r="CN171" s="765"/>
      <c r="CO171" s="215">
        <f t="shared" si="640"/>
        <v>0</v>
      </c>
      <c r="CP171" s="765"/>
      <c r="CQ171" s="765"/>
      <c r="CR171" s="765"/>
      <c r="CS171" s="765"/>
      <c r="CT171" s="215">
        <f t="shared" si="647"/>
        <v>0</v>
      </c>
      <c r="CU171" s="765"/>
      <c r="CV171" s="765"/>
      <c r="CW171" s="765"/>
      <c r="CX171" s="765"/>
      <c r="CY171" s="215">
        <f t="shared" si="649"/>
        <v>0</v>
      </c>
      <c r="CZ171" s="765"/>
      <c r="DA171" s="765"/>
      <c r="DB171" s="765"/>
      <c r="DC171" s="765"/>
      <c r="DD171" s="215">
        <f t="shared" si="651"/>
        <v>0</v>
      </c>
      <c r="DE171" s="765"/>
      <c r="DF171" s="765"/>
      <c r="DG171" s="765"/>
      <c r="DH171" s="765"/>
      <c r="DI171" s="215">
        <f t="shared" si="652"/>
        <v>0</v>
      </c>
      <c r="DJ171" s="217"/>
      <c r="DK171" s="217"/>
      <c r="DL171" s="217"/>
      <c r="DM171" s="217"/>
      <c r="DN171" s="784"/>
      <c r="DO171" s="217"/>
      <c r="DP171" s="217"/>
      <c r="DQ171" s="217"/>
      <c r="DR171" s="217"/>
      <c r="DS171" s="784"/>
      <c r="DT171" s="217"/>
      <c r="DU171" s="217"/>
      <c r="DV171" s="217"/>
      <c r="DW171" s="217"/>
      <c r="DX171" s="784"/>
      <c r="DY171" s="673"/>
      <c r="DZ171" s="673"/>
      <c r="EA171" s="673"/>
      <c r="EB171" s="673"/>
      <c r="EC171" s="673"/>
      <c r="ED171" s="673"/>
      <c r="EE171" s="673"/>
      <c r="EF171" s="673"/>
    </row>
    <row r="172" spans="1:136" hidden="1" outlineLevel="1" x14ac:dyDescent="0.2">
      <c r="A172" s="87" t="s">
        <v>667</v>
      </c>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272"/>
      <c r="AW172" s="38"/>
      <c r="AX172" s="38"/>
      <c r="AY172" s="38"/>
      <c r="AZ172" s="39"/>
      <c r="BA172" s="40"/>
      <c r="BB172" s="65"/>
      <c r="BC172" s="65"/>
      <c r="BD172" s="65"/>
      <c r="BE172" s="65"/>
      <c r="BF172" s="215"/>
      <c r="BG172" s="65"/>
      <c r="BH172" s="65"/>
      <c r="BI172" s="65"/>
      <c r="BJ172" s="65"/>
      <c r="BK172" s="215"/>
      <c r="BL172" s="65"/>
      <c r="BM172" s="65"/>
      <c r="BN172" s="65"/>
      <c r="BO172" s="65"/>
      <c r="BP172" s="215"/>
      <c r="BQ172" s="65"/>
      <c r="BR172" s="217"/>
      <c r="BS172" s="217"/>
      <c r="BT172" s="217"/>
      <c r="BU172" s="215"/>
      <c r="BV172" s="53">
        <f>BV150*AVERAGE(BU88:BV88)/4</f>
        <v>1.4213625000000001</v>
      </c>
      <c r="BW172" s="1351"/>
      <c r="BX172" s="53"/>
      <c r="BY172" s="53"/>
      <c r="BZ172" s="215">
        <f t="shared" si="637"/>
        <v>1.4213625000000001</v>
      </c>
      <c r="CA172" s="53">
        <f>CA150*AVERAGE(BZ88:CA88)/4</f>
        <v>0</v>
      </c>
      <c r="CB172" s="53"/>
      <c r="CC172" s="53"/>
      <c r="CD172" s="53"/>
      <c r="CE172" s="215">
        <f t="shared" si="638"/>
        <v>0</v>
      </c>
      <c r="CF172" s="53"/>
      <c r="CG172" s="53"/>
      <c r="CH172" s="53"/>
      <c r="CI172" s="53"/>
      <c r="CJ172" s="215">
        <f t="shared" si="639"/>
        <v>0</v>
      </c>
      <c r="CK172" s="53"/>
      <c r="CL172" s="765"/>
      <c r="CM172" s="765"/>
      <c r="CN172" s="765"/>
      <c r="CO172" s="215">
        <f t="shared" si="640"/>
        <v>0</v>
      </c>
      <c r="CP172" s="765"/>
      <c r="CQ172" s="765"/>
      <c r="CR172" s="765"/>
      <c r="CS172" s="765"/>
      <c r="CT172" s="215">
        <f t="shared" si="647"/>
        <v>0</v>
      </c>
      <c r="CU172" s="765"/>
      <c r="CV172" s="765"/>
      <c r="CW172" s="765"/>
      <c r="CX172" s="765"/>
      <c r="CY172" s="215">
        <f t="shared" si="649"/>
        <v>0</v>
      </c>
      <c r="CZ172" s="765"/>
      <c r="DA172" s="765"/>
      <c r="DB172" s="765"/>
      <c r="DC172" s="765"/>
      <c r="DD172" s="215">
        <f t="shared" si="651"/>
        <v>0</v>
      </c>
      <c r="DE172" s="765"/>
      <c r="DF172" s="765"/>
      <c r="DG172" s="765"/>
      <c r="DH172" s="765"/>
      <c r="DI172" s="215">
        <f t="shared" si="652"/>
        <v>0</v>
      </c>
      <c r="DJ172" s="217"/>
      <c r="DK172" s="217"/>
      <c r="DL172" s="217"/>
      <c r="DM172" s="217"/>
      <c r="DN172" s="784"/>
      <c r="DO172" s="217"/>
      <c r="DP172" s="217"/>
      <c r="DQ172" s="217"/>
      <c r="DR172" s="217"/>
      <c r="DS172" s="784"/>
      <c r="DT172" s="217"/>
      <c r="DU172" s="217"/>
      <c r="DV172" s="217"/>
      <c r="DW172" s="217"/>
      <c r="DX172" s="784"/>
      <c r="DY172" s="673"/>
      <c r="DZ172" s="673"/>
      <c r="EA172" s="673"/>
      <c r="EB172" s="673"/>
      <c r="EC172" s="673"/>
      <c r="ED172" s="673"/>
      <c r="EE172" s="673"/>
      <c r="EF172" s="673"/>
    </row>
    <row r="173" spans="1:136" hidden="1" outlineLevel="2" x14ac:dyDescent="0.2">
      <c r="A173" s="87" t="s">
        <v>470</v>
      </c>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272"/>
      <c r="AW173" s="38"/>
      <c r="AX173" s="38"/>
      <c r="AY173" s="38"/>
      <c r="AZ173" s="39"/>
      <c r="BA173" s="40"/>
      <c r="BB173" s="783">
        <v>0</v>
      </c>
      <c r="BC173" s="783">
        <v>0</v>
      </c>
      <c r="BD173" s="783">
        <v>0</v>
      </c>
      <c r="BE173" s="783">
        <f>BF173-SUM(BB173:BD173)</f>
        <v>0</v>
      </c>
      <c r="BF173" s="784">
        <v>0</v>
      </c>
      <c r="BG173" s="783">
        <v>0</v>
      </c>
      <c r="BH173" s="783">
        <v>0</v>
      </c>
      <c r="BI173" s="783">
        <v>0</v>
      </c>
      <c r="BJ173" s="783">
        <f>BK173-SUM(BG173:BI173)</f>
        <v>7.1</v>
      </c>
      <c r="BK173" s="784">
        <v>7.1</v>
      </c>
      <c r="BL173" s="673">
        <v>6.6</v>
      </c>
      <c r="BM173" s="673">
        <v>6.6</v>
      </c>
      <c r="BN173" s="673">
        <v>6.6</v>
      </c>
      <c r="BO173" s="783">
        <f>BP173-SUM(BL173:BN173)</f>
        <v>6.5000000000000036</v>
      </c>
      <c r="BP173" s="784">
        <v>26.3</v>
      </c>
      <c r="BQ173" s="673">
        <v>6.2</v>
      </c>
      <c r="BR173" s="673">
        <v>6.2</v>
      </c>
      <c r="BS173" s="1048">
        <v>6.2</v>
      </c>
      <c r="BT173" s="673">
        <f>BU173-SUM(BQ173:BS173)</f>
        <v>5.2999999999999972</v>
      </c>
      <c r="BU173" s="784">
        <v>23.9</v>
      </c>
      <c r="BV173" s="673">
        <f>AVERAGE($BP$91,$BQ$91)*BV151/4</f>
        <v>0</v>
      </c>
      <c r="BW173" s="1386">
        <f t="shared" ref="BW173:BY173" si="668">AVERAGE($BP$91,$BQ$91)*BW151/4</f>
        <v>0</v>
      </c>
      <c r="BX173" s="673">
        <f t="shared" si="668"/>
        <v>0</v>
      </c>
      <c r="BY173" s="673">
        <f t="shared" si="668"/>
        <v>0</v>
      </c>
      <c r="BZ173" s="784">
        <f t="shared" si="637"/>
        <v>0</v>
      </c>
      <c r="CA173" s="673">
        <f>AVERAGE($BP$91,$BQ$91)*CA151/4</f>
        <v>0</v>
      </c>
      <c r="CB173" s="673">
        <f t="shared" ref="CB173:CD173" si="669">AVERAGE($BP$91,$BQ$91)*CB151/4</f>
        <v>0</v>
      </c>
      <c r="CC173" s="673">
        <f t="shared" si="669"/>
        <v>0</v>
      </c>
      <c r="CD173" s="673">
        <f t="shared" si="669"/>
        <v>0</v>
      </c>
      <c r="CE173" s="784">
        <f t="shared" si="638"/>
        <v>0</v>
      </c>
      <c r="CF173" s="673">
        <f t="shared" ref="CF173:CI173" si="670">AVERAGE($BP$91,$BQ$91)*CF151/4</f>
        <v>0</v>
      </c>
      <c r="CG173" s="673">
        <f t="shared" si="670"/>
        <v>0</v>
      </c>
      <c r="CH173" s="673">
        <f t="shared" si="670"/>
        <v>0</v>
      </c>
      <c r="CI173" s="673">
        <f t="shared" si="670"/>
        <v>0</v>
      </c>
      <c r="CJ173" s="784">
        <f t="shared" si="639"/>
        <v>0</v>
      </c>
      <c r="CK173" s="673">
        <f t="shared" ref="CK173:CN173" si="671">AVERAGE($BP$91,$BQ$91)*CK151/4</f>
        <v>0</v>
      </c>
      <c r="CL173" s="674">
        <f t="shared" si="671"/>
        <v>0</v>
      </c>
      <c r="CM173" s="674">
        <f t="shared" si="671"/>
        <v>0</v>
      </c>
      <c r="CN173" s="674">
        <f t="shared" si="671"/>
        <v>0</v>
      </c>
      <c r="CO173" s="784">
        <f t="shared" si="640"/>
        <v>0</v>
      </c>
      <c r="CP173" s="674">
        <f t="shared" ref="CP173:CS173" si="672">AVERAGE($BP$91,$BQ$91)*CP151/4</f>
        <v>0</v>
      </c>
      <c r="CQ173" s="674">
        <f t="shared" si="672"/>
        <v>0</v>
      </c>
      <c r="CR173" s="674">
        <f t="shared" si="672"/>
        <v>0</v>
      </c>
      <c r="CS173" s="674">
        <f t="shared" si="672"/>
        <v>0</v>
      </c>
      <c r="CT173" s="784">
        <f t="shared" si="647"/>
        <v>0</v>
      </c>
      <c r="CU173" s="674">
        <f t="shared" ref="CU173:CX173" si="673">AVERAGE($BP$91,$BQ$91)*CU151/4</f>
        <v>0</v>
      </c>
      <c r="CV173" s="674">
        <f t="shared" si="673"/>
        <v>0</v>
      </c>
      <c r="CW173" s="674">
        <f t="shared" si="673"/>
        <v>0</v>
      </c>
      <c r="CX173" s="674">
        <f t="shared" si="673"/>
        <v>0</v>
      </c>
      <c r="CY173" s="784">
        <f t="shared" si="649"/>
        <v>0</v>
      </c>
      <c r="CZ173" s="674">
        <f t="shared" ref="CZ173:DC173" si="674">AVERAGE($BP$91,$BQ$91)*CZ151/4</f>
        <v>0</v>
      </c>
      <c r="DA173" s="674">
        <f t="shared" si="674"/>
        <v>0</v>
      </c>
      <c r="DB173" s="674">
        <f t="shared" si="674"/>
        <v>0</v>
      </c>
      <c r="DC173" s="674">
        <f t="shared" si="674"/>
        <v>0</v>
      </c>
      <c r="DD173" s="784">
        <f t="shared" si="651"/>
        <v>0</v>
      </c>
      <c r="DE173" s="674">
        <f t="shared" ref="DE173:DH173" si="675">AVERAGE($BP$91,$BQ$91)*DE151/4</f>
        <v>0</v>
      </c>
      <c r="DF173" s="674">
        <f t="shared" si="675"/>
        <v>0</v>
      </c>
      <c r="DG173" s="674">
        <f t="shared" si="675"/>
        <v>0</v>
      </c>
      <c r="DH173" s="674">
        <f t="shared" si="675"/>
        <v>0</v>
      </c>
      <c r="DI173" s="784">
        <f t="shared" si="652"/>
        <v>0</v>
      </c>
      <c r="DJ173" s="674">
        <f>AVERAGE($BP$91,$BQ$91)*DJ151/4</f>
        <v>0</v>
      </c>
      <c r="DK173" s="674">
        <f>AVERAGE($BP$91,$BQ$91)*DK151/4</f>
        <v>0</v>
      </c>
      <c r="DL173" s="674">
        <f>AVERAGE($BP$91,$BQ$91)*DL151/4</f>
        <v>0</v>
      </c>
      <c r="DM173" s="674">
        <f>AVERAGE($BP$91,$BQ$91)*DM151/4</f>
        <v>0</v>
      </c>
      <c r="DN173" s="784">
        <f t="shared" ref="DN173:DN181" si="676">SUM(DJ173:DM173)</f>
        <v>0</v>
      </c>
      <c r="DO173" s="674">
        <f>AVERAGE($BP$91,$BQ$91)*DO151/4</f>
        <v>0</v>
      </c>
      <c r="DP173" s="674">
        <f>AVERAGE($BP$91,$BQ$91)*DP151/4</f>
        <v>0</v>
      </c>
      <c r="DQ173" s="674">
        <f>AVERAGE($BP$91,$BQ$91)*DQ151/4</f>
        <v>0</v>
      </c>
      <c r="DR173" s="674">
        <f>AVERAGE($BP$91,$BQ$91)*DR151/4</f>
        <v>0</v>
      </c>
      <c r="DS173" s="784">
        <f t="shared" ref="DS173:DS181" si="677">SUM(DO173:DR173)</f>
        <v>0</v>
      </c>
      <c r="DT173" s="674">
        <f>AVERAGE($BP$91,$BQ$91)*DT151/4</f>
        <v>0</v>
      </c>
      <c r="DU173" s="674">
        <f>AVERAGE($BP$91,$BQ$91)*DU151/4</f>
        <v>0</v>
      </c>
      <c r="DV173" s="674">
        <f>AVERAGE($BP$91,$BQ$91)*DV151/4</f>
        <v>0</v>
      </c>
      <c r="DW173" s="674">
        <f>AVERAGE($BP$91,$BQ$91)*DW151/4</f>
        <v>0</v>
      </c>
      <c r="DX173" s="784">
        <f t="shared" ref="DX173:DX181" si="678">SUM(DT173:DW173)</f>
        <v>0</v>
      </c>
      <c r="DY173" s="673"/>
      <c r="DZ173" s="673"/>
      <c r="EA173" s="673"/>
      <c r="EB173" s="673"/>
      <c r="EC173" s="673"/>
      <c r="ED173" s="673"/>
      <c r="EE173" s="673"/>
      <c r="EF173" s="673"/>
    </row>
    <row r="174" spans="1:136" hidden="1" outlineLevel="2" x14ac:dyDescent="0.2">
      <c r="A174" s="87" t="s">
        <v>463</v>
      </c>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272"/>
      <c r="AW174" s="38"/>
      <c r="AX174" s="38"/>
      <c r="AY174" s="38"/>
      <c r="AZ174" s="39"/>
      <c r="BA174" s="40"/>
      <c r="BB174" s="783">
        <v>0</v>
      </c>
      <c r="BC174" s="783">
        <v>0</v>
      </c>
      <c r="BD174" s="783">
        <v>0</v>
      </c>
      <c r="BE174" s="783">
        <f t="shared" ref="BE174:BE185" si="679">BF174-SUM(BB174:BD174)</f>
        <v>0</v>
      </c>
      <c r="BF174" s="784">
        <v>0</v>
      </c>
      <c r="BG174" s="783">
        <v>0</v>
      </c>
      <c r="BH174" s="783">
        <v>0</v>
      </c>
      <c r="BI174" s="783">
        <v>0</v>
      </c>
      <c r="BJ174" s="783">
        <f t="shared" ref="BJ174:BJ185" si="680">BK174-SUM(BG174:BI174)</f>
        <v>7.1</v>
      </c>
      <c r="BK174" s="784">
        <v>7.1</v>
      </c>
      <c r="BL174" s="673">
        <v>6.6</v>
      </c>
      <c r="BM174" s="673">
        <v>6.6</v>
      </c>
      <c r="BN174" s="673">
        <v>6.7</v>
      </c>
      <c r="BO174" s="783">
        <f t="shared" ref="BO174:BO185" si="681">BP174-SUM(BL174:BN174)</f>
        <v>6.7000000000000028</v>
      </c>
      <c r="BP174" s="784">
        <v>26.6</v>
      </c>
      <c r="BQ174" s="673">
        <v>6.5</v>
      </c>
      <c r="BR174" s="673">
        <v>6.6</v>
      </c>
      <c r="BS174" s="1048">
        <v>6.6</v>
      </c>
      <c r="BT174" s="673">
        <f t="shared" ref="BT174:BT185" si="682">BU174-SUM(BQ174:BS174)</f>
        <v>3.9000000000000021</v>
      </c>
      <c r="BU174" s="784">
        <v>23.6</v>
      </c>
      <c r="BV174" s="673">
        <f>AVERAGE($BP$92,$BQ$92)*BV152/4</f>
        <v>0</v>
      </c>
      <c r="BW174" s="1386">
        <f t="shared" ref="BW174:BY174" si="683">AVERAGE($BP$92,$BQ$92)*BW152/4</f>
        <v>0</v>
      </c>
      <c r="BX174" s="673">
        <f t="shared" si="683"/>
        <v>0</v>
      </c>
      <c r="BY174" s="673">
        <f t="shared" si="683"/>
        <v>0</v>
      </c>
      <c r="BZ174" s="784">
        <f t="shared" si="637"/>
        <v>0</v>
      </c>
      <c r="CA174" s="673">
        <f>AVERAGE($BP$92,$BQ$92)*CA152/4</f>
        <v>0</v>
      </c>
      <c r="CB174" s="673">
        <f t="shared" ref="CB174:CD174" si="684">AVERAGE($BP$92,$BQ$92)*CB152/4</f>
        <v>0</v>
      </c>
      <c r="CC174" s="673">
        <f t="shared" si="684"/>
        <v>0</v>
      </c>
      <c r="CD174" s="673">
        <f t="shared" si="684"/>
        <v>0</v>
      </c>
      <c r="CE174" s="784">
        <f t="shared" si="638"/>
        <v>0</v>
      </c>
      <c r="CF174" s="673">
        <f t="shared" ref="CF174:CI174" si="685">AVERAGE($BP$92,$BQ$92)*CF152/4</f>
        <v>0</v>
      </c>
      <c r="CG174" s="673">
        <f t="shared" si="685"/>
        <v>0</v>
      </c>
      <c r="CH174" s="673">
        <f t="shared" si="685"/>
        <v>0</v>
      </c>
      <c r="CI174" s="673">
        <f t="shared" si="685"/>
        <v>0</v>
      </c>
      <c r="CJ174" s="784">
        <f t="shared" si="639"/>
        <v>0</v>
      </c>
      <c r="CK174" s="673">
        <f t="shared" ref="CK174:CN174" si="686">AVERAGE($BP$92,$BQ$92)*CK152/4</f>
        <v>0</v>
      </c>
      <c r="CL174" s="674">
        <f t="shared" si="686"/>
        <v>0</v>
      </c>
      <c r="CM174" s="674">
        <f t="shared" si="686"/>
        <v>0</v>
      </c>
      <c r="CN174" s="674">
        <f t="shared" si="686"/>
        <v>0</v>
      </c>
      <c r="CO174" s="784">
        <f t="shared" si="640"/>
        <v>0</v>
      </c>
      <c r="CP174" s="674">
        <f t="shared" ref="CP174:CS174" si="687">AVERAGE($BP$92,$BQ$92)*CP152/4</f>
        <v>0</v>
      </c>
      <c r="CQ174" s="674">
        <f t="shared" si="687"/>
        <v>0</v>
      </c>
      <c r="CR174" s="674">
        <f t="shared" si="687"/>
        <v>0</v>
      </c>
      <c r="CS174" s="674">
        <f t="shared" si="687"/>
        <v>0</v>
      </c>
      <c r="CT174" s="784">
        <f t="shared" si="647"/>
        <v>0</v>
      </c>
      <c r="CU174" s="674">
        <f t="shared" ref="CU174:CX174" si="688">AVERAGE($BP$92,$BQ$92)*CU152/4</f>
        <v>0</v>
      </c>
      <c r="CV174" s="674">
        <f t="shared" si="688"/>
        <v>0</v>
      </c>
      <c r="CW174" s="674">
        <f t="shared" si="688"/>
        <v>0</v>
      </c>
      <c r="CX174" s="674">
        <f t="shared" si="688"/>
        <v>0</v>
      </c>
      <c r="CY174" s="784">
        <f t="shared" si="649"/>
        <v>0</v>
      </c>
      <c r="CZ174" s="674">
        <f t="shared" ref="CZ174:DC174" si="689">AVERAGE($BP$92,$BQ$92)*CZ152/4</f>
        <v>0</v>
      </c>
      <c r="DA174" s="674">
        <f t="shared" si="689"/>
        <v>0</v>
      </c>
      <c r="DB174" s="674">
        <f t="shared" si="689"/>
        <v>0</v>
      </c>
      <c r="DC174" s="674">
        <f t="shared" si="689"/>
        <v>0</v>
      </c>
      <c r="DD174" s="784">
        <f t="shared" si="651"/>
        <v>0</v>
      </c>
      <c r="DE174" s="674">
        <f t="shared" ref="DE174:DH174" si="690">AVERAGE($BP$92,$BQ$92)*DE152/4</f>
        <v>0</v>
      </c>
      <c r="DF174" s="674">
        <f t="shared" si="690"/>
        <v>0</v>
      </c>
      <c r="DG174" s="674">
        <f t="shared" si="690"/>
        <v>0</v>
      </c>
      <c r="DH174" s="674">
        <f t="shared" si="690"/>
        <v>0</v>
      </c>
      <c r="DI174" s="784">
        <f t="shared" si="652"/>
        <v>0</v>
      </c>
      <c r="DJ174" s="674">
        <f>AVERAGE($BP$92,$BQ$92)*DJ152/4</f>
        <v>0</v>
      </c>
      <c r="DK174" s="674">
        <f>AVERAGE($BP$92,$BQ$92)*DK152/4</f>
        <v>0</v>
      </c>
      <c r="DL174" s="674">
        <f>AVERAGE($BP$92,$BQ$92)*DL152/4</f>
        <v>0</v>
      </c>
      <c r="DM174" s="674">
        <f>AVERAGE($BP$92,$BQ$92)*DM152/4</f>
        <v>0</v>
      </c>
      <c r="DN174" s="784">
        <f t="shared" si="676"/>
        <v>0</v>
      </c>
      <c r="DO174" s="674">
        <f>AVERAGE($BP$92,$BQ$92)*DO152/4</f>
        <v>0</v>
      </c>
      <c r="DP174" s="674">
        <f>AVERAGE($BP$92,$BQ$92)*DP152/4</f>
        <v>0</v>
      </c>
      <c r="DQ174" s="674">
        <f>AVERAGE($BP$92,$BQ$92)*DQ152/4</f>
        <v>0</v>
      </c>
      <c r="DR174" s="674">
        <f>AVERAGE($BP$92,$BQ$92)*DR152/4</f>
        <v>0</v>
      </c>
      <c r="DS174" s="784">
        <f t="shared" si="677"/>
        <v>0</v>
      </c>
      <c r="DT174" s="674">
        <f>AVERAGE($BP$92,$BQ$92)*DT152/4</f>
        <v>0</v>
      </c>
      <c r="DU174" s="674">
        <f>AVERAGE($BP$92,$BQ$92)*DU152/4</f>
        <v>0</v>
      </c>
      <c r="DV174" s="674">
        <f>AVERAGE($BP$92,$BQ$92)*DV152/4</f>
        <v>0</v>
      </c>
      <c r="DW174" s="674">
        <f>AVERAGE($BP$92,$BQ$92)*DW152/4</f>
        <v>0</v>
      </c>
      <c r="DX174" s="784">
        <f t="shared" si="678"/>
        <v>0</v>
      </c>
      <c r="DY174" s="673"/>
      <c r="DZ174" s="673"/>
      <c r="EA174" s="673"/>
      <c r="EB174" s="673"/>
      <c r="EC174" s="673"/>
      <c r="ED174" s="673"/>
      <c r="EE174" s="673"/>
      <c r="EF174" s="673"/>
    </row>
    <row r="175" spans="1:136" hidden="1" outlineLevel="2" x14ac:dyDescent="0.2">
      <c r="A175" s="87" t="s">
        <v>471</v>
      </c>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246"/>
      <c r="AW175" s="38"/>
      <c r="AX175" s="38"/>
      <c r="AY175" s="38"/>
      <c r="AZ175" s="39"/>
      <c r="BA175" s="40"/>
      <c r="BB175" s="783">
        <v>21.1</v>
      </c>
      <c r="BC175" s="783">
        <v>18.2</v>
      </c>
      <c r="BD175" s="783">
        <v>18.2</v>
      </c>
      <c r="BE175" s="783">
        <f t="shared" si="679"/>
        <v>17.900000000000006</v>
      </c>
      <c r="BF175" s="784">
        <v>75.400000000000006</v>
      </c>
      <c r="BG175" s="783">
        <v>17.399999999999999</v>
      </c>
      <c r="BH175" s="783">
        <v>17</v>
      </c>
      <c r="BI175" s="783">
        <v>16.8</v>
      </c>
      <c r="BJ175" s="783">
        <f t="shared" si="680"/>
        <v>0</v>
      </c>
      <c r="BK175" s="784">
        <v>51.2</v>
      </c>
      <c r="BL175" s="673">
        <v>0</v>
      </c>
      <c r="BM175" s="673">
        <v>0</v>
      </c>
      <c r="BN175" s="673">
        <v>0</v>
      </c>
      <c r="BO175" s="783">
        <f t="shared" si="681"/>
        <v>0</v>
      </c>
      <c r="BP175" s="784">
        <v>0</v>
      </c>
      <c r="BQ175" s="673">
        <v>0</v>
      </c>
      <c r="BR175" s="673">
        <v>0</v>
      </c>
      <c r="BS175" s="1048">
        <v>0</v>
      </c>
      <c r="BT175" s="673">
        <f t="shared" si="682"/>
        <v>0</v>
      </c>
      <c r="BU175" s="784">
        <v>0</v>
      </c>
      <c r="BV175" s="673">
        <v>0</v>
      </c>
      <c r="BW175" s="1386">
        <v>0</v>
      </c>
      <c r="BX175" s="673">
        <v>0</v>
      </c>
      <c r="BY175" s="673">
        <v>0</v>
      </c>
      <c r="BZ175" s="784">
        <f t="shared" si="637"/>
        <v>0</v>
      </c>
      <c r="CA175" s="673">
        <v>0</v>
      </c>
      <c r="CB175" s="673">
        <v>0</v>
      </c>
      <c r="CC175" s="673">
        <v>0</v>
      </c>
      <c r="CD175" s="673">
        <v>0</v>
      </c>
      <c r="CE175" s="784">
        <f t="shared" si="638"/>
        <v>0</v>
      </c>
      <c r="CF175" s="673">
        <v>0</v>
      </c>
      <c r="CG175" s="673">
        <v>0</v>
      </c>
      <c r="CH175" s="673">
        <v>0</v>
      </c>
      <c r="CI175" s="673">
        <v>0</v>
      </c>
      <c r="CJ175" s="784">
        <f t="shared" si="639"/>
        <v>0</v>
      </c>
      <c r="CK175" s="673">
        <v>0</v>
      </c>
      <c r="CL175" s="674">
        <v>0</v>
      </c>
      <c r="CM175" s="674">
        <v>0</v>
      </c>
      <c r="CN175" s="674">
        <v>0</v>
      </c>
      <c r="CO175" s="784">
        <f t="shared" si="640"/>
        <v>0</v>
      </c>
      <c r="CP175" s="674">
        <v>0</v>
      </c>
      <c r="CQ175" s="674">
        <v>0</v>
      </c>
      <c r="CR175" s="674">
        <v>0</v>
      </c>
      <c r="CS175" s="674">
        <v>0</v>
      </c>
      <c r="CT175" s="784">
        <f t="shared" si="647"/>
        <v>0</v>
      </c>
      <c r="CU175" s="674">
        <v>0</v>
      </c>
      <c r="CV175" s="674">
        <v>0</v>
      </c>
      <c r="CW175" s="674">
        <v>0</v>
      </c>
      <c r="CX175" s="674">
        <v>0</v>
      </c>
      <c r="CY175" s="784">
        <f t="shared" si="649"/>
        <v>0</v>
      </c>
      <c r="CZ175" s="674">
        <v>0</v>
      </c>
      <c r="DA175" s="674">
        <v>0</v>
      </c>
      <c r="DB175" s="674">
        <v>0</v>
      </c>
      <c r="DC175" s="674">
        <v>0</v>
      </c>
      <c r="DD175" s="784">
        <f t="shared" si="651"/>
        <v>0</v>
      </c>
      <c r="DE175" s="674">
        <v>0</v>
      </c>
      <c r="DF175" s="674">
        <v>0</v>
      </c>
      <c r="DG175" s="674">
        <v>0</v>
      </c>
      <c r="DH175" s="674">
        <v>0</v>
      </c>
      <c r="DI175" s="784">
        <f t="shared" si="652"/>
        <v>0</v>
      </c>
      <c r="DJ175" s="674">
        <v>0</v>
      </c>
      <c r="DK175" s="674">
        <v>0</v>
      </c>
      <c r="DL175" s="674">
        <v>0</v>
      </c>
      <c r="DM175" s="674">
        <v>0</v>
      </c>
      <c r="DN175" s="784">
        <f t="shared" si="676"/>
        <v>0</v>
      </c>
      <c r="DO175" s="674">
        <v>0</v>
      </c>
      <c r="DP175" s="674">
        <v>0</v>
      </c>
      <c r="DQ175" s="674">
        <v>0</v>
      </c>
      <c r="DR175" s="674">
        <v>0</v>
      </c>
      <c r="DS175" s="784">
        <f t="shared" si="677"/>
        <v>0</v>
      </c>
      <c r="DT175" s="674">
        <v>0</v>
      </c>
      <c r="DU175" s="674">
        <v>0</v>
      </c>
      <c r="DV175" s="674">
        <v>0</v>
      </c>
      <c r="DW175" s="674">
        <v>0</v>
      </c>
      <c r="DX175" s="784">
        <f t="shared" si="678"/>
        <v>0</v>
      </c>
      <c r="DY175" s="673"/>
      <c r="DZ175" s="673"/>
      <c r="EA175" s="673"/>
      <c r="EB175" s="673"/>
      <c r="EC175" s="673"/>
      <c r="ED175" s="673"/>
      <c r="EE175" s="673"/>
      <c r="EF175" s="673"/>
    </row>
    <row r="176" spans="1:136" hidden="1" outlineLevel="2" x14ac:dyDescent="0.2">
      <c r="A176" s="87" t="s">
        <v>472</v>
      </c>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890"/>
      <c r="AW176" s="38"/>
      <c r="AX176" s="38"/>
      <c r="AY176" s="38"/>
      <c r="AZ176" s="39"/>
      <c r="BA176" s="40"/>
      <c r="BB176" s="783">
        <v>4.5</v>
      </c>
      <c r="BC176" s="783">
        <v>3.4</v>
      </c>
      <c r="BD176" s="783">
        <v>3.3</v>
      </c>
      <c r="BE176" s="783">
        <f t="shared" si="679"/>
        <v>3.1000000000000014</v>
      </c>
      <c r="BF176" s="784">
        <v>14.3</v>
      </c>
      <c r="BG176" s="783">
        <v>3.1</v>
      </c>
      <c r="BH176" s="783">
        <v>2.8</v>
      </c>
      <c r="BI176" s="783">
        <v>2.9</v>
      </c>
      <c r="BJ176" s="783">
        <f t="shared" si="680"/>
        <v>0</v>
      </c>
      <c r="BK176" s="784">
        <v>8.8000000000000007</v>
      </c>
      <c r="BL176" s="673">
        <v>0</v>
      </c>
      <c r="BM176" s="673">
        <v>0</v>
      </c>
      <c r="BN176" s="673">
        <v>0</v>
      </c>
      <c r="BO176" s="783">
        <f t="shared" si="681"/>
        <v>0</v>
      </c>
      <c r="BP176" s="784">
        <v>0</v>
      </c>
      <c r="BQ176" s="673">
        <v>0</v>
      </c>
      <c r="BR176" s="673">
        <v>0</v>
      </c>
      <c r="BS176" s="1048">
        <v>0</v>
      </c>
      <c r="BT176" s="673">
        <f t="shared" si="682"/>
        <v>0</v>
      </c>
      <c r="BU176" s="784">
        <v>0</v>
      </c>
      <c r="BV176" s="673">
        <v>0</v>
      </c>
      <c r="BW176" s="1386">
        <v>0</v>
      </c>
      <c r="BX176" s="673">
        <v>0</v>
      </c>
      <c r="BY176" s="673">
        <v>0</v>
      </c>
      <c r="BZ176" s="784">
        <f t="shared" si="637"/>
        <v>0</v>
      </c>
      <c r="CA176" s="673">
        <v>0</v>
      </c>
      <c r="CB176" s="673">
        <v>0</v>
      </c>
      <c r="CC176" s="673">
        <v>0</v>
      </c>
      <c r="CD176" s="673">
        <v>0</v>
      </c>
      <c r="CE176" s="784">
        <f t="shared" si="638"/>
        <v>0</v>
      </c>
      <c r="CF176" s="673">
        <v>0</v>
      </c>
      <c r="CG176" s="673">
        <v>0</v>
      </c>
      <c r="CH176" s="673">
        <v>0</v>
      </c>
      <c r="CI176" s="673">
        <v>0</v>
      </c>
      <c r="CJ176" s="784">
        <f t="shared" si="639"/>
        <v>0</v>
      </c>
      <c r="CK176" s="673">
        <v>0</v>
      </c>
      <c r="CL176" s="674">
        <v>0</v>
      </c>
      <c r="CM176" s="674">
        <v>0</v>
      </c>
      <c r="CN176" s="674">
        <v>0</v>
      </c>
      <c r="CO176" s="784">
        <f t="shared" si="640"/>
        <v>0</v>
      </c>
      <c r="CP176" s="674">
        <v>0</v>
      </c>
      <c r="CQ176" s="674">
        <v>0</v>
      </c>
      <c r="CR176" s="674">
        <v>0</v>
      </c>
      <c r="CS176" s="674">
        <v>0</v>
      </c>
      <c r="CT176" s="784">
        <f t="shared" si="647"/>
        <v>0</v>
      </c>
      <c r="CU176" s="674">
        <v>0</v>
      </c>
      <c r="CV176" s="674">
        <v>0</v>
      </c>
      <c r="CW176" s="674">
        <v>0</v>
      </c>
      <c r="CX176" s="674">
        <v>0</v>
      </c>
      <c r="CY176" s="784">
        <f t="shared" si="649"/>
        <v>0</v>
      </c>
      <c r="CZ176" s="674">
        <v>0</v>
      </c>
      <c r="DA176" s="674">
        <v>0</v>
      </c>
      <c r="DB176" s="674">
        <v>0</v>
      </c>
      <c r="DC176" s="674">
        <v>0</v>
      </c>
      <c r="DD176" s="784">
        <f t="shared" si="651"/>
        <v>0</v>
      </c>
      <c r="DE176" s="674">
        <v>0</v>
      </c>
      <c r="DF176" s="674">
        <v>0</v>
      </c>
      <c r="DG176" s="674">
        <v>0</v>
      </c>
      <c r="DH176" s="674">
        <v>0</v>
      </c>
      <c r="DI176" s="784">
        <f t="shared" si="652"/>
        <v>0</v>
      </c>
      <c r="DJ176" s="674">
        <v>0</v>
      </c>
      <c r="DK176" s="674">
        <v>0</v>
      </c>
      <c r="DL176" s="674">
        <v>0</v>
      </c>
      <c r="DM176" s="674">
        <v>0</v>
      </c>
      <c r="DN176" s="784">
        <f t="shared" si="676"/>
        <v>0</v>
      </c>
      <c r="DO176" s="674">
        <v>0</v>
      </c>
      <c r="DP176" s="674">
        <v>0</v>
      </c>
      <c r="DQ176" s="674">
        <v>0</v>
      </c>
      <c r="DR176" s="674">
        <v>0</v>
      </c>
      <c r="DS176" s="784">
        <f t="shared" si="677"/>
        <v>0</v>
      </c>
      <c r="DT176" s="674">
        <v>0</v>
      </c>
      <c r="DU176" s="674">
        <v>0</v>
      </c>
      <c r="DV176" s="674">
        <v>0</v>
      </c>
      <c r="DW176" s="674">
        <v>0</v>
      </c>
      <c r="DX176" s="784">
        <f t="shared" si="678"/>
        <v>0</v>
      </c>
      <c r="DY176" s="673"/>
      <c r="DZ176" s="673"/>
      <c r="EA176" s="673"/>
      <c r="EB176" s="673"/>
      <c r="EC176" s="673"/>
      <c r="ED176" s="673"/>
      <c r="EE176" s="673"/>
      <c r="EF176" s="673"/>
    </row>
    <row r="177" spans="1:142" hidden="1" outlineLevel="2" x14ac:dyDescent="0.2">
      <c r="A177" s="87" t="s">
        <v>473</v>
      </c>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272"/>
      <c r="AW177" s="38"/>
      <c r="AX177" s="38"/>
      <c r="AY177" s="38"/>
      <c r="AZ177" s="39"/>
      <c r="BA177" s="40"/>
      <c r="BB177" s="783">
        <v>0.3</v>
      </c>
      <c r="BC177" s="783">
        <v>0.3</v>
      </c>
      <c r="BD177" s="783">
        <v>0.3</v>
      </c>
      <c r="BE177" s="783">
        <f t="shared" si="679"/>
        <v>0.30000000000000004</v>
      </c>
      <c r="BF177" s="784">
        <v>1.2</v>
      </c>
      <c r="BG177" s="783">
        <v>0.3</v>
      </c>
      <c r="BH177" s="783">
        <v>1</v>
      </c>
      <c r="BI177" s="783">
        <v>1</v>
      </c>
      <c r="BJ177" s="783">
        <f t="shared" si="680"/>
        <v>1.9000000000000004</v>
      </c>
      <c r="BK177" s="784">
        <v>4.2</v>
      </c>
      <c r="BL177" s="673">
        <v>1.4</v>
      </c>
      <c r="BM177" s="673">
        <v>1.6</v>
      </c>
      <c r="BN177" s="673">
        <v>1.8</v>
      </c>
      <c r="BO177" s="783">
        <f t="shared" si="681"/>
        <v>2</v>
      </c>
      <c r="BP177" s="784">
        <v>6.8</v>
      </c>
      <c r="BQ177" s="673">
        <v>2.1</v>
      </c>
      <c r="BR177" s="673">
        <v>2.4</v>
      </c>
      <c r="BS177" s="1048">
        <v>2.5</v>
      </c>
      <c r="BT177" s="673">
        <f t="shared" si="682"/>
        <v>9.9999999999999645E-2</v>
      </c>
      <c r="BU177" s="784">
        <v>7.1</v>
      </c>
      <c r="BV177" s="673">
        <v>0</v>
      </c>
      <c r="BW177" s="1386">
        <v>0</v>
      </c>
      <c r="BX177" s="673">
        <v>0</v>
      </c>
      <c r="BY177" s="673">
        <v>0</v>
      </c>
      <c r="BZ177" s="784">
        <f t="shared" si="637"/>
        <v>0</v>
      </c>
      <c r="CA177" s="673">
        <v>0</v>
      </c>
      <c r="CB177" s="673">
        <v>0</v>
      </c>
      <c r="CC177" s="673">
        <v>0</v>
      </c>
      <c r="CD177" s="673">
        <v>0</v>
      </c>
      <c r="CE177" s="784">
        <f t="shared" si="638"/>
        <v>0</v>
      </c>
      <c r="CF177" s="673">
        <v>0</v>
      </c>
      <c r="CG177" s="673">
        <v>0</v>
      </c>
      <c r="CH177" s="673">
        <v>0</v>
      </c>
      <c r="CI177" s="673">
        <v>0</v>
      </c>
      <c r="CJ177" s="784">
        <f t="shared" si="639"/>
        <v>0</v>
      </c>
      <c r="CK177" s="673">
        <v>0</v>
      </c>
      <c r="CL177" s="674">
        <v>0</v>
      </c>
      <c r="CM177" s="674">
        <v>0</v>
      </c>
      <c r="CN177" s="674">
        <v>0</v>
      </c>
      <c r="CO177" s="784">
        <f t="shared" si="640"/>
        <v>0</v>
      </c>
      <c r="CP177" s="674">
        <v>0</v>
      </c>
      <c r="CQ177" s="674">
        <v>0</v>
      </c>
      <c r="CR177" s="674">
        <v>0</v>
      </c>
      <c r="CS177" s="674">
        <v>0</v>
      </c>
      <c r="CT177" s="784">
        <f t="shared" si="647"/>
        <v>0</v>
      </c>
      <c r="CU177" s="674">
        <v>0</v>
      </c>
      <c r="CV177" s="674">
        <v>0</v>
      </c>
      <c r="CW177" s="674">
        <v>0</v>
      </c>
      <c r="CX177" s="674">
        <v>0</v>
      </c>
      <c r="CY177" s="784">
        <f t="shared" si="649"/>
        <v>0</v>
      </c>
      <c r="CZ177" s="674">
        <v>0</v>
      </c>
      <c r="DA177" s="674">
        <v>0</v>
      </c>
      <c r="DB177" s="674">
        <v>0</v>
      </c>
      <c r="DC177" s="674">
        <v>0</v>
      </c>
      <c r="DD177" s="784">
        <f t="shared" si="651"/>
        <v>0</v>
      </c>
      <c r="DE177" s="674">
        <v>0</v>
      </c>
      <c r="DF177" s="674">
        <v>0</v>
      </c>
      <c r="DG177" s="674">
        <v>0</v>
      </c>
      <c r="DH177" s="674">
        <v>0</v>
      </c>
      <c r="DI177" s="784">
        <f t="shared" si="652"/>
        <v>0</v>
      </c>
      <c r="DJ177" s="674">
        <v>0</v>
      </c>
      <c r="DK177" s="674">
        <v>0</v>
      </c>
      <c r="DL177" s="674">
        <v>0</v>
      </c>
      <c r="DM177" s="674">
        <v>0</v>
      </c>
      <c r="DN177" s="784">
        <f t="shared" si="676"/>
        <v>0</v>
      </c>
      <c r="DO177" s="674">
        <v>0</v>
      </c>
      <c r="DP177" s="674">
        <v>0</v>
      </c>
      <c r="DQ177" s="674">
        <v>0</v>
      </c>
      <c r="DR177" s="674">
        <v>0</v>
      </c>
      <c r="DS177" s="784">
        <f t="shared" si="677"/>
        <v>0</v>
      </c>
      <c r="DT177" s="674">
        <v>0</v>
      </c>
      <c r="DU177" s="674">
        <v>0</v>
      </c>
      <c r="DV177" s="674">
        <v>0</v>
      </c>
      <c r="DW177" s="674">
        <v>0</v>
      </c>
      <c r="DX177" s="784">
        <f t="shared" si="678"/>
        <v>0</v>
      </c>
      <c r="DY177" s="673"/>
      <c r="DZ177" s="673"/>
      <c r="EA177" s="673"/>
      <c r="EB177" s="673"/>
      <c r="EC177" s="673"/>
      <c r="ED177" s="673"/>
      <c r="EE177" s="673"/>
      <c r="EF177" s="673"/>
    </row>
    <row r="178" spans="1:142" hidden="1" outlineLevel="2" x14ac:dyDescent="0.2">
      <c r="A178" s="87" t="s">
        <v>474</v>
      </c>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272"/>
      <c r="AW178" s="38"/>
      <c r="AX178" s="38"/>
      <c r="AY178" s="38"/>
      <c r="AZ178" s="39"/>
      <c r="BA178" s="40"/>
      <c r="BB178" s="783">
        <v>19.8</v>
      </c>
      <c r="BC178" s="783">
        <v>19.3</v>
      </c>
      <c r="BD178" s="783">
        <v>19.899999999999999</v>
      </c>
      <c r="BE178" s="783">
        <f t="shared" si="679"/>
        <v>19.799999999999997</v>
      </c>
      <c r="BF178" s="784">
        <v>78.8</v>
      </c>
      <c r="BG178" s="783">
        <v>19.7</v>
      </c>
      <c r="BH178" s="783">
        <v>19.7</v>
      </c>
      <c r="BI178" s="783">
        <v>19.600000000000001</v>
      </c>
      <c r="BJ178" s="783">
        <f t="shared" si="680"/>
        <v>19.599999999999994</v>
      </c>
      <c r="BK178" s="784">
        <v>78.599999999999994</v>
      </c>
      <c r="BL178" s="673">
        <v>19.600000000000001</v>
      </c>
      <c r="BM178" s="673">
        <v>19.600000000000001</v>
      </c>
      <c r="BN178" s="673">
        <v>19.7</v>
      </c>
      <c r="BO178" s="783">
        <f t="shared" si="681"/>
        <v>19.599999999999994</v>
      </c>
      <c r="BP178" s="784">
        <v>78.5</v>
      </c>
      <c r="BQ178" s="673">
        <v>19.600000000000001</v>
      </c>
      <c r="BR178" s="673">
        <v>19.600000000000001</v>
      </c>
      <c r="BS178" s="1048">
        <v>19.600000000000001</v>
      </c>
      <c r="BT178" s="673">
        <f t="shared" si="682"/>
        <v>15.499999999999993</v>
      </c>
      <c r="BU178" s="784">
        <v>74.3</v>
      </c>
      <c r="BV178" s="673">
        <f>AVERAGE($BP$94,$BQ$94)*BV154/4</f>
        <v>0</v>
      </c>
      <c r="BW178" s="1386">
        <f t="shared" ref="BW178:BY178" si="691">AVERAGE($BP$94,$BQ$94)*BW154/4</f>
        <v>0</v>
      </c>
      <c r="BX178" s="673">
        <f t="shared" si="691"/>
        <v>0</v>
      </c>
      <c r="BY178" s="673">
        <f t="shared" si="691"/>
        <v>0</v>
      </c>
      <c r="BZ178" s="784">
        <f t="shared" si="637"/>
        <v>0</v>
      </c>
      <c r="CA178" s="673">
        <f>AVERAGE($BP$94,$BQ$94)*CA154/4</f>
        <v>0</v>
      </c>
      <c r="CB178" s="673">
        <f t="shared" ref="CB178:CD178" si="692">AVERAGE($BP$94,$BQ$94)*CB154/4</f>
        <v>0</v>
      </c>
      <c r="CC178" s="673">
        <f t="shared" si="692"/>
        <v>0</v>
      </c>
      <c r="CD178" s="673">
        <f t="shared" si="692"/>
        <v>0</v>
      </c>
      <c r="CE178" s="784">
        <f t="shared" si="638"/>
        <v>0</v>
      </c>
      <c r="CF178" s="673">
        <f t="shared" ref="CF178:CI178" si="693">AVERAGE($BP$94,$BQ$94)*CF154/4</f>
        <v>0</v>
      </c>
      <c r="CG178" s="673">
        <f t="shared" si="693"/>
        <v>0</v>
      </c>
      <c r="CH178" s="673">
        <f t="shared" si="693"/>
        <v>0</v>
      </c>
      <c r="CI178" s="673">
        <f t="shared" si="693"/>
        <v>0</v>
      </c>
      <c r="CJ178" s="784">
        <f t="shared" si="639"/>
        <v>0</v>
      </c>
      <c r="CK178" s="673">
        <f t="shared" ref="CK178:CN178" si="694">AVERAGE($BP$94,$BQ$94)*CK154/4</f>
        <v>0</v>
      </c>
      <c r="CL178" s="674">
        <f t="shared" si="694"/>
        <v>0</v>
      </c>
      <c r="CM178" s="674">
        <f t="shared" si="694"/>
        <v>0</v>
      </c>
      <c r="CN178" s="674">
        <f t="shared" si="694"/>
        <v>0</v>
      </c>
      <c r="CO178" s="784">
        <f t="shared" si="640"/>
        <v>0</v>
      </c>
      <c r="CP178" s="674">
        <f t="shared" ref="CP178:CS178" si="695">AVERAGE($BP$94,$BQ$94)*CP154/4</f>
        <v>0</v>
      </c>
      <c r="CQ178" s="674">
        <f t="shared" si="695"/>
        <v>0</v>
      </c>
      <c r="CR178" s="674">
        <f t="shared" si="695"/>
        <v>0</v>
      </c>
      <c r="CS178" s="674">
        <f t="shared" si="695"/>
        <v>0</v>
      </c>
      <c r="CT178" s="784">
        <f t="shared" si="647"/>
        <v>0</v>
      </c>
      <c r="CU178" s="674">
        <f t="shared" ref="CU178:CX178" si="696">AVERAGE($BP$94,$BQ$94)*CU154/4</f>
        <v>0</v>
      </c>
      <c r="CV178" s="674">
        <f t="shared" si="696"/>
        <v>0</v>
      </c>
      <c r="CW178" s="674">
        <f t="shared" si="696"/>
        <v>0</v>
      </c>
      <c r="CX178" s="674">
        <f t="shared" si="696"/>
        <v>0</v>
      </c>
      <c r="CY178" s="784">
        <f t="shared" si="649"/>
        <v>0</v>
      </c>
      <c r="CZ178" s="674">
        <f t="shared" ref="CZ178:DC178" si="697">AVERAGE($BP$94,$BQ$94)*CZ154/4</f>
        <v>0</v>
      </c>
      <c r="DA178" s="674">
        <f t="shared" si="697"/>
        <v>0</v>
      </c>
      <c r="DB178" s="674">
        <f t="shared" si="697"/>
        <v>0</v>
      </c>
      <c r="DC178" s="674">
        <f t="shared" si="697"/>
        <v>0</v>
      </c>
      <c r="DD178" s="784">
        <f t="shared" si="651"/>
        <v>0</v>
      </c>
      <c r="DE178" s="674">
        <f t="shared" ref="DE178:DH178" si="698">AVERAGE($BP$94,$BQ$94)*DE154/4</f>
        <v>0</v>
      </c>
      <c r="DF178" s="674">
        <f t="shared" si="698"/>
        <v>0</v>
      </c>
      <c r="DG178" s="674">
        <f t="shared" si="698"/>
        <v>0</v>
      </c>
      <c r="DH178" s="674">
        <f t="shared" si="698"/>
        <v>0</v>
      </c>
      <c r="DI178" s="784">
        <f t="shared" si="652"/>
        <v>0</v>
      </c>
      <c r="DJ178" s="674">
        <f>AVERAGE($BP$94,$BQ$94)*DJ154/4</f>
        <v>0</v>
      </c>
      <c r="DK178" s="674">
        <f>AVERAGE($BP$94,$BQ$94)*DK154/4</f>
        <v>0</v>
      </c>
      <c r="DL178" s="674">
        <f>AVERAGE($BP$94,$BQ$94)*DL154/4</f>
        <v>0</v>
      </c>
      <c r="DM178" s="674">
        <f>AVERAGE($BP$94,$BQ$94)*DM154/4</f>
        <v>0</v>
      </c>
      <c r="DN178" s="784">
        <f t="shared" si="676"/>
        <v>0</v>
      </c>
      <c r="DO178" s="674">
        <f>AVERAGE($BP$94,$BQ$94)*DO154/4</f>
        <v>0</v>
      </c>
      <c r="DP178" s="674">
        <f>AVERAGE($BP$94,$BQ$94)*DP154/4</f>
        <v>0</v>
      </c>
      <c r="DQ178" s="674">
        <f>AVERAGE($BP$94,$BQ$94)*DQ154/4</f>
        <v>0</v>
      </c>
      <c r="DR178" s="674">
        <f>AVERAGE($BP$94,$BQ$94)*DR154/4</f>
        <v>0</v>
      </c>
      <c r="DS178" s="784">
        <f t="shared" si="677"/>
        <v>0</v>
      </c>
      <c r="DT178" s="674">
        <f>AVERAGE($BP$94,$BQ$94)*DT154/4</f>
        <v>0</v>
      </c>
      <c r="DU178" s="674">
        <f>AVERAGE($BP$94,$BQ$94)*DU154/4</f>
        <v>0</v>
      </c>
      <c r="DV178" s="674">
        <f>AVERAGE($BP$94,$BQ$94)*DV154/4</f>
        <v>0</v>
      </c>
      <c r="DW178" s="674">
        <f>AVERAGE($BP$94,$BQ$94)*DW154/4</f>
        <v>0</v>
      </c>
      <c r="DX178" s="784">
        <f t="shared" si="678"/>
        <v>0</v>
      </c>
      <c r="DY178" s="673"/>
      <c r="DZ178" s="673"/>
      <c r="EA178" s="673"/>
      <c r="EB178" s="673"/>
      <c r="EC178" s="673"/>
      <c r="ED178" s="673"/>
      <c r="EE178" s="673"/>
      <c r="EF178" s="673"/>
    </row>
    <row r="179" spans="1:142" hidden="1" outlineLevel="2" x14ac:dyDescent="0.2">
      <c r="A179" s="87" t="s">
        <v>475</v>
      </c>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891"/>
      <c r="AW179" s="38"/>
      <c r="AX179" s="38"/>
      <c r="AY179" s="38"/>
      <c r="AZ179" s="39"/>
      <c r="BA179" s="40"/>
      <c r="BB179" s="783">
        <v>0</v>
      </c>
      <c r="BC179" s="783">
        <v>8.6999999999999993</v>
      </c>
      <c r="BD179" s="783">
        <v>11</v>
      </c>
      <c r="BE179" s="783">
        <f t="shared" si="679"/>
        <v>11.3</v>
      </c>
      <c r="BF179" s="784">
        <v>31</v>
      </c>
      <c r="BG179" s="783">
        <v>11.5</v>
      </c>
      <c r="BH179" s="783">
        <v>11.5</v>
      </c>
      <c r="BI179" s="783">
        <v>10.4</v>
      </c>
      <c r="BJ179" s="783">
        <f t="shared" si="680"/>
        <v>10.399999999999999</v>
      </c>
      <c r="BK179" s="784">
        <v>43.8</v>
      </c>
      <c r="BL179" s="673">
        <v>11</v>
      </c>
      <c r="BM179" s="673">
        <v>11.4</v>
      </c>
      <c r="BN179" s="673">
        <v>11.6</v>
      </c>
      <c r="BO179" s="783">
        <f t="shared" si="681"/>
        <v>12</v>
      </c>
      <c r="BP179" s="784">
        <v>46</v>
      </c>
      <c r="BQ179" s="673">
        <v>12.3</v>
      </c>
      <c r="BR179" s="673">
        <v>12.6</v>
      </c>
      <c r="BS179" s="1048">
        <v>13</v>
      </c>
      <c r="BT179" s="673">
        <f t="shared" si="682"/>
        <v>10.600000000000001</v>
      </c>
      <c r="BU179" s="784">
        <v>48.5</v>
      </c>
      <c r="BV179" s="673">
        <f>BU95*BV155/4</f>
        <v>0</v>
      </c>
      <c r="BW179" s="1386">
        <f>BV95*BW155/4</f>
        <v>0</v>
      </c>
      <c r="BX179" s="673">
        <f>BW95*BX155/4</f>
        <v>0</v>
      </c>
      <c r="BY179" s="673">
        <f>BX95*BY155/4</f>
        <v>0</v>
      </c>
      <c r="BZ179" s="784">
        <f t="shared" si="637"/>
        <v>0</v>
      </c>
      <c r="CA179" s="673">
        <f>BZ95*CA155/4</f>
        <v>0</v>
      </c>
      <c r="CB179" s="673">
        <f>CA95*CB155/4</f>
        <v>0</v>
      </c>
      <c r="CC179" s="673">
        <f>CB95*CC155/4</f>
        <v>0</v>
      </c>
      <c r="CD179" s="673">
        <f>CC95*CD155/4</f>
        <v>0</v>
      </c>
      <c r="CE179" s="784">
        <f t="shared" si="638"/>
        <v>0</v>
      </c>
      <c r="CF179" s="673">
        <f>CE95*CF155/4</f>
        <v>0</v>
      </c>
      <c r="CG179" s="673">
        <f>CF95*CG155/4</f>
        <v>0</v>
      </c>
      <c r="CH179" s="673">
        <f>CG95*CH155/4</f>
        <v>0</v>
      </c>
      <c r="CI179" s="673">
        <f>CH95*CI155/4</f>
        <v>0</v>
      </c>
      <c r="CJ179" s="784">
        <f t="shared" si="639"/>
        <v>0</v>
      </c>
      <c r="CK179" s="673">
        <f>CJ95*CK155/4</f>
        <v>0</v>
      </c>
      <c r="CL179" s="674">
        <f>CK95*CL155/4</f>
        <v>0</v>
      </c>
      <c r="CM179" s="674">
        <f>CL95*CM155/4</f>
        <v>0</v>
      </c>
      <c r="CN179" s="674">
        <f>CM95*CN155/4</f>
        <v>0</v>
      </c>
      <c r="CO179" s="784">
        <f t="shared" si="640"/>
        <v>0</v>
      </c>
      <c r="CP179" s="674">
        <f>CO95*CP155/4</f>
        <v>0</v>
      </c>
      <c r="CQ179" s="674">
        <f>CP95*CQ155/4</f>
        <v>0</v>
      </c>
      <c r="CR179" s="674">
        <f>CQ95*CR155/4</f>
        <v>0</v>
      </c>
      <c r="CS179" s="674">
        <f>CR95*CS155/4</f>
        <v>0</v>
      </c>
      <c r="CT179" s="784">
        <f t="shared" si="647"/>
        <v>0</v>
      </c>
      <c r="CU179" s="674">
        <f>CT95*CU155/4</f>
        <v>0</v>
      </c>
      <c r="CV179" s="674">
        <f>CU95*CV155/4</f>
        <v>0</v>
      </c>
      <c r="CW179" s="674">
        <f>CV95*CW155/4</f>
        <v>0</v>
      </c>
      <c r="CX179" s="674">
        <f>CW95*CX155/4</f>
        <v>0</v>
      </c>
      <c r="CY179" s="784">
        <f t="shared" si="649"/>
        <v>0</v>
      </c>
      <c r="CZ179" s="674">
        <f>CY95*CZ155/4</f>
        <v>0</v>
      </c>
      <c r="DA179" s="674">
        <f>CZ95*DA155/4</f>
        <v>0</v>
      </c>
      <c r="DB179" s="674">
        <f>DA95*DB155/4</f>
        <v>0</v>
      </c>
      <c r="DC179" s="674">
        <f>DB95*DC155/4</f>
        <v>0</v>
      </c>
      <c r="DD179" s="784">
        <f t="shared" si="651"/>
        <v>0</v>
      </c>
      <c r="DE179" s="674">
        <f>DD95*DE155/4</f>
        <v>0</v>
      </c>
      <c r="DF179" s="674">
        <f>DE95*DF155/4</f>
        <v>0</v>
      </c>
      <c r="DG179" s="674">
        <f>DF95*DG155/4</f>
        <v>0</v>
      </c>
      <c r="DH179" s="674">
        <f>DG95*DH155/4</f>
        <v>0</v>
      </c>
      <c r="DI179" s="784">
        <f t="shared" si="652"/>
        <v>0</v>
      </c>
      <c r="DJ179" s="674">
        <f>DI95*DJ155/4</f>
        <v>0</v>
      </c>
      <c r="DK179" s="674">
        <f>DJ95*DK155/4</f>
        <v>0</v>
      </c>
      <c r="DL179" s="674">
        <f>DK95*DL155/4</f>
        <v>0</v>
      </c>
      <c r="DM179" s="674">
        <f>DL95*DM155/4</f>
        <v>0</v>
      </c>
      <c r="DN179" s="784">
        <f t="shared" si="676"/>
        <v>0</v>
      </c>
      <c r="DO179" s="674">
        <f>DN95*DO155/4</f>
        <v>0</v>
      </c>
      <c r="DP179" s="674">
        <f>DO95*DP155/4</f>
        <v>0</v>
      </c>
      <c r="DQ179" s="674">
        <f>DP95*DQ155/4</f>
        <v>0</v>
      </c>
      <c r="DR179" s="674">
        <f>DQ95*DR155/4</f>
        <v>0</v>
      </c>
      <c r="DS179" s="784">
        <f t="shared" si="677"/>
        <v>0</v>
      </c>
      <c r="DT179" s="674">
        <f>DS95*DT155/4</f>
        <v>0</v>
      </c>
      <c r="DU179" s="674">
        <f>DT95*DU155/4</f>
        <v>0</v>
      </c>
      <c r="DV179" s="674">
        <f>DU95*DV155/4</f>
        <v>0</v>
      </c>
      <c r="DW179" s="674">
        <f>DV95*DW155/4</f>
        <v>0</v>
      </c>
      <c r="DX179" s="784">
        <f t="shared" si="678"/>
        <v>0</v>
      </c>
      <c r="DY179" s="673"/>
      <c r="DZ179" s="673"/>
      <c r="EA179" s="673"/>
      <c r="EB179" s="673"/>
      <c r="EC179" s="673"/>
      <c r="ED179" s="673"/>
      <c r="EE179" s="673"/>
      <c r="EF179" s="673"/>
    </row>
    <row r="180" spans="1:142" hidden="1" outlineLevel="2" x14ac:dyDescent="0.2">
      <c r="A180" s="87" t="s">
        <v>499</v>
      </c>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890"/>
      <c r="AW180" s="38"/>
      <c r="AX180" s="38"/>
      <c r="AY180" s="38"/>
      <c r="AZ180" s="39"/>
      <c r="BA180" s="40"/>
      <c r="BB180" s="783">
        <v>3.9</v>
      </c>
      <c r="BC180" s="783">
        <v>4.7</v>
      </c>
      <c r="BD180" s="783">
        <v>3.8</v>
      </c>
      <c r="BE180" s="783">
        <f t="shared" si="679"/>
        <v>2.9000000000000021</v>
      </c>
      <c r="BF180" s="784">
        <v>15.3</v>
      </c>
      <c r="BG180" s="783">
        <v>3.8</v>
      </c>
      <c r="BH180" s="783">
        <v>3.1</v>
      </c>
      <c r="BI180" s="783">
        <v>3.7</v>
      </c>
      <c r="BJ180" s="783">
        <f t="shared" si="680"/>
        <v>2.5999999999999979</v>
      </c>
      <c r="BK180" s="784">
        <v>13.2</v>
      </c>
      <c r="BL180" s="673">
        <v>2.5</v>
      </c>
      <c r="BM180" s="673">
        <v>2.6</v>
      </c>
      <c r="BN180" s="673">
        <v>2.6</v>
      </c>
      <c r="BO180" s="783">
        <f t="shared" si="681"/>
        <v>2.6000000000000014</v>
      </c>
      <c r="BP180" s="784">
        <v>10.3</v>
      </c>
      <c r="BQ180" s="673">
        <v>2.6</v>
      </c>
      <c r="BR180" s="673">
        <v>2.6</v>
      </c>
      <c r="BS180" s="1048">
        <v>2.6</v>
      </c>
      <c r="BT180" s="673">
        <f t="shared" si="682"/>
        <v>3.8999999999999986</v>
      </c>
      <c r="BU180" s="784">
        <v>11.7</v>
      </c>
      <c r="BV180" s="673">
        <v>0</v>
      </c>
      <c r="BW180" s="1386">
        <v>0</v>
      </c>
      <c r="BX180" s="673">
        <v>9.6999999999999993</v>
      </c>
      <c r="BY180" s="673">
        <f>BX180</f>
        <v>9.6999999999999993</v>
      </c>
      <c r="BZ180" s="784">
        <f t="shared" si="637"/>
        <v>19.399999999999999</v>
      </c>
      <c r="CA180" s="673">
        <v>9.6999999999999993</v>
      </c>
      <c r="CB180" s="673">
        <v>9.6</v>
      </c>
      <c r="CC180" s="673">
        <v>9.8000000000000007</v>
      </c>
      <c r="CD180" s="673">
        <f t="shared" ref="CD180" si="699">CC180</f>
        <v>9.8000000000000007</v>
      </c>
      <c r="CE180" s="784">
        <f t="shared" si="638"/>
        <v>38.9</v>
      </c>
      <c r="CF180" s="673">
        <v>8.5</v>
      </c>
      <c r="CG180" s="673">
        <f>CF180</f>
        <v>8.5</v>
      </c>
      <c r="CH180" s="673">
        <f t="shared" ref="CH180:CI180" si="700">CG180</f>
        <v>8.5</v>
      </c>
      <c r="CI180" s="673">
        <f t="shared" si="700"/>
        <v>8.5</v>
      </c>
      <c r="CJ180" s="784">
        <f t="shared" si="639"/>
        <v>34</v>
      </c>
      <c r="CK180" s="673">
        <f>CI180</f>
        <v>8.5</v>
      </c>
      <c r="CL180" s="674">
        <f>CK180</f>
        <v>8.5</v>
      </c>
      <c r="CM180" s="674">
        <f t="shared" ref="CM180:CN180" si="701">CL180</f>
        <v>8.5</v>
      </c>
      <c r="CN180" s="674">
        <f t="shared" si="701"/>
        <v>8.5</v>
      </c>
      <c r="CO180" s="784">
        <f t="shared" si="640"/>
        <v>34</v>
      </c>
      <c r="CP180" s="674">
        <f>CN180</f>
        <v>8.5</v>
      </c>
      <c r="CQ180" s="674">
        <f>CP180</f>
        <v>8.5</v>
      </c>
      <c r="CR180" s="674">
        <f t="shared" ref="CR180:CS180" si="702">CQ180</f>
        <v>8.5</v>
      </c>
      <c r="CS180" s="674">
        <f t="shared" si="702"/>
        <v>8.5</v>
      </c>
      <c r="CT180" s="784">
        <f t="shared" ref="CT180" si="703">SUM(CP180:CS180)</f>
        <v>34</v>
      </c>
      <c r="CU180" s="674">
        <f>CS180</f>
        <v>8.5</v>
      </c>
      <c r="CV180" s="674">
        <f>CU180</f>
        <v>8.5</v>
      </c>
      <c r="CW180" s="674">
        <f t="shared" ref="CW180:CX180" si="704">CV180</f>
        <v>8.5</v>
      </c>
      <c r="CX180" s="674">
        <f t="shared" si="704"/>
        <v>8.5</v>
      </c>
      <c r="CY180" s="784">
        <f t="shared" ref="CY180" si="705">SUM(CU180:CX180)</f>
        <v>34</v>
      </c>
      <c r="CZ180" s="674">
        <f>CX180</f>
        <v>8.5</v>
      </c>
      <c r="DA180" s="674">
        <f>CZ180</f>
        <v>8.5</v>
      </c>
      <c r="DB180" s="674">
        <f t="shared" ref="DB180:DC180" si="706">DA180</f>
        <v>8.5</v>
      </c>
      <c r="DC180" s="674">
        <f t="shared" si="706"/>
        <v>8.5</v>
      </c>
      <c r="DD180" s="784">
        <f t="shared" ref="DD180" si="707">SUM(CZ180:DC180)</f>
        <v>34</v>
      </c>
      <c r="DE180" s="674">
        <f>DC180</f>
        <v>8.5</v>
      </c>
      <c r="DF180" s="674">
        <f>DE180</f>
        <v>8.5</v>
      </c>
      <c r="DG180" s="674">
        <f t="shared" ref="DG180:DH180" si="708">DF180</f>
        <v>8.5</v>
      </c>
      <c r="DH180" s="674">
        <f t="shared" si="708"/>
        <v>8.5</v>
      </c>
      <c r="DI180" s="784">
        <f t="shared" ref="DI180" si="709">SUM(DE180:DH180)</f>
        <v>34</v>
      </c>
      <c r="DJ180" s="674">
        <f>DH180</f>
        <v>8.5</v>
      </c>
      <c r="DK180" s="674">
        <f>DJ180</f>
        <v>8.5</v>
      </c>
      <c r="DL180" s="674">
        <f t="shared" ref="DL180:DM180" si="710">DK180</f>
        <v>8.5</v>
      </c>
      <c r="DM180" s="674">
        <f t="shared" si="710"/>
        <v>8.5</v>
      </c>
      <c r="DN180" s="784">
        <f t="shared" ref="DN180" si="711">SUM(DJ180:DM180)</f>
        <v>34</v>
      </c>
      <c r="DO180" s="674">
        <f>DM180</f>
        <v>8.5</v>
      </c>
      <c r="DP180" s="674">
        <f>DO180</f>
        <v>8.5</v>
      </c>
      <c r="DQ180" s="674">
        <f t="shared" ref="DQ180:DR180" si="712">DP180</f>
        <v>8.5</v>
      </c>
      <c r="DR180" s="674">
        <f t="shared" si="712"/>
        <v>8.5</v>
      </c>
      <c r="DS180" s="784">
        <f t="shared" ref="DS180" si="713">SUM(DO180:DR180)</f>
        <v>34</v>
      </c>
      <c r="DT180" s="674">
        <f>DR180</f>
        <v>8.5</v>
      </c>
      <c r="DU180" s="674">
        <f>DT180</f>
        <v>8.5</v>
      </c>
      <c r="DV180" s="674">
        <f t="shared" ref="DV180:DW180" si="714">DU180</f>
        <v>8.5</v>
      </c>
      <c r="DW180" s="674">
        <f t="shared" si="714"/>
        <v>8.5</v>
      </c>
      <c r="DX180" s="784">
        <f t="shared" ref="DX180" si="715">SUM(DT180:DW180)</f>
        <v>34</v>
      </c>
      <c r="DY180" s="673"/>
      <c r="DZ180" s="673"/>
      <c r="EA180" s="673"/>
      <c r="EB180" s="673"/>
      <c r="EC180" s="673"/>
      <c r="ED180" s="673"/>
      <c r="EE180" s="673"/>
      <c r="EF180" s="673"/>
    </row>
    <row r="181" spans="1:142" hidden="1" outlineLevel="2" x14ac:dyDescent="0.2">
      <c r="A181" s="87" t="s">
        <v>476</v>
      </c>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272"/>
      <c r="AW181" s="38"/>
      <c r="AX181" s="38"/>
      <c r="AY181" s="38"/>
      <c r="AZ181" s="39"/>
      <c r="BA181" s="40"/>
      <c r="BB181" s="783">
        <v>0</v>
      </c>
      <c r="BC181" s="783">
        <v>0</v>
      </c>
      <c r="BD181" s="783">
        <v>0</v>
      </c>
      <c r="BE181" s="783">
        <f t="shared" si="679"/>
        <v>0</v>
      </c>
      <c r="BF181" s="784">
        <v>0</v>
      </c>
      <c r="BG181" s="783">
        <v>0</v>
      </c>
      <c r="BH181" s="783">
        <v>0</v>
      </c>
      <c r="BI181" s="783">
        <v>0</v>
      </c>
      <c r="BJ181" s="783">
        <f t="shared" si="680"/>
        <v>0</v>
      </c>
      <c r="BK181" s="784">
        <v>0</v>
      </c>
      <c r="BL181" s="673">
        <v>0</v>
      </c>
      <c r="BM181" s="673">
        <v>0</v>
      </c>
      <c r="BN181" s="673">
        <v>0</v>
      </c>
      <c r="BO181" s="783">
        <f t="shared" si="681"/>
        <v>0</v>
      </c>
      <c r="BP181" s="784">
        <v>0</v>
      </c>
      <c r="BQ181" s="673">
        <v>0</v>
      </c>
      <c r="BR181" s="673">
        <v>0</v>
      </c>
      <c r="BS181" s="1048">
        <v>0</v>
      </c>
      <c r="BT181" s="673">
        <f t="shared" si="682"/>
        <v>0</v>
      </c>
      <c r="BU181" s="784">
        <v>0</v>
      </c>
      <c r="BV181" s="673">
        <v>0</v>
      </c>
      <c r="BW181" s="1386">
        <v>0</v>
      </c>
      <c r="BX181" s="673">
        <v>0</v>
      </c>
      <c r="BY181" s="673">
        <v>0</v>
      </c>
      <c r="BZ181" s="784">
        <f t="shared" si="637"/>
        <v>0</v>
      </c>
      <c r="CA181" s="673">
        <v>0</v>
      </c>
      <c r="CB181" s="673">
        <v>0</v>
      </c>
      <c r="CC181" s="673">
        <v>0</v>
      </c>
      <c r="CD181" s="673">
        <v>0</v>
      </c>
      <c r="CE181" s="784">
        <f t="shared" si="638"/>
        <v>0</v>
      </c>
      <c r="CF181" s="673">
        <v>0</v>
      </c>
      <c r="CG181" s="673">
        <v>0</v>
      </c>
      <c r="CH181" s="673">
        <v>0</v>
      </c>
      <c r="CI181" s="673">
        <v>0</v>
      </c>
      <c r="CJ181" s="784">
        <f t="shared" si="639"/>
        <v>0</v>
      </c>
      <c r="CK181" s="673">
        <v>0</v>
      </c>
      <c r="CL181" s="674">
        <v>0</v>
      </c>
      <c r="CM181" s="674">
        <v>0</v>
      </c>
      <c r="CN181" s="674">
        <v>0</v>
      </c>
      <c r="CO181" s="784">
        <f t="shared" si="640"/>
        <v>0</v>
      </c>
      <c r="CP181" s="674">
        <v>0</v>
      </c>
      <c r="CQ181" s="674">
        <v>0</v>
      </c>
      <c r="CR181" s="674">
        <v>0</v>
      </c>
      <c r="CS181" s="674">
        <v>0</v>
      </c>
      <c r="CT181" s="784">
        <f t="shared" si="647"/>
        <v>0</v>
      </c>
      <c r="CU181" s="674">
        <v>0</v>
      </c>
      <c r="CV181" s="674">
        <v>0</v>
      </c>
      <c r="CW181" s="674">
        <v>0</v>
      </c>
      <c r="CX181" s="674">
        <v>0</v>
      </c>
      <c r="CY181" s="784">
        <f t="shared" si="649"/>
        <v>0</v>
      </c>
      <c r="CZ181" s="674">
        <v>0</v>
      </c>
      <c r="DA181" s="674">
        <v>0</v>
      </c>
      <c r="DB181" s="674">
        <v>0</v>
      </c>
      <c r="DC181" s="674">
        <v>0</v>
      </c>
      <c r="DD181" s="784">
        <f t="shared" si="651"/>
        <v>0</v>
      </c>
      <c r="DE181" s="674">
        <v>0</v>
      </c>
      <c r="DF181" s="674">
        <v>0</v>
      </c>
      <c r="DG181" s="674">
        <v>0</v>
      </c>
      <c r="DH181" s="674">
        <v>0</v>
      </c>
      <c r="DI181" s="784">
        <f t="shared" si="652"/>
        <v>0</v>
      </c>
      <c r="DJ181" s="674">
        <v>0</v>
      </c>
      <c r="DK181" s="674">
        <v>0</v>
      </c>
      <c r="DL181" s="674">
        <v>0</v>
      </c>
      <c r="DM181" s="674">
        <v>0</v>
      </c>
      <c r="DN181" s="784">
        <f t="shared" si="676"/>
        <v>0</v>
      </c>
      <c r="DO181" s="674">
        <v>0</v>
      </c>
      <c r="DP181" s="674">
        <v>0</v>
      </c>
      <c r="DQ181" s="674">
        <v>0</v>
      </c>
      <c r="DR181" s="674">
        <v>0</v>
      </c>
      <c r="DS181" s="784">
        <f t="shared" si="677"/>
        <v>0</v>
      </c>
      <c r="DT181" s="674">
        <v>0</v>
      </c>
      <c r="DU181" s="674">
        <v>0</v>
      </c>
      <c r="DV181" s="674">
        <v>0</v>
      </c>
      <c r="DW181" s="674">
        <v>0</v>
      </c>
      <c r="DX181" s="784">
        <f t="shared" si="678"/>
        <v>0</v>
      </c>
      <c r="DY181" s="673"/>
      <c r="DZ181" s="673"/>
      <c r="EA181" s="673"/>
      <c r="EB181" s="673"/>
      <c r="EC181" s="673"/>
      <c r="ED181" s="673"/>
      <c r="EE181" s="673"/>
      <c r="EF181" s="673"/>
    </row>
    <row r="182" spans="1:142" hidden="1" outlineLevel="1" collapsed="1" x14ac:dyDescent="0.2">
      <c r="A182" s="87" t="s">
        <v>477</v>
      </c>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272"/>
      <c r="AW182" s="38"/>
      <c r="AX182" s="38"/>
      <c r="AY182" s="38"/>
      <c r="AZ182" s="39"/>
      <c r="BA182" s="40"/>
      <c r="BB182" s="783">
        <v>1.9</v>
      </c>
      <c r="BC182" s="783">
        <v>1.9</v>
      </c>
      <c r="BD182" s="783">
        <v>1.9</v>
      </c>
      <c r="BE182" s="783">
        <f t="shared" si="679"/>
        <v>3.4000000000000004</v>
      </c>
      <c r="BF182" s="784">
        <v>9.1</v>
      </c>
      <c r="BG182" s="783">
        <v>2.1</v>
      </c>
      <c r="BH182" s="783">
        <v>2.2000000000000002</v>
      </c>
      <c r="BI182" s="783">
        <v>1.9</v>
      </c>
      <c r="BJ182" s="783">
        <f t="shared" si="680"/>
        <v>1.9999999999999982</v>
      </c>
      <c r="BK182" s="784">
        <v>8.1999999999999993</v>
      </c>
      <c r="BL182" s="673">
        <v>1.6</v>
      </c>
      <c r="BM182" s="673">
        <v>1.7</v>
      </c>
      <c r="BN182" s="673">
        <v>1.6</v>
      </c>
      <c r="BO182" s="783">
        <f t="shared" si="681"/>
        <v>1.5</v>
      </c>
      <c r="BP182" s="784">
        <v>6.4</v>
      </c>
      <c r="BQ182" s="673">
        <v>1.4</v>
      </c>
      <c r="BR182" s="673">
        <v>1.3</v>
      </c>
      <c r="BS182" s="1048">
        <v>1.3</v>
      </c>
      <c r="BT182" s="673">
        <f t="shared" si="682"/>
        <v>2.0999999999999996</v>
      </c>
      <c r="BU182" s="784">
        <v>6.1</v>
      </c>
      <c r="BV182" s="673">
        <f>BV156*AVERAGE(BU106:BV106)/4</f>
        <v>2.919</v>
      </c>
      <c r="BW182" s="1386">
        <f>BW156*AVERAGE(BV106:BW106)/4</f>
        <v>2.5364062500000033</v>
      </c>
      <c r="BX182" s="673">
        <v>5.3</v>
      </c>
      <c r="BY182" s="673">
        <f>BY156*AVERAGE(BX106:BY106)/4</f>
        <v>5.5734126984126897</v>
      </c>
      <c r="BZ182" s="784">
        <f t="shared" si="637"/>
        <v>16.328818948412692</v>
      </c>
      <c r="CA182" s="673">
        <v>4.8</v>
      </c>
      <c r="CB182" s="673">
        <v>5</v>
      </c>
      <c r="CC182" s="673">
        <v>5.2</v>
      </c>
      <c r="CD182" s="673">
        <f>CD156*AVERAGE(CC106:CD106)/4</f>
        <v>5.5541115311909266</v>
      </c>
      <c r="CE182" s="784">
        <f t="shared" si="638"/>
        <v>20.554111531190927</v>
      </c>
      <c r="CF182" s="673">
        <v>5</v>
      </c>
      <c r="CG182" s="673">
        <f>CG156*AVERAGE(CF106:CG106)/4</f>
        <v>4.15625</v>
      </c>
      <c r="CH182" s="673">
        <f>CH156*AVERAGE(CG106:CH106)/4</f>
        <v>4.15625</v>
      </c>
      <c r="CI182" s="673">
        <f>CI156*AVERAGE(CH106:CI106)/4</f>
        <v>4.15625</v>
      </c>
      <c r="CJ182" s="784">
        <f t="shared" si="639"/>
        <v>17.46875</v>
      </c>
      <c r="CK182" s="673">
        <f>CK156*AVERAGE(CJ106:CK106)/4</f>
        <v>4.15625</v>
      </c>
      <c r="CL182" s="674">
        <f>CL156*AVERAGE(CK106:CL106)/4</f>
        <v>4.15625</v>
      </c>
      <c r="CM182" s="674">
        <f>CM156*AVERAGE(CL106:CM106)/4</f>
        <v>4.15625</v>
      </c>
      <c r="CN182" s="674">
        <f>CN156*AVERAGE(CM106:CN106)/4</f>
        <v>4.15625</v>
      </c>
      <c r="CO182" s="784">
        <f t="shared" si="640"/>
        <v>16.625</v>
      </c>
      <c r="CP182" s="674">
        <f>CP156*AVERAGE(CO106:CP106)/4</f>
        <v>4.15625</v>
      </c>
      <c r="CQ182" s="674">
        <f>CQ156*AVERAGE(CP106:CQ106)/4</f>
        <v>4.15625</v>
      </c>
      <c r="CR182" s="674">
        <f>CR156*AVERAGE(CQ106:CR106)/4</f>
        <v>4.15625</v>
      </c>
      <c r="CS182" s="674">
        <f>CS156*AVERAGE(CR106:CS106)/4</f>
        <v>4.15625</v>
      </c>
      <c r="CT182" s="784">
        <f t="shared" si="647"/>
        <v>16.625</v>
      </c>
      <c r="CU182" s="674">
        <f>CU156*AVERAGE(CT106:CU106)/4</f>
        <v>4.15625</v>
      </c>
      <c r="CV182" s="674">
        <f>CV156*AVERAGE(CU106:CV106)/4</f>
        <v>4.15625</v>
      </c>
      <c r="CW182" s="674">
        <f>CW156*AVERAGE(CV106:CW106)/4</f>
        <v>4.15625</v>
      </c>
      <c r="CX182" s="674">
        <f>CX156*AVERAGE(CW106:CX106)/4</f>
        <v>4.15625</v>
      </c>
      <c r="CY182" s="784">
        <f t="shared" si="649"/>
        <v>16.625</v>
      </c>
      <c r="CZ182" s="674">
        <f>CZ156*AVERAGE(CY106:CZ106)/4</f>
        <v>4.15625</v>
      </c>
      <c r="DA182" s="674">
        <f>DA156*AVERAGE(CZ106:DA106)/4</f>
        <v>4.15625</v>
      </c>
      <c r="DB182" s="674">
        <f>DB156*AVERAGE(DA106:DB106)/4</f>
        <v>4.15625</v>
      </c>
      <c r="DC182" s="674">
        <f>DC156*AVERAGE(DB106:DC106)/4</f>
        <v>4.15625</v>
      </c>
      <c r="DD182" s="784">
        <f t="shared" si="651"/>
        <v>16.625</v>
      </c>
      <c r="DE182" s="674">
        <f>DE156*AVERAGE(DD106:DE106)/4</f>
        <v>4.15625</v>
      </c>
      <c r="DF182" s="674">
        <f>DF156*AVERAGE(DE106:DF106)/4</f>
        <v>4.15625</v>
      </c>
      <c r="DG182" s="674">
        <f>DG156*AVERAGE(DF106:DG106)/4</f>
        <v>4.15625</v>
      </c>
      <c r="DH182" s="674">
        <f>DH156*AVERAGE(DG106:DH106)/4</f>
        <v>4.15625</v>
      </c>
      <c r="DI182" s="784">
        <f t="shared" si="652"/>
        <v>16.625</v>
      </c>
      <c r="DJ182" s="674">
        <f>DJ156*AVERAGE(DI106:DJ106)/4</f>
        <v>4.15625</v>
      </c>
      <c r="DK182" s="674">
        <f>DK156*AVERAGE(DJ106:DK106)/4</f>
        <v>4.15625</v>
      </c>
      <c r="DL182" s="674">
        <f>DL156*AVERAGE(DK106:DL106)/4</f>
        <v>4.15625</v>
      </c>
      <c r="DM182" s="674">
        <f>DM156*AVERAGE(DL106:DM106)/4</f>
        <v>4.15625</v>
      </c>
      <c r="DN182" s="784">
        <f>SUM(DJ182:DM182)</f>
        <v>16.625</v>
      </c>
      <c r="DO182" s="674">
        <f>DO156*AVERAGE(DN106:DO106)/4</f>
        <v>4.15625</v>
      </c>
      <c r="DP182" s="674">
        <f>DP156*AVERAGE(DO106:DP106)/4</f>
        <v>4.15625</v>
      </c>
      <c r="DQ182" s="674">
        <f>DQ156*AVERAGE(DP106:DQ106)/4</f>
        <v>4.15625</v>
      </c>
      <c r="DR182" s="674">
        <f>DR156*AVERAGE(DQ106:DR106)/4</f>
        <v>4.15625</v>
      </c>
      <c r="DS182" s="784">
        <f>SUM(DO182:DR182)</f>
        <v>16.625</v>
      </c>
      <c r="DT182" s="674">
        <f>DT156*AVERAGE(DS106:DT106)/4</f>
        <v>4.15625</v>
      </c>
      <c r="DU182" s="674">
        <f>DU156*AVERAGE(DT106:DU106)/4</f>
        <v>4.15625</v>
      </c>
      <c r="DV182" s="674">
        <f>DV156*AVERAGE(DU106:DV106)/4</f>
        <v>4.15625</v>
      </c>
      <c r="DW182" s="674">
        <f>DW156*AVERAGE(DV106:DW106)/4</f>
        <v>4.15625</v>
      </c>
      <c r="DX182" s="784">
        <f>SUM(DT182:DW182)</f>
        <v>16.625</v>
      </c>
      <c r="DY182" s="673"/>
      <c r="DZ182" s="673"/>
      <c r="EA182" s="673"/>
      <c r="EB182" s="673"/>
      <c r="EC182" s="673"/>
      <c r="ED182" s="673"/>
      <c r="EE182" s="673"/>
      <c r="EF182" s="673"/>
    </row>
    <row r="183" spans="1:142" hidden="1" outlineLevel="1" x14ac:dyDescent="0.2">
      <c r="A183" s="87" t="s">
        <v>147</v>
      </c>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157"/>
      <c r="AW183" s="38"/>
      <c r="AX183" s="38"/>
      <c r="AY183" s="38"/>
      <c r="AZ183" s="39"/>
      <c r="BA183" s="40"/>
      <c r="BB183" s="783">
        <v>0</v>
      </c>
      <c r="BC183" s="783">
        <v>0</v>
      </c>
      <c r="BD183" s="783">
        <v>0.9</v>
      </c>
      <c r="BE183" s="783">
        <f t="shared" si="679"/>
        <v>2.3000000000000003</v>
      </c>
      <c r="BF183" s="784">
        <v>3.2</v>
      </c>
      <c r="BG183" s="783">
        <v>1.4</v>
      </c>
      <c r="BH183" s="783">
        <v>0.2</v>
      </c>
      <c r="BI183" s="783">
        <v>1.2</v>
      </c>
      <c r="BJ183" s="783">
        <f t="shared" si="680"/>
        <v>-9.9999999999999645E-2</v>
      </c>
      <c r="BK183" s="784">
        <v>2.7</v>
      </c>
      <c r="BL183" s="673">
        <v>0.3</v>
      </c>
      <c r="BM183" s="673">
        <v>0.5</v>
      </c>
      <c r="BN183" s="673">
        <v>0.3</v>
      </c>
      <c r="BO183" s="783">
        <f t="shared" si="681"/>
        <v>0.59999999999999987</v>
      </c>
      <c r="BP183" s="784">
        <v>1.7</v>
      </c>
      <c r="BQ183" s="673">
        <v>0.2</v>
      </c>
      <c r="BR183" s="673">
        <v>0.4</v>
      </c>
      <c r="BS183" s="1048">
        <v>0.3</v>
      </c>
      <c r="BT183" s="673">
        <f t="shared" si="682"/>
        <v>0</v>
      </c>
      <c r="BU183" s="784">
        <v>0.9</v>
      </c>
      <c r="BV183" s="673">
        <v>0</v>
      </c>
      <c r="BW183" s="1386">
        <v>0</v>
      </c>
      <c r="BX183" s="673">
        <v>0.7</v>
      </c>
      <c r="BY183" s="673">
        <v>0</v>
      </c>
      <c r="BZ183" s="784">
        <f t="shared" si="637"/>
        <v>0.7</v>
      </c>
      <c r="CA183" s="673">
        <v>0.8</v>
      </c>
      <c r="CB183" s="673">
        <v>0.9</v>
      </c>
      <c r="CC183" s="673">
        <v>0.3</v>
      </c>
      <c r="CD183" s="673">
        <v>0</v>
      </c>
      <c r="CE183" s="784">
        <f t="shared" si="638"/>
        <v>2</v>
      </c>
      <c r="CF183" s="673">
        <v>0</v>
      </c>
      <c r="CG183" s="673">
        <v>0</v>
      </c>
      <c r="CH183" s="673">
        <v>0</v>
      </c>
      <c r="CI183" s="673">
        <v>0</v>
      </c>
      <c r="CJ183" s="784">
        <f t="shared" si="639"/>
        <v>0</v>
      </c>
      <c r="CK183" s="673">
        <v>0</v>
      </c>
      <c r="CL183" s="674">
        <v>0</v>
      </c>
      <c r="CM183" s="674">
        <v>0</v>
      </c>
      <c r="CN183" s="674">
        <v>0</v>
      </c>
      <c r="CO183" s="784">
        <f t="shared" si="640"/>
        <v>0</v>
      </c>
      <c r="CP183" s="674">
        <v>0</v>
      </c>
      <c r="CQ183" s="674">
        <v>0</v>
      </c>
      <c r="CR183" s="674">
        <v>0</v>
      </c>
      <c r="CS183" s="674">
        <v>0</v>
      </c>
      <c r="CT183" s="784">
        <f t="shared" si="647"/>
        <v>0</v>
      </c>
      <c r="CU183" s="674">
        <v>0</v>
      </c>
      <c r="CV183" s="674">
        <v>0</v>
      </c>
      <c r="CW183" s="674">
        <v>0</v>
      </c>
      <c r="CX183" s="674">
        <v>0</v>
      </c>
      <c r="CY183" s="784">
        <f t="shared" si="649"/>
        <v>0</v>
      </c>
      <c r="CZ183" s="674">
        <v>0</v>
      </c>
      <c r="DA183" s="674">
        <v>0</v>
      </c>
      <c r="DB183" s="674">
        <v>0</v>
      </c>
      <c r="DC183" s="674">
        <v>0</v>
      </c>
      <c r="DD183" s="784">
        <f t="shared" si="651"/>
        <v>0</v>
      </c>
      <c r="DE183" s="674">
        <v>0</v>
      </c>
      <c r="DF183" s="674">
        <v>0</v>
      </c>
      <c r="DG183" s="674">
        <v>0</v>
      </c>
      <c r="DH183" s="674">
        <v>0</v>
      </c>
      <c r="DI183" s="784">
        <f t="shared" si="652"/>
        <v>0</v>
      </c>
      <c r="DJ183" s="674">
        <v>0</v>
      </c>
      <c r="DK183" s="674">
        <v>0</v>
      </c>
      <c r="DL183" s="674">
        <v>0</v>
      </c>
      <c r="DM183" s="674">
        <v>0</v>
      </c>
      <c r="DN183" s="784">
        <f>SUM(DJ183:DM183)</f>
        <v>0</v>
      </c>
      <c r="DO183" s="674">
        <v>0</v>
      </c>
      <c r="DP183" s="674">
        <v>0</v>
      </c>
      <c r="DQ183" s="674">
        <v>0</v>
      </c>
      <c r="DR183" s="674">
        <v>0</v>
      </c>
      <c r="DS183" s="784">
        <f>SUM(DO183:DR183)</f>
        <v>0</v>
      </c>
      <c r="DT183" s="674">
        <v>0</v>
      </c>
      <c r="DU183" s="674">
        <v>0</v>
      </c>
      <c r="DV183" s="674">
        <v>0</v>
      </c>
      <c r="DW183" s="674">
        <v>0</v>
      </c>
      <c r="DX183" s="784">
        <f>SUM(DT183:DW183)</f>
        <v>0</v>
      </c>
      <c r="DY183" s="673"/>
      <c r="DZ183" s="673"/>
      <c r="EA183" s="673"/>
      <c r="EB183" s="673"/>
      <c r="EC183" s="673"/>
      <c r="ED183" s="673"/>
      <c r="EE183" s="673"/>
      <c r="EF183" s="673"/>
    </row>
    <row r="184" spans="1:142" s="1069" customFormat="1" hidden="1" outlineLevel="1" x14ac:dyDescent="0.2">
      <c r="A184" s="82" t="s">
        <v>288</v>
      </c>
      <c r="B184" s="46"/>
      <c r="C184" s="46"/>
      <c r="D184" s="46"/>
      <c r="E184" s="46"/>
      <c r="F184" s="46"/>
      <c r="G184" s="46"/>
      <c r="H184" s="46"/>
      <c r="I184" s="46"/>
      <c r="J184" s="46"/>
      <c r="K184" s="46"/>
      <c r="L184" s="46"/>
      <c r="M184" s="46"/>
      <c r="N184" s="46"/>
      <c r="O184" s="46"/>
      <c r="P184" s="46"/>
      <c r="Q184" s="46"/>
      <c r="R184" s="46"/>
      <c r="S184" s="46"/>
      <c r="T184" s="46"/>
      <c r="U184" s="46"/>
      <c r="V184" s="46"/>
      <c r="W184" s="46"/>
      <c r="X184" s="46"/>
      <c r="Y184" s="46"/>
      <c r="Z184" s="46"/>
      <c r="AA184" s="46"/>
      <c r="AB184" s="46"/>
      <c r="AC184" s="46"/>
      <c r="AD184" s="46"/>
      <c r="AE184" s="46"/>
      <c r="AF184" s="46"/>
      <c r="AG184" s="46"/>
      <c r="AH184" s="46"/>
      <c r="AI184" s="46"/>
      <c r="AJ184" s="46"/>
      <c r="AK184" s="46"/>
      <c r="AL184" s="46"/>
      <c r="AM184" s="46"/>
      <c r="AN184" s="46"/>
      <c r="AO184" s="46"/>
      <c r="AP184" s="46"/>
      <c r="AQ184" s="46"/>
      <c r="AR184" s="46"/>
      <c r="AS184" s="46"/>
      <c r="AT184" s="46"/>
      <c r="AU184" s="46"/>
      <c r="AV184" s="889"/>
      <c r="AW184" s="46"/>
      <c r="AX184" s="46"/>
      <c r="AY184" s="46"/>
      <c r="AZ184" s="47"/>
      <c r="BA184" s="48"/>
      <c r="BB184" s="1769">
        <f>SUM(BB173:BB183)</f>
        <v>51.5</v>
      </c>
      <c r="BC184" s="1769">
        <f>SUM(BC173:BC183)</f>
        <v>56.500000000000007</v>
      </c>
      <c r="BD184" s="1769">
        <f>SUM(BD173:BD183)</f>
        <v>59.3</v>
      </c>
      <c r="BE184" s="1769">
        <f>SUM(BE173:BE183)</f>
        <v>61.000000000000007</v>
      </c>
      <c r="BF184" s="706">
        <f>SUM(BB184:BE184)</f>
        <v>228.3</v>
      </c>
      <c r="BG184" s="1769">
        <f>SUM(BG173:BG183)</f>
        <v>59.3</v>
      </c>
      <c r="BH184" s="1769">
        <f>SUM(BH173:BH183)</f>
        <v>57.500000000000007</v>
      </c>
      <c r="BI184" s="1769">
        <f>SUM(BI173:BI183)</f>
        <v>57.5</v>
      </c>
      <c r="BJ184" s="1769">
        <f>SUM(BJ173:BJ183)</f>
        <v>50.599999999999987</v>
      </c>
      <c r="BK184" s="706">
        <f>SUM(BG184:BJ184)</f>
        <v>224.9</v>
      </c>
      <c r="BL184" s="1769">
        <f>SUM(BL173:BL183)</f>
        <v>49.6</v>
      </c>
      <c r="BM184" s="1769">
        <f>SUM(BM173:BM183)</f>
        <v>50.6</v>
      </c>
      <c r="BN184" s="1769">
        <f>SUM(BN173:BN183)</f>
        <v>50.9</v>
      </c>
      <c r="BO184" s="1769">
        <f>SUM(BO173:BO183)</f>
        <v>51.5</v>
      </c>
      <c r="BP184" s="706">
        <f>SUM(BP173:BP183)</f>
        <v>202.6</v>
      </c>
      <c r="BQ184" s="1769">
        <f>SUM(BQ162:BQ183)</f>
        <v>50.900000000000006</v>
      </c>
      <c r="BR184" s="1769">
        <f>SUM(BR162:BR183)</f>
        <v>51.7</v>
      </c>
      <c r="BS184" s="1770">
        <f>SUM(BS162:BS183)</f>
        <v>52.1</v>
      </c>
      <c r="BT184" s="1769">
        <f>SUM(BT162:BT183)</f>
        <v>129.1</v>
      </c>
      <c r="BU184" s="706">
        <f>SUM(BQ184:BT184)</f>
        <v>283.8</v>
      </c>
      <c r="BV184" s="1769">
        <f>SUM(BV162:BV183)</f>
        <v>119.48325625</v>
      </c>
      <c r="BW184" s="1771">
        <f>SUM(BW162:BW183)</f>
        <v>109.122438</v>
      </c>
      <c r="BX184" s="1769">
        <f>SUM(BX162:BX183)</f>
        <v>116.9</v>
      </c>
      <c r="BY184" s="1769">
        <f t="shared" ref="BY184" si="716">SUM(BY162:BY183)</f>
        <v>116.9225689484127</v>
      </c>
      <c r="BZ184" s="706">
        <f>SUM(BV184:BY184)</f>
        <v>462.42826319841276</v>
      </c>
      <c r="CA184" s="1769">
        <f>SUM(CA162:CA183)</f>
        <v>115.7</v>
      </c>
      <c r="CB184" s="1769">
        <f>SUM(CB162:CB183)</f>
        <v>118.1</v>
      </c>
      <c r="CC184" s="1769">
        <f>SUM(CC162:CC183)</f>
        <v>118.6</v>
      </c>
      <c r="CD184" s="1769">
        <f>SUM(CD162:CD183)</f>
        <v>117.68633814097822</v>
      </c>
      <c r="CE184" s="706">
        <f>SUM(CA184:CD184)</f>
        <v>470.08633814097823</v>
      </c>
      <c r="CF184" s="1769">
        <f>SUM(CF162:CF183)</f>
        <v>120.18974419431281</v>
      </c>
      <c r="CG184" s="1769">
        <f>SUM(CG162:CG183)</f>
        <v>134.35713481931282</v>
      </c>
      <c r="CH184" s="1769">
        <f>SUM(CH162:CH183)</f>
        <v>154.45499940264614</v>
      </c>
      <c r="CI184" s="1769">
        <f>SUM(CI162:CI183)</f>
        <v>142.8236973193128</v>
      </c>
      <c r="CJ184" s="706">
        <f>SUM(CF184:CI184)</f>
        <v>551.82557573558461</v>
      </c>
      <c r="CK184" s="1769">
        <f>SUM(CK162:CK183)</f>
        <v>144.23425937500002</v>
      </c>
      <c r="CL184" s="1769">
        <f>SUM(CL162:CL183)</f>
        <v>144.06129062500003</v>
      </c>
      <c r="CM184" s="1769">
        <f>SUM(CM162:CM183)</f>
        <v>143.888321875</v>
      </c>
      <c r="CN184" s="1769">
        <f>SUM(CN162:CN183)</f>
        <v>143.71535312500001</v>
      </c>
      <c r="CO184" s="706">
        <f>SUM(CK184:CN184)</f>
        <v>575.899225</v>
      </c>
      <c r="CP184" s="1769">
        <f>SUM(CP162:CP183)</f>
        <v>143.54238437500001</v>
      </c>
      <c r="CQ184" s="1769">
        <f>SUM(CQ162:CQ183)</f>
        <v>143.36941562499999</v>
      </c>
      <c r="CR184" s="1769">
        <f>SUM(CR162:CR183)</f>
        <v>143.19644687499999</v>
      </c>
      <c r="CS184" s="1769">
        <f>SUM(CS162:CS183)</f>
        <v>143.023478125</v>
      </c>
      <c r="CT184" s="706">
        <f>SUM(CP184:CS184)</f>
        <v>573.13172499999996</v>
      </c>
      <c r="CU184" s="1769">
        <f>SUM(CU162:CU183)</f>
        <v>142.850509375</v>
      </c>
      <c r="CV184" s="1769">
        <f>SUM(CV162:CV183)</f>
        <v>142.67754062500001</v>
      </c>
      <c r="CW184" s="1769">
        <f>SUM(CW162:CW183)</f>
        <v>142.50457187500001</v>
      </c>
      <c r="CX184" s="1769">
        <f>SUM(CX162:CX183)</f>
        <v>142.33160312500002</v>
      </c>
      <c r="CY184" s="706">
        <f>SUM(CU184:CX184)</f>
        <v>570.36422500000003</v>
      </c>
      <c r="CZ184" s="1769">
        <f>SUM(CZ162:CZ183)</f>
        <v>142.15863437500002</v>
      </c>
      <c r="DA184" s="1769">
        <f>SUM(DA162:DA183)</f>
        <v>141.985665625</v>
      </c>
      <c r="DB184" s="1769">
        <f>SUM(DB162:DB183)</f>
        <v>141.812696875</v>
      </c>
      <c r="DC184" s="1769">
        <f>SUM(DC162:DC183)</f>
        <v>173.88654374999999</v>
      </c>
      <c r="DD184" s="706">
        <f>SUM(CZ184:DC184)</f>
        <v>599.84354062500006</v>
      </c>
      <c r="DE184" s="1769">
        <f>SUM(DE162:DE183)</f>
        <v>142.29414062500001</v>
      </c>
      <c r="DF184" s="1769">
        <f>SUM(DF162:DF183)</f>
        <v>142.13515624999999</v>
      </c>
      <c r="DG184" s="1769">
        <f>SUM(DG162:DG183)</f>
        <v>141.97617187500001</v>
      </c>
      <c r="DH184" s="1769">
        <f>SUM(DH162:DH183)</f>
        <v>141.81718749999999</v>
      </c>
      <c r="DI184" s="706">
        <f>SUM(DE184:DH184)</f>
        <v>568.22265625</v>
      </c>
      <c r="DJ184" s="1769">
        <f>SUM(DJ162:DJ183)</f>
        <v>141.033203125</v>
      </c>
      <c r="DK184" s="1769">
        <f>SUM(DK162:DK183)</f>
        <v>140.87421875000001</v>
      </c>
      <c r="DL184" s="1769">
        <f>SUM(DL162:DL183)</f>
        <v>140.71523437499999</v>
      </c>
      <c r="DM184" s="1769">
        <f>SUM(DM162:DM183)</f>
        <v>140.55625000000001</v>
      </c>
      <c r="DN184" s="706">
        <f>SUM(DJ184:DM184)</f>
        <v>563.17890624999995</v>
      </c>
      <c r="DO184" s="1769">
        <f>SUM(DO162:DO183)</f>
        <v>140.39726562499999</v>
      </c>
      <c r="DP184" s="1769">
        <f>SUM(DP162:DP183)</f>
        <v>140.23828125</v>
      </c>
      <c r="DQ184" s="1769">
        <f>SUM(DQ162:DQ183)</f>
        <v>123.954296875</v>
      </c>
      <c r="DR184" s="1769">
        <f>SUM(DR162:DR183)</f>
        <v>123.79531249999999</v>
      </c>
      <c r="DS184" s="706">
        <f>SUM(DO184:DR184)</f>
        <v>528.38515625000002</v>
      </c>
      <c r="DT184" s="1769">
        <f>SUM(DT162:DT183)</f>
        <v>123.63632812500001</v>
      </c>
      <c r="DU184" s="1769">
        <f>SUM(DU162:DU183)</f>
        <v>123.47734375</v>
      </c>
      <c r="DV184" s="1769">
        <f>SUM(DV162:DV183)</f>
        <v>123.318359375</v>
      </c>
      <c r="DW184" s="1769">
        <f>SUM(DW162:DW183)</f>
        <v>123.159375</v>
      </c>
      <c r="DX184" s="706">
        <f>SUM(DT184:DW184)</f>
        <v>493.59140625000003</v>
      </c>
      <c r="DY184" s="780"/>
      <c r="DZ184" s="780"/>
      <c r="EA184" s="780"/>
      <c r="EB184" s="780"/>
      <c r="EC184" s="780"/>
      <c r="ED184" s="780"/>
      <c r="EE184" s="780"/>
      <c r="EF184" s="780"/>
      <c r="EG184"/>
      <c r="EH184"/>
      <c r="EI184"/>
      <c r="EJ184"/>
      <c r="EK184"/>
      <c r="EL184"/>
    </row>
    <row r="185" spans="1:142" hidden="1" outlineLevel="1" x14ac:dyDescent="0.2">
      <c r="A185" s="87" t="s">
        <v>507</v>
      </c>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246"/>
      <c r="AW185" s="38"/>
      <c r="AX185" s="38"/>
      <c r="AY185" s="38"/>
      <c r="AZ185" s="39"/>
      <c r="BA185" s="40"/>
      <c r="BB185" s="783">
        <v>-1.3</v>
      </c>
      <c r="BC185" s="783">
        <v>-0.4</v>
      </c>
      <c r="BD185" s="783">
        <v>0.1</v>
      </c>
      <c r="BE185" s="783">
        <f t="shared" si="679"/>
        <v>0</v>
      </c>
      <c r="BF185" s="784">
        <v>-1.6</v>
      </c>
      <c r="BG185" s="783">
        <v>-0.2</v>
      </c>
      <c r="BH185" s="783">
        <v>-0.3</v>
      </c>
      <c r="BI185" s="783">
        <v>-0.2</v>
      </c>
      <c r="BJ185" s="783">
        <f t="shared" si="680"/>
        <v>-0.40000000000000013</v>
      </c>
      <c r="BK185" s="784">
        <v>-1.1000000000000001</v>
      </c>
      <c r="BL185" s="673">
        <v>-0.5</v>
      </c>
      <c r="BM185" s="673">
        <v>-0.6</v>
      </c>
      <c r="BN185" s="673">
        <v>-0.7</v>
      </c>
      <c r="BO185" s="783">
        <f t="shared" si="681"/>
        <v>-0.8</v>
      </c>
      <c r="BP185" s="784">
        <v>-2.6</v>
      </c>
      <c r="BQ185" s="673">
        <v>-0.9</v>
      </c>
      <c r="BR185" s="673">
        <v>-1.1000000000000001</v>
      </c>
      <c r="BS185" s="1048">
        <v>-0.8</v>
      </c>
      <c r="BT185" s="673">
        <f t="shared" si="682"/>
        <v>-0.90000000000000036</v>
      </c>
      <c r="BU185" s="784">
        <v>-3.7</v>
      </c>
      <c r="BV185" s="673">
        <f>-BV159*AVERAGE(BU10:BV10)/4</f>
        <v>-1.8941011363636364</v>
      </c>
      <c r="BW185" s="1386">
        <f>-BW159*AVERAGE(BV10:BW10)/4</f>
        <v>-1.2783821868989704</v>
      </c>
      <c r="BX185" s="673">
        <v>-0.9</v>
      </c>
      <c r="BY185" s="673">
        <f>-BY159*AVERAGE(BX10:BY10)/4</f>
        <v>-0.77045212689481357</v>
      </c>
      <c r="BZ185" s="784">
        <f>SUM(BV185:BY185)</f>
        <v>-4.8429354501574204</v>
      </c>
      <c r="CA185" s="673">
        <v>-0.6</v>
      </c>
      <c r="CB185" s="673">
        <v>-0.9</v>
      </c>
      <c r="CC185" s="673">
        <v>-1.3</v>
      </c>
      <c r="CD185" s="673">
        <f>-CD159*AVERAGE(CC10:CD10)/4</f>
        <v>-1.2156190368845188</v>
      </c>
      <c r="CE185" s="784">
        <f>SUM(CA185:CD185)</f>
        <v>-4.0156190368845186</v>
      </c>
      <c r="CF185" s="673">
        <f>-CF159*AVERAGE(CE10:CF10)/4</f>
        <v>-2.1946397727272728</v>
      </c>
      <c r="CG185" s="673">
        <f>-CG159*AVERAGE(CF10:CG10)/4</f>
        <v>-4.347378235660142</v>
      </c>
      <c r="CH185" s="673">
        <f>-CH159*AVERAGE(CG10:CH10)/4</f>
        <v>-4.697514053377815</v>
      </c>
      <c r="CI185" s="673">
        <f>-CI159*AVERAGE(CH10:CI10)/4</f>
        <v>-2.6655454977102497</v>
      </c>
      <c r="CJ185" s="784">
        <f>SUM(CF185:CI185)</f>
        <v>-13.90507755947548</v>
      </c>
      <c r="CK185" s="673">
        <f>-CK159*AVERAGE(CJ10:CK10)/4</f>
        <v>-1.9258000000000002</v>
      </c>
      <c r="CL185" s="674">
        <f>-CL159*AVERAGE(CK10:CL10)/4</f>
        <v>-2.00632716947199</v>
      </c>
      <c r="CM185" s="674">
        <f>-CM159*AVERAGE(CL10:CM10)/4</f>
        <v>-1.554804891011992</v>
      </c>
      <c r="CN185" s="674">
        <f>-CN159*AVERAGE(CM10:CN10)/4</f>
        <v>-1.7868945485924062</v>
      </c>
      <c r="CO185" s="784">
        <f>SUM(CK185:CN185)</f>
        <v>-7.2738266090763881</v>
      </c>
      <c r="CP185" s="674">
        <f>-CP159*AVERAGE(CO10:CP10)/4</f>
        <v>-3.2321214552105988</v>
      </c>
      <c r="CQ185" s="674">
        <f>-CQ159*AVERAGE(CP10:CQ10)/4</f>
        <v>-3.3320643900098927</v>
      </c>
      <c r="CR185" s="674">
        <f>-CR159*AVERAGE(CQ10:CR10)/4</f>
        <v>-2.5812117887988739</v>
      </c>
      <c r="CS185" s="674">
        <f>-CS159*AVERAGE(CR10:CS10)/4</f>
        <v>-2.8829429403598583</v>
      </c>
      <c r="CT185" s="784">
        <f>SUM(CP185:CS185)</f>
        <v>-12.028340574379222</v>
      </c>
      <c r="CU185" s="674">
        <f>-CU159*AVERAGE(CT10:CU10)/4</f>
        <v>-4.8355644652447829</v>
      </c>
      <c r="CV185" s="674">
        <f>-CV159*AVERAGE(CU10:CV10)/4</f>
        <v>-5.0550495372882853</v>
      </c>
      <c r="CW185" s="674">
        <f>-CW159*AVERAGE(CV10:CW10)/4</f>
        <v>-4.0498169137593161</v>
      </c>
      <c r="CX185" s="674">
        <f>-CX159*AVERAGE(CW10:CX10)/4</f>
        <v>-4.4274234676172464</v>
      </c>
      <c r="CY185" s="784">
        <f>SUM(CU185:CX185)</f>
        <v>-18.367854383909631</v>
      </c>
      <c r="CZ185" s="674">
        <f>-CZ159*AVERAGE(CY10:CZ10)/4</f>
        <v>-7.0337951148069555</v>
      </c>
      <c r="DA185" s="674">
        <f>-DA159*AVERAGE(CZ10:DA10)/4</f>
        <v>-7.4321445429734974</v>
      </c>
      <c r="DB185" s="674">
        <f>-DB159*AVERAGE(DA10:DB10)/4</f>
        <v>-6.0921552577748894</v>
      </c>
      <c r="DC185" s="674">
        <f>-DC159*AVERAGE(DB10:DC10)/4</f>
        <v>-5.868653654138976</v>
      </c>
      <c r="DD185" s="784">
        <f>SUM(CZ185:DC185)</f>
        <v>-26.426748569694318</v>
      </c>
      <c r="DE185" s="674">
        <f>-DE159*AVERAGE(DD10:DE10)/4</f>
        <v>-8.0431854432464274</v>
      </c>
      <c r="DF185" s="674">
        <f>-DF159*AVERAGE(DE10:DF10)/4</f>
        <v>-8.5353758459006634</v>
      </c>
      <c r="DG185" s="674">
        <f>-DG159*AVERAGE(DF10:DG10)/4</f>
        <v>-7.2316941846977008</v>
      </c>
      <c r="DH185" s="674">
        <f>-DH159*AVERAGE(DG10:DH10)/4</f>
        <v>-7.9174056574820622</v>
      </c>
      <c r="DI185" s="784">
        <f>SUM(DE185:DH185)</f>
        <v>-31.727661131326855</v>
      </c>
      <c r="DJ185" s="674">
        <f>-DJ159*AVERAGE(DI10:DJ10)/4</f>
        <v>-11.722590870244648</v>
      </c>
      <c r="DK185" s="674">
        <f>-DK159*AVERAGE(DJ10:DK10)/4</f>
        <v>-12.463079757076274</v>
      </c>
      <c r="DL185" s="674">
        <f>-DL159*AVERAGE(DK10:DL10)/4</f>
        <v>-10.678769898804163</v>
      </c>
      <c r="DM185" s="674">
        <f>-DM159*AVERAGE(DL10:DM10)/4</f>
        <v>-11.450757579129302</v>
      </c>
      <c r="DN185" s="784">
        <f>SUM(DJ185:DM185)</f>
        <v>-46.315198105254389</v>
      </c>
      <c r="DO185" s="674">
        <f>-DO159*AVERAGE(DN10:DO10)/4</f>
        <v>-16.303636119784379</v>
      </c>
      <c r="DP185" s="674">
        <f>-DP159*AVERAGE(DO10:DP10)/4</f>
        <v>-17.229069563380179</v>
      </c>
      <c r="DQ185" s="674">
        <f>-DQ159*AVERAGE(DP10:DQ10)/4</f>
        <v>-14.803599998298207</v>
      </c>
      <c r="DR185" s="674">
        <f>-DR159*AVERAGE(DQ10:DR10)/4</f>
        <v>-15.609681163304852</v>
      </c>
      <c r="DS185" s="784">
        <f>SUM(DO185:DR185)</f>
        <v>-63.945986844767617</v>
      </c>
      <c r="DT185" s="674">
        <f>-DT159*AVERAGE(DS10:DT10)/4</f>
        <v>-21.563028718791308</v>
      </c>
      <c r="DU185" s="674">
        <f>-DU159*AVERAGE(DT10:DU10)/4</f>
        <v>-22.785403763142373</v>
      </c>
      <c r="DV185" s="674">
        <f>-DV159*AVERAGE(DU10:DV10)/4</f>
        <v>-19.751451272548916</v>
      </c>
      <c r="DW185" s="674">
        <f>-DW159*AVERAGE(DV10:DW10)/4</f>
        <v>-20.612247282046333</v>
      </c>
      <c r="DX185" s="784">
        <f>SUM(DT185:DW185)</f>
        <v>-84.712131036528945</v>
      </c>
      <c r="DY185" s="673"/>
      <c r="DZ185" s="673"/>
      <c r="EA185" s="673"/>
      <c r="EB185" s="673"/>
      <c r="EC185" s="673"/>
      <c r="ED185" s="673"/>
      <c r="EE185" s="673"/>
      <c r="EF185" s="673"/>
    </row>
    <row r="186" spans="1:142" hidden="1" outlineLevel="1" x14ac:dyDescent="0.2">
      <c r="A186" s="895" t="s">
        <v>174</v>
      </c>
      <c r="B186" s="896"/>
      <c r="C186" s="896"/>
      <c r="D186" s="896"/>
      <c r="E186" s="896"/>
      <c r="F186" s="896"/>
      <c r="G186" s="896"/>
      <c r="H186" s="896"/>
      <c r="I186" s="896"/>
      <c r="J186" s="896"/>
      <c r="K186" s="896"/>
      <c r="L186" s="896"/>
      <c r="M186" s="896"/>
      <c r="N186" s="896"/>
      <c r="O186" s="896"/>
      <c r="P186" s="896"/>
      <c r="Q186" s="896"/>
      <c r="R186" s="896"/>
      <c r="S186" s="896"/>
      <c r="T186" s="896"/>
      <c r="U186" s="896"/>
      <c r="V186" s="896"/>
      <c r="W186" s="896"/>
      <c r="X186" s="896"/>
      <c r="Y186" s="896"/>
      <c r="Z186" s="896"/>
      <c r="AA186" s="896"/>
      <c r="AB186" s="896"/>
      <c r="AC186" s="896"/>
      <c r="AD186" s="896"/>
      <c r="AE186" s="896"/>
      <c r="AF186" s="896"/>
      <c r="AG186" s="896"/>
      <c r="AH186" s="896"/>
      <c r="AI186" s="896"/>
      <c r="AJ186" s="896"/>
      <c r="AK186" s="896"/>
      <c r="AL186" s="896"/>
      <c r="AM186" s="896"/>
      <c r="AN186" s="896"/>
      <c r="AO186" s="896"/>
      <c r="AP186" s="896"/>
      <c r="AQ186" s="896"/>
      <c r="AR186" s="896"/>
      <c r="AS186" s="896"/>
      <c r="AT186" s="896"/>
      <c r="AU186" s="896"/>
      <c r="AV186" s="897"/>
      <c r="AW186" s="896"/>
      <c r="AX186" s="896"/>
      <c r="AY186" s="896"/>
      <c r="AZ186" s="898"/>
      <c r="BA186" s="899"/>
      <c r="BB186" s="900">
        <v>-1.3</v>
      </c>
      <c r="BC186" s="900">
        <v>-0.4</v>
      </c>
      <c r="BD186" s="900">
        <v>0.1</v>
      </c>
      <c r="BE186" s="900">
        <v>0</v>
      </c>
      <c r="BF186" s="901">
        <v>-1.6</v>
      </c>
      <c r="BG186" s="900">
        <v>-0.2</v>
      </c>
      <c r="BH186" s="900">
        <v>-0.3</v>
      </c>
      <c r="BI186" s="900">
        <v>-0.2</v>
      </c>
      <c r="BJ186" s="900">
        <v>-0.4</v>
      </c>
      <c r="BK186" s="901">
        <v>-1.1000000000000001</v>
      </c>
      <c r="BL186" s="902">
        <v>-0.5</v>
      </c>
      <c r="BM186" s="902">
        <v>-0.6</v>
      </c>
      <c r="BN186" s="902">
        <v>-0.7</v>
      </c>
      <c r="BO186" s="900">
        <v>-0.8</v>
      </c>
      <c r="BP186" s="901">
        <v>-2.6</v>
      </c>
      <c r="BQ186" s="902">
        <v>-0.9</v>
      </c>
      <c r="BR186" s="902">
        <v>-1.1000000000000001</v>
      </c>
      <c r="BS186" s="902">
        <v>-0.8</v>
      </c>
      <c r="BT186" s="902">
        <v>-0.90000000000000036</v>
      </c>
      <c r="BU186" s="901">
        <v>-3.7</v>
      </c>
      <c r="BV186" s="902">
        <v>-1.7080363717358444</v>
      </c>
      <c r="BW186" s="1387">
        <v>-1.1370520302390434</v>
      </c>
      <c r="BX186" s="902">
        <v>-0.87322651194134615</v>
      </c>
      <c r="BY186" s="902">
        <v>-0.77476332810928494</v>
      </c>
      <c r="BZ186" s="901">
        <v>-4.4930782420255184</v>
      </c>
      <c r="CA186" s="902">
        <v>-0.6</v>
      </c>
      <c r="CB186" s="902">
        <v>-0.9</v>
      </c>
      <c r="CC186" s="1650">
        <v>-1.3</v>
      </c>
      <c r="CD186" s="902">
        <v>-1.2798938233146833</v>
      </c>
      <c r="CE186" s="901">
        <v>-5.6648478983637753</v>
      </c>
      <c r="CF186" s="902">
        <v>-2.144681329783622</v>
      </c>
      <c r="CG186" s="902">
        <v>-2.3955731776644065</v>
      </c>
      <c r="CH186" s="902">
        <v>-2.0893346779354287</v>
      </c>
      <c r="CI186" s="902">
        <v>-1.1046257722430992</v>
      </c>
      <c r="CJ186" s="901">
        <v>-7.7342149576265564</v>
      </c>
      <c r="CK186" s="902">
        <v>-2.1</v>
      </c>
      <c r="CL186" s="903">
        <v>-2</v>
      </c>
      <c r="CM186" s="903">
        <v>-1.5</v>
      </c>
      <c r="CN186" s="903">
        <v>-1.8</v>
      </c>
      <c r="CO186" s="901">
        <v>-3.0221510661599851</v>
      </c>
      <c r="CP186" s="903">
        <v>-1.7729945405827143</v>
      </c>
      <c r="CQ186" s="903">
        <v>-2.0893214807005354</v>
      </c>
      <c r="CR186" s="903">
        <v>-2.1718266583740835</v>
      </c>
      <c r="CS186" s="903">
        <v>-2.3896706097079781</v>
      </c>
      <c r="CT186" s="901">
        <v>-8.4238132893653113</v>
      </c>
      <c r="CU186" s="903">
        <v>-3.5384000520832308</v>
      </c>
      <c r="CV186" s="903">
        <v>-3.9964771718503473</v>
      </c>
      <c r="CW186" s="903">
        <v>-3.9170332390917473</v>
      </c>
      <c r="CX186" s="903">
        <v>-4.1079519380776244</v>
      </c>
      <c r="CY186" s="901">
        <v>-15.559862401102949</v>
      </c>
      <c r="CZ186" s="903">
        <v>-5.7650170961282647</v>
      </c>
      <c r="DA186" s="903">
        <v>-6.3722898802279548</v>
      </c>
      <c r="DB186" s="903">
        <v>-6.1229517052101725</v>
      </c>
      <c r="DC186" s="903">
        <v>-3.6359290535545505</v>
      </c>
      <c r="DD186" s="901">
        <v>-21.896187735120943</v>
      </c>
      <c r="DE186" s="903">
        <v>1.7827294968263556</v>
      </c>
      <c r="DF186" s="903">
        <v>5.0374271692281285</v>
      </c>
      <c r="DG186" s="903">
        <v>3.5236706602999859</v>
      </c>
      <c r="DH186" s="903">
        <v>2.4100355367015798</v>
      </c>
      <c r="DI186" s="901">
        <v>12.75386286305605</v>
      </c>
      <c r="DJ186" s="903">
        <v>2.5028818361814738</v>
      </c>
      <c r="DK186" s="903">
        <v>2.0869148150568546</v>
      </c>
      <c r="DL186" s="903">
        <v>0.8335776043824239</v>
      </c>
      <c r="DM186" s="903">
        <v>-0.22708095326339628</v>
      </c>
      <c r="DN186" s="901">
        <v>5.1962933023573568</v>
      </c>
      <c r="DO186" s="903">
        <v>-0.9186843443379431</v>
      </c>
      <c r="DP186" s="903">
        <v>-1.5680673558937681</v>
      </c>
      <c r="DQ186" s="903">
        <v>-2.5411659684199508</v>
      </c>
      <c r="DR186" s="903">
        <v>-3.5461709444306173</v>
      </c>
      <c r="DS186" s="901">
        <v>-8.5740886130822798</v>
      </c>
      <c r="DT186" s="903">
        <v>-5.043523476399681</v>
      </c>
      <c r="DU186" s="903">
        <v>-5.9149882407332859</v>
      </c>
      <c r="DV186" s="903">
        <v>-6.5950212600050735</v>
      </c>
      <c r="DW186" s="903">
        <v>-7.5359659313370031</v>
      </c>
      <c r="DX186" s="901">
        <v>-25.089498908475043</v>
      </c>
      <c r="DY186" s="673"/>
      <c r="DZ186" s="673"/>
      <c r="EA186" s="673"/>
      <c r="EB186" s="673"/>
      <c r="EC186" s="673"/>
      <c r="ED186" s="673"/>
      <c r="EE186" s="673"/>
      <c r="EF186" s="673"/>
    </row>
    <row r="187" spans="1:142" hidden="1" outlineLevel="1" x14ac:dyDescent="0.2">
      <c r="A187" s="790" t="s">
        <v>843</v>
      </c>
      <c r="B187" s="781"/>
      <c r="C187" s="781"/>
      <c r="D187" s="781"/>
      <c r="E187" s="781"/>
      <c r="F187" s="781"/>
      <c r="G187" s="781"/>
      <c r="H187" s="781"/>
      <c r="I187" s="781"/>
      <c r="J187" s="781"/>
      <c r="K187" s="781"/>
      <c r="L187" s="781"/>
      <c r="M187" s="781"/>
      <c r="N187" s="781"/>
      <c r="O187" s="781"/>
      <c r="P187" s="781"/>
      <c r="Q187" s="781"/>
      <c r="R187" s="781"/>
      <c r="S187" s="781"/>
      <c r="T187" s="781"/>
      <c r="U187" s="781"/>
      <c r="V187" s="781"/>
      <c r="W187" s="781"/>
      <c r="X187" s="781"/>
      <c r="Y187" s="781"/>
      <c r="Z187" s="781"/>
      <c r="AA187" s="781"/>
      <c r="AB187" s="781"/>
      <c r="AC187" s="781"/>
      <c r="AD187" s="781"/>
      <c r="AE187" s="781"/>
      <c r="AF187" s="781"/>
      <c r="AG187" s="781"/>
      <c r="AH187" s="781"/>
      <c r="AI187" s="781"/>
      <c r="AJ187" s="781"/>
      <c r="AK187" s="781"/>
      <c r="AL187" s="781"/>
      <c r="AM187" s="781"/>
      <c r="AN187" s="781"/>
      <c r="AO187" s="781"/>
      <c r="AP187" s="781"/>
      <c r="AQ187" s="781"/>
      <c r="AR187" s="781"/>
      <c r="AS187" s="781"/>
      <c r="AT187" s="781"/>
      <c r="AU187" s="781"/>
      <c r="AV187" s="45"/>
      <c r="AW187" s="781"/>
      <c r="AX187" s="781"/>
      <c r="AY187" s="781"/>
      <c r="AZ187" s="791"/>
      <c r="BA187" s="782"/>
      <c r="BB187" s="785">
        <f t="shared" ref="BB187:BP187" si="717">BB184+BB185</f>
        <v>50.2</v>
      </c>
      <c r="BC187" s="785">
        <f t="shared" si="717"/>
        <v>56.100000000000009</v>
      </c>
      <c r="BD187" s="785">
        <f t="shared" si="717"/>
        <v>59.4</v>
      </c>
      <c r="BE187" s="785">
        <f t="shared" si="717"/>
        <v>61.000000000000007</v>
      </c>
      <c r="BF187" s="786">
        <f t="shared" si="717"/>
        <v>226.70000000000002</v>
      </c>
      <c r="BG187" s="785">
        <f t="shared" si="717"/>
        <v>59.099999999999994</v>
      </c>
      <c r="BH187" s="785">
        <f t="shared" si="717"/>
        <v>57.20000000000001</v>
      </c>
      <c r="BI187" s="785">
        <f t="shared" si="717"/>
        <v>57.3</v>
      </c>
      <c r="BJ187" s="785">
        <f t="shared" si="717"/>
        <v>50.199999999999989</v>
      </c>
      <c r="BK187" s="786">
        <f t="shared" si="717"/>
        <v>223.8</v>
      </c>
      <c r="BL187" s="785">
        <f t="shared" si="717"/>
        <v>49.1</v>
      </c>
      <c r="BM187" s="785">
        <f t="shared" si="717"/>
        <v>50</v>
      </c>
      <c r="BN187" s="785">
        <f t="shared" si="717"/>
        <v>50.199999999999996</v>
      </c>
      <c r="BO187" s="785">
        <f t="shared" si="717"/>
        <v>50.7</v>
      </c>
      <c r="BP187" s="786">
        <f t="shared" si="717"/>
        <v>200</v>
      </c>
      <c r="BQ187" s="785">
        <f>BQ184+BQ186</f>
        <v>50.000000000000007</v>
      </c>
      <c r="BR187" s="785">
        <f t="shared" ref="BR187:DS187" si="718">BR184+BR186</f>
        <v>50.6</v>
      </c>
      <c r="BS187" s="1049">
        <f t="shared" si="718"/>
        <v>51.300000000000004</v>
      </c>
      <c r="BT187" s="785">
        <f t="shared" si="718"/>
        <v>128.19999999999999</v>
      </c>
      <c r="BU187" s="786">
        <f t="shared" si="718"/>
        <v>280.10000000000002</v>
      </c>
      <c r="BV187" s="785">
        <f>BV184+BV186</f>
        <v>117.77521987826415</v>
      </c>
      <c r="BW187" s="1388">
        <f>BW184+BW186</f>
        <v>107.98538596976096</v>
      </c>
      <c r="BX187" s="785">
        <f t="shared" si="718"/>
        <v>116.02677348805867</v>
      </c>
      <c r="BY187" s="785">
        <f t="shared" si="718"/>
        <v>116.14780562030342</v>
      </c>
      <c r="BZ187" s="786">
        <f t="shared" si="718"/>
        <v>457.93518495638727</v>
      </c>
      <c r="CA187" s="785">
        <f>CA184+CA186</f>
        <v>115.10000000000001</v>
      </c>
      <c r="CB187" s="785">
        <f t="shared" si="718"/>
        <v>117.19999999999999</v>
      </c>
      <c r="CC187" s="785">
        <f>CC184+CC186</f>
        <v>117.3</v>
      </c>
      <c r="CD187" s="785">
        <f t="shared" si="718"/>
        <v>116.40644431766354</v>
      </c>
      <c r="CE187" s="786">
        <f t="shared" si="718"/>
        <v>464.42149024261442</v>
      </c>
      <c r="CF187" s="785">
        <f>CF184+CF185</f>
        <v>117.99510442158554</v>
      </c>
      <c r="CG187" s="785">
        <f t="shared" ref="CG187:CI187" si="719">CG184+CG185</f>
        <v>130.00975658365269</v>
      </c>
      <c r="CH187" s="785">
        <f t="shared" si="719"/>
        <v>149.75748534926834</v>
      </c>
      <c r="CI187" s="785">
        <f t="shared" si="719"/>
        <v>140.15815182160256</v>
      </c>
      <c r="CJ187" s="786">
        <f t="shared" si="718"/>
        <v>544.09136077795802</v>
      </c>
      <c r="CK187" s="785">
        <f>CK184+CK186</f>
        <v>142.13425937500003</v>
      </c>
      <c r="CL187" s="785">
        <f t="shared" si="718"/>
        <v>142.06129062500003</v>
      </c>
      <c r="CM187" s="785">
        <f t="shared" si="718"/>
        <v>142.388321875</v>
      </c>
      <c r="CN187" s="785">
        <f t="shared" si="718"/>
        <v>141.915353125</v>
      </c>
      <c r="CO187" s="786">
        <f t="shared" si="718"/>
        <v>572.87707393384005</v>
      </c>
      <c r="CP187" s="785">
        <f t="shared" si="718"/>
        <v>141.7693898344173</v>
      </c>
      <c r="CQ187" s="785">
        <f t="shared" si="718"/>
        <v>141.28009414429945</v>
      </c>
      <c r="CR187" s="785">
        <f t="shared" si="718"/>
        <v>141.02462021662592</v>
      </c>
      <c r="CS187" s="785">
        <f t="shared" si="718"/>
        <v>140.63380751529201</v>
      </c>
      <c r="CT187" s="786">
        <f t="shared" si="718"/>
        <v>564.70791171063468</v>
      </c>
      <c r="CU187" s="785">
        <f t="shared" si="718"/>
        <v>139.31210932291677</v>
      </c>
      <c r="CV187" s="785">
        <f t="shared" si="718"/>
        <v>138.68106345314965</v>
      </c>
      <c r="CW187" s="785">
        <f t="shared" si="718"/>
        <v>138.58753863590826</v>
      </c>
      <c r="CX187" s="785">
        <f t="shared" si="718"/>
        <v>138.22365118692238</v>
      </c>
      <c r="CY187" s="786">
        <f t="shared" si="718"/>
        <v>554.80436259889711</v>
      </c>
      <c r="CZ187" s="785">
        <f t="shared" si="718"/>
        <v>136.39361727887174</v>
      </c>
      <c r="DA187" s="785">
        <f t="shared" si="718"/>
        <v>135.61337574477204</v>
      </c>
      <c r="DB187" s="785">
        <f t="shared" si="718"/>
        <v>135.68974516978983</v>
      </c>
      <c r="DC187" s="785">
        <f t="shared" si="718"/>
        <v>170.25061469644544</v>
      </c>
      <c r="DD187" s="786">
        <f t="shared" si="718"/>
        <v>577.94735288987908</v>
      </c>
      <c r="DE187" s="785">
        <f t="shared" si="718"/>
        <v>144.07687012182637</v>
      </c>
      <c r="DF187" s="785">
        <f t="shared" si="718"/>
        <v>147.17258341922812</v>
      </c>
      <c r="DG187" s="785">
        <f t="shared" si="718"/>
        <v>145.49984253529999</v>
      </c>
      <c r="DH187" s="785">
        <f t="shared" si="718"/>
        <v>144.22722303670156</v>
      </c>
      <c r="DI187" s="786">
        <f t="shared" si="718"/>
        <v>580.97651911305604</v>
      </c>
      <c r="DJ187" s="785">
        <f t="shared" si="718"/>
        <v>143.53608496118147</v>
      </c>
      <c r="DK187" s="785">
        <f t="shared" si="718"/>
        <v>142.96113356505685</v>
      </c>
      <c r="DL187" s="785">
        <f t="shared" si="718"/>
        <v>141.54881197938241</v>
      </c>
      <c r="DM187" s="785">
        <f t="shared" si="718"/>
        <v>140.32916904673661</v>
      </c>
      <c r="DN187" s="786">
        <f t="shared" si="718"/>
        <v>568.37519955235734</v>
      </c>
      <c r="DO187" s="785">
        <f t="shared" si="718"/>
        <v>139.47858128066204</v>
      </c>
      <c r="DP187" s="785">
        <f t="shared" si="718"/>
        <v>138.67021389410624</v>
      </c>
      <c r="DQ187" s="785">
        <f t="shared" si="718"/>
        <v>121.41313090658005</v>
      </c>
      <c r="DR187" s="785">
        <f t="shared" si="718"/>
        <v>120.24914155556938</v>
      </c>
      <c r="DS187" s="786">
        <f t="shared" si="718"/>
        <v>519.81106763691776</v>
      </c>
      <c r="DT187" s="785">
        <f t="shared" ref="DT187:DX187" si="720">DT184+DT186</f>
        <v>118.59280464860032</v>
      </c>
      <c r="DU187" s="785">
        <f t="shared" si="720"/>
        <v>117.56235550926672</v>
      </c>
      <c r="DV187" s="785">
        <f t="shared" si="720"/>
        <v>116.72333811499493</v>
      </c>
      <c r="DW187" s="785">
        <f t="shared" si="720"/>
        <v>115.62340906866299</v>
      </c>
      <c r="DX187" s="786">
        <f t="shared" si="720"/>
        <v>468.501907341525</v>
      </c>
      <c r="DY187" s="780"/>
      <c r="DZ187" s="780"/>
      <c r="EA187" s="780"/>
      <c r="EB187" s="780"/>
      <c r="EC187" s="780"/>
      <c r="ED187" s="780"/>
      <c r="EE187" s="780"/>
      <c r="EF187" s="780"/>
    </row>
    <row r="188" spans="1:142" hidden="1" outlineLevel="1" x14ac:dyDescent="0.2">
      <c r="A188" s="32" t="s">
        <v>844</v>
      </c>
      <c r="B188" s="46"/>
      <c r="C188" s="46"/>
      <c r="D188" s="46"/>
      <c r="E188" s="46"/>
      <c r="F188" s="46"/>
      <c r="G188" s="46"/>
      <c r="H188" s="46"/>
      <c r="I188" s="46"/>
      <c r="J188" s="46"/>
      <c r="K188" s="46"/>
      <c r="L188" s="46"/>
      <c r="M188" s="46"/>
      <c r="N188" s="46"/>
      <c r="O188" s="46"/>
      <c r="P188" s="46"/>
      <c r="Q188" s="46"/>
      <c r="R188" s="46"/>
      <c r="S188" s="46"/>
      <c r="T188" s="46"/>
      <c r="U188" s="46"/>
      <c r="V188" s="46"/>
      <c r="W188" s="46"/>
      <c r="X188" s="46"/>
      <c r="Y188" s="46"/>
      <c r="Z188" s="46"/>
      <c r="AA188" s="46"/>
      <c r="AB188" s="46"/>
      <c r="AC188" s="46"/>
      <c r="AD188" s="46"/>
      <c r="AE188" s="46"/>
      <c r="AF188" s="46"/>
      <c r="AG188" s="46"/>
      <c r="AH188" s="46"/>
      <c r="AI188" s="46"/>
      <c r="AJ188" s="46"/>
      <c r="AK188" s="46"/>
      <c r="AL188" s="46"/>
      <c r="AM188" s="46"/>
      <c r="AN188" s="46"/>
      <c r="AO188" s="46"/>
      <c r="AP188" s="46"/>
      <c r="AQ188" s="46"/>
      <c r="AR188" s="46"/>
      <c r="AS188" s="46"/>
      <c r="AT188" s="46"/>
      <c r="AU188" s="46"/>
      <c r="AV188" s="247"/>
      <c r="AW188" s="46"/>
      <c r="AX188" s="46"/>
      <c r="AY188" s="46"/>
      <c r="AZ188" s="46"/>
      <c r="BA188" s="46"/>
      <c r="BB188" s="686"/>
      <c r="BC188" s="686"/>
      <c r="BD188" s="686"/>
      <c r="BE188" s="686"/>
      <c r="BF188" s="245"/>
      <c r="BG188" s="686"/>
      <c r="BH188" s="686"/>
      <c r="BI188" s="686"/>
      <c r="BJ188" s="686"/>
      <c r="BK188" s="245"/>
      <c r="BL188" s="686"/>
      <c r="BM188" s="686"/>
      <c r="BN188" s="686"/>
      <c r="BO188" s="686"/>
      <c r="BP188" s="245"/>
      <c r="BQ188" s="686"/>
      <c r="BR188" s="686"/>
      <c r="BS188" s="686"/>
      <c r="BT188" s="686"/>
      <c r="BU188" s="686"/>
      <c r="BV188" s="686"/>
      <c r="BW188" s="1389"/>
      <c r="BX188" s="686"/>
      <c r="BY188" s="686"/>
      <c r="BZ188" s="686"/>
      <c r="CA188" s="686">
        <f>IS!CF46</f>
        <v>115.1</v>
      </c>
      <c r="CB188" s="686">
        <f>IS!CG46</f>
        <v>117.2</v>
      </c>
      <c r="CC188" s="686">
        <f>IS!CH46</f>
        <v>117.3</v>
      </c>
      <c r="CD188" s="686">
        <f>IS!CI46</f>
        <v>117.3</v>
      </c>
      <c r="CE188" s="686"/>
      <c r="CF188" s="686">
        <f>IS!CK44</f>
        <v>113.5</v>
      </c>
      <c r="CG188" s="686">
        <f>IS!CL44</f>
        <v>134.35713481931282</v>
      </c>
      <c r="CH188" s="686">
        <f>IS!CM44</f>
        <v>154.45499940264614</v>
      </c>
      <c r="CI188" s="686">
        <f>IS!CN44</f>
        <v>142.8236973193128</v>
      </c>
      <c r="CJ188" s="686"/>
      <c r="CK188" s="686"/>
      <c r="CL188" s="686"/>
      <c r="CM188" s="686"/>
      <c r="CN188" s="686"/>
      <c r="CO188" s="686"/>
      <c r="CP188" s="686"/>
      <c r="CQ188" s="686"/>
      <c r="CR188" s="686"/>
      <c r="CS188" s="686"/>
      <c r="CT188" s="686"/>
      <c r="CU188" s="686"/>
      <c r="CV188" s="686"/>
      <c r="CW188" s="686"/>
      <c r="CX188" s="686"/>
      <c r="CY188" s="686"/>
      <c r="CZ188" s="686"/>
      <c r="DA188" s="686"/>
      <c r="DB188" s="686"/>
      <c r="DC188" s="686"/>
      <c r="DD188" s="686"/>
      <c r="DE188" s="686"/>
      <c r="DF188" s="686"/>
      <c r="DG188" s="686"/>
      <c r="DH188" s="686"/>
      <c r="DI188" s="686"/>
      <c r="DJ188" s="686"/>
      <c r="DK188" s="686"/>
      <c r="DL188" s="686"/>
      <c r="DM188" s="686"/>
      <c r="DN188" s="686"/>
      <c r="DO188" s="686"/>
      <c r="DP188" s="686"/>
      <c r="DQ188" s="686"/>
      <c r="DR188" s="686"/>
      <c r="DS188" s="686"/>
      <c r="DT188" s="686"/>
      <c r="DU188" s="686"/>
      <c r="DV188" s="686"/>
      <c r="DW188" s="686"/>
      <c r="DX188" s="686"/>
      <c r="DY188" s="780"/>
      <c r="DZ188" s="780"/>
      <c r="EA188" s="780"/>
      <c r="EB188" s="780"/>
      <c r="EC188" s="780"/>
      <c r="ED188" s="780"/>
      <c r="EE188" s="780"/>
      <c r="EF188" s="780"/>
    </row>
    <row r="189" spans="1:142" hidden="1" outlineLevel="1" x14ac:dyDescent="0.2">
      <c r="A189" s="32"/>
      <c r="B189" s="46"/>
      <c r="C189" s="46"/>
      <c r="D189" s="46"/>
      <c r="E189" s="46"/>
      <c r="F189" s="46"/>
      <c r="G189" s="46"/>
      <c r="H189" s="46"/>
      <c r="I189" s="46"/>
      <c r="J189" s="46"/>
      <c r="K189" s="46"/>
      <c r="L189" s="46"/>
      <c r="M189" s="46"/>
      <c r="N189" s="46"/>
      <c r="O189" s="46"/>
      <c r="P189" s="46"/>
      <c r="Q189" s="46"/>
      <c r="R189" s="46"/>
      <c r="S189" s="46"/>
      <c r="T189" s="46"/>
      <c r="U189" s="46"/>
      <c r="V189" s="46"/>
      <c r="W189" s="46"/>
      <c r="X189" s="46"/>
      <c r="Y189" s="46"/>
      <c r="Z189" s="46"/>
      <c r="AA189" s="46"/>
      <c r="AB189" s="46"/>
      <c r="AC189" s="46"/>
      <c r="AD189" s="46"/>
      <c r="AE189" s="46"/>
      <c r="AF189" s="46"/>
      <c r="AG189" s="46"/>
      <c r="AH189" s="46"/>
      <c r="AI189" s="46"/>
      <c r="AJ189" s="46"/>
      <c r="AK189" s="46"/>
      <c r="AL189" s="46"/>
      <c r="AM189" s="46"/>
      <c r="AN189" s="46"/>
      <c r="AO189" s="46"/>
      <c r="AP189" s="46"/>
      <c r="AQ189" s="46"/>
      <c r="AR189" s="46"/>
      <c r="AS189" s="46"/>
      <c r="AT189" s="46"/>
      <c r="AU189" s="46"/>
      <c r="AV189" s="45"/>
      <c r="AW189" s="46"/>
      <c r="AX189" s="46"/>
      <c r="AY189" s="46"/>
      <c r="AZ189" s="46"/>
      <c r="BA189" s="46"/>
      <c r="BB189" s="686"/>
      <c r="BC189" s="686"/>
      <c r="BD189" s="686"/>
      <c r="BE189" s="686"/>
      <c r="BF189" s="245"/>
      <c r="BG189" s="686"/>
      <c r="BH189" s="686"/>
      <c r="BI189" s="686"/>
      <c r="BJ189" s="686"/>
      <c r="BK189" s="245"/>
      <c r="BL189" s="686"/>
      <c r="BM189" s="686"/>
      <c r="BN189" s="686"/>
      <c r="BO189" s="686"/>
      <c r="BP189" s="245"/>
      <c r="BQ189" s="686"/>
      <c r="BR189" s="686"/>
      <c r="BS189" s="686"/>
      <c r="BT189" s="686"/>
      <c r="BU189" s="686"/>
      <c r="BV189" s="686"/>
      <c r="BW189" s="1389"/>
      <c r="BX189" s="686"/>
      <c r="BY189" s="686"/>
      <c r="BZ189" s="686"/>
      <c r="CA189" s="686"/>
      <c r="CB189" s="686"/>
      <c r="CC189" s="686"/>
      <c r="CD189" s="686"/>
      <c r="CE189" s="686"/>
      <c r="CF189" s="686"/>
      <c r="CG189" s="686"/>
      <c r="CH189" s="686"/>
      <c r="CI189" s="686"/>
      <c r="CJ189" s="686"/>
      <c r="CK189" s="686"/>
      <c r="CL189" s="686"/>
      <c r="CM189" s="686"/>
      <c r="CN189" s="686"/>
      <c r="CO189" s="686"/>
      <c r="CP189" s="686"/>
      <c r="CQ189" s="686"/>
      <c r="CR189" s="686"/>
      <c r="CS189" s="686"/>
      <c r="CT189" s="686"/>
      <c r="CU189" s="686"/>
      <c r="CV189" s="686"/>
      <c r="CW189" s="686"/>
      <c r="CX189" s="686"/>
      <c r="CY189" s="686"/>
      <c r="CZ189" s="686"/>
      <c r="DA189" s="686"/>
      <c r="DB189" s="686"/>
      <c r="DC189" s="686"/>
      <c r="DD189" s="686"/>
      <c r="DE189" s="686"/>
      <c r="DF189" s="686"/>
      <c r="DG189" s="686"/>
      <c r="DH189" s="686"/>
      <c r="DI189" s="686"/>
      <c r="DJ189" s="686"/>
      <c r="DK189" s="686"/>
      <c r="DL189" s="686"/>
      <c r="DM189" s="686"/>
      <c r="DN189" s="686"/>
      <c r="DO189" s="686"/>
      <c r="DP189" s="686"/>
      <c r="DQ189" s="686"/>
      <c r="DR189" s="686"/>
      <c r="DS189" s="686"/>
      <c r="DT189" s="686"/>
      <c r="DU189" s="686"/>
      <c r="DV189" s="686"/>
      <c r="DW189" s="686"/>
      <c r="DX189" s="686"/>
      <c r="DY189" s="780"/>
      <c r="DZ189" s="780"/>
      <c r="EA189" s="780"/>
      <c r="EB189" s="780"/>
      <c r="EC189" s="780"/>
      <c r="ED189" s="780"/>
      <c r="EE189" s="780"/>
      <c r="EF189" s="780"/>
    </row>
    <row r="190" spans="1:142" hidden="1" outlineLevel="1" x14ac:dyDescent="0.2">
      <c r="A190" s="32"/>
      <c r="B190" s="46"/>
      <c r="C190" s="46"/>
      <c r="D190" s="46"/>
      <c r="E190" s="46"/>
      <c r="F190" s="46"/>
      <c r="G190" s="46"/>
      <c r="H190" s="46"/>
      <c r="I190" s="46"/>
      <c r="J190" s="46"/>
      <c r="K190" s="46"/>
      <c r="L190" s="46"/>
      <c r="M190" s="46"/>
      <c r="N190" s="46"/>
      <c r="O190" s="46"/>
      <c r="P190" s="46"/>
      <c r="Q190" s="46"/>
      <c r="R190" s="46"/>
      <c r="S190" s="46"/>
      <c r="T190" s="46"/>
      <c r="U190" s="46"/>
      <c r="V190" s="46"/>
      <c r="W190" s="46"/>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5"/>
      <c r="AW190" s="46"/>
      <c r="AX190" s="46"/>
      <c r="AY190" s="46"/>
      <c r="AZ190" s="46"/>
      <c r="BA190" s="46"/>
      <c r="BB190" s="686"/>
      <c r="BC190" s="686"/>
      <c r="BD190" s="686"/>
      <c r="BE190" s="686"/>
      <c r="BF190" s="245"/>
      <c r="BG190" s="686"/>
      <c r="BH190" s="686"/>
      <c r="BI190" s="686"/>
      <c r="BJ190" s="686"/>
      <c r="BK190" s="245"/>
      <c r="BL190" s="686"/>
      <c r="BM190" s="686"/>
      <c r="BN190" s="686"/>
      <c r="BO190" s="686"/>
      <c r="BP190" s="245"/>
      <c r="BQ190" s="686"/>
      <c r="BR190" s="686"/>
      <c r="BS190" s="686"/>
      <c r="BT190" s="686"/>
      <c r="BU190" s="686"/>
      <c r="BV190" s="686"/>
      <c r="BW190" s="1389"/>
      <c r="BX190" s="686"/>
      <c r="BY190" s="686"/>
      <c r="BZ190" s="686"/>
      <c r="CA190" s="686"/>
      <c r="CB190" s="686"/>
      <c r="CC190" s="686"/>
      <c r="CD190" s="686"/>
      <c r="CE190" s="686"/>
      <c r="CF190" s="686"/>
      <c r="CG190" s="686"/>
      <c r="CH190" s="686"/>
      <c r="CI190" s="686"/>
      <c r="CJ190" s="686"/>
      <c r="CK190" s="686"/>
      <c r="CL190" s="686"/>
      <c r="CM190" s="686"/>
      <c r="CN190" s="686"/>
      <c r="CO190" s="686"/>
      <c r="CP190" s="686"/>
      <c r="CQ190" s="686"/>
      <c r="CR190" s="686"/>
      <c r="CS190" s="686"/>
      <c r="CT190" s="686"/>
      <c r="CU190" s="686"/>
      <c r="CV190" s="686"/>
      <c r="CW190" s="686"/>
      <c r="CX190" s="686"/>
      <c r="CY190" s="686"/>
      <c r="CZ190" s="686"/>
      <c r="DA190" s="686"/>
      <c r="DB190" s="686"/>
      <c r="DC190" s="686"/>
      <c r="DD190" s="686"/>
      <c r="DE190" s="686"/>
      <c r="DF190" s="686"/>
      <c r="DG190" s="686"/>
      <c r="DH190" s="686"/>
      <c r="DI190" s="686"/>
      <c r="DJ190" s="686"/>
      <c r="DK190" s="686"/>
      <c r="DL190" s="686"/>
      <c r="DM190" s="686"/>
      <c r="DN190" s="686"/>
      <c r="DO190" s="686"/>
      <c r="DP190" s="686"/>
      <c r="DQ190" s="686"/>
      <c r="DR190" s="686"/>
      <c r="DS190" s="686"/>
      <c r="DT190" s="686"/>
      <c r="DU190" s="686"/>
      <c r="DV190" s="686"/>
      <c r="DW190" s="686"/>
      <c r="DX190" s="686"/>
      <c r="DY190" s="780"/>
      <c r="DZ190" s="780"/>
      <c r="EA190" s="780"/>
      <c r="EB190" s="780"/>
      <c r="EC190" s="780"/>
      <c r="ED190" s="780"/>
      <c r="EE190" s="780"/>
      <c r="EF190" s="780"/>
    </row>
    <row r="191" spans="1:142" hidden="1" outlineLevel="1" x14ac:dyDescent="0.2">
      <c r="A191" s="27" t="s">
        <v>117</v>
      </c>
      <c r="B191" s="335"/>
      <c r="C191" s="335"/>
      <c r="D191" s="335"/>
      <c r="E191" s="335"/>
      <c r="F191" s="335"/>
      <c r="G191" s="335"/>
      <c r="H191" s="335"/>
      <c r="I191" s="335"/>
      <c r="J191" s="335"/>
      <c r="K191" s="335"/>
      <c r="L191" s="335"/>
      <c r="M191" s="335"/>
      <c r="N191" s="335"/>
      <c r="O191" s="335"/>
      <c r="P191" s="335"/>
      <c r="Q191" s="335"/>
      <c r="R191" s="335"/>
      <c r="S191" s="335"/>
      <c r="T191" s="335"/>
      <c r="U191" s="335"/>
      <c r="V191" s="335"/>
      <c r="W191" s="335"/>
      <c r="X191" s="335"/>
      <c r="Y191" s="335"/>
      <c r="Z191" s="335"/>
      <c r="AA191" s="335"/>
      <c r="AB191" s="335"/>
      <c r="AC191" s="335"/>
      <c r="AD191" s="335"/>
      <c r="AE191" s="335"/>
      <c r="AF191" s="335"/>
      <c r="AG191" s="335"/>
      <c r="AH191" s="335"/>
      <c r="AI191" s="335"/>
      <c r="AJ191" s="335"/>
      <c r="AK191" s="335"/>
      <c r="AL191" s="335"/>
      <c r="AM191" s="335"/>
      <c r="AN191" s="335"/>
      <c r="AO191" s="335"/>
      <c r="AP191" s="335"/>
      <c r="AQ191" s="335"/>
      <c r="AR191" s="335"/>
      <c r="AS191" s="335"/>
      <c r="AT191" s="335"/>
      <c r="AU191" s="335"/>
      <c r="AV191" s="875"/>
      <c r="AW191" s="335"/>
      <c r="AX191" s="335"/>
      <c r="AY191" s="335"/>
      <c r="AZ191" s="335"/>
      <c r="BA191" s="335"/>
      <c r="BB191" s="912"/>
      <c r="BC191" s="912"/>
      <c r="BD191" s="912"/>
      <c r="BE191" s="912"/>
      <c r="BF191" s="921"/>
      <c r="BG191" s="912"/>
      <c r="BH191" s="912"/>
      <c r="BI191" s="912"/>
      <c r="BJ191" s="912"/>
      <c r="BK191" s="661">
        <v>53.5</v>
      </c>
      <c r="BL191" s="913">
        <f>BK191-BL192</f>
        <v>51.35</v>
      </c>
      <c r="BM191" s="913">
        <f>BL191-BM192</f>
        <v>49.1</v>
      </c>
      <c r="BN191" s="913">
        <f>BM191-BN192</f>
        <v>46.85</v>
      </c>
      <c r="BO191" s="913">
        <f>BN191-BO192</f>
        <v>44.6</v>
      </c>
      <c r="BP191" s="661">
        <v>44.6</v>
      </c>
      <c r="BQ191" s="913">
        <f>BP191-BQ192</f>
        <v>42.35</v>
      </c>
      <c r="BR191" s="913">
        <f>BQ191-BR192</f>
        <v>40.1</v>
      </c>
      <c r="BS191" s="913">
        <f>BR191-BS192</f>
        <v>37.85</v>
      </c>
      <c r="BT191" s="914">
        <f>BS191-BT192</f>
        <v>35.6</v>
      </c>
      <c r="BU191" s="919">
        <f>BT191</f>
        <v>35.6</v>
      </c>
      <c r="BV191" s="913"/>
      <c r="BW191" s="1390"/>
      <c r="BX191" s="913"/>
      <c r="BY191" s="913"/>
      <c r="BZ191" s="919"/>
      <c r="CA191" s="913"/>
      <c r="CB191" s="913"/>
      <c r="CC191" s="913"/>
      <c r="CD191" s="913"/>
      <c r="CE191" s="919"/>
      <c r="CF191" s="913"/>
      <c r="CG191" s="913"/>
      <c r="CH191" s="913"/>
      <c r="CI191" s="913"/>
      <c r="CJ191" s="919"/>
      <c r="CK191" s="913"/>
      <c r="CL191" s="913"/>
      <c r="CM191" s="913"/>
      <c r="CN191" s="913"/>
      <c r="CO191" s="919"/>
      <c r="CP191" s="913"/>
      <c r="CQ191" s="913"/>
      <c r="CR191" s="913"/>
      <c r="CS191" s="913"/>
      <c r="CT191" s="919"/>
      <c r="CU191" s="913"/>
      <c r="CV191" s="913"/>
      <c r="CW191" s="913"/>
      <c r="CX191" s="913"/>
      <c r="CY191" s="919"/>
      <c r="CZ191" s="912"/>
      <c r="DA191" s="912"/>
      <c r="DB191" s="912"/>
      <c r="DC191" s="912"/>
      <c r="DD191" s="912"/>
      <c r="DE191" s="912"/>
      <c r="DF191" s="912"/>
      <c r="DG191" s="912"/>
      <c r="DH191" s="912"/>
      <c r="DI191" s="912"/>
      <c r="DJ191" s="912"/>
      <c r="DK191" s="912"/>
      <c r="DL191" s="912"/>
      <c r="DM191" s="912"/>
      <c r="DN191" s="912"/>
      <c r="DO191" s="912"/>
      <c r="DP191" s="912"/>
      <c r="DQ191" s="912"/>
      <c r="DR191" s="912"/>
      <c r="DS191" s="915"/>
      <c r="DT191" s="912"/>
      <c r="DU191" s="912"/>
      <c r="DV191" s="912"/>
      <c r="DW191" s="912"/>
      <c r="DX191" s="915"/>
      <c r="DY191" s="780"/>
      <c r="DZ191" s="780"/>
      <c r="EA191" s="780"/>
      <c r="EB191" s="780"/>
      <c r="EC191" s="780"/>
      <c r="ED191" s="780"/>
      <c r="EE191" s="780"/>
      <c r="EF191" s="780"/>
    </row>
    <row r="192" spans="1:142" hidden="1" outlineLevel="1" x14ac:dyDescent="0.2">
      <c r="A192" s="19" t="s">
        <v>175</v>
      </c>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45"/>
      <c r="AW192" s="38"/>
      <c r="AX192" s="38"/>
      <c r="AY192" s="38"/>
      <c r="AZ192" s="38"/>
      <c r="BA192" s="38"/>
      <c r="BB192" s="692"/>
      <c r="BC192" s="692"/>
      <c r="BD192" s="692"/>
      <c r="BE192" s="692"/>
      <c r="BF192" s="123"/>
      <c r="BG192" s="692"/>
      <c r="BH192" s="692"/>
      <c r="BI192" s="692"/>
      <c r="BJ192" s="692"/>
      <c r="BK192" s="40">
        <v>10.9</v>
      </c>
      <c r="BL192" s="692">
        <f>BL180-BL193</f>
        <v>2.15</v>
      </c>
      <c r="BM192" s="692">
        <f>BM180-BM193</f>
        <v>2.25</v>
      </c>
      <c r="BN192" s="692">
        <f>BN180-BN193</f>
        <v>2.25</v>
      </c>
      <c r="BO192" s="692">
        <f>BO180-BO193</f>
        <v>2.2500000000000013</v>
      </c>
      <c r="BP192" s="40">
        <f>-(BP191-BK191)</f>
        <v>8.8999999999999986</v>
      </c>
      <c r="BQ192" s="692">
        <f>BO192</f>
        <v>2.2500000000000013</v>
      </c>
      <c r="BR192" s="692">
        <f t="shared" ref="BR192:BT193" si="721">BQ192</f>
        <v>2.2500000000000013</v>
      </c>
      <c r="BS192" s="692">
        <f t="shared" si="721"/>
        <v>2.2500000000000013</v>
      </c>
      <c r="BT192" s="695">
        <f t="shared" si="721"/>
        <v>2.2500000000000013</v>
      </c>
      <c r="BU192" s="784">
        <f>SUM(BQ192:BT192)</f>
        <v>9.0000000000000053</v>
      </c>
      <c r="BV192" s="692"/>
      <c r="BW192" s="1391"/>
      <c r="BX192" s="692"/>
      <c r="BY192" s="692"/>
      <c r="BZ192" s="784"/>
      <c r="CA192" s="692"/>
      <c r="CB192" s="692"/>
      <c r="CC192" s="692"/>
      <c r="CD192" s="692"/>
      <c r="CE192" s="784"/>
      <c r="CF192" s="692"/>
      <c r="CG192" s="692"/>
      <c r="CH192" s="692"/>
      <c r="CI192" s="692"/>
      <c r="CJ192" s="784"/>
      <c r="CK192" s="692"/>
      <c r="CL192" s="695"/>
      <c r="CM192" s="695"/>
      <c r="CN192" s="695"/>
      <c r="CO192" s="784"/>
      <c r="CP192" s="695"/>
      <c r="CQ192" s="695"/>
      <c r="CR192" s="695"/>
      <c r="CS192" s="695"/>
      <c r="CT192" s="784"/>
      <c r="CU192" s="695"/>
      <c r="CV192" s="695"/>
      <c r="CW192" s="695"/>
      <c r="CX192" s="695"/>
      <c r="CY192" s="784"/>
      <c r="CZ192" s="692"/>
      <c r="DA192" s="692"/>
      <c r="DB192" s="692"/>
      <c r="DC192" s="692"/>
      <c r="DD192" s="692"/>
      <c r="DE192" s="692"/>
      <c r="DF192" s="692"/>
      <c r="DG192" s="692"/>
      <c r="DH192" s="692"/>
      <c r="DI192" s="692"/>
      <c r="DJ192" s="692"/>
      <c r="DK192" s="692"/>
      <c r="DL192" s="692"/>
      <c r="DM192" s="692"/>
      <c r="DN192" s="692"/>
      <c r="DO192" s="692"/>
      <c r="DP192" s="692"/>
      <c r="DQ192" s="692"/>
      <c r="DR192" s="692"/>
      <c r="DS192" s="693"/>
      <c r="DT192" s="692"/>
      <c r="DU192" s="692"/>
      <c r="DV192" s="692"/>
      <c r="DW192" s="692"/>
      <c r="DX192" s="693"/>
      <c r="DY192" s="673"/>
      <c r="DZ192" s="673"/>
      <c r="EA192" s="673"/>
      <c r="EB192" s="673"/>
      <c r="EC192" s="673"/>
      <c r="ED192" s="673"/>
      <c r="EE192" s="673"/>
      <c r="EF192" s="673"/>
    </row>
    <row r="193" spans="1:136" hidden="1" outlineLevel="1" x14ac:dyDescent="0.2">
      <c r="A193" s="28" t="s">
        <v>176</v>
      </c>
      <c r="B193" s="621"/>
      <c r="C193" s="621"/>
      <c r="D193" s="621"/>
      <c r="E193" s="621"/>
      <c r="F193" s="621"/>
      <c r="G193" s="621"/>
      <c r="H193" s="621"/>
      <c r="I193" s="621"/>
      <c r="J193" s="621"/>
      <c r="K193" s="621"/>
      <c r="L193" s="621"/>
      <c r="M193" s="621"/>
      <c r="N193" s="621"/>
      <c r="O193" s="621"/>
      <c r="P193" s="621"/>
      <c r="Q193" s="621"/>
      <c r="R193" s="621"/>
      <c r="S193" s="621"/>
      <c r="T193" s="621"/>
      <c r="U193" s="621"/>
      <c r="V193" s="621"/>
      <c r="W193" s="621"/>
      <c r="X193" s="621"/>
      <c r="Y193" s="621"/>
      <c r="Z193" s="621"/>
      <c r="AA193" s="621"/>
      <c r="AB193" s="621"/>
      <c r="AC193" s="621"/>
      <c r="AD193" s="621"/>
      <c r="AE193" s="621"/>
      <c r="AF193" s="621"/>
      <c r="AG193" s="621"/>
      <c r="AH193" s="621"/>
      <c r="AI193" s="621"/>
      <c r="AJ193" s="621"/>
      <c r="AK193" s="621"/>
      <c r="AL193" s="621"/>
      <c r="AM193" s="621"/>
      <c r="AN193" s="621"/>
      <c r="AO193" s="621"/>
      <c r="AP193" s="621"/>
      <c r="AQ193" s="621"/>
      <c r="AR193" s="621"/>
      <c r="AS193" s="621"/>
      <c r="AT193" s="621"/>
      <c r="AU193" s="621"/>
      <c r="AV193" s="288"/>
      <c r="AW193" s="621"/>
      <c r="AX193" s="621"/>
      <c r="AY193" s="621"/>
      <c r="AZ193" s="621"/>
      <c r="BA193" s="621"/>
      <c r="BB193" s="916"/>
      <c r="BC193" s="916"/>
      <c r="BD193" s="916"/>
      <c r="BE193" s="916"/>
      <c r="BF193" s="152"/>
      <c r="BG193" s="916"/>
      <c r="BH193" s="916"/>
      <c r="BI193" s="916"/>
      <c r="BJ193" s="916"/>
      <c r="BK193" s="660">
        <f>BK180-BK192</f>
        <v>2.2999999999999989</v>
      </c>
      <c r="BL193" s="916">
        <v>0.35</v>
      </c>
      <c r="BM193" s="916">
        <v>0.35</v>
      </c>
      <c r="BN193" s="916">
        <v>0.35</v>
      </c>
      <c r="BO193" s="916">
        <v>0.35</v>
      </c>
      <c r="BP193" s="660">
        <f>BP180-BP192</f>
        <v>1.4000000000000021</v>
      </c>
      <c r="BQ193" s="916">
        <f>BO193</f>
        <v>0.35</v>
      </c>
      <c r="BR193" s="916">
        <f t="shared" si="721"/>
        <v>0.35</v>
      </c>
      <c r="BS193" s="916">
        <f t="shared" si="721"/>
        <v>0.35</v>
      </c>
      <c r="BT193" s="917">
        <f t="shared" si="721"/>
        <v>0.35</v>
      </c>
      <c r="BU193" s="920">
        <f>SUM(BQ193:BT193)</f>
        <v>1.4</v>
      </c>
      <c r="BV193" s="916"/>
      <c r="BW193" s="1392"/>
      <c r="BX193" s="916"/>
      <c r="BY193" s="916"/>
      <c r="BZ193" s="920"/>
      <c r="CA193" s="916"/>
      <c r="CB193" s="916"/>
      <c r="CC193" s="916"/>
      <c r="CD193" s="916"/>
      <c r="CE193" s="920"/>
      <c r="CF193" s="916"/>
      <c r="CG193" s="916"/>
      <c r="CH193" s="916"/>
      <c r="CI193" s="916"/>
      <c r="CJ193" s="920"/>
      <c r="CK193" s="916"/>
      <c r="CL193" s="917"/>
      <c r="CM193" s="917"/>
      <c r="CN193" s="917"/>
      <c r="CO193" s="920"/>
      <c r="CP193" s="917"/>
      <c r="CQ193" s="917"/>
      <c r="CR193" s="917"/>
      <c r="CS193" s="917"/>
      <c r="CT193" s="920"/>
      <c r="CU193" s="917">
        <v>0</v>
      </c>
      <c r="CV193" s="917">
        <v>0</v>
      </c>
      <c r="CW193" s="917">
        <v>0</v>
      </c>
      <c r="CX193" s="917">
        <v>0</v>
      </c>
      <c r="CY193" s="920">
        <f>SUM(CU193:CX193)</f>
        <v>0</v>
      </c>
      <c r="CZ193" s="916"/>
      <c r="DA193" s="916"/>
      <c r="DB193" s="916"/>
      <c r="DC193" s="916"/>
      <c r="DD193" s="916"/>
      <c r="DE193" s="916"/>
      <c r="DF193" s="916"/>
      <c r="DG193" s="916"/>
      <c r="DH193" s="916"/>
      <c r="DI193" s="916"/>
      <c r="DJ193" s="916"/>
      <c r="DK193" s="916"/>
      <c r="DL193" s="916"/>
      <c r="DM193" s="916"/>
      <c r="DN193" s="916"/>
      <c r="DO193" s="916"/>
      <c r="DP193" s="916"/>
      <c r="DQ193" s="916"/>
      <c r="DR193" s="916"/>
      <c r="DS193" s="918"/>
      <c r="DT193" s="916"/>
      <c r="DU193" s="916"/>
      <c r="DV193" s="916"/>
      <c r="DW193" s="916"/>
      <c r="DX193" s="918"/>
      <c r="DY193" s="673"/>
      <c r="DZ193" s="673"/>
      <c r="EA193" s="673"/>
      <c r="EB193" s="673"/>
      <c r="EC193" s="673"/>
      <c r="ED193" s="673"/>
      <c r="EE193" s="673"/>
      <c r="EF193" s="673"/>
    </row>
    <row r="194" spans="1:136" collapsed="1" x14ac:dyDescent="0.2">
      <c r="A194" s="32"/>
      <c r="B194" s="46"/>
      <c r="C194" s="46"/>
      <c r="D194" s="46"/>
      <c r="E194" s="46"/>
      <c r="F194" s="46"/>
      <c r="G194" s="46"/>
      <c r="H194" s="46"/>
      <c r="I194" s="46"/>
      <c r="J194" s="46"/>
      <c r="K194" s="46"/>
      <c r="L194" s="46"/>
      <c r="M194" s="46"/>
      <c r="N194" s="46"/>
      <c r="O194" s="46"/>
      <c r="P194" s="46"/>
      <c r="Q194" s="46"/>
      <c r="R194" s="46"/>
      <c r="S194" s="46"/>
      <c r="T194" s="46"/>
      <c r="U194" s="46"/>
      <c r="V194" s="46"/>
      <c r="W194" s="46"/>
      <c r="X194" s="46"/>
      <c r="Y194" s="46"/>
      <c r="Z194" s="46"/>
      <c r="AA194" s="46"/>
      <c r="AB194" s="46"/>
      <c r="AC194" s="46"/>
      <c r="AD194" s="46"/>
      <c r="AE194" s="46"/>
      <c r="AF194" s="46"/>
      <c r="AG194" s="46"/>
      <c r="AH194" s="46"/>
      <c r="AI194" s="46"/>
      <c r="AJ194" s="46"/>
      <c r="AK194" s="46"/>
      <c r="AL194" s="46"/>
      <c r="AM194" s="46"/>
      <c r="AN194" s="46"/>
      <c r="AO194" s="46"/>
      <c r="AP194" s="46"/>
      <c r="AQ194" s="46"/>
      <c r="AR194" s="46"/>
      <c r="AS194" s="46"/>
      <c r="AT194" s="46"/>
      <c r="AU194" s="46"/>
      <c r="AV194" s="45"/>
      <c r="AW194" s="46"/>
      <c r="AX194" s="46"/>
      <c r="AY194" s="46"/>
      <c r="AZ194" s="46"/>
      <c r="BA194" s="46"/>
      <c r="BB194" s="686"/>
      <c r="BC194" s="686"/>
      <c r="BD194" s="686"/>
      <c r="BE194" s="686"/>
      <c r="BF194" s="245"/>
      <c r="BG194" s="686"/>
      <c r="BH194" s="686"/>
      <c r="BI194" s="686"/>
      <c r="BJ194" s="686"/>
      <c r="BK194" s="245"/>
      <c r="BL194" s="686"/>
      <c r="BM194" s="686"/>
      <c r="BN194" s="686"/>
      <c r="BO194" s="686"/>
      <c r="BP194" s="911"/>
      <c r="BQ194" s="686"/>
      <c r="BR194" s="686"/>
      <c r="BS194" s="686"/>
      <c r="BT194" s="686"/>
      <c r="BU194" s="686"/>
      <c r="BV194" s="686"/>
      <c r="BW194" s="1389"/>
      <c r="BX194" s="686"/>
      <c r="BY194" s="686"/>
      <c r="BZ194" s="686"/>
      <c r="CA194" s="686"/>
      <c r="CB194" s="686"/>
      <c r="CC194" s="686"/>
      <c r="CD194" s="686"/>
      <c r="CE194" s="686"/>
      <c r="CF194" s="686"/>
      <c r="CG194" s="686"/>
      <c r="CH194" s="686"/>
      <c r="CI194" s="686"/>
      <c r="CJ194" s="686"/>
      <c r="CK194" s="686"/>
      <c r="CL194" s="686"/>
      <c r="CM194" s="686"/>
      <c r="CN194" s="686"/>
      <c r="CO194" s="686"/>
      <c r="CP194" s="686"/>
      <c r="CQ194" s="686"/>
      <c r="CR194" s="686"/>
      <c r="CS194" s="686"/>
      <c r="CT194" s="686"/>
      <c r="CU194" s="686"/>
      <c r="CV194" s="686"/>
      <c r="CW194" s="686"/>
      <c r="CX194" s="686"/>
      <c r="CY194" s="686"/>
      <c r="CZ194" s="686"/>
      <c r="DA194" s="686"/>
      <c r="DB194" s="686"/>
      <c r="DC194" s="686"/>
      <c r="DD194" s="686"/>
      <c r="DE194" s="686"/>
      <c r="DF194" s="686"/>
      <c r="DG194" s="686"/>
      <c r="DH194" s="686"/>
      <c r="DI194" s="686"/>
      <c r="DJ194" s="686"/>
      <c r="DK194" s="686"/>
      <c r="DL194" s="686"/>
      <c r="DM194" s="686"/>
      <c r="DN194" s="686"/>
      <c r="DO194" s="686"/>
      <c r="DP194" s="686"/>
      <c r="DQ194" s="686"/>
      <c r="DR194" s="686"/>
      <c r="DS194" s="686"/>
      <c r="DT194" s="686"/>
      <c r="DU194" s="686"/>
      <c r="DV194" s="686"/>
      <c r="DW194" s="686"/>
      <c r="DX194" s="686"/>
      <c r="DY194" s="780"/>
      <c r="DZ194" s="780"/>
      <c r="EA194" s="780"/>
      <c r="EB194" s="780"/>
      <c r="EC194" s="780"/>
      <c r="ED194" s="780"/>
      <c r="EE194" s="780"/>
      <c r="EF194" s="780"/>
    </row>
    <row r="195" spans="1:136" x14ac:dyDescent="0.2">
      <c r="A195" s="27" t="s">
        <v>672</v>
      </c>
      <c r="B195" s="335"/>
      <c r="C195" s="335"/>
      <c r="D195" s="335"/>
      <c r="E195" s="335"/>
      <c r="F195" s="335"/>
      <c r="G195" s="335"/>
      <c r="H195" s="335"/>
      <c r="I195" s="335"/>
      <c r="J195" s="335"/>
      <c r="K195" s="335"/>
      <c r="L195" s="335"/>
      <c r="M195" s="335"/>
      <c r="N195" s="335"/>
      <c r="O195" s="335"/>
      <c r="P195" s="335"/>
      <c r="Q195" s="335"/>
      <c r="R195" s="335"/>
      <c r="S195" s="335"/>
      <c r="T195" s="335"/>
      <c r="U195" s="335"/>
      <c r="V195" s="335"/>
      <c r="W195" s="335"/>
      <c r="X195" s="335"/>
      <c r="Y195" s="335"/>
      <c r="Z195" s="335"/>
      <c r="AA195" s="335"/>
      <c r="AB195" s="335"/>
      <c r="AC195" s="335"/>
      <c r="AD195" s="335"/>
      <c r="AE195" s="335"/>
      <c r="AF195" s="335"/>
      <c r="AG195" s="335"/>
      <c r="AH195" s="335"/>
      <c r="AI195" s="335"/>
      <c r="AJ195" s="335"/>
      <c r="AK195" s="335"/>
      <c r="AL195" s="335"/>
      <c r="AM195" s="335"/>
      <c r="AN195" s="335"/>
      <c r="AO195" s="335"/>
      <c r="AP195" s="335"/>
      <c r="AQ195" s="335"/>
      <c r="AR195" s="335"/>
      <c r="AS195" s="335"/>
      <c r="AT195" s="335"/>
      <c r="AU195" s="335"/>
      <c r="AV195" s="875"/>
      <c r="AW195" s="335"/>
      <c r="AX195" s="335"/>
      <c r="AY195" s="335"/>
      <c r="AZ195" s="335"/>
      <c r="BA195" s="335"/>
      <c r="BB195" s="912"/>
      <c r="BC195" s="912"/>
      <c r="BD195" s="912"/>
      <c r="BE195" s="912"/>
      <c r="BF195" s="921"/>
      <c r="BG195" s="912"/>
      <c r="BH195" s="912"/>
      <c r="BI195" s="912"/>
      <c r="BJ195" s="912"/>
      <c r="BK195" s="661"/>
      <c r="BL195" s="913"/>
      <c r="BM195" s="913"/>
      <c r="BN195" s="913"/>
      <c r="BO195" s="913"/>
      <c r="BP195" s="661"/>
      <c r="BQ195" s="913"/>
      <c r="BR195" s="913"/>
      <c r="BS195" s="913"/>
      <c r="BT195" s="914"/>
      <c r="BU195" s="919"/>
      <c r="BV195" s="913"/>
      <c r="BW195" s="1390"/>
      <c r="BX195" s="913"/>
      <c r="BY195" s="913"/>
      <c r="BZ195" s="919"/>
      <c r="CA195" s="913"/>
      <c r="CB195" s="913"/>
      <c r="CC195" s="913"/>
      <c r="CD195" s="913"/>
      <c r="CE195" s="919"/>
      <c r="CF195" s="913"/>
      <c r="CG195" s="913"/>
      <c r="CH195" s="913"/>
      <c r="CI195" s="1084" t="s">
        <v>677</v>
      </c>
      <c r="CJ195" s="919"/>
      <c r="CK195" s="913"/>
      <c r="CL195" s="913"/>
      <c r="CM195" s="913"/>
      <c r="CN195" s="913"/>
      <c r="CO195" s="919"/>
      <c r="CP195" s="913"/>
      <c r="CQ195" s="913"/>
      <c r="CR195" s="913"/>
      <c r="CS195" s="913"/>
      <c r="CT195" s="919"/>
      <c r="CU195" s="913"/>
      <c r="CV195" s="913"/>
      <c r="CW195" s="913"/>
      <c r="CX195" s="913"/>
      <c r="CY195" s="919"/>
      <c r="CZ195" s="912"/>
      <c r="DA195" s="912"/>
      <c r="DB195" s="912"/>
      <c r="DC195" s="912"/>
      <c r="DD195" s="912"/>
      <c r="DE195" s="912"/>
      <c r="DF195" s="912"/>
      <c r="DG195" s="912"/>
      <c r="DH195" s="912"/>
      <c r="DI195" s="912"/>
      <c r="DJ195" s="912"/>
      <c r="DK195" s="912"/>
      <c r="DL195" s="912"/>
      <c r="DM195" s="912"/>
      <c r="DN195" s="912"/>
      <c r="DO195" s="912"/>
      <c r="DP195" s="912"/>
      <c r="DQ195" s="912"/>
      <c r="DR195" s="912"/>
      <c r="DS195" s="915"/>
      <c r="DT195" s="912"/>
      <c r="DU195" s="912"/>
      <c r="DV195" s="912"/>
      <c r="DW195" s="912"/>
      <c r="DX195" s="915"/>
      <c r="DY195" s="780"/>
      <c r="DZ195" s="780"/>
      <c r="EA195" s="780"/>
      <c r="EB195" s="780"/>
      <c r="EC195" s="780"/>
      <c r="ED195" s="780"/>
      <c r="EE195" s="780"/>
      <c r="EF195" s="780"/>
    </row>
    <row r="196" spans="1:136" x14ac:dyDescent="0.2">
      <c r="A196" s="19" t="s">
        <v>38</v>
      </c>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45"/>
      <c r="AW196" s="38"/>
      <c r="AX196" s="38"/>
      <c r="AY196" s="38"/>
      <c r="AZ196" s="38"/>
      <c r="BA196" s="38"/>
      <c r="BB196" s="692"/>
      <c r="BC196" s="692"/>
      <c r="BD196" s="692"/>
      <c r="BE196" s="692"/>
      <c r="BF196" s="123"/>
      <c r="BG196" s="692"/>
      <c r="BH196" s="692"/>
      <c r="BI196" s="692"/>
      <c r="BJ196" s="692"/>
      <c r="BK196" s="40"/>
      <c r="BL196" s="692"/>
      <c r="BM196" s="692"/>
      <c r="BN196" s="692"/>
      <c r="BO196" s="692"/>
      <c r="BP196" s="40"/>
      <c r="BQ196" s="692"/>
      <c r="BR196" s="692"/>
      <c r="BS196" s="692"/>
      <c r="BT196" s="695"/>
      <c r="BU196" s="784">
        <v>68.530939000000004</v>
      </c>
      <c r="BV196" s="692">
        <f>BU196</f>
        <v>68.530939000000004</v>
      </c>
      <c r="BW196" s="1391">
        <f t="shared" ref="BW196:BY196" si="722">BV196</f>
        <v>68.530939000000004</v>
      </c>
      <c r="BX196" s="692">
        <f t="shared" si="722"/>
        <v>68.530939000000004</v>
      </c>
      <c r="BY196" s="692">
        <f t="shared" si="722"/>
        <v>68.530939000000004</v>
      </c>
      <c r="BZ196" s="784">
        <f>BY196</f>
        <v>68.530939000000004</v>
      </c>
      <c r="CA196" s="692">
        <f>BZ196</f>
        <v>68.530939000000004</v>
      </c>
      <c r="CB196" s="692">
        <f t="shared" ref="CB196:CD196" si="723">CA196</f>
        <v>68.530939000000004</v>
      </c>
      <c r="CC196" s="692">
        <f t="shared" si="723"/>
        <v>68.530939000000004</v>
      </c>
      <c r="CD196" s="692">
        <f t="shared" si="723"/>
        <v>68.530939000000004</v>
      </c>
      <c r="CE196" s="784">
        <f>CD196</f>
        <v>68.530939000000004</v>
      </c>
      <c r="CF196" s="692">
        <f>CE196</f>
        <v>68.530939000000004</v>
      </c>
      <c r="CG196" s="692">
        <f t="shared" ref="CG196:CI196" si="724">CF196</f>
        <v>68.530939000000004</v>
      </c>
      <c r="CH196" s="692">
        <f t="shared" si="724"/>
        <v>68.530939000000004</v>
      </c>
      <c r="CI196" s="692">
        <f t="shared" si="724"/>
        <v>68.530939000000004</v>
      </c>
      <c r="CJ196" s="784">
        <f>CI196</f>
        <v>68.530939000000004</v>
      </c>
      <c r="CK196" s="692"/>
      <c r="CL196" s="695"/>
      <c r="CM196" s="695"/>
      <c r="CN196" s="695"/>
      <c r="CO196" s="784"/>
      <c r="CP196" s="695"/>
      <c r="CQ196" s="695"/>
      <c r="CR196" s="695"/>
      <c r="CS196" s="695"/>
      <c r="CT196" s="784"/>
      <c r="CU196" s="695"/>
      <c r="CV196" s="695"/>
      <c r="CW196" s="695"/>
      <c r="CX196" s="695"/>
      <c r="CY196" s="784"/>
      <c r="CZ196" s="692"/>
      <c r="DA196" s="692"/>
      <c r="DB196" s="692"/>
      <c r="DC196" s="692"/>
      <c r="DD196" s="692"/>
      <c r="DE196" s="692"/>
      <c r="DF196" s="692"/>
      <c r="DG196" s="692"/>
      <c r="DH196" s="692"/>
      <c r="DI196" s="692"/>
      <c r="DJ196" s="692"/>
      <c r="DK196" s="692"/>
      <c r="DL196" s="692"/>
      <c r="DM196" s="692"/>
      <c r="DN196" s="692"/>
      <c r="DO196" s="692"/>
      <c r="DP196" s="692"/>
      <c r="DQ196" s="692"/>
      <c r="DR196" s="692"/>
      <c r="DS196" s="693"/>
      <c r="DT196" s="692"/>
      <c r="DU196" s="692"/>
      <c r="DV196" s="692"/>
      <c r="DW196" s="692"/>
      <c r="DX196" s="693"/>
      <c r="DY196" s="673"/>
      <c r="DZ196" s="673"/>
      <c r="EA196" s="673"/>
      <c r="EB196" s="673"/>
      <c r="EC196" s="673"/>
      <c r="ED196" s="673"/>
      <c r="EE196" s="673"/>
      <c r="EF196" s="673"/>
    </row>
    <row r="197" spans="1:136" x14ac:dyDescent="0.2">
      <c r="A197" s="19" t="s">
        <v>676</v>
      </c>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45"/>
      <c r="AW197" s="38"/>
      <c r="AX197" s="38"/>
      <c r="AY197" s="38"/>
      <c r="AZ197" s="38"/>
      <c r="BA197" s="38"/>
      <c r="BB197" s="692"/>
      <c r="BC197" s="692"/>
      <c r="BD197" s="692"/>
      <c r="BE197" s="692"/>
      <c r="BF197" s="123"/>
      <c r="BG197" s="692"/>
      <c r="BH197" s="692"/>
      <c r="BI197" s="692"/>
      <c r="BJ197" s="692"/>
      <c r="BK197" s="40"/>
      <c r="BL197" s="692"/>
      <c r="BM197" s="692"/>
      <c r="BN197" s="692"/>
      <c r="BO197" s="692"/>
      <c r="BP197" s="40"/>
      <c r="BQ197" s="692"/>
      <c r="BR197" s="692"/>
      <c r="BS197" s="692"/>
      <c r="BT197" s="695"/>
      <c r="BU197" s="784">
        <v>3000</v>
      </c>
      <c r="BV197" s="1262">
        <f>BU197</f>
        <v>3000</v>
      </c>
      <c r="BW197" s="1393">
        <f t="shared" ref="BW197:BY197" si="725">BV197</f>
        <v>3000</v>
      </c>
      <c r="BX197" s="1262">
        <f t="shared" si="725"/>
        <v>3000</v>
      </c>
      <c r="BY197" s="1262">
        <f t="shared" si="725"/>
        <v>3000</v>
      </c>
      <c r="BZ197" s="784">
        <f>BY197</f>
        <v>3000</v>
      </c>
      <c r="CA197" s="1262">
        <f>BZ197</f>
        <v>3000</v>
      </c>
      <c r="CB197" s="1262">
        <f t="shared" ref="CB197:CD197" si="726">CA197</f>
        <v>3000</v>
      </c>
      <c r="CC197" s="1262">
        <f t="shared" si="726"/>
        <v>3000</v>
      </c>
      <c r="CD197" s="1262">
        <f t="shared" si="726"/>
        <v>3000</v>
      </c>
      <c r="CE197" s="784">
        <f>CD197</f>
        <v>3000</v>
      </c>
      <c r="CF197" s="1262">
        <f>CE197</f>
        <v>3000</v>
      </c>
      <c r="CG197" s="1262">
        <f t="shared" ref="CG197:CI197" si="727">CF197</f>
        <v>3000</v>
      </c>
      <c r="CH197" s="1262">
        <f t="shared" si="727"/>
        <v>3000</v>
      </c>
      <c r="CI197" s="1262">
        <f t="shared" si="727"/>
        <v>3000</v>
      </c>
      <c r="CJ197" s="784">
        <f>CI197</f>
        <v>3000</v>
      </c>
      <c r="CK197" s="692"/>
      <c r="CL197" s="695"/>
      <c r="CM197" s="695"/>
      <c r="CN197" s="695"/>
      <c r="CO197" s="784"/>
      <c r="CP197" s="695"/>
      <c r="CQ197" s="695"/>
      <c r="CR197" s="695"/>
      <c r="CS197" s="695"/>
      <c r="CT197" s="784"/>
      <c r="CU197" s="695"/>
      <c r="CV197" s="695"/>
      <c r="CW197" s="695"/>
      <c r="CX197" s="695"/>
      <c r="CY197" s="784"/>
      <c r="CZ197" s="692"/>
      <c r="DA197" s="692"/>
      <c r="DB197" s="692"/>
      <c r="DC197" s="692"/>
      <c r="DD197" s="692"/>
      <c r="DE197" s="692"/>
      <c r="DF197" s="692"/>
      <c r="DG197" s="692"/>
      <c r="DH197" s="692"/>
      <c r="DI197" s="692"/>
      <c r="DJ197" s="692"/>
      <c r="DK197" s="692"/>
      <c r="DL197" s="692"/>
      <c r="DM197" s="692"/>
      <c r="DN197" s="692"/>
      <c r="DO197" s="692"/>
      <c r="DP197" s="692"/>
      <c r="DQ197" s="692"/>
      <c r="DR197" s="692"/>
      <c r="DS197" s="693"/>
      <c r="DT197" s="692"/>
      <c r="DU197" s="692"/>
      <c r="DV197" s="692"/>
      <c r="DW197" s="692"/>
      <c r="DX197" s="693"/>
      <c r="DY197" s="673"/>
      <c r="DZ197" s="673"/>
      <c r="EA197" s="673"/>
      <c r="EB197" s="673"/>
      <c r="EC197" s="673"/>
      <c r="ED197" s="673"/>
      <c r="EE197" s="673"/>
      <c r="EF197" s="673"/>
    </row>
    <row r="198" spans="1:136" x14ac:dyDescent="0.2">
      <c r="A198" s="19" t="s">
        <v>675</v>
      </c>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45"/>
      <c r="AW198" s="38"/>
      <c r="AX198" s="38"/>
      <c r="AY198" s="38"/>
      <c r="AZ198" s="38"/>
      <c r="BA198" s="38"/>
      <c r="BB198" s="692"/>
      <c r="BC198" s="692"/>
      <c r="BD198" s="692"/>
      <c r="BE198" s="692"/>
      <c r="BF198" s="123"/>
      <c r="BG198" s="692"/>
      <c r="BH198" s="692"/>
      <c r="BI198" s="692"/>
      <c r="BJ198" s="692"/>
      <c r="BK198" s="40"/>
      <c r="BL198" s="692"/>
      <c r="BM198" s="692"/>
      <c r="BN198" s="692"/>
      <c r="BO198" s="692"/>
      <c r="BP198" s="40"/>
      <c r="BQ198" s="692"/>
      <c r="BR198" s="692"/>
      <c r="BS198" s="692"/>
      <c r="BT198" s="695"/>
      <c r="BU198" s="784"/>
      <c r="BV198" s="60">
        <v>0.09</v>
      </c>
      <c r="BW198" s="1367">
        <v>0.09</v>
      </c>
      <c r="BX198" s="60">
        <v>0.09</v>
      </c>
      <c r="BY198" s="60">
        <v>0.09</v>
      </c>
      <c r="BZ198" s="275">
        <f>BY198</f>
        <v>0.09</v>
      </c>
      <c r="CA198" s="60">
        <v>0.09</v>
      </c>
      <c r="CB198" s="60">
        <v>0.09</v>
      </c>
      <c r="CC198" s="60">
        <v>0.09</v>
      </c>
      <c r="CD198" s="60">
        <v>0.09</v>
      </c>
      <c r="CE198" s="275">
        <f>CD198</f>
        <v>0.09</v>
      </c>
      <c r="CF198" s="60">
        <v>0.09</v>
      </c>
      <c r="CG198" s="60">
        <v>0.09</v>
      </c>
      <c r="CH198" s="60">
        <v>0.09</v>
      </c>
      <c r="CI198" s="60">
        <v>0.09</v>
      </c>
      <c r="CJ198" s="275">
        <f>CI198</f>
        <v>0.09</v>
      </c>
      <c r="CK198" s="692"/>
      <c r="CL198" s="695"/>
      <c r="CM198" s="695"/>
      <c r="CN198" s="695"/>
      <c r="CO198" s="784"/>
      <c r="CP198" s="695"/>
      <c r="CQ198" s="695"/>
      <c r="CR198" s="695"/>
      <c r="CS198" s="695"/>
      <c r="CT198" s="784"/>
      <c r="CU198" s="695"/>
      <c r="CV198" s="695"/>
      <c r="CW198" s="695"/>
      <c r="CX198" s="695"/>
      <c r="CY198" s="784"/>
      <c r="CZ198" s="692"/>
      <c r="DA198" s="692"/>
      <c r="DB198" s="692"/>
      <c r="DC198" s="692"/>
      <c r="DD198" s="692"/>
      <c r="DE198" s="692"/>
      <c r="DF198" s="692"/>
      <c r="DG198" s="692"/>
      <c r="DH198" s="692"/>
      <c r="DI198" s="692"/>
      <c r="DJ198" s="692"/>
      <c r="DK198" s="692"/>
      <c r="DL198" s="692"/>
      <c r="DM198" s="692"/>
      <c r="DN198" s="692"/>
      <c r="DO198" s="692"/>
      <c r="DP198" s="692"/>
      <c r="DQ198" s="692"/>
      <c r="DR198" s="692"/>
      <c r="DS198" s="693"/>
      <c r="DT198" s="692"/>
      <c r="DU198" s="692"/>
      <c r="DV198" s="692"/>
      <c r="DW198" s="692"/>
      <c r="DX198" s="693"/>
      <c r="DY198" s="673"/>
      <c r="DZ198" s="673"/>
      <c r="EA198" s="673"/>
      <c r="EB198" s="673"/>
      <c r="EC198" s="673"/>
      <c r="ED198" s="673"/>
      <c r="EE198" s="673"/>
      <c r="EF198" s="673"/>
    </row>
    <row r="199" spans="1:136" x14ac:dyDescent="0.2">
      <c r="A199" s="19" t="s">
        <v>674</v>
      </c>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45"/>
      <c r="AW199" s="38"/>
      <c r="AX199" s="38"/>
      <c r="AY199" s="38"/>
      <c r="AZ199" s="38"/>
      <c r="BA199" s="38"/>
      <c r="BB199" s="692"/>
      <c r="BC199" s="692"/>
      <c r="BD199" s="692"/>
      <c r="BE199" s="692"/>
      <c r="BF199" s="123"/>
      <c r="BG199" s="692"/>
      <c r="BH199" s="692"/>
      <c r="BI199" s="692"/>
      <c r="BJ199" s="692"/>
      <c r="BK199" s="40"/>
      <c r="BL199" s="692"/>
      <c r="BM199" s="692"/>
      <c r="BN199" s="692"/>
      <c r="BO199" s="692"/>
      <c r="BP199" s="40"/>
      <c r="BQ199" s="692"/>
      <c r="BR199" s="692"/>
      <c r="BS199" s="692"/>
      <c r="BT199" s="695"/>
      <c r="BU199" s="784"/>
      <c r="BV199" s="692">
        <f>BV197*BV198/4</f>
        <v>67.5</v>
      </c>
      <c r="BW199" s="1391">
        <f t="shared" ref="BW199:BY199" si="728">BW197*BW198/4</f>
        <v>67.5</v>
      </c>
      <c r="BX199" s="692">
        <f t="shared" si="728"/>
        <v>67.5</v>
      </c>
      <c r="BY199" s="692">
        <f t="shared" si="728"/>
        <v>67.5</v>
      </c>
      <c r="BZ199" s="784">
        <f>BY199</f>
        <v>67.5</v>
      </c>
      <c r="CA199" s="692">
        <f>CA197*CA198/4</f>
        <v>67.5</v>
      </c>
      <c r="CB199" s="692">
        <f t="shared" ref="CB199" si="729">CB197*CB198/4</f>
        <v>67.5</v>
      </c>
      <c r="CC199" s="692">
        <f t="shared" ref="CC199" si="730">CC197*CC198/4</f>
        <v>67.5</v>
      </c>
      <c r="CD199" s="692">
        <f t="shared" ref="CD199" si="731">CD197*CD198/4</f>
        <v>67.5</v>
      </c>
      <c r="CE199" s="784">
        <f>CD199</f>
        <v>67.5</v>
      </c>
      <c r="CF199" s="692">
        <f>CF197*CF198/4</f>
        <v>67.5</v>
      </c>
      <c r="CG199" s="692">
        <f t="shared" ref="CG199" si="732">CG197*CG198/4</f>
        <v>67.5</v>
      </c>
      <c r="CH199" s="692">
        <f t="shared" ref="CH199" si="733">CH197*CH198/4</f>
        <v>67.5</v>
      </c>
      <c r="CI199" s="692">
        <v>54</v>
      </c>
      <c r="CJ199" s="784">
        <f>CI199</f>
        <v>54</v>
      </c>
      <c r="CK199" s="692">
        <f>CK197*CK198/4</f>
        <v>0</v>
      </c>
      <c r="CL199" s="695">
        <f t="shared" ref="CL199" si="734">CL197*CL198/4</f>
        <v>0</v>
      </c>
      <c r="CM199" s="695">
        <f t="shared" ref="CM199" si="735">CM197*CM198/4</f>
        <v>0</v>
      </c>
      <c r="CN199" s="695">
        <f t="shared" ref="CN199" si="736">CN197*CN198/4</f>
        <v>0</v>
      </c>
      <c r="CO199" s="784"/>
      <c r="CP199" s="695"/>
      <c r="CQ199" s="695"/>
      <c r="CR199" s="695"/>
      <c r="CS199" s="695"/>
      <c r="CT199" s="784"/>
      <c r="CU199" s="695"/>
      <c r="CV199" s="695"/>
      <c r="CW199" s="695"/>
      <c r="CX199" s="695"/>
      <c r="CY199" s="784"/>
      <c r="CZ199" s="692"/>
      <c r="DA199" s="692"/>
      <c r="DB199" s="692"/>
      <c r="DC199" s="692"/>
      <c r="DD199" s="692"/>
      <c r="DE199" s="692"/>
      <c r="DF199" s="692"/>
      <c r="DG199" s="692"/>
      <c r="DH199" s="692"/>
      <c r="DI199" s="692"/>
      <c r="DJ199" s="692"/>
      <c r="DK199" s="692"/>
      <c r="DL199" s="692"/>
      <c r="DM199" s="692"/>
      <c r="DN199" s="692"/>
      <c r="DO199" s="692"/>
      <c r="DP199" s="692"/>
      <c r="DQ199" s="692"/>
      <c r="DR199" s="692"/>
      <c r="DS199" s="693"/>
      <c r="DT199" s="692"/>
      <c r="DU199" s="692"/>
      <c r="DV199" s="692"/>
      <c r="DW199" s="692"/>
      <c r="DX199" s="693"/>
      <c r="DY199" s="673"/>
      <c r="DZ199" s="673"/>
      <c r="EA199" s="673"/>
      <c r="EB199" s="673"/>
      <c r="EC199" s="673"/>
      <c r="ED199" s="673"/>
      <c r="EE199" s="673"/>
      <c r="EF199" s="673"/>
    </row>
    <row r="200" spans="1:136" x14ac:dyDescent="0.2">
      <c r="A200" s="28" t="s">
        <v>673</v>
      </c>
      <c r="B200" s="621"/>
      <c r="C200" s="621"/>
      <c r="D200" s="621"/>
      <c r="E200" s="621"/>
      <c r="F200" s="621"/>
      <c r="G200" s="621"/>
      <c r="H200" s="621"/>
      <c r="I200" s="621"/>
      <c r="J200" s="621"/>
      <c r="K200" s="621"/>
      <c r="L200" s="621"/>
      <c r="M200" s="621"/>
      <c r="N200" s="621"/>
      <c r="O200" s="621"/>
      <c r="P200" s="621"/>
      <c r="Q200" s="621"/>
      <c r="R200" s="621"/>
      <c r="S200" s="621"/>
      <c r="T200" s="621"/>
      <c r="U200" s="621"/>
      <c r="V200" s="621"/>
      <c r="W200" s="621"/>
      <c r="X200" s="621"/>
      <c r="Y200" s="621"/>
      <c r="Z200" s="621"/>
      <c r="AA200" s="621"/>
      <c r="AB200" s="621"/>
      <c r="AC200" s="621"/>
      <c r="AD200" s="621"/>
      <c r="AE200" s="621"/>
      <c r="AF200" s="621"/>
      <c r="AG200" s="621"/>
      <c r="AH200" s="621"/>
      <c r="AI200" s="621"/>
      <c r="AJ200" s="621"/>
      <c r="AK200" s="621"/>
      <c r="AL200" s="621"/>
      <c r="AM200" s="621"/>
      <c r="AN200" s="621"/>
      <c r="AO200" s="621"/>
      <c r="AP200" s="621"/>
      <c r="AQ200" s="621"/>
      <c r="AR200" s="621"/>
      <c r="AS200" s="621"/>
      <c r="AT200" s="621"/>
      <c r="AU200" s="621"/>
      <c r="AV200" s="288"/>
      <c r="AW200" s="621"/>
      <c r="AX200" s="621"/>
      <c r="AY200" s="621"/>
      <c r="AZ200" s="621"/>
      <c r="BA200" s="621"/>
      <c r="BB200" s="916"/>
      <c r="BC200" s="916"/>
      <c r="BD200" s="916"/>
      <c r="BE200" s="916"/>
      <c r="BF200" s="152"/>
      <c r="BG200" s="916"/>
      <c r="BH200" s="916"/>
      <c r="BI200" s="916"/>
      <c r="BJ200" s="916"/>
      <c r="BK200" s="660"/>
      <c r="BL200" s="916"/>
      <c r="BM200" s="916"/>
      <c r="BN200" s="916"/>
      <c r="BO200" s="916"/>
      <c r="BP200" s="660"/>
      <c r="BQ200" s="916"/>
      <c r="BR200" s="916"/>
      <c r="BS200" s="916"/>
      <c r="BT200" s="917"/>
      <c r="BU200" s="152">
        <v>1.099</v>
      </c>
      <c r="BV200" s="110">
        <v>1.099</v>
      </c>
      <c r="BW200" s="1394">
        <v>1.099</v>
      </c>
      <c r="BX200" s="110">
        <v>1.099</v>
      </c>
      <c r="BY200" s="110">
        <v>1.099</v>
      </c>
      <c r="BZ200" s="152">
        <v>1.099</v>
      </c>
      <c r="CA200" s="110">
        <v>1.099</v>
      </c>
      <c r="CB200" s="110">
        <v>1.099</v>
      </c>
      <c r="CC200" s="110">
        <v>1.099</v>
      </c>
      <c r="CD200" s="110">
        <v>1.099</v>
      </c>
      <c r="CE200" s="152">
        <v>1.099</v>
      </c>
      <c r="CF200" s="110">
        <v>1.099</v>
      </c>
      <c r="CG200" s="110">
        <v>1.099</v>
      </c>
      <c r="CH200" s="110">
        <v>1.099</v>
      </c>
      <c r="CI200" s="110">
        <v>1.099</v>
      </c>
      <c r="CJ200" s="152">
        <v>1.099</v>
      </c>
      <c r="CK200" s="110"/>
      <c r="CL200" s="153"/>
      <c r="CM200" s="153"/>
      <c r="CN200" s="153"/>
      <c r="CO200" s="152"/>
      <c r="CP200" s="153"/>
      <c r="CQ200" s="153"/>
      <c r="CR200" s="153"/>
      <c r="CS200" s="153"/>
      <c r="CT200" s="152"/>
      <c r="CU200" s="153"/>
      <c r="CV200" s="153"/>
      <c r="CW200" s="153"/>
      <c r="CX200" s="153"/>
      <c r="CY200" s="152"/>
      <c r="CZ200" s="110"/>
      <c r="DA200" s="110"/>
      <c r="DB200" s="110"/>
      <c r="DC200" s="110"/>
      <c r="DD200" s="110"/>
      <c r="DE200" s="110"/>
      <c r="DF200" s="110"/>
      <c r="DG200" s="110"/>
      <c r="DH200" s="110"/>
      <c r="DI200" s="110"/>
      <c r="DJ200" s="110"/>
      <c r="DK200" s="110"/>
      <c r="DL200" s="110"/>
      <c r="DM200" s="110"/>
      <c r="DN200" s="110"/>
      <c r="DO200" s="110"/>
      <c r="DP200" s="110"/>
      <c r="DQ200" s="110"/>
      <c r="DR200" s="110"/>
      <c r="DS200" s="117"/>
      <c r="DT200" s="110"/>
      <c r="DU200" s="110"/>
      <c r="DV200" s="110"/>
      <c r="DW200" s="110"/>
      <c r="DX200" s="117"/>
      <c r="DY200" s="673"/>
      <c r="DZ200" s="673"/>
      <c r="EA200" s="673"/>
      <c r="EB200" s="673"/>
      <c r="EC200" s="673"/>
      <c r="ED200" s="673"/>
      <c r="EE200" s="673"/>
      <c r="EF200" s="673"/>
    </row>
    <row r="201" spans="1:136" x14ac:dyDescent="0.2">
      <c r="A201" s="32"/>
      <c r="B201" s="46"/>
      <c r="C201" s="46"/>
      <c r="D201" s="46"/>
      <c r="E201" s="46"/>
      <c r="F201" s="46"/>
      <c r="G201" s="46"/>
      <c r="H201" s="46"/>
      <c r="I201" s="46"/>
      <c r="J201" s="46"/>
      <c r="K201" s="46"/>
      <c r="L201" s="46"/>
      <c r="M201" s="46"/>
      <c r="N201" s="46"/>
      <c r="O201" s="46"/>
      <c r="P201" s="46"/>
      <c r="Q201" s="46"/>
      <c r="R201" s="46"/>
      <c r="S201" s="46"/>
      <c r="T201" s="46"/>
      <c r="U201" s="46"/>
      <c r="V201" s="46"/>
      <c r="W201" s="46"/>
      <c r="X201" s="46"/>
      <c r="Y201" s="46"/>
      <c r="Z201" s="46"/>
      <c r="AA201" s="46"/>
      <c r="AB201" s="46"/>
      <c r="AC201" s="46"/>
      <c r="AD201" s="46"/>
      <c r="AE201" s="46"/>
      <c r="AF201" s="46"/>
      <c r="AG201" s="46"/>
      <c r="AH201" s="46"/>
      <c r="AI201" s="46"/>
      <c r="AJ201" s="46"/>
      <c r="AK201" s="46"/>
      <c r="AL201" s="46"/>
      <c r="AM201" s="46"/>
      <c r="AN201" s="46"/>
      <c r="AO201" s="46"/>
      <c r="AP201" s="46"/>
      <c r="AQ201" s="46"/>
      <c r="AR201" s="46"/>
      <c r="AS201" s="46"/>
      <c r="AT201" s="46"/>
      <c r="AU201" s="46"/>
      <c r="AV201" s="45"/>
      <c r="AW201" s="46"/>
      <c r="AX201" s="46"/>
      <c r="AY201" s="46"/>
      <c r="AZ201" s="46"/>
      <c r="BA201" s="46"/>
      <c r="BB201" s="686"/>
      <c r="BC201" s="686"/>
      <c r="BD201" s="686"/>
      <c r="BE201" s="686"/>
      <c r="BF201" s="245"/>
      <c r="BG201" s="686"/>
      <c r="BH201" s="686"/>
      <c r="BI201" s="686"/>
      <c r="BJ201" s="686"/>
      <c r="BK201" s="245"/>
      <c r="BL201" s="686"/>
      <c r="BM201" s="686"/>
      <c r="BN201" s="686"/>
      <c r="BO201" s="686"/>
      <c r="BP201" s="911"/>
      <c r="BQ201" s="686"/>
      <c r="BR201" s="686"/>
      <c r="BS201" s="686"/>
      <c r="BT201" s="686"/>
      <c r="BU201" s="686"/>
      <c r="BV201" s="686"/>
      <c r="BW201" s="1389"/>
      <c r="BX201" s="686"/>
      <c r="BY201" s="686"/>
      <c r="BZ201" s="686"/>
      <c r="CA201" s="686"/>
      <c r="CB201" s="686"/>
      <c r="CC201" s="686"/>
      <c r="CD201" s="686"/>
      <c r="CE201" s="686"/>
      <c r="CF201" s="686"/>
      <c r="CG201" s="686"/>
      <c r="CH201" s="686"/>
      <c r="CI201" s="686"/>
      <c r="CJ201" s="686"/>
      <c r="CK201" s="686"/>
      <c r="CL201" s="686"/>
      <c r="CM201" s="686"/>
      <c r="CN201" s="686"/>
      <c r="CO201" s="686"/>
      <c r="CP201" s="686"/>
      <c r="CQ201" s="686"/>
      <c r="CR201" s="686"/>
      <c r="CS201" s="686"/>
      <c r="CT201" s="686"/>
      <c r="CU201" s="686"/>
      <c r="CV201" s="686"/>
      <c r="CW201" s="686"/>
      <c r="CX201" s="686"/>
      <c r="CY201" s="686"/>
      <c r="CZ201" s="686"/>
      <c r="DA201" s="686"/>
      <c r="DB201" s="686"/>
      <c r="DC201" s="686"/>
      <c r="DD201" s="686"/>
      <c r="DE201" s="686"/>
      <c r="DF201" s="686"/>
      <c r="DG201" s="686"/>
      <c r="DH201" s="686"/>
      <c r="DI201" s="686"/>
      <c r="DJ201" s="686"/>
      <c r="DK201" s="686"/>
      <c r="DL201" s="686"/>
      <c r="DM201" s="686"/>
      <c r="DN201" s="686"/>
      <c r="DO201" s="686"/>
      <c r="DP201" s="686"/>
      <c r="DQ201" s="686"/>
      <c r="DR201" s="686"/>
      <c r="DS201" s="686"/>
      <c r="DT201" s="686"/>
      <c r="DU201" s="686"/>
      <c r="DV201" s="686"/>
      <c r="DW201" s="686"/>
      <c r="DX201" s="686"/>
      <c r="DY201" s="780"/>
      <c r="DZ201" s="780"/>
      <c r="EA201" s="780"/>
      <c r="EB201" s="780"/>
      <c r="EC201" s="780"/>
      <c r="ED201" s="780"/>
      <c r="EE201" s="780"/>
      <c r="EF201" s="780"/>
    </row>
    <row r="202" spans="1:136" x14ac:dyDescent="0.2">
      <c r="A202" s="32"/>
      <c r="B202" s="46"/>
      <c r="C202" s="46"/>
      <c r="D202" s="46"/>
      <c r="E202" s="46"/>
      <c r="F202" s="46"/>
      <c r="G202" s="46"/>
      <c r="H202" s="46"/>
      <c r="I202" s="46"/>
      <c r="J202" s="46"/>
      <c r="K202" s="46"/>
      <c r="L202" s="46"/>
      <c r="M202" s="46"/>
      <c r="N202" s="46"/>
      <c r="O202" s="46"/>
      <c r="P202" s="46"/>
      <c r="Q202" s="46"/>
      <c r="R202" s="46"/>
      <c r="S202" s="46"/>
      <c r="T202" s="46"/>
      <c r="U202" s="46"/>
      <c r="V202" s="46"/>
      <c r="W202" s="46"/>
      <c r="X202" s="46"/>
      <c r="Y202" s="46"/>
      <c r="Z202" s="46"/>
      <c r="AA202" s="46"/>
      <c r="AB202" s="46"/>
      <c r="AC202" s="46"/>
      <c r="AD202" s="46"/>
      <c r="AE202" s="46"/>
      <c r="AF202" s="46"/>
      <c r="AG202" s="46"/>
      <c r="AH202" s="46"/>
      <c r="AI202" s="46"/>
      <c r="AJ202" s="46"/>
      <c r="AK202" s="46"/>
      <c r="AL202" s="46"/>
      <c r="AM202" s="46"/>
      <c r="AN202" s="46"/>
      <c r="AO202" s="46"/>
      <c r="AP202" s="46"/>
      <c r="AQ202" s="46"/>
      <c r="AR202" s="46"/>
      <c r="AS202" s="46"/>
      <c r="AT202" s="46"/>
      <c r="AU202" s="46"/>
      <c r="AV202" s="45"/>
      <c r="AW202" s="46"/>
      <c r="AX202" s="46"/>
      <c r="AY202" s="46"/>
      <c r="AZ202" s="46"/>
      <c r="BA202" s="46"/>
      <c r="BB202" s="686"/>
      <c r="BC202" s="686"/>
      <c r="BD202" s="686"/>
      <c r="BE202" s="686"/>
      <c r="BF202" s="245"/>
      <c r="BG202" s="686"/>
      <c r="BH202" s="686"/>
      <c r="BI202" s="686"/>
      <c r="BJ202" s="686"/>
      <c r="BK202" s="245"/>
      <c r="BL202" s="686"/>
      <c r="BM202" s="686"/>
      <c r="BN202" s="686"/>
      <c r="BO202" s="686"/>
      <c r="BP202" s="911"/>
      <c r="BQ202" s="686"/>
      <c r="BR202" s="686"/>
      <c r="BS202" s="686"/>
      <c r="BT202" s="686"/>
      <c r="BU202" s="686"/>
      <c r="BV202" s="686"/>
      <c r="BW202" s="1389"/>
      <c r="BX202" s="686"/>
      <c r="BY202" s="686"/>
      <c r="BZ202" s="686"/>
      <c r="CA202" s="686"/>
      <c r="CB202" s="686"/>
      <c r="CC202" s="686"/>
      <c r="CD202" s="686"/>
      <c r="CE202" s="686"/>
      <c r="CF202" s="686"/>
      <c r="CG202" s="686"/>
      <c r="CH202" s="686"/>
      <c r="CI202" s="686"/>
      <c r="CJ202" s="686"/>
      <c r="CK202" s="686"/>
      <c r="CL202" s="686"/>
      <c r="CM202" s="686"/>
      <c r="CN202" s="686"/>
      <c r="CO202" s="686"/>
      <c r="CP202" s="686"/>
      <c r="CQ202" s="686"/>
      <c r="CR202" s="686"/>
      <c r="CS202" s="686"/>
      <c r="CT202" s="686"/>
      <c r="CU202" s="686"/>
      <c r="CV202" s="686"/>
      <c r="CW202" s="686"/>
      <c r="CX202" s="686"/>
      <c r="CY202" s="686"/>
      <c r="CZ202" s="686"/>
      <c r="DA202" s="686"/>
      <c r="DB202" s="686"/>
      <c r="DC202" s="686"/>
      <c r="DD202" s="686"/>
      <c r="DE202" s="686"/>
      <c r="DF202" s="686"/>
      <c r="DG202" s="686"/>
      <c r="DH202" s="686"/>
      <c r="DI202" s="686"/>
      <c r="DJ202" s="686"/>
      <c r="DK202" s="686"/>
      <c r="DL202" s="686"/>
      <c r="DM202" s="686"/>
      <c r="DN202" s="686"/>
      <c r="DO202" s="686"/>
      <c r="DP202" s="686"/>
      <c r="DQ202" s="686"/>
      <c r="DR202" s="686"/>
      <c r="DS202" s="686"/>
      <c r="DT202" s="686"/>
      <c r="DU202" s="686"/>
      <c r="DV202" s="686"/>
      <c r="DW202" s="686"/>
      <c r="DX202" s="686"/>
      <c r="DY202" s="780"/>
      <c r="DZ202" s="780"/>
      <c r="EA202" s="780"/>
      <c r="EB202" s="780"/>
      <c r="EC202" s="780"/>
      <c r="ED202" s="780"/>
      <c r="EE202" s="780"/>
      <c r="EF202" s="780"/>
    </row>
    <row r="203" spans="1:136" x14ac:dyDescent="0.2">
      <c r="A203" s="32"/>
      <c r="B203" s="46"/>
      <c r="C203" s="46"/>
      <c r="D203" s="46"/>
      <c r="E203" s="46"/>
      <c r="F203" s="46"/>
      <c r="G203" s="46"/>
      <c r="H203" s="46"/>
      <c r="I203" s="46"/>
      <c r="J203" s="46"/>
      <c r="K203" s="46"/>
      <c r="L203" s="46"/>
      <c r="M203" s="46"/>
      <c r="N203" s="46"/>
      <c r="O203" s="46"/>
      <c r="P203" s="46"/>
      <c r="Q203" s="46"/>
      <c r="R203" s="46"/>
      <c r="S203" s="46"/>
      <c r="T203" s="46"/>
      <c r="U203" s="46"/>
      <c r="V203" s="46"/>
      <c r="W203" s="46"/>
      <c r="X203" s="46"/>
      <c r="Y203" s="46"/>
      <c r="Z203" s="46"/>
      <c r="AA203" s="46"/>
      <c r="AB203" s="46"/>
      <c r="AC203" s="46"/>
      <c r="AD203" s="46"/>
      <c r="AE203" s="46"/>
      <c r="AF203" s="46"/>
      <c r="AG203" s="46"/>
      <c r="AH203" s="46"/>
      <c r="AI203" s="46"/>
      <c r="AJ203" s="46"/>
      <c r="AK203" s="46"/>
      <c r="AL203" s="46"/>
      <c r="AM203" s="46"/>
      <c r="AN203" s="46"/>
      <c r="AO203" s="46"/>
      <c r="AP203" s="46"/>
      <c r="AQ203" s="46"/>
      <c r="AR203" s="46"/>
      <c r="AS203" s="46"/>
      <c r="AT203" s="46"/>
      <c r="AU203" s="46"/>
      <c r="AV203" s="45"/>
      <c r="AW203" s="46"/>
      <c r="AX203" s="46"/>
      <c r="AY203" s="46"/>
      <c r="AZ203" s="46"/>
      <c r="BA203" s="46"/>
      <c r="BB203" s="686"/>
      <c r="BC203" s="686"/>
      <c r="BD203" s="686"/>
      <c r="BE203" s="686"/>
      <c r="BF203" s="245"/>
      <c r="BG203" s="686"/>
      <c r="BH203" s="686"/>
      <c r="BI203" s="686"/>
      <c r="BJ203" s="686"/>
      <c r="BK203" s="245"/>
      <c r="BL203" s="686"/>
      <c r="BM203" s="686"/>
      <c r="BN203" s="686"/>
      <c r="BO203" s="686"/>
      <c r="BP203" s="911"/>
      <c r="BQ203" s="686"/>
      <c r="BR203" s="686"/>
      <c r="BS203" s="686"/>
      <c r="BT203" s="686"/>
      <c r="BU203" s="686"/>
      <c r="BV203" s="686"/>
      <c r="BW203" s="1389"/>
      <c r="BX203" s="686"/>
      <c r="BY203" s="686"/>
      <c r="BZ203" s="686"/>
      <c r="CA203" s="686"/>
      <c r="CB203" s="686"/>
      <c r="CC203" s="686"/>
      <c r="CD203" s="686"/>
      <c r="CE203" s="686"/>
      <c r="CF203" s="686"/>
      <c r="CG203" s="686"/>
      <c r="CH203" s="686"/>
      <c r="CI203" s="686"/>
      <c r="CJ203" s="686"/>
      <c r="CK203" s="686"/>
      <c r="CL203" s="686"/>
      <c r="CM203" s="686"/>
      <c r="CN203" s="686"/>
      <c r="CO203" s="686"/>
      <c r="CP203" s="686"/>
      <c r="CQ203" s="686"/>
      <c r="CR203" s="686"/>
      <c r="CS203" s="686"/>
      <c r="CT203" s="686"/>
      <c r="CU203" s="686"/>
      <c r="CV203" s="686"/>
      <c r="CW203" s="686"/>
      <c r="CX203" s="686"/>
      <c r="CY203" s="686"/>
      <c r="CZ203" s="686"/>
      <c r="DA203" s="686"/>
      <c r="DB203" s="686"/>
      <c r="DC203" s="686"/>
      <c r="DD203" s="686"/>
      <c r="DE203" s="686"/>
      <c r="DF203" s="686"/>
      <c r="DG203" s="686"/>
      <c r="DH203" s="686"/>
      <c r="DI203" s="686"/>
      <c r="DJ203" s="686"/>
      <c r="DK203" s="686"/>
      <c r="DL203" s="686"/>
      <c r="DM203" s="686"/>
      <c r="DN203" s="686"/>
      <c r="DO203" s="686"/>
      <c r="DP203" s="686"/>
      <c r="DQ203" s="686"/>
      <c r="DR203" s="686"/>
      <c r="DS203" s="686"/>
      <c r="DT203" s="686"/>
      <c r="DU203" s="686"/>
      <c r="DV203" s="686"/>
      <c r="DW203" s="686"/>
      <c r="DX203" s="686"/>
      <c r="DY203" s="780"/>
      <c r="DZ203" s="780"/>
      <c r="EA203" s="780"/>
      <c r="EB203" s="780"/>
      <c r="EC203" s="780"/>
      <c r="ED203" s="780"/>
      <c r="EE203" s="780"/>
      <c r="EF203" s="780"/>
    </row>
    <row r="204" spans="1:136" x14ac:dyDescent="0.2">
      <c r="A204" s="27" t="s">
        <v>9</v>
      </c>
      <c r="B204" s="335"/>
      <c r="C204" s="335"/>
      <c r="D204" s="335"/>
      <c r="E204" s="335"/>
      <c r="F204" s="335"/>
      <c r="G204" s="335"/>
      <c r="H204" s="335"/>
      <c r="I204" s="335"/>
      <c r="J204" s="335"/>
      <c r="K204" s="335"/>
      <c r="L204" s="335"/>
      <c r="M204" s="335"/>
      <c r="N204" s="335"/>
      <c r="O204" s="335"/>
      <c r="P204" s="335"/>
      <c r="Q204" s="335"/>
      <c r="R204" s="335"/>
      <c r="S204" s="335"/>
      <c r="T204" s="335"/>
      <c r="U204" s="335"/>
      <c r="V204" s="335"/>
      <c r="W204" s="335"/>
      <c r="X204" s="335"/>
      <c r="Y204" s="335"/>
      <c r="Z204" s="335"/>
      <c r="AA204" s="335"/>
      <c r="AB204" s="335"/>
      <c r="AC204" s="335"/>
      <c r="AD204" s="335"/>
      <c r="AE204" s="335"/>
      <c r="AF204" s="335"/>
      <c r="AG204" s="335"/>
      <c r="AH204" s="335"/>
      <c r="AI204" s="335"/>
      <c r="AJ204" s="335"/>
      <c r="AK204" s="335"/>
      <c r="AL204" s="335"/>
      <c r="AM204" s="335"/>
      <c r="AN204" s="335"/>
      <c r="AO204" s="335"/>
      <c r="AP204" s="335"/>
      <c r="AQ204" s="335"/>
      <c r="AR204" s="335"/>
      <c r="AS204" s="335"/>
      <c r="AT204" s="335"/>
      <c r="AU204" s="335"/>
      <c r="AV204" s="875"/>
      <c r="AW204" s="335"/>
      <c r="AX204" s="335"/>
      <c r="AY204" s="335"/>
      <c r="AZ204" s="335"/>
      <c r="BA204" s="335"/>
      <c r="BB204" s="912"/>
      <c r="BC204" s="912"/>
      <c r="BD204" s="912"/>
      <c r="BE204" s="912"/>
      <c r="BF204" s="921"/>
      <c r="BG204" s="912"/>
      <c r="BH204" s="912"/>
      <c r="BI204" s="912"/>
      <c r="BJ204" s="912"/>
      <c r="BK204" s="661"/>
      <c r="BL204" s="913"/>
      <c r="BM204" s="913"/>
      <c r="BN204" s="913"/>
      <c r="BO204" s="913"/>
      <c r="BP204" s="661"/>
      <c r="BQ204" s="914"/>
      <c r="BR204" s="914"/>
      <c r="BS204" s="914"/>
      <c r="BT204" s="914"/>
      <c r="BU204" s="919"/>
      <c r="BV204" s="913"/>
      <c r="BW204" s="1390"/>
      <c r="BX204" s="913"/>
      <c r="BY204" s="913"/>
      <c r="BZ204" s="919"/>
      <c r="CA204" s="913"/>
      <c r="CB204" s="913"/>
      <c r="CC204" s="913"/>
      <c r="CD204" s="913"/>
      <c r="CE204" s="919"/>
      <c r="CF204" s="913"/>
      <c r="CG204" s="913"/>
      <c r="CH204" s="913"/>
      <c r="CI204" s="913"/>
      <c r="CJ204" s="919"/>
      <c r="CK204" s="913"/>
      <c r="CL204" s="913"/>
      <c r="CM204" s="913"/>
      <c r="CN204" s="913"/>
      <c r="CO204" s="919"/>
      <c r="CP204" s="913"/>
      <c r="CQ204" s="913"/>
      <c r="CR204" s="913"/>
      <c r="CS204" s="913"/>
      <c r="CT204" s="919"/>
      <c r="CU204" s="913"/>
      <c r="CV204" s="913"/>
      <c r="CW204" s="913"/>
      <c r="CX204" s="913"/>
      <c r="CY204" s="919"/>
      <c r="CZ204" s="912"/>
      <c r="DA204" s="912"/>
      <c r="DB204" s="912"/>
      <c r="DC204" s="912"/>
      <c r="DD204" s="912"/>
      <c r="DE204" s="912"/>
      <c r="DF204" s="912"/>
      <c r="DG204" s="912"/>
      <c r="DH204" s="912"/>
      <c r="DI204" s="912"/>
      <c r="DJ204" s="912"/>
      <c r="DK204" s="912"/>
      <c r="DL204" s="912"/>
      <c r="DM204" s="912"/>
      <c r="DN204" s="912"/>
      <c r="DO204" s="912"/>
      <c r="DP204" s="912"/>
      <c r="DQ204" s="912"/>
      <c r="DR204" s="912"/>
      <c r="DS204" s="915"/>
      <c r="DT204" s="912"/>
      <c r="DU204" s="912"/>
      <c r="DV204" s="912"/>
      <c r="DW204" s="912"/>
      <c r="DX204" s="915"/>
      <c r="DY204" s="780"/>
      <c r="DZ204" s="780"/>
      <c r="EA204" s="780"/>
      <c r="EB204" s="780"/>
      <c r="EC204" s="780"/>
      <c r="ED204" s="780"/>
      <c r="EE204" s="780"/>
      <c r="EF204" s="780"/>
    </row>
    <row r="205" spans="1:136" x14ac:dyDescent="0.2">
      <c r="A205" s="19" t="s">
        <v>11</v>
      </c>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45"/>
      <c r="AW205" s="38"/>
      <c r="AX205" s="38"/>
      <c r="AY205" s="38"/>
      <c r="AZ205" s="38"/>
      <c r="BA205" s="38"/>
      <c r="BB205" s="692"/>
      <c r="BC205" s="692"/>
      <c r="BD205" s="692"/>
      <c r="BE205" s="692"/>
      <c r="BF205" s="123"/>
      <c r="BG205" s="692"/>
      <c r="BH205" s="692"/>
      <c r="BI205" s="692"/>
      <c r="BJ205" s="692"/>
      <c r="BK205" s="40"/>
      <c r="BL205" s="692"/>
      <c r="BM205" s="692"/>
      <c r="BN205" s="692"/>
      <c r="BO205" s="692">
        <v>102</v>
      </c>
      <c r="BP205" s="40">
        <f>BO205</f>
        <v>102</v>
      </c>
      <c r="BQ205" s="692">
        <v>98</v>
      </c>
      <c r="BR205" s="692">
        <v>91.4</v>
      </c>
      <c r="BS205" s="1043">
        <v>94.8</v>
      </c>
      <c r="BT205" s="692">
        <v>124.9</v>
      </c>
      <c r="BU205" s="784">
        <f>BT205</f>
        <v>124.9</v>
      </c>
      <c r="BV205" s="692">
        <f>BU205+BV206</f>
        <v>126.60000000000001</v>
      </c>
      <c r="BW205" s="1391">
        <f t="shared" ref="BW205:BY205" si="737">BV205+BW206</f>
        <v>120.2</v>
      </c>
      <c r="BX205" s="692">
        <f t="shared" si="737"/>
        <v>119.2</v>
      </c>
      <c r="BY205" s="692">
        <f t="shared" si="737"/>
        <v>120.8</v>
      </c>
      <c r="BZ205" s="784">
        <f>BY205</f>
        <v>120.8</v>
      </c>
      <c r="CA205" s="692">
        <f>BZ205+CA206</f>
        <v>139.30000000000001</v>
      </c>
      <c r="CB205" s="692">
        <f t="shared" ref="CB205" si="738">CA205+CB206</f>
        <v>134.80000000000001</v>
      </c>
      <c r="CC205" s="692">
        <f t="shared" ref="CC205" si="739">CB205+CC206</f>
        <v>137.4</v>
      </c>
      <c r="CD205" s="692">
        <f t="shared" ref="CD205" si="740">CC205+CD206</f>
        <v>141</v>
      </c>
      <c r="CE205" s="784">
        <f>CD205</f>
        <v>141</v>
      </c>
      <c r="CF205" s="692">
        <f>CE205+CF206</f>
        <v>146.69999999999999</v>
      </c>
      <c r="CG205" s="692">
        <f t="shared" ref="CG205" si="741">CF205+CG206</f>
        <v>145.79999999999998</v>
      </c>
      <c r="CH205" s="692">
        <f t="shared" ref="CH205" si="742">CG205+CH206</f>
        <v>149.89999999999998</v>
      </c>
      <c r="CI205" s="692">
        <f t="shared" ref="CI205" si="743">CH205+CI206</f>
        <v>153.39999999999998</v>
      </c>
      <c r="CJ205" s="784">
        <f>CI205</f>
        <v>153.39999999999998</v>
      </c>
      <c r="CK205" s="692">
        <f>CJ205+CK206</f>
        <v>167.7</v>
      </c>
      <c r="CL205" s="695">
        <f t="shared" ref="CL205" si="744">CK205+CL206</f>
        <v>170.7</v>
      </c>
      <c r="CM205" s="695">
        <f t="shared" ref="CM205" si="745">CL205+CM206</f>
        <v>175.7</v>
      </c>
      <c r="CN205" s="695">
        <f t="shared" ref="CN205" si="746">CM205+CN206</f>
        <v>179.7</v>
      </c>
      <c r="CO205" s="784">
        <f>CN205</f>
        <v>179.7</v>
      </c>
      <c r="CP205" s="695">
        <f>CO205+CP206</f>
        <v>186.7</v>
      </c>
      <c r="CQ205" s="695">
        <f t="shared" ref="CQ205" si="747">CP205+CQ206</f>
        <v>192.7</v>
      </c>
      <c r="CR205" s="695">
        <f t="shared" ref="CR205" si="748">CQ205+CR206</f>
        <v>198.7</v>
      </c>
      <c r="CS205" s="695">
        <f t="shared" ref="CS205" si="749">CR205+CS206</f>
        <v>203.7</v>
      </c>
      <c r="CT205" s="784">
        <f>CS205</f>
        <v>203.7</v>
      </c>
      <c r="CU205" s="695">
        <f>CT205+CU206</f>
        <v>211.7</v>
      </c>
      <c r="CV205" s="695">
        <f t="shared" ref="CV205" si="750">CU205+CV206</f>
        <v>218.7</v>
      </c>
      <c r="CW205" s="695">
        <f t="shared" ref="CW205" si="751">CV205+CW206</f>
        <v>225.7</v>
      </c>
      <c r="CX205" s="695">
        <f t="shared" ref="CX205" si="752">CW205+CX206</f>
        <v>231.7</v>
      </c>
      <c r="CY205" s="784">
        <f>CX205</f>
        <v>231.7</v>
      </c>
      <c r="CZ205" s="695">
        <f>CY205+CZ206</f>
        <v>238.7</v>
      </c>
      <c r="DA205" s="695">
        <f t="shared" ref="DA205" si="753">CZ205+DA206</f>
        <v>245.7</v>
      </c>
      <c r="DB205" s="695">
        <f t="shared" ref="DB205" si="754">DA205+DB206</f>
        <v>252.7</v>
      </c>
      <c r="DC205" s="695">
        <f t="shared" ref="DC205" si="755">DB205+DC206</f>
        <v>259.7</v>
      </c>
      <c r="DD205" s="784">
        <f>DC205</f>
        <v>259.7</v>
      </c>
      <c r="DE205" s="695">
        <f>DD205+DE206</f>
        <v>268.2</v>
      </c>
      <c r="DF205" s="695">
        <f t="shared" ref="DF205" si="756">DE205+DF206</f>
        <v>276.7</v>
      </c>
      <c r="DG205" s="695">
        <f t="shared" ref="DG205" si="757">DF205+DG206</f>
        <v>285.2</v>
      </c>
      <c r="DH205" s="695">
        <f t="shared" ref="DH205" si="758">DG205+DH206</f>
        <v>293.7</v>
      </c>
      <c r="DI205" s="784">
        <f>DH205</f>
        <v>293.7</v>
      </c>
      <c r="DJ205" s="695">
        <f>DI205+DJ206</f>
        <v>303.7</v>
      </c>
      <c r="DK205" s="695">
        <f t="shared" ref="DK205" si="759">DJ205+DK206</f>
        <v>313.7</v>
      </c>
      <c r="DL205" s="695">
        <f t="shared" ref="DL205" si="760">DK205+DL206</f>
        <v>323.7</v>
      </c>
      <c r="DM205" s="695">
        <f t="shared" ref="DM205" si="761">DL205+DM206</f>
        <v>333.7</v>
      </c>
      <c r="DN205" s="784">
        <f>DM205</f>
        <v>333.7</v>
      </c>
      <c r="DO205" s="695">
        <f>DN205+DO206</f>
        <v>345.2</v>
      </c>
      <c r="DP205" s="695">
        <f t="shared" ref="DP205" si="762">DO205+DP206</f>
        <v>356.7</v>
      </c>
      <c r="DQ205" s="695">
        <f t="shared" ref="DQ205" si="763">DP205+DQ206</f>
        <v>368.2</v>
      </c>
      <c r="DR205" s="695">
        <f t="shared" ref="DR205" si="764">DQ205+DR206</f>
        <v>379.7</v>
      </c>
      <c r="DS205" s="784">
        <f>DR205</f>
        <v>379.7</v>
      </c>
      <c r="DT205" s="695">
        <f>DS205+DT206</f>
        <v>392.7</v>
      </c>
      <c r="DU205" s="695">
        <f t="shared" ref="DU205" si="765">DT205+DU206</f>
        <v>405.7</v>
      </c>
      <c r="DV205" s="695">
        <f t="shared" ref="DV205" si="766">DU205+DV206</f>
        <v>418.7</v>
      </c>
      <c r="DW205" s="695">
        <f t="shared" ref="DW205" si="767">DV205+DW206</f>
        <v>431.7</v>
      </c>
      <c r="DX205" s="784">
        <f>DW205</f>
        <v>431.7</v>
      </c>
      <c r="DY205" s="673"/>
      <c r="DZ205" s="673"/>
      <c r="EA205" s="673"/>
      <c r="EB205" s="673"/>
      <c r="EC205" s="673"/>
      <c r="ED205" s="673"/>
      <c r="EE205" s="673"/>
      <c r="EF205" s="673"/>
    </row>
    <row r="206" spans="1:136" x14ac:dyDescent="0.2">
      <c r="A206" s="28" t="s">
        <v>10</v>
      </c>
      <c r="B206" s="621"/>
      <c r="C206" s="621"/>
      <c r="D206" s="621"/>
      <c r="E206" s="621"/>
      <c r="F206" s="621"/>
      <c r="G206" s="621"/>
      <c r="H206" s="621"/>
      <c r="I206" s="621"/>
      <c r="J206" s="621"/>
      <c r="K206" s="621"/>
      <c r="L206" s="621"/>
      <c r="M206" s="621"/>
      <c r="N206" s="621"/>
      <c r="O206" s="621"/>
      <c r="P206" s="621"/>
      <c r="Q206" s="621"/>
      <c r="R206" s="621"/>
      <c r="S206" s="621"/>
      <c r="T206" s="621"/>
      <c r="U206" s="621"/>
      <c r="V206" s="621"/>
      <c r="W206" s="621"/>
      <c r="X206" s="621"/>
      <c r="Y206" s="621"/>
      <c r="Z206" s="621"/>
      <c r="AA206" s="621"/>
      <c r="AB206" s="621"/>
      <c r="AC206" s="621"/>
      <c r="AD206" s="621"/>
      <c r="AE206" s="621"/>
      <c r="AF206" s="621"/>
      <c r="AG206" s="621"/>
      <c r="AH206" s="621"/>
      <c r="AI206" s="621"/>
      <c r="AJ206" s="621"/>
      <c r="AK206" s="621"/>
      <c r="AL206" s="621"/>
      <c r="AM206" s="621"/>
      <c r="AN206" s="621"/>
      <c r="AO206" s="621"/>
      <c r="AP206" s="621"/>
      <c r="AQ206" s="621"/>
      <c r="AR206" s="621"/>
      <c r="AS206" s="621"/>
      <c r="AT206" s="621"/>
      <c r="AU206" s="621"/>
      <c r="AV206" s="288"/>
      <c r="AW206" s="621"/>
      <c r="AX206" s="621"/>
      <c r="AY206" s="621"/>
      <c r="AZ206" s="621"/>
      <c r="BA206" s="621"/>
      <c r="BB206" s="916"/>
      <c r="BC206" s="916"/>
      <c r="BD206" s="916"/>
      <c r="BE206" s="916"/>
      <c r="BF206" s="152"/>
      <c r="BG206" s="916"/>
      <c r="BH206" s="916"/>
      <c r="BI206" s="916"/>
      <c r="BJ206" s="916"/>
      <c r="BK206" s="660"/>
      <c r="BL206" s="916"/>
      <c r="BM206" s="916"/>
      <c r="BN206" s="916"/>
      <c r="BO206" s="916"/>
      <c r="BP206" s="660"/>
      <c r="BQ206" s="916">
        <f>BQ205-BP205</f>
        <v>-4</v>
      </c>
      <c r="BR206" s="916">
        <f>BR205-BQ205</f>
        <v>-6.5999999999999943</v>
      </c>
      <c r="BS206" s="1044">
        <f>BS205-BR205</f>
        <v>3.3999999999999915</v>
      </c>
      <c r="BT206" s="1044">
        <f t="shared" ref="BT206" si="768">BT205-BS205</f>
        <v>30.100000000000009</v>
      </c>
      <c r="BU206" s="920">
        <f>BU205-BP205</f>
        <v>22.900000000000006</v>
      </c>
      <c r="BV206" s="916">
        <f>-IS!CA37</f>
        <v>1.7</v>
      </c>
      <c r="BW206" s="1392">
        <f>-IS!CB37</f>
        <v>-6.4</v>
      </c>
      <c r="BX206" s="916">
        <f>-IS!CC37</f>
        <v>-1</v>
      </c>
      <c r="BY206" s="916">
        <f>-IS!CD37</f>
        <v>1.6</v>
      </c>
      <c r="BZ206" s="920">
        <f>BZ205-BU205</f>
        <v>-4.1000000000000085</v>
      </c>
      <c r="CA206" s="916">
        <f>-IS!CF37</f>
        <v>18.5</v>
      </c>
      <c r="CB206" s="916">
        <f>-IS!CG37</f>
        <v>-4.5</v>
      </c>
      <c r="CC206" s="916">
        <f>-IS!CH37</f>
        <v>2.6</v>
      </c>
      <c r="CD206" s="916">
        <f>-IS!CI37</f>
        <v>3.6</v>
      </c>
      <c r="CE206" s="920">
        <f>CE205-BZ205</f>
        <v>20.200000000000003</v>
      </c>
      <c r="CF206" s="916">
        <f>-IS!CK37</f>
        <v>5.7</v>
      </c>
      <c r="CG206" s="916">
        <f>-IS!CL37</f>
        <v>-0.9</v>
      </c>
      <c r="CH206" s="916">
        <f>-IS!CM37</f>
        <v>4.0999999999999996</v>
      </c>
      <c r="CI206" s="916">
        <f>-IS!CN37</f>
        <v>3.5</v>
      </c>
      <c r="CJ206" s="920">
        <f>CJ205-CE205</f>
        <v>12.399999999999977</v>
      </c>
      <c r="CK206" s="916">
        <f>-IS!CP37</f>
        <v>14.3</v>
      </c>
      <c r="CL206" s="917">
        <f>-IS!CQ37</f>
        <v>3</v>
      </c>
      <c r="CM206" s="917">
        <f>-IS!CR37</f>
        <v>5</v>
      </c>
      <c r="CN206" s="917">
        <f>-IS!CS37</f>
        <v>4</v>
      </c>
      <c r="CO206" s="920">
        <f>CO205-CJ205</f>
        <v>26.300000000000011</v>
      </c>
      <c r="CP206" s="917">
        <f>-IS!CU37</f>
        <v>7</v>
      </c>
      <c r="CQ206" s="917">
        <f>-IS!CV37</f>
        <v>6</v>
      </c>
      <c r="CR206" s="917">
        <f>-IS!CW37</f>
        <v>6</v>
      </c>
      <c r="CS206" s="917">
        <f>-IS!CX37</f>
        <v>5</v>
      </c>
      <c r="CT206" s="920">
        <f>CT205-CO205</f>
        <v>24</v>
      </c>
      <c r="CU206" s="917">
        <f>-IS!CZ37</f>
        <v>8</v>
      </c>
      <c r="CV206" s="917">
        <f>-IS!DA37</f>
        <v>7</v>
      </c>
      <c r="CW206" s="917">
        <f>-IS!DB37</f>
        <v>7</v>
      </c>
      <c r="CX206" s="917">
        <f>-IS!DC37</f>
        <v>6</v>
      </c>
      <c r="CY206" s="920">
        <f>CY205-CT205</f>
        <v>28</v>
      </c>
      <c r="CZ206" s="917">
        <f>-IS!DE37</f>
        <v>7</v>
      </c>
      <c r="DA206" s="917">
        <f>-IS!DF37</f>
        <v>7</v>
      </c>
      <c r="DB206" s="917">
        <f>-IS!DG37</f>
        <v>7</v>
      </c>
      <c r="DC206" s="917">
        <f>-IS!DH37</f>
        <v>7</v>
      </c>
      <c r="DD206" s="920">
        <f>DD205-CY205</f>
        <v>28</v>
      </c>
      <c r="DE206" s="917">
        <f>-IS!DJ37</f>
        <v>8.5</v>
      </c>
      <c r="DF206" s="917">
        <f>-IS!DK37</f>
        <v>8.5</v>
      </c>
      <c r="DG206" s="917">
        <f>-IS!DL37</f>
        <v>8.5</v>
      </c>
      <c r="DH206" s="917">
        <f>-IS!DM37</f>
        <v>8.5</v>
      </c>
      <c r="DI206" s="920">
        <f>DI205-DD205</f>
        <v>34</v>
      </c>
      <c r="DJ206" s="917">
        <f>-IS!DO37</f>
        <v>10</v>
      </c>
      <c r="DK206" s="917">
        <f>-IS!DP37</f>
        <v>10</v>
      </c>
      <c r="DL206" s="917">
        <f>-IS!DQ37</f>
        <v>10</v>
      </c>
      <c r="DM206" s="917">
        <f>-IS!DR37</f>
        <v>10</v>
      </c>
      <c r="DN206" s="920">
        <f>DN205-DI205</f>
        <v>40</v>
      </c>
      <c r="DO206" s="917">
        <f>-IS!DT37</f>
        <v>11.5</v>
      </c>
      <c r="DP206" s="917">
        <f>-IS!DU37</f>
        <v>11.5</v>
      </c>
      <c r="DQ206" s="917">
        <f>-IS!DV37</f>
        <v>11.5</v>
      </c>
      <c r="DR206" s="917">
        <f>-IS!DW37</f>
        <v>11.5</v>
      </c>
      <c r="DS206" s="920">
        <f>DS205-DN205</f>
        <v>46</v>
      </c>
      <c r="DT206" s="917">
        <f>-IS!DY37</f>
        <v>13</v>
      </c>
      <c r="DU206" s="917">
        <f>-IS!DZ37</f>
        <v>13</v>
      </c>
      <c r="DV206" s="917">
        <f>-IS!EA37</f>
        <v>13</v>
      </c>
      <c r="DW206" s="917">
        <f>-IS!EB37</f>
        <v>13</v>
      </c>
      <c r="DX206" s="920">
        <f>DX205-DS205</f>
        <v>52</v>
      </c>
      <c r="DY206" s="673"/>
      <c r="DZ206" s="673"/>
      <c r="EA206" s="673"/>
      <c r="EB206" s="673"/>
      <c r="EC206" s="673"/>
      <c r="ED206" s="673"/>
      <c r="EE206" s="673"/>
      <c r="EF206" s="673"/>
    </row>
    <row r="207" spans="1:136" x14ac:dyDescent="0.2">
      <c r="A207" s="32"/>
      <c r="B207" s="46"/>
      <c r="C207" s="46"/>
      <c r="D207" s="46"/>
      <c r="E207" s="46"/>
      <c r="F207" s="46"/>
      <c r="G207" s="46"/>
      <c r="H207" s="46"/>
      <c r="I207" s="46"/>
      <c r="J207" s="46"/>
      <c r="K207" s="46"/>
      <c r="L207" s="46"/>
      <c r="M207" s="46"/>
      <c r="N207" s="46"/>
      <c r="O207" s="46"/>
      <c r="P207" s="46"/>
      <c r="Q207" s="46"/>
      <c r="R207" s="46"/>
      <c r="S207" s="46"/>
      <c r="T207" s="46"/>
      <c r="U207" s="46"/>
      <c r="V207" s="46"/>
      <c r="W207" s="46"/>
      <c r="X207" s="46"/>
      <c r="Y207" s="46"/>
      <c r="Z207" s="46"/>
      <c r="AA207" s="46"/>
      <c r="AB207" s="46"/>
      <c r="AC207" s="46"/>
      <c r="AD207" s="46"/>
      <c r="AE207" s="46"/>
      <c r="AF207" s="46"/>
      <c r="AG207" s="46"/>
      <c r="AH207" s="46"/>
      <c r="AI207" s="46"/>
      <c r="AJ207" s="46"/>
      <c r="AK207" s="46"/>
      <c r="AL207" s="46"/>
      <c r="AM207" s="46"/>
      <c r="AN207" s="46"/>
      <c r="AO207" s="46"/>
      <c r="AP207" s="46"/>
      <c r="AQ207" s="46"/>
      <c r="AR207" s="46"/>
      <c r="AS207" s="46"/>
      <c r="AT207" s="46"/>
      <c r="AU207" s="46"/>
      <c r="AV207" s="45"/>
      <c r="AW207" s="46"/>
      <c r="AX207" s="46"/>
      <c r="AY207" s="46"/>
      <c r="AZ207" s="46"/>
      <c r="BA207" s="46"/>
      <c r="BB207" s="686"/>
      <c r="BC207" s="686"/>
      <c r="BD207" s="686"/>
      <c r="BE207" s="686"/>
      <c r="BF207" s="245"/>
      <c r="BG207" s="686"/>
      <c r="BH207" s="686"/>
      <c r="BI207" s="686"/>
      <c r="BJ207" s="686"/>
      <c r="BK207" s="245"/>
      <c r="BL207" s="686"/>
      <c r="BM207" s="686"/>
      <c r="BN207" s="686"/>
      <c r="BO207" s="686"/>
      <c r="BP207" s="911"/>
      <c r="BQ207" s="686"/>
      <c r="BR207" s="686"/>
      <c r="BS207" s="686"/>
      <c r="BT207" s="686"/>
      <c r="BU207" s="686"/>
      <c r="BV207" s="686"/>
      <c r="BW207" s="1389"/>
      <c r="BX207" s="686"/>
      <c r="BY207" s="686"/>
      <c r="BZ207" s="686"/>
      <c r="CA207" s="686"/>
      <c r="CB207" s="686"/>
      <c r="CC207" s="686"/>
      <c r="CD207" s="686"/>
      <c r="CE207" s="686"/>
      <c r="CF207" s="686"/>
      <c r="CG207" s="686"/>
      <c r="CH207" s="686"/>
      <c r="CI207" s="686"/>
      <c r="CJ207" s="686"/>
      <c r="CK207" s="686"/>
      <c r="CL207" s="686"/>
      <c r="CM207" s="686"/>
      <c r="CN207" s="686"/>
      <c r="CO207" s="686"/>
      <c r="CP207" s="686"/>
      <c r="CQ207" s="686"/>
      <c r="CR207" s="686"/>
      <c r="CS207" s="686"/>
      <c r="CT207" s="686"/>
      <c r="CU207" s="686"/>
      <c r="CV207" s="686"/>
      <c r="CW207" s="686"/>
      <c r="CX207" s="686"/>
      <c r="CY207" s="686"/>
      <c r="CZ207" s="686"/>
      <c r="DA207" s="686"/>
      <c r="DB207" s="686"/>
      <c r="DC207" s="686"/>
      <c r="DD207" s="686"/>
      <c r="DE207" s="686"/>
      <c r="DF207" s="686"/>
      <c r="DG207" s="686"/>
      <c r="DH207" s="686"/>
      <c r="DI207" s="686"/>
      <c r="DJ207" s="686"/>
      <c r="DK207" s="686"/>
      <c r="DL207" s="686"/>
      <c r="DM207" s="686"/>
      <c r="DN207" s="686"/>
      <c r="DO207" s="686"/>
      <c r="DP207" s="686"/>
      <c r="DQ207" s="686"/>
      <c r="DR207" s="686"/>
      <c r="DS207" s="686"/>
      <c r="DT207" s="686"/>
      <c r="DU207" s="686"/>
      <c r="DV207" s="686"/>
      <c r="DW207" s="686"/>
      <c r="DX207" s="686"/>
      <c r="DY207" s="780"/>
      <c r="DZ207" s="780"/>
      <c r="EA207" s="780"/>
      <c r="EB207" s="780"/>
      <c r="EC207" s="780"/>
      <c r="ED207" s="780"/>
      <c r="EE207" s="780"/>
      <c r="EF207" s="780"/>
    </row>
    <row r="208" spans="1:136" x14ac:dyDescent="0.2">
      <c r="A208" s="2" t="s">
        <v>231</v>
      </c>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212"/>
      <c r="AB208" s="5"/>
      <c r="AC208" s="5"/>
      <c r="AD208" s="5"/>
      <c r="AE208" s="5"/>
      <c r="AF208" s="5"/>
      <c r="AG208" s="5"/>
      <c r="AH208" s="5"/>
      <c r="AI208" s="5"/>
      <c r="AJ208" s="5"/>
      <c r="AK208" s="5"/>
      <c r="AL208" s="5"/>
      <c r="AM208" s="5"/>
      <c r="AN208" s="5"/>
      <c r="AO208" s="5"/>
      <c r="AP208" s="5"/>
      <c r="AQ208" s="5"/>
      <c r="AR208" s="5"/>
      <c r="AS208" s="5"/>
      <c r="AT208" s="5"/>
      <c r="AU208" s="5"/>
      <c r="AV208" s="45"/>
      <c r="AW208" s="5"/>
      <c r="AX208" s="5"/>
      <c r="AY208" s="5"/>
      <c r="AZ208" s="5"/>
      <c r="BA208" s="5"/>
      <c r="BB208" s="5"/>
      <c r="BC208" s="5"/>
      <c r="BD208" s="5"/>
      <c r="BE208" s="5"/>
      <c r="BF208" s="5"/>
      <c r="BG208" s="5"/>
      <c r="BH208" s="5"/>
      <c r="BI208" s="5"/>
      <c r="BJ208" s="5"/>
      <c r="BK208" s="5"/>
      <c r="BL208" s="5"/>
      <c r="BM208" s="5"/>
      <c r="BN208" s="5"/>
      <c r="BO208" s="5"/>
      <c r="BP208" s="212"/>
      <c r="BQ208" s="5"/>
      <c r="BR208" s="5"/>
      <c r="BS208" s="5"/>
      <c r="BT208" s="5"/>
      <c r="BU208" s="5"/>
      <c r="BV208" s="1083" t="s">
        <v>669</v>
      </c>
      <c r="BW208" s="1395" t="s">
        <v>669</v>
      </c>
      <c r="BX208" s="1083" t="s">
        <v>669</v>
      </c>
      <c r="BY208" s="1083" t="s">
        <v>669</v>
      </c>
      <c r="BZ208" s="5"/>
      <c r="CA208" s="5"/>
      <c r="CB208" s="5"/>
      <c r="CC208" s="5"/>
      <c r="CD208" s="5"/>
      <c r="CE208" s="5"/>
      <c r="CF208" s="5"/>
      <c r="CG208" s="5"/>
      <c r="CH208" s="5"/>
      <c r="CI208" s="5"/>
      <c r="CJ208" s="5"/>
      <c r="CK208" s="5"/>
      <c r="CL208" s="5"/>
      <c r="CM208" s="5"/>
      <c r="CN208" s="5"/>
      <c r="CO208" s="212"/>
      <c r="CP208" s="5"/>
      <c r="CQ208" s="5"/>
      <c r="CR208" s="5"/>
      <c r="CS208" s="5"/>
      <c r="CT208" s="212"/>
      <c r="CU208" s="5"/>
      <c r="CV208" s="5"/>
      <c r="CW208" s="5"/>
      <c r="CX208" s="5"/>
      <c r="CY208" s="212"/>
      <c r="CZ208" s="5"/>
      <c r="DA208" s="5"/>
      <c r="DB208" s="5"/>
      <c r="DC208" s="5"/>
      <c r="DD208" s="212"/>
      <c r="DE208" s="5"/>
      <c r="DF208" s="5"/>
      <c r="DG208" s="5"/>
      <c r="DH208" s="5"/>
      <c r="DI208" s="212"/>
      <c r="DJ208" s="5"/>
      <c r="DK208" s="5"/>
      <c r="DL208" s="5"/>
      <c r="DM208" s="5"/>
      <c r="DN208" s="212"/>
      <c r="DO208" s="5"/>
      <c r="DP208" s="5"/>
      <c r="DQ208" s="5"/>
      <c r="DR208" s="5"/>
      <c r="DS208" s="213"/>
      <c r="DT208" s="5"/>
      <c r="DU208" s="5"/>
      <c r="DV208" s="5"/>
      <c r="DW208" s="5"/>
      <c r="DX208" s="213"/>
      <c r="DY208" s="21"/>
      <c r="DZ208" s="21"/>
      <c r="EA208" s="21"/>
      <c r="EB208" s="21"/>
      <c r="EC208" s="21"/>
      <c r="ED208" s="21"/>
      <c r="EE208" s="21"/>
      <c r="EF208" s="21"/>
    </row>
    <row r="209" spans="1:136" x14ac:dyDescent="0.2">
      <c r="A209" s="203" t="s">
        <v>371</v>
      </c>
      <c r="B209" s="16"/>
      <c r="C209" s="16"/>
      <c r="D209" s="16"/>
      <c r="E209" s="16"/>
      <c r="F209" s="16"/>
      <c r="G209" s="16"/>
      <c r="H209" s="204"/>
      <c r="I209" s="204"/>
      <c r="J209" s="204"/>
      <c r="K209" s="204"/>
      <c r="L209" s="16"/>
      <c r="M209" s="204"/>
      <c r="N209" s="204"/>
      <c r="O209" s="204"/>
      <c r="P209" s="204"/>
      <c r="Q209" s="204"/>
      <c r="R209" s="204">
        <f>IS!R20+IS!P20+IS!O20+IS!N20</f>
        <v>0</v>
      </c>
      <c r="S209" s="204">
        <f>IS!S20+IS!R20+IS!P20+IS!O20</f>
        <v>0</v>
      </c>
      <c r="T209" s="204">
        <f>IS!T20+IS!S20+IS!R20+IS!P20</f>
        <v>0</v>
      </c>
      <c r="U209" s="204">
        <f>IS!U20+IS!T20+IS!S20+IS!R20</f>
        <v>0</v>
      </c>
      <c r="V209" s="204">
        <f>U209</f>
        <v>0</v>
      </c>
      <c r="W209" s="204">
        <f>IS!W20+IS!U20+IS!T20+IS!S20</f>
        <v>0</v>
      </c>
      <c r="X209" s="204">
        <f>IS!X20+IS!W20+IS!U20+IS!T20</f>
        <v>0</v>
      </c>
      <c r="Y209" s="204">
        <f>IS!Y20+IS!X20+IS!W20+IS!U20</f>
        <v>0</v>
      </c>
      <c r="Z209" s="204">
        <f>IS!Z20+IS!Y20+IS!X20+IS!W20</f>
        <v>0</v>
      </c>
      <c r="AA209" s="204">
        <f>Z209</f>
        <v>0</v>
      </c>
      <c r="AB209" s="204">
        <f>IS!AB20+IS!Z20+IS!Y20+IS!X20</f>
        <v>0</v>
      </c>
      <c r="AC209" s="204">
        <f>IS!AC20+IS!AB20+IS!Z20+IS!Y20</f>
        <v>0</v>
      </c>
      <c r="AD209" s="204">
        <f>IS!AD20+IS!AC20+IS!AB20+IS!Z20</f>
        <v>0</v>
      </c>
      <c r="AE209" s="204">
        <f>IS!AE20+IS!AD20+IS!AC20+IS!AB20</f>
        <v>0</v>
      </c>
      <c r="AF209" s="204">
        <f>AE209</f>
        <v>0</v>
      </c>
      <c r="AG209" s="204">
        <f>IS!AG20+IS!AE20+IS!AD20+IS!AC20</f>
        <v>0</v>
      </c>
      <c r="AH209" s="204">
        <f>IS!AH20+IS!AG20+IS!AE20+IS!AD20</f>
        <v>0</v>
      </c>
      <c r="AI209" s="204">
        <f>IS!AI20+IS!AH20+IS!AG20+IS!AE20</f>
        <v>0</v>
      </c>
      <c r="AJ209" s="204">
        <f>IS!AJ20+IS!AI20+IS!AH20+IS!AG20</f>
        <v>0</v>
      </c>
      <c r="AK209" s="204">
        <f>AJ209</f>
        <v>0</v>
      </c>
      <c r="AL209" s="204">
        <f>IS!AL20+IS!AJ20+IS!AI20+IS!AH20</f>
        <v>0</v>
      </c>
      <c r="AM209" s="204">
        <f>IS!AM20+IS!AL20+IS!AJ20+IS!AI20</f>
        <v>0</v>
      </c>
      <c r="AN209" s="204">
        <f>IS!AN20+IS!AM20+IS!AL20+IS!AJ20</f>
        <v>0</v>
      </c>
      <c r="AO209" s="204">
        <f>IS!AO20+IS!AN20+IS!AM20+IS!AL20</f>
        <v>0</v>
      </c>
      <c r="AP209" s="204">
        <f>AO209</f>
        <v>0</v>
      </c>
      <c r="AQ209" s="204">
        <f>IS!AQ20+IS!AO20+IS!AN20+IS!AM20</f>
        <v>0</v>
      </c>
      <c r="AR209" s="204">
        <f>IS!AR20+IS!AQ20+IS!AO20+IS!AN20</f>
        <v>0</v>
      </c>
      <c r="AS209" s="204">
        <f>IS!AW20+IS!AR20+IS!AQ20+IS!AO20</f>
        <v>596.9</v>
      </c>
      <c r="AT209" s="204">
        <f>IS!AX20+IS!AW20+IS!AR20+IS!AQ20</f>
        <v>1219.9000000000001</v>
      </c>
      <c r="AU209" s="204">
        <f>AT209</f>
        <v>1219.9000000000001</v>
      </c>
      <c r="AV209" s="45"/>
      <c r="AW209" s="204"/>
      <c r="AX209" s="204">
        <f>IS!AY20+IS!AX20+IS!AW20+IS!AR20</f>
        <v>1819.9</v>
      </c>
      <c r="AY209" s="204">
        <f>IS!AZ20+IS!AY20+IS!AX20+IS!AS20</f>
        <v>1807.4</v>
      </c>
      <c r="AZ209" s="204"/>
      <c r="BA209" s="204"/>
      <c r="BB209" s="204">
        <f>IS!BB20+IS!AX20+IS!AW20+IS!AR20</f>
        <v>1771.9</v>
      </c>
      <c r="BC209" s="204">
        <f>IS!BC20+IS!BB20+IS!AX20+IS!AW20</f>
        <v>2367.3000000000002</v>
      </c>
      <c r="BD209" s="204">
        <f>IS!BD20+IS!BC20+IS!BB20+IS!AX20</f>
        <v>2378.1</v>
      </c>
      <c r="BE209" s="204">
        <f>IS!BE20+IS!BD20+IS!BC20+IS!BB20</f>
        <v>2335.6999999999998</v>
      </c>
      <c r="BF209" s="204">
        <f>BE209</f>
        <v>2335.6999999999998</v>
      </c>
      <c r="BG209" s="204">
        <f>IS!BG20+IS!BE20+IS!BD20+IS!BC20</f>
        <v>2353.6</v>
      </c>
      <c r="BH209" s="204">
        <f>IS!BH20+IS!BG20+IS!BE20+IS!BD20</f>
        <v>2299</v>
      </c>
      <c r="BI209" s="204">
        <f>IS!BI20+IS!BH20+IS!BG20+IS!BE20</f>
        <v>2147</v>
      </c>
      <c r="BJ209" s="204">
        <f>IS!BJ20+IS!BI20+IS!BH20+IS!BG20</f>
        <v>1970.9</v>
      </c>
      <c r="BK209" s="204">
        <f>BJ209</f>
        <v>1970.9</v>
      </c>
      <c r="BL209" s="204">
        <f>IS!BL20+IS!BJ20+IS!BI20+IS!BH20</f>
        <v>1728.7</v>
      </c>
      <c r="BM209" s="204">
        <f>IS!BM20+IS!BL20+IS!BJ20+IS!BI20</f>
        <v>1466.2</v>
      </c>
      <c r="BN209" s="204">
        <f>IS!BN20+IS!BM20+IS!BL20+IS!BJ20</f>
        <v>1285.6000000000001</v>
      </c>
      <c r="BO209" s="204">
        <f>IS!BO20+IS!BN20+IS!BM20+IS!BL20</f>
        <v>1146.3</v>
      </c>
      <c r="BP209" s="204">
        <f>BO209</f>
        <v>1146.3</v>
      </c>
      <c r="BQ209" s="204">
        <f>IS!BQ20+IS!BO20+IS!BN20+IS!BM20</f>
        <v>1059.5</v>
      </c>
      <c r="BR209" s="204">
        <f>IS!BR20+IS!BQ20+IS!BO20+IS!BN20</f>
        <v>1042.4000000000001</v>
      </c>
      <c r="BS209" s="204">
        <f>IS!BS20+IS!BR20+IS!BQ20+IS!BO20</f>
        <v>1046.1999999999998</v>
      </c>
      <c r="BT209" s="205">
        <f>IS!BT20+IS!BS20+IS!BR20+IS!BQ20</f>
        <v>1197.3000000000002</v>
      </c>
      <c r="BU209" s="204">
        <f>BT209</f>
        <v>1197.3000000000002</v>
      </c>
      <c r="BV209" s="204">
        <f>IS!CA20+IS!BY20+IS!BX20+IS!BW20</f>
        <v>4193.3999999999996</v>
      </c>
      <c r="BW209" s="1396">
        <f>IS!CB20+IS!CA20+IS!BY20+IS!BX20</f>
        <v>4176.8999999999996</v>
      </c>
      <c r="BX209" s="204">
        <f>IS!CC20+IS!CB20+IS!CA20+IS!BY20</f>
        <v>4085.7999999999997</v>
      </c>
      <c r="BY209" s="204">
        <f>IS!CD20+IS!CC20+IS!CB20+IS!CA20</f>
        <v>4052.2</v>
      </c>
      <c r="BZ209" s="204">
        <f>BY209</f>
        <v>4052.2</v>
      </c>
      <c r="CA209" s="204">
        <f>IS!CF20+IS!CD20+IS!CC20+IS!CB20</f>
        <v>4037.3999999999996</v>
      </c>
      <c r="CB209" s="204">
        <f>IS!CG20+IS!CF20+IS!CD20+IS!CC20</f>
        <v>4035.3999999999996</v>
      </c>
      <c r="CC209" s="204">
        <f>IS!CH20+IS!CG20+IS!CF20+IS!CD20</f>
        <v>4091.3999999999996</v>
      </c>
      <c r="CD209" s="204">
        <f>IS!CI20+IS!CH20+IS!CG20+IS!CF20</f>
        <v>4145.78</v>
      </c>
      <c r="CE209" s="204">
        <f>CD209</f>
        <v>4145.78</v>
      </c>
      <c r="CF209" s="204">
        <f>IS!CK20+IS!CI20+IS!CH20+IS!CG20</f>
        <v>4227.88</v>
      </c>
      <c r="CG209" s="204">
        <f>IS!CL20+IS!CK20+IS!CI20+IS!CH20</f>
        <v>4320.38</v>
      </c>
      <c r="CH209" s="204">
        <f>IS!CM20+IS!CL20+IS!CK20+IS!CI20</f>
        <v>4453.2800000000007</v>
      </c>
      <c r="CI209" s="204">
        <f>IS!CN20+IS!CM20+IS!CL20+IS!CK20</f>
        <v>4576.1000000000004</v>
      </c>
      <c r="CJ209" s="204">
        <f>CI209</f>
        <v>4576.1000000000004</v>
      </c>
      <c r="CK209" s="204">
        <f>IS!CP20+IS!CN20+IS!CM20+IS!CL20</f>
        <v>4829.3</v>
      </c>
      <c r="CL209" s="205">
        <f>IS!CQ20+IS!CP20+IS!CN20+IS!CM20</f>
        <v>5066.3482480838684</v>
      </c>
      <c r="CM209" s="205">
        <f>IS!CR20+IS!CQ20+IS!CP20+IS!CN20</f>
        <v>5287.7394241615712</v>
      </c>
      <c r="CN209" s="205">
        <f>IS!CS20+IS!CR20+IS!CQ20+IS!CP20</f>
        <v>5513.745035851699</v>
      </c>
      <c r="CO209" s="204">
        <f>CN209</f>
        <v>5513.745035851699</v>
      </c>
      <c r="CP209" s="205">
        <f>IS!CU20+IS!CS20+IS!CR20+IS!CQ20</f>
        <v>5589.4020053629765</v>
      </c>
      <c r="CQ209" s="205">
        <f>IS!CV20+IS!CU20+IS!CS20+IS!CR20</f>
        <v>5676.5825705504849</v>
      </c>
      <c r="CR209" s="205">
        <f>IS!CW20+IS!CV20+IS!CU20+IS!CS20</f>
        <v>5767.8807380083072</v>
      </c>
      <c r="CS209" s="205">
        <f>IS!CX20+IS!CW20+IS!CV20+IS!CU20</f>
        <v>5866.2161208955768</v>
      </c>
      <c r="CT209" s="204">
        <f>CS209</f>
        <v>5866.2161208955768</v>
      </c>
      <c r="CU209" s="205">
        <f>IS!CZ20+IS!CX20+IS!CW20+IS!CV20</f>
        <v>5970.2236213807892</v>
      </c>
      <c r="CV209" s="205">
        <f>IS!DA20+IS!CZ20+IS!CX20+IS!CW20</f>
        <v>6066.8982323605651</v>
      </c>
      <c r="CW209" s="205">
        <f>IS!DB20+IS!DA20+IS!CZ20+IS!CX20</f>
        <v>6170.1836412433368</v>
      </c>
      <c r="CX209" s="205">
        <f>IS!DC20+IS!DB20+IS!DA20+IS!CZ20</f>
        <v>6278.7238028023548</v>
      </c>
      <c r="CY209" s="204">
        <f>CX209</f>
        <v>6278.7238028023548</v>
      </c>
      <c r="CZ209" s="205">
        <f>IS!DE20+IS!DC20+IS!DB20+IS!DA20</f>
        <v>6390.7302590260015</v>
      </c>
      <c r="DA209" s="205">
        <f>IS!DF20+IS!DE20+IS!DC20+IS!DB20</f>
        <v>6488.2878444573507</v>
      </c>
      <c r="DB209" s="205">
        <f>IS!DG20+IS!DF20+IS!DE20+IS!DC20</f>
        <v>6619.2670082710165</v>
      </c>
      <c r="DC209" s="205">
        <f>IS!DH20+IS!DG20+IS!DF20+IS!DE20</f>
        <v>6753.8781559724466</v>
      </c>
      <c r="DD209" s="204">
        <f>DC209</f>
        <v>6753.8781559724466</v>
      </c>
      <c r="DE209" s="205">
        <f>IS!DJ20+IS!DH20+IS!DG20+IS!DF20</f>
        <v>6854.4172985176456</v>
      </c>
      <c r="DF209" s="205">
        <f>IS!DK20+IS!DJ20+IS!DH20+IS!DG20</f>
        <v>6963.0712816454716</v>
      </c>
      <c r="DG209" s="205">
        <f>IS!DL20+IS!DK20+IS!DJ20+IS!DH20</f>
        <v>7081.0813671028136</v>
      </c>
      <c r="DH209" s="205">
        <f>IS!DM20+IS!DL20+IS!DK20+IS!DJ20</f>
        <v>7202.9043152701779</v>
      </c>
      <c r="DI209" s="204">
        <f>DH209</f>
        <v>7202.9043152701779</v>
      </c>
      <c r="DJ209" s="205">
        <f>IS!DO20+IS!DM20+IS!DL20+IS!DK20</f>
        <v>7314.1226700189309</v>
      </c>
      <c r="DK209" s="205">
        <f>IS!DP20+IS!DO20+IS!DM20+IS!DL20</f>
        <v>7431.6393387486978</v>
      </c>
      <c r="DL209" s="205">
        <f>IS!DQ20+IS!DP20+IS!DO20+IS!DM20</f>
        <v>7557.0138403393048</v>
      </c>
      <c r="DM209" s="205">
        <f>IS!DR20+IS!DQ20+IS!DP20+IS!DO20</f>
        <v>7685.5026814390139</v>
      </c>
      <c r="DN209" s="204">
        <f>DM209</f>
        <v>7685.5026814390139</v>
      </c>
      <c r="DO209" s="205">
        <f>IS!DT20+IS!DR20+IS!DQ20+IS!DP20</f>
        <v>7823.1378532771196</v>
      </c>
      <c r="DP209" s="205">
        <f>IS!DU20+IS!DT20+IS!DR20+IS!DQ20</f>
        <v>7946.1702123415234</v>
      </c>
      <c r="DQ209" s="205">
        <f>IS!DV20+IS!DU20+IS!DT20+IS!DR20</f>
        <v>8077.3366005807366</v>
      </c>
      <c r="DR209" s="205">
        <f>IS!DW20+IS!DV20+IS!DU20+IS!DT20</f>
        <v>8211.8196752399926</v>
      </c>
      <c r="DS209" s="204">
        <f>DR209</f>
        <v>8211.8196752399926</v>
      </c>
      <c r="DT209" s="205">
        <f>IS!DY20+IS!DW20+IS!DV20+IS!DU20</f>
        <v>8313.2258850023482</v>
      </c>
      <c r="DU209" s="205">
        <f>IS!DZ20+IS!DY20+IS!DW20+IS!DV20</f>
        <v>8441.8719652173804</v>
      </c>
      <c r="DV209" s="205">
        <f>IS!EA20+IS!DZ20+IS!DY20+IS!DW20</f>
        <v>8579.0822957865003</v>
      </c>
      <c r="DW209" s="205">
        <f>IS!EB20+IS!EA20+IS!DZ20+IS!DY20</f>
        <v>8719.8176232313835</v>
      </c>
      <c r="DX209" s="204">
        <f>DW209</f>
        <v>8719.8176232313835</v>
      </c>
      <c r="DY209" s="204"/>
      <c r="DZ209" s="204"/>
      <c r="EA209" s="16"/>
      <c r="EB209" s="16"/>
      <c r="EC209" s="16"/>
      <c r="ED209" s="16"/>
      <c r="EE209" s="16"/>
      <c r="EF209" s="16"/>
    </row>
    <row r="210" spans="1:136" x14ac:dyDescent="0.2">
      <c r="A210" s="203" t="s">
        <v>372</v>
      </c>
      <c r="B210" s="16"/>
      <c r="C210" s="16"/>
      <c r="D210" s="16"/>
      <c r="E210" s="16"/>
      <c r="F210" s="16"/>
      <c r="G210" s="16"/>
      <c r="H210" s="204"/>
      <c r="I210" s="204"/>
      <c r="J210" s="204"/>
      <c r="K210" s="204"/>
      <c r="L210" s="16"/>
      <c r="M210" s="204"/>
      <c r="N210" s="204"/>
      <c r="O210" s="204"/>
      <c r="P210" s="204"/>
      <c r="Q210" s="204"/>
      <c r="R210" s="204">
        <f>IS!R28+IS!P28+IS!O28+IS!N28</f>
        <v>298</v>
      </c>
      <c r="S210" s="204">
        <f>IS!S28+IS!R28+IS!P28+IS!O28</f>
        <v>590</v>
      </c>
      <c r="T210" s="204">
        <f>IS!T28+IS!S28+IS!R28+IS!P28</f>
        <v>886</v>
      </c>
      <c r="U210" s="204">
        <f>SUM(IS!R28:U28)</f>
        <v>1192</v>
      </c>
      <c r="V210" s="204">
        <f>U210</f>
        <v>1192</v>
      </c>
      <c r="W210" s="204">
        <f>IS!W28+IS!U28+IS!T28+IS!S28</f>
        <v>1213</v>
      </c>
      <c r="X210" s="204">
        <f>IS!X28+IS!W28+IS!U28+IS!T28</f>
        <v>1242</v>
      </c>
      <c r="Y210" s="204">
        <f>IS!Y28+IS!X28+IS!W28+IS!U28</f>
        <v>1267</v>
      </c>
      <c r="Z210" s="204">
        <f>SUM(IS!W28:Z28)</f>
        <v>1296</v>
      </c>
      <c r="AA210" s="204">
        <f>Z210</f>
        <v>1296</v>
      </c>
      <c r="AB210" s="204">
        <f>IS!AB28+IS!Z28+IS!Y28+IS!X28</f>
        <v>1320</v>
      </c>
      <c r="AC210" s="204">
        <f>IS!AC28+IS!AB28+IS!Z28+IS!Y28</f>
        <v>1350</v>
      </c>
      <c r="AD210" s="204">
        <f>IS!AD28+IS!AC28+IS!AB28+IS!Z28</f>
        <v>1375</v>
      </c>
      <c r="AE210" s="204">
        <f>SUM(IS!AB28:AE28)</f>
        <v>1409</v>
      </c>
      <c r="AF210" s="204">
        <f>AE210</f>
        <v>1409</v>
      </c>
      <c r="AG210" s="204">
        <f>IS!AG28+IS!AE28+IS!AD28+IS!AC28</f>
        <v>1439</v>
      </c>
      <c r="AH210" s="204">
        <f>IS!AH28+IS!AG28+IS!AE28+IS!AD28</f>
        <v>1466</v>
      </c>
      <c r="AI210" s="204">
        <f>IS!AI28+IS!AH28+IS!AG28+IS!AE28</f>
        <v>1498</v>
      </c>
      <c r="AJ210" s="204">
        <f>SUM(IS!AG28:AJ28)</f>
        <v>1538</v>
      </c>
      <c r="AK210" s="204">
        <f>AJ210</f>
        <v>1538</v>
      </c>
      <c r="AL210" s="204">
        <f>IS!AL28+IS!AJ28+IS!AI28+IS!AH28</f>
        <v>1600</v>
      </c>
      <c r="AM210" s="204">
        <f>IS!AM28+IS!AL28+IS!AJ28+IS!AI28</f>
        <v>1630</v>
      </c>
      <c r="AN210" s="204">
        <f>IS!AN28+IS!AM28+IS!AL28+IS!AJ28</f>
        <v>1649</v>
      </c>
      <c r="AO210" s="204">
        <f>SUM(IS!AL28:AO28)</f>
        <v>1643.7</v>
      </c>
      <c r="AP210" s="204">
        <f>AO210</f>
        <v>1643.7</v>
      </c>
      <c r="AQ210" s="204">
        <f>IS!AQ28+IS!AO28+IS!AN28+IS!AM28</f>
        <v>1617</v>
      </c>
      <c r="AR210" s="204">
        <f>IS!AR28+IS!AQ28+IS!AO28+IS!AN28</f>
        <v>1620.3</v>
      </c>
      <c r="AS210" s="204">
        <f>IS!AW28+IS!AR28+IS!AQ28+IS!AO28</f>
        <v>1612.8</v>
      </c>
      <c r="AT210" s="204">
        <f>SUM(IS!AQ28:AZ28)</f>
        <v>4762.0999999999995</v>
      </c>
      <c r="AU210" s="204">
        <f>AT210</f>
        <v>4762.0999999999995</v>
      </c>
      <c r="AV210" s="45"/>
      <c r="AW210" s="204"/>
      <c r="AX210" s="204">
        <f>SUM(IS!AR28:AZ28)</f>
        <v>4353.8</v>
      </c>
      <c r="AY210" s="204">
        <f>SUM(IS!AS28:BA28)</f>
        <v>5475</v>
      </c>
      <c r="AZ210" s="204"/>
      <c r="BA210" s="204"/>
      <c r="BB210" s="204">
        <f>IS!BB28+IS!AX28+IS!AW28+IS!AR28</f>
        <v>1563.2</v>
      </c>
      <c r="BC210" s="204">
        <f>IS!BC28+IS!BB28+IS!AX28+IS!AW28</f>
        <v>1521.1000000000001</v>
      </c>
      <c r="BD210" s="204">
        <f>IS!BD28+IS!BC28+IS!BB28+IS!AX28</f>
        <v>1501.8000000000002</v>
      </c>
      <c r="BE210" s="204">
        <f>SUM(IS!BB28:BE28)</f>
        <v>1447.4</v>
      </c>
      <c r="BF210" s="204">
        <f>BE210</f>
        <v>1447.4</v>
      </c>
      <c r="BG210" s="204">
        <f>IS!BG28+IS!BE28+IS!BD28+IS!BC28</f>
        <v>1444.7</v>
      </c>
      <c r="BH210" s="204">
        <f>IS!BH28+IS!BG28+IS!BE28+IS!BD28</f>
        <v>1381.2</v>
      </c>
      <c r="BI210" s="204">
        <f>IS!BI28+IS!BH28+IS!BG28+IS!BE28</f>
        <v>1227.3</v>
      </c>
      <c r="BJ210" s="204">
        <f>SUM(IS!BG28:BJ28)</f>
        <v>1037.2</v>
      </c>
      <c r="BK210" s="204">
        <f>BJ210</f>
        <v>1037.2</v>
      </c>
      <c r="BL210" s="204">
        <f>IS!BL28+IS!BJ28+IS!BI28+IS!BH28</f>
        <v>791.3</v>
      </c>
      <c r="BM210" s="204">
        <f>IS!BM28+IS!BL28+IS!BJ28+IS!BI28</f>
        <v>532.20000000000005</v>
      </c>
      <c r="BN210" s="204">
        <f>IS!BN28+IS!BM28+IS!BL28+IS!BJ28</f>
        <v>338.79999999999995</v>
      </c>
      <c r="BO210" s="204">
        <f>SUM(IS!BL28:BO28)</f>
        <v>195.3</v>
      </c>
      <c r="BP210" s="204">
        <f>BO210</f>
        <v>195.3</v>
      </c>
      <c r="BQ210" s="204">
        <f>IS!BQ30+IS!BO30+IS!BN30+IS!BM30</f>
        <v>102.7</v>
      </c>
      <c r="BR210" s="204">
        <f>IS!BR30+IS!BQ30+IS!BO30+IS!BN30</f>
        <v>71.800000000000011</v>
      </c>
      <c r="BS210" s="204">
        <f>IS!BS30+IS!BR30+IS!BQ30+IS!BO30</f>
        <v>65.400000000000006</v>
      </c>
      <c r="BT210" s="205">
        <f>SUM(IS!BQ30:BT30)</f>
        <v>152.5</v>
      </c>
      <c r="BU210" s="204">
        <f>BT210</f>
        <v>152.5</v>
      </c>
      <c r="BV210" s="204">
        <f>IS!CA30+IS!BY30+IS!BX30+IS!BWV30</f>
        <v>1433</v>
      </c>
      <c r="BW210" s="1396">
        <f>IS!CB30+IS!CA30+IS!BY30+IS!BX30</f>
        <v>1907.8</v>
      </c>
      <c r="BX210" s="204">
        <f>IS!CC30+IS!CB30+IS!CA30+IS!BY30</f>
        <v>1840.6000000000001</v>
      </c>
      <c r="BY210" s="204">
        <f>IS!CD30+IS!CC30+IS!CB30+IS!CA30</f>
        <v>1809.5</v>
      </c>
      <c r="BZ210" s="204">
        <f>BY210</f>
        <v>1809.5</v>
      </c>
      <c r="CA210" s="204">
        <f>IS!CF30+IS!CD30+IS!CC30+IS!BXA30</f>
        <v>1289.7</v>
      </c>
      <c r="CB210" s="204">
        <f>IS!CG30+IS!CF30+IS!CD30+IS!CC30</f>
        <v>1725.5</v>
      </c>
      <c r="CC210" s="204">
        <f>IS!CH30+IS!CG30+IS!CF30+IS!CD30</f>
        <v>1733.9</v>
      </c>
      <c r="CD210" s="204">
        <f>SUM(IS!CF28:CI28)</f>
        <v>1720.6</v>
      </c>
      <c r="CE210" s="204">
        <f>CD210</f>
        <v>1720.6</v>
      </c>
      <c r="CF210" s="204">
        <f>IS!CK28+IS!CI28+IS!CH28+IS!CG28</f>
        <v>1755.8</v>
      </c>
      <c r="CG210" s="204">
        <f>IS!CL28+IS!CK28+IS!CI28+IS!CH28</f>
        <v>1780.1999999999998</v>
      </c>
      <c r="CH210" s="204">
        <f>IS!CM28+IS!CL28+IS!CK28+IS!CI28</f>
        <v>1818.5</v>
      </c>
      <c r="CI210" s="204">
        <f>SUM(IS!CK28:CN28)</f>
        <v>1850.2999999999997</v>
      </c>
      <c r="CJ210" s="204">
        <f>CI210</f>
        <v>1850.2999999999997</v>
      </c>
      <c r="CK210" s="204">
        <f>IS!CP28+IS!CN28+IS!CM28+IS!CL28</f>
        <v>1856</v>
      </c>
      <c r="CL210" s="205">
        <f>IS!CQ28+IS!CP28+IS!CN28+IS!CM28</f>
        <v>1884.31052835982</v>
      </c>
      <c r="CM210" s="205">
        <f>IS!CR28+IS!CQ28+IS!CP28+IS!CN28</f>
        <v>1890.4586019457538</v>
      </c>
      <c r="CN210" s="205">
        <f>SUM(IS!CP28:CS28)</f>
        <v>1905.2449601211936</v>
      </c>
      <c r="CO210" s="204">
        <f>CN210</f>
        <v>1905.2449601211936</v>
      </c>
      <c r="CP210" s="205">
        <f>IS!CU28+IS!CS28+IS!CR28+IS!CQ28</f>
        <v>1921.3716146329916</v>
      </c>
      <c r="CQ210" s="205">
        <f>IS!CV28+IS!CU28+IS!CS28+IS!CR28</f>
        <v>1940.4900453263676</v>
      </c>
      <c r="CR210" s="205">
        <f>IS!CW28+IS!CV28+IS!CU28+IS!CS28</f>
        <v>1961.6240919972495</v>
      </c>
      <c r="CS210" s="205">
        <f>SUM(IS!CU28:CX28)</f>
        <v>1984.2329432666033</v>
      </c>
      <c r="CT210" s="204">
        <f>CS210</f>
        <v>1984.2329432666033</v>
      </c>
      <c r="CU210" s="205">
        <f>IS!CZ28+IS!CX28+IS!CW28+IS!CV28</f>
        <v>2013.3404356660581</v>
      </c>
      <c r="CV210" s="205">
        <f>IS!DA28+IS!CZ28+IS!CX28+IS!CW28</f>
        <v>2041.8634316985895</v>
      </c>
      <c r="CW210" s="205">
        <f>IS!DB28+IS!DA28+IS!CZ28+IS!CX28</f>
        <v>2072.478770508897</v>
      </c>
      <c r="CX210" s="205">
        <f>SUM(IS!CZ28:DC28)</f>
        <v>2104.4408033683567</v>
      </c>
      <c r="CY210" s="204">
        <f>CX210</f>
        <v>2104.4408033683567</v>
      </c>
      <c r="CZ210" s="205">
        <f>IS!DE28+IS!DC28+IS!DB28+IS!DA28</f>
        <v>2152.4218582360586</v>
      </c>
      <c r="DA210" s="205">
        <f>IS!DF28+IS!DE28+IS!DC28+IS!DB28</f>
        <v>2180.5157711633933</v>
      </c>
      <c r="DB210" s="205">
        <f>IS!DG28+IS!DF28+IS!DE28+IS!DC28</f>
        <v>2231.1839962818253</v>
      </c>
      <c r="DC210" s="205">
        <f>SUM(IS!DE28:DH28)</f>
        <v>2281.782971215905</v>
      </c>
      <c r="DD210" s="204">
        <f>DC210</f>
        <v>2281.782971215905</v>
      </c>
      <c r="DE210" s="205">
        <f>IS!DJ28+IS!DH28+IS!DG28+IS!DF28</f>
        <v>2297.4284961467565</v>
      </c>
      <c r="DF210" s="205">
        <f>IS!DK28+IS!DJ28+IS!DH28+IS!DG28</f>
        <v>2315.4146392058319</v>
      </c>
      <c r="DG210" s="205">
        <f>IS!DL28+IS!DK28+IS!DJ28+IS!DH28</f>
        <v>2335.6144270403083</v>
      </c>
      <c r="DH210" s="205">
        <f>SUM(IS!DJ28:DM28)</f>
        <v>2355.8787538624701</v>
      </c>
      <c r="DI210" s="204">
        <f>DH210</f>
        <v>2355.8787538624701</v>
      </c>
      <c r="DJ210" s="205">
        <f>IS!DO28+IS!DM28+IS!DL28+IS!DK28</f>
        <v>2387.3641744614733</v>
      </c>
      <c r="DK210" s="205">
        <f>IS!DP28+IS!DO28+IS!DM28+IS!DL28</f>
        <v>2421.0465194088092</v>
      </c>
      <c r="DL210" s="205">
        <f>IS!DQ28+IS!DP28+IS!DO28+IS!DM28</f>
        <v>2457.1061079061783</v>
      </c>
      <c r="DM210" s="205">
        <f>SUM(IS!DO28:DR28)</f>
        <v>2492.4907126311746</v>
      </c>
      <c r="DN210" s="204">
        <f>DM210</f>
        <v>2492.4907126311746</v>
      </c>
      <c r="DO210" s="205">
        <f>IS!DT28+IS!DR28+IS!DQ28+IS!DP28</f>
        <v>2599.625052736757</v>
      </c>
      <c r="DP210" s="205">
        <f>IS!DU28+IS!DT28+IS!DR28+IS!DQ28</f>
        <v>2704.3800665333188</v>
      </c>
      <c r="DQ210" s="205">
        <f>IS!DV28+IS!DU28+IS!DT28+IS!DR28</f>
        <v>2816.3566375581318</v>
      </c>
      <c r="DR210" s="205">
        <f>SUM(IS!DT28:DW28)</f>
        <v>2924.4284708581986</v>
      </c>
      <c r="DS210" s="204">
        <f>DR210</f>
        <v>2924.4284708581986</v>
      </c>
      <c r="DT210" s="205">
        <f>IS!DY28+IS!DW28+IS!DV28+IS!DU28</f>
        <v>2955.3389202792946</v>
      </c>
      <c r="DU210" s="205">
        <f>IS!DZ28+IS!DY28+IS!DW28+IS!DV28</f>
        <v>2996.251534939729</v>
      </c>
      <c r="DV210" s="205">
        <f>IS!EA28+IS!DZ28+IS!DY28+IS!DW28</f>
        <v>3040.0344461787618</v>
      </c>
      <c r="DW210" s="205">
        <f>SUM(IS!DY28:EB28)</f>
        <v>3082.8660339823864</v>
      </c>
      <c r="DX210" s="204">
        <f>DW210</f>
        <v>3082.8660339823864</v>
      </c>
      <c r="DY210" s="204"/>
      <c r="DZ210" s="204"/>
      <c r="EA210" s="16"/>
      <c r="EB210" s="16"/>
      <c r="EC210" s="16"/>
      <c r="ED210" s="16"/>
      <c r="EE210" s="16"/>
      <c r="EF210" s="16"/>
    </row>
    <row r="211" spans="1:136" x14ac:dyDescent="0.2">
      <c r="A211" s="203" t="s">
        <v>373</v>
      </c>
      <c r="B211" s="16"/>
      <c r="C211" s="16"/>
      <c r="D211" s="16"/>
      <c r="E211" s="16"/>
      <c r="F211" s="16"/>
      <c r="G211" s="16"/>
      <c r="H211" s="204"/>
      <c r="I211" s="204"/>
      <c r="J211" s="204"/>
      <c r="K211" s="204"/>
      <c r="L211" s="16"/>
      <c r="M211" s="204"/>
      <c r="N211" s="204"/>
      <c r="O211" s="204"/>
      <c r="P211" s="204"/>
      <c r="Q211" s="204"/>
      <c r="R211" s="204">
        <f>IS!R34+IS!P34+IS!O34+IS!N34</f>
        <v>109</v>
      </c>
      <c r="S211" s="204">
        <f>IS!S34+IS!R34+IS!O34+IS!P34</f>
        <v>232</v>
      </c>
      <c r="T211" s="204">
        <f>IS!T34+IS!S34+IS!R34+IS!P34</f>
        <v>356</v>
      </c>
      <c r="U211" s="204">
        <f>SUM(IS!R34:U34)</f>
        <v>487</v>
      </c>
      <c r="V211" s="204">
        <f>U211</f>
        <v>487</v>
      </c>
      <c r="W211" s="204">
        <f>IS!W34+IS!U34+IS!T34+IS!S34</f>
        <v>479</v>
      </c>
      <c r="X211" s="204">
        <f>IS!X34+IS!W34+IS!T34+IS!U34</f>
        <v>462</v>
      </c>
      <c r="Y211" s="204">
        <f>IS!Y34+IS!X34+IS!W34+IS!U34</f>
        <v>484</v>
      </c>
      <c r="Z211" s="204">
        <f>SUM(IS!W34:Z34)</f>
        <v>488</v>
      </c>
      <c r="AA211" s="204">
        <f>Z211</f>
        <v>488</v>
      </c>
      <c r="AB211" s="204">
        <f>IS!AB34+IS!Z34+IS!Y34+IS!X34</f>
        <v>499</v>
      </c>
      <c r="AC211" s="204">
        <f>IS!AC34+IS!AB34+IS!Y34+IS!Z34</f>
        <v>512</v>
      </c>
      <c r="AD211" s="204">
        <f>IS!AD34+IS!AC34+IS!AB34+IS!Z34</f>
        <v>481</v>
      </c>
      <c r="AE211" s="204">
        <f>SUM(IS!AB34:AE34)</f>
        <v>474</v>
      </c>
      <c r="AF211" s="204">
        <f>AE211</f>
        <v>474</v>
      </c>
      <c r="AG211" s="204">
        <f>IS!AG34+IS!AE34+IS!AD34+IS!AC34</f>
        <v>481</v>
      </c>
      <c r="AH211" s="204">
        <f>IS!AH34+IS!AG34+IS!AD34+IS!AE34</f>
        <v>487</v>
      </c>
      <c r="AI211" s="204">
        <f>IS!AI34+IS!AH34+IS!AG34+IS!AE34</f>
        <v>498</v>
      </c>
      <c r="AJ211" s="204">
        <f>SUM(IS!AG34:AJ34)</f>
        <v>500</v>
      </c>
      <c r="AK211" s="204">
        <f>AJ211</f>
        <v>500</v>
      </c>
      <c r="AL211" s="204">
        <f>IS!AL34+IS!AJ34+IS!AI34+IS!AH34</f>
        <v>506</v>
      </c>
      <c r="AM211" s="204">
        <f>IS!AM34+IS!AL34+IS!AI34+IS!AJ34</f>
        <v>501</v>
      </c>
      <c r="AN211" s="204">
        <f>IS!AN34+IS!AM34+IS!AL34+IS!AJ34</f>
        <v>490</v>
      </c>
      <c r="AO211" s="204">
        <f>SUM(IS!AL34:AO34)</f>
        <v>490.7</v>
      </c>
      <c r="AP211" s="204">
        <f>AO211</f>
        <v>490.7</v>
      </c>
      <c r="AQ211" s="204">
        <f>IS!AQ34+IS!AO34+IS!AN34+IS!AM34</f>
        <v>498.2</v>
      </c>
      <c r="AR211" s="204">
        <f>IS!AR34+IS!AQ34+IS!AN34+IS!AO34</f>
        <v>505.2</v>
      </c>
      <c r="AS211" s="204">
        <f>IS!AW34+IS!AR34+IS!AQ34+IS!AO34</f>
        <v>506.7</v>
      </c>
      <c r="AT211" s="204">
        <f>SUM(IS!AQ34:AZ34)</f>
        <v>1632.8999999999999</v>
      </c>
      <c r="AU211" s="204">
        <f>AT211</f>
        <v>1632.8999999999999</v>
      </c>
      <c r="AV211" s="45"/>
      <c r="AW211" s="204"/>
      <c r="AX211" s="204">
        <f>SUM(IS!AR34:AZ34)</f>
        <v>1500.3999999999999</v>
      </c>
      <c r="AY211" s="204">
        <f>SUM(IS!AS34:BA34)</f>
        <v>2009.4999999999998</v>
      </c>
      <c r="AZ211" s="204"/>
      <c r="BA211" s="204"/>
      <c r="BB211" s="204">
        <f>IS!BB34+IS!AX34+IS!AW34+IS!AR34</f>
        <v>463.2</v>
      </c>
      <c r="BC211" s="204">
        <f>IS!BC34+IS!BB34+IS!AW34+IS!AX34</f>
        <v>435.50000000000006</v>
      </c>
      <c r="BD211" s="204">
        <f>IS!BD34+IS!BC34+IS!BB34+IS!AX34</f>
        <v>422.3</v>
      </c>
      <c r="BE211" s="204">
        <f>SUM(IS!BB34:BE34)</f>
        <v>417.4</v>
      </c>
      <c r="BF211" s="204">
        <f>BE211</f>
        <v>417.4</v>
      </c>
      <c r="BG211" s="204">
        <f>IS!BG34+IS!BE34+IS!BD34+IS!BC34</f>
        <v>412</v>
      </c>
      <c r="BH211" s="204">
        <f>IS!BH34+IS!BG34+IS!BD34+IS!BE34</f>
        <v>408.5</v>
      </c>
      <c r="BI211" s="204">
        <f>IS!BI34+IS!BH34+IS!BG34+IS!BE34</f>
        <v>382.80000000000007</v>
      </c>
      <c r="BJ211" s="204">
        <f>SUM(IS!BG34:BJ34)</f>
        <v>347.6</v>
      </c>
      <c r="BK211" s="204">
        <f>BJ211</f>
        <v>347.6</v>
      </c>
      <c r="BL211" s="204">
        <f>IS!BL34+IS!BJ34+IS!BI34+IS!BH34</f>
        <v>319.3</v>
      </c>
      <c r="BM211" s="204">
        <f>IS!BM34+IS!BL34+IS!BI34+IS!BJ34</f>
        <v>285</v>
      </c>
      <c r="BN211" s="204">
        <f>IS!BN34+IS!BM34+IS!BL34+IS!BJ34</f>
        <v>267</v>
      </c>
      <c r="BO211" s="204">
        <f>SUM(IS!BL34:BO34)</f>
        <v>242.39999999999998</v>
      </c>
      <c r="BP211" s="204">
        <f>BO211</f>
        <v>242.39999999999998</v>
      </c>
      <c r="BQ211" s="204">
        <f>IS!BQ34+IS!BO34+IS!BN34+IS!BM34</f>
        <v>223.9</v>
      </c>
      <c r="BR211" s="204">
        <f>IS!BR34+IS!BQ34+IS!BN34+IS!BO34</f>
        <v>209.4</v>
      </c>
      <c r="BS211" s="204">
        <f>IS!BS34+IS!BR34+IS!BQ34+IS!BO34</f>
        <v>228.1</v>
      </c>
      <c r="BT211" s="205">
        <f>SUM(IS!BQ34:BT34)</f>
        <v>345.4</v>
      </c>
      <c r="BU211" s="204">
        <f>BT211</f>
        <v>345.4</v>
      </c>
      <c r="BV211" s="204">
        <f>IS!CA34+IS!BY34+IS!BX34+IS!BW34</f>
        <v>411.9</v>
      </c>
      <c r="BW211" s="1396">
        <f>IS!CB34+IS!CA34+IS!BY34+IS!BX34</f>
        <v>421.9</v>
      </c>
      <c r="BX211" s="204">
        <f>IS!CC34+IS!CB34+IS!CA34+IS!BY34</f>
        <v>431.8</v>
      </c>
      <c r="BY211" s="204">
        <f>IS!CD34+IS!CC34+IS!CB34+IS!CA34</f>
        <v>437.70000000000005</v>
      </c>
      <c r="BZ211" s="204">
        <f>BY211</f>
        <v>437.70000000000005</v>
      </c>
      <c r="CA211" s="204">
        <f>IS!CF34+IS!CD34+IS!CC34+IS!CB34</f>
        <v>399.90000000000003</v>
      </c>
      <c r="CB211" s="204">
        <f>IS!CG34+IS!CF34+IS!CD34+IS!CC34</f>
        <v>371.00000000000006</v>
      </c>
      <c r="CC211" s="204">
        <f>IS!CH34+IS!CG34+IS!CF34+IS!CD34</f>
        <v>348.90000000000003</v>
      </c>
      <c r="CD211" s="204">
        <f>SUM(IS!CF34:CI34)</f>
        <v>318.60000000000002</v>
      </c>
      <c r="CE211" s="204">
        <f>CD211</f>
        <v>318.60000000000002</v>
      </c>
      <c r="CF211" s="204">
        <f>IS!CK34+IS!CI34+IS!CH34+IS!CG34</f>
        <v>367.3</v>
      </c>
      <c r="CG211" s="204">
        <f>IS!CL34+IS!CK34+IS!CH34+IS!CI34</f>
        <v>390.90000000000003</v>
      </c>
      <c r="CH211" s="204">
        <f>IS!CM34+IS!CL34+IS!CK34+IS!CI34</f>
        <v>408.80000000000007</v>
      </c>
      <c r="CI211" s="204">
        <f>SUM(IS!CK34:CN34)</f>
        <v>415.50000000000006</v>
      </c>
      <c r="CJ211" s="204">
        <f>CI211</f>
        <v>415.50000000000006</v>
      </c>
      <c r="CK211" s="204">
        <f>IS!CP34+IS!CN34+IS!CM34+IS!CL34</f>
        <v>594.90000000000009</v>
      </c>
      <c r="CL211" s="205">
        <f>IS!CQ34+IS!CP34+IS!CM34+IS!CN34</f>
        <v>787.67364448317016</v>
      </c>
      <c r="CM211" s="205">
        <f>IS!CR34+IS!CQ34+IS!CP34+IS!CN34</f>
        <v>980.36640616665318</v>
      </c>
      <c r="CN211" s="205">
        <f>SUM(IS!CP34:CS34)</f>
        <v>1177.0589307983166</v>
      </c>
      <c r="CO211" s="204">
        <f>CN211</f>
        <v>1177.0589307983166</v>
      </c>
      <c r="CP211" s="205">
        <f>IS!CU34+IS!CS34+IS!CR34+IS!CQ34</f>
        <v>1170.0081953154729</v>
      </c>
      <c r="CQ211" s="205">
        <f>IS!CV34+IS!CU34+IS!CR34+IS!CS34</f>
        <v>1174.2372268732715</v>
      </c>
      <c r="CR211" s="205">
        <f>IS!CW34+IS!CV34+IS!CU34+IS!CS34</f>
        <v>1178.0277035579591</v>
      </c>
      <c r="CS211" s="205">
        <f>SUM(IS!CU34:CX34)</f>
        <v>1182.0407592174047</v>
      </c>
      <c r="CT211" s="204">
        <f>CS211</f>
        <v>1182.0407592174047</v>
      </c>
      <c r="CU211" s="205">
        <f>IS!CZ34+IS!CX34+IS!CW34+IS!CV34</f>
        <v>1188.1142026346813</v>
      </c>
      <c r="CV211" s="205">
        <f>IS!DA34+IS!CZ34+IS!CW34+IS!CX34</f>
        <v>1189.9293248018325</v>
      </c>
      <c r="CW211" s="205">
        <f>IS!DB34+IS!DA34+IS!CZ34+IS!CX34</f>
        <v>1191.1354199908349</v>
      </c>
      <c r="CX211" s="205">
        <f>SUM(IS!CZ34:DC34)</f>
        <v>1191.8448315641135</v>
      </c>
      <c r="CY211" s="204">
        <f>CX211</f>
        <v>1191.8448315641135</v>
      </c>
      <c r="CZ211" s="205">
        <f>IS!DE34+IS!DC34+IS!DB34+IS!DA34</f>
        <v>1195.825773969103</v>
      </c>
      <c r="DA211" s="205">
        <f>IS!DF34+IS!DE34+IS!DB34+IS!DC34</f>
        <v>1198.0036868576713</v>
      </c>
      <c r="DB211" s="205">
        <f>IS!DG34+IS!DF34+IS!DE34+IS!DC34</f>
        <v>1201.7962148839101</v>
      </c>
      <c r="DC211" s="205">
        <f>SUM(IS!DE34:DH34)</f>
        <v>1205.0012442770405</v>
      </c>
      <c r="DD211" s="204">
        <f>DC211</f>
        <v>1205.0012442770405</v>
      </c>
      <c r="DE211" s="205">
        <f>IS!DJ34+IS!DH34+IS!DG34+IS!DF34</f>
        <v>1207.4964586974816</v>
      </c>
      <c r="DF211" s="205">
        <f>IS!DK34+IS!DJ34+IS!DG34+IS!DH34</f>
        <v>1208.8257973150378</v>
      </c>
      <c r="DG211" s="205">
        <f>IS!DL34+IS!DK34+IS!DJ34+IS!DH34</f>
        <v>1209.4835434671406</v>
      </c>
      <c r="DH211" s="205">
        <f>SUM(IS!DJ34:DM34)</f>
        <v>1209.4599343335344</v>
      </c>
      <c r="DI211" s="204">
        <f>DH211</f>
        <v>1209.4599343335344</v>
      </c>
      <c r="DJ211" s="205">
        <f>IS!DO34+IS!DM34+IS!DL34+IS!DK34</f>
        <v>1212.1092032131401</v>
      </c>
      <c r="DK211" s="205">
        <f>IS!DP34+IS!DO34+IS!DL34+IS!DM34</f>
        <v>1213.2847184348243</v>
      </c>
      <c r="DL211" s="205">
        <f>IS!DQ34+IS!DP34+IS!DO34+IS!DM34</f>
        <v>1213.5032624768692</v>
      </c>
      <c r="DM211" s="205">
        <f>SUM(IS!DO34:DR34)</f>
        <v>1212.894554970459</v>
      </c>
      <c r="DN211" s="204">
        <f>DM211</f>
        <v>1212.894554970459</v>
      </c>
      <c r="DO211" s="205">
        <f>IS!DT34+IS!DR34+IS!DQ34+IS!DP34</f>
        <v>1217.3071064221392</v>
      </c>
      <c r="DP211" s="205">
        <f>IS!DU34+IS!DT34+IS!DQ34+IS!DR34</f>
        <v>1216.7330247656071</v>
      </c>
      <c r="DQ211" s="205">
        <f>IS!DV34+IS!DU34+IS!DT34+IS!DR34</f>
        <v>1214.9716971723271</v>
      </c>
      <c r="DR211" s="205">
        <f>SUM(IS!DT34:DW34)</f>
        <v>1212.2749781361936</v>
      </c>
      <c r="DS211" s="204">
        <f>DR211</f>
        <v>1212.2749781361936</v>
      </c>
      <c r="DT211" s="205">
        <f>IS!DY34+IS!DW34+IS!DV34+IS!DU34</f>
        <v>1208.2764540720818</v>
      </c>
      <c r="DU211" s="205">
        <f>IS!DZ34+IS!DY34+IS!DV34+IS!DW34</f>
        <v>1205.7226941016984</v>
      </c>
      <c r="DV211" s="205">
        <f>IS!EA34+IS!DZ34+IS!DY34+IS!DW34</f>
        <v>1201.7825069962296</v>
      </c>
      <c r="DW211" s="205">
        <f>SUM(IS!DY34:EB34)</f>
        <v>1196.7865303080907</v>
      </c>
      <c r="DX211" s="204">
        <f>DW211</f>
        <v>1196.7865303080907</v>
      </c>
      <c r="DY211" s="204"/>
      <c r="DZ211" s="204"/>
      <c r="EA211" s="16"/>
      <c r="EB211" s="16"/>
      <c r="EC211" s="16"/>
      <c r="ED211" s="16"/>
      <c r="EE211" s="16"/>
      <c r="EF211" s="16"/>
    </row>
    <row r="212" spans="1:136" x14ac:dyDescent="0.2">
      <c r="A212" s="203" t="s">
        <v>374</v>
      </c>
      <c r="B212" s="16"/>
      <c r="C212" s="16"/>
      <c r="D212" s="16"/>
      <c r="E212" s="16"/>
      <c r="F212" s="16"/>
      <c r="G212" s="16"/>
      <c r="H212" s="204"/>
      <c r="I212" s="204"/>
      <c r="J212" s="204"/>
      <c r="K212" s="204"/>
      <c r="L212" s="16"/>
      <c r="M212" s="204"/>
      <c r="N212" s="204"/>
      <c r="O212" s="204"/>
      <c r="P212" s="204"/>
      <c r="Q212" s="204"/>
      <c r="R212" s="204"/>
      <c r="S212" s="204"/>
      <c r="T212" s="204"/>
      <c r="U212" s="204"/>
      <c r="V212" s="204"/>
      <c r="W212" s="204"/>
      <c r="X212" s="204"/>
      <c r="Y212" s="204"/>
      <c r="Z212" s="204"/>
      <c r="AA212" s="204"/>
      <c r="AB212" s="204"/>
      <c r="AC212" s="204"/>
      <c r="AD212" s="204"/>
      <c r="AE212" s="204"/>
      <c r="AF212" s="204"/>
      <c r="AG212" s="204"/>
      <c r="AH212" s="205"/>
      <c r="AI212" s="205"/>
      <c r="AJ212" s="204"/>
      <c r="AK212" s="204"/>
      <c r="AL212" s="204"/>
      <c r="AM212" s="204"/>
      <c r="AN212" s="204"/>
      <c r="AO212" s="204"/>
      <c r="AP212" s="204"/>
      <c r="AQ212" s="204"/>
      <c r="AR212" s="204"/>
      <c r="AS212" s="205"/>
      <c r="AT212" s="204"/>
      <c r="AU212" s="204"/>
      <c r="AV212" s="45"/>
      <c r="AW212" s="204"/>
      <c r="AX212" s="204"/>
      <c r="AY212" s="204"/>
      <c r="AZ212" s="204"/>
      <c r="BA212" s="204"/>
      <c r="BB212" s="204"/>
      <c r="BC212" s="204"/>
      <c r="BD212" s="204"/>
      <c r="BE212" s="204">
        <f>IS!BE42+IS!BD42+IS!BC42+IS!BB42</f>
        <v>584.99999999999989</v>
      </c>
      <c r="BF212" s="204"/>
      <c r="BG212" s="204">
        <f>IS!BG42+IS!BE42+IS!BD42+IS!BC42</f>
        <v>609.0999999999998</v>
      </c>
      <c r="BH212" s="204">
        <f>IS!BH42+IS!BG42+IS!BE42+IS!BD42</f>
        <v>632.0999999999998</v>
      </c>
      <c r="BI212" s="204">
        <f>IS!BI42+IS!BH42+IS!BG42+IS!BE42</f>
        <v>633.99999999999966</v>
      </c>
      <c r="BJ212" s="204">
        <f>IS!BJ42+IS!BI42+IS!BH42+IS!BG42</f>
        <v>652.09999999999991</v>
      </c>
      <c r="BK212" s="204"/>
      <c r="BL212" s="204">
        <f>IS!BL42+IS!BJ42+IS!BI42+IS!BH42</f>
        <v>652.99999999999977</v>
      </c>
      <c r="BM212" s="204">
        <f>IS!BM42+IS!BL42+IS!BJ42+IS!BI42</f>
        <v>642.6</v>
      </c>
      <c r="BN212" s="204">
        <f>IS!BN42+IS!BM42+IS!BL42+IS!BJ42</f>
        <v>655.7</v>
      </c>
      <c r="BO212" s="204">
        <f>IS!BO42+IS!BN42+IS!BM42+IS!BL42</f>
        <v>665.6</v>
      </c>
      <c r="BP212" s="204"/>
      <c r="BQ212" s="204">
        <f>IS!BQ42+IS!BO42+IS!BN42+IS!BM42</f>
        <v>680.3</v>
      </c>
      <c r="BR212" s="204">
        <f>IS!BR42+IS!BQ42+IS!BO42+IS!BN42</f>
        <v>700.59999999999991</v>
      </c>
      <c r="BS212" s="204">
        <f>IS!BS42+IS!BR42+IS!BQ42+IS!BO42</f>
        <v>719</v>
      </c>
      <c r="BT212" s="205">
        <f>IS!BT42+IS!BS42+IS!BR42+IS!BQ42</f>
        <v>761.10000000000014</v>
      </c>
      <c r="BU212" s="204"/>
      <c r="BV212" s="204">
        <f>IS!CA42+IS!BY42+IS!BX42+IS!BW42</f>
        <v>1565.2999999999997</v>
      </c>
      <c r="BW212" s="1396">
        <f>IS!CB42+IS!CA42+IS!BY42+IS!BX42</f>
        <v>1595.0999999999997</v>
      </c>
      <c r="BX212" s="204">
        <f>IS!CC42+IS!CB42+IS!CA42+IS!BY42</f>
        <v>1621.4999999999998</v>
      </c>
      <c r="BY212" s="204">
        <f>IS!CD42+IS!CC42+IS!CB42+IS!CA42</f>
        <v>1666.2</v>
      </c>
      <c r="BZ212" s="204"/>
      <c r="CA212" s="204">
        <f>IS!CF42+IS!CD42+IS!CC42+IS!CB42</f>
        <v>1718.9</v>
      </c>
      <c r="CB212" s="204">
        <f>IS!CG42+IS!CF42+IS!CD42+IS!CC42</f>
        <v>1770.2000000000003</v>
      </c>
      <c r="CC212" s="204">
        <f>IS!CH42+IS!CG42+IS!CF42+IS!CD42</f>
        <v>1818.3999999999996</v>
      </c>
      <c r="CD212" s="204">
        <f>IS!CI42+IS!CH42+IS!CG42+IS!CF42</f>
        <v>1888.1799999999994</v>
      </c>
      <c r="CE212" s="204"/>
      <c r="CF212" s="204"/>
      <c r="CG212" s="204"/>
      <c r="CH212" s="204"/>
      <c r="CI212" s="204"/>
      <c r="CJ212" s="204"/>
      <c r="CK212" s="204"/>
      <c r="CL212" s="205"/>
      <c r="CM212" s="205"/>
      <c r="CN212" s="205"/>
      <c r="CO212" s="204"/>
      <c r="CP212" s="205"/>
      <c r="CQ212" s="205"/>
      <c r="CR212" s="205"/>
      <c r="CS212" s="205"/>
      <c r="CT212" s="204"/>
      <c r="CU212" s="205"/>
      <c r="CV212" s="205"/>
      <c r="CW212" s="205"/>
      <c r="CX212" s="205"/>
      <c r="CY212" s="204"/>
      <c r="CZ212" s="205"/>
      <c r="DA212" s="205"/>
      <c r="DB212" s="205"/>
      <c r="DC212" s="205"/>
      <c r="DD212" s="204"/>
      <c r="DE212" s="205"/>
      <c r="DF212" s="205"/>
      <c r="DG212" s="205"/>
      <c r="DH212" s="205"/>
      <c r="DI212" s="204"/>
      <c r="DJ212" s="205"/>
      <c r="DK212" s="205"/>
      <c r="DL212" s="205"/>
      <c r="DM212" s="205"/>
      <c r="DN212" s="204"/>
      <c r="DO212" s="205"/>
      <c r="DP212" s="205"/>
      <c r="DQ212" s="205"/>
      <c r="DR212" s="205"/>
      <c r="DS212" s="204"/>
      <c r="DT212" s="205"/>
      <c r="DU212" s="205"/>
      <c r="DV212" s="205"/>
      <c r="DW212" s="205"/>
      <c r="DX212" s="204"/>
      <c r="DY212" s="204"/>
      <c r="DZ212" s="204"/>
      <c r="EA212" s="16"/>
      <c r="EB212" s="16"/>
      <c r="EC212" s="16"/>
      <c r="ED212" s="16"/>
      <c r="EE212" s="16"/>
      <c r="EF212" s="16"/>
    </row>
    <row r="213" spans="1:136" x14ac:dyDescent="0.2">
      <c r="A213" s="203" t="s">
        <v>99</v>
      </c>
      <c r="B213" s="16"/>
      <c r="C213" s="16"/>
      <c r="D213" s="16"/>
      <c r="E213" s="16"/>
      <c r="F213" s="16"/>
      <c r="G213" s="16"/>
      <c r="H213" s="204"/>
      <c r="I213" s="204"/>
      <c r="J213" s="204"/>
      <c r="K213" s="204"/>
      <c r="L213" s="16"/>
      <c r="M213" s="204"/>
      <c r="N213" s="204"/>
      <c r="O213" s="204"/>
      <c r="P213" s="204"/>
      <c r="Q213" s="204"/>
      <c r="R213" s="204"/>
      <c r="S213" s="204"/>
      <c r="T213" s="204"/>
      <c r="U213" s="204"/>
      <c r="V213" s="204"/>
      <c r="W213" s="204"/>
      <c r="X213" s="204"/>
      <c r="Y213" s="204"/>
      <c r="Z213" s="204"/>
      <c r="AA213" s="204"/>
      <c r="AB213" s="204"/>
      <c r="AC213" s="204"/>
      <c r="AD213" s="204"/>
      <c r="AE213" s="204"/>
      <c r="AF213" s="204"/>
      <c r="AG213" s="204"/>
      <c r="AH213" s="205"/>
      <c r="AI213" s="205"/>
      <c r="AJ213" s="204"/>
      <c r="AK213" s="204"/>
      <c r="AL213" s="204"/>
      <c r="AM213" s="204"/>
      <c r="AN213" s="204"/>
      <c r="AO213" s="204"/>
      <c r="AP213" s="204"/>
      <c r="AQ213" s="204"/>
      <c r="AR213" s="204"/>
      <c r="AS213" s="205"/>
      <c r="AT213" s="204"/>
      <c r="AU213" s="204"/>
      <c r="AV213" s="45"/>
      <c r="AW213" s="204"/>
      <c r="AX213" s="204"/>
      <c r="AY213" s="204"/>
      <c r="AZ213" s="204"/>
      <c r="BA213" s="204"/>
      <c r="BB213" s="204"/>
      <c r="BC213" s="204"/>
      <c r="BD213" s="204"/>
      <c r="BE213" s="204"/>
      <c r="BF213" s="204"/>
      <c r="BG213" s="204"/>
      <c r="BH213" s="204"/>
      <c r="BI213" s="204"/>
      <c r="BJ213" s="204"/>
      <c r="BK213" s="204"/>
      <c r="BL213" s="205"/>
      <c r="BM213" s="205"/>
      <c r="BN213" s="204"/>
      <c r="BO213" s="205"/>
      <c r="BP213" s="204"/>
      <c r="BQ213" s="205"/>
      <c r="BR213" s="205"/>
      <c r="BS213" s="205"/>
      <c r="BT213" s="205"/>
      <c r="BU213" s="204"/>
      <c r="BV213" s="204"/>
      <c r="BW213" s="1396"/>
      <c r="BX213" s="204"/>
      <c r="BY213" s="204"/>
      <c r="BZ213" s="204"/>
      <c r="CA213" s="204"/>
      <c r="CB213" s="204"/>
      <c r="CC213" s="204"/>
      <c r="CD213" s="204"/>
      <c r="CE213" s="204"/>
      <c r="CF213" s="204"/>
      <c r="CG213" s="204"/>
      <c r="CH213" s="204"/>
      <c r="CI213" s="204"/>
      <c r="CJ213" s="204"/>
      <c r="CK213" s="204"/>
      <c r="CL213" s="205"/>
      <c r="CM213" s="205"/>
      <c r="CN213" s="205"/>
      <c r="CO213" s="204"/>
      <c r="CP213" s="205"/>
      <c r="CQ213" s="205"/>
      <c r="CR213" s="205"/>
      <c r="CS213" s="205"/>
      <c r="CT213" s="204"/>
      <c r="CU213" s="205"/>
      <c r="CV213" s="205"/>
      <c r="CW213" s="205"/>
      <c r="CX213" s="205"/>
      <c r="CY213" s="204"/>
      <c r="CZ213" s="205"/>
      <c r="DA213" s="205"/>
      <c r="DB213" s="205"/>
      <c r="DC213" s="205"/>
      <c r="DD213" s="204"/>
      <c r="DE213" s="205"/>
      <c r="DF213" s="205"/>
      <c r="DG213" s="205"/>
      <c r="DH213" s="205"/>
      <c r="DI213" s="204"/>
      <c r="DJ213" s="205"/>
      <c r="DK213" s="205"/>
      <c r="DL213" s="205"/>
      <c r="DM213" s="205"/>
      <c r="DN213" s="204"/>
      <c r="DO213" s="205"/>
      <c r="DP213" s="205"/>
      <c r="DQ213" s="205"/>
      <c r="DR213" s="205"/>
      <c r="DS213" s="204"/>
      <c r="DT213" s="205"/>
      <c r="DU213" s="205"/>
      <c r="DV213" s="205"/>
      <c r="DW213" s="205"/>
      <c r="DX213" s="204"/>
      <c r="DY213" s="204"/>
      <c r="DZ213" s="204"/>
      <c r="EA213" s="16"/>
      <c r="EB213" s="16"/>
      <c r="EC213" s="16"/>
      <c r="ED213" s="16"/>
      <c r="EE213" s="16"/>
      <c r="EF213" s="16"/>
    </row>
    <row r="214" spans="1:136" x14ac:dyDescent="0.2">
      <c r="A214" s="94"/>
      <c r="B214" s="16"/>
      <c r="C214" s="16"/>
      <c r="D214" s="16"/>
      <c r="E214" s="16"/>
      <c r="F214" s="16"/>
      <c r="G214" s="16"/>
      <c r="H214" s="204"/>
      <c r="I214" s="204"/>
      <c r="J214" s="204"/>
      <c r="K214" s="204"/>
      <c r="L214" s="16"/>
      <c r="M214" s="204"/>
      <c r="N214" s="204"/>
      <c r="O214" s="204"/>
      <c r="P214" s="204"/>
      <c r="Q214" s="204"/>
      <c r="R214" s="204"/>
      <c r="S214" s="204"/>
      <c r="T214" s="204"/>
      <c r="U214" s="204"/>
      <c r="V214" s="204"/>
      <c r="W214" s="204"/>
      <c r="X214" s="204"/>
      <c r="Y214" s="204"/>
      <c r="Z214" s="204"/>
      <c r="AA214" s="204"/>
      <c r="AB214" s="204"/>
      <c r="AC214" s="204"/>
      <c r="AD214" s="204"/>
      <c r="AE214" s="204"/>
      <c r="AF214" s="204"/>
      <c r="AG214" s="204"/>
      <c r="AH214" s="205"/>
      <c r="AI214" s="205"/>
      <c r="AJ214" s="204"/>
      <c r="AK214" s="204"/>
      <c r="AL214" s="204"/>
      <c r="AM214" s="204"/>
      <c r="AN214" s="204"/>
      <c r="AO214" s="204"/>
      <c r="AP214" s="204"/>
      <c r="AQ214" s="204"/>
      <c r="AR214" s="204"/>
      <c r="AS214" s="205"/>
      <c r="AT214" s="204"/>
      <c r="AU214" s="204"/>
      <c r="AV214" s="45"/>
      <c r="AW214" s="204"/>
      <c r="AX214" s="204"/>
      <c r="AY214" s="204"/>
      <c r="AZ214" s="204"/>
      <c r="BA214" s="204"/>
      <c r="BB214" s="204"/>
      <c r="BC214" s="204"/>
      <c r="BD214" s="204"/>
      <c r="BE214" s="204"/>
      <c r="BF214" s="204"/>
      <c r="BG214" s="204"/>
      <c r="BH214" s="204"/>
      <c r="BI214" s="204"/>
      <c r="BJ214" s="204"/>
      <c r="BK214" s="204"/>
      <c r="BL214" s="205"/>
      <c r="BM214" s="205"/>
      <c r="BN214" s="204"/>
      <c r="BO214" s="205"/>
      <c r="BP214" s="204"/>
      <c r="BQ214" s="205"/>
      <c r="BR214" s="205"/>
      <c r="BS214" s="205"/>
      <c r="BT214" s="205"/>
      <c r="BU214" s="204"/>
      <c r="BV214" s="204"/>
      <c r="BW214" s="1396"/>
      <c r="BX214" s="204"/>
      <c r="BY214" s="204"/>
      <c r="BZ214" s="204"/>
      <c r="CA214" s="204"/>
      <c r="CB214" s="204"/>
      <c r="CC214" s="204"/>
      <c r="CD214" s="204"/>
      <c r="CE214" s="204"/>
      <c r="CF214" s="204"/>
      <c r="CG214" s="204"/>
      <c r="CH214" s="204"/>
      <c r="CI214" s="204"/>
      <c r="CJ214" s="204"/>
      <c r="CK214" s="204"/>
      <c r="CL214" s="205"/>
      <c r="CM214" s="205"/>
      <c r="CN214" s="205"/>
      <c r="CO214" s="204"/>
      <c r="CP214" s="205"/>
      <c r="CQ214" s="205"/>
      <c r="CR214" s="205"/>
      <c r="CS214" s="205"/>
      <c r="CT214" s="204"/>
      <c r="CU214" s="205"/>
      <c r="CV214" s="205"/>
      <c r="CW214" s="205"/>
      <c r="CX214" s="205"/>
      <c r="CY214" s="204"/>
      <c r="CZ214" s="205"/>
      <c r="DA214" s="205"/>
      <c r="DB214" s="205"/>
      <c r="DC214" s="205"/>
      <c r="DD214" s="204"/>
      <c r="DE214" s="205"/>
      <c r="DF214" s="205"/>
      <c r="DG214" s="205"/>
      <c r="DH214" s="205"/>
      <c r="DI214" s="204"/>
      <c r="DJ214" s="205"/>
      <c r="DK214" s="205"/>
      <c r="DL214" s="205"/>
      <c r="DM214" s="205"/>
      <c r="DN214" s="204"/>
      <c r="DO214" s="205"/>
      <c r="DP214" s="205"/>
      <c r="DQ214" s="205"/>
      <c r="DR214" s="205"/>
      <c r="DS214" s="204"/>
      <c r="DT214" s="205"/>
      <c r="DU214" s="205"/>
      <c r="DV214" s="205"/>
      <c r="DW214" s="205"/>
      <c r="DX214" s="204"/>
      <c r="DY214" s="204"/>
      <c r="DZ214" s="204"/>
      <c r="EA214" s="16"/>
      <c r="EB214" s="16"/>
      <c r="EC214" s="16"/>
      <c r="ED214" s="16"/>
      <c r="EE214" s="16"/>
      <c r="EF214" s="16"/>
    </row>
    <row r="215" spans="1:136" x14ac:dyDescent="0.2">
      <c r="A215" s="206" t="s">
        <v>529</v>
      </c>
      <c r="B215" s="16"/>
      <c r="C215" s="16"/>
      <c r="D215" s="16"/>
      <c r="E215" s="16"/>
      <c r="F215" s="16"/>
      <c r="G215" s="16"/>
      <c r="H215" s="204"/>
      <c r="I215" s="204"/>
      <c r="J215" s="204"/>
      <c r="K215" s="204"/>
      <c r="L215" s="16"/>
      <c r="M215" s="204"/>
      <c r="N215" s="204"/>
      <c r="O215" s="204"/>
      <c r="P215" s="204"/>
      <c r="Q215" s="204"/>
      <c r="R215" s="204" t="e">
        <f>365*R12/R209</f>
        <v>#DIV/0!</v>
      </c>
      <c r="S215" s="204" t="e">
        <f>365*S12/S209</f>
        <v>#DIV/0!</v>
      </c>
      <c r="T215" s="204" t="e">
        <f>365*T12/T209</f>
        <v>#DIV/0!</v>
      </c>
      <c r="U215" s="204" t="e">
        <f>365*U12/U209</f>
        <v>#DIV/0!</v>
      </c>
      <c r="V215" s="204" t="e">
        <f>365*V12/V209</f>
        <v>#DIV/0!</v>
      </c>
      <c r="W215" s="204"/>
      <c r="X215" s="204"/>
      <c r="Y215" s="204"/>
      <c r="Z215" s="204" t="e">
        <f t="shared" ref="Z215:AH215" si="769">365*Z12/Z209</f>
        <v>#DIV/0!</v>
      </c>
      <c r="AA215" s="204" t="e">
        <f t="shared" si="769"/>
        <v>#DIV/0!</v>
      </c>
      <c r="AB215" s="204" t="e">
        <f t="shared" si="769"/>
        <v>#DIV/0!</v>
      </c>
      <c r="AC215" s="204" t="e">
        <f t="shared" si="769"/>
        <v>#DIV/0!</v>
      </c>
      <c r="AD215" s="204" t="e">
        <f t="shared" si="769"/>
        <v>#DIV/0!</v>
      </c>
      <c r="AE215" s="204" t="e">
        <f t="shared" si="769"/>
        <v>#DIV/0!</v>
      </c>
      <c r="AF215" s="204" t="e">
        <f t="shared" si="769"/>
        <v>#DIV/0!</v>
      </c>
      <c r="AG215" s="204" t="e">
        <f t="shared" si="769"/>
        <v>#DIV/0!</v>
      </c>
      <c r="AH215" s="204" t="e">
        <f t="shared" si="769"/>
        <v>#DIV/0!</v>
      </c>
      <c r="AI215" s="204" t="e">
        <f>AH215</f>
        <v>#DIV/0!</v>
      </c>
      <c r="AJ215" s="204" t="e">
        <f>AE215</f>
        <v>#DIV/0!</v>
      </c>
      <c r="AK215" s="204" t="e">
        <f t="shared" ref="AK215:AU215" si="770">365*AK12/AK209</f>
        <v>#DIV/0!</v>
      </c>
      <c r="AL215" s="204" t="e">
        <f t="shared" si="770"/>
        <v>#DIV/0!</v>
      </c>
      <c r="AM215" s="204" t="e">
        <f t="shared" si="770"/>
        <v>#DIV/0!</v>
      </c>
      <c r="AN215" s="204" t="e">
        <f t="shared" si="770"/>
        <v>#DIV/0!</v>
      </c>
      <c r="AO215" s="204" t="e">
        <f t="shared" si="770"/>
        <v>#DIV/0!</v>
      </c>
      <c r="AP215" s="204" t="e">
        <f t="shared" si="770"/>
        <v>#DIV/0!</v>
      </c>
      <c r="AQ215" s="204" t="e">
        <f t="shared" si="770"/>
        <v>#DIV/0!</v>
      </c>
      <c r="AR215" s="204" t="e">
        <f t="shared" si="770"/>
        <v>#DIV/0!</v>
      </c>
      <c r="AS215" s="204">
        <f t="shared" si="770"/>
        <v>85.180934829954779</v>
      </c>
      <c r="AT215" s="204">
        <f t="shared" si="770"/>
        <v>42.756373473235506</v>
      </c>
      <c r="AU215" s="204">
        <f t="shared" si="770"/>
        <v>42.756373473235506</v>
      </c>
      <c r="AV215" s="45"/>
      <c r="AW215" s="204"/>
      <c r="AX215" s="204">
        <f t="shared" ref="AX215:BU215" si="771">365*AX12/AX209</f>
        <v>28.660091213802954</v>
      </c>
      <c r="AY215" s="204">
        <f t="shared" si="771"/>
        <v>28.676551953081773</v>
      </c>
      <c r="AZ215" s="204"/>
      <c r="BA215" s="204"/>
      <c r="BB215" s="204">
        <f t="shared" si="771"/>
        <v>28.653705062362434</v>
      </c>
      <c r="BC215" s="204">
        <f t="shared" si="771"/>
        <v>22.279601233472732</v>
      </c>
      <c r="BD215" s="204">
        <f t="shared" si="771"/>
        <v>21.426348765821455</v>
      </c>
      <c r="BE215" s="204">
        <f t="shared" si="771"/>
        <v>23.878066532517025</v>
      </c>
      <c r="BF215" s="204">
        <f t="shared" si="771"/>
        <v>23.878066532517025</v>
      </c>
      <c r="BG215" s="204">
        <f t="shared" si="771"/>
        <v>23.153679469748475</v>
      </c>
      <c r="BH215" s="204">
        <f t="shared" si="771"/>
        <v>23.894084384515008</v>
      </c>
      <c r="BI215" s="204">
        <f t="shared" si="771"/>
        <v>26.605728924080111</v>
      </c>
      <c r="BJ215" s="204">
        <f t="shared" si="771"/>
        <v>33.149830026891266</v>
      </c>
      <c r="BK215" s="204">
        <f t="shared" si="771"/>
        <v>33.149830026891266</v>
      </c>
      <c r="BL215" s="204">
        <f t="shared" si="771"/>
        <v>36.611904899635562</v>
      </c>
      <c r="BM215" s="204">
        <f t="shared" si="771"/>
        <v>42.743486563906693</v>
      </c>
      <c r="BN215" s="204">
        <f t="shared" si="771"/>
        <v>46.732265090230236</v>
      </c>
      <c r="BO215" s="204">
        <f t="shared" si="771"/>
        <v>57.219314315624182</v>
      </c>
      <c r="BP215" s="204">
        <f t="shared" si="771"/>
        <v>57.219314315624182</v>
      </c>
      <c r="BQ215" s="204">
        <f t="shared" si="771"/>
        <v>58.048607833883906</v>
      </c>
      <c r="BR215" s="204">
        <f t="shared" si="771"/>
        <v>59.666155026861084</v>
      </c>
      <c r="BS215" s="204">
        <f t="shared" si="771"/>
        <v>58.472567386732948</v>
      </c>
      <c r="BT215" s="204">
        <f t="shared" si="771"/>
        <v>134.10465213396807</v>
      </c>
      <c r="BU215" s="204">
        <f t="shared" si="771"/>
        <v>134.10465213396807</v>
      </c>
      <c r="BV215" s="204">
        <f t="shared" ref="BV215:BX215" si="772">365*BV12/BV209</f>
        <v>31.465517241379313</v>
      </c>
      <c r="BW215" s="204">
        <f t="shared" si="772"/>
        <v>31.476214417390892</v>
      </c>
      <c r="BX215" s="204">
        <f t="shared" si="772"/>
        <v>33.187503059376382</v>
      </c>
      <c r="BY215" s="204">
        <f t="shared" ref="BY215" si="773">365*BY12/BY209</f>
        <v>38.01145057006071</v>
      </c>
      <c r="BZ215" s="204">
        <f>365*BZ12/BZ209</f>
        <v>38.01145057006071</v>
      </c>
      <c r="CA215" s="204">
        <f t="shared" ref="CA215:CC215" si="774">365*CA12/CA209</f>
        <v>33.124287908059642</v>
      </c>
      <c r="CB215" s="204">
        <f t="shared" si="774"/>
        <v>34.388908162759584</v>
      </c>
      <c r="CC215" s="204">
        <f t="shared" si="774"/>
        <v>33.391870753287385</v>
      </c>
      <c r="CD215" s="204">
        <f t="shared" ref="CD215" si="775">365*CD12/CD209</f>
        <v>35.524678106411827</v>
      </c>
      <c r="CE215" s="204">
        <f>365*CE12/CE209</f>
        <v>35.524678106411827</v>
      </c>
      <c r="CF215" s="204">
        <f t="shared" ref="CF215:CI215" si="776">365*CF12/CF209</f>
        <v>31.252069595163533</v>
      </c>
      <c r="CG215" s="204">
        <f t="shared" si="776"/>
        <v>32.847110670820619</v>
      </c>
      <c r="CH215" s="204">
        <f t="shared" si="776"/>
        <v>34.579792871770913</v>
      </c>
      <c r="CI215" s="204">
        <f t="shared" si="776"/>
        <v>36.363606564541854</v>
      </c>
      <c r="CJ215" s="204">
        <f>365*CJ12/CJ209</f>
        <v>36.363606564541854</v>
      </c>
      <c r="CK215" s="204">
        <f>CF215</f>
        <v>31.252069595163533</v>
      </c>
      <c r="CL215" s="205">
        <f t="shared" ref="CL215:CL219" si="777">CG215</f>
        <v>32.847110670820619</v>
      </c>
      <c r="CM215" s="205">
        <f t="shared" ref="CM215:CM219" si="778">CH215</f>
        <v>34.579792871770913</v>
      </c>
      <c r="CN215" s="205">
        <f t="shared" ref="CN215:CN219" si="779">CI215</f>
        <v>36.363606564541854</v>
      </c>
      <c r="CO215" s="204">
        <f>365*CO12/CO209</f>
        <v>36.363606564541854</v>
      </c>
      <c r="CP215" s="205">
        <f>CK215</f>
        <v>31.252069595163533</v>
      </c>
      <c r="CQ215" s="205">
        <f t="shared" ref="CQ215:CQ219" si="780">CL215</f>
        <v>32.847110670820619</v>
      </c>
      <c r="CR215" s="205">
        <f t="shared" ref="CR215:CR219" si="781">CM215</f>
        <v>34.579792871770913</v>
      </c>
      <c r="CS215" s="205">
        <f t="shared" ref="CS215:CS219" si="782">CN215</f>
        <v>36.363606564541854</v>
      </c>
      <c r="CT215" s="204">
        <f>365*CT12/CT209</f>
        <v>36.363606564541847</v>
      </c>
      <c r="CU215" s="205">
        <f>CP215</f>
        <v>31.252069595163533</v>
      </c>
      <c r="CV215" s="205">
        <f t="shared" ref="CV215:CV219" si="783">CQ215</f>
        <v>32.847110670820619</v>
      </c>
      <c r="CW215" s="205">
        <f t="shared" ref="CW215:CW219" si="784">CR215</f>
        <v>34.579792871770913</v>
      </c>
      <c r="CX215" s="205">
        <f t="shared" ref="CX215:CX219" si="785">CS215</f>
        <v>36.363606564541854</v>
      </c>
      <c r="CY215" s="204">
        <f>365*CY12/CY209</f>
        <v>36.363606564541854</v>
      </c>
      <c r="CZ215" s="205">
        <f>CU215</f>
        <v>31.252069595163533</v>
      </c>
      <c r="DA215" s="205">
        <f t="shared" ref="DA215:DA219" si="786">CV215</f>
        <v>32.847110670820619</v>
      </c>
      <c r="DB215" s="205">
        <f t="shared" ref="DB215:DB219" si="787">CW215</f>
        <v>34.579792871770913</v>
      </c>
      <c r="DC215" s="205">
        <f t="shared" ref="DC215:DC219" si="788">CX215</f>
        <v>36.363606564541854</v>
      </c>
      <c r="DD215" s="204">
        <f>365*DD12/DD209</f>
        <v>36.363606564541854</v>
      </c>
      <c r="DE215" s="205">
        <f>CZ215</f>
        <v>31.252069595163533</v>
      </c>
      <c r="DF215" s="205">
        <f t="shared" ref="DF215:DF219" si="789">DA215</f>
        <v>32.847110670820619</v>
      </c>
      <c r="DG215" s="205">
        <f t="shared" ref="DG215:DG219" si="790">DB215</f>
        <v>34.579792871770913</v>
      </c>
      <c r="DH215" s="205">
        <f t="shared" ref="DH215:DH219" si="791">DC215</f>
        <v>36.363606564541854</v>
      </c>
      <c r="DI215" s="204">
        <f>365*DI12/DI209</f>
        <v>36.363606564541854</v>
      </c>
      <c r="DJ215" s="205">
        <f>DE215</f>
        <v>31.252069595163533</v>
      </c>
      <c r="DK215" s="205">
        <f t="shared" ref="DK215:DK219" si="792">DF215</f>
        <v>32.847110670820619</v>
      </c>
      <c r="DL215" s="205">
        <f t="shared" ref="DL215:DL219" si="793">DG215</f>
        <v>34.579792871770913</v>
      </c>
      <c r="DM215" s="205">
        <f t="shared" ref="DM215:DM219" si="794">DH215</f>
        <v>36.363606564541854</v>
      </c>
      <c r="DN215" s="204">
        <f>365*DN12/DN209</f>
        <v>36.363606564541854</v>
      </c>
      <c r="DO215" s="205">
        <f>DJ215</f>
        <v>31.252069595163533</v>
      </c>
      <c r="DP215" s="205">
        <f t="shared" ref="DP215:DP219" si="795">DK215</f>
        <v>32.847110670820619</v>
      </c>
      <c r="DQ215" s="205">
        <f t="shared" ref="DQ215:DQ219" si="796">DL215</f>
        <v>34.579792871770913</v>
      </c>
      <c r="DR215" s="205">
        <f t="shared" ref="DR215:DR219" si="797">DM215</f>
        <v>36.363606564541854</v>
      </c>
      <c r="DS215" s="204">
        <f>365*DS12/DS209</f>
        <v>36.363606564541854</v>
      </c>
      <c r="DT215" s="205">
        <f>DO215</f>
        <v>31.252069595163533</v>
      </c>
      <c r="DU215" s="205">
        <f t="shared" ref="DU215:DU219" si="798">DP215</f>
        <v>32.847110670820619</v>
      </c>
      <c r="DV215" s="205">
        <f t="shared" ref="DV215:DV219" si="799">DQ215</f>
        <v>34.579792871770913</v>
      </c>
      <c r="DW215" s="205">
        <f t="shared" ref="DW215:DW219" si="800">DR215</f>
        <v>36.363606564541854</v>
      </c>
      <c r="DX215" s="204">
        <f>365*DX12/DX209</f>
        <v>36.363606564541854</v>
      </c>
      <c r="DY215" s="204"/>
      <c r="DZ215" s="204"/>
      <c r="EA215" s="16"/>
      <c r="EB215" s="16"/>
      <c r="EC215" s="16"/>
      <c r="ED215" s="16"/>
      <c r="EE215" s="16"/>
      <c r="EF215" s="16"/>
    </row>
    <row r="216" spans="1:136" x14ac:dyDescent="0.2">
      <c r="A216" s="206" t="s">
        <v>190</v>
      </c>
      <c r="B216" s="16"/>
      <c r="C216" s="16"/>
      <c r="D216" s="16"/>
      <c r="E216" s="16"/>
      <c r="F216" s="16"/>
      <c r="G216" s="16"/>
      <c r="H216" s="204"/>
      <c r="I216" s="204"/>
      <c r="J216" s="204"/>
      <c r="K216" s="204"/>
      <c r="L216" s="16"/>
      <c r="M216" s="204"/>
      <c r="N216" s="204"/>
      <c r="O216" s="204"/>
      <c r="P216" s="204"/>
      <c r="Q216" s="204"/>
      <c r="R216" s="204">
        <f>365*R13/R210</f>
        <v>0</v>
      </c>
      <c r="S216" s="204">
        <f>365*S13/S210</f>
        <v>0</v>
      </c>
      <c r="T216" s="204">
        <f>365*T13/T210</f>
        <v>0</v>
      </c>
      <c r="U216" s="204">
        <f>365*U13/U210</f>
        <v>10.717281879194632</v>
      </c>
      <c r="V216" s="204"/>
      <c r="W216" s="204"/>
      <c r="X216" s="204"/>
      <c r="Y216" s="204"/>
      <c r="Z216" s="204" t="e">
        <f t="shared" ref="Z216:AU216" si="801">365*Z13/Z209</f>
        <v>#DIV/0!</v>
      </c>
      <c r="AA216" s="204" t="e">
        <f t="shared" si="801"/>
        <v>#DIV/0!</v>
      </c>
      <c r="AB216" s="204" t="e">
        <f t="shared" si="801"/>
        <v>#DIV/0!</v>
      </c>
      <c r="AC216" s="204" t="e">
        <f t="shared" si="801"/>
        <v>#DIV/0!</v>
      </c>
      <c r="AD216" s="204" t="e">
        <f t="shared" si="801"/>
        <v>#DIV/0!</v>
      </c>
      <c r="AE216" s="204" t="e">
        <f t="shared" si="801"/>
        <v>#DIV/0!</v>
      </c>
      <c r="AF216" s="204" t="e">
        <f t="shared" si="801"/>
        <v>#DIV/0!</v>
      </c>
      <c r="AG216" s="204" t="e">
        <f t="shared" si="801"/>
        <v>#DIV/0!</v>
      </c>
      <c r="AH216" s="204" t="e">
        <f t="shared" si="801"/>
        <v>#DIV/0!</v>
      </c>
      <c r="AI216" s="204" t="e">
        <f t="shared" si="801"/>
        <v>#DIV/0!</v>
      </c>
      <c r="AJ216" s="204" t="e">
        <f t="shared" si="801"/>
        <v>#DIV/0!</v>
      </c>
      <c r="AK216" s="204" t="e">
        <f t="shared" si="801"/>
        <v>#DIV/0!</v>
      </c>
      <c r="AL216" s="204" t="e">
        <f t="shared" si="801"/>
        <v>#DIV/0!</v>
      </c>
      <c r="AM216" s="204" t="e">
        <f t="shared" si="801"/>
        <v>#DIV/0!</v>
      </c>
      <c r="AN216" s="204" t="e">
        <f t="shared" si="801"/>
        <v>#DIV/0!</v>
      </c>
      <c r="AO216" s="204" t="e">
        <f t="shared" si="801"/>
        <v>#DIV/0!</v>
      </c>
      <c r="AP216" s="204" t="e">
        <f t="shared" si="801"/>
        <v>#DIV/0!</v>
      </c>
      <c r="AQ216" s="204" t="e">
        <f t="shared" si="801"/>
        <v>#DIV/0!</v>
      </c>
      <c r="AR216" s="204" t="e">
        <f t="shared" si="801"/>
        <v>#DIV/0!</v>
      </c>
      <c r="AS216" s="204">
        <f t="shared" si="801"/>
        <v>45.861953426034511</v>
      </c>
      <c r="AT216" s="204">
        <f t="shared" si="801"/>
        <v>26.449708992540373</v>
      </c>
      <c r="AU216" s="204">
        <f t="shared" si="801"/>
        <v>26.449708992540373</v>
      </c>
      <c r="AV216" s="45"/>
      <c r="AW216" s="204"/>
      <c r="AX216" s="204">
        <f t="shared" ref="AX216:BU216" si="802">365*AX13/AX209</f>
        <v>17.729545579427441</v>
      </c>
      <c r="AY216" s="204">
        <f t="shared" si="802"/>
        <v>12.258216222197632</v>
      </c>
      <c r="AZ216" s="204"/>
      <c r="BA216" s="204"/>
      <c r="BB216" s="204">
        <f t="shared" si="802"/>
        <v>35.760483097240247</v>
      </c>
      <c r="BC216" s="204">
        <f t="shared" si="802"/>
        <v>24.407341697292274</v>
      </c>
      <c r="BD216" s="204">
        <f t="shared" si="802"/>
        <v>10.974096968167865</v>
      </c>
      <c r="BE216" s="204">
        <f t="shared" si="802"/>
        <v>10.813888769961897</v>
      </c>
      <c r="BF216" s="204">
        <f t="shared" si="802"/>
        <v>10.813888769961897</v>
      </c>
      <c r="BG216" s="204">
        <f t="shared" si="802"/>
        <v>14.562160095173352</v>
      </c>
      <c r="BH216" s="204">
        <f t="shared" si="802"/>
        <v>23.19551979121357</v>
      </c>
      <c r="BI216" s="204">
        <f t="shared" si="802"/>
        <v>18.241499767116906</v>
      </c>
      <c r="BJ216" s="204">
        <f t="shared" si="802"/>
        <v>16.908265259526104</v>
      </c>
      <c r="BK216" s="204">
        <f t="shared" si="802"/>
        <v>16.908265259526104</v>
      </c>
      <c r="BL216" s="204">
        <f t="shared" si="802"/>
        <v>24.344594203736911</v>
      </c>
      <c r="BM216" s="204">
        <f t="shared" si="802"/>
        <v>24.968967398717773</v>
      </c>
      <c r="BN216" s="204">
        <f t="shared" si="802"/>
        <v>28.277846919726194</v>
      </c>
      <c r="BO216" s="204">
        <f t="shared" si="802"/>
        <v>22.225420919480069</v>
      </c>
      <c r="BP216" s="204">
        <f t="shared" si="802"/>
        <v>22.225420919480069</v>
      </c>
      <c r="BQ216" s="204">
        <f t="shared" si="802"/>
        <v>32.899952807928265</v>
      </c>
      <c r="BR216" s="204">
        <f t="shared" si="802"/>
        <v>28.852647735993862</v>
      </c>
      <c r="BS216" s="204">
        <f t="shared" si="802"/>
        <v>35.411489199005935</v>
      </c>
      <c r="BT216" s="204">
        <f t="shared" si="802"/>
        <v>59.415768813162941</v>
      </c>
      <c r="BU216" s="204">
        <f t="shared" si="802"/>
        <v>59.415768813162941</v>
      </c>
      <c r="BV216" s="204">
        <f t="shared" ref="BV216:BX216" si="803">365*BV13/BV209</f>
        <v>17.29515429007488</v>
      </c>
      <c r="BW216" s="204">
        <f t="shared" si="803"/>
        <v>17.206181617946324</v>
      </c>
      <c r="BX216" s="204">
        <f t="shared" si="803"/>
        <v>13.819937343971803</v>
      </c>
      <c r="BY216" s="204">
        <f t="shared" ref="BY216" si="804">365*BY13/BY209</f>
        <v>11.907852524554562</v>
      </c>
      <c r="BZ216" s="204">
        <f>365*BZ13/BZ209</f>
        <v>11.907852524554562</v>
      </c>
      <c r="CA216" s="204">
        <f t="shared" ref="CA216:CC216" si="805">365*CA13/CA209</f>
        <v>20.775003715262301</v>
      </c>
      <c r="CB216" s="204">
        <f t="shared" si="805"/>
        <v>19.672770976854835</v>
      </c>
      <c r="CC216" s="204">
        <f t="shared" si="805"/>
        <v>15.237327076306402</v>
      </c>
      <c r="CD216" s="204">
        <f t="shared" ref="CD216" si="806">365*CD13/CD209</f>
        <v>15.442449912923502</v>
      </c>
      <c r="CE216" s="204">
        <f>365*CE13/CE209</f>
        <v>15.442449912923502</v>
      </c>
      <c r="CF216" s="204">
        <f t="shared" ref="CF216:CI216" si="807">365*CF13/CF209</f>
        <v>7.191429274246194</v>
      </c>
      <c r="CG216" s="204">
        <f t="shared" si="807"/>
        <v>7.561256185798471</v>
      </c>
      <c r="CH216" s="204">
        <f t="shared" si="807"/>
        <v>7.5323132612366601</v>
      </c>
      <c r="CI216" s="204">
        <f t="shared" si="807"/>
        <v>10.927427285242892</v>
      </c>
      <c r="CJ216" s="204">
        <f>365*CJ13/CJ209</f>
        <v>10.927427285242892</v>
      </c>
      <c r="CK216" s="204">
        <f t="shared" ref="CK216:CK219" si="808">CF216</f>
        <v>7.191429274246194</v>
      </c>
      <c r="CL216" s="205">
        <f t="shared" si="777"/>
        <v>7.561256185798471</v>
      </c>
      <c r="CM216" s="205">
        <f t="shared" si="778"/>
        <v>7.5323132612366601</v>
      </c>
      <c r="CN216" s="205">
        <f t="shared" si="779"/>
        <v>10.927427285242892</v>
      </c>
      <c r="CO216" s="204">
        <f>365*CO13/CO209</f>
        <v>10.927427285242892</v>
      </c>
      <c r="CP216" s="205">
        <f t="shared" ref="CP216:CP219" si="809">CK216</f>
        <v>7.191429274246194</v>
      </c>
      <c r="CQ216" s="205">
        <f t="shared" si="780"/>
        <v>7.561256185798471</v>
      </c>
      <c r="CR216" s="205">
        <f t="shared" si="781"/>
        <v>7.5323132612366601</v>
      </c>
      <c r="CS216" s="205">
        <f t="shared" si="782"/>
        <v>10.927427285242892</v>
      </c>
      <c r="CT216" s="204">
        <f>365*CT13/CT209</f>
        <v>10.927427285242892</v>
      </c>
      <c r="CU216" s="205">
        <f t="shared" ref="CU216:CU219" si="810">CP216</f>
        <v>7.191429274246194</v>
      </c>
      <c r="CV216" s="205">
        <f t="shared" si="783"/>
        <v>7.561256185798471</v>
      </c>
      <c r="CW216" s="205">
        <f t="shared" si="784"/>
        <v>7.5323132612366601</v>
      </c>
      <c r="CX216" s="205">
        <f t="shared" si="785"/>
        <v>10.927427285242892</v>
      </c>
      <c r="CY216" s="204">
        <f>365*CY13/CY209</f>
        <v>10.92742728524289</v>
      </c>
      <c r="CZ216" s="205">
        <f t="shared" ref="CZ216:CZ219" si="811">CU216</f>
        <v>7.191429274246194</v>
      </c>
      <c r="DA216" s="205">
        <f t="shared" si="786"/>
        <v>7.561256185798471</v>
      </c>
      <c r="DB216" s="205">
        <f t="shared" si="787"/>
        <v>7.5323132612366601</v>
      </c>
      <c r="DC216" s="205">
        <f t="shared" si="788"/>
        <v>10.927427285242892</v>
      </c>
      <c r="DD216" s="204">
        <f>365*DD13/DD209</f>
        <v>10.927427285242892</v>
      </c>
      <c r="DE216" s="205">
        <f t="shared" ref="DE216:DE219" si="812">CZ216</f>
        <v>7.191429274246194</v>
      </c>
      <c r="DF216" s="205">
        <f t="shared" si="789"/>
        <v>7.561256185798471</v>
      </c>
      <c r="DG216" s="205">
        <f t="shared" si="790"/>
        <v>7.5323132612366601</v>
      </c>
      <c r="DH216" s="205">
        <f t="shared" si="791"/>
        <v>10.927427285242892</v>
      </c>
      <c r="DI216" s="204">
        <f>365*DI13/DI209</f>
        <v>10.927427285242892</v>
      </c>
      <c r="DJ216" s="205">
        <f t="shared" ref="DJ216:DJ219" si="813">DE216</f>
        <v>7.191429274246194</v>
      </c>
      <c r="DK216" s="205">
        <f t="shared" si="792"/>
        <v>7.561256185798471</v>
      </c>
      <c r="DL216" s="205">
        <f t="shared" si="793"/>
        <v>7.5323132612366601</v>
      </c>
      <c r="DM216" s="205">
        <f t="shared" si="794"/>
        <v>10.927427285242892</v>
      </c>
      <c r="DN216" s="204">
        <f>365*DN13/DN209</f>
        <v>10.927427285242892</v>
      </c>
      <c r="DO216" s="205">
        <f t="shared" ref="DO216:DO219" si="814">DJ216</f>
        <v>7.191429274246194</v>
      </c>
      <c r="DP216" s="205">
        <f t="shared" si="795"/>
        <v>7.561256185798471</v>
      </c>
      <c r="DQ216" s="205">
        <f t="shared" si="796"/>
        <v>7.5323132612366601</v>
      </c>
      <c r="DR216" s="205">
        <f t="shared" si="797"/>
        <v>10.927427285242892</v>
      </c>
      <c r="DS216" s="204">
        <f>365*DS13/DS209</f>
        <v>10.927427285242892</v>
      </c>
      <c r="DT216" s="205">
        <f t="shared" ref="DT216:DT219" si="815">DO216</f>
        <v>7.191429274246194</v>
      </c>
      <c r="DU216" s="205">
        <f t="shared" si="798"/>
        <v>7.561256185798471</v>
      </c>
      <c r="DV216" s="205">
        <f t="shared" si="799"/>
        <v>7.5323132612366601</v>
      </c>
      <c r="DW216" s="205">
        <f t="shared" si="800"/>
        <v>10.927427285242892</v>
      </c>
      <c r="DX216" s="204">
        <f>365*DX13/DX209</f>
        <v>10.927427285242892</v>
      </c>
      <c r="DY216" s="204"/>
      <c r="DZ216" s="204"/>
      <c r="EA216" s="16"/>
      <c r="EB216" s="16"/>
      <c r="EC216" s="16"/>
      <c r="ED216" s="16"/>
      <c r="EE216" s="16"/>
      <c r="EF216" s="16"/>
    </row>
    <row r="217" spans="1:136" x14ac:dyDescent="0.2">
      <c r="A217" s="206" t="s">
        <v>530</v>
      </c>
      <c r="B217" s="16"/>
      <c r="C217" s="16"/>
      <c r="D217" s="16"/>
      <c r="E217" s="16"/>
      <c r="F217" s="16"/>
      <c r="G217" s="16"/>
      <c r="H217" s="204"/>
      <c r="I217" s="204"/>
      <c r="J217" s="204"/>
      <c r="K217" s="204"/>
      <c r="L217" s="16"/>
      <c r="M217" s="204"/>
      <c r="N217" s="204"/>
      <c r="O217" s="204"/>
      <c r="P217" s="204"/>
      <c r="Q217" s="204"/>
      <c r="R217" s="204">
        <f>365*R25/R211</f>
        <v>0</v>
      </c>
      <c r="S217" s="204">
        <f>365*S25/S211</f>
        <v>0</v>
      </c>
      <c r="T217" s="204">
        <f>365*T25/T211</f>
        <v>0</v>
      </c>
      <c r="U217" s="204">
        <f>365*U25/U211</f>
        <v>62.207392197125259</v>
      </c>
      <c r="V217" s="204">
        <f>365*V25/V211</f>
        <v>62.207392197125259</v>
      </c>
      <c r="W217" s="204"/>
      <c r="X217" s="204"/>
      <c r="Y217" s="204"/>
      <c r="Z217" s="204">
        <f t="shared" ref="Z217:AU217" si="816">365*Z25/Z210</f>
        <v>28.163580246913579</v>
      </c>
      <c r="AA217" s="204">
        <f t="shared" si="816"/>
        <v>28.163580246913579</v>
      </c>
      <c r="AB217" s="204">
        <f t="shared" si="816"/>
        <v>16.867424242424242</v>
      </c>
      <c r="AC217" s="204">
        <f t="shared" si="816"/>
        <v>19.737037037037037</v>
      </c>
      <c r="AD217" s="204">
        <f t="shared" si="816"/>
        <v>19.643636363636364</v>
      </c>
      <c r="AE217" s="204">
        <f t="shared" si="816"/>
        <v>27.459190915542937</v>
      </c>
      <c r="AF217" s="204">
        <f t="shared" si="816"/>
        <v>27.459190915542937</v>
      </c>
      <c r="AG217" s="204">
        <f t="shared" si="816"/>
        <v>17.501737317581654</v>
      </c>
      <c r="AH217" s="204">
        <f t="shared" si="816"/>
        <v>19.669167803547065</v>
      </c>
      <c r="AI217" s="204">
        <f t="shared" si="816"/>
        <v>19.248998664886514</v>
      </c>
      <c r="AJ217" s="204">
        <f t="shared" si="816"/>
        <v>30.851755526657996</v>
      </c>
      <c r="AK217" s="204">
        <f t="shared" si="816"/>
        <v>30.851755526657996</v>
      </c>
      <c r="AL217" s="204">
        <f t="shared" si="816"/>
        <v>21.443750000000001</v>
      </c>
      <c r="AM217" s="204">
        <f t="shared" si="816"/>
        <v>17.466257668711656</v>
      </c>
      <c r="AN217" s="204">
        <f t="shared" si="816"/>
        <v>15.494238932686477</v>
      </c>
      <c r="AO217" s="204">
        <f t="shared" si="816"/>
        <v>28.201618300176431</v>
      </c>
      <c r="AP217" s="204">
        <f t="shared" si="816"/>
        <v>28.201618300176431</v>
      </c>
      <c r="AQ217" s="204">
        <f t="shared" si="816"/>
        <v>18.938466295609157</v>
      </c>
      <c r="AR217" s="204">
        <f t="shared" si="816"/>
        <v>23.653027217182004</v>
      </c>
      <c r="AS217" s="204">
        <f t="shared" si="816"/>
        <v>16.634114583333332</v>
      </c>
      <c r="AT217" s="204">
        <f t="shared" si="816"/>
        <v>8.1935490644883568</v>
      </c>
      <c r="AU217" s="204">
        <f t="shared" si="816"/>
        <v>8.1935490644883568</v>
      </c>
      <c r="AV217" s="45"/>
      <c r="AW217" s="204"/>
      <c r="AX217" s="204">
        <f>365*AX25/AX210</f>
        <v>8.9619412926638802</v>
      </c>
      <c r="AY217" s="204">
        <f>365*AY25/AY210</f>
        <v>6.3133333333333335</v>
      </c>
      <c r="AZ217" s="204"/>
      <c r="BA217" s="204"/>
      <c r="BB217" s="204">
        <f t="shared" ref="BB217:BQ217" si="817">365*BB25/BB210</f>
        <v>17.558853633572159</v>
      </c>
      <c r="BC217" s="204">
        <f t="shared" si="817"/>
        <v>14.15751758595753</v>
      </c>
      <c r="BD217" s="204">
        <f t="shared" si="817"/>
        <v>20.634238913304035</v>
      </c>
      <c r="BE217" s="204">
        <f t="shared" si="817"/>
        <v>24.814149509465246</v>
      </c>
      <c r="BF217" s="204">
        <f t="shared" si="817"/>
        <v>24.814149509465246</v>
      </c>
      <c r="BG217" s="204">
        <f t="shared" si="817"/>
        <v>22.662490482453105</v>
      </c>
      <c r="BH217" s="204">
        <f t="shared" si="817"/>
        <v>21.695988995076743</v>
      </c>
      <c r="BI217" s="204">
        <f t="shared" si="817"/>
        <v>18.438849507047991</v>
      </c>
      <c r="BJ217" s="204">
        <f t="shared" si="817"/>
        <v>24.176147319706903</v>
      </c>
      <c r="BK217" s="204">
        <f t="shared" si="817"/>
        <v>24.176147319706903</v>
      </c>
      <c r="BL217" s="204">
        <f t="shared" si="817"/>
        <v>23.24782004296727</v>
      </c>
      <c r="BM217" s="204">
        <f t="shared" si="817"/>
        <v>28.46204434423149</v>
      </c>
      <c r="BN217" s="204">
        <f t="shared" si="817"/>
        <v>27.79515938606848</v>
      </c>
      <c r="BO217" s="204">
        <f t="shared" si="817"/>
        <v>58.123399897593444</v>
      </c>
      <c r="BP217" s="204">
        <f t="shared" si="817"/>
        <v>58.123399897593444</v>
      </c>
      <c r="BQ217" s="204">
        <f t="shared" si="817"/>
        <v>148.2035053554041</v>
      </c>
      <c r="BR217" s="204">
        <f t="shared" ref="BR217:BX217" si="818">365*BR25/BR210</f>
        <v>122.51392757660165</v>
      </c>
      <c r="BS217" s="204">
        <f t="shared" si="818"/>
        <v>189.75535168195717</v>
      </c>
      <c r="BT217" s="204">
        <f t="shared" si="818"/>
        <v>533.73770491803282</v>
      </c>
      <c r="BU217" s="204">
        <f t="shared" si="818"/>
        <v>533.73770491803282</v>
      </c>
      <c r="BV217" s="204">
        <f t="shared" si="818"/>
        <v>59.576762037683181</v>
      </c>
      <c r="BW217" s="204">
        <f t="shared" si="818"/>
        <v>47.983017087745047</v>
      </c>
      <c r="BX217" s="204">
        <f t="shared" si="818"/>
        <v>66.927903944365966</v>
      </c>
      <c r="BY217" s="204">
        <f t="shared" ref="BY217" si="819">365*BY25/BY210</f>
        <v>72.919314727825366</v>
      </c>
      <c r="BZ217" s="204">
        <f>365*BZ25/BZ210</f>
        <v>72.919314727825366</v>
      </c>
      <c r="CA217" s="204">
        <f t="shared" ref="CA217:CC217" si="820">365*CA25/CA210</f>
        <v>102.25207412576567</v>
      </c>
      <c r="CB217" s="204">
        <f t="shared" si="820"/>
        <v>76.130686757461604</v>
      </c>
      <c r="CC217" s="204">
        <f t="shared" si="820"/>
        <v>74.119903108599118</v>
      </c>
      <c r="CD217" s="204">
        <f t="shared" ref="CD217" si="821">365*CD25/CD210</f>
        <v>78.44763454608858</v>
      </c>
      <c r="CE217" s="204">
        <f>365*CE25/CE210</f>
        <v>78.44763454608858</v>
      </c>
      <c r="CF217" s="204">
        <f t="shared" ref="CF217:CI217" si="822">365*CF25/CF210</f>
        <v>81.365189657136355</v>
      </c>
      <c r="CG217" s="204">
        <f t="shared" si="822"/>
        <v>77.112964835411759</v>
      </c>
      <c r="CH217" s="204">
        <f t="shared" si="822"/>
        <v>73.30107231234534</v>
      </c>
      <c r="CI217" s="204">
        <f t="shared" si="822"/>
        <v>81.450845808787776</v>
      </c>
      <c r="CJ217" s="204">
        <f>365*CJ25/CJ210</f>
        <v>81.450845808787776</v>
      </c>
      <c r="CK217" s="204">
        <f t="shared" si="808"/>
        <v>81.365189657136355</v>
      </c>
      <c r="CL217" s="205">
        <f t="shared" si="777"/>
        <v>77.112964835411759</v>
      </c>
      <c r="CM217" s="205">
        <f t="shared" si="778"/>
        <v>73.30107231234534</v>
      </c>
      <c r="CN217" s="205">
        <f t="shared" si="779"/>
        <v>81.450845808787776</v>
      </c>
      <c r="CO217" s="204">
        <f>365*CO25/CO210</f>
        <v>81.450845808787776</v>
      </c>
      <c r="CP217" s="205">
        <f t="shared" si="809"/>
        <v>81.365189657136355</v>
      </c>
      <c r="CQ217" s="205">
        <f t="shared" si="780"/>
        <v>77.112964835411759</v>
      </c>
      <c r="CR217" s="205">
        <f t="shared" si="781"/>
        <v>73.30107231234534</v>
      </c>
      <c r="CS217" s="205">
        <f t="shared" si="782"/>
        <v>81.450845808787776</v>
      </c>
      <c r="CT217" s="204">
        <f>365*CT25/CT210</f>
        <v>81.450845808787776</v>
      </c>
      <c r="CU217" s="205">
        <f t="shared" si="810"/>
        <v>81.365189657136355</v>
      </c>
      <c r="CV217" s="205">
        <f t="shared" si="783"/>
        <v>77.112964835411759</v>
      </c>
      <c r="CW217" s="205">
        <f t="shared" si="784"/>
        <v>73.30107231234534</v>
      </c>
      <c r="CX217" s="205">
        <f t="shared" si="785"/>
        <v>81.450845808787776</v>
      </c>
      <c r="CY217" s="204">
        <f>365*CY25/CY210</f>
        <v>81.450845808787776</v>
      </c>
      <c r="CZ217" s="205">
        <f t="shared" si="811"/>
        <v>81.365189657136355</v>
      </c>
      <c r="DA217" s="205">
        <f t="shared" si="786"/>
        <v>77.112964835411759</v>
      </c>
      <c r="DB217" s="205">
        <f t="shared" si="787"/>
        <v>73.30107231234534</v>
      </c>
      <c r="DC217" s="205">
        <f t="shared" si="788"/>
        <v>81.450845808787776</v>
      </c>
      <c r="DD217" s="204">
        <f>365*DD25/DD210</f>
        <v>81.450845808787776</v>
      </c>
      <c r="DE217" s="205">
        <f t="shared" si="812"/>
        <v>81.365189657136355</v>
      </c>
      <c r="DF217" s="205">
        <f t="shared" si="789"/>
        <v>77.112964835411759</v>
      </c>
      <c r="DG217" s="205">
        <f t="shared" si="790"/>
        <v>73.30107231234534</v>
      </c>
      <c r="DH217" s="205">
        <f t="shared" si="791"/>
        <v>81.450845808787776</v>
      </c>
      <c r="DI217" s="204">
        <f>365*DI25/DI210</f>
        <v>81.450845808787776</v>
      </c>
      <c r="DJ217" s="205">
        <f t="shared" si="813"/>
        <v>81.365189657136355</v>
      </c>
      <c r="DK217" s="205">
        <f t="shared" si="792"/>
        <v>77.112964835411759</v>
      </c>
      <c r="DL217" s="205">
        <f t="shared" si="793"/>
        <v>73.30107231234534</v>
      </c>
      <c r="DM217" s="205">
        <f t="shared" si="794"/>
        <v>81.450845808787776</v>
      </c>
      <c r="DN217" s="204">
        <f>365*DN25/DN210</f>
        <v>81.450845808787761</v>
      </c>
      <c r="DO217" s="205">
        <f t="shared" si="814"/>
        <v>81.365189657136355</v>
      </c>
      <c r="DP217" s="205">
        <f t="shared" si="795"/>
        <v>77.112964835411759</v>
      </c>
      <c r="DQ217" s="205">
        <f t="shared" si="796"/>
        <v>73.30107231234534</v>
      </c>
      <c r="DR217" s="205">
        <f t="shared" si="797"/>
        <v>81.450845808787776</v>
      </c>
      <c r="DS217" s="204">
        <f>365*DS25/DS210</f>
        <v>81.450845808787776</v>
      </c>
      <c r="DT217" s="205">
        <f t="shared" si="815"/>
        <v>81.365189657136355</v>
      </c>
      <c r="DU217" s="205">
        <f t="shared" si="798"/>
        <v>77.112964835411759</v>
      </c>
      <c r="DV217" s="205">
        <f t="shared" si="799"/>
        <v>73.30107231234534</v>
      </c>
      <c r="DW217" s="205">
        <f t="shared" si="800"/>
        <v>81.450845808787776</v>
      </c>
      <c r="DX217" s="204">
        <f>365*DX25/DX210</f>
        <v>81.450845808787776</v>
      </c>
      <c r="DY217" s="204"/>
      <c r="DZ217" s="204"/>
      <c r="EA217" s="16"/>
      <c r="EB217" s="16"/>
      <c r="EC217" s="16"/>
      <c r="ED217" s="16"/>
      <c r="EE217" s="16"/>
      <c r="EF217" s="16"/>
    </row>
    <row r="218" spans="1:136" x14ac:dyDescent="0.2">
      <c r="A218" s="206" t="s">
        <v>189</v>
      </c>
      <c r="B218" s="16"/>
      <c r="C218" s="16"/>
      <c r="D218" s="16"/>
      <c r="E218" s="16"/>
      <c r="F218" s="16"/>
      <c r="G218" s="16"/>
      <c r="H218" s="204"/>
      <c r="I218" s="204"/>
      <c r="J218" s="204"/>
      <c r="K218" s="204"/>
      <c r="L218" s="16"/>
      <c r="M218" s="204"/>
      <c r="N218" s="204"/>
      <c r="O218" s="204"/>
      <c r="P218" s="204"/>
      <c r="Q218" s="204"/>
      <c r="R218" s="204"/>
      <c r="S218" s="204"/>
      <c r="T218" s="204"/>
      <c r="U218" s="204"/>
      <c r="V218" s="204"/>
      <c r="W218" s="204"/>
      <c r="X218" s="204"/>
      <c r="Y218" s="204"/>
      <c r="Z218" s="204" t="e">
        <f t="shared" ref="Z218:AU218" si="823">365*Z27/Z209</f>
        <v>#DIV/0!</v>
      </c>
      <c r="AA218" s="204" t="e">
        <f t="shared" si="823"/>
        <v>#DIV/0!</v>
      </c>
      <c r="AB218" s="204" t="e">
        <f t="shared" si="823"/>
        <v>#DIV/0!</v>
      </c>
      <c r="AC218" s="204" t="e">
        <f t="shared" si="823"/>
        <v>#DIV/0!</v>
      </c>
      <c r="AD218" s="204" t="e">
        <f t="shared" si="823"/>
        <v>#DIV/0!</v>
      </c>
      <c r="AE218" s="204" t="e">
        <f t="shared" si="823"/>
        <v>#DIV/0!</v>
      </c>
      <c r="AF218" s="204" t="e">
        <f t="shared" si="823"/>
        <v>#DIV/0!</v>
      </c>
      <c r="AG218" s="204" t="e">
        <f t="shared" si="823"/>
        <v>#DIV/0!</v>
      </c>
      <c r="AH218" s="204" t="e">
        <f t="shared" si="823"/>
        <v>#DIV/0!</v>
      </c>
      <c r="AI218" s="204" t="e">
        <f t="shared" si="823"/>
        <v>#DIV/0!</v>
      </c>
      <c r="AJ218" s="204" t="e">
        <f t="shared" si="823"/>
        <v>#DIV/0!</v>
      </c>
      <c r="AK218" s="204" t="e">
        <f t="shared" si="823"/>
        <v>#DIV/0!</v>
      </c>
      <c r="AL218" s="204" t="e">
        <f t="shared" si="823"/>
        <v>#DIV/0!</v>
      </c>
      <c r="AM218" s="204" t="e">
        <f t="shared" si="823"/>
        <v>#DIV/0!</v>
      </c>
      <c r="AN218" s="204" t="e">
        <f t="shared" si="823"/>
        <v>#DIV/0!</v>
      </c>
      <c r="AO218" s="204" t="e">
        <f t="shared" si="823"/>
        <v>#DIV/0!</v>
      </c>
      <c r="AP218" s="204" t="e">
        <f t="shared" si="823"/>
        <v>#DIV/0!</v>
      </c>
      <c r="AQ218" s="204" t="e">
        <f t="shared" si="823"/>
        <v>#DIV/0!</v>
      </c>
      <c r="AR218" s="204" t="e">
        <f t="shared" si="823"/>
        <v>#DIV/0!</v>
      </c>
      <c r="AS218" s="204">
        <f t="shared" si="823"/>
        <v>135.44563578488859</v>
      </c>
      <c r="AT218" s="204">
        <f t="shared" si="823"/>
        <v>60.110254938929415</v>
      </c>
      <c r="AU218" s="204">
        <f t="shared" si="823"/>
        <v>60.110254938929415</v>
      </c>
      <c r="AV218" s="45"/>
      <c r="AW218" s="204"/>
      <c r="AX218" s="204">
        <f t="shared" ref="AX218:BU218" si="824">365*AX27/AX209</f>
        <v>40.292598494422769</v>
      </c>
      <c r="AY218" s="204">
        <f t="shared" si="824"/>
        <v>46.528715281620002</v>
      </c>
      <c r="AZ218" s="204"/>
      <c r="BA218" s="204"/>
      <c r="BB218" s="204">
        <f t="shared" si="824"/>
        <v>54.299904057791075</v>
      </c>
      <c r="BC218" s="204">
        <f t="shared" si="824"/>
        <v>35.755290837663161</v>
      </c>
      <c r="BD218" s="204">
        <f t="shared" si="824"/>
        <v>36.437071611790927</v>
      </c>
      <c r="BE218" s="204">
        <f t="shared" si="824"/>
        <v>37.926745729331678</v>
      </c>
      <c r="BF218" s="204">
        <f t="shared" si="824"/>
        <v>37.926745729331678</v>
      </c>
      <c r="BG218" s="204">
        <f t="shared" si="824"/>
        <v>35.250042488103333</v>
      </c>
      <c r="BH218" s="204">
        <f t="shared" si="824"/>
        <v>30.562200956937801</v>
      </c>
      <c r="BI218" s="204">
        <f t="shared" si="824"/>
        <v>36.176991150442475</v>
      </c>
      <c r="BJ218" s="204">
        <f t="shared" si="824"/>
        <v>38.298239383022981</v>
      </c>
      <c r="BK218" s="204">
        <f t="shared" si="824"/>
        <v>38.298239383022981</v>
      </c>
      <c r="BL218" s="204">
        <f t="shared" si="824"/>
        <v>43.790709781917045</v>
      </c>
      <c r="BM218" s="204">
        <f t="shared" si="824"/>
        <v>39.706383849406627</v>
      </c>
      <c r="BN218" s="204">
        <f t="shared" si="824"/>
        <v>51.672370877411318</v>
      </c>
      <c r="BO218" s="204">
        <f t="shared" si="824"/>
        <v>56.359591729913639</v>
      </c>
      <c r="BP218" s="204">
        <f t="shared" si="824"/>
        <v>56.359591729913639</v>
      </c>
      <c r="BQ218" s="204">
        <f t="shared" si="824"/>
        <v>57.910806984426614</v>
      </c>
      <c r="BR218" s="204">
        <f t="shared" si="824"/>
        <v>54.764006139677662</v>
      </c>
      <c r="BS218" s="204">
        <f t="shared" si="824"/>
        <v>143.52991779774425</v>
      </c>
      <c r="BT218" s="204">
        <f t="shared" si="824"/>
        <v>97.187004092541542</v>
      </c>
      <c r="BU218" s="204">
        <f t="shared" si="824"/>
        <v>97.187004092541542</v>
      </c>
      <c r="BV218" s="204">
        <f t="shared" ref="BV218:BX218" si="825">365*BV27/BV209</f>
        <v>40.474316783516961</v>
      </c>
      <c r="BW218" s="204">
        <f t="shared" si="825"/>
        <v>43.028561852091265</v>
      </c>
      <c r="BX218" s="204">
        <f t="shared" si="825"/>
        <v>54.368544715845125</v>
      </c>
      <c r="BY218" s="204">
        <f t="shared" ref="BY218" si="826">365*BY27/BY209</f>
        <v>39.749888949212774</v>
      </c>
      <c r="BZ218" s="204">
        <f>365*BZ27/BZ209</f>
        <v>39.749888949212774</v>
      </c>
      <c r="CA218" s="204">
        <f t="shared" ref="CA218:CC218" si="827">365*CA27/CA209</f>
        <v>43.358101748650128</v>
      </c>
      <c r="CB218" s="204">
        <f t="shared" si="827"/>
        <v>42.800713683897513</v>
      </c>
      <c r="CC218" s="204">
        <f t="shared" si="827"/>
        <v>45.212396734614074</v>
      </c>
      <c r="CD218" s="204">
        <f t="shared" ref="CD218" si="828">365*CD27/CD209</f>
        <v>41.317797857098064</v>
      </c>
      <c r="CE218" s="204">
        <f>365*CE27/CE209</f>
        <v>41.317797857098064</v>
      </c>
      <c r="CF218" s="204">
        <f t="shared" ref="CF218:CI218" si="829">365*CF27/CF209</f>
        <v>42.85504791999773</v>
      </c>
      <c r="CG218" s="204">
        <f t="shared" si="829"/>
        <v>41.574236525490811</v>
      </c>
      <c r="CH218" s="204">
        <f t="shared" si="829"/>
        <v>43.489068731362046</v>
      </c>
      <c r="CI218" s="204">
        <f t="shared" si="829"/>
        <v>66.856712047376575</v>
      </c>
      <c r="CJ218" s="204">
        <f>365*CJ27/CJ209</f>
        <v>66.856712047376575</v>
      </c>
      <c r="CK218" s="204">
        <f t="shared" si="808"/>
        <v>42.85504791999773</v>
      </c>
      <c r="CL218" s="205">
        <f t="shared" si="777"/>
        <v>41.574236525490811</v>
      </c>
      <c r="CM218" s="205">
        <f t="shared" si="778"/>
        <v>43.489068731362046</v>
      </c>
      <c r="CN218" s="205">
        <f t="shared" si="779"/>
        <v>66.856712047376575</v>
      </c>
      <c r="CO218" s="204">
        <f>365*CO27/CO209</f>
        <v>66.856712047376575</v>
      </c>
      <c r="CP218" s="205">
        <f t="shared" si="809"/>
        <v>42.85504791999773</v>
      </c>
      <c r="CQ218" s="205">
        <f t="shared" si="780"/>
        <v>41.574236525490811</v>
      </c>
      <c r="CR218" s="205">
        <f t="shared" si="781"/>
        <v>43.489068731362046</v>
      </c>
      <c r="CS218" s="205">
        <f t="shared" si="782"/>
        <v>66.856712047376575</v>
      </c>
      <c r="CT218" s="204">
        <f>365*CT27/CT209</f>
        <v>66.856712047376575</v>
      </c>
      <c r="CU218" s="205">
        <f t="shared" si="810"/>
        <v>42.85504791999773</v>
      </c>
      <c r="CV218" s="205">
        <f t="shared" si="783"/>
        <v>41.574236525490811</v>
      </c>
      <c r="CW218" s="205">
        <f t="shared" si="784"/>
        <v>43.489068731362046</v>
      </c>
      <c r="CX218" s="205">
        <f t="shared" si="785"/>
        <v>66.856712047376575</v>
      </c>
      <c r="CY218" s="204">
        <f>365*CY27/CY209</f>
        <v>66.856712047376575</v>
      </c>
      <c r="CZ218" s="205">
        <f t="shared" si="811"/>
        <v>42.85504791999773</v>
      </c>
      <c r="DA218" s="205">
        <f t="shared" si="786"/>
        <v>41.574236525490811</v>
      </c>
      <c r="DB218" s="205">
        <f t="shared" si="787"/>
        <v>43.489068731362046</v>
      </c>
      <c r="DC218" s="205">
        <f t="shared" si="788"/>
        <v>66.856712047376575</v>
      </c>
      <c r="DD218" s="204">
        <f>365*DD27/DD209</f>
        <v>66.856712047376575</v>
      </c>
      <c r="DE218" s="205">
        <f t="shared" si="812"/>
        <v>42.85504791999773</v>
      </c>
      <c r="DF218" s="205">
        <f t="shared" si="789"/>
        <v>41.574236525490811</v>
      </c>
      <c r="DG218" s="205">
        <f t="shared" si="790"/>
        <v>43.489068731362046</v>
      </c>
      <c r="DH218" s="205">
        <f t="shared" si="791"/>
        <v>66.856712047376575</v>
      </c>
      <c r="DI218" s="204">
        <f>365*DI27/DI209</f>
        <v>66.856712047376575</v>
      </c>
      <c r="DJ218" s="205">
        <f t="shared" si="813"/>
        <v>42.85504791999773</v>
      </c>
      <c r="DK218" s="205">
        <f t="shared" si="792"/>
        <v>41.574236525490811</v>
      </c>
      <c r="DL218" s="205">
        <f t="shared" si="793"/>
        <v>43.489068731362046</v>
      </c>
      <c r="DM218" s="205">
        <f t="shared" si="794"/>
        <v>66.856712047376575</v>
      </c>
      <c r="DN218" s="204">
        <f>365*DN27/DN209</f>
        <v>66.856712047376575</v>
      </c>
      <c r="DO218" s="205">
        <f t="shared" si="814"/>
        <v>42.85504791999773</v>
      </c>
      <c r="DP218" s="205">
        <f t="shared" si="795"/>
        <v>41.574236525490811</v>
      </c>
      <c r="DQ218" s="205">
        <f t="shared" si="796"/>
        <v>43.489068731362046</v>
      </c>
      <c r="DR218" s="205">
        <f t="shared" si="797"/>
        <v>66.856712047376575</v>
      </c>
      <c r="DS218" s="204">
        <f>365*DS27/DS209</f>
        <v>66.856712047376575</v>
      </c>
      <c r="DT218" s="205">
        <f t="shared" si="815"/>
        <v>42.85504791999773</v>
      </c>
      <c r="DU218" s="205">
        <f t="shared" si="798"/>
        <v>41.574236525490811</v>
      </c>
      <c r="DV218" s="205">
        <f t="shared" si="799"/>
        <v>43.489068731362046</v>
      </c>
      <c r="DW218" s="205">
        <f t="shared" si="800"/>
        <v>66.856712047376575</v>
      </c>
      <c r="DX218" s="204">
        <f>365*DX27/DX209</f>
        <v>66.856712047376575</v>
      </c>
      <c r="DY218" s="204"/>
      <c r="DZ218" s="204"/>
      <c r="EA218" s="16"/>
      <c r="EB218" s="16"/>
      <c r="EC218" s="16"/>
      <c r="ED218" s="16"/>
      <c r="EE218" s="16"/>
      <c r="EF218" s="16"/>
    </row>
    <row r="219" spans="1:136" x14ac:dyDescent="0.2">
      <c r="A219" s="206" t="s">
        <v>668</v>
      </c>
      <c r="B219" s="16"/>
      <c r="C219" s="16"/>
      <c r="D219" s="16"/>
      <c r="E219" s="16"/>
      <c r="F219" s="16"/>
      <c r="G219" s="16"/>
      <c r="H219" s="204"/>
      <c r="I219" s="204"/>
      <c r="J219" s="204"/>
      <c r="K219" s="204"/>
      <c r="L219" s="16"/>
      <c r="M219" s="204"/>
      <c r="N219" s="204"/>
      <c r="O219" s="204"/>
      <c r="P219" s="204"/>
      <c r="Q219" s="204"/>
      <c r="R219" s="204"/>
      <c r="S219" s="204"/>
      <c r="T219" s="204"/>
      <c r="U219" s="204"/>
      <c r="V219" s="204"/>
      <c r="W219" s="204"/>
      <c r="X219" s="204"/>
      <c r="Y219" s="204"/>
      <c r="Z219" s="204"/>
      <c r="AA219" s="204"/>
      <c r="AB219" s="204"/>
      <c r="AC219" s="204"/>
      <c r="AD219" s="204"/>
      <c r="AE219" s="204"/>
      <c r="AF219" s="204"/>
      <c r="AG219" s="204"/>
      <c r="AH219" s="204"/>
      <c r="AI219" s="204"/>
      <c r="AJ219" s="204"/>
      <c r="AK219" s="204"/>
      <c r="AL219" s="204"/>
      <c r="AM219" s="204"/>
      <c r="AN219" s="204"/>
      <c r="AO219" s="204"/>
      <c r="AP219" s="204"/>
      <c r="AQ219" s="204"/>
      <c r="AR219" s="204"/>
      <c r="AS219" s="204"/>
      <c r="AT219" s="204"/>
      <c r="AU219" s="204"/>
      <c r="AV219" s="45"/>
      <c r="AW219" s="204"/>
      <c r="AX219" s="204"/>
      <c r="AY219" s="204"/>
      <c r="AZ219" s="204"/>
      <c r="BA219" s="204"/>
      <c r="BB219" s="204"/>
      <c r="BC219" s="204"/>
      <c r="BD219" s="204"/>
      <c r="BE219" s="204"/>
      <c r="BF219" s="204"/>
      <c r="BG219" s="204"/>
      <c r="BH219" s="204"/>
      <c r="BI219" s="204"/>
      <c r="BJ219" s="204"/>
      <c r="BK219" s="204"/>
      <c r="BL219" s="204"/>
      <c r="BM219" s="204"/>
      <c r="BN219" s="204"/>
      <c r="BO219" s="204"/>
      <c r="BP219" s="204"/>
      <c r="BQ219" s="204"/>
      <c r="BR219" s="204"/>
      <c r="BS219" s="204"/>
      <c r="BT219" s="34">
        <v>0.11158183662509695</v>
      </c>
      <c r="BU219" s="34">
        <v>2.8265239801085265E-2</v>
      </c>
      <c r="BV219" s="34">
        <v>8.6262418636519358E-2</v>
      </c>
      <c r="BW219" s="34">
        <v>7.5892857142857151E-2</v>
      </c>
      <c r="BX219" s="34">
        <v>7.0374999999999993E-2</v>
      </c>
      <c r="BY219" s="34">
        <v>0.10320328290561646</v>
      </c>
      <c r="BZ219" s="34">
        <v>2.6536599389017521E-2</v>
      </c>
      <c r="CA219" s="34">
        <v>9.3002035516249026E-2</v>
      </c>
      <c r="CB219" s="34">
        <v>7.8781701540859769E-2</v>
      </c>
      <c r="CC219" s="34">
        <v>7.3473734027449125E-2</v>
      </c>
      <c r="CD219" s="34">
        <v>0.11983725804463075</v>
      </c>
      <c r="CE219" s="34">
        <v>2.9541366940514804E-2</v>
      </c>
      <c r="CF219" s="34">
        <v>9.1875825627476884E-2</v>
      </c>
      <c r="CG219" s="34">
        <f t="shared" ref="CG219" si="830">CB219</f>
        <v>7.8781701540859769E-2</v>
      </c>
      <c r="CH219" s="34">
        <f t="shared" ref="CH219" si="831">CC219</f>
        <v>7.3473734027449125E-2</v>
      </c>
      <c r="CI219" s="34">
        <f t="shared" ref="CI219" si="832">CD219</f>
        <v>0.11983725804463075</v>
      </c>
      <c r="CJ219" s="34">
        <v>3.1974363500381124E-2</v>
      </c>
      <c r="CK219" s="34">
        <f t="shared" si="808"/>
        <v>9.1875825627476884E-2</v>
      </c>
      <c r="CL219" s="207">
        <f t="shared" si="777"/>
        <v>7.8781701540859769E-2</v>
      </c>
      <c r="CM219" s="207">
        <f t="shared" si="778"/>
        <v>7.3473734027449125E-2</v>
      </c>
      <c r="CN219" s="207">
        <f t="shared" si="779"/>
        <v>0.11983725804463075</v>
      </c>
      <c r="CO219" s="34">
        <v>3.0200299692373887E-2</v>
      </c>
      <c r="CP219" s="207">
        <f t="shared" si="809"/>
        <v>9.1875825627476884E-2</v>
      </c>
      <c r="CQ219" s="207">
        <f t="shared" si="780"/>
        <v>7.8781701540859769E-2</v>
      </c>
      <c r="CR219" s="207">
        <f t="shared" si="781"/>
        <v>7.3473734027449125E-2</v>
      </c>
      <c r="CS219" s="207">
        <f t="shared" si="782"/>
        <v>0.11983725804463075</v>
      </c>
      <c r="CT219" s="34">
        <v>3.0048914438799635E-2</v>
      </c>
      <c r="CU219" s="207">
        <f t="shared" si="810"/>
        <v>9.1875825627476884E-2</v>
      </c>
      <c r="CV219" s="207">
        <f t="shared" si="783"/>
        <v>7.8781701540859769E-2</v>
      </c>
      <c r="CW219" s="207">
        <f t="shared" si="784"/>
        <v>7.3473734027449125E-2</v>
      </c>
      <c r="CX219" s="207">
        <f t="shared" si="785"/>
        <v>0.11983725804463075</v>
      </c>
      <c r="CY219" s="34">
        <v>3.0082280991425101E-2</v>
      </c>
      <c r="CZ219" s="207">
        <f t="shared" si="811"/>
        <v>9.1875825627476884E-2</v>
      </c>
      <c r="DA219" s="207">
        <f t="shared" si="786"/>
        <v>7.8781701540859769E-2</v>
      </c>
      <c r="DB219" s="207">
        <f t="shared" si="787"/>
        <v>7.3473734027449125E-2</v>
      </c>
      <c r="DC219" s="207">
        <f t="shared" si="788"/>
        <v>0.11983725804463075</v>
      </c>
      <c r="DD219" s="34">
        <v>2.9964236893427507E-2</v>
      </c>
      <c r="DE219" s="207">
        <f t="shared" si="812"/>
        <v>9.1875825627476884E-2</v>
      </c>
      <c r="DF219" s="207">
        <f t="shared" si="789"/>
        <v>7.8781701540859769E-2</v>
      </c>
      <c r="DG219" s="207">
        <f t="shared" si="790"/>
        <v>7.3473734027449125E-2</v>
      </c>
      <c r="DH219" s="207">
        <f t="shared" si="791"/>
        <v>0.11983725804463075</v>
      </c>
      <c r="DI219" s="34">
        <v>2.9945307231581422E-2</v>
      </c>
      <c r="DJ219" s="207">
        <f t="shared" si="813"/>
        <v>9.1875825627476884E-2</v>
      </c>
      <c r="DK219" s="207">
        <f t="shared" si="792"/>
        <v>7.8781701540859769E-2</v>
      </c>
      <c r="DL219" s="207">
        <f t="shared" si="793"/>
        <v>7.3473734027449125E-2</v>
      </c>
      <c r="DM219" s="207">
        <f t="shared" si="794"/>
        <v>0.11983725804463075</v>
      </c>
      <c r="DN219" s="34">
        <v>2.9849214876511668E-2</v>
      </c>
      <c r="DO219" s="207">
        <f t="shared" si="814"/>
        <v>9.1875825627476884E-2</v>
      </c>
      <c r="DP219" s="207">
        <f t="shared" si="795"/>
        <v>7.8781701540859769E-2</v>
      </c>
      <c r="DQ219" s="207">
        <f t="shared" si="796"/>
        <v>7.3473734027449125E-2</v>
      </c>
      <c r="DR219" s="207">
        <f t="shared" si="797"/>
        <v>0.11983725804463075</v>
      </c>
      <c r="DS219" s="34">
        <v>2.9907728556143213E-2</v>
      </c>
      <c r="DT219" s="207">
        <f t="shared" si="815"/>
        <v>9.1875825627476884E-2</v>
      </c>
      <c r="DU219" s="207">
        <f t="shared" si="798"/>
        <v>7.8781701540859769E-2</v>
      </c>
      <c r="DV219" s="207">
        <f t="shared" si="799"/>
        <v>7.3473734027449125E-2</v>
      </c>
      <c r="DW219" s="207">
        <f t="shared" si="800"/>
        <v>0.11983725804463075</v>
      </c>
      <c r="DX219" s="34"/>
      <c r="DY219" s="204"/>
      <c r="DZ219" s="204"/>
      <c r="EA219" s="16"/>
      <c r="EB219" s="16"/>
      <c r="EC219" s="16"/>
      <c r="ED219" s="16"/>
      <c r="EE219" s="16"/>
      <c r="EF219" s="16"/>
    </row>
    <row r="220" spans="1:136" x14ac:dyDescent="0.2">
      <c r="A220" s="19"/>
      <c r="B220" s="22"/>
      <c r="C220" s="22"/>
      <c r="D220" s="22"/>
      <c r="E220" s="22"/>
      <c r="F220" s="22"/>
      <c r="G220" s="22"/>
      <c r="H220" s="22"/>
      <c r="I220" s="22"/>
      <c r="J220" s="22"/>
      <c r="K220" s="22"/>
      <c r="L220" s="21"/>
      <c r="M220" s="16"/>
      <c r="N220" s="16"/>
      <c r="O220" s="16"/>
      <c r="P220" s="16"/>
      <c r="Q220" s="16"/>
      <c r="R220" s="16"/>
      <c r="S220" s="16"/>
      <c r="T220" s="16"/>
      <c r="U220" s="16"/>
      <c r="V220" s="16"/>
      <c r="W220" s="147"/>
      <c r="X220" s="147"/>
      <c r="Y220" s="147"/>
      <c r="Z220" s="16"/>
      <c r="AA220" s="16"/>
      <c r="AB220" s="16"/>
      <c r="AC220" s="16"/>
      <c r="AD220" s="16"/>
      <c r="AE220" s="16"/>
      <c r="AF220" s="16"/>
      <c r="AG220" s="16"/>
      <c r="AH220" s="16"/>
      <c r="AI220" s="16"/>
      <c r="AJ220" s="16"/>
      <c r="AK220" s="16"/>
      <c r="AL220" s="16"/>
      <c r="AM220" s="16"/>
      <c r="AN220" s="16"/>
      <c r="AO220" s="16"/>
      <c r="AP220" s="16"/>
      <c r="AQ220" s="16"/>
      <c r="AR220" s="16"/>
      <c r="AS220" s="16"/>
      <c r="AT220" s="16"/>
      <c r="AU220" s="16"/>
      <c r="AV220" s="45"/>
      <c r="AW220" s="16"/>
      <c r="AX220" s="16"/>
      <c r="AY220" s="16"/>
      <c r="AZ220" s="21"/>
      <c r="BA220" s="16"/>
      <c r="BB220" s="147"/>
      <c r="BC220" s="147"/>
      <c r="BD220" s="147"/>
      <c r="BE220" s="16"/>
      <c r="BF220" s="16"/>
      <c r="BG220" s="147"/>
      <c r="BH220" s="147"/>
      <c r="BI220" s="147"/>
      <c r="BJ220" s="16"/>
      <c r="BK220" s="16"/>
      <c r="BL220" s="147"/>
      <c r="BM220" s="147"/>
      <c r="BN220" s="16"/>
      <c r="BO220" s="16"/>
      <c r="BP220" s="147"/>
      <c r="BQ220" s="147"/>
      <c r="BR220" s="147"/>
      <c r="BS220" s="16"/>
      <c r="BT220" s="147"/>
      <c r="BU220" s="16"/>
      <c r="BV220" s="16"/>
      <c r="BW220" s="1353"/>
      <c r="BX220" s="16"/>
      <c r="BY220" s="16"/>
      <c r="BZ220" s="16"/>
      <c r="CA220" s="16"/>
      <c r="CB220" s="16"/>
      <c r="CC220" s="16"/>
      <c r="CD220" s="16"/>
      <c r="CE220" s="16"/>
      <c r="CF220" s="16"/>
      <c r="CG220" s="16"/>
      <c r="CH220" s="16"/>
      <c r="CI220" s="16"/>
      <c r="CJ220" s="16"/>
      <c r="CK220" s="16"/>
      <c r="CL220" s="147"/>
      <c r="CM220" s="147"/>
      <c r="CN220" s="147"/>
      <c r="CO220" s="147"/>
      <c r="CP220" s="147"/>
      <c r="CQ220" s="147"/>
      <c r="CR220" s="147"/>
      <c r="CS220" s="147"/>
      <c r="CT220" s="147"/>
      <c r="CU220" s="147"/>
      <c r="CV220" s="147"/>
      <c r="CW220" s="147"/>
      <c r="CX220" s="147"/>
      <c r="CY220" s="147"/>
      <c r="CZ220" s="147"/>
      <c r="DA220" s="147"/>
      <c r="DB220" s="147"/>
      <c r="DC220" s="147"/>
      <c r="DD220" s="147"/>
      <c r="DE220" s="147"/>
      <c r="DF220" s="147"/>
      <c r="DG220" s="147"/>
      <c r="DH220" s="147"/>
      <c r="DI220" s="147"/>
      <c r="DJ220" s="147"/>
      <c r="DK220" s="147"/>
      <c r="DL220" s="147"/>
      <c r="DM220" s="147"/>
      <c r="DN220" s="147"/>
      <c r="DO220" s="147"/>
      <c r="DP220" s="147"/>
      <c r="DQ220" s="147"/>
      <c r="DR220" s="147"/>
      <c r="DS220" s="147"/>
      <c r="DT220" s="147"/>
      <c r="DU220" s="147"/>
      <c r="DV220" s="147"/>
      <c r="DW220" s="147"/>
      <c r="DX220" s="147"/>
      <c r="DY220" s="16"/>
      <c r="DZ220" s="16"/>
      <c r="EA220" s="16"/>
      <c r="EB220" s="16"/>
      <c r="EC220" s="16"/>
      <c r="ED220" s="16"/>
      <c r="EE220" s="16"/>
      <c r="EF220" s="16"/>
    </row>
    <row r="221" spans="1:136" x14ac:dyDescent="0.2">
      <c r="A221" s="19" t="s">
        <v>200</v>
      </c>
      <c r="B221" s="201">
        <f t="shared" ref="B221:K221" si="833">B16-B36</f>
        <v>0</v>
      </c>
      <c r="C221" s="201">
        <f t="shared" si="833"/>
        <v>0</v>
      </c>
      <c r="D221" s="201">
        <f t="shared" si="833"/>
        <v>0</v>
      </c>
      <c r="E221" s="201">
        <f t="shared" si="833"/>
        <v>0</v>
      </c>
      <c r="F221" s="201">
        <f t="shared" si="833"/>
        <v>0</v>
      </c>
      <c r="G221" s="201">
        <f t="shared" si="833"/>
        <v>0</v>
      </c>
      <c r="H221" s="201">
        <f t="shared" si="833"/>
        <v>0</v>
      </c>
      <c r="I221" s="201">
        <f t="shared" si="833"/>
        <v>0</v>
      </c>
      <c r="J221" s="201">
        <f t="shared" si="833"/>
        <v>0</v>
      </c>
      <c r="K221" s="201">
        <f t="shared" si="833"/>
        <v>0</v>
      </c>
      <c r="L221" s="201">
        <f t="shared" ref="L221:V221" si="834">L16-L32</f>
        <v>0</v>
      </c>
      <c r="M221" s="201">
        <f t="shared" si="834"/>
        <v>0</v>
      </c>
      <c r="N221" s="201">
        <f t="shared" si="834"/>
        <v>0</v>
      </c>
      <c r="O221" s="201">
        <f t="shared" si="834"/>
        <v>0</v>
      </c>
      <c r="P221" s="201">
        <f t="shared" si="834"/>
        <v>0</v>
      </c>
      <c r="Q221" s="201">
        <f t="shared" si="834"/>
        <v>0</v>
      </c>
      <c r="R221" s="201">
        <f t="shared" si="834"/>
        <v>0</v>
      </c>
      <c r="S221" s="201">
        <f t="shared" si="834"/>
        <v>0</v>
      </c>
      <c r="T221" s="201">
        <f t="shared" si="834"/>
        <v>0</v>
      </c>
      <c r="U221" s="201">
        <f t="shared" si="834"/>
        <v>240</v>
      </c>
      <c r="V221" s="201">
        <f t="shared" si="834"/>
        <v>240</v>
      </c>
      <c r="W221" s="201"/>
      <c r="X221" s="201"/>
      <c r="Y221" s="201"/>
      <c r="Z221" s="201">
        <f>Z16-Z36</f>
        <v>369</v>
      </c>
      <c r="AA221" s="201">
        <f t="shared" ref="AA221:AU221" si="835">AA16-AA32</f>
        <v>-39</v>
      </c>
      <c r="AB221" s="201">
        <f t="shared" si="835"/>
        <v>-17</v>
      </c>
      <c r="AC221" s="201">
        <f t="shared" si="835"/>
        <v>-44</v>
      </c>
      <c r="AD221" s="201">
        <f t="shared" si="835"/>
        <v>-44</v>
      </c>
      <c r="AE221" s="201">
        <f t="shared" si="835"/>
        <v>-30</v>
      </c>
      <c r="AF221" s="201">
        <f t="shared" si="835"/>
        <v>-30</v>
      </c>
      <c r="AG221" s="201">
        <f t="shared" si="835"/>
        <v>-19</v>
      </c>
      <c r="AH221" s="201">
        <f t="shared" si="835"/>
        <v>-12</v>
      </c>
      <c r="AI221" s="201">
        <f t="shared" si="835"/>
        <v>-34</v>
      </c>
      <c r="AJ221" s="201">
        <f t="shared" si="835"/>
        <v>-52</v>
      </c>
      <c r="AK221" s="201">
        <f t="shared" si="835"/>
        <v>-52</v>
      </c>
      <c r="AL221" s="201">
        <f t="shared" si="835"/>
        <v>-57</v>
      </c>
      <c r="AM221" s="201">
        <f t="shared" si="835"/>
        <v>-59</v>
      </c>
      <c r="AN221" s="201">
        <f t="shared" si="835"/>
        <v>-71</v>
      </c>
      <c r="AO221" s="201">
        <f t="shared" si="835"/>
        <v>-111.69999999999999</v>
      </c>
      <c r="AP221" s="201">
        <f t="shared" si="835"/>
        <v>-111.69999999999999</v>
      </c>
      <c r="AQ221" s="201">
        <f t="shared" si="835"/>
        <v>-92.299999999999955</v>
      </c>
      <c r="AR221" s="201">
        <f t="shared" si="835"/>
        <v>-86.599999999999909</v>
      </c>
      <c r="AS221" s="201">
        <f t="shared" si="835"/>
        <v>-75.000000000000057</v>
      </c>
      <c r="AT221" s="201">
        <f t="shared" si="835"/>
        <v>-39.000000000000057</v>
      </c>
      <c r="AU221" s="201">
        <f t="shared" si="835"/>
        <v>-39.000000000000057</v>
      </c>
      <c r="AV221" s="45"/>
      <c r="AW221" s="201"/>
      <c r="AX221" s="201">
        <f t="shared" ref="AX221:BZ221" si="836">AX16-AX32</f>
        <v>-39.000000000000057</v>
      </c>
      <c r="AY221" s="201">
        <f t="shared" si="836"/>
        <v>17.39999999999992</v>
      </c>
      <c r="AZ221" s="201">
        <f t="shared" si="836"/>
        <v>99.500000000000057</v>
      </c>
      <c r="BA221" s="201">
        <f t="shared" si="836"/>
        <v>99.500000000000057</v>
      </c>
      <c r="BB221" s="201">
        <f t="shared" si="836"/>
        <v>146.50000000000006</v>
      </c>
      <c r="BC221" s="201">
        <f t="shared" si="836"/>
        <v>600</v>
      </c>
      <c r="BD221" s="201">
        <f t="shared" si="836"/>
        <v>661.4</v>
      </c>
      <c r="BE221" s="201">
        <f t="shared" si="836"/>
        <v>252.10000000000002</v>
      </c>
      <c r="BF221" s="201">
        <f t="shared" si="836"/>
        <v>252.10000000000002</v>
      </c>
      <c r="BG221" s="201">
        <f t="shared" si="836"/>
        <v>269.39999999999992</v>
      </c>
      <c r="BH221" s="201">
        <f t="shared" si="836"/>
        <v>292.90000000000009</v>
      </c>
      <c r="BI221" s="201">
        <f t="shared" si="836"/>
        <v>360.89999999999986</v>
      </c>
      <c r="BJ221" s="201">
        <f t="shared" si="836"/>
        <v>492.7</v>
      </c>
      <c r="BK221" s="201">
        <f t="shared" si="836"/>
        <v>492.7</v>
      </c>
      <c r="BL221" s="201">
        <f t="shared" si="836"/>
        <v>550.89999999999986</v>
      </c>
      <c r="BM221" s="201">
        <f t="shared" si="836"/>
        <v>599.89999999999986</v>
      </c>
      <c r="BN221" s="201">
        <f t="shared" si="836"/>
        <v>682.5</v>
      </c>
      <c r="BO221" s="201">
        <f t="shared" si="836"/>
        <v>728.39999999999986</v>
      </c>
      <c r="BP221" s="201">
        <f t="shared" si="836"/>
        <v>728.39999999999986</v>
      </c>
      <c r="BQ221" s="201">
        <f t="shared" si="836"/>
        <v>773.8</v>
      </c>
      <c r="BR221" s="201">
        <f t="shared" si="836"/>
        <v>830.10000000000025</v>
      </c>
      <c r="BS221" s="201">
        <f t="shared" si="836"/>
        <v>757.49999999999989</v>
      </c>
      <c r="BT221" s="201">
        <f t="shared" si="836"/>
        <v>735.90000000000009</v>
      </c>
      <c r="BU221" s="201">
        <f t="shared" si="836"/>
        <v>735.90000000000009</v>
      </c>
      <c r="BV221" s="201">
        <f t="shared" si="836"/>
        <v>783.50000000000011</v>
      </c>
      <c r="BW221" s="1398">
        <f t="shared" si="836"/>
        <v>401.70000000000005</v>
      </c>
      <c r="BX221" s="201">
        <f t="shared" si="836"/>
        <v>425.90000000000009</v>
      </c>
      <c r="BY221" s="201">
        <f t="shared" ref="BY221" si="837">BY16-BY32</f>
        <v>248.5</v>
      </c>
      <c r="BZ221" s="201">
        <f t="shared" si="836"/>
        <v>248.5</v>
      </c>
      <c r="CA221" s="201">
        <f t="shared" ref="CA221:CC221" si="838">CA16-CA32</f>
        <v>363.29999999999995</v>
      </c>
      <c r="CB221" s="201">
        <f t="shared" si="838"/>
        <v>493.79999999999995</v>
      </c>
      <c r="CC221" s="201">
        <f t="shared" si="838"/>
        <v>687.3</v>
      </c>
      <c r="CD221" s="201">
        <f t="shared" ref="CD221:DI221" si="839">CD16-CD32</f>
        <v>886.3</v>
      </c>
      <c r="CE221" s="201">
        <f t="shared" si="839"/>
        <v>886.3</v>
      </c>
      <c r="CF221" s="201">
        <f t="shared" si="839"/>
        <v>302.20000000000027</v>
      </c>
      <c r="CG221" s="201">
        <f t="shared" si="839"/>
        <v>2908.8</v>
      </c>
      <c r="CH221" s="201">
        <f t="shared" si="839"/>
        <v>2971.3</v>
      </c>
      <c r="CI221" s="201">
        <f t="shared" si="839"/>
        <v>94.600000000000136</v>
      </c>
      <c r="CJ221" s="201">
        <f t="shared" si="839"/>
        <v>94.600000000000136</v>
      </c>
      <c r="CK221" s="201">
        <f t="shared" si="839"/>
        <v>243.30000000000018</v>
      </c>
      <c r="CL221" s="202">
        <f t="shared" si="839"/>
        <v>302.31775132927646</v>
      </c>
      <c r="CM221" s="202">
        <f t="shared" si="839"/>
        <v>414.08828322107956</v>
      </c>
      <c r="CN221" s="202">
        <f t="shared" si="839"/>
        <v>529.7923593277601</v>
      </c>
      <c r="CO221" s="202">
        <f t="shared" si="839"/>
        <v>529.7923593277601</v>
      </c>
      <c r="CP221" s="202">
        <f t="shared" si="839"/>
        <v>597.4900085326808</v>
      </c>
      <c r="CQ221" s="202">
        <f t="shared" si="839"/>
        <v>693.70080520438592</v>
      </c>
      <c r="CR221" s="202">
        <f t="shared" si="839"/>
        <v>838.18403167924589</v>
      </c>
      <c r="CS221" s="202">
        <f t="shared" si="839"/>
        <v>988.99974218195621</v>
      </c>
      <c r="CT221" s="202">
        <f t="shared" si="839"/>
        <v>988.99974218195621</v>
      </c>
      <c r="CU221" s="202">
        <f t="shared" si="839"/>
        <v>1059.911749585415</v>
      </c>
      <c r="CV221" s="202">
        <f t="shared" si="839"/>
        <v>1185.3662149617917</v>
      </c>
      <c r="CW221" s="202">
        <f t="shared" si="839"/>
        <v>1363.6219662671672</v>
      </c>
      <c r="CX221" s="202">
        <f t="shared" si="839"/>
        <v>-4566.8615904512353</v>
      </c>
      <c r="CY221" s="202">
        <f t="shared" si="839"/>
        <v>-4566.8615904512353</v>
      </c>
      <c r="CZ221" s="202">
        <f t="shared" si="839"/>
        <v>-4448.5700524597023</v>
      </c>
      <c r="DA221" s="202">
        <f t="shared" si="839"/>
        <v>-4283.1955836720072</v>
      </c>
      <c r="DB221" s="202">
        <f t="shared" si="839"/>
        <v>-4055.9632985648864</v>
      </c>
      <c r="DC221" s="202">
        <f t="shared" si="839"/>
        <v>1660.0254107144833</v>
      </c>
      <c r="DD221" s="202">
        <f t="shared" si="839"/>
        <v>1660.0254107144833</v>
      </c>
      <c r="DE221" s="202">
        <f t="shared" si="839"/>
        <v>1806.1946720121196</v>
      </c>
      <c r="DF221" s="202">
        <f t="shared" si="839"/>
        <v>1997.9921389701083</v>
      </c>
      <c r="DG221" s="202">
        <f t="shared" si="839"/>
        <v>2259.888276824171</v>
      </c>
      <c r="DH221" s="202">
        <f t="shared" si="839"/>
        <v>2540.8307302346652</v>
      </c>
      <c r="DI221" s="202">
        <f t="shared" si="839"/>
        <v>2540.8307302346652</v>
      </c>
      <c r="DJ221" s="202">
        <f t="shared" ref="DJ221:DS221" si="840">DJ16-DJ32</f>
        <v>2695.4947457369071</v>
      </c>
      <c r="DK221" s="202">
        <f t="shared" si="840"/>
        <v>2918.3207617234689</v>
      </c>
      <c r="DL221" s="202">
        <f t="shared" si="840"/>
        <v>3216.758634329477</v>
      </c>
      <c r="DM221" s="202">
        <f t="shared" si="840"/>
        <v>3536.1900061981473</v>
      </c>
      <c r="DN221" s="202">
        <f t="shared" si="840"/>
        <v>3536.1900061981473</v>
      </c>
      <c r="DO221" s="202">
        <f t="shared" si="840"/>
        <v>3674.5621997314502</v>
      </c>
      <c r="DP221" s="202">
        <f t="shared" si="840"/>
        <v>3878.5697929575454</v>
      </c>
      <c r="DQ221" s="202">
        <f t="shared" si="840"/>
        <v>4172.6880663903939</v>
      </c>
      <c r="DR221" s="202">
        <f t="shared" si="840"/>
        <v>4493.8478936024894</v>
      </c>
      <c r="DS221" s="202">
        <f t="shared" si="840"/>
        <v>4493.8478936024894</v>
      </c>
      <c r="DT221" s="202">
        <f t="shared" ref="DT221:DX221" si="841">DT16-DT32</f>
        <v>4675.8732868173911</v>
      </c>
      <c r="DU221" s="202">
        <f t="shared" si="841"/>
        <v>4923.0114730492369</v>
      </c>
      <c r="DV221" s="202">
        <f t="shared" si="841"/>
        <v>5253.5044786694325</v>
      </c>
      <c r="DW221" s="202">
        <f t="shared" si="841"/>
        <v>5613.6334803671562</v>
      </c>
      <c r="DX221" s="202">
        <f t="shared" si="841"/>
        <v>5613.6334803671562</v>
      </c>
      <c r="DY221" s="16"/>
      <c r="DZ221" s="16"/>
      <c r="EA221" s="16"/>
      <c r="EB221" s="16"/>
      <c r="EC221" s="16"/>
      <c r="ED221" s="16"/>
      <c r="EE221" s="16"/>
      <c r="EF221" s="16"/>
    </row>
    <row r="222" spans="1:136" x14ac:dyDescent="0.2">
      <c r="A222" s="19" t="s">
        <v>201</v>
      </c>
      <c r="B222" s="201">
        <f t="shared" ref="B222:K222" si="842">B12+B13+B15-B36</f>
        <v>0</v>
      </c>
      <c r="C222" s="201">
        <f t="shared" si="842"/>
        <v>0</v>
      </c>
      <c r="D222" s="201">
        <f t="shared" si="842"/>
        <v>0</v>
      </c>
      <c r="E222" s="201">
        <f t="shared" si="842"/>
        <v>0</v>
      </c>
      <c r="F222" s="201">
        <f t="shared" si="842"/>
        <v>0</v>
      </c>
      <c r="G222" s="201">
        <f t="shared" si="842"/>
        <v>0</v>
      </c>
      <c r="H222" s="201">
        <f t="shared" si="842"/>
        <v>0</v>
      </c>
      <c r="I222" s="201">
        <f t="shared" si="842"/>
        <v>0</v>
      </c>
      <c r="J222" s="201">
        <f t="shared" si="842"/>
        <v>0</v>
      </c>
      <c r="K222" s="201">
        <f t="shared" si="842"/>
        <v>0</v>
      </c>
      <c r="L222" s="201">
        <f t="shared" ref="L222:V222" si="843">L12+L13-L25</f>
        <v>0</v>
      </c>
      <c r="M222" s="201">
        <f t="shared" si="843"/>
        <v>0</v>
      </c>
      <c r="N222" s="201">
        <f t="shared" si="843"/>
        <v>0</v>
      </c>
      <c r="O222" s="201">
        <f t="shared" si="843"/>
        <v>0</v>
      </c>
      <c r="P222" s="201">
        <f t="shared" si="843"/>
        <v>0</v>
      </c>
      <c r="Q222" s="201">
        <f t="shared" si="843"/>
        <v>0</v>
      </c>
      <c r="R222" s="201">
        <f t="shared" si="843"/>
        <v>0</v>
      </c>
      <c r="S222" s="201">
        <f t="shared" si="843"/>
        <v>0</v>
      </c>
      <c r="T222" s="201">
        <f t="shared" si="843"/>
        <v>0</v>
      </c>
      <c r="U222" s="201">
        <f t="shared" si="843"/>
        <v>62</v>
      </c>
      <c r="V222" s="201">
        <f t="shared" si="843"/>
        <v>62</v>
      </c>
      <c r="W222" s="201"/>
      <c r="X222" s="201"/>
      <c r="Y222" s="201"/>
      <c r="Z222" s="201">
        <f>Z12+Z13+Z15-Z36</f>
        <v>110</v>
      </c>
      <c r="AA222" s="201">
        <f t="shared" ref="AA222:AU222" si="844">AA12+AA13-AA25</f>
        <v>49</v>
      </c>
      <c r="AB222" s="201">
        <f t="shared" si="844"/>
        <v>103</v>
      </c>
      <c r="AC222" s="201">
        <f t="shared" si="844"/>
        <v>95</v>
      </c>
      <c r="AD222" s="201">
        <f t="shared" si="844"/>
        <v>98</v>
      </c>
      <c r="AE222" s="201">
        <f t="shared" si="844"/>
        <v>85</v>
      </c>
      <c r="AF222" s="201">
        <f t="shared" si="844"/>
        <v>85</v>
      </c>
      <c r="AG222" s="201">
        <f t="shared" si="844"/>
        <v>112</v>
      </c>
      <c r="AH222" s="201">
        <f t="shared" si="844"/>
        <v>110</v>
      </c>
      <c r="AI222" s="201">
        <f t="shared" si="844"/>
        <v>102</v>
      </c>
      <c r="AJ222" s="201">
        <f t="shared" si="844"/>
        <v>63</v>
      </c>
      <c r="AK222" s="201">
        <f t="shared" si="844"/>
        <v>63</v>
      </c>
      <c r="AL222" s="201">
        <f t="shared" si="844"/>
        <v>122</v>
      </c>
      <c r="AM222" s="201">
        <f t="shared" si="844"/>
        <v>114</v>
      </c>
      <c r="AN222" s="201">
        <f t="shared" si="844"/>
        <v>100</v>
      </c>
      <c r="AO222" s="201">
        <f t="shared" si="844"/>
        <v>89.4</v>
      </c>
      <c r="AP222" s="201">
        <f t="shared" si="844"/>
        <v>89.4</v>
      </c>
      <c r="AQ222" s="201">
        <f t="shared" si="844"/>
        <v>123.99999999999997</v>
      </c>
      <c r="AR222" s="201">
        <f t="shared" si="844"/>
        <v>98.4</v>
      </c>
      <c r="AS222" s="201">
        <f t="shared" si="844"/>
        <v>140.80000000000001</v>
      </c>
      <c r="AT222" s="201">
        <f t="shared" si="844"/>
        <v>124.4</v>
      </c>
      <c r="AU222" s="201">
        <f t="shared" si="844"/>
        <v>124.4</v>
      </c>
      <c r="AV222" s="45"/>
      <c r="AW222" s="201"/>
      <c r="AX222" s="201">
        <f t="shared" ref="AX222:BZ222" si="845">AX12+AX13-AX25</f>
        <v>124.4</v>
      </c>
      <c r="AY222" s="201">
        <f t="shared" si="845"/>
        <v>107.99999999999999</v>
      </c>
      <c r="AZ222" s="201">
        <f t="shared" si="845"/>
        <v>235.5</v>
      </c>
      <c r="BA222" s="201">
        <f t="shared" si="845"/>
        <v>235.5</v>
      </c>
      <c r="BB222" s="201">
        <f t="shared" si="845"/>
        <v>237.5</v>
      </c>
      <c r="BC222" s="201">
        <f t="shared" si="845"/>
        <v>243.8</v>
      </c>
      <c r="BD222" s="201">
        <f t="shared" si="845"/>
        <v>126.19999999999999</v>
      </c>
      <c r="BE222" s="201">
        <f t="shared" si="845"/>
        <v>123.6</v>
      </c>
      <c r="BF222" s="201">
        <f t="shared" si="845"/>
        <v>123.6</v>
      </c>
      <c r="BG222" s="201">
        <f t="shared" si="845"/>
        <v>153.5</v>
      </c>
      <c r="BH222" s="201">
        <f t="shared" si="845"/>
        <v>214.50000000000003</v>
      </c>
      <c r="BI222" s="201">
        <f t="shared" si="845"/>
        <v>201.8</v>
      </c>
      <c r="BJ222" s="201">
        <f t="shared" si="845"/>
        <v>201.60000000000002</v>
      </c>
      <c r="BK222" s="201">
        <f t="shared" si="845"/>
        <v>201.60000000000002</v>
      </c>
      <c r="BL222" s="201">
        <f t="shared" si="845"/>
        <v>238.29999999999998</v>
      </c>
      <c r="BM222" s="201">
        <f t="shared" si="845"/>
        <v>230.5</v>
      </c>
      <c r="BN222" s="201">
        <f t="shared" si="845"/>
        <v>238.39999999999998</v>
      </c>
      <c r="BO222" s="201">
        <f t="shared" si="845"/>
        <v>218.4</v>
      </c>
      <c r="BP222" s="201">
        <f t="shared" si="845"/>
        <v>218.4</v>
      </c>
      <c r="BQ222" s="201">
        <f t="shared" si="845"/>
        <v>222.3</v>
      </c>
      <c r="BR222" s="201">
        <f t="shared" si="845"/>
        <v>228.70000000000002</v>
      </c>
      <c r="BS222" s="201">
        <f t="shared" si="845"/>
        <v>235.10000000000002</v>
      </c>
      <c r="BT222" s="201">
        <f t="shared" si="845"/>
        <v>411.79999999999995</v>
      </c>
      <c r="BU222" s="201">
        <f t="shared" si="845"/>
        <v>411.79999999999995</v>
      </c>
      <c r="BV222" s="201">
        <f t="shared" si="845"/>
        <v>326.30000000000007</v>
      </c>
      <c r="BW222" s="1398">
        <f t="shared" si="845"/>
        <v>306.3</v>
      </c>
      <c r="BX222" s="201">
        <f t="shared" si="845"/>
        <v>188.70000000000005</v>
      </c>
      <c r="BY222" s="201">
        <f t="shared" ref="BY222" si="846">BY12+BY13-BY25</f>
        <v>192.70000000000005</v>
      </c>
      <c r="BZ222" s="201">
        <f t="shared" si="845"/>
        <v>192.70000000000005</v>
      </c>
      <c r="CA222" s="201">
        <f t="shared" ref="CA222:CC222" si="847">CA12+CA13-CA25</f>
        <v>234.90000000000003</v>
      </c>
      <c r="CB222" s="201">
        <f t="shared" si="847"/>
        <v>237.80000000000007</v>
      </c>
      <c r="CC222" s="201">
        <f t="shared" si="847"/>
        <v>193</v>
      </c>
      <c r="CD222" s="201">
        <f t="shared" ref="CD222:DI222" si="848">CD12+CD13-CD25</f>
        <v>209.09999999999997</v>
      </c>
      <c r="CE222" s="201">
        <f t="shared" si="848"/>
        <v>209.09999999999997</v>
      </c>
      <c r="CF222" s="201">
        <f t="shared" si="848"/>
        <v>53.900000000000034</v>
      </c>
      <c r="CG222" s="201">
        <f t="shared" si="848"/>
        <v>102.19999999999999</v>
      </c>
      <c r="CH222" s="201">
        <f t="shared" si="848"/>
        <v>148.59999999999997</v>
      </c>
      <c r="CI222" s="201">
        <f t="shared" si="848"/>
        <v>180</v>
      </c>
      <c r="CJ222" s="201">
        <f t="shared" si="848"/>
        <v>180</v>
      </c>
      <c r="CK222" s="201">
        <f t="shared" si="848"/>
        <v>213.60000000000002</v>
      </c>
      <c r="CL222" s="202">
        <f t="shared" si="848"/>
        <v>162.78927977960393</v>
      </c>
      <c r="CM222" s="202">
        <f t="shared" si="848"/>
        <v>230.42520862810812</v>
      </c>
      <c r="CN222" s="202">
        <f t="shared" si="848"/>
        <v>289.2243552184766</v>
      </c>
      <c r="CO222" s="202">
        <f t="shared" si="848"/>
        <v>289.2243552184766</v>
      </c>
      <c r="CP222" s="202">
        <f t="shared" si="848"/>
        <v>160.39288725314071</v>
      </c>
      <c r="CQ222" s="202">
        <f t="shared" si="848"/>
        <v>218.47805581910973</v>
      </c>
      <c r="CR222" s="202">
        <f t="shared" si="848"/>
        <v>271.53001749152526</v>
      </c>
      <c r="CS222" s="202">
        <f t="shared" si="848"/>
        <v>317.26568118548056</v>
      </c>
      <c r="CT222" s="202">
        <f t="shared" si="848"/>
        <v>317.26568118548056</v>
      </c>
      <c r="CU222" s="202">
        <f t="shared" si="848"/>
        <v>180.00125656527473</v>
      </c>
      <c r="CV222" s="202">
        <f t="shared" si="848"/>
        <v>240.2720724594879</v>
      </c>
      <c r="CW222" s="202">
        <f t="shared" si="848"/>
        <v>295.68359489674873</v>
      </c>
      <c r="CX222" s="202">
        <f t="shared" si="848"/>
        <v>343.88727809013113</v>
      </c>
      <c r="CY222" s="202">
        <f t="shared" si="848"/>
        <v>343.88727809013113</v>
      </c>
      <c r="CZ222" s="202">
        <f t="shared" si="848"/>
        <v>193.28717471239958</v>
      </c>
      <c r="DA222" s="202">
        <f t="shared" si="848"/>
        <v>257.63035480929159</v>
      </c>
      <c r="DB222" s="202">
        <f t="shared" si="848"/>
        <v>315.62491868882972</v>
      </c>
      <c r="DC222" s="202">
        <f t="shared" si="848"/>
        <v>365.87596584600124</v>
      </c>
      <c r="DD222" s="202">
        <f t="shared" si="848"/>
        <v>365.87596584600124</v>
      </c>
      <c r="DE222" s="202">
        <f t="shared" si="848"/>
        <v>209.80021466667176</v>
      </c>
      <c r="DF222" s="202">
        <f t="shared" si="848"/>
        <v>281.69274286312918</v>
      </c>
      <c r="DG222" s="202">
        <f t="shared" si="848"/>
        <v>347.93481659632175</v>
      </c>
      <c r="DH222" s="202">
        <f t="shared" si="848"/>
        <v>407.51910867164781</v>
      </c>
      <c r="DI222" s="202">
        <f t="shared" si="848"/>
        <v>407.51910867164781</v>
      </c>
      <c r="DJ222" s="202">
        <f t="shared" ref="DJ222:DS222" si="849">DJ12+DJ13-DJ25</f>
        <v>238.17021304078435</v>
      </c>
      <c r="DK222" s="202">
        <f t="shared" si="849"/>
        <v>311.25022912375874</v>
      </c>
      <c r="DL222" s="202">
        <f t="shared" si="849"/>
        <v>378.44727780339673</v>
      </c>
      <c r="DM222" s="202">
        <f t="shared" si="849"/>
        <v>439.56134451010007</v>
      </c>
      <c r="DN222" s="202">
        <f t="shared" si="849"/>
        <v>439.56134451010007</v>
      </c>
      <c r="DO222" s="202">
        <f t="shared" si="849"/>
        <v>244.4652212721262</v>
      </c>
      <c r="DP222" s="202">
        <f t="shared" si="849"/>
        <v>308.35341389935002</v>
      </c>
      <c r="DQ222" s="202">
        <f t="shared" si="849"/>
        <v>366.33340999638403</v>
      </c>
      <c r="DR222" s="202">
        <f t="shared" si="849"/>
        <v>411.36512266137731</v>
      </c>
      <c r="DS222" s="202">
        <f t="shared" si="849"/>
        <v>411.36512266137731</v>
      </c>
      <c r="DT222" s="202">
        <f t="shared" ref="DT222:DX222" si="850">DT12+DT13-DT25</f>
        <v>216.78843331943585</v>
      </c>
      <c r="DU222" s="202">
        <f t="shared" si="850"/>
        <v>301.56827417878355</v>
      </c>
      <c r="DV222" s="202">
        <f t="shared" si="850"/>
        <v>379.30257367834872</v>
      </c>
      <c r="DW222" s="202">
        <f t="shared" si="850"/>
        <v>441.82779287982589</v>
      </c>
      <c r="DX222" s="202">
        <f t="shared" si="850"/>
        <v>441.82779287982589</v>
      </c>
      <c r="DY222" s="16"/>
      <c r="DZ222" s="16"/>
      <c r="EA222" s="16"/>
      <c r="EB222" s="16"/>
      <c r="EC222" s="16"/>
      <c r="ED222" s="16"/>
      <c r="EE222" s="16"/>
      <c r="EF222" s="16"/>
    </row>
    <row r="223" spans="1:136" x14ac:dyDescent="0.2">
      <c r="A223" s="19"/>
      <c r="B223" s="21"/>
      <c r="C223" s="22"/>
      <c r="D223" s="22"/>
      <c r="E223" s="22"/>
      <c r="F223" s="22"/>
      <c r="G223" s="21"/>
      <c r="H223" s="22"/>
      <c r="I223" s="22"/>
      <c r="J223" s="22"/>
      <c r="K223" s="22"/>
      <c r="L223" s="21"/>
      <c r="M223" s="16"/>
      <c r="N223" s="16"/>
      <c r="O223" s="16"/>
      <c r="P223" s="16"/>
      <c r="Q223" s="16"/>
      <c r="R223" s="16"/>
      <c r="S223" s="16"/>
      <c r="T223" s="16"/>
      <c r="U223" s="16"/>
      <c r="V223" s="16"/>
      <c r="W223" s="16"/>
      <c r="X223" s="16"/>
      <c r="Y223" s="16"/>
      <c r="Z223" s="16"/>
      <c r="AA223" s="16"/>
      <c r="AB223" s="16"/>
      <c r="AC223" s="16"/>
      <c r="AD223" s="16"/>
      <c r="AE223" s="147"/>
      <c r="AF223" s="147"/>
      <c r="AG223" s="147"/>
      <c r="AH223" s="147"/>
      <c r="AI223" s="147"/>
      <c r="AJ223" s="16"/>
      <c r="AK223" s="16"/>
      <c r="AL223" s="16"/>
      <c r="AM223" s="16"/>
      <c r="AN223" s="16"/>
      <c r="AO223" s="147"/>
      <c r="AP223" s="147"/>
      <c r="AQ223" s="147"/>
      <c r="AR223" s="16"/>
      <c r="AS223" s="16"/>
      <c r="AT223" s="147"/>
      <c r="AU223" s="147"/>
      <c r="AV223" s="45"/>
      <c r="AW223" s="147"/>
      <c r="AX223" s="147"/>
      <c r="AY223" s="147"/>
      <c r="AZ223" s="620"/>
      <c r="BA223" s="147"/>
      <c r="BB223" s="147"/>
      <c r="BC223" s="147"/>
      <c r="BD223" s="147"/>
      <c r="BE223" s="16"/>
      <c r="BF223" s="16"/>
      <c r="BG223" s="147"/>
      <c r="BH223" s="147"/>
      <c r="BI223" s="147"/>
      <c r="BJ223" s="16"/>
      <c r="BK223" s="16"/>
      <c r="BL223" s="147"/>
      <c r="BM223" s="147"/>
      <c r="BN223" s="147"/>
      <c r="BO223" s="147"/>
      <c r="BP223" s="147"/>
      <c r="BQ223" s="147"/>
      <c r="BR223" s="147"/>
      <c r="BS223" s="147"/>
      <c r="BT223" s="147"/>
      <c r="BU223" s="16"/>
      <c r="BV223" s="16"/>
      <c r="BW223" s="1353"/>
      <c r="BX223" s="16"/>
      <c r="BY223" s="16"/>
      <c r="BZ223" s="16"/>
      <c r="CA223" s="16"/>
      <c r="CB223" s="16"/>
      <c r="CC223" s="16"/>
      <c r="CD223" s="16"/>
      <c r="CE223" s="16"/>
      <c r="CF223" s="16"/>
      <c r="CG223" s="16"/>
      <c r="CH223" s="16"/>
      <c r="CI223" s="16"/>
      <c r="CJ223" s="16"/>
      <c r="CK223" s="16"/>
      <c r="CL223" s="147"/>
      <c r="CM223" s="147"/>
      <c r="CN223" s="147"/>
      <c r="CO223" s="147"/>
      <c r="CP223" s="147"/>
      <c r="CQ223" s="147"/>
      <c r="CR223" s="147"/>
      <c r="CS223" s="147"/>
      <c r="CT223" s="147"/>
      <c r="CU223" s="147"/>
      <c r="CV223" s="147"/>
      <c r="CW223" s="147"/>
      <c r="CX223" s="147"/>
      <c r="CY223" s="147"/>
      <c r="CZ223" s="147"/>
      <c r="DA223" s="147"/>
      <c r="DB223" s="147"/>
      <c r="DC223" s="147"/>
      <c r="DD223" s="147"/>
      <c r="DE223" s="147"/>
      <c r="DF223" s="147"/>
      <c r="DG223" s="147"/>
      <c r="DH223" s="147"/>
      <c r="DI223" s="147"/>
      <c r="DJ223" s="147"/>
      <c r="DK223" s="147"/>
      <c r="DL223" s="147"/>
      <c r="DM223" s="147"/>
      <c r="DN223" s="147"/>
      <c r="DO223" s="147"/>
      <c r="DP223" s="147"/>
      <c r="DQ223" s="147"/>
      <c r="DR223" s="147"/>
      <c r="DS223" s="147"/>
      <c r="DT223" s="147"/>
      <c r="DU223" s="147"/>
      <c r="DV223" s="147"/>
      <c r="DW223" s="147"/>
      <c r="DX223" s="147"/>
      <c r="DY223" s="16"/>
      <c r="DZ223" s="16"/>
      <c r="EA223" s="16"/>
      <c r="EB223" s="16"/>
      <c r="EC223" s="16"/>
      <c r="ED223" s="16"/>
      <c r="EE223" s="16"/>
      <c r="EF223" s="16"/>
    </row>
    <row r="224" spans="1:136" x14ac:dyDescent="0.2">
      <c r="A224" s="19"/>
      <c r="B224" s="21"/>
      <c r="C224" s="22"/>
      <c r="D224" s="22"/>
      <c r="E224" s="22"/>
      <c r="F224" s="22"/>
      <c r="G224" s="21"/>
      <c r="H224" s="22"/>
      <c r="I224" s="22"/>
      <c r="J224" s="22"/>
      <c r="K224" s="22"/>
      <c r="L224" s="21"/>
      <c r="M224" s="16"/>
      <c r="N224" s="16"/>
      <c r="O224" s="16"/>
      <c r="P224" s="16"/>
      <c r="Q224" s="16"/>
      <c r="R224" s="16"/>
      <c r="S224" s="16"/>
      <c r="T224" s="16"/>
      <c r="U224" s="16"/>
      <c r="V224" s="16"/>
      <c r="W224" s="16"/>
      <c r="X224" s="16"/>
      <c r="Y224" s="16"/>
      <c r="Z224" s="16"/>
      <c r="AA224" s="34"/>
      <c r="AB224" s="16"/>
      <c r="AC224" s="16"/>
      <c r="AD224" s="16"/>
      <c r="AE224" s="16"/>
      <c r="AF224" s="16"/>
      <c r="AG224" s="16"/>
      <c r="AH224" s="16"/>
      <c r="AI224" s="16"/>
      <c r="AJ224" s="16"/>
      <c r="AK224" s="16"/>
      <c r="AL224" s="16"/>
      <c r="AM224" s="16"/>
      <c r="AN224" s="16"/>
      <c r="AO224" s="16"/>
      <c r="AP224" s="16"/>
      <c r="AQ224" s="16"/>
      <c r="AR224" s="16"/>
      <c r="AS224" s="16"/>
      <c r="AT224" s="16"/>
      <c r="AU224" s="16"/>
      <c r="AV224" s="45"/>
      <c r="AW224" s="16"/>
      <c r="AX224" s="16"/>
      <c r="AY224" s="16"/>
      <c r="AZ224" s="21"/>
      <c r="BA224" s="16"/>
      <c r="BB224" s="16"/>
      <c r="BC224" s="16"/>
      <c r="BD224" s="16"/>
      <c r="BE224" s="16"/>
      <c r="BF224" s="16"/>
      <c r="BG224" s="16"/>
      <c r="BH224" s="16"/>
      <c r="BI224" s="16"/>
      <c r="BJ224" s="16"/>
      <c r="BK224" s="16"/>
      <c r="BL224" s="16"/>
      <c r="BM224" s="16"/>
      <c r="BN224" s="16"/>
      <c r="BO224" s="16"/>
      <c r="BP224" s="16"/>
      <c r="BQ224" s="16"/>
      <c r="BR224" s="16"/>
      <c r="BS224" s="16"/>
      <c r="BT224" s="16"/>
      <c r="BU224" s="16"/>
      <c r="BV224" s="16"/>
      <c r="BW224" s="1353"/>
      <c r="BX224" s="16"/>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6"/>
      <c r="CX224" s="16"/>
      <c r="CY224" s="16"/>
      <c r="CZ224" s="16"/>
      <c r="DA224" s="16"/>
      <c r="DB224" s="16"/>
      <c r="DC224" s="16"/>
      <c r="DD224" s="16"/>
      <c r="DE224" s="16"/>
      <c r="DF224" s="16"/>
      <c r="DG224" s="16"/>
      <c r="DH224" s="16"/>
      <c r="DI224" s="16"/>
      <c r="DJ224" s="16"/>
      <c r="DK224" s="16"/>
      <c r="DL224" s="16"/>
      <c r="DM224" s="16"/>
      <c r="DN224" s="16"/>
      <c r="DO224" s="16"/>
      <c r="DP224" s="16"/>
      <c r="DQ224" s="16"/>
      <c r="DR224" s="16"/>
      <c r="DS224" s="16"/>
      <c r="DT224" s="16"/>
      <c r="DU224" s="16"/>
      <c r="DV224" s="16"/>
      <c r="DW224" s="16"/>
      <c r="DX224" s="16"/>
      <c r="DY224" s="16"/>
      <c r="DZ224" s="16"/>
      <c r="EA224" s="16"/>
      <c r="EB224" s="16"/>
      <c r="EC224" s="16"/>
      <c r="ED224" s="16"/>
      <c r="EE224" s="16"/>
      <c r="EF224" s="16"/>
    </row>
    <row r="225" spans="1:136" x14ac:dyDescent="0.2">
      <c r="A225" s="19" t="s">
        <v>560</v>
      </c>
      <c r="B225" s="16"/>
      <c r="C225" s="34"/>
      <c r="D225" s="34"/>
      <c r="E225" s="34"/>
      <c r="F225" s="34"/>
      <c r="G225" s="16"/>
      <c r="H225" s="34"/>
      <c r="I225" s="34"/>
      <c r="J225" s="34"/>
      <c r="K225" s="34"/>
      <c r="L225" s="16"/>
      <c r="M225" s="16"/>
      <c r="N225" s="16"/>
      <c r="O225" s="16"/>
      <c r="P225" s="16"/>
      <c r="Q225" s="16"/>
      <c r="R225" s="16"/>
      <c r="S225" s="16"/>
      <c r="T225" s="16"/>
      <c r="U225" s="16"/>
      <c r="V225" s="16"/>
      <c r="W225" s="16"/>
      <c r="X225" s="16"/>
      <c r="Y225" s="16"/>
      <c r="Z225" s="16"/>
      <c r="AA225" s="16">
        <f>24+266</f>
        <v>290</v>
      </c>
      <c r="AB225" s="16"/>
      <c r="AC225" s="16"/>
      <c r="AD225" s="16"/>
      <c r="AE225" s="16"/>
      <c r="AF225" s="16"/>
      <c r="AG225" s="16"/>
      <c r="AH225" s="16"/>
      <c r="AI225" s="16"/>
      <c r="AJ225" s="16"/>
      <c r="AK225" s="16"/>
      <c r="AL225" s="16"/>
      <c r="AM225" s="16"/>
      <c r="AN225" s="16"/>
      <c r="AO225" s="16"/>
      <c r="AP225" s="16"/>
      <c r="AQ225" s="16"/>
      <c r="AR225" s="16"/>
      <c r="AS225" s="16"/>
      <c r="AT225" s="16"/>
      <c r="AU225" s="16"/>
      <c r="AV225" s="45"/>
      <c r="AW225" s="16"/>
      <c r="AX225" s="16"/>
      <c r="AY225" s="16"/>
      <c r="AZ225" s="21"/>
      <c r="BA225" s="16"/>
      <c r="BB225" s="16"/>
      <c r="BC225" s="16"/>
      <c r="BD225" s="16"/>
      <c r="BE225" s="16"/>
      <c r="BF225" s="16"/>
      <c r="BG225" s="16"/>
      <c r="BH225" s="16"/>
      <c r="BI225" s="16"/>
      <c r="BJ225" s="16"/>
      <c r="BK225" s="16"/>
      <c r="BL225" s="16"/>
      <c r="BM225" s="16"/>
      <c r="BN225" s="16"/>
      <c r="BO225" s="16"/>
      <c r="BP225" s="16"/>
      <c r="BQ225" s="16"/>
      <c r="BR225" s="16"/>
      <c r="BS225" s="16"/>
      <c r="BT225" s="16"/>
      <c r="BU225" s="16"/>
      <c r="BV225" s="16"/>
      <c r="BW225" s="1353"/>
      <c r="BX225" s="16"/>
      <c r="BY225" s="16"/>
      <c r="BZ225" s="16"/>
      <c r="CA225" s="16"/>
      <c r="CB225" s="16"/>
      <c r="CC225" s="16"/>
      <c r="CD225" s="16"/>
      <c r="CE225" s="16"/>
      <c r="CF225" s="16"/>
      <c r="CG225" s="16"/>
      <c r="CH225" s="16"/>
      <c r="CI225" s="16"/>
      <c r="CJ225" s="16"/>
      <c r="CK225" s="16"/>
      <c r="CL225" s="16"/>
      <c r="CM225" s="16"/>
      <c r="CN225" s="16"/>
      <c r="CO225" s="16"/>
      <c r="CP225" s="16"/>
      <c r="CQ225" s="16"/>
      <c r="CR225" s="16"/>
      <c r="CS225" s="16"/>
      <c r="CT225" s="16"/>
      <c r="CU225" s="16"/>
      <c r="CV225" s="16"/>
      <c r="CW225" s="16"/>
      <c r="CX225" s="16"/>
      <c r="CY225" s="16"/>
      <c r="CZ225" s="16"/>
      <c r="DA225" s="16"/>
      <c r="DB225" s="16"/>
      <c r="DC225" s="16"/>
      <c r="DD225" s="16"/>
      <c r="DE225" s="16"/>
      <c r="DF225" s="16"/>
      <c r="DG225" s="16"/>
      <c r="DH225" s="16"/>
      <c r="DI225" s="16"/>
      <c r="DJ225" s="16"/>
      <c r="DK225" s="16"/>
      <c r="DL225" s="16"/>
      <c r="DM225" s="16"/>
      <c r="DN225" s="16"/>
      <c r="DO225" s="16"/>
      <c r="DP225" s="16"/>
      <c r="DQ225" s="16"/>
      <c r="DR225" s="16"/>
      <c r="DS225" s="16"/>
      <c r="DT225" s="16"/>
      <c r="DU225" s="16"/>
      <c r="DV225" s="16"/>
      <c r="DW225" s="16"/>
      <c r="DX225" s="16"/>
      <c r="DY225" s="16"/>
      <c r="DZ225" s="16"/>
      <c r="EA225" s="16"/>
      <c r="EB225" s="16"/>
      <c r="EC225" s="16"/>
      <c r="ED225" s="16"/>
      <c r="EE225" s="16"/>
      <c r="EF225" s="16"/>
    </row>
    <row r="226" spans="1:136" x14ac:dyDescent="0.2">
      <c r="A226" s="19" t="s">
        <v>537</v>
      </c>
      <c r="B226" s="16"/>
      <c r="C226" s="16"/>
      <c r="D226" s="16"/>
      <c r="E226" s="16"/>
      <c r="F226" s="16"/>
      <c r="G226" s="16"/>
      <c r="H226" s="16"/>
      <c r="I226" s="16"/>
      <c r="J226" s="16"/>
      <c r="K226" s="16"/>
      <c r="L226" s="16"/>
      <c r="M226" s="16"/>
      <c r="N226" s="16"/>
      <c r="O226" s="16"/>
      <c r="P226" s="16"/>
      <c r="Q226" s="478"/>
      <c r="R226" s="478">
        <f>-'CF '!R66</f>
        <v>0</v>
      </c>
      <c r="S226" s="478">
        <f>-'CF '!S66</f>
        <v>0</v>
      </c>
      <c r="T226" s="478">
        <f>-'CF '!T66</f>
        <v>0</v>
      </c>
      <c r="U226" s="478">
        <f>-'CF '!U66</f>
        <v>0</v>
      </c>
      <c r="V226" s="478">
        <f>SUM(R226:U226)</f>
        <v>0</v>
      </c>
      <c r="W226" s="478">
        <f>-'CF '!W66</f>
        <v>0</v>
      </c>
      <c r="X226" s="478">
        <f>-'CF '!X66</f>
        <v>0</v>
      </c>
      <c r="Y226" s="478">
        <f>-'CF '!Y66</f>
        <v>367</v>
      </c>
      <c r="Z226" s="478">
        <f>-'CF '!Z66</f>
        <v>0</v>
      </c>
      <c r="AA226" s="478">
        <f>SUM(W226:Z226)</f>
        <v>367</v>
      </c>
      <c r="AB226" s="478">
        <f>-'CF '!AB66</f>
        <v>0</v>
      </c>
      <c r="AC226" s="478">
        <f>-'CF '!AC66</f>
        <v>0</v>
      </c>
      <c r="AD226" s="478">
        <f>-'CF '!AD66</f>
        <v>8</v>
      </c>
      <c r="AE226" s="478">
        <f>-'CF '!AE66</f>
        <v>9</v>
      </c>
      <c r="AF226" s="478">
        <f>SUM(AB226:AE226)</f>
        <v>17</v>
      </c>
      <c r="AG226" s="478">
        <f>-'CF '!AG66</f>
        <v>8</v>
      </c>
      <c r="AH226" s="478">
        <f>-'CF '!AH66</f>
        <v>9</v>
      </c>
      <c r="AI226" s="478">
        <f>-'CF '!AI66</f>
        <v>8</v>
      </c>
      <c r="AJ226" s="478">
        <f>-'CF '!AJ66</f>
        <v>9</v>
      </c>
      <c r="AK226" s="478">
        <f>SUM(AG226:AJ226)</f>
        <v>34</v>
      </c>
      <c r="AL226" s="478">
        <f>-'CF '!AL66</f>
        <v>8</v>
      </c>
      <c r="AM226" s="478">
        <f>-'CF '!AM66</f>
        <v>9</v>
      </c>
      <c r="AN226" s="478">
        <f>-'CF '!AN66</f>
        <v>8</v>
      </c>
      <c r="AO226" s="478">
        <f>-'CF '!AO66</f>
        <v>9.1000000000000014</v>
      </c>
      <c r="AP226" s="478">
        <f>SUM(AL226:AO226)</f>
        <v>34.1</v>
      </c>
      <c r="AQ226" s="478">
        <f>-'CF '!AQ66</f>
        <v>8.5</v>
      </c>
      <c r="AR226" s="478">
        <f>-'CF '!AR66</f>
        <v>8.6000000000000014</v>
      </c>
      <c r="AS226" s="478">
        <f>-'CF '!AS66</f>
        <v>8.5</v>
      </c>
      <c r="AT226" s="478">
        <f>-'CF '!AT66</f>
        <v>8.6000000000000014</v>
      </c>
      <c r="AU226" s="478">
        <f>SUM(AQ226:AT226)</f>
        <v>34.200000000000003</v>
      </c>
      <c r="AV226" s="45"/>
      <c r="AW226" s="478"/>
      <c r="AX226" s="478">
        <f>-'CF '!AY66</f>
        <v>8.1999999999999993</v>
      </c>
      <c r="AY226" s="478">
        <f>-'CF '!AZ66</f>
        <v>0.4</v>
      </c>
      <c r="AZ226" s="478"/>
      <c r="BA226" s="478"/>
      <c r="BB226" s="478">
        <f>-'CF '!BB66</f>
        <v>0</v>
      </c>
      <c r="BC226" s="478">
        <f>-'CF '!BC66</f>
        <v>0</v>
      </c>
      <c r="BD226" s="478">
        <f>-'CF '!BD66</f>
        <v>0</v>
      </c>
      <c r="BE226" s="478">
        <f>-'CF '!BE66</f>
        <v>393.4</v>
      </c>
      <c r="BF226" s="478">
        <f>SUM(BB226:BE226)</f>
        <v>393.4</v>
      </c>
      <c r="BG226" s="478">
        <f>-'CF '!BG66</f>
        <v>0</v>
      </c>
      <c r="BH226" s="478">
        <f>-'CF '!BH66</f>
        <v>0</v>
      </c>
      <c r="BI226" s="478">
        <f>-'CF '!BI66</f>
        <v>0</v>
      </c>
      <c r="BJ226" s="478">
        <f>-'CF '!BJ66</f>
        <v>14</v>
      </c>
      <c r="BK226" s="478">
        <f>SUM(BG226:BJ226)</f>
        <v>14</v>
      </c>
      <c r="BL226" s="478">
        <f>-'CF '!BL66</f>
        <v>17.5</v>
      </c>
      <c r="BM226" s="478">
        <f>-'CF '!BM66</f>
        <v>21.1</v>
      </c>
      <c r="BN226" s="478">
        <f>-'CF '!BN66</f>
        <v>21.1</v>
      </c>
      <c r="BO226" s="478">
        <f>-'CF '!BO66</f>
        <v>24.599999999999994</v>
      </c>
      <c r="BP226" s="478">
        <f>SUM(BL226:BO226)</f>
        <v>84.3</v>
      </c>
      <c r="BQ226" s="478">
        <f>-'CF '!BQ66</f>
        <v>24.6</v>
      </c>
      <c r="BR226" s="478">
        <f>-'CF '!BR66</f>
        <v>24.699999999999996</v>
      </c>
      <c r="BS226" s="478">
        <f>-'CF '!BS66</f>
        <v>28.100000000000009</v>
      </c>
      <c r="BT226" s="478">
        <f>-'CF '!BT66</f>
        <v>28.199999999999989</v>
      </c>
      <c r="BU226" s="478">
        <f>SUM(BQ226:BT226)</f>
        <v>105.6</v>
      </c>
      <c r="BV226" s="478">
        <f>-'CF '!BV66</f>
        <v>0</v>
      </c>
      <c r="BW226" s="1399">
        <f>-'CF '!BW66</f>
        <v>124.5</v>
      </c>
      <c r="BX226" s="478">
        <f>-'CF '!BX66</f>
        <v>114.30000000000001</v>
      </c>
      <c r="BY226" s="478">
        <f>-'CF '!BY66</f>
        <v>123.59999999999997</v>
      </c>
      <c r="BZ226" s="478">
        <f>SUM(BV226:BY226)</f>
        <v>362.4</v>
      </c>
      <c r="CA226" s="478">
        <f>-'CF '!CA66</f>
        <v>128.30000000000001</v>
      </c>
      <c r="CB226" s="478">
        <f>-'CF '!CB66</f>
        <v>131.89999999999998</v>
      </c>
      <c r="CC226" s="478">
        <f>-'CF '!CC66</f>
        <v>136.69999999999999</v>
      </c>
      <c r="CD226" s="478">
        <f>-'CF '!CD66</f>
        <v>141.20000000000005</v>
      </c>
      <c r="CE226" s="478">
        <f>SUM(CA226:CD226)</f>
        <v>538.1</v>
      </c>
      <c r="CF226" s="478">
        <f>-'CF '!CF66</f>
        <v>145.9</v>
      </c>
      <c r="CG226" s="478">
        <f>-'CF '!CG66</f>
        <v>150.70000000000002</v>
      </c>
      <c r="CH226" s="478">
        <f>-'CF '!CH66</f>
        <v>155.29999999999995</v>
      </c>
      <c r="CI226" s="478">
        <f>-'CF '!CI66</f>
        <v>211.60000000000005</v>
      </c>
      <c r="CJ226" s="478">
        <f>SUM(CF226:CI226)</f>
        <v>663.5</v>
      </c>
      <c r="CK226" s="478">
        <f>-'CF '!CK66</f>
        <v>96.9</v>
      </c>
      <c r="CL226" s="478">
        <f>-'CF '!CL66</f>
        <v>209.93353064999999</v>
      </c>
      <c r="CM226" s="478">
        <f>-'CF '!CM66</f>
        <v>209.67109065000005</v>
      </c>
      <c r="CN226" s="478">
        <f>-'CF '!CN66</f>
        <v>209.40865065000003</v>
      </c>
      <c r="CO226" s="478">
        <f>SUM(CK226:CN226)</f>
        <v>725.91327195000008</v>
      </c>
      <c r="CP226" s="478">
        <f>-'CF '!CP66</f>
        <v>217.4178627525917</v>
      </c>
      <c r="CQ226" s="478">
        <f>-'CF '!CQ66</f>
        <v>230.91533635500002</v>
      </c>
      <c r="CR226" s="478">
        <f>-'CF '!CR66</f>
        <v>230.60355763500002</v>
      </c>
      <c r="CS226" s="478">
        <f>-'CF '!CS66</f>
        <v>230.29177891500001</v>
      </c>
      <c r="CT226" s="478">
        <f>SUM(CP226:CS226)</f>
        <v>909.22853565759181</v>
      </c>
      <c r="CU226" s="478">
        <f>-'CF '!CU66</f>
        <v>250.40188865590326</v>
      </c>
      <c r="CV226" s="478">
        <f>-'CF '!CV66</f>
        <v>253.99315172682003</v>
      </c>
      <c r="CW226" s="478">
        <f>-'CF '!CW66</f>
        <v>253.62275860746007</v>
      </c>
      <c r="CX226" s="478">
        <f>-'CF '!CX66</f>
        <v>253.25236548810003</v>
      </c>
      <c r="CY226" s="478">
        <f>SUM(CU226:CX226)</f>
        <v>1011.2701644782834</v>
      </c>
      <c r="CZ226" s="478">
        <f>-'CF '!CZ66</f>
        <v>287.49240499338379</v>
      </c>
      <c r="DA226" s="478">
        <f>-'CF '!DA66</f>
        <v>279.37616960225023</v>
      </c>
      <c r="DB226" s="478">
        <f>-'CF '!DB66</f>
        <v>278.93614257645061</v>
      </c>
      <c r="DC226" s="478">
        <f>-'CF '!DC66</f>
        <v>278.49611555065087</v>
      </c>
      <c r="DD226" s="478">
        <f>SUM(CZ226:DC226)</f>
        <v>1124.3008327227355</v>
      </c>
      <c r="DE226" s="478">
        <f>-'CF '!DE66</f>
        <v>311.92264086537841</v>
      </c>
      <c r="DF226" s="478">
        <f>-'CF '!DF66</f>
        <v>307.29442537334012</v>
      </c>
      <c r="DG226" s="478">
        <f>-'CF '!DG66</f>
        <v>306.77167326669007</v>
      </c>
      <c r="DH226" s="478">
        <f>-'CF '!DH66</f>
        <v>306.24892116004008</v>
      </c>
      <c r="DI226" s="478">
        <f>SUM(DE226:DH226)</f>
        <v>1232.2376606654486</v>
      </c>
      <c r="DJ226" s="478">
        <f>-'CF '!DJ66</f>
        <v>359.48119809263676</v>
      </c>
      <c r="DK226" s="478">
        <f>-'CF '!DK66</f>
        <v>338.00086681798155</v>
      </c>
      <c r="DL226" s="478">
        <f>-'CF '!DL66</f>
        <v>337.37983731528135</v>
      </c>
      <c r="DM226" s="478">
        <f>-'CF '!DM66</f>
        <v>336.75880781258115</v>
      </c>
      <c r="DN226" s="478">
        <f>SUM(DJ226:DM226)</f>
        <v>1371.6207100384809</v>
      </c>
      <c r="DO226" s="478">
        <f>-'CF '!DO66</f>
        <v>398.2802149441622</v>
      </c>
      <c r="DP226" s="478">
        <f>-'CF '!DP66</f>
        <v>371.77362820166093</v>
      </c>
      <c r="DQ226" s="478">
        <f>-'CF '!DQ66</f>
        <v>371.03584515245308</v>
      </c>
      <c r="DR226" s="478">
        <f>-'CF '!DR66</f>
        <v>370.29806210324529</v>
      </c>
      <c r="DS226" s="478">
        <f>SUM(DO226:DR226)</f>
        <v>1511.3877504015213</v>
      </c>
      <c r="DT226" s="478">
        <f>-'CF '!DT66</f>
        <v>425.16359707549555</v>
      </c>
      <c r="DU226" s="478">
        <f>-'CF '!DU66</f>
        <v>408.91852856766189</v>
      </c>
      <c r="DV226" s="478">
        <f>-'CF '!DV66</f>
        <v>408.04204230520298</v>
      </c>
      <c r="DW226" s="478">
        <f>-'CF '!DW66</f>
        <v>407.16555604274396</v>
      </c>
      <c r="DX226" s="478">
        <f>SUM(DT226:DW226)</f>
        <v>1649.2897239911044</v>
      </c>
      <c r="DY226" s="16"/>
      <c r="DZ226" s="16"/>
      <c r="EA226" s="16"/>
      <c r="EB226" s="16"/>
      <c r="EC226" s="16"/>
      <c r="ED226" s="16"/>
      <c r="EE226" s="16"/>
      <c r="EF226" s="16"/>
    </row>
    <row r="227" spans="1:136" x14ac:dyDescent="0.2">
      <c r="A227" s="19" t="s">
        <v>539</v>
      </c>
      <c r="B227" s="16"/>
      <c r="C227" s="16"/>
      <c r="D227" s="16"/>
      <c r="E227" s="16"/>
      <c r="F227" s="16"/>
      <c r="G227" s="16"/>
      <c r="H227" s="16"/>
      <c r="I227" s="16"/>
      <c r="J227" s="16"/>
      <c r="K227" s="16"/>
      <c r="L227" s="16"/>
      <c r="M227" s="16"/>
      <c r="N227" s="16"/>
      <c r="O227" s="16"/>
      <c r="P227" s="16"/>
      <c r="Q227" s="476" t="s">
        <v>540</v>
      </c>
      <c r="R227" s="476" t="s">
        <v>540</v>
      </c>
      <c r="S227" s="476" t="s">
        <v>540</v>
      </c>
      <c r="T227" s="476" t="s">
        <v>540</v>
      </c>
      <c r="U227" s="476" t="s">
        <v>540</v>
      </c>
      <c r="V227" s="477" t="s">
        <v>540</v>
      </c>
      <c r="W227" s="477" t="s">
        <v>540</v>
      </c>
      <c r="X227" s="477" t="s">
        <v>540</v>
      </c>
      <c r="Y227" s="477" t="s">
        <v>540</v>
      </c>
      <c r="Z227" s="477" t="s">
        <v>540</v>
      </c>
      <c r="AA227" s="477" t="s">
        <v>540</v>
      </c>
      <c r="AB227" s="477" t="s">
        <v>540</v>
      </c>
      <c r="AC227" s="477" t="s">
        <v>540</v>
      </c>
      <c r="AD227" s="477" t="s">
        <v>540</v>
      </c>
      <c r="AE227" s="477" t="s">
        <v>540</v>
      </c>
      <c r="AF227" s="477" t="s">
        <v>540</v>
      </c>
      <c r="AG227" s="477" t="s">
        <v>540</v>
      </c>
      <c r="AH227" s="477" t="s">
        <v>540</v>
      </c>
      <c r="AI227" s="477" t="s">
        <v>540</v>
      </c>
      <c r="AJ227" s="477" t="s">
        <v>540</v>
      </c>
      <c r="AK227" s="477" t="s">
        <v>540</v>
      </c>
      <c r="AL227" s="477" t="s">
        <v>540</v>
      </c>
      <c r="AM227" s="477" t="s">
        <v>540</v>
      </c>
      <c r="AN227" s="477" t="s">
        <v>540</v>
      </c>
      <c r="AO227" s="477" t="s">
        <v>540</v>
      </c>
      <c r="AP227" s="477" t="s">
        <v>540</v>
      </c>
      <c r="AQ227" s="477" t="s">
        <v>540</v>
      </c>
      <c r="AR227" s="477" t="s">
        <v>540</v>
      </c>
      <c r="AS227" s="477" t="s">
        <v>540</v>
      </c>
      <c r="AT227" s="477" t="s">
        <v>540</v>
      </c>
      <c r="AU227" s="477" t="s">
        <v>540</v>
      </c>
      <c r="AV227" s="45"/>
      <c r="AW227" s="477"/>
      <c r="AX227" s="477" t="s">
        <v>540</v>
      </c>
      <c r="AY227" s="477" t="s">
        <v>540</v>
      </c>
      <c r="AZ227" s="477" t="s">
        <v>540</v>
      </c>
      <c r="BA227" s="477" t="s">
        <v>540</v>
      </c>
      <c r="BB227" s="477" t="s">
        <v>540</v>
      </c>
      <c r="BC227" s="477" t="s">
        <v>540</v>
      </c>
      <c r="BD227" s="477" t="s">
        <v>540</v>
      </c>
      <c r="BE227" s="477" t="s">
        <v>540</v>
      </c>
      <c r="BF227" s="477" t="s">
        <v>540</v>
      </c>
      <c r="BG227" s="477" t="s">
        <v>540</v>
      </c>
      <c r="BH227" s="477" t="s">
        <v>540</v>
      </c>
      <c r="BI227" s="477" t="s">
        <v>540</v>
      </c>
      <c r="BJ227" s="477" t="s">
        <v>540</v>
      </c>
      <c r="BK227" s="477" t="s">
        <v>540</v>
      </c>
      <c r="BL227" s="477" t="s">
        <v>540</v>
      </c>
      <c r="BM227" s="477" t="s">
        <v>540</v>
      </c>
      <c r="BN227" s="477" t="s">
        <v>540</v>
      </c>
      <c r="BO227" s="477" t="s">
        <v>540</v>
      </c>
      <c r="BP227" s="477" t="s">
        <v>540</v>
      </c>
      <c r="BQ227" s="477" t="s">
        <v>540</v>
      </c>
      <c r="BR227" s="477" t="s">
        <v>540</v>
      </c>
      <c r="BS227" s="477" t="s">
        <v>540</v>
      </c>
      <c r="BT227" s="477" t="s">
        <v>540</v>
      </c>
      <c r="BU227" s="477" t="s">
        <v>540</v>
      </c>
      <c r="BV227" s="477" t="s">
        <v>540</v>
      </c>
      <c r="BW227" s="1400" t="s">
        <v>540</v>
      </c>
      <c r="BX227" s="477" t="s">
        <v>540</v>
      </c>
      <c r="BY227" s="477" t="s">
        <v>540</v>
      </c>
      <c r="BZ227" s="477" t="s">
        <v>540</v>
      </c>
      <c r="CA227" s="477" t="s">
        <v>540</v>
      </c>
      <c r="CB227" s="477" t="s">
        <v>540</v>
      </c>
      <c r="CC227" s="477" t="s">
        <v>540</v>
      </c>
      <c r="CD227" s="477" t="s">
        <v>540</v>
      </c>
      <c r="CE227" s="477" t="s">
        <v>540</v>
      </c>
      <c r="CF227" s="477" t="s">
        <v>540</v>
      </c>
      <c r="CG227" s="477" t="s">
        <v>540</v>
      </c>
      <c r="CH227" s="477" t="s">
        <v>540</v>
      </c>
      <c r="CI227" s="477" t="s">
        <v>540</v>
      </c>
      <c r="CJ227" s="477" t="s">
        <v>540</v>
      </c>
      <c r="CK227" s="477" t="s">
        <v>540</v>
      </c>
      <c r="CL227" s="477" t="s">
        <v>540</v>
      </c>
      <c r="CM227" s="477" t="s">
        <v>540</v>
      </c>
      <c r="CN227" s="477" t="s">
        <v>540</v>
      </c>
      <c r="CO227" s="477" t="s">
        <v>540</v>
      </c>
      <c r="CP227" s="477" t="s">
        <v>540</v>
      </c>
      <c r="CQ227" s="477" t="s">
        <v>540</v>
      </c>
      <c r="CR227" s="477" t="s">
        <v>540</v>
      </c>
      <c r="CS227" s="477" t="s">
        <v>540</v>
      </c>
      <c r="CT227" s="477" t="s">
        <v>540</v>
      </c>
      <c r="CU227" s="477" t="s">
        <v>540</v>
      </c>
      <c r="CV227" s="477" t="s">
        <v>540</v>
      </c>
      <c r="CW227" s="477" t="s">
        <v>540</v>
      </c>
      <c r="CX227" s="477" t="s">
        <v>540</v>
      </c>
      <c r="CY227" s="477" t="s">
        <v>540</v>
      </c>
      <c r="CZ227" s="477" t="s">
        <v>540</v>
      </c>
      <c r="DA227" s="477" t="s">
        <v>540</v>
      </c>
      <c r="DB227" s="477" t="s">
        <v>540</v>
      </c>
      <c r="DC227" s="477" t="s">
        <v>540</v>
      </c>
      <c r="DD227" s="477" t="s">
        <v>540</v>
      </c>
      <c r="DE227" s="477" t="s">
        <v>540</v>
      </c>
      <c r="DF227" s="477" t="s">
        <v>540</v>
      </c>
      <c r="DG227" s="477" t="s">
        <v>540</v>
      </c>
      <c r="DH227" s="477" t="s">
        <v>540</v>
      </c>
      <c r="DI227" s="477" t="s">
        <v>540</v>
      </c>
      <c r="DJ227" s="477" t="s">
        <v>540</v>
      </c>
      <c r="DK227" s="477" t="s">
        <v>540</v>
      </c>
      <c r="DL227" s="477" t="s">
        <v>540</v>
      </c>
      <c r="DM227" s="477" t="s">
        <v>540</v>
      </c>
      <c r="DN227" s="477" t="s">
        <v>540</v>
      </c>
      <c r="DO227" s="477" t="s">
        <v>540</v>
      </c>
      <c r="DP227" s="477" t="s">
        <v>540</v>
      </c>
      <c r="DQ227" s="477" t="s">
        <v>540</v>
      </c>
      <c r="DR227" s="477" t="s">
        <v>540</v>
      </c>
      <c r="DS227" s="477" t="s">
        <v>540</v>
      </c>
      <c r="DT227" s="477" t="s">
        <v>540</v>
      </c>
      <c r="DU227" s="477" t="s">
        <v>540</v>
      </c>
      <c r="DV227" s="477" t="s">
        <v>540</v>
      </c>
      <c r="DW227" s="477" t="s">
        <v>540</v>
      </c>
      <c r="DX227" s="477" t="s">
        <v>540</v>
      </c>
      <c r="DY227" s="16"/>
      <c r="DZ227" s="16"/>
      <c r="EA227" s="16"/>
      <c r="EB227" s="16"/>
      <c r="EC227" s="16"/>
      <c r="ED227" s="16"/>
      <c r="EE227" s="16"/>
      <c r="EF227" s="16"/>
    </row>
    <row r="228" spans="1:136" x14ac:dyDescent="0.2">
      <c r="A228" s="19" t="s">
        <v>531</v>
      </c>
      <c r="B228" s="16"/>
      <c r="C228" s="16"/>
      <c r="D228" s="16"/>
      <c r="E228" s="16"/>
      <c r="F228" s="16"/>
      <c r="G228" s="16"/>
      <c r="H228" s="16"/>
      <c r="I228" s="16"/>
      <c r="J228" s="16"/>
      <c r="K228" s="16"/>
      <c r="L228" s="16"/>
      <c r="M228" s="16"/>
      <c r="N228" s="16"/>
      <c r="O228" s="16"/>
      <c r="P228" s="16"/>
      <c r="Q228" s="476" t="s">
        <v>540</v>
      </c>
      <c r="R228" s="476" t="s">
        <v>540</v>
      </c>
      <c r="S228" s="476" t="s">
        <v>540</v>
      </c>
      <c r="T228" s="476" t="s">
        <v>540</v>
      </c>
      <c r="U228" s="476" t="s">
        <v>540</v>
      </c>
      <c r="V228" s="477" t="s">
        <v>540</v>
      </c>
      <c r="W228" s="477" t="s">
        <v>540</v>
      </c>
      <c r="X228" s="477" t="s">
        <v>540</v>
      </c>
      <c r="Y228" s="477" t="s">
        <v>540</v>
      </c>
      <c r="Z228" s="477" t="s">
        <v>540</v>
      </c>
      <c r="AA228" s="477" t="s">
        <v>540</v>
      </c>
      <c r="AB228" s="477" t="s">
        <v>540</v>
      </c>
      <c r="AC228" s="477" t="s">
        <v>540</v>
      </c>
      <c r="AD228" s="477" t="s">
        <v>540</v>
      </c>
      <c r="AE228" s="477" t="s">
        <v>540</v>
      </c>
      <c r="AF228" s="477" t="s">
        <v>540</v>
      </c>
      <c r="AG228" s="477" t="s">
        <v>540</v>
      </c>
      <c r="AH228" s="477" t="s">
        <v>540</v>
      </c>
      <c r="AI228" s="477" t="s">
        <v>540</v>
      </c>
      <c r="AJ228" s="477" t="s">
        <v>540</v>
      </c>
      <c r="AK228" s="477" t="s">
        <v>540</v>
      </c>
      <c r="AL228" s="477" t="s">
        <v>540</v>
      </c>
      <c r="AM228" s="477" t="s">
        <v>540</v>
      </c>
      <c r="AN228" s="477" t="s">
        <v>540</v>
      </c>
      <c r="AO228" s="477" t="s">
        <v>540</v>
      </c>
      <c r="AP228" s="477" t="s">
        <v>540</v>
      </c>
      <c r="AQ228" s="477" t="s">
        <v>540</v>
      </c>
      <c r="AR228" s="477" t="s">
        <v>540</v>
      </c>
      <c r="AS228" s="477" t="s">
        <v>540</v>
      </c>
      <c r="AT228" s="477" t="s">
        <v>540</v>
      </c>
      <c r="AU228" s="477" t="s">
        <v>540</v>
      </c>
      <c r="AV228" s="45"/>
      <c r="AW228" s="477"/>
      <c r="AX228" s="477" t="s">
        <v>540</v>
      </c>
      <c r="AY228" s="477" t="s">
        <v>540</v>
      </c>
      <c r="AZ228" s="477" t="s">
        <v>540</v>
      </c>
      <c r="BA228" s="477" t="s">
        <v>540</v>
      </c>
      <c r="BB228" s="477" t="s">
        <v>540</v>
      </c>
      <c r="BC228" s="477" t="s">
        <v>540</v>
      </c>
      <c r="BD228" s="477" t="s">
        <v>540</v>
      </c>
      <c r="BE228" s="477" t="s">
        <v>540</v>
      </c>
      <c r="BF228" s="477" t="s">
        <v>540</v>
      </c>
      <c r="BG228" s="477" t="s">
        <v>540</v>
      </c>
      <c r="BH228" s="477" t="s">
        <v>540</v>
      </c>
      <c r="BI228" s="477" t="s">
        <v>540</v>
      </c>
      <c r="BJ228" s="477" t="s">
        <v>540</v>
      </c>
      <c r="BK228" s="477" t="s">
        <v>540</v>
      </c>
      <c r="BL228" s="477" t="s">
        <v>540</v>
      </c>
      <c r="BM228" s="477" t="s">
        <v>540</v>
      </c>
      <c r="BN228" s="477" t="s">
        <v>540</v>
      </c>
      <c r="BO228" s="477" t="s">
        <v>540</v>
      </c>
      <c r="BP228" s="477" t="s">
        <v>540</v>
      </c>
      <c r="BQ228" s="477" t="s">
        <v>540</v>
      </c>
      <c r="BR228" s="477" t="s">
        <v>540</v>
      </c>
      <c r="BS228" s="477" t="s">
        <v>540</v>
      </c>
      <c r="BT228" s="477" t="s">
        <v>540</v>
      </c>
      <c r="BU228" s="477" t="s">
        <v>540</v>
      </c>
      <c r="BV228" s="477" t="s">
        <v>540</v>
      </c>
      <c r="BW228" s="1400" t="s">
        <v>540</v>
      </c>
      <c r="BX228" s="477" t="s">
        <v>540</v>
      </c>
      <c r="BY228" s="477" t="s">
        <v>540</v>
      </c>
      <c r="BZ228" s="477" t="s">
        <v>540</v>
      </c>
      <c r="CA228" s="477" t="s">
        <v>540</v>
      </c>
      <c r="CB228" s="477" t="s">
        <v>540</v>
      </c>
      <c r="CC228" s="477" t="s">
        <v>540</v>
      </c>
      <c r="CD228" s="477" t="s">
        <v>540</v>
      </c>
      <c r="CE228" s="477" t="s">
        <v>540</v>
      </c>
      <c r="CF228" s="477" t="s">
        <v>540</v>
      </c>
      <c r="CG228" s="477" t="s">
        <v>540</v>
      </c>
      <c r="CH228" s="477" t="s">
        <v>540</v>
      </c>
      <c r="CI228" s="477" t="s">
        <v>540</v>
      </c>
      <c r="CJ228" s="477" t="s">
        <v>540</v>
      </c>
      <c r="CK228" s="477" t="s">
        <v>540</v>
      </c>
      <c r="CL228" s="477" t="s">
        <v>540</v>
      </c>
      <c r="CM228" s="477" t="s">
        <v>540</v>
      </c>
      <c r="CN228" s="477" t="s">
        <v>540</v>
      </c>
      <c r="CO228" s="477" t="s">
        <v>540</v>
      </c>
      <c r="CP228" s="477" t="s">
        <v>540</v>
      </c>
      <c r="CQ228" s="477" t="s">
        <v>540</v>
      </c>
      <c r="CR228" s="477" t="s">
        <v>540</v>
      </c>
      <c r="CS228" s="477" t="s">
        <v>540</v>
      </c>
      <c r="CT228" s="477" t="s">
        <v>540</v>
      </c>
      <c r="CU228" s="477" t="s">
        <v>540</v>
      </c>
      <c r="CV228" s="477" t="s">
        <v>540</v>
      </c>
      <c r="CW228" s="477" t="s">
        <v>540</v>
      </c>
      <c r="CX228" s="477" t="s">
        <v>540</v>
      </c>
      <c r="CY228" s="477" t="s">
        <v>540</v>
      </c>
      <c r="CZ228" s="477" t="s">
        <v>540</v>
      </c>
      <c r="DA228" s="477" t="s">
        <v>540</v>
      </c>
      <c r="DB228" s="477" t="s">
        <v>540</v>
      </c>
      <c r="DC228" s="477" t="s">
        <v>540</v>
      </c>
      <c r="DD228" s="477" t="s">
        <v>540</v>
      </c>
      <c r="DE228" s="477" t="s">
        <v>540</v>
      </c>
      <c r="DF228" s="477" t="s">
        <v>540</v>
      </c>
      <c r="DG228" s="477" t="s">
        <v>540</v>
      </c>
      <c r="DH228" s="477" t="s">
        <v>540</v>
      </c>
      <c r="DI228" s="477" t="s">
        <v>540</v>
      </c>
      <c r="DJ228" s="477" t="s">
        <v>540</v>
      </c>
      <c r="DK228" s="477" t="s">
        <v>540</v>
      </c>
      <c r="DL228" s="477" t="s">
        <v>540</v>
      </c>
      <c r="DM228" s="477" t="s">
        <v>540</v>
      </c>
      <c r="DN228" s="477" t="s">
        <v>540</v>
      </c>
      <c r="DO228" s="477" t="s">
        <v>540</v>
      </c>
      <c r="DP228" s="477" t="s">
        <v>540</v>
      </c>
      <c r="DQ228" s="477" t="s">
        <v>540</v>
      </c>
      <c r="DR228" s="477" t="s">
        <v>540</v>
      </c>
      <c r="DS228" s="477" t="s">
        <v>540</v>
      </c>
      <c r="DT228" s="477" t="s">
        <v>540</v>
      </c>
      <c r="DU228" s="477" t="s">
        <v>540</v>
      </c>
      <c r="DV228" s="477" t="s">
        <v>540</v>
      </c>
      <c r="DW228" s="477" t="s">
        <v>540</v>
      </c>
      <c r="DX228" s="477" t="s">
        <v>540</v>
      </c>
      <c r="DY228" s="16"/>
      <c r="DZ228" s="16"/>
      <c r="EA228" s="16"/>
      <c r="EB228" s="16"/>
      <c r="EC228" s="16"/>
      <c r="ED228" s="16"/>
      <c r="EE228" s="16"/>
      <c r="EF228" s="16"/>
    </row>
    <row r="229" spans="1:136" x14ac:dyDescent="0.2">
      <c r="A229" s="19" t="s">
        <v>775</v>
      </c>
      <c r="B229" s="16"/>
      <c r="C229" s="16"/>
      <c r="D229" s="16"/>
      <c r="E229" s="16"/>
      <c r="F229" s="16"/>
      <c r="G229" s="16"/>
      <c r="H229" s="16"/>
      <c r="I229" s="16"/>
      <c r="J229" s="16"/>
      <c r="K229" s="16"/>
      <c r="L229" s="16"/>
      <c r="M229" s="16"/>
      <c r="N229" s="16"/>
      <c r="O229" s="16"/>
      <c r="P229" s="16"/>
      <c r="Q229" s="476"/>
      <c r="R229" s="476"/>
      <c r="S229" s="476"/>
      <c r="T229" s="476"/>
      <c r="U229" s="476"/>
      <c r="V229" s="477"/>
      <c r="W229" s="477"/>
      <c r="X229" s="477"/>
      <c r="Y229" s="477"/>
      <c r="Z229" s="477"/>
      <c r="AA229" s="477"/>
      <c r="AB229" s="477">
        <v>0</v>
      </c>
      <c r="AC229" s="477">
        <v>0</v>
      </c>
      <c r="AD229" s="477">
        <v>0</v>
      </c>
      <c r="AE229" s="477">
        <v>0</v>
      </c>
      <c r="AF229" s="477">
        <v>0</v>
      </c>
      <c r="AG229" s="477">
        <v>0</v>
      </c>
      <c r="AH229" s="477">
        <v>0</v>
      </c>
      <c r="AI229" s="477">
        <v>0</v>
      </c>
      <c r="AJ229" s="477">
        <v>0</v>
      </c>
      <c r="AK229" s="477">
        <v>0</v>
      </c>
      <c r="AL229" s="477">
        <v>0</v>
      </c>
      <c r="AM229" s="477">
        <v>0</v>
      </c>
      <c r="AN229" s="477">
        <v>0</v>
      </c>
      <c r="AO229" s="477">
        <v>0</v>
      </c>
      <c r="AP229" s="477">
        <v>0</v>
      </c>
      <c r="AQ229" s="477">
        <v>0</v>
      </c>
      <c r="AR229" s="477">
        <v>0</v>
      </c>
      <c r="AS229" s="477">
        <v>0</v>
      </c>
      <c r="AT229" s="477">
        <v>0</v>
      </c>
      <c r="AU229" s="477">
        <v>0</v>
      </c>
      <c r="AV229" s="45"/>
      <c r="AW229" s="477"/>
      <c r="AX229" s="478">
        <f>-(+IS!AX187-IS!AX167-IS!AX173)+IS!AX37</f>
        <v>1.2999999999999998</v>
      </c>
      <c r="AY229" s="478">
        <f>-(+IS!AY187-IS!AY167-IS!AY173)+IS!AY37</f>
        <v>5.4</v>
      </c>
      <c r="AZ229" s="478">
        <f>-(+IS!AZ187-IS!AZ167-IS!AZ173)+IS!AZ37</f>
        <v>-155.10000000000002</v>
      </c>
      <c r="BA229" s="478">
        <f>-(+IS!BA187-IS!BA167-IS!BA173)+IS!BA37</f>
        <v>-143.9</v>
      </c>
      <c r="BB229" s="478">
        <f>-(+IS!BB187-IS!BB167-IS!BB173)+IS!BB37</f>
        <v>-20.000000000000004</v>
      </c>
      <c r="BC229" s="478">
        <f>-(+IS!BC187-IS!BC167-IS!BC173)+IS!BC37</f>
        <v>-16.100000000000001</v>
      </c>
      <c r="BD229" s="478">
        <f>-(+IS!BD187-IS!BD167-IS!BD173)+IS!BD37</f>
        <v>-14.4</v>
      </c>
      <c r="BE229" s="478">
        <f>-(+IS!BE187-IS!BE167-IS!BE173)+IS!BE37</f>
        <v>-26.799999999999997</v>
      </c>
      <c r="BF229" s="478">
        <f>-(+IS!BF187-IS!BF167-IS!BF173)+IS!BF37</f>
        <v>-77.299999999999983</v>
      </c>
      <c r="BG229" s="478">
        <f>-(+IS!BG187-IS!BG167-IS!BG173)+IS!BG37</f>
        <v>-21.3</v>
      </c>
      <c r="BH229" s="478">
        <f>-(+IS!BH187-IS!BH167-IS!BH173)+IS!BH37</f>
        <v>-9.2000000000000028</v>
      </c>
      <c r="BI229" s="478">
        <f>-(+IS!BI187-IS!BI167-IS!BI173)+IS!BI37</f>
        <v>-38.699999999999989</v>
      </c>
      <c r="BJ229" s="478">
        <f>-(+IS!BJ187-IS!BJ167-IS!BJ173)+IS!BJ37</f>
        <v>-33.099999999999994</v>
      </c>
      <c r="BK229" s="478">
        <f>-(+IS!BK187-IS!BK167-IS!BK173)+IS!BK37</f>
        <v>-102.3</v>
      </c>
      <c r="BL229" s="478">
        <f>-(+IS!BL187-IS!BL167-IS!BL173)+IS!BL37</f>
        <v>-12.900000000000002</v>
      </c>
      <c r="BM229" s="478">
        <f>-(+IS!BM187-IS!BM167-IS!BM173)+IS!BM37</f>
        <v>-6.8999999999999986</v>
      </c>
      <c r="BN229" s="478">
        <f>-(+IS!BN187-IS!BN167-IS!BN173)+IS!BN37</f>
        <v>-5.4999999999999982</v>
      </c>
      <c r="BO229" s="478">
        <f>-(+IS!BO187-IS!BO167-IS!BO173)+IS!BO37</f>
        <v>-9.5</v>
      </c>
      <c r="BP229" s="478">
        <f>-(+IS!BP187-IS!BP167-IS!BP173)+IS!BP37</f>
        <v>-34.79999999999999</v>
      </c>
      <c r="BQ229" s="478">
        <f>-(+IS!BQ187-IS!BQ167-IS!BQ173)+IS!BQ37</f>
        <v>-0.5</v>
      </c>
      <c r="BR229" s="478">
        <f>-(+IS!BR187-IS!BR167-IS!BR173)+IS!BR37</f>
        <v>0.5</v>
      </c>
      <c r="BS229" s="478">
        <f>-(+IS!BS187-IS!BS167-IS!BS173)+IS!BS37</f>
        <v>-180.7</v>
      </c>
      <c r="BT229" s="478">
        <f>-(+IS!BT187-IS!BT167-IS!BT173)+IS!BT37</f>
        <v>-269.40000000000003</v>
      </c>
      <c r="BU229" s="478">
        <f>-(+IS!BU187-IS!BU167-IS!BU173)+IS!BU37</f>
        <v>-450.1</v>
      </c>
      <c r="BV229" s="478">
        <f>-(+IS!CA187-IS!CA167-IS!CA173)+IS!CA37</f>
        <v>-69.09999999999998</v>
      </c>
      <c r="BW229" s="1399">
        <f>-(+IS!CB187-IS!CB167-IS!CB173)+IS!CB37</f>
        <v>-55.200000000000017</v>
      </c>
      <c r="BX229" s="478">
        <f>-(+IS!CC187-IS!CC167-IS!CC173)+IS!CC37</f>
        <v>-32.4</v>
      </c>
      <c r="BY229" s="478">
        <f>-(+IS!CD187-IS!CD167-IS!CD173)+IS!CD37</f>
        <v>-61.9</v>
      </c>
      <c r="BZ229" s="478">
        <f>-(+IS!CE187-IS!CE167-IS!CE173)+IS!CE37</f>
        <v>-218.6</v>
      </c>
      <c r="CA229" s="478">
        <f>-(+IS!CF187-IS!CF167-IS!CF173)+IS!CF37</f>
        <v>-61.5</v>
      </c>
      <c r="CB229" s="478">
        <f>-(+IS!CG187-IS!CG167-IS!CG173)+IS!CG37</f>
        <v>11.999999999999996</v>
      </c>
      <c r="CC229" s="478">
        <f>-(+IS!CH187-IS!CH167-IS!CH173)+IS!CH37</f>
        <v>-15.700000000000001</v>
      </c>
      <c r="CD229" s="478">
        <f>-(+IS!CI187-IS!CI167-IS!CI173)+IS!CI37</f>
        <v>29.299999999999997</v>
      </c>
      <c r="CE229" s="478">
        <f>-(+IS!CJ187-IS!CJ167-IS!CJ173)+IS!CJ37</f>
        <v>-35.900000000000006</v>
      </c>
      <c r="CF229" s="478">
        <f>-(+IS!CK187-IS!CK167-IS!CK173)+IS!CK37</f>
        <v>-53.9</v>
      </c>
      <c r="CG229" s="478">
        <f>-(+IS!CL187-IS!CL167-IS!CL173)+IS!CL37</f>
        <v>-54.4</v>
      </c>
      <c r="CH229" s="478">
        <f>-(+IS!CM187-IS!CM167-IS!CM173)+IS!CM37</f>
        <v>-32.499999999999993</v>
      </c>
      <c r="CI229" s="478">
        <f>-(+IS!CN187-IS!CN167-IS!CN173)+IS!CN37</f>
        <v>-44.399999999999991</v>
      </c>
      <c r="CJ229" s="478">
        <f>-(+IS!CO187-IS!CO167-IS!CO173)+IS!CO37</f>
        <v>-185.2</v>
      </c>
      <c r="CK229" s="478">
        <f>-(+IS!CP187-IS!CP167-IS!CP173)+IS!CP37</f>
        <v>-39.200000000000003</v>
      </c>
      <c r="CL229" s="478">
        <f>-(+IS!CQ187-IS!CQ167-IS!CQ173)+IS!CQ37</f>
        <v>-33.255000000000003</v>
      </c>
      <c r="CM229" s="478">
        <f>-(+IS!CR187-IS!CR167-IS!CR173)+IS!CR37</f>
        <v>-28.484999999999999</v>
      </c>
      <c r="CN229" s="478">
        <f>-(+IS!CS187-IS!CS167-IS!CS173)+IS!CS37</f>
        <v>-29.374999999999993</v>
      </c>
      <c r="CO229" s="478">
        <f>-(+IS!CT187-IS!CT167-IS!CT173)+IS!CT37</f>
        <v>-130.315</v>
      </c>
      <c r="CP229" s="478">
        <f>-(+IS!CU187-IS!CU167-IS!CU173)+IS!CU37</f>
        <v>-21.708749999999998</v>
      </c>
      <c r="CQ229" s="478">
        <f>-(+IS!CV187-IS!CV167-IS!CV173)+IS!CV37</f>
        <v>-36.070249999999994</v>
      </c>
      <c r="CR229" s="478">
        <f>-(+IS!CW187-IS!CW167-IS!CW173)+IS!CW37</f>
        <v>-28.961750000000002</v>
      </c>
      <c r="CS229" s="478">
        <f>-(+IS!CX187-IS!CX167-IS!CX173)+IS!CX37</f>
        <v>-29.946249999999999</v>
      </c>
      <c r="CT229" s="478">
        <f>-(+IS!CY187-IS!CY167-IS!CY173)+IS!CY37</f>
        <v>-116.68700000000001</v>
      </c>
      <c r="CU229" s="478">
        <f>-(+IS!CZ187-IS!CZ167-IS!CZ173)+IS!CZ37</f>
        <v>-22.514500000000002</v>
      </c>
      <c r="CV229" s="478">
        <f>-(+IS!DA187-IS!DA167-IS!DA173)+IS!DA37</f>
        <v>-37.644075000000001</v>
      </c>
      <c r="CW229" s="478">
        <f>-(+IS!DB187-IS!DB167-IS!DB173)+IS!DB37</f>
        <v>-30.180150000000005</v>
      </c>
      <c r="CX229" s="478">
        <f>-(+IS!DC187-IS!DC167-IS!DC173)+IS!DC37</f>
        <v>-31.263874999999999</v>
      </c>
      <c r="CY229" s="478">
        <f>-(+IS!DD187-IS!DD167-IS!DD173)+IS!DD37</f>
        <v>-121.60260000000001</v>
      </c>
      <c r="CZ229" s="478">
        <f>-(+IS!DE187-IS!DE167-IS!DE173)+IS!DE37</f>
        <v>-2.7167874999999988</v>
      </c>
      <c r="DA229" s="478">
        <f>-(+IS!DF187-IS!DF167-IS!DF173)+IS!DF37</f>
        <v>-19.652841250000002</v>
      </c>
      <c r="DB229" s="478">
        <f>-(+IS!DG187-IS!DG167-IS!DG173)+IS!DG37</f>
        <v>-11.815720000000001</v>
      </c>
      <c r="DC229" s="478">
        <f>-(+IS!DH187-IS!DH167-IS!DH173)+IS!DH37</f>
        <v>-14.003631250000002</v>
      </c>
      <c r="DD229" s="478">
        <f>-(+IS!DI187-IS!DI167-IS!DI173)+IS!DI37</f>
        <v>-48.188980000000001</v>
      </c>
      <c r="DE229" s="478">
        <f>-(+IS!DJ187-IS!DJ167-IS!DJ173)+IS!DJ37</f>
        <v>-4.0026268749999971</v>
      </c>
      <c r="DF229" s="478">
        <f>-(+IS!DK187-IS!DK167-IS!DK173)+IS!DK37</f>
        <v>-21.785483312500006</v>
      </c>
      <c r="DG229" s="478">
        <f>-(+IS!DL187-IS!DL167-IS!DL173)+IS!DL37</f>
        <v>-13.556506000000001</v>
      </c>
      <c r="DH229" s="478">
        <f>-(+IS!DM187-IS!DM167-IS!DM173)+IS!DM37</f>
        <v>-15.853812812500001</v>
      </c>
      <c r="DI229" s="478">
        <f>-(+IS!DN187-IS!DN167-IS!DN173)+IS!DN37</f>
        <v>-55.198429000000004</v>
      </c>
      <c r="DJ229" s="478">
        <f>-(+IS!DO187-IS!DO167-IS!DO173)+IS!DO37</f>
        <v>-5.2777582187499981</v>
      </c>
      <c r="DK229" s="478">
        <f>-(+IS!DP187-IS!DP167-IS!DP173)+IS!DP37</f>
        <v>-23.949757478125001</v>
      </c>
      <c r="DL229" s="478">
        <f>-(+IS!DQ187-IS!DQ167-IS!DQ173)+IS!DQ37</f>
        <v>-15.309331300000002</v>
      </c>
      <c r="DM229" s="478">
        <f>-(+IS!DR187-IS!DR167-IS!DR173)+IS!DR37</f>
        <v>-17.721503453125003</v>
      </c>
      <c r="DN229" s="478">
        <f>-(+IS!DS187-IS!DS167-IS!DS173)+IS!DS37</f>
        <v>-62.258350450000009</v>
      </c>
      <c r="DO229" s="478">
        <f>-(+IS!DT187-IS!DT167-IS!DT173)+IS!DT37</f>
        <v>-6.5416461296874999</v>
      </c>
      <c r="DP229" s="478">
        <f>-(+IS!DU187-IS!DU167-IS!DU173)+IS!DU37</f>
        <v>-26.147245352031256</v>
      </c>
      <c r="DQ229" s="478">
        <f>-(+IS!DV187-IS!DV167-IS!DV173)+IS!DV37</f>
        <v>-17.074797865000001</v>
      </c>
      <c r="DR229" s="478">
        <f>-(+IS!DW187-IS!DW167-IS!DW173)+IS!DW37</f>
        <v>-19.607578625781251</v>
      </c>
      <c r="DS229" s="478">
        <f>-(+IS!DX187-IS!DX167-IS!DX173)+IS!DX37</f>
        <v>-69.371267972500021</v>
      </c>
      <c r="DT229" s="478">
        <f>-(+IS!DY187-IS!DY167-IS!DY173)+IS!DY37</f>
        <v>-7.7937284361718753</v>
      </c>
      <c r="DU229" s="478">
        <f>-(+IS!DZ187-IS!DZ167-IS!DZ173)+IS!DZ37</f>
        <v>-28.379607619632822</v>
      </c>
      <c r="DV229" s="478">
        <f>-(+IS!EA187-IS!EA167-IS!EA173)+IS!EA37</f>
        <v>-18.853537758250003</v>
      </c>
      <c r="DW229" s="478">
        <f>-(+IS!EB187-IS!EB167-IS!EB173)+IS!EB37</f>
        <v>-21.512957557070315</v>
      </c>
      <c r="DX229" s="478">
        <f>-(+IS!EC187-IS!EC167-IS!EC173)+IS!EC37</f>
        <v>-76.539831371125018</v>
      </c>
      <c r="DY229" s="16"/>
      <c r="DZ229" s="16"/>
      <c r="EA229" s="16"/>
      <c r="EB229" s="16"/>
      <c r="EC229" s="16"/>
      <c r="ED229" s="16"/>
      <c r="EE229" s="16"/>
      <c r="EF229" s="16"/>
    </row>
  </sheetData>
  <mergeCells count="1">
    <mergeCell ref="AV8:AV27"/>
  </mergeCells>
  <phoneticPr fontId="7" type="noConversion"/>
  <printOptions horizontalCentered="1" verticalCentered="1"/>
  <pageMargins left="0" right="0" top="0" bottom="0" header="0" footer="0"/>
  <pageSetup paperSize="5" scale="96" orientation="landscape" r:id="rId1"/>
  <headerFooter alignWithMargins="0">
    <oddHeader>&amp;L&amp;8John S. Glass, (617) 856-8752
Jon M. Tower, (617) 856-8750&amp;C&amp;8Burger King Holdings, Inc.&amp;R&amp;8Morgan Stanley</oddHeader>
  </headerFooter>
  <ignoredErrors>
    <ignoredError sqref="BJ173:BJ183 BJ185" formulaRange="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FJ179"/>
  <sheetViews>
    <sheetView showGridLines="0" workbookViewId="0">
      <pane xSplit="1" ySplit="7" topLeftCell="BK8" activePane="bottomRight" state="frozen"/>
      <selection pane="topRight"/>
      <selection pane="bottomLeft"/>
      <selection pane="bottomRight" activeCell="A60" sqref="A60"/>
    </sheetView>
  </sheetViews>
  <sheetFormatPr defaultRowHeight="12.75" outlineLevelRow="2" outlineLevelCol="1" x14ac:dyDescent="0.2"/>
  <cols>
    <col min="1" max="1" width="48.42578125" customWidth="1"/>
    <col min="2" max="42" width="7.5703125" hidden="1" customWidth="1" outlineLevel="1"/>
    <col min="43" max="43" width="7.5703125" hidden="1" customWidth="1" outlineLevel="1" collapsed="1"/>
    <col min="44" max="47" width="7.5703125" hidden="1" customWidth="1" outlineLevel="1"/>
    <col min="48" max="48" width="3" hidden="1" customWidth="1" outlineLevel="1"/>
    <col min="49" max="62" width="7.5703125" hidden="1" customWidth="1" outlineLevel="1"/>
    <col min="63" max="63" width="7.5703125" customWidth="1" collapsed="1"/>
    <col min="64" max="67" width="7.5703125" hidden="1" customWidth="1" outlineLevel="1"/>
    <col min="68" max="68" width="7.5703125" customWidth="1" collapsed="1"/>
    <col min="69" max="72" width="7.5703125" hidden="1" customWidth="1" outlineLevel="1"/>
    <col min="73" max="73" width="7.5703125" customWidth="1" collapsed="1"/>
    <col min="74" max="74" width="7.5703125" style="1066" hidden="1" customWidth="1" outlineLevel="1"/>
    <col min="75" max="75" width="7.5703125" style="1401" hidden="1" customWidth="1" outlineLevel="1"/>
    <col min="76" max="77" width="7.5703125" style="1066" hidden="1" customWidth="1" outlineLevel="1"/>
    <col min="78" max="78" width="7.5703125" style="1066" customWidth="1" collapsed="1"/>
    <col min="79" max="82" width="7.5703125" style="1066" hidden="1" customWidth="1" outlineLevel="1"/>
    <col min="83" max="83" width="7.5703125" style="1066" customWidth="1" collapsed="1"/>
    <col min="84" max="86" width="7.5703125" style="1066" customWidth="1" outlineLevel="1"/>
    <col min="87" max="87" width="8.42578125" style="1066" customWidth="1" outlineLevel="1"/>
    <col min="88" max="88" width="7.5703125" style="1066" customWidth="1"/>
    <col min="89" max="89" width="7.5703125" style="1066" customWidth="1" outlineLevel="1"/>
    <col min="90" max="92" width="7.5703125" customWidth="1" outlineLevel="1"/>
    <col min="93" max="93" width="7.5703125" customWidth="1"/>
    <col min="94" max="97" width="7.5703125" hidden="1" customWidth="1" outlineLevel="1"/>
    <col min="98" max="98" width="7.5703125" customWidth="1" collapsed="1"/>
    <col min="99" max="102" width="7.5703125" hidden="1" customWidth="1" outlineLevel="1"/>
    <col min="103" max="103" width="7.5703125" customWidth="1" collapsed="1"/>
    <col min="104" max="107" width="7.5703125" hidden="1" customWidth="1" outlineLevel="1"/>
    <col min="108" max="108" width="7.5703125" customWidth="1" collapsed="1"/>
    <col min="109" max="112" width="7.5703125" hidden="1" customWidth="1" outlineLevel="1"/>
    <col min="113" max="113" width="7.5703125" customWidth="1" collapsed="1"/>
    <col min="114" max="117" width="7.5703125" hidden="1" customWidth="1" outlineLevel="1"/>
    <col min="118" max="118" width="7.5703125" customWidth="1" collapsed="1"/>
    <col min="119" max="122" width="7.5703125" hidden="1" customWidth="1" outlineLevel="1"/>
    <col min="123" max="123" width="7.5703125" customWidth="1" collapsed="1"/>
    <col min="124" max="127" width="7.5703125" hidden="1" customWidth="1" outlineLevel="1"/>
    <col min="128" max="128" width="7.5703125" customWidth="1" collapsed="1"/>
    <col min="129" max="129" width="36.5703125" customWidth="1"/>
    <col min="130" max="130" width="10.42578125" customWidth="1"/>
    <col min="132" max="142" width="9.140625" customWidth="1" outlineLevel="1"/>
  </cols>
  <sheetData>
    <row r="1" spans="1:166" ht="51" customHeight="1" x14ac:dyDescent="0.2">
      <c r="A1" s="25"/>
      <c r="B1" s="16"/>
      <c r="C1" s="16"/>
      <c r="D1" s="16"/>
      <c r="E1" s="16"/>
      <c r="F1" s="16"/>
      <c r="G1" s="16"/>
      <c r="H1" s="16"/>
      <c r="I1" s="159"/>
      <c r="J1" s="16"/>
      <c r="K1" s="16"/>
      <c r="L1" s="16"/>
      <c r="M1" s="16"/>
      <c r="N1" s="16"/>
      <c r="O1" s="16"/>
      <c r="P1" s="154"/>
      <c r="Q1" s="67"/>
      <c r="R1" s="16"/>
      <c r="S1" s="16"/>
      <c r="T1" s="16"/>
      <c r="U1" s="155"/>
      <c r="V1" s="67"/>
      <c r="W1" s="16"/>
      <c r="X1" s="16"/>
      <c r="Y1" s="16"/>
      <c r="Z1" s="16"/>
      <c r="AA1" s="16"/>
      <c r="AB1" s="16"/>
      <c r="AC1" s="16"/>
      <c r="AD1" s="16"/>
      <c r="AE1" s="16"/>
      <c r="AF1" s="16"/>
      <c r="AG1" s="16"/>
      <c r="AH1" s="16"/>
      <c r="AI1" s="16"/>
      <c r="AJ1" s="16"/>
      <c r="AK1" s="16"/>
      <c r="AL1" s="16"/>
      <c r="AM1" s="16"/>
      <c r="AN1" s="16"/>
      <c r="AO1" s="16"/>
      <c r="AP1" s="16"/>
      <c r="AQ1" s="16"/>
      <c r="AR1" s="16"/>
      <c r="AS1" s="16"/>
      <c r="AT1" s="16"/>
      <c r="AU1" s="79"/>
      <c r="AV1" s="67"/>
      <c r="AW1" s="79"/>
      <c r="AX1" s="79"/>
      <c r="AY1" s="21"/>
      <c r="AZ1" s="16"/>
      <c r="BA1" s="79"/>
      <c r="BB1" s="79"/>
      <c r="BC1" s="79"/>
      <c r="BD1" s="79"/>
      <c r="BE1" s="79"/>
      <c r="BF1" s="79"/>
      <c r="BG1" s="79"/>
      <c r="BH1" s="79"/>
      <c r="BI1" s="79"/>
      <c r="BJ1" s="79"/>
      <c r="BK1" s="79"/>
      <c r="BL1" s="79"/>
      <c r="BM1" s="79"/>
      <c r="BN1" s="79"/>
      <c r="BO1" s="79"/>
      <c r="BP1" s="79"/>
      <c r="BQ1" s="79"/>
      <c r="BR1" s="79"/>
      <c r="BS1" s="79"/>
      <c r="BT1" s="79"/>
      <c r="BU1" s="79"/>
      <c r="BV1" s="79"/>
      <c r="BW1" s="1402"/>
      <c r="BX1" s="79"/>
      <c r="BY1" s="79"/>
      <c r="BZ1" s="79"/>
      <c r="CA1" s="79"/>
      <c r="CB1" s="79"/>
      <c r="CC1" s="79"/>
      <c r="CD1" s="79"/>
      <c r="CE1" s="79"/>
      <c r="CF1" s="79"/>
      <c r="CG1" s="79"/>
      <c r="CH1" s="79"/>
      <c r="CI1" s="79"/>
      <c r="CJ1" s="79"/>
      <c r="CK1" s="79"/>
      <c r="CL1" s="79"/>
      <c r="CM1" s="79"/>
      <c r="CN1" s="79"/>
      <c r="CO1" s="79"/>
      <c r="CP1" s="79"/>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16"/>
      <c r="DZ1" s="16"/>
      <c r="EA1" s="16"/>
      <c r="EB1" s="173"/>
      <c r="EC1" s="173"/>
      <c r="ED1" s="173"/>
      <c r="EE1" s="173"/>
      <c r="EF1" s="16"/>
      <c r="EG1" s="16"/>
      <c r="EH1" s="16"/>
      <c r="EI1" s="16"/>
      <c r="EJ1" s="21"/>
      <c r="EK1" s="21"/>
      <c r="EL1" s="21"/>
      <c r="EM1" s="16"/>
      <c r="EN1" s="16"/>
      <c r="EU1" s="16"/>
      <c r="EV1" s="16"/>
      <c r="EW1" s="16"/>
      <c r="EX1" s="16"/>
      <c r="EY1" s="16"/>
      <c r="EZ1" s="16"/>
      <c r="FA1" s="16"/>
      <c r="FB1" s="16"/>
      <c r="FC1" s="16"/>
      <c r="FD1" s="16"/>
      <c r="FE1" s="16"/>
      <c r="FF1" s="16"/>
      <c r="FG1" s="16"/>
      <c r="FH1" s="16"/>
      <c r="FI1" s="16"/>
      <c r="FJ1" s="16"/>
    </row>
    <row r="2" spans="1:166" x14ac:dyDescent="0.2">
      <c r="A2" s="16" t="s">
        <v>496</v>
      </c>
      <c r="B2" s="34"/>
      <c r="C2" s="16"/>
      <c r="D2" s="16"/>
      <c r="E2" s="16"/>
      <c r="F2" s="16"/>
      <c r="G2" s="34"/>
      <c r="H2" s="16"/>
      <c r="I2" s="159"/>
      <c r="J2" s="16"/>
      <c r="K2" s="16"/>
      <c r="L2" s="34"/>
      <c r="M2" s="78"/>
      <c r="N2" s="16"/>
      <c r="O2" s="16"/>
      <c r="P2" s="67"/>
      <c r="Q2" s="67"/>
      <c r="R2" s="16"/>
      <c r="S2" s="16"/>
      <c r="T2" s="16"/>
      <c r="U2" s="67"/>
      <c r="V2" s="67"/>
      <c r="W2" s="16"/>
      <c r="X2" s="16"/>
      <c r="Y2" s="16"/>
      <c r="Z2" s="16"/>
      <c r="AA2" s="16"/>
      <c r="AB2" s="16"/>
      <c r="AC2" s="16"/>
      <c r="AD2" s="16"/>
      <c r="AE2" s="16"/>
      <c r="AF2" s="16"/>
      <c r="AG2" s="16"/>
      <c r="AH2" s="16"/>
      <c r="AI2" s="16"/>
      <c r="AJ2" s="16"/>
      <c r="AK2" s="44"/>
      <c r="AL2" s="16"/>
      <c r="AM2" s="16"/>
      <c r="AN2" s="16"/>
      <c r="AO2" s="16"/>
      <c r="AP2" s="44"/>
      <c r="AQ2" s="44"/>
      <c r="AR2" s="44"/>
      <c r="AS2" s="44"/>
      <c r="AT2" s="44"/>
      <c r="AU2" s="659"/>
      <c r="AV2" s="17"/>
      <c r="AW2" s="659"/>
      <c r="AX2" s="659"/>
      <c r="AY2" s="60"/>
      <c r="AZ2" s="44"/>
      <c r="BA2" s="659"/>
      <c r="BB2" s="659"/>
      <c r="BC2" s="659"/>
      <c r="BD2" s="659"/>
      <c r="BE2" s="659"/>
      <c r="BF2" s="659"/>
      <c r="BG2" s="659"/>
      <c r="BH2" s="659"/>
      <c r="BI2" s="659"/>
      <c r="BJ2" s="659"/>
      <c r="BK2" s="659"/>
      <c r="BL2" s="659"/>
      <c r="BM2" s="659"/>
      <c r="BN2" s="659"/>
      <c r="BO2" s="659"/>
      <c r="BP2" s="659"/>
      <c r="BQ2" s="659"/>
      <c r="BR2" s="659"/>
      <c r="BS2" s="659"/>
      <c r="BT2" s="659"/>
      <c r="BU2" s="659"/>
      <c r="BV2" s="659"/>
      <c r="BW2" s="1403"/>
      <c r="BX2" s="1421">
        <f>BX32-BW32</f>
        <v>84.6</v>
      </c>
      <c r="BY2" s="659"/>
      <c r="BZ2" s="659"/>
      <c r="CA2" s="659"/>
      <c r="CB2" s="659"/>
      <c r="CC2" s="659"/>
      <c r="CD2" s="659"/>
      <c r="CE2" s="659"/>
      <c r="CF2" s="659"/>
      <c r="CG2" s="659"/>
      <c r="CH2" s="659"/>
      <c r="CI2" s="659"/>
      <c r="CJ2" s="659"/>
      <c r="CK2" s="659"/>
      <c r="CL2" s="659"/>
      <c r="CM2" s="659"/>
      <c r="CN2" s="659"/>
      <c r="CO2" s="659"/>
      <c r="CP2" s="659"/>
      <c r="CQ2" s="659"/>
      <c r="CR2" s="659"/>
      <c r="CS2" s="659"/>
      <c r="CT2" s="659"/>
      <c r="CU2" s="659"/>
      <c r="CV2" s="659"/>
      <c r="CW2" s="659"/>
      <c r="CX2" s="659"/>
      <c r="CY2" s="659"/>
      <c r="CZ2" s="659"/>
      <c r="DA2" s="659"/>
      <c r="DB2" s="659"/>
      <c r="DC2" s="659"/>
      <c r="DD2" s="659"/>
      <c r="DE2" s="659"/>
      <c r="DF2" s="659"/>
      <c r="DG2" s="659"/>
      <c r="DH2" s="659"/>
      <c r="DI2" s="659"/>
      <c r="DJ2" s="659"/>
      <c r="DK2" s="659"/>
      <c r="DL2" s="659"/>
      <c r="DM2" s="659"/>
      <c r="DN2" s="659"/>
      <c r="DO2" s="659"/>
      <c r="DP2" s="659"/>
      <c r="DQ2" s="659"/>
      <c r="DR2" s="659"/>
      <c r="DS2" s="659"/>
      <c r="DT2" s="659"/>
      <c r="DU2" s="659"/>
      <c r="DV2" s="659"/>
      <c r="DW2" s="659"/>
      <c r="DX2" s="659"/>
      <c r="DY2" s="659"/>
      <c r="DZ2" s="16"/>
      <c r="EA2" s="16"/>
      <c r="EB2" s="173"/>
      <c r="EC2" s="173"/>
      <c r="ED2" s="173"/>
      <c r="EE2" s="173"/>
      <c r="EF2" s="16"/>
      <c r="EG2" s="16"/>
      <c r="EH2" s="16"/>
      <c r="EI2" s="16"/>
      <c r="EJ2" s="21"/>
      <c r="EK2" s="21"/>
      <c r="EL2" s="21"/>
      <c r="EM2" s="16"/>
      <c r="EN2" s="16"/>
      <c r="EU2" s="16"/>
      <c r="EV2" s="16"/>
      <c r="EW2" s="16"/>
      <c r="EX2" s="16"/>
      <c r="EY2" s="16"/>
      <c r="EZ2" s="16"/>
      <c r="FA2" s="16"/>
      <c r="FB2" s="16"/>
      <c r="FC2" s="16"/>
      <c r="FD2" s="16"/>
      <c r="FE2" s="16"/>
      <c r="FF2" s="16"/>
      <c r="FG2" s="16"/>
      <c r="FH2" s="16"/>
      <c r="FI2" s="16"/>
      <c r="FJ2" s="16"/>
    </row>
    <row r="3" spans="1:166" x14ac:dyDescent="0.2">
      <c r="A3" s="21"/>
      <c r="B3" s="34"/>
      <c r="C3" s="34"/>
      <c r="D3" s="34"/>
      <c r="E3" s="34"/>
      <c r="F3" s="34"/>
      <c r="G3" s="34"/>
      <c r="H3" s="34"/>
      <c r="I3" s="214"/>
      <c r="J3" s="34"/>
      <c r="K3" s="34"/>
      <c r="L3" s="34"/>
      <c r="M3" s="16"/>
      <c r="N3" s="16"/>
      <c r="O3" s="16"/>
      <c r="P3" s="149"/>
      <c r="Q3" s="16"/>
      <c r="R3" s="16"/>
      <c r="S3" s="16"/>
      <c r="T3" s="16"/>
      <c r="U3" s="149"/>
      <c r="V3" s="34"/>
      <c r="W3" s="34"/>
      <c r="X3" s="34"/>
      <c r="Y3" s="34"/>
      <c r="Z3" s="65"/>
      <c r="AA3" s="34"/>
      <c r="AB3" s="65"/>
      <c r="AC3" s="34"/>
      <c r="AD3" s="34"/>
      <c r="AE3" s="34"/>
      <c r="AF3" s="34"/>
      <c r="AG3" s="34"/>
      <c r="AH3" s="16"/>
      <c r="AI3" s="34"/>
      <c r="AJ3" s="34"/>
      <c r="AK3" s="34"/>
      <c r="AL3" s="34"/>
      <c r="AM3" s="34"/>
      <c r="AN3" s="34"/>
      <c r="AO3" s="34"/>
      <c r="AP3" s="34"/>
      <c r="AQ3" s="34"/>
      <c r="AR3" s="34"/>
      <c r="AS3" s="34"/>
      <c r="AT3" s="34"/>
      <c r="AU3" s="34"/>
      <c r="AV3" s="17"/>
      <c r="AW3" s="34"/>
      <c r="AX3" s="34"/>
      <c r="AY3" s="22"/>
      <c r="AZ3" s="34"/>
      <c r="BA3" s="34"/>
      <c r="BB3" s="34"/>
      <c r="BC3" s="34"/>
      <c r="BD3" s="34"/>
      <c r="BE3" s="34"/>
      <c r="BF3" s="34"/>
      <c r="BG3" s="34"/>
      <c r="BH3" s="34"/>
      <c r="BI3" s="34"/>
      <c r="BJ3" s="34"/>
      <c r="BK3" s="34"/>
      <c r="BL3" s="34"/>
      <c r="BM3" s="34"/>
      <c r="BN3" s="34"/>
      <c r="BO3" s="34"/>
      <c r="BP3" s="34"/>
      <c r="BQ3" s="34"/>
      <c r="BR3" s="34"/>
      <c r="BS3" s="34"/>
      <c r="BT3" s="34"/>
      <c r="BU3" s="34"/>
      <c r="BV3" s="34"/>
      <c r="BW3" s="1397"/>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c r="DC3" s="34"/>
      <c r="DD3" s="34"/>
      <c r="DE3" s="34"/>
      <c r="DF3" s="34"/>
      <c r="DG3" s="34"/>
      <c r="DH3" s="34"/>
      <c r="DI3" s="34"/>
      <c r="DJ3" s="34"/>
      <c r="DK3" s="34"/>
      <c r="DL3" s="34"/>
      <c r="DM3" s="34"/>
      <c r="DN3" s="34"/>
      <c r="DO3" s="34"/>
      <c r="DP3" s="34"/>
      <c r="DQ3" s="34"/>
      <c r="DR3" s="34"/>
      <c r="DS3" s="34"/>
      <c r="DT3" s="34"/>
      <c r="DU3" s="34"/>
      <c r="DV3" s="34"/>
      <c r="DW3" s="34"/>
      <c r="DX3" s="34"/>
      <c r="DY3" s="16"/>
      <c r="DZ3" s="16"/>
      <c r="EA3" s="16"/>
      <c r="EB3" s="173"/>
      <c r="EC3" s="173"/>
      <c r="ED3" s="173"/>
      <c r="EE3" s="173"/>
      <c r="EF3" s="16"/>
      <c r="EG3" s="16"/>
      <c r="EH3" s="16"/>
      <c r="EI3" s="16"/>
      <c r="EJ3" s="21"/>
      <c r="EK3" s="21"/>
      <c r="EL3" s="21"/>
      <c r="EM3" s="16"/>
      <c r="EN3" s="16"/>
      <c r="EU3" s="16"/>
      <c r="EV3" s="16"/>
      <c r="EW3" s="16"/>
      <c r="EX3" s="16"/>
      <c r="EY3" s="16"/>
      <c r="EZ3" s="16"/>
      <c r="FA3" s="16"/>
      <c r="FB3" s="16"/>
      <c r="FC3" s="16"/>
      <c r="FD3" s="16"/>
      <c r="FE3" s="16"/>
      <c r="FF3" s="16"/>
      <c r="FG3" s="16"/>
      <c r="FH3" s="16"/>
      <c r="FI3" s="16"/>
      <c r="FJ3" s="16"/>
    </row>
    <row r="4" spans="1:166" hidden="1" outlineLevel="1" x14ac:dyDescent="0.2">
      <c r="BV4"/>
      <c r="BW4"/>
      <c r="BX4"/>
      <c r="BY4"/>
      <c r="BZ4"/>
      <c r="CA4"/>
      <c r="CB4"/>
      <c r="CC4"/>
      <c r="CD4"/>
      <c r="CE4"/>
      <c r="CF4"/>
      <c r="CG4"/>
      <c r="CH4"/>
      <c r="CI4"/>
      <c r="CJ4"/>
      <c r="CK4"/>
    </row>
    <row r="5" spans="1:166" ht="18" collapsed="1" x14ac:dyDescent="0.25">
      <c r="A5" s="460" t="s">
        <v>590</v>
      </c>
      <c r="B5" s="338"/>
      <c r="C5" s="5"/>
      <c r="D5" s="338"/>
      <c r="E5" s="338"/>
      <c r="F5" s="338"/>
      <c r="G5" s="338"/>
      <c r="H5" s="5"/>
      <c r="I5" s="1783"/>
      <c r="J5" s="5"/>
      <c r="K5" s="5"/>
      <c r="L5" s="5"/>
      <c r="M5" s="5"/>
      <c r="N5" s="338"/>
      <c r="O5" s="5"/>
      <c r="P5" s="5"/>
      <c r="Q5" s="5"/>
      <c r="R5" s="5"/>
      <c r="S5" s="338"/>
      <c r="T5" s="338"/>
      <c r="U5" s="338"/>
      <c r="V5" s="338"/>
      <c r="W5" s="4"/>
      <c r="X5" s="338"/>
      <c r="Y5" s="338"/>
      <c r="Z5" s="338"/>
      <c r="AA5" s="338"/>
      <c r="AB5" s="4"/>
      <c r="AC5" s="338"/>
      <c r="AD5" s="338"/>
      <c r="AE5" s="338"/>
      <c r="AF5" s="338"/>
      <c r="AG5" s="4"/>
      <c r="AH5" s="338"/>
      <c r="AI5" s="338"/>
      <c r="AJ5" s="338"/>
      <c r="AK5" s="338"/>
      <c r="AL5" s="4"/>
      <c r="AM5" s="338"/>
      <c r="AN5" s="338"/>
      <c r="AO5" s="338"/>
      <c r="AP5" s="338"/>
      <c r="AQ5" s="4"/>
      <c r="AR5" s="338"/>
      <c r="AS5" s="338"/>
      <c r="AT5" s="338"/>
      <c r="AU5" s="338"/>
      <c r="AV5" s="1674"/>
      <c r="AW5" s="338"/>
      <c r="AX5" s="338"/>
      <c r="AY5" s="338"/>
      <c r="AZ5" s="338"/>
      <c r="BA5" s="338"/>
      <c r="BB5" s="4"/>
      <c r="BC5" s="5"/>
      <c r="BD5" s="5"/>
      <c r="BE5" s="5"/>
      <c r="BF5" s="5"/>
      <c r="BG5" s="4"/>
      <c r="BH5" s="5"/>
      <c r="BI5" s="5"/>
      <c r="BJ5" s="338"/>
      <c r="BK5" s="338"/>
      <c r="BL5" s="4"/>
      <c r="BM5" s="338"/>
      <c r="BN5" s="338"/>
      <c r="BO5" s="338"/>
      <c r="BP5" s="338"/>
      <c r="BQ5" s="338"/>
      <c r="BR5" s="338"/>
      <c r="BS5" s="338"/>
      <c r="BT5" s="338"/>
      <c r="BU5" s="338"/>
      <c r="BV5" s="5"/>
      <c r="BW5" s="1363"/>
      <c r="BX5" s="5"/>
      <c r="BY5" s="5"/>
      <c r="BZ5" s="5"/>
      <c r="CA5" s="5"/>
      <c r="CB5" s="5"/>
      <c r="CC5" s="5"/>
      <c r="CD5" s="5"/>
      <c r="CE5" s="5"/>
      <c r="CF5" s="5"/>
      <c r="CG5" s="5"/>
      <c r="CH5" s="5"/>
      <c r="CI5" s="5"/>
      <c r="CJ5" s="5"/>
      <c r="CK5" s="5"/>
      <c r="CL5" s="338"/>
      <c r="CM5" s="338"/>
      <c r="CN5" s="338"/>
      <c r="CO5" s="338"/>
      <c r="CP5" s="338"/>
      <c r="CQ5" s="338"/>
      <c r="CR5" s="338"/>
      <c r="CS5" s="338"/>
      <c r="CT5" s="338"/>
      <c r="CU5" s="338"/>
      <c r="CV5" s="338"/>
      <c r="CW5" s="338"/>
      <c r="CX5" s="338"/>
      <c r="CY5" s="338"/>
      <c r="CZ5" s="338"/>
      <c r="DA5" s="338"/>
      <c r="DB5" s="338"/>
      <c r="DC5" s="338"/>
      <c r="DD5" s="338"/>
      <c r="DE5" s="338"/>
      <c r="DF5" s="338"/>
      <c r="DG5" s="338"/>
      <c r="DH5" s="338"/>
      <c r="DI5" s="338"/>
      <c r="DJ5" s="338"/>
      <c r="DK5" s="338"/>
      <c r="DL5" s="338"/>
      <c r="DM5" s="338"/>
      <c r="DN5" s="338"/>
      <c r="DO5" s="338"/>
      <c r="DP5" s="338"/>
      <c r="DQ5" s="338"/>
      <c r="DR5" s="338"/>
      <c r="DS5" s="338"/>
      <c r="DT5" s="338"/>
      <c r="DU5" s="338"/>
      <c r="DV5" s="338"/>
      <c r="DW5" s="338"/>
      <c r="DX5" s="339"/>
      <c r="DY5" s="30"/>
      <c r="DZ5" s="30"/>
      <c r="EA5" s="30"/>
      <c r="EB5" s="15"/>
      <c r="EC5" s="15"/>
      <c r="ED5" s="670"/>
      <c r="EE5" s="670"/>
      <c r="EF5" s="670"/>
      <c r="EG5" s="670"/>
      <c r="EH5" s="670"/>
      <c r="EI5" s="670"/>
      <c r="EJ5" s="373"/>
      <c r="EK5" s="373"/>
      <c r="EL5" s="373"/>
      <c r="EM5" s="30"/>
      <c r="EN5" s="30"/>
      <c r="EU5" s="30"/>
      <c r="EV5" s="30"/>
      <c r="EW5" s="30"/>
      <c r="EX5" s="30"/>
      <c r="EY5" s="30"/>
      <c r="EZ5" s="30"/>
      <c r="FA5" s="30"/>
      <c r="FB5" s="30"/>
      <c r="FC5" s="30"/>
      <c r="FD5" s="30"/>
      <c r="FE5" s="30"/>
      <c r="FF5" s="30"/>
      <c r="FG5" s="30"/>
      <c r="FH5" s="30"/>
      <c r="FI5" s="30"/>
      <c r="FJ5" s="30"/>
    </row>
    <row r="6" spans="1:166" x14ac:dyDescent="0.2">
      <c r="A6" s="1780" t="s">
        <v>205</v>
      </c>
      <c r="B6" s="61"/>
      <c r="C6" s="61"/>
      <c r="D6" s="61"/>
      <c r="E6" s="61"/>
      <c r="F6" s="61"/>
      <c r="G6" s="61"/>
      <c r="H6" s="61"/>
      <c r="I6" s="1781"/>
      <c r="J6" s="61"/>
      <c r="K6" s="61"/>
      <c r="L6" s="61"/>
      <c r="M6" s="61"/>
      <c r="N6" s="61"/>
      <c r="O6" s="61"/>
      <c r="P6" s="61"/>
      <c r="Q6" s="61"/>
      <c r="R6" s="61"/>
      <c r="S6" s="61"/>
      <c r="T6" s="61"/>
      <c r="U6" s="61"/>
      <c r="V6" s="812">
        <v>38533</v>
      </c>
      <c r="W6" s="812"/>
      <c r="X6" s="812"/>
      <c r="Y6" s="812"/>
      <c r="Z6" s="812"/>
      <c r="AA6" s="812">
        <v>38898</v>
      </c>
      <c r="AB6" s="812">
        <v>38990</v>
      </c>
      <c r="AC6" s="812">
        <v>39082</v>
      </c>
      <c r="AD6" s="812">
        <v>39172</v>
      </c>
      <c r="AE6" s="812">
        <v>39263</v>
      </c>
      <c r="AF6" s="812">
        <f>AE6</f>
        <v>39263</v>
      </c>
      <c r="AG6" s="812">
        <v>39355</v>
      </c>
      <c r="AH6" s="812">
        <v>39447</v>
      </c>
      <c r="AI6" s="812">
        <v>39538</v>
      </c>
      <c r="AJ6" s="812">
        <v>39629</v>
      </c>
      <c r="AK6" s="812">
        <f>AJ6</f>
        <v>39629</v>
      </c>
      <c r="AL6" s="812">
        <v>39721</v>
      </c>
      <c r="AM6" s="812">
        <v>39813</v>
      </c>
      <c r="AN6" s="812">
        <v>39903</v>
      </c>
      <c r="AO6" s="812">
        <v>39994</v>
      </c>
      <c r="AP6" s="812">
        <f>AO6</f>
        <v>39994</v>
      </c>
      <c r="AQ6" s="812">
        <v>40086</v>
      </c>
      <c r="AR6" s="812">
        <v>40178</v>
      </c>
      <c r="AS6" s="812">
        <v>40268</v>
      </c>
      <c r="AT6" s="812">
        <v>40359</v>
      </c>
      <c r="AU6" s="812">
        <f>AT6</f>
        <v>40359</v>
      </c>
      <c r="AV6" s="881"/>
      <c r="AW6" s="812">
        <f>AS6</f>
        <v>40268</v>
      </c>
      <c r="AX6" s="812">
        <f>AT6</f>
        <v>40359</v>
      </c>
      <c r="AY6" s="812">
        <v>40451</v>
      </c>
      <c r="AZ6" s="812">
        <v>40543</v>
      </c>
      <c r="BA6" s="812">
        <f>IS!BA7</f>
        <v>40543</v>
      </c>
      <c r="BB6" s="812">
        <f>IS!BB7</f>
        <v>40633</v>
      </c>
      <c r="BC6" s="812">
        <f>IS!BC7</f>
        <v>40724</v>
      </c>
      <c r="BD6" s="812">
        <f>IS!BD7</f>
        <v>40816</v>
      </c>
      <c r="BE6" s="812">
        <f>IS!BE7</f>
        <v>40908</v>
      </c>
      <c r="BF6" s="812">
        <f>IS!BF7</f>
        <v>40908</v>
      </c>
      <c r="BG6" s="812">
        <f>IS!BG7</f>
        <v>40999</v>
      </c>
      <c r="BH6" s="812">
        <f>IS!BH7</f>
        <v>41090</v>
      </c>
      <c r="BI6" s="812">
        <f>IS!BI7</f>
        <v>41182</v>
      </c>
      <c r="BJ6" s="812">
        <f>IS!BJ7</f>
        <v>41274</v>
      </c>
      <c r="BK6" s="812">
        <f>IS!BK7</f>
        <v>41274</v>
      </c>
      <c r="BL6" s="812">
        <f>IS!BL7</f>
        <v>41364</v>
      </c>
      <c r="BM6" s="812">
        <f>IS!BM7</f>
        <v>41455</v>
      </c>
      <c r="BN6" s="812">
        <f>IS!BN7</f>
        <v>41547</v>
      </c>
      <c r="BO6" s="812">
        <f>IS!BO7</f>
        <v>41639</v>
      </c>
      <c r="BP6" s="812">
        <f>IS!BP7</f>
        <v>41639</v>
      </c>
      <c r="BQ6" s="812">
        <f>IS!BQ7</f>
        <v>41729</v>
      </c>
      <c r="BR6" s="812">
        <f>IS!BR7</f>
        <v>41820</v>
      </c>
      <c r="BS6" s="812">
        <f>IS!BS7</f>
        <v>41912</v>
      </c>
      <c r="BT6" s="812">
        <f>IS!BT7</f>
        <v>42004</v>
      </c>
      <c r="BU6" s="812">
        <f>IS!BU7</f>
        <v>42004</v>
      </c>
      <c r="BV6" s="812">
        <f>IS!CA7</f>
        <v>42094</v>
      </c>
      <c r="BW6" s="1782">
        <f>IS!CB7</f>
        <v>42185</v>
      </c>
      <c r="BX6" s="812">
        <f>IS!CC7</f>
        <v>42277</v>
      </c>
      <c r="BY6" s="812">
        <f>IS!CD7</f>
        <v>42369</v>
      </c>
      <c r="BZ6" s="812">
        <f>IS!CE7</f>
        <v>42369</v>
      </c>
      <c r="CA6" s="812">
        <f>IS!CF7</f>
        <v>42460</v>
      </c>
      <c r="CB6" s="812">
        <f>IS!CG7</f>
        <v>42551</v>
      </c>
      <c r="CC6" s="812">
        <f>IS!CH7</f>
        <v>42643</v>
      </c>
      <c r="CD6" s="812">
        <f>IS!CI7</f>
        <v>42735</v>
      </c>
      <c r="CE6" s="812">
        <f>IS!CJ7</f>
        <v>42735</v>
      </c>
      <c r="CF6" s="812">
        <f>IS!CK7</f>
        <v>42825</v>
      </c>
      <c r="CG6" s="812">
        <f>IS!CL7</f>
        <v>42916</v>
      </c>
      <c r="CH6" s="812">
        <f>IS!CM7</f>
        <v>43008</v>
      </c>
      <c r="CI6" s="812">
        <f>IS!CN7</f>
        <v>43100</v>
      </c>
      <c r="CJ6" s="812">
        <f>IS!CO7</f>
        <v>43100</v>
      </c>
      <c r="CK6" s="812">
        <f>IS!CP7</f>
        <v>43190</v>
      </c>
      <c r="CL6" s="812">
        <f>IS!CQ7</f>
        <v>43281</v>
      </c>
      <c r="CM6" s="812">
        <f>IS!CR7</f>
        <v>43373</v>
      </c>
      <c r="CN6" s="812">
        <f>IS!CS7</f>
        <v>43465</v>
      </c>
      <c r="CO6" s="812">
        <f>IS!CT7</f>
        <v>43465</v>
      </c>
      <c r="CP6" s="812">
        <f>IS!CU7</f>
        <v>43555</v>
      </c>
      <c r="CQ6" s="812">
        <f>IS!CV7</f>
        <v>43646</v>
      </c>
      <c r="CR6" s="812">
        <f>IS!CW7</f>
        <v>43738</v>
      </c>
      <c r="CS6" s="812">
        <f>IS!CX7</f>
        <v>43830</v>
      </c>
      <c r="CT6" s="812">
        <f>IS!CY7</f>
        <v>43830</v>
      </c>
      <c r="CU6" s="812">
        <f>IS!CZ7</f>
        <v>43921</v>
      </c>
      <c r="CV6" s="812">
        <f>IS!DA7</f>
        <v>44012</v>
      </c>
      <c r="CW6" s="812">
        <f>IS!DB7</f>
        <v>44104</v>
      </c>
      <c r="CX6" s="812">
        <f>IS!DC7</f>
        <v>44196</v>
      </c>
      <c r="CY6" s="812">
        <f>IS!DD7</f>
        <v>44196</v>
      </c>
      <c r="CZ6" s="812">
        <f>IS!DE7</f>
        <v>44286</v>
      </c>
      <c r="DA6" s="812">
        <f>IS!DF7</f>
        <v>44377</v>
      </c>
      <c r="DB6" s="812">
        <f>IS!DG7</f>
        <v>44469</v>
      </c>
      <c r="DC6" s="812">
        <f>IS!DH7</f>
        <v>44561</v>
      </c>
      <c r="DD6" s="812">
        <f>IS!DI7</f>
        <v>44561</v>
      </c>
      <c r="DE6" s="812">
        <f>IS!DJ7</f>
        <v>44651</v>
      </c>
      <c r="DF6" s="812">
        <f>IS!DK7</f>
        <v>44742</v>
      </c>
      <c r="DG6" s="812">
        <f>IS!DL7</f>
        <v>44834</v>
      </c>
      <c r="DH6" s="812">
        <f>IS!DM7</f>
        <v>44926</v>
      </c>
      <c r="DI6" s="812">
        <f>IS!DN7</f>
        <v>44926</v>
      </c>
      <c r="DJ6" s="812">
        <f>IS!DO7</f>
        <v>45016</v>
      </c>
      <c r="DK6" s="812">
        <f>IS!DP7</f>
        <v>45107</v>
      </c>
      <c r="DL6" s="812">
        <f>IS!DQ7</f>
        <v>45199</v>
      </c>
      <c r="DM6" s="812">
        <f>IS!DR7</f>
        <v>45291</v>
      </c>
      <c r="DN6" s="812">
        <f>IS!DS7</f>
        <v>45291</v>
      </c>
      <c r="DO6" s="812">
        <f>IS!DT7</f>
        <v>45382</v>
      </c>
      <c r="DP6" s="812">
        <f>IS!DU7</f>
        <v>45473</v>
      </c>
      <c r="DQ6" s="812">
        <f>IS!DV7</f>
        <v>45565</v>
      </c>
      <c r="DR6" s="812">
        <f>IS!DW7</f>
        <v>45657</v>
      </c>
      <c r="DS6" s="812">
        <f>IS!DX7</f>
        <v>45657</v>
      </c>
      <c r="DT6" s="812">
        <f>IS!DY7</f>
        <v>45382</v>
      </c>
      <c r="DU6" s="812">
        <f>IS!DZ7</f>
        <v>45473</v>
      </c>
      <c r="DV6" s="812">
        <f>IS!EA7</f>
        <v>45565</v>
      </c>
      <c r="DW6" s="812">
        <f>IS!EB7</f>
        <v>45657</v>
      </c>
      <c r="DX6" s="812">
        <f>IS!EC7</f>
        <v>45657</v>
      </c>
      <c r="DY6" s="118"/>
      <c r="DZ6" s="118"/>
      <c r="EA6" s="118"/>
      <c r="EB6" s="15"/>
      <c r="EC6" s="15"/>
      <c r="ED6" s="670"/>
      <c r="EE6" s="670"/>
      <c r="EF6" s="670"/>
      <c r="EG6" s="670"/>
      <c r="EH6" s="670"/>
      <c r="EI6" s="670"/>
      <c r="EJ6" s="373"/>
      <c r="EK6" s="373"/>
      <c r="EL6" s="373"/>
      <c r="EM6" s="118"/>
      <c r="EN6" s="118"/>
      <c r="EU6" s="118"/>
      <c r="EV6" s="118"/>
      <c r="EW6" s="118"/>
      <c r="EX6" s="118"/>
      <c r="EY6" s="118"/>
      <c r="EZ6" s="118"/>
      <c r="FA6" s="118"/>
      <c r="FB6" s="118"/>
      <c r="FC6" s="118"/>
      <c r="FD6" s="118"/>
      <c r="FE6" s="118"/>
      <c r="FF6" s="118"/>
      <c r="FG6" s="118"/>
      <c r="FH6" s="118"/>
      <c r="FI6" s="118"/>
      <c r="FJ6" s="118"/>
    </row>
    <row r="7" spans="1:166" x14ac:dyDescent="0.2">
      <c r="A7" s="534"/>
      <c r="B7" s="510" t="s">
        <v>246</v>
      </c>
      <c r="C7" s="512" t="s">
        <v>142</v>
      </c>
      <c r="D7" s="535" t="s">
        <v>143</v>
      </c>
      <c r="E7" s="512" t="s">
        <v>144</v>
      </c>
      <c r="F7" s="512" t="s">
        <v>145</v>
      </c>
      <c r="G7" s="510" t="s">
        <v>245</v>
      </c>
      <c r="H7" s="512" t="s">
        <v>146</v>
      </c>
      <c r="I7" s="535" t="s">
        <v>148</v>
      </c>
      <c r="J7" s="512" t="s">
        <v>149</v>
      </c>
      <c r="K7" s="512" t="s">
        <v>150</v>
      </c>
      <c r="L7" s="510" t="s">
        <v>244</v>
      </c>
      <c r="M7" s="512" t="s">
        <v>211</v>
      </c>
      <c r="N7" s="512" t="s">
        <v>213</v>
      </c>
      <c r="O7" s="512" t="s">
        <v>214</v>
      </c>
      <c r="P7" s="512" t="s">
        <v>215</v>
      </c>
      <c r="Q7" s="510" t="s">
        <v>247</v>
      </c>
      <c r="R7" s="512" t="s">
        <v>217</v>
      </c>
      <c r="S7" s="512" t="s">
        <v>218</v>
      </c>
      <c r="T7" s="512" t="s">
        <v>219</v>
      </c>
      <c r="U7" s="512" t="s">
        <v>220</v>
      </c>
      <c r="V7" s="510" t="s">
        <v>235</v>
      </c>
      <c r="W7" s="512" t="s">
        <v>257</v>
      </c>
      <c r="X7" s="512" t="s">
        <v>258</v>
      </c>
      <c r="Y7" s="512" t="s">
        <v>259</v>
      </c>
      <c r="Z7" s="512" t="s">
        <v>260</v>
      </c>
      <c r="AA7" s="510" t="s">
        <v>256</v>
      </c>
      <c r="AB7" s="512" t="s">
        <v>268</v>
      </c>
      <c r="AC7" s="512" t="s">
        <v>364</v>
      </c>
      <c r="AD7" s="512" t="s">
        <v>439</v>
      </c>
      <c r="AE7" s="512" t="s">
        <v>490</v>
      </c>
      <c r="AF7" s="510" t="s">
        <v>491</v>
      </c>
      <c r="AG7" s="512" t="s">
        <v>493</v>
      </c>
      <c r="AH7" s="512" t="s">
        <v>508</v>
      </c>
      <c r="AI7" s="512" t="s">
        <v>3</v>
      </c>
      <c r="AJ7" s="512" t="s">
        <v>72</v>
      </c>
      <c r="AK7" s="510" t="s">
        <v>73</v>
      </c>
      <c r="AL7" s="512" t="s">
        <v>516</v>
      </c>
      <c r="AM7" s="512" t="s">
        <v>132</v>
      </c>
      <c r="AN7" s="512" t="s">
        <v>93</v>
      </c>
      <c r="AO7" s="512" t="s">
        <v>398</v>
      </c>
      <c r="AP7" s="571" t="s">
        <v>399</v>
      </c>
      <c r="AQ7" s="512" t="s">
        <v>481</v>
      </c>
      <c r="AR7" s="512" t="s">
        <v>397</v>
      </c>
      <c r="AS7" s="512" t="s">
        <v>478</v>
      </c>
      <c r="AT7" s="512" t="s">
        <v>20</v>
      </c>
      <c r="AU7" s="571" t="s">
        <v>517</v>
      </c>
      <c r="AV7" s="882"/>
      <c r="AW7" s="512" t="s">
        <v>127</v>
      </c>
      <c r="AX7" s="512" t="s">
        <v>128</v>
      </c>
      <c r="AY7" s="850" t="s">
        <v>129</v>
      </c>
      <c r="AZ7" s="671" t="s">
        <v>130</v>
      </c>
      <c r="BA7" s="571" t="str">
        <f>IS!BA8</f>
        <v>2010A</v>
      </c>
      <c r="BB7" s="512" t="str">
        <f>IS!BB8</f>
        <v>1Q11A</v>
      </c>
      <c r="BC7" s="512" t="str">
        <f>IS!BC8</f>
        <v>2Q11A</v>
      </c>
      <c r="BD7" s="512" t="str">
        <f>IS!BD8</f>
        <v>3Q11A</v>
      </c>
      <c r="BE7" s="512" t="str">
        <f>IS!BE8</f>
        <v>4Q11A</v>
      </c>
      <c r="BF7" s="571" t="str">
        <f>IS!BF8</f>
        <v>2011A</v>
      </c>
      <c r="BG7" s="512" t="str">
        <f>IS!BG8</f>
        <v>1Q12A</v>
      </c>
      <c r="BH7" s="512" t="str">
        <f>IS!BH8</f>
        <v>2Q12A</v>
      </c>
      <c r="BI7" s="512" t="str">
        <f>IS!BI8</f>
        <v>3Q12A</v>
      </c>
      <c r="BJ7" s="512" t="str">
        <f>IS!BJ8</f>
        <v>4Q12A</v>
      </c>
      <c r="BK7" s="571" t="str">
        <f>IS!BK8</f>
        <v>2012A</v>
      </c>
      <c r="BL7" s="512" t="str">
        <f>IS!BL8</f>
        <v>1Q13A</v>
      </c>
      <c r="BM7" s="512" t="str">
        <f>IS!BM8</f>
        <v>2Q13A</v>
      </c>
      <c r="BN7" s="512" t="str">
        <f>IS!BN8</f>
        <v>3Q13A</v>
      </c>
      <c r="BO7" s="512" t="str">
        <f>IS!BO8</f>
        <v>4Q13A</v>
      </c>
      <c r="BP7" s="510" t="str">
        <f>IS!BP8</f>
        <v>2013A</v>
      </c>
      <c r="BQ7" s="512" t="str">
        <f>IS!BQ8</f>
        <v>1Q14A</v>
      </c>
      <c r="BR7" s="512" t="str">
        <f>IS!BR8</f>
        <v>2Q14A</v>
      </c>
      <c r="BS7" s="512" t="str">
        <f>IS!BS8</f>
        <v>3Q14A</v>
      </c>
      <c r="BT7" s="512" t="str">
        <f>IS!BT8</f>
        <v>4Q14A</v>
      </c>
      <c r="BU7" s="571" t="str">
        <f>IS!BU8</f>
        <v>2014A</v>
      </c>
      <c r="BV7" s="512" t="str">
        <f>IS!CA8</f>
        <v>1Q15A</v>
      </c>
      <c r="BW7" s="1352" t="str">
        <f>IS!CB8</f>
        <v>2Q15A</v>
      </c>
      <c r="BX7" s="512" t="str">
        <f>IS!CC8</f>
        <v>3Q15A</v>
      </c>
      <c r="BY7" s="512" t="str">
        <f>IS!CD8</f>
        <v>4Q15A</v>
      </c>
      <c r="BZ7" s="571" t="str">
        <f>IS!CE8</f>
        <v>2015A</v>
      </c>
      <c r="CA7" s="512" t="str">
        <f>IS!CF8</f>
        <v>1Q16A</v>
      </c>
      <c r="CB7" s="512" t="str">
        <f>IS!CG8</f>
        <v>2Q16A</v>
      </c>
      <c r="CC7" s="512" t="str">
        <f>IS!CH8</f>
        <v>3Q16A</v>
      </c>
      <c r="CD7" s="512" t="str">
        <f>IS!CI8</f>
        <v>4Q16A</v>
      </c>
      <c r="CE7" s="571" t="str">
        <f>IS!CJ8</f>
        <v>2016A</v>
      </c>
      <c r="CF7" s="512" t="str">
        <f>IS!CK8</f>
        <v>1Q17A</v>
      </c>
      <c r="CG7" s="512" t="str">
        <f>IS!CL8</f>
        <v>2Q17A</v>
      </c>
      <c r="CH7" s="512" t="str">
        <f>IS!CM8</f>
        <v>3Q17A</v>
      </c>
      <c r="CI7" s="512" t="str">
        <f>IS!CN8</f>
        <v>4Q17A</v>
      </c>
      <c r="CJ7" s="571" t="str">
        <f>IS!CO8</f>
        <v>2017A</v>
      </c>
      <c r="CK7" s="512" t="str">
        <f>IS!CP8</f>
        <v>1Q18A</v>
      </c>
      <c r="CL7" s="514" t="str">
        <f>IS!CQ8</f>
        <v>2Q18E</v>
      </c>
      <c r="CM7" s="514" t="str">
        <f>IS!CR8</f>
        <v>3Q18E</v>
      </c>
      <c r="CN7" s="514" t="str">
        <f>IS!CS8</f>
        <v>4Q18E</v>
      </c>
      <c r="CO7" s="536" t="str">
        <f>IS!CT8</f>
        <v>2018E</v>
      </c>
      <c r="CP7" s="514" t="str">
        <f>IS!CU8</f>
        <v>1Q19E</v>
      </c>
      <c r="CQ7" s="514" t="str">
        <f>IS!CV8</f>
        <v>2Q19E</v>
      </c>
      <c r="CR7" s="514" t="str">
        <f>IS!CW8</f>
        <v>3Q19E</v>
      </c>
      <c r="CS7" s="514" t="str">
        <f>IS!CX8</f>
        <v>4Q19E</v>
      </c>
      <c r="CT7" s="536" t="str">
        <f>IS!CY8</f>
        <v>2019E</v>
      </c>
      <c r="CU7" s="514" t="str">
        <f>IS!CZ8</f>
        <v>1Q20E</v>
      </c>
      <c r="CV7" s="514" t="str">
        <f>IS!DA8</f>
        <v>2Q20E</v>
      </c>
      <c r="CW7" s="514" t="str">
        <f>IS!DB8</f>
        <v>3Q20E</v>
      </c>
      <c r="CX7" s="514" t="str">
        <f>IS!DC8</f>
        <v>4Q20E</v>
      </c>
      <c r="CY7" s="536" t="str">
        <f>IS!DD8</f>
        <v>2020E</v>
      </c>
      <c r="CZ7" s="514" t="str">
        <f>IS!DE8</f>
        <v>1Q21E</v>
      </c>
      <c r="DA7" s="514" t="str">
        <f>IS!DF8</f>
        <v>2Q21E</v>
      </c>
      <c r="DB7" s="514" t="str">
        <f>IS!DG8</f>
        <v>3Q21E</v>
      </c>
      <c r="DC7" s="514" t="str">
        <f>IS!DH8</f>
        <v>4Q21E</v>
      </c>
      <c r="DD7" s="536" t="str">
        <f>IS!DI8</f>
        <v>2021E</v>
      </c>
      <c r="DE7" s="514" t="str">
        <f>IS!DJ8</f>
        <v>1Q22E</v>
      </c>
      <c r="DF7" s="514" t="str">
        <f>IS!DK8</f>
        <v>2Q22E</v>
      </c>
      <c r="DG7" s="514" t="str">
        <f>IS!DL8</f>
        <v>3Q22E</v>
      </c>
      <c r="DH7" s="514" t="str">
        <f>IS!DM8</f>
        <v>4Q22E</v>
      </c>
      <c r="DI7" s="536" t="str">
        <f>IS!DN8</f>
        <v>2022E</v>
      </c>
      <c r="DJ7" s="514" t="str">
        <f>IS!DO8</f>
        <v>1Q23E</v>
      </c>
      <c r="DK7" s="514" t="str">
        <f>IS!DP8</f>
        <v>2Q23E</v>
      </c>
      <c r="DL7" s="514" t="str">
        <f>IS!DQ8</f>
        <v>3Q23E</v>
      </c>
      <c r="DM7" s="514" t="str">
        <f>IS!DR8</f>
        <v>4Q23E</v>
      </c>
      <c r="DN7" s="536" t="str">
        <f>IS!DS8</f>
        <v>2023E</v>
      </c>
      <c r="DO7" s="514" t="str">
        <f>IS!DT8</f>
        <v>1Q24E</v>
      </c>
      <c r="DP7" s="514" t="str">
        <f>IS!DU8</f>
        <v>2Q24E</v>
      </c>
      <c r="DQ7" s="514" t="str">
        <f>IS!DV8</f>
        <v>3Q24E</v>
      </c>
      <c r="DR7" s="514" t="str">
        <f>IS!DW8</f>
        <v>4Q24E</v>
      </c>
      <c r="DS7" s="536" t="str">
        <f>IS!DX8</f>
        <v>2024E</v>
      </c>
      <c r="DT7" s="514" t="str">
        <f>IS!DY8</f>
        <v>1Q25E</v>
      </c>
      <c r="DU7" s="514" t="str">
        <f>IS!DZ8</f>
        <v>2Q25E</v>
      </c>
      <c r="DV7" s="514" t="str">
        <f>IS!EA8</f>
        <v>3Q25E</v>
      </c>
      <c r="DW7" s="514" t="str">
        <f>IS!EB8</f>
        <v>4Q25E</v>
      </c>
      <c r="DX7" s="536" t="str">
        <f>IS!EC8</f>
        <v>2025E</v>
      </c>
      <c r="DY7" s="520"/>
      <c r="DZ7" s="520"/>
      <c r="EA7" s="520"/>
      <c r="EB7" s="11" t="s">
        <v>400</v>
      </c>
      <c r="EC7" s="10" t="s">
        <v>401</v>
      </c>
      <c r="ED7" s="10" t="s">
        <v>402</v>
      </c>
      <c r="EE7" s="10" t="s">
        <v>403</v>
      </c>
      <c r="EF7" s="10" t="s">
        <v>561</v>
      </c>
      <c r="EG7" s="10" t="s">
        <v>562</v>
      </c>
      <c r="EH7" s="10" t="s">
        <v>95</v>
      </c>
      <c r="EI7" s="10" t="s">
        <v>96</v>
      </c>
      <c r="EJ7" s="10" t="s">
        <v>577</v>
      </c>
      <c r="EK7" s="10" t="s">
        <v>109</v>
      </c>
      <c r="EL7" s="59" t="s">
        <v>110</v>
      </c>
      <c r="EM7" s="479"/>
      <c r="EN7" s="479"/>
      <c r="EU7" s="479"/>
      <c r="EV7" s="479"/>
      <c r="EW7" s="479"/>
      <c r="EX7" s="479"/>
      <c r="EY7" s="479"/>
      <c r="EZ7" s="479"/>
      <c r="FA7" s="479"/>
      <c r="FB7" s="479"/>
      <c r="FC7" s="479"/>
      <c r="FD7" s="479"/>
      <c r="FE7" s="479"/>
      <c r="FF7" s="479"/>
      <c r="FG7" s="479"/>
      <c r="FH7" s="479"/>
      <c r="FI7" s="479"/>
      <c r="FJ7" s="479"/>
    </row>
    <row r="8" spans="1:166" x14ac:dyDescent="0.2">
      <c r="A8" s="496" t="s">
        <v>206</v>
      </c>
      <c r="B8" s="45"/>
      <c r="C8" s="21"/>
      <c r="D8" s="63"/>
      <c r="E8" s="21"/>
      <c r="F8" s="21"/>
      <c r="G8" s="45"/>
      <c r="H8" s="21"/>
      <c r="I8" s="63"/>
      <c r="J8" s="21"/>
      <c r="K8" s="21"/>
      <c r="L8" s="45"/>
      <c r="M8" s="21"/>
      <c r="N8" s="21"/>
      <c r="O8" s="21"/>
      <c r="P8" s="21"/>
      <c r="Q8" s="253"/>
      <c r="R8" s="18"/>
      <c r="S8" s="255"/>
      <c r="T8" s="255"/>
      <c r="U8" s="256"/>
      <c r="V8" s="253"/>
      <c r="W8" s="18"/>
      <c r="X8" s="255"/>
      <c r="Y8" s="255"/>
      <c r="Z8" s="256"/>
      <c r="AA8" s="175"/>
      <c r="AB8" s="18"/>
      <c r="AC8" s="255"/>
      <c r="AD8" s="255"/>
      <c r="AE8" s="256"/>
      <c r="AF8" s="253"/>
      <c r="AG8" s="18"/>
      <c r="AH8" s="255"/>
      <c r="AI8" s="255"/>
      <c r="AJ8" s="256"/>
      <c r="AK8" s="253"/>
      <c r="AL8" s="18"/>
      <c r="AM8" s="255"/>
      <c r="AN8" s="255"/>
      <c r="AO8" s="256"/>
      <c r="AP8" s="638"/>
      <c r="AQ8" s="255"/>
      <c r="AR8" s="255"/>
      <c r="AS8" s="255"/>
      <c r="AT8" s="255"/>
      <c r="AU8" s="253"/>
      <c r="AV8" s="1801" t="s">
        <v>1</v>
      </c>
      <c r="AW8" s="255"/>
      <c r="AX8" s="255"/>
      <c r="AY8" s="255"/>
      <c r="AZ8" s="255"/>
      <c r="BA8" s="253"/>
      <c r="BB8" s="18"/>
      <c r="BC8" s="255"/>
      <c r="BD8" s="255"/>
      <c r="BE8" s="256"/>
      <c r="BF8" s="638"/>
      <c r="BG8" s="255"/>
      <c r="BH8" s="255"/>
      <c r="BI8" s="255"/>
      <c r="BJ8" s="346"/>
      <c r="BK8" s="537"/>
      <c r="BL8" s="345"/>
      <c r="BM8" s="255"/>
      <c r="BN8" s="255"/>
      <c r="BO8" s="346"/>
      <c r="BP8" s="175"/>
      <c r="BQ8" s="255"/>
      <c r="BR8" s="255"/>
      <c r="BS8" s="345"/>
      <c r="BT8" s="346"/>
      <c r="BU8" s="537"/>
      <c r="BV8" s="255"/>
      <c r="BW8" s="1404"/>
      <c r="BX8" s="255"/>
      <c r="BY8" s="256"/>
      <c r="BZ8" s="638"/>
      <c r="CA8" s="255"/>
      <c r="CB8" s="255"/>
      <c r="CC8" s="255"/>
      <c r="CD8" s="256"/>
      <c r="CE8" s="638"/>
      <c r="CF8" s="255"/>
      <c r="CG8" s="255"/>
      <c r="CH8" s="255"/>
      <c r="CI8" s="256"/>
      <c r="CJ8" s="638"/>
      <c r="CK8" s="255"/>
      <c r="CL8" s="345"/>
      <c r="CM8" s="345"/>
      <c r="CN8" s="346"/>
      <c r="CO8" s="537"/>
      <c r="CP8" s="345"/>
      <c r="CQ8" s="345"/>
      <c r="CR8" s="345"/>
      <c r="CS8" s="346"/>
      <c r="CT8" s="537"/>
      <c r="CU8" s="345"/>
      <c r="CV8" s="345"/>
      <c r="CW8" s="345"/>
      <c r="CX8" s="346"/>
      <c r="CY8" s="537"/>
      <c r="CZ8" s="345"/>
      <c r="DA8" s="345"/>
      <c r="DB8" s="345"/>
      <c r="DC8" s="346"/>
      <c r="DD8" s="537"/>
      <c r="DE8" s="345"/>
      <c r="DF8" s="345"/>
      <c r="DG8" s="345"/>
      <c r="DH8" s="346"/>
      <c r="DI8" s="537"/>
      <c r="DJ8" s="345"/>
      <c r="DK8" s="345"/>
      <c r="DL8" s="345"/>
      <c r="DM8" s="346"/>
      <c r="DN8" s="537"/>
      <c r="DO8" s="345"/>
      <c r="DP8" s="345"/>
      <c r="DQ8" s="345"/>
      <c r="DR8" s="346"/>
      <c r="DS8" s="537"/>
      <c r="DT8" s="345"/>
      <c r="DU8" s="345"/>
      <c r="DV8" s="345"/>
      <c r="DW8" s="346"/>
      <c r="DX8" s="537"/>
      <c r="DY8" s="16"/>
      <c r="DZ8" s="21"/>
      <c r="EA8" s="21"/>
      <c r="EB8" s="422"/>
      <c r="EC8" s="423"/>
      <c r="ED8" s="423"/>
      <c r="EE8" s="423"/>
      <c r="EF8" s="423"/>
      <c r="EG8" s="423"/>
      <c r="EH8" s="423"/>
      <c r="EI8" s="423"/>
      <c r="EJ8" s="423"/>
      <c r="EK8" s="423"/>
      <c r="EL8" s="383"/>
      <c r="EM8" s="16"/>
      <c r="EN8" s="16"/>
      <c r="EU8" s="16"/>
      <c r="EV8" s="16"/>
      <c r="EW8" s="16"/>
      <c r="EX8" s="16"/>
      <c r="EY8" s="16"/>
      <c r="EZ8" s="16"/>
      <c r="FA8" s="16"/>
      <c r="FB8" s="16"/>
      <c r="FC8" s="16"/>
      <c r="FD8" s="16"/>
      <c r="FE8" s="16"/>
      <c r="FF8" s="16"/>
      <c r="FG8" s="16"/>
      <c r="FH8" s="16"/>
      <c r="FI8" s="16"/>
      <c r="FJ8" s="16"/>
    </row>
    <row r="9" spans="1:166" x14ac:dyDescent="0.2">
      <c r="A9" s="497" t="s">
        <v>207</v>
      </c>
      <c r="B9" s="215"/>
      <c r="C9" s="65"/>
      <c r="D9" s="216"/>
      <c r="E9" s="65"/>
      <c r="F9" s="65"/>
      <c r="G9" s="215"/>
      <c r="H9" s="65"/>
      <c r="I9" s="216"/>
      <c r="J9" s="65"/>
      <c r="K9" s="65"/>
      <c r="L9" s="215"/>
      <c r="M9" s="65"/>
      <c r="N9" s="65"/>
      <c r="O9" s="65"/>
      <c r="P9" s="65"/>
      <c r="Q9" s="215">
        <v>5</v>
      </c>
      <c r="R9" s="248"/>
      <c r="S9" s="65"/>
      <c r="T9" s="65"/>
      <c r="U9" s="257"/>
      <c r="V9" s="215">
        <v>47</v>
      </c>
      <c r="W9" s="248">
        <v>22</v>
      </c>
      <c r="X9" s="65">
        <f>49-W9</f>
        <v>27</v>
      </c>
      <c r="Y9" s="65">
        <f>37-X9-W9</f>
        <v>-12</v>
      </c>
      <c r="Z9" s="257">
        <f t="shared" ref="Z9:Z23" si="0">AA9-Y9-X9-W9</f>
        <v>-10</v>
      </c>
      <c r="AA9" s="215">
        <v>27</v>
      </c>
      <c r="AB9" s="248">
        <v>40</v>
      </c>
      <c r="AC9" s="65">
        <f>78-AB9</f>
        <v>38</v>
      </c>
      <c r="AD9" s="65">
        <f>112-AC9-AB9</f>
        <v>34</v>
      </c>
      <c r="AE9" s="257">
        <f>AF9-AD9-AC9-AB9</f>
        <v>36</v>
      </c>
      <c r="AF9" s="215">
        <v>148</v>
      </c>
      <c r="AG9" s="248">
        <v>49</v>
      </c>
      <c r="AH9" s="65">
        <f>98-AG9</f>
        <v>49</v>
      </c>
      <c r="AI9" s="65">
        <f>139-AH9-AG9</f>
        <v>41</v>
      </c>
      <c r="AJ9" s="257">
        <f t="shared" ref="AJ9:AJ26" si="1">AK9-AI9-AH9-AG9</f>
        <v>51</v>
      </c>
      <c r="AK9" s="215">
        <v>190</v>
      </c>
      <c r="AL9" s="248">
        <v>50</v>
      </c>
      <c r="AM9" s="65">
        <f>94-AL9</f>
        <v>44</v>
      </c>
      <c r="AN9" s="65">
        <f>141-AM9-AL9</f>
        <v>47</v>
      </c>
      <c r="AO9" s="257">
        <f t="shared" ref="AO9:AO22" si="2">AP9-AN9-AM9-AL9</f>
        <v>59.099999999999994</v>
      </c>
      <c r="AP9" s="641">
        <v>200.1</v>
      </c>
      <c r="AQ9" s="65">
        <v>46.6</v>
      </c>
      <c r="AR9" s="65">
        <f>96.8-AQ9</f>
        <v>50.199999999999996</v>
      </c>
      <c r="AS9" s="65">
        <f>137.8-AR9-AQ9</f>
        <v>41.000000000000021</v>
      </c>
      <c r="AT9" s="65">
        <f>186.8-AS9-AR9-AQ9</f>
        <v>48.999999999999993</v>
      </c>
      <c r="AU9" s="215">
        <f>SUM(AQ9:AT9)</f>
        <v>186.8</v>
      </c>
      <c r="AV9" s="1801"/>
      <c r="AW9" s="65">
        <f>AS9</f>
        <v>41.000000000000021</v>
      </c>
      <c r="AX9" s="65">
        <f>AT9</f>
        <v>48.999999999999993</v>
      </c>
      <c r="AY9" s="65">
        <v>63.4</v>
      </c>
      <c r="AZ9" s="65">
        <v>-93.9</v>
      </c>
      <c r="BA9" s="215">
        <f>SUM(AW9:AZ9)</f>
        <v>59.5</v>
      </c>
      <c r="BB9" s="248">
        <v>-5.9</v>
      </c>
      <c r="BC9" s="65">
        <f>24.3-BB9</f>
        <v>30.200000000000003</v>
      </c>
      <c r="BD9" s="65">
        <f>63.1-SUM(BB9:BC9)</f>
        <v>38.799999999999997</v>
      </c>
      <c r="BE9" s="257">
        <f>107-SUM(BB9:BD9)</f>
        <v>43.9</v>
      </c>
      <c r="BF9" s="641">
        <f>SUM(BB9:BE9)</f>
        <v>107</v>
      </c>
      <c r="BG9" s="65">
        <f>IS!BG51</f>
        <v>14.299999999999965</v>
      </c>
      <c r="BH9" s="65">
        <f>62.5-BG9</f>
        <v>48.200000000000031</v>
      </c>
      <c r="BI9" s="65">
        <f>69.1-SUM(BG9:BH9)</f>
        <v>6.5999999999999943</v>
      </c>
      <c r="BJ9" s="257">
        <f>BK9-SUM(BG9:BI9)</f>
        <v>48.600000000000009</v>
      </c>
      <c r="BK9" s="641">
        <v>117.7</v>
      </c>
      <c r="BL9" s="65">
        <v>35.799999999999997</v>
      </c>
      <c r="BM9" s="65">
        <f>98.7-BL9</f>
        <v>62.900000000000006</v>
      </c>
      <c r="BN9" s="65">
        <f>166.9-SUM(BL9:BM9)</f>
        <v>68.2</v>
      </c>
      <c r="BO9" s="257">
        <f>BP9-SUM(BL9:BN9)</f>
        <v>66.799999999999983</v>
      </c>
      <c r="BP9" s="215">
        <v>233.7</v>
      </c>
      <c r="BQ9" s="65">
        <v>60.4</v>
      </c>
      <c r="BR9" s="65">
        <f>135.5-BQ9</f>
        <v>75.099999999999994</v>
      </c>
      <c r="BS9" s="65">
        <f>112-BR9-BQ9</f>
        <v>-23.499999999999993</v>
      </c>
      <c r="BT9" s="257">
        <f>BU9-SUM(BQ9:BS9)</f>
        <v>-389.4</v>
      </c>
      <c r="BU9" s="641">
        <v>-277.39999999999998</v>
      </c>
      <c r="BV9" s="65">
        <v>50.9</v>
      </c>
      <c r="BW9" s="1385">
        <f>143.8-BV9</f>
        <v>92.9</v>
      </c>
      <c r="BX9" s="65">
        <f>327.2-BW9-BV9</f>
        <v>183.39999999999998</v>
      </c>
      <c r="BY9" s="257">
        <f>BZ9-SUM(BV9:BX9)</f>
        <v>184.5</v>
      </c>
      <c r="BZ9" s="641">
        <v>511.7</v>
      </c>
      <c r="CA9" s="1201">
        <v>168.3</v>
      </c>
      <c r="CB9" s="65">
        <f>415.9-CA9</f>
        <v>247.59999999999997</v>
      </c>
      <c r="CC9" s="65">
        <f>654.5-CB9-CA9</f>
        <v>238.60000000000002</v>
      </c>
      <c r="CD9" s="257">
        <f>CE9-CC9-CA9-CB9</f>
        <v>301.40000000000003</v>
      </c>
      <c r="CE9" s="641">
        <v>955.9</v>
      </c>
      <c r="CF9" s="65">
        <v>166.6</v>
      </c>
      <c r="CG9" s="65">
        <f>410.1-CF9</f>
        <v>243.50000000000003</v>
      </c>
      <c r="CH9" s="65">
        <f>656.9-SUM(CF9:CG9)</f>
        <v>246.79999999999995</v>
      </c>
      <c r="CI9" s="257">
        <f>CJ9-CH9-CF9-CG9</f>
        <v>578.4</v>
      </c>
      <c r="CJ9" s="641">
        <v>1235.3</v>
      </c>
      <c r="CK9" s="65">
        <v>278.8</v>
      </c>
      <c r="CL9" s="217">
        <f>IS!CQ51</f>
        <v>251.07427814492911</v>
      </c>
      <c r="CM9" s="217">
        <f>IS!CR51</f>
        <v>294.72715575565871</v>
      </c>
      <c r="CN9" s="320">
        <f>IS!CS51</f>
        <v>315.07587473785748</v>
      </c>
      <c r="CO9" s="538">
        <f>SUM(CK9:CN9)</f>
        <v>1139.6773086384453</v>
      </c>
      <c r="CP9" s="217">
        <f>IS!CU51</f>
        <v>259.98971601922165</v>
      </c>
      <c r="CQ9" s="217">
        <f>IS!CV51</f>
        <v>300.63052700052936</v>
      </c>
      <c r="CR9" s="217">
        <f>IS!CW51</f>
        <v>345.42141486531398</v>
      </c>
      <c r="CS9" s="320">
        <f>IS!CX51</f>
        <v>369.02815117067212</v>
      </c>
      <c r="CT9" s="538">
        <f>SUM(CP9:CS9)</f>
        <v>1275.0698090557371</v>
      </c>
      <c r="CU9" s="217">
        <f>IS!CZ51</f>
        <v>295.31856964007477</v>
      </c>
      <c r="CV9" s="217">
        <f>IS!DA51</f>
        <v>352.39568354822802</v>
      </c>
      <c r="CW9" s="217">
        <f>IS!DB51</f>
        <v>401.48723172181116</v>
      </c>
      <c r="CX9" s="320">
        <f>IS!DC51</f>
        <v>427.90976965238963</v>
      </c>
      <c r="CY9" s="538">
        <f>SUM(CU9:CX9)</f>
        <v>1477.1112545625037</v>
      </c>
      <c r="CZ9" s="217">
        <f>IS!DE51</f>
        <v>354.52519677190719</v>
      </c>
      <c r="DA9" s="217">
        <f>IS!DF51</f>
        <v>399.39578986320424</v>
      </c>
      <c r="DB9" s="217">
        <f>IS!DG51</f>
        <v>455.05282498216451</v>
      </c>
      <c r="DC9" s="320">
        <f>IS!DH51</f>
        <v>456.09019219963255</v>
      </c>
      <c r="DD9" s="538">
        <f>SUM(CZ9:DC9)</f>
        <v>1665.0640038169086</v>
      </c>
      <c r="DE9" s="217">
        <f>IS!DJ51</f>
        <v>408.69617630805391</v>
      </c>
      <c r="DF9" s="217">
        <f>IS!DK51</f>
        <v>455.84389264053289</v>
      </c>
      <c r="DG9" s="217">
        <f>IS!DL51</f>
        <v>519.26028225570587</v>
      </c>
      <c r="DH9" s="320">
        <f>IS!DM51</f>
        <v>551.28064545851419</v>
      </c>
      <c r="DI9" s="538">
        <f>SUM(DE9:DH9)</f>
        <v>1935.0809966628071</v>
      </c>
      <c r="DJ9" s="217">
        <f>IS!DO51</f>
        <v>463.82434178875161</v>
      </c>
      <c r="DK9" s="217">
        <f>IS!DP51</f>
        <v>518.20911932933552</v>
      </c>
      <c r="DL9" s="217">
        <f>IS!DQ51</f>
        <v>586.81441163429304</v>
      </c>
      <c r="DM9" s="320">
        <f>IS!DR51</f>
        <v>621.55325386093818</v>
      </c>
      <c r="DN9" s="538">
        <f>SUM(DJ9:DM9)</f>
        <v>2190.4011266133184</v>
      </c>
      <c r="DO9" s="217">
        <f>IS!DT51</f>
        <v>484.51258940836266</v>
      </c>
      <c r="DP9" s="217">
        <f>IS!DU51</f>
        <v>533.9189622724216</v>
      </c>
      <c r="DQ9" s="217">
        <f>IS!DV51</f>
        <v>616.73096528012832</v>
      </c>
      <c r="DR9" s="320">
        <f>IS!DW51</f>
        <v>658.36814756860917</v>
      </c>
      <c r="DS9" s="538">
        <f>SUM(DO9:DR9)</f>
        <v>2293.5306645295213</v>
      </c>
      <c r="DT9" s="217">
        <f>IS!DY51</f>
        <v>554.82074716127477</v>
      </c>
      <c r="DU9" s="217">
        <f>IS!DZ51</f>
        <v>615.14542361321151</v>
      </c>
      <c r="DV9" s="217">
        <f>IS!EA51</f>
        <v>690.89258304346879</v>
      </c>
      <c r="DW9" s="320">
        <f>IS!EB51</f>
        <v>736.01656320651716</v>
      </c>
      <c r="DX9" s="538">
        <f>SUM(DT9:DW9)</f>
        <v>2596.8753170244722</v>
      </c>
      <c r="DY9" s="1573"/>
      <c r="DZ9" s="1201"/>
      <c r="EA9" s="65" t="s">
        <v>183</v>
      </c>
      <c r="EB9" s="266">
        <f>SUM(AC9,AB9,Z9,Y9)</f>
        <v>56</v>
      </c>
      <c r="EC9" s="312">
        <f>SUM(AD9,AE9,AG9,AH9)</f>
        <v>168</v>
      </c>
      <c r="ED9" s="312">
        <f>SUM(AI9,AJ9,AL9,AM9)</f>
        <v>186</v>
      </c>
      <c r="EE9" s="312">
        <f>SUM(AN9,AO9,AQ9,AR9)</f>
        <v>202.89999999999998</v>
      </c>
      <c r="EF9" s="312">
        <f>BA9</f>
        <v>59.5</v>
      </c>
      <c r="EG9" s="312">
        <f>BF9</f>
        <v>107</v>
      </c>
      <c r="EH9" s="312">
        <f>BK9</f>
        <v>117.7</v>
      </c>
      <c r="EI9" s="312">
        <f>BP9</f>
        <v>233.7</v>
      </c>
      <c r="EJ9" s="312">
        <f>BU9</f>
        <v>-277.39999999999998</v>
      </c>
      <c r="EK9" s="312">
        <f>BZ9</f>
        <v>511.7</v>
      </c>
      <c r="EL9" s="359">
        <f>CE9</f>
        <v>955.9</v>
      </c>
      <c r="EM9" s="16"/>
      <c r="EN9" s="16"/>
      <c r="EU9" s="16"/>
      <c r="EV9" s="16"/>
      <c r="EW9" s="16"/>
      <c r="EX9" s="16"/>
      <c r="EY9" s="16"/>
      <c r="EZ9" s="16"/>
      <c r="FA9" s="16"/>
      <c r="FB9" s="16"/>
      <c r="FC9" s="16"/>
      <c r="FD9" s="16"/>
      <c r="FE9" s="16"/>
      <c r="FF9" s="16"/>
      <c r="FG9" s="16"/>
      <c r="FH9" s="16"/>
      <c r="FI9" s="16"/>
      <c r="FJ9" s="16"/>
    </row>
    <row r="10" spans="1:166" x14ac:dyDescent="0.2">
      <c r="A10" s="497" t="s">
        <v>208</v>
      </c>
      <c r="B10" s="215"/>
      <c r="C10" s="65"/>
      <c r="D10" s="216"/>
      <c r="E10" s="65"/>
      <c r="F10" s="65"/>
      <c r="G10" s="215"/>
      <c r="H10" s="65"/>
      <c r="I10" s="216"/>
      <c r="J10" s="65"/>
      <c r="K10" s="65"/>
      <c r="L10" s="215"/>
      <c r="M10" s="65"/>
      <c r="N10" s="65"/>
      <c r="O10" s="65"/>
      <c r="P10" s="65"/>
      <c r="Q10" s="215"/>
      <c r="R10" s="248"/>
      <c r="S10" s="65"/>
      <c r="T10" s="65"/>
      <c r="U10" s="257"/>
      <c r="V10" s="215"/>
      <c r="W10" s="248"/>
      <c r="X10" s="65"/>
      <c r="Y10" s="65"/>
      <c r="Z10" s="257">
        <f t="shared" si="0"/>
        <v>0</v>
      </c>
      <c r="AA10" s="215">
        <v>0</v>
      </c>
      <c r="AB10" s="248"/>
      <c r="AC10" s="65"/>
      <c r="AD10" s="65"/>
      <c r="AE10" s="257"/>
      <c r="AF10" s="215"/>
      <c r="AG10" s="248"/>
      <c r="AH10" s="65"/>
      <c r="AI10" s="65"/>
      <c r="AJ10" s="257"/>
      <c r="AK10" s="215"/>
      <c r="AL10" s="248"/>
      <c r="AM10" s="65"/>
      <c r="AN10" s="65"/>
      <c r="AO10" s="257"/>
      <c r="AP10" s="641"/>
      <c r="AQ10" s="65"/>
      <c r="AR10" s="65"/>
      <c r="AS10" s="65"/>
      <c r="AT10" s="65"/>
      <c r="AU10" s="215"/>
      <c r="AV10" s="1801"/>
      <c r="AW10" s="65"/>
      <c r="AX10" s="65"/>
      <c r="AY10" s="65"/>
      <c r="AZ10" s="65"/>
      <c r="BA10" s="215"/>
      <c r="BB10" s="248"/>
      <c r="BC10" s="65"/>
      <c r="BD10" s="65"/>
      <c r="BE10" s="257"/>
      <c r="BF10" s="641"/>
      <c r="BG10" s="65"/>
      <c r="BH10" s="65"/>
      <c r="BI10" s="65"/>
      <c r="BJ10" s="257"/>
      <c r="BK10" s="641"/>
      <c r="BL10" s="65"/>
      <c r="BM10" s="65"/>
      <c r="BN10" s="65"/>
      <c r="BO10" s="257"/>
      <c r="BP10" s="215"/>
      <c r="BQ10" s="65"/>
      <c r="BR10" s="65"/>
      <c r="BS10" s="65"/>
      <c r="BT10" s="257"/>
      <c r="BU10" s="641"/>
      <c r="BV10" s="65"/>
      <c r="BW10" s="1385"/>
      <c r="BX10" s="65"/>
      <c r="BY10" s="257"/>
      <c r="BZ10" s="641"/>
      <c r="CA10" s="1201"/>
      <c r="CB10" s="65"/>
      <c r="CC10" s="65"/>
      <c r="CD10" s="257"/>
      <c r="CE10" s="641"/>
      <c r="CF10" s="65"/>
      <c r="CG10" s="65"/>
      <c r="CH10" s="65"/>
      <c r="CI10" s="257"/>
      <c r="CJ10" s="641"/>
      <c r="CK10" s="65"/>
      <c r="CL10" s="217"/>
      <c r="CM10" s="217"/>
      <c r="CN10" s="320"/>
      <c r="CO10" s="538"/>
      <c r="CP10" s="217"/>
      <c r="CQ10" s="217"/>
      <c r="CR10" s="217"/>
      <c r="CS10" s="320"/>
      <c r="CT10" s="538"/>
      <c r="CU10" s="217"/>
      <c r="CV10" s="217"/>
      <c r="CW10" s="217"/>
      <c r="CX10" s="320"/>
      <c r="CY10" s="538"/>
      <c r="CZ10" s="217"/>
      <c r="DA10" s="217"/>
      <c r="DB10" s="217"/>
      <c r="DC10" s="320"/>
      <c r="DD10" s="538"/>
      <c r="DE10" s="217"/>
      <c r="DF10" s="217"/>
      <c r="DG10" s="217"/>
      <c r="DH10" s="320"/>
      <c r="DI10" s="538"/>
      <c r="DJ10" s="217"/>
      <c r="DK10" s="217"/>
      <c r="DL10" s="217"/>
      <c r="DM10" s="320"/>
      <c r="DN10" s="538"/>
      <c r="DO10" s="217"/>
      <c r="DP10" s="217"/>
      <c r="DQ10" s="217"/>
      <c r="DR10" s="320"/>
      <c r="DS10" s="538"/>
      <c r="DT10" s="217"/>
      <c r="DU10" s="217"/>
      <c r="DV10" s="217"/>
      <c r="DW10" s="320"/>
      <c r="DX10" s="538"/>
      <c r="DY10" s="1573"/>
      <c r="DZ10" s="1201"/>
      <c r="EA10" s="65" t="s">
        <v>617</v>
      </c>
      <c r="EB10" s="252"/>
      <c r="EC10" s="58"/>
      <c r="ED10" s="58"/>
      <c r="EE10" s="58"/>
      <c r="EF10" s="58"/>
      <c r="EG10" s="58"/>
      <c r="EH10" s="58"/>
      <c r="EI10" s="58"/>
      <c r="EJ10" s="58"/>
      <c r="EK10" s="58"/>
      <c r="EL10" s="265"/>
      <c r="EM10" s="16"/>
      <c r="EN10" s="16"/>
      <c r="EU10" s="16"/>
      <c r="EV10" s="16"/>
      <c r="EW10" s="16"/>
      <c r="EX10" s="16"/>
      <c r="EY10" s="16"/>
      <c r="EZ10" s="16"/>
      <c r="FA10" s="16"/>
      <c r="FB10" s="16"/>
      <c r="FC10" s="16"/>
      <c r="FD10" s="16"/>
      <c r="FE10" s="16"/>
      <c r="FF10" s="16"/>
      <c r="FG10" s="16"/>
      <c r="FH10" s="16"/>
      <c r="FI10" s="16"/>
      <c r="FJ10" s="16"/>
    </row>
    <row r="11" spans="1:166" x14ac:dyDescent="0.2">
      <c r="A11" s="498" t="s">
        <v>283</v>
      </c>
      <c r="B11" s="215"/>
      <c r="C11" s="65"/>
      <c r="D11" s="216"/>
      <c r="E11" s="65"/>
      <c r="F11" s="65"/>
      <c r="G11" s="215"/>
      <c r="H11" s="65"/>
      <c r="I11" s="216"/>
      <c r="J11" s="65"/>
      <c r="K11" s="65"/>
      <c r="L11" s="215"/>
      <c r="M11" s="65"/>
      <c r="N11" s="65"/>
      <c r="O11" s="65"/>
      <c r="P11" s="65"/>
      <c r="Q11" s="215">
        <v>63</v>
      </c>
      <c r="R11" s="248"/>
      <c r="S11" s="65"/>
      <c r="T11" s="65"/>
      <c r="U11" s="257">
        <v>21</v>
      </c>
      <c r="V11" s="215">
        <v>74</v>
      </c>
      <c r="W11" s="248">
        <v>21</v>
      </c>
      <c r="X11" s="65">
        <f>42-W11</f>
        <v>21</v>
      </c>
      <c r="Y11" s="65">
        <f>63-X11-W11</f>
        <v>21</v>
      </c>
      <c r="Z11" s="257">
        <f t="shared" si="0"/>
        <v>25</v>
      </c>
      <c r="AA11" s="215">
        <v>88</v>
      </c>
      <c r="AB11" s="248">
        <v>22</v>
      </c>
      <c r="AC11" s="65">
        <f>43-AB11</f>
        <v>21</v>
      </c>
      <c r="AD11" s="65">
        <f>65-AC11-AB11</f>
        <v>22</v>
      </c>
      <c r="AE11" s="257">
        <f t="shared" ref="AE11:AE26" si="3">AF11-AD11-AC11-AB11</f>
        <v>24</v>
      </c>
      <c r="AF11" s="215">
        <v>89</v>
      </c>
      <c r="AG11" s="65">
        <v>21</v>
      </c>
      <c r="AH11" s="65">
        <f>44-AG11</f>
        <v>23</v>
      </c>
      <c r="AI11" s="65">
        <f>70-AH11-AG11</f>
        <v>26</v>
      </c>
      <c r="AJ11" s="257">
        <f t="shared" si="1"/>
        <v>26</v>
      </c>
      <c r="AK11" s="215">
        <v>96</v>
      </c>
      <c r="AL11" s="65">
        <v>26</v>
      </c>
      <c r="AM11" s="65">
        <f>49-AL11</f>
        <v>23</v>
      </c>
      <c r="AN11" s="65">
        <f>72-AM11-AL11</f>
        <v>23</v>
      </c>
      <c r="AO11" s="257">
        <f t="shared" si="2"/>
        <v>26.099999999999994</v>
      </c>
      <c r="AP11" s="641">
        <v>98.1</v>
      </c>
      <c r="AQ11" s="65">
        <v>25.1</v>
      </c>
      <c r="AR11" s="65">
        <f>52.4-AQ11</f>
        <v>27.299999999999997</v>
      </c>
      <c r="AS11" s="65">
        <f>79.9-AR11-AQ11</f>
        <v>27.500000000000007</v>
      </c>
      <c r="AT11" s="65">
        <f>111.7-AS11-AR11-AQ11</f>
        <v>31.79999999999999</v>
      </c>
      <c r="AU11" s="215">
        <f t="shared" ref="AU11:AU36" si="4">SUM(AQ11:AT11)</f>
        <v>111.69999999999999</v>
      </c>
      <c r="AV11" s="1801"/>
      <c r="AW11" s="65">
        <f>AS11</f>
        <v>27.500000000000007</v>
      </c>
      <c r="AX11" s="65">
        <f>AT11</f>
        <v>31.79999999999999</v>
      </c>
      <c r="AY11" s="65">
        <v>25.6</v>
      </c>
      <c r="AZ11" s="65">
        <v>33.200000000000003</v>
      </c>
      <c r="BA11" s="215">
        <f t="shared" ref="BA11:BA36" si="5">SUM(AW11:AZ11)</f>
        <v>118.10000000000001</v>
      </c>
      <c r="BB11" s="65">
        <v>35</v>
      </c>
      <c r="BC11" s="65">
        <f>68.8-BB11</f>
        <v>33.799999999999997</v>
      </c>
      <c r="BD11" s="65">
        <f>103.1-SUM(BB11:BC11)</f>
        <v>34.299999999999997</v>
      </c>
      <c r="BE11" s="257">
        <f>136.4-SUM(BB11:BD11)</f>
        <v>33.300000000000011</v>
      </c>
      <c r="BF11" s="641">
        <f t="shared" ref="BF11:BF16" si="6">SUM(BB11:BE11)</f>
        <v>136.4</v>
      </c>
      <c r="BG11" s="65">
        <v>34</v>
      </c>
      <c r="BH11" s="65">
        <f>67.4-BG11</f>
        <v>33.400000000000006</v>
      </c>
      <c r="BI11" s="65">
        <f>96-SUM(BG11:BH11)</f>
        <v>28.599999999999994</v>
      </c>
      <c r="BJ11" s="257">
        <f t="shared" ref="BJ11:BJ20" si="7">BK11-SUM(BG11:BI11)</f>
        <v>18.200000000000003</v>
      </c>
      <c r="BK11" s="641">
        <v>114.2</v>
      </c>
      <c r="BL11" s="65">
        <v>16.600000000000001</v>
      </c>
      <c r="BM11" s="65">
        <f>32.6-BL11</f>
        <v>16</v>
      </c>
      <c r="BN11" s="65">
        <f>48.4-SUM(BL11:BM11)</f>
        <v>15.799999999999997</v>
      </c>
      <c r="BO11" s="257">
        <f t="shared" ref="BO11:BO36" si="8">BP11-SUM(BL11:BN11)</f>
        <v>17.399999999999999</v>
      </c>
      <c r="BP11" s="215">
        <v>65.8</v>
      </c>
      <c r="BQ11" s="248">
        <v>16.399999999999999</v>
      </c>
      <c r="BR11" s="65">
        <f>32.2-BQ11</f>
        <v>15.800000000000004</v>
      </c>
      <c r="BS11" s="65">
        <f>48.7-BR11-BQ11</f>
        <v>16.5</v>
      </c>
      <c r="BT11" s="257">
        <f>BU11-SUM(BQ11:BS11)</f>
        <v>24.200000000000003</v>
      </c>
      <c r="BU11" s="641">
        <v>72.900000000000006</v>
      </c>
      <c r="BV11" s="248">
        <v>50.9</v>
      </c>
      <c r="BW11" s="1385">
        <f>102.1-BV11</f>
        <v>51.199999999999996</v>
      </c>
      <c r="BX11" s="65">
        <f>137.8-BW11-BV11</f>
        <v>35.700000000000024</v>
      </c>
      <c r="BY11" s="257">
        <f>BZ11-SUM(BV11:BX11)</f>
        <v>44.199999999999989</v>
      </c>
      <c r="BZ11" s="641">
        <v>182</v>
      </c>
      <c r="CA11" s="1461">
        <v>42.1</v>
      </c>
      <c r="CB11" s="65">
        <f>85.7-CA11</f>
        <v>43.6</v>
      </c>
      <c r="CC11" s="65">
        <f>129-CB11-CA11</f>
        <v>43.300000000000004</v>
      </c>
      <c r="CD11" s="257">
        <f>CE11-CC11-CA11-CB11</f>
        <v>43.099999999999987</v>
      </c>
      <c r="CE11" s="641">
        <v>172.1</v>
      </c>
      <c r="CF11" s="248">
        <v>43.4</v>
      </c>
      <c r="CG11" s="65">
        <f>88.7-CF11</f>
        <v>45.300000000000004</v>
      </c>
      <c r="CH11" s="65">
        <f>134.9-SUM(CF11:CG11)</f>
        <v>46.2</v>
      </c>
      <c r="CI11" s="257">
        <f t="shared" ref="CI11:CI24" si="9">CJ11-CH11-CF11-CG11</f>
        <v>46.199999999999967</v>
      </c>
      <c r="CJ11" s="641">
        <v>181.1</v>
      </c>
      <c r="CK11" s="65">
        <v>47</v>
      </c>
      <c r="CL11" s="217">
        <f>CL121</f>
        <v>54.40251031041111</v>
      </c>
      <c r="CM11" s="217">
        <f t="shared" ref="CM11:CN11" si="10">CM121</f>
        <v>53.742002046448995</v>
      </c>
      <c r="CN11" s="217">
        <f t="shared" si="10"/>
        <v>53.887610495135164</v>
      </c>
      <c r="CO11" s="538">
        <f t="shared" ref="CO11:CO16" si="11">SUM(CK11:CN11)</f>
        <v>209.03212285199527</v>
      </c>
      <c r="CP11" s="217">
        <f>CP121</f>
        <v>50.398301010244019</v>
      </c>
      <c r="CQ11" s="217">
        <f>CQ121</f>
        <v>56.306061999392234</v>
      </c>
      <c r="CR11" s="217">
        <f t="shared" ref="CR11:CS11" si="12">CR121</f>
        <v>55.585714757027056</v>
      </c>
      <c r="CS11" s="217">
        <f t="shared" si="12"/>
        <v>56.007669710847033</v>
      </c>
      <c r="CT11" s="538">
        <f t="shared" ref="CT11" si="13">SUM(CP11:CS11)</f>
        <v>218.29774747751034</v>
      </c>
      <c r="CU11" s="217">
        <f>CU121</f>
        <v>52.694006538201222</v>
      </c>
      <c r="CV11" s="217">
        <f>CV121</f>
        <v>58.511040577400586</v>
      </c>
      <c r="CW11" s="217">
        <f t="shared" ref="CW11:CX11" si="14">CW121</f>
        <v>57.756009047035583</v>
      </c>
      <c r="CX11" s="217">
        <f t="shared" si="14"/>
        <v>58.003656595432204</v>
      </c>
      <c r="CY11" s="538">
        <f t="shared" ref="CY11" si="15">SUM(CU11:CX11)</f>
        <v>226.9647127580696</v>
      </c>
      <c r="CZ11" s="217">
        <f>CZ121</f>
        <v>60.54137743178174</v>
      </c>
      <c r="DA11" s="217">
        <f>DA121</f>
        <v>60.593531031894813</v>
      </c>
      <c r="DB11" s="217">
        <f t="shared" ref="DB11:DC11" si="16">DB121</f>
        <v>62.168871247166372</v>
      </c>
      <c r="DC11" s="217">
        <f t="shared" si="16"/>
        <v>71.348787237412679</v>
      </c>
      <c r="DD11" s="538">
        <f t="shared" ref="DD11" si="17">SUM(CZ11:DC11)</f>
        <v>254.65256694825558</v>
      </c>
      <c r="DE11" s="217">
        <f>DE121</f>
        <v>63.090320380183108</v>
      </c>
      <c r="DF11" s="217">
        <f>DF121</f>
        <v>63.215710422109495</v>
      </c>
      <c r="DG11" s="217">
        <f t="shared" ref="DG11:DH11" si="18">DG121</f>
        <v>64.968535657024489</v>
      </c>
      <c r="DH11" s="217">
        <f t="shared" si="18"/>
        <v>74.819262566648973</v>
      </c>
      <c r="DI11" s="538">
        <f t="shared" ref="DI11" si="19">SUM(DE11:DH11)</f>
        <v>266.0938290259661</v>
      </c>
      <c r="DJ11" s="217">
        <f>DJ121</f>
        <v>65.971188152727422</v>
      </c>
      <c r="DK11" s="217">
        <f>DK121</f>
        <v>64.873967790299375</v>
      </c>
      <c r="DL11" s="217">
        <f t="shared" ref="DL11:DM11" si="20">DL121</f>
        <v>66.603728716464303</v>
      </c>
      <c r="DM11" s="217">
        <f t="shared" si="20"/>
        <v>77.106777581354308</v>
      </c>
      <c r="DN11" s="538">
        <f t="shared" ref="DN11" si="21">SUM(DJ11:DM11)</f>
        <v>274.55566224084538</v>
      </c>
      <c r="DO11" s="217">
        <f>DO121</f>
        <v>69.635932087753289</v>
      </c>
      <c r="DP11" s="217">
        <f>DP121</f>
        <v>66.468997666667036</v>
      </c>
      <c r="DQ11" s="217">
        <f t="shared" ref="DQ11:DR11" si="22">DQ121</f>
        <v>68.167998379578023</v>
      </c>
      <c r="DR11" s="217">
        <f t="shared" si="22"/>
        <v>79.33542089044208</v>
      </c>
      <c r="DS11" s="538">
        <f t="shared" ref="DS11" si="23">SUM(DO11:DR11)</f>
        <v>283.60834902444043</v>
      </c>
      <c r="DT11" s="217">
        <f>DT121</f>
        <v>71.977570753942317</v>
      </c>
      <c r="DU11" s="217">
        <f>DU121</f>
        <v>67.99255214915226</v>
      </c>
      <c r="DV11" s="217">
        <f t="shared" ref="DV11:DW11" si="24">DV121</f>
        <v>69.656781427461453</v>
      </c>
      <c r="DW11" s="217">
        <f t="shared" si="24"/>
        <v>81.500706980026536</v>
      </c>
      <c r="DX11" s="538">
        <f t="shared" ref="DX11" si="25">SUM(DT11:DW11)</f>
        <v>291.12761131058255</v>
      </c>
      <c r="DY11" s="1573"/>
      <c r="DZ11" s="1201"/>
      <c r="EA11" s="65" t="s">
        <v>261</v>
      </c>
      <c r="EB11" s="266">
        <f>SUM(AC11,AB11,Z11,Y11)</f>
        <v>89</v>
      </c>
      <c r="EC11" s="312">
        <f>SUM(AD11,AE11,AG11,AH11)</f>
        <v>90</v>
      </c>
      <c r="ED11" s="312">
        <f>SUM(AI11,AJ11,AL11,AM11)</f>
        <v>101</v>
      </c>
      <c r="EE11" s="312">
        <f>SUM(AN11,AO11,AQ11,AR11)</f>
        <v>101.49999999999999</v>
      </c>
      <c r="EF11" s="312">
        <f>BA11</f>
        <v>118.10000000000001</v>
      </c>
      <c r="EG11" s="312">
        <f>BF11</f>
        <v>136.4</v>
      </c>
      <c r="EH11" s="312">
        <f>BK11</f>
        <v>114.2</v>
      </c>
      <c r="EI11" s="312">
        <f t="shared" ref="EI11:EI36" si="26">BP11</f>
        <v>65.8</v>
      </c>
      <c r="EJ11" s="312">
        <f t="shared" ref="EJ11:EJ36" si="27">BU11</f>
        <v>72.900000000000006</v>
      </c>
      <c r="EK11" s="312">
        <f t="shared" ref="EK11:EK36" si="28">BZ11</f>
        <v>182</v>
      </c>
      <c r="EL11" s="359">
        <f t="shared" ref="EL11:EL36" si="29">CE11</f>
        <v>172.1</v>
      </c>
      <c r="EM11" s="16"/>
      <c r="EN11" s="16"/>
      <c r="EU11" s="16"/>
      <c r="EV11" s="16"/>
      <c r="EW11" s="16"/>
      <c r="EX11" s="16"/>
      <c r="EY11" s="16"/>
      <c r="EZ11" s="16"/>
      <c r="FA11" s="16"/>
      <c r="FB11" s="16"/>
      <c r="FC11" s="16"/>
      <c r="FD11" s="16"/>
      <c r="FE11" s="16"/>
      <c r="FF11" s="16"/>
      <c r="FG11" s="16"/>
      <c r="FH11" s="16"/>
      <c r="FI11" s="16"/>
      <c r="FJ11" s="16"/>
    </row>
    <row r="12" spans="1:166" x14ac:dyDescent="0.2">
      <c r="A12" s="498" t="s">
        <v>226</v>
      </c>
      <c r="B12" s="215"/>
      <c r="C12" s="65"/>
      <c r="D12" s="216"/>
      <c r="E12" s="65"/>
      <c r="F12" s="65"/>
      <c r="G12" s="215"/>
      <c r="H12" s="65"/>
      <c r="I12" s="216"/>
      <c r="J12" s="65"/>
      <c r="K12" s="65"/>
      <c r="L12" s="215"/>
      <c r="M12" s="65"/>
      <c r="N12" s="65"/>
      <c r="O12" s="65"/>
      <c r="P12" s="65"/>
      <c r="Q12" s="254" t="s">
        <v>361</v>
      </c>
      <c r="R12" s="266"/>
      <c r="S12" s="312"/>
      <c r="T12" s="312"/>
      <c r="U12" s="359"/>
      <c r="V12" s="254" t="s">
        <v>361</v>
      </c>
      <c r="W12" s="248">
        <v>13</v>
      </c>
      <c r="X12" s="65">
        <f>13-W12</f>
        <v>0</v>
      </c>
      <c r="Y12" s="65">
        <f>14-X12-W12</f>
        <v>1</v>
      </c>
      <c r="Z12" s="257">
        <f>AA12-Y12-X12-W12</f>
        <v>4</v>
      </c>
      <c r="AA12" s="215">
        <v>18</v>
      </c>
      <c r="AB12" s="248">
        <v>1</v>
      </c>
      <c r="AC12" s="65">
        <f>1-AB12</f>
        <v>0</v>
      </c>
      <c r="AD12" s="65">
        <f>1-AC12-AB12</f>
        <v>0</v>
      </c>
      <c r="AE12" s="257">
        <f>AF12-AD12-AC12-AB12</f>
        <v>0</v>
      </c>
      <c r="AF12" s="215">
        <v>1</v>
      </c>
      <c r="AG12" s="248">
        <v>0</v>
      </c>
      <c r="AH12" s="65">
        <f>0</f>
        <v>0</v>
      </c>
      <c r="AI12" s="65">
        <v>0</v>
      </c>
      <c r="AJ12" s="65">
        <f>AK12-AI12-AH12-AG12</f>
        <v>0</v>
      </c>
      <c r="AK12" s="215">
        <v>0</v>
      </c>
      <c r="AL12" s="65">
        <v>0</v>
      </c>
      <c r="AM12" s="65">
        <v>0</v>
      </c>
      <c r="AN12" s="65">
        <v>0</v>
      </c>
      <c r="AO12" s="65">
        <f>AP12-AN12-AM12-AL12</f>
        <v>0</v>
      </c>
      <c r="AP12" s="641">
        <v>0</v>
      </c>
      <c r="AQ12" s="65">
        <v>0</v>
      </c>
      <c r="AR12" s="65">
        <v>0</v>
      </c>
      <c r="AS12" s="65">
        <v>0</v>
      </c>
      <c r="AT12" s="65">
        <f>0-AS12-AR12-AQ12</f>
        <v>0</v>
      </c>
      <c r="AU12" s="215">
        <f t="shared" si="4"/>
        <v>0</v>
      </c>
      <c r="AV12" s="1801"/>
      <c r="AW12" s="65">
        <f>AS12</f>
        <v>0</v>
      </c>
      <c r="AX12" s="65">
        <f>AT12</f>
        <v>0</v>
      </c>
      <c r="AY12" s="65">
        <v>0</v>
      </c>
      <c r="AZ12" s="65">
        <v>0</v>
      </c>
      <c r="BA12" s="215">
        <f t="shared" si="5"/>
        <v>0</v>
      </c>
      <c r="BB12" s="65">
        <v>19.600000000000001</v>
      </c>
      <c r="BC12" s="65">
        <f>19.6-BB12</f>
        <v>0</v>
      </c>
      <c r="BD12" s="65">
        <f>19.6-SUM(BB12:BC12)</f>
        <v>0</v>
      </c>
      <c r="BE12" s="65">
        <f>21.4-SUM(BB12:BD12)</f>
        <v>1.7999999999999972</v>
      </c>
      <c r="BF12" s="641">
        <f t="shared" si="6"/>
        <v>21.4</v>
      </c>
      <c r="BG12" s="65">
        <v>1.1000000000000001</v>
      </c>
      <c r="BH12" s="65">
        <f>11.2-BG12</f>
        <v>10.1</v>
      </c>
      <c r="BI12" s="65">
        <f>34.2-SUM(BG12:BH12)</f>
        <v>23.000000000000004</v>
      </c>
      <c r="BJ12" s="257">
        <f t="shared" si="7"/>
        <v>0</v>
      </c>
      <c r="BK12" s="641">
        <v>34.200000000000003</v>
      </c>
      <c r="BL12" s="65">
        <v>0</v>
      </c>
      <c r="BM12" s="65">
        <v>0</v>
      </c>
      <c r="BN12" s="65">
        <v>0</v>
      </c>
      <c r="BO12" s="65">
        <f t="shared" si="8"/>
        <v>0</v>
      </c>
      <c r="BP12" s="215">
        <v>0</v>
      </c>
      <c r="BQ12" s="65">
        <v>0</v>
      </c>
      <c r="BR12" s="65">
        <v>0</v>
      </c>
      <c r="BS12" s="65">
        <v>0</v>
      </c>
      <c r="BT12" s="65">
        <f t="shared" ref="BT12:BT29" si="30">BU12-SUM(BQ12:BS12)</f>
        <v>127.3</v>
      </c>
      <c r="BU12" s="641">
        <v>127.3</v>
      </c>
      <c r="BV12" s="65">
        <v>-0.3</v>
      </c>
      <c r="BW12" s="1385">
        <f>39.6-BV12</f>
        <v>39.9</v>
      </c>
      <c r="BX12" s="65">
        <f>40-BW12-BV12</f>
        <v>0.40000000000000141</v>
      </c>
      <c r="BY12" s="65">
        <f t="shared" ref="BY12:BY36" si="31">BZ12-SUM(BV12:BX12)</f>
        <v>0</v>
      </c>
      <c r="BZ12" s="641">
        <v>40</v>
      </c>
      <c r="CA12" s="1201">
        <v>0</v>
      </c>
      <c r="CB12" s="65">
        <f>0-CA12</f>
        <v>0</v>
      </c>
      <c r="CC12" s="65">
        <v>0</v>
      </c>
      <c r="CD12" s="65">
        <v>0</v>
      </c>
      <c r="CE12" s="641">
        <f t="shared" ref="CE12" si="32">SUM(CA12:CD12)</f>
        <v>0</v>
      </c>
      <c r="CF12" s="65">
        <v>17.899999999999999</v>
      </c>
      <c r="CG12" s="65">
        <f>17.9-CF12</f>
        <v>0</v>
      </c>
      <c r="CH12" s="65">
        <f>75.9-SUM(CF12:CG12)</f>
        <v>58.000000000000007</v>
      </c>
      <c r="CI12" s="257">
        <f t="shared" si="9"/>
        <v>43.199999999999989</v>
      </c>
      <c r="CJ12" s="641">
        <v>119.1</v>
      </c>
      <c r="CK12" s="65">
        <v>0</v>
      </c>
      <c r="CL12" s="217">
        <v>0</v>
      </c>
      <c r="CM12" s="217">
        <v>0</v>
      </c>
      <c r="CN12" s="217">
        <v>0</v>
      </c>
      <c r="CO12" s="538">
        <f t="shared" si="11"/>
        <v>0</v>
      </c>
      <c r="CP12" s="217">
        <v>0</v>
      </c>
      <c r="CQ12" s="217">
        <v>0</v>
      </c>
      <c r="CR12" s="217">
        <v>0</v>
      </c>
      <c r="CS12" s="217">
        <v>0</v>
      </c>
      <c r="CT12" s="538">
        <f t="shared" ref="CT12:CT16" si="33">SUM(CP12:CS12)</f>
        <v>0</v>
      </c>
      <c r="CU12" s="217">
        <v>0</v>
      </c>
      <c r="CV12" s="217">
        <v>0</v>
      </c>
      <c r="CW12" s="217">
        <v>0</v>
      </c>
      <c r="CX12" s="217">
        <v>0</v>
      </c>
      <c r="CY12" s="538">
        <f t="shared" ref="CY12:CY16" si="34">SUM(CU12:CX12)</f>
        <v>0</v>
      </c>
      <c r="CZ12" s="217">
        <v>0</v>
      </c>
      <c r="DA12" s="217">
        <v>0</v>
      </c>
      <c r="DB12" s="217">
        <v>0</v>
      </c>
      <c r="DC12" s="217">
        <v>0</v>
      </c>
      <c r="DD12" s="538">
        <f t="shared" ref="DD12:DD16" si="35">SUM(CZ12:DC12)</f>
        <v>0</v>
      </c>
      <c r="DE12" s="217">
        <v>0</v>
      </c>
      <c r="DF12" s="217">
        <v>0</v>
      </c>
      <c r="DG12" s="217">
        <v>0</v>
      </c>
      <c r="DH12" s="217">
        <v>0</v>
      </c>
      <c r="DI12" s="538">
        <f t="shared" ref="DI12:DI16" si="36">SUM(DE12:DH12)</f>
        <v>0</v>
      </c>
      <c r="DJ12" s="217">
        <v>0</v>
      </c>
      <c r="DK12" s="217">
        <v>0</v>
      </c>
      <c r="DL12" s="217">
        <v>0</v>
      </c>
      <c r="DM12" s="217">
        <v>0</v>
      </c>
      <c r="DN12" s="538">
        <f t="shared" ref="DN12:DN16" si="37">SUM(DJ12:DM12)</f>
        <v>0</v>
      </c>
      <c r="DO12" s="217">
        <v>0</v>
      </c>
      <c r="DP12" s="217">
        <v>0</v>
      </c>
      <c r="DQ12" s="217">
        <v>0</v>
      </c>
      <c r="DR12" s="217">
        <v>0</v>
      </c>
      <c r="DS12" s="538">
        <f t="shared" ref="DS12:DS16" si="38">SUM(DO12:DR12)</f>
        <v>0</v>
      </c>
      <c r="DT12" s="217">
        <v>0</v>
      </c>
      <c r="DU12" s="217">
        <v>0</v>
      </c>
      <c r="DV12" s="217">
        <v>0</v>
      </c>
      <c r="DW12" s="217">
        <v>0</v>
      </c>
      <c r="DX12" s="538">
        <f t="shared" ref="DX12:DX16" si="39">SUM(DT12:DW12)</f>
        <v>0</v>
      </c>
      <c r="DY12" s="1573"/>
      <c r="DZ12" s="1201"/>
      <c r="EA12" s="65" t="s">
        <v>184</v>
      </c>
      <c r="EB12" s="266">
        <f>SUM(AC12,AB12,Z12,Y12)</f>
        <v>6</v>
      </c>
      <c r="EC12" s="312">
        <f>SUM(AD12,AE12,AG12,AH12)</f>
        <v>0</v>
      </c>
      <c r="ED12" s="312">
        <f>SUM(AI12,AJ12,AL12,AM12)</f>
        <v>0</v>
      </c>
      <c r="EE12" s="312">
        <f>SUM(AN12,AO12,AQ12,AR12)</f>
        <v>0</v>
      </c>
      <c r="EF12" s="312">
        <f>BA12</f>
        <v>0</v>
      </c>
      <c r="EG12" s="312">
        <f>BF12</f>
        <v>21.4</v>
      </c>
      <c r="EH12" s="312">
        <f>BK12</f>
        <v>34.200000000000003</v>
      </c>
      <c r="EI12" s="312">
        <f t="shared" si="26"/>
        <v>0</v>
      </c>
      <c r="EJ12" s="312">
        <f t="shared" si="27"/>
        <v>127.3</v>
      </c>
      <c r="EK12" s="312">
        <f t="shared" si="28"/>
        <v>40</v>
      </c>
      <c r="EL12" s="359">
        <f t="shared" si="29"/>
        <v>0</v>
      </c>
      <c r="EM12" s="16"/>
      <c r="EN12" s="16"/>
      <c r="EU12" s="16"/>
      <c r="EV12" s="16"/>
      <c r="EW12" s="16"/>
      <c r="EX12" s="16"/>
      <c r="EY12" s="16"/>
      <c r="EZ12" s="16"/>
      <c r="FA12" s="16"/>
      <c r="FB12" s="16"/>
      <c r="FC12" s="16"/>
      <c r="FD12" s="16"/>
      <c r="FE12" s="16"/>
      <c r="FF12" s="16"/>
      <c r="FG12" s="16"/>
      <c r="FH12" s="16"/>
      <c r="FI12" s="16"/>
      <c r="FJ12" s="16"/>
    </row>
    <row r="13" spans="1:166" x14ac:dyDescent="0.2">
      <c r="A13" s="498" t="s">
        <v>557</v>
      </c>
      <c r="B13" s="215"/>
      <c r="C13" s="65"/>
      <c r="D13" s="216"/>
      <c r="E13" s="65"/>
      <c r="F13" s="65"/>
      <c r="G13" s="215"/>
      <c r="H13" s="65"/>
      <c r="I13" s="216"/>
      <c r="J13" s="65"/>
      <c r="K13" s="65"/>
      <c r="L13" s="215"/>
      <c r="M13" s="65"/>
      <c r="N13" s="65"/>
      <c r="O13" s="65"/>
      <c r="P13" s="65"/>
      <c r="Q13" s="254"/>
      <c r="R13" s="266"/>
      <c r="S13" s="312"/>
      <c r="T13" s="312"/>
      <c r="U13" s="359"/>
      <c r="V13" s="254"/>
      <c r="W13" s="248"/>
      <c r="X13" s="65"/>
      <c r="Y13" s="65"/>
      <c r="Z13" s="257"/>
      <c r="AA13" s="215"/>
      <c r="AB13" s="248"/>
      <c r="AC13" s="65"/>
      <c r="AD13" s="65"/>
      <c r="AE13" s="257"/>
      <c r="AF13" s="215"/>
      <c r="AG13" s="248"/>
      <c r="AH13" s="65"/>
      <c r="AI13" s="65"/>
      <c r="AJ13" s="65"/>
      <c r="AK13" s="215"/>
      <c r="AL13" s="65"/>
      <c r="AM13" s="65"/>
      <c r="AN13" s="65"/>
      <c r="AO13" s="65"/>
      <c r="AP13" s="641"/>
      <c r="AQ13" s="65">
        <v>0</v>
      </c>
      <c r="AR13" s="65">
        <v>0</v>
      </c>
      <c r="AS13" s="65">
        <v>0</v>
      </c>
      <c r="AT13" s="65">
        <f>0-AS13-AR13-AQ13</f>
        <v>0</v>
      </c>
      <c r="AU13" s="215">
        <f t="shared" si="4"/>
        <v>0</v>
      </c>
      <c r="AV13" s="1801"/>
      <c r="AW13" s="65">
        <f t="shared" ref="AW13:AW26" si="40">AS13</f>
        <v>0</v>
      </c>
      <c r="AX13" s="65">
        <f t="shared" ref="AX13:AX26" si="41">AT13</f>
        <v>0</v>
      </c>
      <c r="AY13" s="65">
        <v>0</v>
      </c>
      <c r="AZ13" s="65">
        <v>3.2</v>
      </c>
      <c r="BA13" s="215">
        <f t="shared" si="5"/>
        <v>3.2</v>
      </c>
      <c r="BB13" s="65">
        <v>3.3</v>
      </c>
      <c r="BC13" s="65">
        <f>15.8-BB13</f>
        <v>12.5</v>
      </c>
      <c r="BD13" s="65">
        <f>30.7-SUM(BB13:BC13)</f>
        <v>14.899999999999999</v>
      </c>
      <c r="BE13" s="65">
        <f>14.5-SUM(BB13:BD13)</f>
        <v>-16.2</v>
      </c>
      <c r="BF13" s="641">
        <f t="shared" si="6"/>
        <v>14.5</v>
      </c>
      <c r="BG13" s="65">
        <v>3.5</v>
      </c>
      <c r="BH13" s="65">
        <f>29.4-BG13</f>
        <v>25.9</v>
      </c>
      <c r="BI13" s="65">
        <f>43.6-SUM(BG13:BH13)</f>
        <v>14.200000000000003</v>
      </c>
      <c r="BJ13" s="257">
        <f t="shared" si="7"/>
        <v>13.399999999999999</v>
      </c>
      <c r="BK13" s="641">
        <v>57</v>
      </c>
      <c r="BL13" s="65">
        <v>13.5</v>
      </c>
      <c r="BM13" s="65">
        <f>27.5-BL13</f>
        <v>14</v>
      </c>
      <c r="BN13" s="65">
        <f>41.7-SUM(BL13:BM13)</f>
        <v>14.200000000000003</v>
      </c>
      <c r="BO13" s="65">
        <f t="shared" si="8"/>
        <v>14.599999999999994</v>
      </c>
      <c r="BP13" s="215">
        <v>56.3</v>
      </c>
      <c r="BQ13" s="65">
        <v>14.9</v>
      </c>
      <c r="BR13" s="65">
        <f>30.1-BQ13</f>
        <v>15.200000000000001</v>
      </c>
      <c r="BS13" s="65">
        <f>45.7-BR13-BQ13</f>
        <v>15.6</v>
      </c>
      <c r="BT13" s="65">
        <f t="shared" si="30"/>
        <v>14.5</v>
      </c>
      <c r="BU13" s="641">
        <v>60.2</v>
      </c>
      <c r="BV13" s="65">
        <v>7</v>
      </c>
      <c r="BW13" s="1385">
        <f>15.3-BV13</f>
        <v>8.3000000000000007</v>
      </c>
      <c r="BX13" s="65">
        <f>25-BW13-BV13</f>
        <v>9.6999999999999993</v>
      </c>
      <c r="BY13" s="65">
        <f t="shared" si="31"/>
        <v>9.8999999999999986</v>
      </c>
      <c r="BZ13" s="641">
        <v>34.9</v>
      </c>
      <c r="CA13" s="1201">
        <v>9.6999999999999993</v>
      </c>
      <c r="CB13" s="65">
        <f>19.3-CA13</f>
        <v>9.6000000000000014</v>
      </c>
      <c r="CC13" s="65">
        <f>29.1-CB13-CA13</f>
        <v>9.8000000000000007</v>
      </c>
      <c r="CD13" s="257">
        <f>CE13-CC13-CA13-CB13</f>
        <v>9.7999999999999972</v>
      </c>
      <c r="CE13" s="641">
        <v>38.9</v>
      </c>
      <c r="CF13" s="65">
        <v>8.5</v>
      </c>
      <c r="CG13" s="65">
        <f>16.7-CF13</f>
        <v>8.1999999999999993</v>
      </c>
      <c r="CH13" s="65">
        <f>25.2-SUM(CF13:CG13)</f>
        <v>8.5</v>
      </c>
      <c r="CI13" s="257">
        <f t="shared" si="9"/>
        <v>7.5000000000000036</v>
      </c>
      <c r="CJ13" s="641">
        <v>32.700000000000003</v>
      </c>
      <c r="CK13" s="65">
        <v>7.2</v>
      </c>
      <c r="CL13" s="217">
        <f>BS!CL179</f>
        <v>0</v>
      </c>
      <c r="CM13" s="217">
        <f>BS!CM179</f>
        <v>0</v>
      </c>
      <c r="CN13" s="217">
        <f>BS!CN179</f>
        <v>0</v>
      </c>
      <c r="CO13" s="538">
        <f t="shared" si="11"/>
        <v>7.2</v>
      </c>
      <c r="CP13" s="217">
        <f>BS!CP179</f>
        <v>0</v>
      </c>
      <c r="CQ13" s="217">
        <f>BS!CQ179</f>
        <v>0</v>
      </c>
      <c r="CR13" s="217">
        <f>BS!CR179</f>
        <v>0</v>
      </c>
      <c r="CS13" s="217">
        <f>BS!CS179</f>
        <v>0</v>
      </c>
      <c r="CT13" s="538">
        <f t="shared" si="33"/>
        <v>0</v>
      </c>
      <c r="CU13" s="217">
        <f>BS!CU179</f>
        <v>0</v>
      </c>
      <c r="CV13" s="217">
        <f>BS!CV179</f>
        <v>0</v>
      </c>
      <c r="CW13" s="217">
        <f>BS!CW179</f>
        <v>0</v>
      </c>
      <c r="CX13" s="217">
        <f>BS!CX179</f>
        <v>0</v>
      </c>
      <c r="CY13" s="538">
        <f t="shared" si="34"/>
        <v>0</v>
      </c>
      <c r="CZ13" s="217">
        <f>BS!CZ179</f>
        <v>0</v>
      </c>
      <c r="DA13" s="217">
        <f>BS!DA179</f>
        <v>0</v>
      </c>
      <c r="DB13" s="217">
        <f>BS!DB179</f>
        <v>0</v>
      </c>
      <c r="DC13" s="217">
        <f>BS!DC179</f>
        <v>0</v>
      </c>
      <c r="DD13" s="538">
        <f t="shared" si="35"/>
        <v>0</v>
      </c>
      <c r="DE13" s="217">
        <f>BS!DE179</f>
        <v>0</v>
      </c>
      <c r="DF13" s="217">
        <f>BS!DF179</f>
        <v>0</v>
      </c>
      <c r="DG13" s="217">
        <f>BS!DG179</f>
        <v>0</v>
      </c>
      <c r="DH13" s="217">
        <f>BS!DH179</f>
        <v>0</v>
      </c>
      <c r="DI13" s="538">
        <f t="shared" si="36"/>
        <v>0</v>
      </c>
      <c r="DJ13" s="217">
        <f>BS!DJ179</f>
        <v>0</v>
      </c>
      <c r="DK13" s="217">
        <f>BS!DK179</f>
        <v>0</v>
      </c>
      <c r="DL13" s="217">
        <f>BS!DL179</f>
        <v>0</v>
      </c>
      <c r="DM13" s="217">
        <f>BS!DM179</f>
        <v>0</v>
      </c>
      <c r="DN13" s="538">
        <f t="shared" si="37"/>
        <v>0</v>
      </c>
      <c r="DO13" s="217">
        <f>BS!DO179</f>
        <v>0</v>
      </c>
      <c r="DP13" s="217">
        <f>BS!DP179</f>
        <v>0</v>
      </c>
      <c r="DQ13" s="217">
        <f>BS!DQ179</f>
        <v>0</v>
      </c>
      <c r="DR13" s="217">
        <f>BS!DR179</f>
        <v>0</v>
      </c>
      <c r="DS13" s="538">
        <f t="shared" si="38"/>
        <v>0</v>
      </c>
      <c r="DT13" s="217">
        <f>BS!DT179</f>
        <v>0</v>
      </c>
      <c r="DU13" s="217">
        <f>BS!DU179</f>
        <v>0</v>
      </c>
      <c r="DV13" s="217">
        <f>BS!DV179</f>
        <v>0</v>
      </c>
      <c r="DW13" s="217">
        <f>BS!DW179</f>
        <v>0</v>
      </c>
      <c r="DX13" s="538">
        <f t="shared" si="39"/>
        <v>0</v>
      </c>
      <c r="DY13" s="1573"/>
      <c r="DZ13" s="1201"/>
      <c r="EA13" s="65" t="s">
        <v>618</v>
      </c>
      <c r="EB13" s="266">
        <f>SUM(AC13,AB13,Z13,Y13)</f>
        <v>0</v>
      </c>
      <c r="EC13" s="312">
        <f>SUM(AD13,AE13,AG13,AH13)</f>
        <v>0</v>
      </c>
      <c r="ED13" s="312">
        <f>SUM(AI13,AJ13,AL13,AM13)</f>
        <v>0</v>
      </c>
      <c r="EE13" s="312">
        <f>SUM(AN13,AO13,AQ13,AR13)</f>
        <v>0</v>
      </c>
      <c r="EF13" s="312">
        <f>BA13</f>
        <v>3.2</v>
      </c>
      <c r="EG13" s="312">
        <f>BF13</f>
        <v>14.5</v>
      </c>
      <c r="EH13" s="312">
        <f>BK13</f>
        <v>57</v>
      </c>
      <c r="EI13" s="312">
        <f t="shared" si="26"/>
        <v>56.3</v>
      </c>
      <c r="EJ13" s="312">
        <f t="shared" si="27"/>
        <v>60.2</v>
      </c>
      <c r="EK13" s="312">
        <f t="shared" si="28"/>
        <v>34.9</v>
      </c>
      <c r="EL13" s="359">
        <f t="shared" si="29"/>
        <v>38.9</v>
      </c>
      <c r="EM13" s="16"/>
      <c r="EN13" s="16"/>
      <c r="EU13" s="16"/>
      <c r="EV13" s="16"/>
      <c r="EW13" s="16"/>
      <c r="EX13" s="16"/>
      <c r="EY13" s="16"/>
      <c r="EZ13" s="16"/>
      <c r="FA13" s="16"/>
      <c r="FB13" s="16"/>
      <c r="FC13" s="16"/>
      <c r="FD13" s="16"/>
      <c r="FE13" s="16"/>
      <c r="FF13" s="16"/>
      <c r="FG13" s="16"/>
      <c r="FH13" s="16"/>
      <c r="FI13" s="16"/>
      <c r="FJ13" s="16"/>
    </row>
    <row r="14" spans="1:166" x14ac:dyDescent="0.2">
      <c r="A14" s="498" t="s">
        <v>376</v>
      </c>
      <c r="B14" s="215"/>
      <c r="C14" s="65"/>
      <c r="D14" s="216"/>
      <c r="E14" s="65"/>
      <c r="F14" s="65"/>
      <c r="G14" s="215"/>
      <c r="H14" s="65"/>
      <c r="I14" s="216"/>
      <c r="J14" s="65"/>
      <c r="K14" s="65"/>
      <c r="L14" s="215"/>
      <c r="M14" s="65"/>
      <c r="N14" s="65"/>
      <c r="O14" s="65"/>
      <c r="P14" s="65"/>
      <c r="Q14" s="254"/>
      <c r="R14" s="266"/>
      <c r="S14" s="312"/>
      <c r="T14" s="312"/>
      <c r="U14" s="359"/>
      <c r="V14" s="254"/>
      <c r="W14" s="248"/>
      <c r="X14" s="65"/>
      <c r="Y14" s="65"/>
      <c r="Z14" s="257"/>
      <c r="AA14" s="215"/>
      <c r="AB14" s="248"/>
      <c r="AC14" s="65"/>
      <c r="AD14" s="65"/>
      <c r="AE14" s="257"/>
      <c r="AF14" s="215"/>
      <c r="AG14" s="248"/>
      <c r="AH14" s="65"/>
      <c r="AI14" s="65"/>
      <c r="AJ14" s="65"/>
      <c r="AK14" s="215"/>
      <c r="AL14" s="65"/>
      <c r="AM14" s="65"/>
      <c r="AN14" s="65"/>
      <c r="AO14" s="65"/>
      <c r="AP14" s="641"/>
      <c r="AQ14" s="65">
        <v>0</v>
      </c>
      <c r="AR14" s="65">
        <v>0</v>
      </c>
      <c r="AS14" s="65">
        <v>0</v>
      </c>
      <c r="AT14" s="65">
        <v>0</v>
      </c>
      <c r="AU14" s="215">
        <f t="shared" si="4"/>
        <v>0</v>
      </c>
      <c r="AV14" s="1801"/>
      <c r="AW14" s="65">
        <f t="shared" si="40"/>
        <v>0</v>
      </c>
      <c r="AX14" s="65">
        <f t="shared" si="41"/>
        <v>0</v>
      </c>
      <c r="AY14" s="65">
        <v>0</v>
      </c>
      <c r="AZ14" s="65">
        <v>0</v>
      </c>
      <c r="BA14" s="215">
        <f t="shared" si="5"/>
        <v>0</v>
      </c>
      <c r="BB14" s="65">
        <v>0</v>
      </c>
      <c r="BC14" s="65">
        <v>0</v>
      </c>
      <c r="BD14" s="65">
        <v>0</v>
      </c>
      <c r="BE14" s="65">
        <v>0</v>
      </c>
      <c r="BF14" s="641">
        <f t="shared" si="6"/>
        <v>0</v>
      </c>
      <c r="BG14" s="65">
        <v>0</v>
      </c>
      <c r="BH14" s="65">
        <v>0</v>
      </c>
      <c r="BI14" s="65">
        <v>0</v>
      </c>
      <c r="BJ14" s="257">
        <f t="shared" si="7"/>
        <v>4.0999999999999996</v>
      </c>
      <c r="BK14" s="641">
        <v>4.0999999999999996</v>
      </c>
      <c r="BL14" s="65">
        <v>5.2</v>
      </c>
      <c r="BM14" s="65">
        <f>6.8-BL14</f>
        <v>1.5999999999999996</v>
      </c>
      <c r="BN14" s="65">
        <f>9.7-SUM(BL14:BM14)</f>
        <v>2.8999999999999995</v>
      </c>
      <c r="BO14" s="65">
        <f t="shared" si="8"/>
        <v>3</v>
      </c>
      <c r="BP14" s="215">
        <v>12.7</v>
      </c>
      <c r="BQ14" s="65">
        <v>4</v>
      </c>
      <c r="BR14" s="65">
        <f>9.9-BQ14</f>
        <v>5.9</v>
      </c>
      <c r="BS14" s="65">
        <f>5.8-BR14-BQ14</f>
        <v>-4.1000000000000005</v>
      </c>
      <c r="BT14" s="65">
        <f t="shared" si="30"/>
        <v>3.3999999999999995</v>
      </c>
      <c r="BU14" s="641">
        <v>9.1999999999999993</v>
      </c>
      <c r="BV14" s="65">
        <v>-2.8</v>
      </c>
      <c r="BW14" s="1385">
        <f>2.5-BV14</f>
        <v>5.3</v>
      </c>
      <c r="BX14" s="65">
        <f>5.7-BW14-BV14</f>
        <v>3.2</v>
      </c>
      <c r="BY14" s="65">
        <f t="shared" si="31"/>
        <v>-1.6000000000000005</v>
      </c>
      <c r="BZ14" s="641">
        <v>4.0999999999999996</v>
      </c>
      <c r="CA14" s="1201">
        <v>-18.5</v>
      </c>
      <c r="CB14" s="65">
        <f>-14-CA14</f>
        <v>4.5</v>
      </c>
      <c r="CC14" s="65">
        <f>-16.6-CB14-CA14</f>
        <v>-2.6000000000000014</v>
      </c>
      <c r="CD14" s="257">
        <f>CE14-CC14-CA14-CB14</f>
        <v>-3.5999999999999979</v>
      </c>
      <c r="CE14" s="641">
        <v>-20.2</v>
      </c>
      <c r="CF14" s="65">
        <v>-5.7</v>
      </c>
      <c r="CG14" s="65">
        <f>-4.8-CF14</f>
        <v>0.90000000000000036</v>
      </c>
      <c r="CH14" s="65">
        <f>-8.9-SUM(CF14:CG14)</f>
        <v>-4.1000000000000005</v>
      </c>
      <c r="CI14" s="257">
        <f t="shared" si="9"/>
        <v>-3.5000000000000009</v>
      </c>
      <c r="CJ14" s="641">
        <v>-12.4</v>
      </c>
      <c r="CK14" s="65">
        <v>-14.3</v>
      </c>
      <c r="CL14" s="217">
        <f>IS!CQ37</f>
        <v>-3</v>
      </c>
      <c r="CM14" s="217">
        <f>IS!CR37</f>
        <v>-5</v>
      </c>
      <c r="CN14" s="217">
        <f>IS!CS37</f>
        <v>-4</v>
      </c>
      <c r="CO14" s="538">
        <f t="shared" si="11"/>
        <v>-26.3</v>
      </c>
      <c r="CP14" s="217">
        <f>IS!CU37</f>
        <v>-7</v>
      </c>
      <c r="CQ14" s="217">
        <f>IS!CV37</f>
        <v>-6</v>
      </c>
      <c r="CR14" s="217">
        <f>IS!CW37</f>
        <v>-6</v>
      </c>
      <c r="CS14" s="217">
        <f>IS!CX37</f>
        <v>-5</v>
      </c>
      <c r="CT14" s="538">
        <f t="shared" si="33"/>
        <v>-24</v>
      </c>
      <c r="CU14" s="217">
        <f>IS!CZ37</f>
        <v>-8</v>
      </c>
      <c r="CV14" s="217">
        <f>IS!DA37</f>
        <v>-7</v>
      </c>
      <c r="CW14" s="217">
        <f>IS!DB37</f>
        <v>-7</v>
      </c>
      <c r="CX14" s="217">
        <f>IS!DC37</f>
        <v>-6</v>
      </c>
      <c r="CY14" s="538">
        <f t="shared" si="34"/>
        <v>-28</v>
      </c>
      <c r="CZ14" s="217">
        <f>IS!DE37</f>
        <v>-7</v>
      </c>
      <c r="DA14" s="217">
        <f>IS!DF37</f>
        <v>-7</v>
      </c>
      <c r="DB14" s="217">
        <f>IS!DG37</f>
        <v>-7</v>
      </c>
      <c r="DC14" s="217">
        <f>IS!DH37</f>
        <v>-7</v>
      </c>
      <c r="DD14" s="538">
        <f t="shared" si="35"/>
        <v>-28</v>
      </c>
      <c r="DE14" s="217">
        <f>IS!DJ37</f>
        <v>-8.5</v>
      </c>
      <c r="DF14" s="217">
        <f>IS!DK37</f>
        <v>-8.5</v>
      </c>
      <c r="DG14" s="217">
        <f>IS!DL37</f>
        <v>-8.5</v>
      </c>
      <c r="DH14" s="217">
        <f>IS!DM37</f>
        <v>-8.5</v>
      </c>
      <c r="DI14" s="538">
        <f t="shared" si="36"/>
        <v>-34</v>
      </c>
      <c r="DJ14" s="217">
        <f>IS!DO37</f>
        <v>-10</v>
      </c>
      <c r="DK14" s="217">
        <f>IS!DP37</f>
        <v>-10</v>
      </c>
      <c r="DL14" s="217">
        <f>IS!DQ37</f>
        <v>-10</v>
      </c>
      <c r="DM14" s="217">
        <f>IS!DR37</f>
        <v>-10</v>
      </c>
      <c r="DN14" s="538">
        <f t="shared" si="37"/>
        <v>-40</v>
      </c>
      <c r="DO14" s="217">
        <f>IS!DT37</f>
        <v>-11.5</v>
      </c>
      <c r="DP14" s="217">
        <f>IS!DU37</f>
        <v>-11.5</v>
      </c>
      <c r="DQ14" s="217">
        <f>IS!DV37</f>
        <v>-11.5</v>
      </c>
      <c r="DR14" s="217">
        <f>IS!DW37</f>
        <v>-11.5</v>
      </c>
      <c r="DS14" s="538">
        <f t="shared" si="38"/>
        <v>-46</v>
      </c>
      <c r="DT14" s="217">
        <f>IS!DY37</f>
        <v>-13</v>
      </c>
      <c r="DU14" s="217">
        <f>IS!DZ37</f>
        <v>-13</v>
      </c>
      <c r="DV14" s="217">
        <f>IS!EA37</f>
        <v>-13</v>
      </c>
      <c r="DW14" s="217">
        <f>IS!EB37</f>
        <v>-13</v>
      </c>
      <c r="DX14" s="538">
        <f t="shared" si="39"/>
        <v>-52</v>
      </c>
      <c r="DY14" s="1573"/>
      <c r="DZ14" s="1201"/>
      <c r="EA14" s="65" t="s">
        <v>262</v>
      </c>
      <c r="EB14" s="266"/>
      <c r="EC14" s="312"/>
      <c r="ED14" s="312"/>
      <c r="EE14" s="312"/>
      <c r="EF14" s="312"/>
      <c r="EG14" s="312"/>
      <c r="EH14" s="312">
        <f>BK14</f>
        <v>4.0999999999999996</v>
      </c>
      <c r="EI14" s="312"/>
      <c r="EJ14" s="312"/>
      <c r="EK14" s="312">
        <f t="shared" si="28"/>
        <v>4.0999999999999996</v>
      </c>
      <c r="EL14" s="359">
        <f t="shared" si="29"/>
        <v>-20.2</v>
      </c>
      <c r="EM14" s="16"/>
      <c r="EN14" s="16"/>
      <c r="EU14" s="16"/>
      <c r="EV14" s="16"/>
      <c r="EW14" s="16"/>
      <c r="EX14" s="16"/>
      <c r="EY14" s="16"/>
      <c r="EZ14" s="16"/>
      <c r="FA14" s="16"/>
      <c r="FB14" s="16"/>
      <c r="FC14" s="16"/>
      <c r="FD14" s="16"/>
      <c r="FE14" s="16"/>
      <c r="FF14" s="16"/>
      <c r="FG14" s="16"/>
      <c r="FH14" s="16"/>
      <c r="FI14" s="16"/>
      <c r="FJ14" s="16"/>
    </row>
    <row r="15" spans="1:166" x14ac:dyDescent="0.2">
      <c r="A15" s="498" t="s">
        <v>500</v>
      </c>
      <c r="B15" s="215"/>
      <c r="C15" s="65"/>
      <c r="D15" s="216"/>
      <c r="E15" s="65"/>
      <c r="F15" s="65"/>
      <c r="G15" s="215"/>
      <c r="H15" s="65"/>
      <c r="I15" s="216"/>
      <c r="J15" s="65"/>
      <c r="K15" s="65"/>
      <c r="L15" s="215"/>
      <c r="M15" s="65"/>
      <c r="N15" s="65"/>
      <c r="O15" s="65"/>
      <c r="P15" s="65"/>
      <c r="Q15" s="215"/>
      <c r="R15" s="248"/>
      <c r="S15" s="65"/>
      <c r="T15" s="65"/>
      <c r="U15" s="257"/>
      <c r="V15" s="215"/>
      <c r="W15" s="248"/>
      <c r="X15" s="65"/>
      <c r="Y15" s="65"/>
      <c r="Z15" s="257">
        <f>AA15-Y15-X15-W15</f>
        <v>0</v>
      </c>
      <c r="AA15" s="215">
        <v>0</v>
      </c>
      <c r="AB15" s="248"/>
      <c r="AC15" s="65">
        <f>-13-AB15</f>
        <v>-13</v>
      </c>
      <c r="AD15" s="65">
        <f>-17-AC15-AB15</f>
        <v>-4</v>
      </c>
      <c r="AE15" s="257">
        <f>AF15-AD15-AC15-AB15</f>
        <v>-6</v>
      </c>
      <c r="AF15" s="215">
        <v>-23</v>
      </c>
      <c r="AG15" s="248">
        <v>-19</v>
      </c>
      <c r="AH15" s="65">
        <f>-30-AG15</f>
        <v>-11</v>
      </c>
      <c r="AI15" s="65">
        <f>-57-AH15-AG15</f>
        <v>-27</v>
      </c>
      <c r="AJ15" s="257">
        <f>AK15-AI15-AH15-AG15</f>
        <v>1</v>
      </c>
      <c r="AK15" s="215">
        <v>-56</v>
      </c>
      <c r="AL15" s="65">
        <v>45</v>
      </c>
      <c r="AM15" s="65">
        <f>60-AL15</f>
        <v>15</v>
      </c>
      <c r="AN15" s="65">
        <f>77-AM15-AL15</f>
        <v>17</v>
      </c>
      <c r="AO15" s="65">
        <f>AP15-AN15-AM15-AL15</f>
        <v>-26.9</v>
      </c>
      <c r="AP15" s="641">
        <v>50.1</v>
      </c>
      <c r="AQ15" s="65">
        <v>-12.3</v>
      </c>
      <c r="AR15" s="65">
        <f>-6.2-AQ15</f>
        <v>6.1000000000000005</v>
      </c>
      <c r="AS15" s="65">
        <f>14.1-AR15-AQ15</f>
        <v>20.3</v>
      </c>
      <c r="AT15" s="65">
        <f>40.9-AS15-AR15-AQ15</f>
        <v>26.799999999999997</v>
      </c>
      <c r="AU15" s="215">
        <f t="shared" si="4"/>
        <v>40.9</v>
      </c>
      <c r="AV15" s="1801"/>
      <c r="AW15" s="65">
        <f t="shared" si="40"/>
        <v>20.3</v>
      </c>
      <c r="AX15" s="65">
        <f t="shared" si="41"/>
        <v>26.799999999999997</v>
      </c>
      <c r="AY15" s="65">
        <v>-33</v>
      </c>
      <c r="AZ15" s="65">
        <v>-11.7</v>
      </c>
      <c r="BA15" s="215">
        <f t="shared" si="5"/>
        <v>2.399999999999995</v>
      </c>
      <c r="BB15" s="65">
        <v>2.4</v>
      </c>
      <c r="BC15" s="65">
        <f>1.5-BB15</f>
        <v>-0.89999999999999991</v>
      </c>
      <c r="BD15" s="65">
        <f>4.4-SUM(BB15:BC15)</f>
        <v>2.9000000000000004</v>
      </c>
      <c r="BE15" s="65">
        <f>0.4-SUM(BB15:BD15)</f>
        <v>-4</v>
      </c>
      <c r="BF15" s="641">
        <f t="shared" si="6"/>
        <v>0.40000000000000036</v>
      </c>
      <c r="BG15" s="65">
        <v>-0.3</v>
      </c>
      <c r="BH15" s="65">
        <f>-3.6-BG15</f>
        <v>-3.3000000000000003</v>
      </c>
      <c r="BI15" s="65">
        <f>-5.4-SUM(BG15:BH15)</f>
        <v>-1.8000000000000003</v>
      </c>
      <c r="BJ15" s="257">
        <f t="shared" si="7"/>
        <v>-2.7999999999999989</v>
      </c>
      <c r="BK15" s="641">
        <v>-8.1999999999999993</v>
      </c>
      <c r="BL15" s="65">
        <v>2.4</v>
      </c>
      <c r="BM15" s="65">
        <f>3-BL15</f>
        <v>0.60000000000000009</v>
      </c>
      <c r="BN15" s="65">
        <f>1-SUM(BL15:BM15)</f>
        <v>-2</v>
      </c>
      <c r="BO15" s="65">
        <f t="shared" si="8"/>
        <v>-0.7</v>
      </c>
      <c r="BP15" s="215">
        <v>0.3</v>
      </c>
      <c r="BQ15" s="65">
        <v>0.5</v>
      </c>
      <c r="BR15" s="65">
        <f>-2.3-BQ15</f>
        <v>-2.8</v>
      </c>
      <c r="BS15" s="65">
        <f>-22-BR15-BQ15</f>
        <v>-19.7</v>
      </c>
      <c r="BT15" s="65">
        <f t="shared" si="30"/>
        <v>15.8</v>
      </c>
      <c r="BU15" s="641">
        <v>-6.2</v>
      </c>
      <c r="BV15" s="65">
        <v>18.100000000000001</v>
      </c>
      <c r="BW15" s="1385">
        <f>27.5-BV15</f>
        <v>9.3999999999999986</v>
      </c>
      <c r="BX15" s="65">
        <f>31.1-BW15-BV15</f>
        <v>3.6000000000000014</v>
      </c>
      <c r="BY15" s="65">
        <f t="shared" si="31"/>
        <v>5.8999999999999986</v>
      </c>
      <c r="BZ15" s="641">
        <v>37</v>
      </c>
      <c r="CA15" s="1201">
        <v>28</v>
      </c>
      <c r="CB15" s="65">
        <f>19-CA15</f>
        <v>-9</v>
      </c>
      <c r="CC15" s="65">
        <f>16.1-CB15-CA15</f>
        <v>-2.8999999999999986</v>
      </c>
      <c r="CD15" s="257">
        <f>CE15-CC15-CA15-CB15</f>
        <v>-36.200000000000003</v>
      </c>
      <c r="CE15" s="641">
        <v>-20.100000000000001</v>
      </c>
      <c r="CF15" s="65">
        <v>10.4</v>
      </c>
      <c r="CG15" s="65">
        <f>47.1-CF15</f>
        <v>36.700000000000003</v>
      </c>
      <c r="CH15" s="65">
        <f>64.7-SUM(CF15:CG15)</f>
        <v>17.600000000000001</v>
      </c>
      <c r="CI15" s="257">
        <f t="shared" si="9"/>
        <v>12.599999999999994</v>
      </c>
      <c r="CJ15" s="641">
        <v>77.3</v>
      </c>
      <c r="CK15" s="65">
        <v>16.399999999999999</v>
      </c>
      <c r="CL15" s="217">
        <v>0</v>
      </c>
      <c r="CM15" s="217">
        <v>0</v>
      </c>
      <c r="CN15" s="217">
        <v>0</v>
      </c>
      <c r="CO15" s="538">
        <f t="shared" si="11"/>
        <v>16.399999999999999</v>
      </c>
      <c r="CP15" s="217">
        <v>0</v>
      </c>
      <c r="CQ15" s="217">
        <v>0</v>
      </c>
      <c r="CR15" s="217">
        <v>0</v>
      </c>
      <c r="CS15" s="217">
        <v>0</v>
      </c>
      <c r="CT15" s="538">
        <f t="shared" si="33"/>
        <v>0</v>
      </c>
      <c r="CU15" s="217">
        <v>0</v>
      </c>
      <c r="CV15" s="217">
        <v>0</v>
      </c>
      <c r="CW15" s="217">
        <v>0</v>
      </c>
      <c r="CX15" s="217">
        <v>0</v>
      </c>
      <c r="CY15" s="538">
        <f t="shared" si="34"/>
        <v>0</v>
      </c>
      <c r="CZ15" s="217">
        <v>0</v>
      </c>
      <c r="DA15" s="217">
        <v>0</v>
      </c>
      <c r="DB15" s="217">
        <v>0</v>
      </c>
      <c r="DC15" s="217">
        <v>0</v>
      </c>
      <c r="DD15" s="538">
        <f t="shared" si="35"/>
        <v>0</v>
      </c>
      <c r="DE15" s="217">
        <v>0</v>
      </c>
      <c r="DF15" s="217">
        <v>0</v>
      </c>
      <c r="DG15" s="217">
        <v>0</v>
      </c>
      <c r="DH15" s="217">
        <v>0</v>
      </c>
      <c r="DI15" s="538">
        <f t="shared" si="36"/>
        <v>0</v>
      </c>
      <c r="DJ15" s="217">
        <v>0</v>
      </c>
      <c r="DK15" s="217">
        <v>0</v>
      </c>
      <c r="DL15" s="217">
        <v>0</v>
      </c>
      <c r="DM15" s="217">
        <v>0</v>
      </c>
      <c r="DN15" s="538">
        <f t="shared" si="37"/>
        <v>0</v>
      </c>
      <c r="DO15" s="217">
        <v>0</v>
      </c>
      <c r="DP15" s="217">
        <v>0</v>
      </c>
      <c r="DQ15" s="217">
        <v>0</v>
      </c>
      <c r="DR15" s="217">
        <v>0</v>
      </c>
      <c r="DS15" s="538">
        <f t="shared" si="38"/>
        <v>0</v>
      </c>
      <c r="DT15" s="217">
        <v>0</v>
      </c>
      <c r="DU15" s="217">
        <v>0</v>
      </c>
      <c r="DV15" s="217">
        <v>0</v>
      </c>
      <c r="DW15" s="217">
        <v>0</v>
      </c>
      <c r="DX15" s="538">
        <f t="shared" si="39"/>
        <v>0</v>
      </c>
      <c r="DY15" s="1573"/>
      <c r="DZ15" s="1201"/>
      <c r="EA15" s="65" t="s">
        <v>185</v>
      </c>
      <c r="EB15" s="266">
        <f>SUM(AC15,AB15,Z15,Y15)</f>
        <v>-13</v>
      </c>
      <c r="EC15" s="312">
        <f>SUM(AD15,AE15,AG15,AH15)</f>
        <v>-40</v>
      </c>
      <c r="ED15" s="312">
        <f t="shared" ref="ED15:ED36" si="42">SUM(AI15,AJ15,AL15,AM15)</f>
        <v>34</v>
      </c>
      <c r="EE15" s="312">
        <f t="shared" ref="EE15:EE36" si="43">SUM(AN15,AO15,AQ15,AR15)</f>
        <v>-16.099999999999998</v>
      </c>
      <c r="EF15" s="312">
        <f t="shared" ref="EF15:EF36" si="44">BA15</f>
        <v>2.399999999999995</v>
      </c>
      <c r="EG15" s="312">
        <f t="shared" ref="EG15:EG36" si="45">BF15</f>
        <v>0.40000000000000036</v>
      </c>
      <c r="EH15" s="312">
        <f t="shared" ref="EH15:EH36" si="46">BK15</f>
        <v>-8.1999999999999993</v>
      </c>
      <c r="EI15" s="312">
        <f t="shared" si="26"/>
        <v>0.3</v>
      </c>
      <c r="EJ15" s="312">
        <f t="shared" si="27"/>
        <v>-6.2</v>
      </c>
      <c r="EK15" s="312">
        <f t="shared" si="28"/>
        <v>37</v>
      </c>
      <c r="EL15" s="359">
        <f t="shared" si="29"/>
        <v>-20.100000000000001</v>
      </c>
      <c r="EM15" s="16"/>
      <c r="EN15" s="16"/>
      <c r="EU15" s="16"/>
      <c r="EV15" s="16"/>
      <c r="EW15" s="16"/>
      <c r="EX15" s="16"/>
      <c r="EY15" s="16"/>
      <c r="EZ15" s="16"/>
      <c r="FA15" s="16"/>
      <c r="FB15" s="16"/>
      <c r="FC15" s="16"/>
      <c r="FD15" s="16"/>
      <c r="FE15" s="16"/>
      <c r="FF15" s="16"/>
      <c r="FG15" s="16"/>
      <c r="FH15" s="16"/>
      <c r="FI15" s="16"/>
      <c r="FJ15" s="16"/>
    </row>
    <row r="16" spans="1:166" x14ac:dyDescent="0.2">
      <c r="A16" s="498" t="s">
        <v>501</v>
      </c>
      <c r="B16" s="215"/>
      <c r="C16" s="65"/>
      <c r="D16" s="216"/>
      <c r="E16" s="65"/>
      <c r="F16" s="65"/>
      <c r="G16" s="215"/>
      <c r="H16" s="65"/>
      <c r="I16" s="216"/>
      <c r="J16" s="65"/>
      <c r="K16" s="65"/>
      <c r="L16" s="215"/>
      <c r="M16" s="65"/>
      <c r="N16" s="65"/>
      <c r="O16" s="65"/>
      <c r="P16" s="65"/>
      <c r="Q16" s="215">
        <v>12</v>
      </c>
      <c r="R16" s="248"/>
      <c r="S16" s="65"/>
      <c r="T16" s="65"/>
      <c r="U16" s="257"/>
      <c r="V16" s="215">
        <v>-4</v>
      </c>
      <c r="W16" s="248">
        <v>0</v>
      </c>
      <c r="X16" s="65">
        <f>-1-W16</f>
        <v>-1</v>
      </c>
      <c r="Y16" s="65">
        <f>-2-X16-W16</f>
        <v>-1</v>
      </c>
      <c r="Z16" s="257">
        <f>AA16-Y16-X16-W16</f>
        <v>1</v>
      </c>
      <c r="AA16" s="215">
        <v>-1</v>
      </c>
      <c r="AB16" s="248">
        <v>-7</v>
      </c>
      <c r="AC16" s="65">
        <f>-7-AB16</f>
        <v>0</v>
      </c>
      <c r="AD16" s="65">
        <f>-8-AC16-AB16</f>
        <v>-1</v>
      </c>
      <c r="AE16" s="257">
        <f>AF16-AD16-AC16-AB16</f>
        <v>-3</v>
      </c>
      <c r="AF16" s="215">
        <v>-11</v>
      </c>
      <c r="AG16" s="65">
        <v>-2</v>
      </c>
      <c r="AH16" s="65">
        <f>-6-AG16</f>
        <v>-4</v>
      </c>
      <c r="AI16" s="65">
        <f>-17-AH16-AG16</f>
        <v>-11</v>
      </c>
      <c r="AJ16" s="65">
        <f>AK16-AI16-AH16-AG16</f>
        <v>0</v>
      </c>
      <c r="AK16" s="215">
        <v>-17</v>
      </c>
      <c r="AL16" s="65">
        <v>0</v>
      </c>
      <c r="AM16" s="65">
        <f>-1-AL16</f>
        <v>-1</v>
      </c>
      <c r="AN16" s="65">
        <f>-7-AM16-AL16</f>
        <v>-6</v>
      </c>
      <c r="AO16" s="65">
        <f>AP16-AN16-AM16-AL16</f>
        <v>-4</v>
      </c>
      <c r="AP16" s="641">
        <v>-11</v>
      </c>
      <c r="AQ16" s="65">
        <v>-0.3</v>
      </c>
      <c r="AR16" s="65">
        <f>-3-AQ16</f>
        <v>-2.7</v>
      </c>
      <c r="AS16" s="65">
        <f>-5.8-AR16-AQ16</f>
        <v>-2.8</v>
      </c>
      <c r="AT16" s="65">
        <f>-9.5-AS16-AR16-AQ16</f>
        <v>-3.7</v>
      </c>
      <c r="AU16" s="215">
        <f t="shared" si="4"/>
        <v>-9.5</v>
      </c>
      <c r="AV16" s="1801"/>
      <c r="AW16" s="65">
        <f t="shared" si="40"/>
        <v>-2.8</v>
      </c>
      <c r="AX16" s="65">
        <f t="shared" si="41"/>
        <v>-3.7</v>
      </c>
      <c r="AY16" s="65">
        <v>-5</v>
      </c>
      <c r="AZ16" s="65">
        <v>1.2</v>
      </c>
      <c r="BA16" s="215">
        <f t="shared" si="5"/>
        <v>-10.3</v>
      </c>
      <c r="BB16" s="65">
        <v>-0.4</v>
      </c>
      <c r="BC16" s="65">
        <f>-1.7-BB16</f>
        <v>-1.2999999999999998</v>
      </c>
      <c r="BD16" s="65">
        <f>-2.9-SUM(BB16:BC16)</f>
        <v>-1.2000000000000002</v>
      </c>
      <c r="BE16" s="65">
        <f>-1-SUM(BB16:BD16)</f>
        <v>1.9</v>
      </c>
      <c r="BF16" s="641">
        <f t="shared" si="6"/>
        <v>-1</v>
      </c>
      <c r="BG16" s="65">
        <v>8.9</v>
      </c>
      <c r="BH16" s="65">
        <f>-2.7-BG16</f>
        <v>-11.600000000000001</v>
      </c>
      <c r="BI16" s="65">
        <f>10.4-SUM(BG16:BH16)</f>
        <v>13.100000000000001</v>
      </c>
      <c r="BJ16" s="257">
        <f t="shared" si="7"/>
        <v>16.600000000000001</v>
      </c>
      <c r="BK16" s="641">
        <v>27</v>
      </c>
      <c r="BL16" s="65">
        <v>3.1</v>
      </c>
      <c r="BM16" s="65">
        <f>-2.1-BL16</f>
        <v>-5.2</v>
      </c>
      <c r="BN16" s="65">
        <f>-2.5-SUM(BL16:BM16)</f>
        <v>-0.39999999999999991</v>
      </c>
      <c r="BO16" s="65">
        <f t="shared" si="8"/>
        <v>-1.4</v>
      </c>
      <c r="BP16" s="215">
        <v>-3.9</v>
      </c>
      <c r="BQ16" s="65">
        <v>1.8</v>
      </c>
      <c r="BR16" s="65">
        <f>3.6-BQ16</f>
        <v>1.8</v>
      </c>
      <c r="BS16" s="65">
        <f>11.8-BR16-BQ16</f>
        <v>8.1999999999999993</v>
      </c>
      <c r="BT16" s="65">
        <f t="shared" si="30"/>
        <v>5.8000000000000025</v>
      </c>
      <c r="BU16" s="641">
        <v>17.600000000000001</v>
      </c>
      <c r="BV16" s="65">
        <v>1.2</v>
      </c>
      <c r="BW16" s="1385">
        <f>-0.6-BV16</f>
        <v>-1.7999999999999998</v>
      </c>
      <c r="BX16" s="65">
        <f>-5.8-BW16-BV16</f>
        <v>-5.2</v>
      </c>
      <c r="BY16" s="65">
        <f t="shared" si="31"/>
        <v>11.2</v>
      </c>
      <c r="BZ16" s="641">
        <v>5.4</v>
      </c>
      <c r="CA16" s="1201">
        <v>9.4</v>
      </c>
      <c r="CB16" s="65">
        <f>9-CA16</f>
        <v>-0.40000000000000036</v>
      </c>
      <c r="CC16" s="65">
        <f>10-CB16-CA16</f>
        <v>1</v>
      </c>
      <c r="CD16" s="257">
        <f>CE16-CC16-CA16-CB16</f>
        <v>-10</v>
      </c>
      <c r="CE16" s="641">
        <v>0</v>
      </c>
      <c r="CF16" s="65">
        <v>5.8</v>
      </c>
      <c r="CG16" s="65">
        <f>14.9-CF16</f>
        <v>9.1000000000000014</v>
      </c>
      <c r="CH16" s="65">
        <f>0-SUM(CF16:CG16)</f>
        <v>-14.900000000000002</v>
      </c>
      <c r="CI16" s="257">
        <f t="shared" si="9"/>
        <v>0</v>
      </c>
      <c r="CJ16" s="641">
        <v>0</v>
      </c>
      <c r="CK16" s="65">
        <v>0</v>
      </c>
      <c r="CL16" s="217">
        <v>0</v>
      </c>
      <c r="CM16" s="217">
        <v>0</v>
      </c>
      <c r="CN16" s="217">
        <v>0</v>
      </c>
      <c r="CO16" s="538">
        <f t="shared" si="11"/>
        <v>0</v>
      </c>
      <c r="CP16" s="217">
        <v>0</v>
      </c>
      <c r="CQ16" s="217">
        <v>0</v>
      </c>
      <c r="CR16" s="217">
        <v>0</v>
      </c>
      <c r="CS16" s="217">
        <v>0</v>
      </c>
      <c r="CT16" s="538">
        <f t="shared" si="33"/>
        <v>0</v>
      </c>
      <c r="CU16" s="217">
        <v>0</v>
      </c>
      <c r="CV16" s="217">
        <v>0</v>
      </c>
      <c r="CW16" s="217">
        <v>0</v>
      </c>
      <c r="CX16" s="217">
        <v>0</v>
      </c>
      <c r="CY16" s="538">
        <f t="shared" si="34"/>
        <v>0</v>
      </c>
      <c r="CZ16" s="217">
        <v>0</v>
      </c>
      <c r="DA16" s="217">
        <v>0</v>
      </c>
      <c r="DB16" s="217">
        <v>0</v>
      </c>
      <c r="DC16" s="217">
        <v>0</v>
      </c>
      <c r="DD16" s="538">
        <f t="shared" si="35"/>
        <v>0</v>
      </c>
      <c r="DE16" s="217">
        <v>0</v>
      </c>
      <c r="DF16" s="217">
        <v>0</v>
      </c>
      <c r="DG16" s="217">
        <v>0</v>
      </c>
      <c r="DH16" s="217">
        <v>0</v>
      </c>
      <c r="DI16" s="538">
        <f t="shared" si="36"/>
        <v>0</v>
      </c>
      <c r="DJ16" s="217">
        <v>0</v>
      </c>
      <c r="DK16" s="217">
        <v>0</v>
      </c>
      <c r="DL16" s="217">
        <v>0</v>
      </c>
      <c r="DM16" s="217">
        <v>0</v>
      </c>
      <c r="DN16" s="538">
        <f t="shared" si="37"/>
        <v>0</v>
      </c>
      <c r="DO16" s="217">
        <v>0</v>
      </c>
      <c r="DP16" s="217">
        <v>0</v>
      </c>
      <c r="DQ16" s="217">
        <v>0</v>
      </c>
      <c r="DR16" s="217">
        <v>0</v>
      </c>
      <c r="DS16" s="538">
        <f t="shared" si="38"/>
        <v>0</v>
      </c>
      <c r="DT16" s="217">
        <v>0</v>
      </c>
      <c r="DU16" s="217">
        <v>0</v>
      </c>
      <c r="DV16" s="217">
        <v>0</v>
      </c>
      <c r="DW16" s="217">
        <v>0</v>
      </c>
      <c r="DX16" s="538">
        <f t="shared" si="39"/>
        <v>0</v>
      </c>
      <c r="DY16" s="1573"/>
      <c r="DZ16" s="1201"/>
      <c r="EA16" s="65" t="s">
        <v>187</v>
      </c>
      <c r="EB16" s="266">
        <f>SUM(AC16,AB16,Z16,Y16)</f>
        <v>-7</v>
      </c>
      <c r="EC16" s="312">
        <f>SUM(AD16,AE16,AG16,AH16)</f>
        <v>-10</v>
      </c>
      <c r="ED16" s="312">
        <f t="shared" si="42"/>
        <v>-12</v>
      </c>
      <c r="EE16" s="312">
        <f t="shared" si="43"/>
        <v>-13</v>
      </c>
      <c r="EF16" s="312">
        <f t="shared" si="44"/>
        <v>-10.3</v>
      </c>
      <c r="EG16" s="312">
        <f t="shared" si="45"/>
        <v>-1</v>
      </c>
      <c r="EH16" s="312">
        <f t="shared" si="46"/>
        <v>27</v>
      </c>
      <c r="EI16" s="312">
        <f t="shared" si="26"/>
        <v>-3.9</v>
      </c>
      <c r="EJ16" s="312">
        <f t="shared" si="27"/>
        <v>17.600000000000001</v>
      </c>
      <c r="EK16" s="312">
        <f t="shared" si="28"/>
        <v>5.4</v>
      </c>
      <c r="EL16" s="359">
        <f t="shared" si="29"/>
        <v>0</v>
      </c>
      <c r="EM16" s="16"/>
      <c r="EN16" s="16"/>
      <c r="EU16" s="16"/>
      <c r="EV16" s="16"/>
      <c r="EW16" s="16"/>
      <c r="EX16" s="16"/>
      <c r="EY16" s="16"/>
      <c r="EZ16" s="16"/>
      <c r="FA16" s="16"/>
      <c r="FB16" s="16"/>
      <c r="FC16" s="16"/>
      <c r="FD16" s="16"/>
      <c r="FE16" s="16"/>
      <c r="FF16" s="16"/>
      <c r="FG16" s="16"/>
      <c r="FH16" s="16"/>
      <c r="FI16" s="16"/>
      <c r="FJ16" s="16"/>
    </row>
    <row r="17" spans="1:166" x14ac:dyDescent="0.2">
      <c r="A17" s="498" t="s">
        <v>63</v>
      </c>
      <c r="B17" s="215"/>
      <c r="C17" s="65"/>
      <c r="D17" s="216"/>
      <c r="E17" s="65"/>
      <c r="F17" s="65"/>
      <c r="G17" s="215"/>
      <c r="H17" s="65"/>
      <c r="I17" s="216"/>
      <c r="J17" s="65"/>
      <c r="K17" s="65"/>
      <c r="L17" s="215"/>
      <c r="M17" s="65"/>
      <c r="N17" s="65"/>
      <c r="O17" s="65"/>
      <c r="P17" s="65"/>
      <c r="Q17" s="215"/>
      <c r="R17" s="248"/>
      <c r="S17" s="65"/>
      <c r="T17" s="65"/>
      <c r="U17" s="257"/>
      <c r="V17" s="215"/>
      <c r="W17" s="248"/>
      <c r="X17" s="65"/>
      <c r="Y17" s="65"/>
      <c r="Z17" s="257">
        <f t="shared" si="0"/>
        <v>0</v>
      </c>
      <c r="AA17" s="215">
        <v>0</v>
      </c>
      <c r="AB17" s="248"/>
      <c r="AC17" s="65">
        <f>-2-AB17</f>
        <v>-2</v>
      </c>
      <c r="AD17" s="65">
        <f>-3-AC17-AB17</f>
        <v>-1</v>
      </c>
      <c r="AE17" s="257">
        <f t="shared" si="3"/>
        <v>-1</v>
      </c>
      <c r="AF17" s="215">
        <v>-4</v>
      </c>
      <c r="AG17" s="248">
        <v>-1</v>
      </c>
      <c r="AH17" s="65">
        <f>-1-AG17</f>
        <v>0</v>
      </c>
      <c r="AI17" s="65">
        <f>-2-AH17-AG17</f>
        <v>-1</v>
      </c>
      <c r="AJ17" s="257">
        <f t="shared" si="1"/>
        <v>0</v>
      </c>
      <c r="AK17" s="215">
        <v>-2</v>
      </c>
      <c r="AL17" s="65">
        <v>0</v>
      </c>
      <c r="AM17" s="65">
        <f>-1-AL17</f>
        <v>-1</v>
      </c>
      <c r="AN17" s="65">
        <f>-1-AM17-AL17</f>
        <v>0</v>
      </c>
      <c r="AO17" s="65">
        <f t="shared" si="2"/>
        <v>-0.30000000000000004</v>
      </c>
      <c r="AP17" s="641">
        <v>-1.3</v>
      </c>
      <c r="AQ17" s="65">
        <v>-0.3</v>
      </c>
      <c r="AR17" s="65">
        <f>-0.7-AQ17</f>
        <v>-0.39999999999999997</v>
      </c>
      <c r="AS17" s="65">
        <f>-1.1-AR17-AQ17</f>
        <v>-0.40000000000000019</v>
      </c>
      <c r="AT17" s="65">
        <f>-1.6-AS17-AR17-AQ17</f>
        <v>-0.5</v>
      </c>
      <c r="AU17" s="215">
        <f t="shared" si="4"/>
        <v>-1.6</v>
      </c>
      <c r="AV17" s="1801"/>
      <c r="AW17" s="65">
        <f t="shared" si="40"/>
        <v>-0.40000000000000019</v>
      </c>
      <c r="AX17" s="65">
        <f t="shared" si="41"/>
        <v>-0.5</v>
      </c>
      <c r="AY17" s="65">
        <v>-0.4</v>
      </c>
      <c r="AZ17" s="65">
        <v>0</v>
      </c>
      <c r="BA17" s="215">
        <f t="shared" si="5"/>
        <v>-1.3000000000000003</v>
      </c>
      <c r="BB17" s="65">
        <v>0.6</v>
      </c>
      <c r="BC17" s="65">
        <f>0-BB17</f>
        <v>-0.6</v>
      </c>
      <c r="BD17" s="65">
        <f>0.3-SUM(BB17:BC17)</f>
        <v>0.3</v>
      </c>
      <c r="BE17" s="65">
        <f>0.5-SUM(BB17:BD17)</f>
        <v>0.2</v>
      </c>
      <c r="BF17" s="641">
        <f t="shared" ref="BF17:BF26" si="47">SUM(BB17:BE17)</f>
        <v>0.5</v>
      </c>
      <c r="BG17" s="65">
        <v>0.6</v>
      </c>
      <c r="BH17" s="65">
        <f>0.9-BG17</f>
        <v>0.30000000000000004</v>
      </c>
      <c r="BI17" s="65">
        <f>10.7-SUM(BG17:BH17)</f>
        <v>9.7999999999999989</v>
      </c>
      <c r="BJ17" s="257">
        <f t="shared" si="7"/>
        <v>1.1000000000000014</v>
      </c>
      <c r="BK17" s="641">
        <v>11.8</v>
      </c>
      <c r="BL17" s="65">
        <v>1.3</v>
      </c>
      <c r="BM17" s="65">
        <f>2.8-BL17</f>
        <v>1.4999999999999998</v>
      </c>
      <c r="BN17" s="65">
        <f>4.3-SUM(BL17:BM17)</f>
        <v>1.5</v>
      </c>
      <c r="BO17" s="65">
        <f t="shared" si="8"/>
        <v>1.7999999999999998</v>
      </c>
      <c r="BP17" s="215">
        <v>6.1</v>
      </c>
      <c r="BQ17" s="65">
        <v>2</v>
      </c>
      <c r="BR17" s="65">
        <f>4.2-BQ17</f>
        <v>2.2000000000000002</v>
      </c>
      <c r="BS17" s="65">
        <f>154.5-BR17-BQ17</f>
        <v>150.30000000000001</v>
      </c>
      <c r="BT17" s="65">
        <f t="shared" si="30"/>
        <v>143</v>
      </c>
      <c r="BU17" s="641">
        <v>297.5</v>
      </c>
      <c r="BV17" s="65">
        <v>15</v>
      </c>
      <c r="BW17" s="1385">
        <f>46.6-BV17</f>
        <v>31.6</v>
      </c>
      <c r="BX17" s="65">
        <f>50.1-BW17-BV17</f>
        <v>3.5</v>
      </c>
      <c r="BY17" s="65">
        <f t="shared" si="31"/>
        <v>3.5</v>
      </c>
      <c r="BZ17" s="641">
        <v>53.6</v>
      </c>
      <c r="CA17" s="1201">
        <v>3.5</v>
      </c>
      <c r="CB17" s="65">
        <f>9.4-CA17</f>
        <v>5.9</v>
      </c>
      <c r="CC17" s="65">
        <f>15.3-CB17-CA17</f>
        <v>5.9</v>
      </c>
      <c r="CD17" s="257">
        <f>CE17-CC17-CA17-CB17</f>
        <v>6</v>
      </c>
      <c r="CE17" s="641">
        <v>21.3</v>
      </c>
      <c r="CF17" s="65"/>
      <c r="CG17" s="65">
        <v>0</v>
      </c>
      <c r="CH17" s="65">
        <f>23.1</f>
        <v>23.1</v>
      </c>
      <c r="CI17" s="257">
        <f t="shared" si="9"/>
        <v>7.8999999999999986</v>
      </c>
      <c r="CJ17" s="641">
        <v>31</v>
      </c>
      <c r="CK17" s="65">
        <v>1.9</v>
      </c>
      <c r="CL17" s="217">
        <v>0</v>
      </c>
      <c r="CM17" s="217">
        <v>0</v>
      </c>
      <c r="CN17" s="217">
        <v>0</v>
      </c>
      <c r="CO17" s="538">
        <f t="shared" ref="CO17:CO24" si="48">SUM(CK17:CN17)</f>
        <v>1.9</v>
      </c>
      <c r="CP17" s="217">
        <f>BS!CP96-BS!CO96</f>
        <v>0</v>
      </c>
      <c r="CQ17" s="217">
        <v>0</v>
      </c>
      <c r="CR17" s="217">
        <v>0</v>
      </c>
      <c r="CS17" s="217">
        <v>0</v>
      </c>
      <c r="CT17" s="538">
        <f t="shared" ref="CT17:CT24" si="49">SUM(CP17:CS17)</f>
        <v>0</v>
      </c>
      <c r="CU17" s="217">
        <f>BS!CU96-BS!CT96</f>
        <v>0</v>
      </c>
      <c r="CV17" s="217">
        <v>0</v>
      </c>
      <c r="CW17" s="217">
        <v>0</v>
      </c>
      <c r="CX17" s="217">
        <v>0</v>
      </c>
      <c r="CY17" s="538">
        <f t="shared" ref="CY17:CY24" si="50">SUM(CU17:CX17)</f>
        <v>0</v>
      </c>
      <c r="CZ17" s="217">
        <f>BS!CZ96-BS!CY96</f>
        <v>0</v>
      </c>
      <c r="DA17" s="217">
        <v>0</v>
      </c>
      <c r="DB17" s="217">
        <v>0</v>
      </c>
      <c r="DC17" s="217">
        <v>0</v>
      </c>
      <c r="DD17" s="538">
        <f t="shared" ref="DD17:DD24" si="51">SUM(CZ17:DC17)</f>
        <v>0</v>
      </c>
      <c r="DE17" s="217">
        <f>BS!DE96-BS!DD96</f>
        <v>0</v>
      </c>
      <c r="DF17" s="217">
        <v>0</v>
      </c>
      <c r="DG17" s="217">
        <v>0</v>
      </c>
      <c r="DH17" s="217">
        <v>0</v>
      </c>
      <c r="DI17" s="538">
        <f t="shared" ref="DI17:DI24" si="52">SUM(DE17:DH17)</f>
        <v>0</v>
      </c>
      <c r="DJ17" s="217">
        <f>BS!DJ96-BS!DI96</f>
        <v>0</v>
      </c>
      <c r="DK17" s="217">
        <v>0</v>
      </c>
      <c r="DL17" s="217">
        <v>0</v>
      </c>
      <c r="DM17" s="217">
        <v>0</v>
      </c>
      <c r="DN17" s="538">
        <f t="shared" ref="DN17:DN24" si="53">SUM(DJ17:DM17)</f>
        <v>0</v>
      </c>
      <c r="DO17" s="217">
        <f>BS!DO96-BS!DN96</f>
        <v>0</v>
      </c>
      <c r="DP17" s="217">
        <v>0</v>
      </c>
      <c r="DQ17" s="217">
        <v>0</v>
      </c>
      <c r="DR17" s="217">
        <v>0</v>
      </c>
      <c r="DS17" s="538">
        <f t="shared" ref="DS17:DS24" si="54">SUM(DO17:DR17)</f>
        <v>0</v>
      </c>
      <c r="DT17" s="217">
        <f>BS!DT96-BS!DS96</f>
        <v>0</v>
      </c>
      <c r="DU17" s="217">
        <v>0</v>
      </c>
      <c r="DV17" s="217">
        <v>0</v>
      </c>
      <c r="DW17" s="217">
        <v>0</v>
      </c>
      <c r="DX17" s="538">
        <f t="shared" ref="DX17:DX24" si="55">SUM(DT17:DW17)</f>
        <v>0</v>
      </c>
      <c r="DY17" s="1573"/>
      <c r="DZ17" s="1201"/>
      <c r="EA17" s="65" t="s">
        <v>263</v>
      </c>
      <c r="EB17" s="266">
        <f t="shared" ref="EB17:EB36" si="56">SUM(AC17,AB17,Z17,Y17)</f>
        <v>-2</v>
      </c>
      <c r="EC17" s="312">
        <f t="shared" ref="EC17:EC36" si="57">SUM(AD17,AE17,AG17,AH17)</f>
        <v>-3</v>
      </c>
      <c r="ED17" s="312">
        <f t="shared" si="42"/>
        <v>-2</v>
      </c>
      <c r="EE17" s="312">
        <f t="shared" si="43"/>
        <v>-1</v>
      </c>
      <c r="EF17" s="312">
        <f t="shared" si="44"/>
        <v>-1.3000000000000003</v>
      </c>
      <c r="EG17" s="312">
        <f t="shared" si="45"/>
        <v>0.5</v>
      </c>
      <c r="EH17" s="312">
        <f t="shared" si="46"/>
        <v>11.8</v>
      </c>
      <c r="EI17" s="312">
        <f t="shared" si="26"/>
        <v>6.1</v>
      </c>
      <c r="EJ17" s="312">
        <f t="shared" si="27"/>
        <v>297.5</v>
      </c>
      <c r="EK17" s="312">
        <f t="shared" si="28"/>
        <v>53.6</v>
      </c>
      <c r="EL17" s="359">
        <f t="shared" si="29"/>
        <v>21.3</v>
      </c>
      <c r="EM17" s="16"/>
      <c r="EN17" s="16"/>
      <c r="EU17" s="16"/>
      <c r="EV17" s="16"/>
      <c r="EW17" s="16"/>
      <c r="EX17" s="16"/>
      <c r="EY17" s="16"/>
      <c r="EZ17" s="16"/>
      <c r="FA17" s="16"/>
      <c r="FB17" s="16"/>
      <c r="FC17" s="16"/>
      <c r="FD17" s="16"/>
      <c r="FE17" s="16"/>
      <c r="FF17" s="16"/>
      <c r="FG17" s="16"/>
      <c r="FH17" s="16"/>
      <c r="FI17" s="16"/>
      <c r="FJ17" s="16"/>
    </row>
    <row r="18" spans="1:166" x14ac:dyDescent="0.2">
      <c r="A18" s="498" t="s">
        <v>282</v>
      </c>
      <c r="B18" s="215"/>
      <c r="C18" s="65"/>
      <c r="D18" s="216"/>
      <c r="E18" s="65"/>
      <c r="F18" s="65"/>
      <c r="G18" s="215"/>
      <c r="H18" s="65"/>
      <c r="I18" s="216"/>
      <c r="J18" s="65"/>
      <c r="K18" s="65"/>
      <c r="L18" s="215"/>
      <c r="M18" s="65"/>
      <c r="N18" s="65"/>
      <c r="O18" s="65"/>
      <c r="P18" s="65"/>
      <c r="Q18" s="215">
        <v>41</v>
      </c>
      <c r="R18" s="248"/>
      <c r="S18" s="65"/>
      <c r="T18" s="65"/>
      <c r="U18" s="257"/>
      <c r="V18" s="215">
        <v>45</v>
      </c>
      <c r="W18" s="248"/>
      <c r="X18" s="65"/>
      <c r="Y18" s="65"/>
      <c r="Z18" s="257">
        <f t="shared" si="0"/>
        <v>0</v>
      </c>
      <c r="AA18" s="215">
        <v>0</v>
      </c>
      <c r="AB18" s="248"/>
      <c r="AC18" s="65"/>
      <c r="AD18" s="65">
        <v>0</v>
      </c>
      <c r="AE18" s="257">
        <f t="shared" si="3"/>
        <v>0</v>
      </c>
      <c r="AF18" s="215">
        <v>0</v>
      </c>
      <c r="AG18" s="65">
        <v>0</v>
      </c>
      <c r="AH18" s="65">
        <v>0</v>
      </c>
      <c r="AI18" s="65">
        <v>0</v>
      </c>
      <c r="AJ18" s="65">
        <f t="shared" si="1"/>
        <v>0</v>
      </c>
      <c r="AK18" s="215">
        <v>0</v>
      </c>
      <c r="AL18" s="65">
        <v>0</v>
      </c>
      <c r="AM18" s="65">
        <v>0</v>
      </c>
      <c r="AN18" s="65">
        <v>0</v>
      </c>
      <c r="AO18" s="65">
        <f t="shared" si="2"/>
        <v>0</v>
      </c>
      <c r="AP18" s="641">
        <v>0</v>
      </c>
      <c r="AQ18" s="65">
        <v>0</v>
      </c>
      <c r="AR18" s="65">
        <v>0</v>
      </c>
      <c r="AS18" s="65">
        <v>0</v>
      </c>
      <c r="AT18" s="65">
        <f>0-AS18-AR18-AQ18</f>
        <v>0</v>
      </c>
      <c r="AU18" s="215">
        <f t="shared" si="4"/>
        <v>0</v>
      </c>
      <c r="AV18" s="1801"/>
      <c r="AW18" s="65">
        <f t="shared" si="40"/>
        <v>0</v>
      </c>
      <c r="AX18" s="65">
        <f t="shared" si="41"/>
        <v>0</v>
      </c>
      <c r="AY18" s="65">
        <v>0</v>
      </c>
      <c r="AZ18" s="65">
        <v>0</v>
      </c>
      <c r="BA18" s="215">
        <f t="shared" si="5"/>
        <v>0</v>
      </c>
      <c r="BB18" s="65">
        <v>0</v>
      </c>
      <c r="BC18" s="65">
        <f>0-BB18</f>
        <v>0</v>
      </c>
      <c r="BD18" s="65">
        <f>0-SUM(BB18:BC18)</f>
        <v>0</v>
      </c>
      <c r="BE18" s="65">
        <f>0-SUM(BB18:BD18)</f>
        <v>0</v>
      </c>
      <c r="BF18" s="641">
        <f t="shared" si="47"/>
        <v>0</v>
      </c>
      <c r="BG18" s="65">
        <v>0</v>
      </c>
      <c r="BH18" s="65">
        <v>0</v>
      </c>
      <c r="BI18" s="65">
        <f>0-SUM(BG18:BH18)</f>
        <v>0</v>
      </c>
      <c r="BJ18" s="257">
        <f t="shared" si="7"/>
        <v>0</v>
      </c>
      <c r="BK18" s="641">
        <v>0</v>
      </c>
      <c r="BL18" s="65">
        <v>0</v>
      </c>
      <c r="BM18" s="65">
        <v>0</v>
      </c>
      <c r="BN18" s="65">
        <v>0</v>
      </c>
      <c r="BO18" s="65">
        <f t="shared" si="8"/>
        <v>0</v>
      </c>
      <c r="BP18" s="215">
        <v>0</v>
      </c>
      <c r="BQ18" s="65">
        <v>0</v>
      </c>
      <c r="BR18" s="65">
        <v>0</v>
      </c>
      <c r="BS18" s="65">
        <v>0</v>
      </c>
      <c r="BT18" s="65">
        <f t="shared" si="30"/>
        <v>0</v>
      </c>
      <c r="BU18" s="641">
        <v>0</v>
      </c>
      <c r="BV18" s="65">
        <v>0</v>
      </c>
      <c r="BW18" s="1385">
        <v>0</v>
      </c>
      <c r="BX18" s="65">
        <v>0</v>
      </c>
      <c r="BY18" s="65">
        <f t="shared" si="31"/>
        <v>0</v>
      </c>
      <c r="BZ18" s="641">
        <v>0</v>
      </c>
      <c r="CA18" s="1201">
        <v>0</v>
      </c>
      <c r="CB18" s="65">
        <v>0</v>
      </c>
      <c r="CC18" s="65">
        <v>0</v>
      </c>
      <c r="CD18" s="65">
        <v>0</v>
      </c>
      <c r="CE18" s="641">
        <f t="shared" ref="CE18:CE25" si="58">SUM(CA18:CD18)</f>
        <v>0</v>
      </c>
      <c r="CF18" s="65">
        <v>0</v>
      </c>
      <c r="CG18" s="65">
        <v>0</v>
      </c>
      <c r="CH18" s="65">
        <v>0</v>
      </c>
      <c r="CI18" s="257">
        <f t="shared" si="9"/>
        <v>0</v>
      </c>
      <c r="CJ18" s="641">
        <v>0</v>
      </c>
      <c r="CK18" s="65">
        <v>0</v>
      </c>
      <c r="CL18" s="217">
        <v>0</v>
      </c>
      <c r="CM18" s="217">
        <v>0</v>
      </c>
      <c r="CN18" s="217">
        <v>0</v>
      </c>
      <c r="CO18" s="538">
        <f t="shared" si="48"/>
        <v>0</v>
      </c>
      <c r="CP18" s="217">
        <v>0</v>
      </c>
      <c r="CQ18" s="217">
        <v>0</v>
      </c>
      <c r="CR18" s="217">
        <v>0</v>
      </c>
      <c r="CS18" s="217">
        <v>0</v>
      </c>
      <c r="CT18" s="538">
        <f t="shared" si="49"/>
        <v>0</v>
      </c>
      <c r="CU18" s="217">
        <v>0</v>
      </c>
      <c r="CV18" s="217">
        <v>0</v>
      </c>
      <c r="CW18" s="217">
        <v>0</v>
      </c>
      <c r="CX18" s="217">
        <v>0</v>
      </c>
      <c r="CY18" s="538">
        <f t="shared" si="50"/>
        <v>0</v>
      </c>
      <c r="CZ18" s="217">
        <v>0</v>
      </c>
      <c r="DA18" s="217">
        <v>0</v>
      </c>
      <c r="DB18" s="217">
        <v>0</v>
      </c>
      <c r="DC18" s="217">
        <v>0</v>
      </c>
      <c r="DD18" s="538">
        <f t="shared" si="51"/>
        <v>0</v>
      </c>
      <c r="DE18" s="217">
        <v>0</v>
      </c>
      <c r="DF18" s="217">
        <v>0</v>
      </c>
      <c r="DG18" s="217">
        <v>0</v>
      </c>
      <c r="DH18" s="217">
        <v>0</v>
      </c>
      <c r="DI18" s="538">
        <f t="shared" si="52"/>
        <v>0</v>
      </c>
      <c r="DJ18" s="217">
        <v>0</v>
      </c>
      <c r="DK18" s="217">
        <v>0</v>
      </c>
      <c r="DL18" s="217">
        <v>0</v>
      </c>
      <c r="DM18" s="217">
        <v>0</v>
      </c>
      <c r="DN18" s="538">
        <f t="shared" si="53"/>
        <v>0</v>
      </c>
      <c r="DO18" s="217">
        <v>0</v>
      </c>
      <c r="DP18" s="217">
        <v>0</v>
      </c>
      <c r="DQ18" s="217">
        <v>0</v>
      </c>
      <c r="DR18" s="217">
        <v>0</v>
      </c>
      <c r="DS18" s="538">
        <f t="shared" si="54"/>
        <v>0</v>
      </c>
      <c r="DT18" s="217">
        <v>0</v>
      </c>
      <c r="DU18" s="217">
        <v>0</v>
      </c>
      <c r="DV18" s="217">
        <v>0</v>
      </c>
      <c r="DW18" s="217">
        <v>0</v>
      </c>
      <c r="DX18" s="538">
        <f t="shared" si="55"/>
        <v>0</v>
      </c>
      <c r="DY18" s="1573"/>
      <c r="DZ18" s="1201"/>
      <c r="EA18" s="65" t="s">
        <v>264</v>
      </c>
      <c r="EB18" s="266">
        <f t="shared" si="56"/>
        <v>0</v>
      </c>
      <c r="EC18" s="312">
        <f t="shared" si="57"/>
        <v>0</v>
      </c>
      <c r="ED18" s="312">
        <f t="shared" si="42"/>
        <v>0</v>
      </c>
      <c r="EE18" s="312">
        <f t="shared" si="43"/>
        <v>0</v>
      </c>
      <c r="EF18" s="312">
        <f t="shared" si="44"/>
        <v>0</v>
      </c>
      <c r="EG18" s="312">
        <f t="shared" si="45"/>
        <v>0</v>
      </c>
      <c r="EH18" s="312">
        <f t="shared" si="46"/>
        <v>0</v>
      </c>
      <c r="EI18" s="312">
        <f t="shared" si="26"/>
        <v>0</v>
      </c>
      <c r="EJ18" s="312">
        <f t="shared" si="27"/>
        <v>0</v>
      </c>
      <c r="EK18" s="312">
        <f t="shared" si="28"/>
        <v>0</v>
      </c>
      <c r="EL18" s="359">
        <f t="shared" si="29"/>
        <v>0</v>
      </c>
      <c r="EM18" s="16"/>
      <c r="EN18" s="16"/>
      <c r="EU18" s="16"/>
      <c r="EV18" s="16"/>
      <c r="EW18" s="16"/>
      <c r="EX18" s="16"/>
      <c r="EY18" s="16"/>
      <c r="EZ18" s="16"/>
      <c r="FA18" s="16"/>
      <c r="FB18" s="16"/>
      <c r="FC18" s="16"/>
      <c r="FD18" s="16"/>
      <c r="FE18" s="16"/>
      <c r="FF18" s="16"/>
      <c r="FG18" s="16"/>
      <c r="FH18" s="16"/>
      <c r="FI18" s="16"/>
      <c r="FJ18" s="16"/>
    </row>
    <row r="19" spans="1:166" x14ac:dyDescent="0.2">
      <c r="A19" s="498" t="s">
        <v>502</v>
      </c>
      <c r="B19" s="215"/>
      <c r="C19" s="65"/>
      <c r="D19" s="216"/>
      <c r="E19" s="65"/>
      <c r="F19" s="65"/>
      <c r="G19" s="215"/>
      <c r="H19" s="65"/>
      <c r="I19" s="216"/>
      <c r="J19" s="65"/>
      <c r="K19" s="65"/>
      <c r="L19" s="215"/>
      <c r="M19" s="65"/>
      <c r="N19" s="65"/>
      <c r="O19" s="65"/>
      <c r="P19" s="65"/>
      <c r="Q19" s="215">
        <v>11</v>
      </c>
      <c r="R19" s="248"/>
      <c r="S19" s="65"/>
      <c r="T19" s="65"/>
      <c r="U19" s="257"/>
      <c r="V19" s="215">
        <v>1</v>
      </c>
      <c r="W19" s="248">
        <v>0</v>
      </c>
      <c r="X19" s="65"/>
      <c r="Y19" s="65">
        <f>-1-X19-W19</f>
        <v>-1</v>
      </c>
      <c r="Z19" s="257">
        <f t="shared" si="0"/>
        <v>-1</v>
      </c>
      <c r="AA19" s="215">
        <v>-2</v>
      </c>
      <c r="AB19" s="248">
        <v>-2</v>
      </c>
      <c r="AC19" s="65">
        <f>0-AB19</f>
        <v>2</v>
      </c>
      <c r="AD19" s="65">
        <f>-4-AC19-AB19</f>
        <v>-4</v>
      </c>
      <c r="AE19" s="257">
        <f t="shared" si="3"/>
        <v>0</v>
      </c>
      <c r="AF19" s="215">
        <v>-4</v>
      </c>
      <c r="AG19" s="248">
        <v>0</v>
      </c>
      <c r="AH19" s="65">
        <f>-1-AG19</f>
        <v>-1</v>
      </c>
      <c r="AI19" s="65">
        <f>-2-AH19-AG19</f>
        <v>-1</v>
      </c>
      <c r="AJ19" s="65">
        <f t="shared" si="1"/>
        <v>-1</v>
      </c>
      <c r="AK19" s="215">
        <v>-3</v>
      </c>
      <c r="AL19" s="65">
        <v>1</v>
      </c>
      <c r="AM19" s="65">
        <f>3-AL19</f>
        <v>2</v>
      </c>
      <c r="AN19" s="65">
        <f>3-AM19-AL19</f>
        <v>0</v>
      </c>
      <c r="AO19" s="65">
        <f t="shared" si="2"/>
        <v>-2.2999999999999998</v>
      </c>
      <c r="AP19" s="641">
        <v>0.7</v>
      </c>
      <c r="AQ19" s="65">
        <v>0.6</v>
      </c>
      <c r="AR19" s="65">
        <f>0.4-AQ19</f>
        <v>-0.19999999999999996</v>
      </c>
      <c r="AS19" s="65">
        <f>0.5-AR19-AQ19</f>
        <v>9.9999999999999978E-2</v>
      </c>
      <c r="AT19" s="65">
        <f>0.8-AS19-AR19-AQ19</f>
        <v>0.30000000000000004</v>
      </c>
      <c r="AU19" s="215">
        <f t="shared" si="4"/>
        <v>0.8</v>
      </c>
      <c r="AV19" s="1801"/>
      <c r="AW19" s="65">
        <f t="shared" si="40"/>
        <v>9.9999999999999978E-2</v>
      </c>
      <c r="AX19" s="65">
        <f t="shared" si="41"/>
        <v>0.30000000000000004</v>
      </c>
      <c r="AY19" s="65">
        <v>1.6</v>
      </c>
      <c r="AZ19" s="65">
        <v>3.3</v>
      </c>
      <c r="BA19" s="215">
        <f t="shared" si="5"/>
        <v>5.3</v>
      </c>
      <c r="BB19" s="65">
        <v>0</v>
      </c>
      <c r="BC19" s="65">
        <f>1.1-BB19</f>
        <v>1.1000000000000001</v>
      </c>
      <c r="BD19" s="65">
        <f>3.9-SUM(BB19:BC19)</f>
        <v>2.8</v>
      </c>
      <c r="BE19" s="65">
        <f>6.1-SUM(BB19:BD19)</f>
        <v>2.1999999999999997</v>
      </c>
      <c r="BF19" s="641">
        <f t="shared" si="47"/>
        <v>6.1</v>
      </c>
      <c r="BG19" s="65">
        <v>1.3</v>
      </c>
      <c r="BH19" s="65">
        <f>1.5-BG19</f>
        <v>0.19999999999999996</v>
      </c>
      <c r="BI19" s="65">
        <f>2.9-SUM(BG19:BH19)</f>
        <v>1.4</v>
      </c>
      <c r="BJ19" s="257">
        <f t="shared" si="7"/>
        <v>-3.7</v>
      </c>
      <c r="BK19" s="641">
        <v>-0.8</v>
      </c>
      <c r="BL19" s="65">
        <v>1</v>
      </c>
      <c r="BM19" s="65">
        <f>2.2-BL19</f>
        <v>1.2000000000000002</v>
      </c>
      <c r="BN19" s="65">
        <f>2.2-SUM(BL19:BM19)</f>
        <v>0</v>
      </c>
      <c r="BO19" s="65">
        <f t="shared" si="8"/>
        <v>-0.20000000000000018</v>
      </c>
      <c r="BP19" s="215">
        <v>2</v>
      </c>
      <c r="BQ19" s="65">
        <v>0.5</v>
      </c>
      <c r="BR19" s="65">
        <f>-0.2-BQ19</f>
        <v>-0.7</v>
      </c>
      <c r="BS19" s="65">
        <f>0.9-BR19-BQ19</f>
        <v>1.1000000000000001</v>
      </c>
      <c r="BT19" s="65">
        <f t="shared" si="30"/>
        <v>0.99999999999999978</v>
      </c>
      <c r="BU19" s="641">
        <v>1.9</v>
      </c>
      <c r="BV19" s="65">
        <v>2.2000000000000002</v>
      </c>
      <c r="BW19" s="1385">
        <f>0.7-BV19</f>
        <v>-1.5000000000000002</v>
      </c>
      <c r="BX19" s="65">
        <f>0.9-BW19-BV19</f>
        <v>0.20000000000000018</v>
      </c>
      <c r="BY19" s="65">
        <f t="shared" si="31"/>
        <v>3.1999999999999993</v>
      </c>
      <c r="BZ19" s="641">
        <v>4.0999999999999996</v>
      </c>
      <c r="CA19" s="1586">
        <v>-0.3</v>
      </c>
      <c r="CB19" s="65">
        <f>-0.7-CA19</f>
        <v>-0.39999999999999997</v>
      </c>
      <c r="CC19" s="65">
        <f>-0.1-CB19-CA19</f>
        <v>0.59999999999999987</v>
      </c>
      <c r="CD19" s="257">
        <f>CE19-CC19-CA19-CB19</f>
        <v>0.10000000000000009</v>
      </c>
      <c r="CE19" s="641">
        <v>0</v>
      </c>
      <c r="CF19" s="65">
        <v>0</v>
      </c>
      <c r="CG19" s="65">
        <v>0</v>
      </c>
      <c r="CH19" s="65">
        <v>0</v>
      </c>
      <c r="CI19" s="257">
        <f t="shared" si="9"/>
        <v>0</v>
      </c>
      <c r="CJ19" s="641">
        <v>0</v>
      </c>
      <c r="CK19" s="65">
        <v>0</v>
      </c>
      <c r="CL19" s="217">
        <v>0</v>
      </c>
      <c r="CM19" s="217">
        <v>0</v>
      </c>
      <c r="CN19" s="217">
        <v>0</v>
      </c>
      <c r="CO19" s="538">
        <f t="shared" si="48"/>
        <v>0</v>
      </c>
      <c r="CP19" s="217">
        <v>0</v>
      </c>
      <c r="CQ19" s="217">
        <v>0</v>
      </c>
      <c r="CR19" s="217">
        <v>0</v>
      </c>
      <c r="CS19" s="217">
        <v>0</v>
      </c>
      <c r="CT19" s="538">
        <f t="shared" si="49"/>
        <v>0</v>
      </c>
      <c r="CU19" s="217">
        <v>0</v>
      </c>
      <c r="CV19" s="217">
        <v>0</v>
      </c>
      <c r="CW19" s="217">
        <v>0</v>
      </c>
      <c r="CX19" s="217">
        <v>0</v>
      </c>
      <c r="CY19" s="538">
        <f t="shared" si="50"/>
        <v>0</v>
      </c>
      <c r="CZ19" s="217">
        <v>0</v>
      </c>
      <c r="DA19" s="217">
        <v>0</v>
      </c>
      <c r="DB19" s="217">
        <v>0</v>
      </c>
      <c r="DC19" s="217">
        <v>0</v>
      </c>
      <c r="DD19" s="538">
        <f t="shared" si="51"/>
        <v>0</v>
      </c>
      <c r="DE19" s="217">
        <v>0</v>
      </c>
      <c r="DF19" s="217">
        <v>0</v>
      </c>
      <c r="DG19" s="217">
        <v>0</v>
      </c>
      <c r="DH19" s="217">
        <v>0</v>
      </c>
      <c r="DI19" s="538">
        <f t="shared" si="52"/>
        <v>0</v>
      </c>
      <c r="DJ19" s="217">
        <v>0</v>
      </c>
      <c r="DK19" s="217">
        <v>0</v>
      </c>
      <c r="DL19" s="217">
        <v>0</v>
      </c>
      <c r="DM19" s="217">
        <v>0</v>
      </c>
      <c r="DN19" s="538">
        <f t="shared" si="53"/>
        <v>0</v>
      </c>
      <c r="DO19" s="217">
        <v>0</v>
      </c>
      <c r="DP19" s="217">
        <v>0</v>
      </c>
      <c r="DQ19" s="217">
        <v>0</v>
      </c>
      <c r="DR19" s="217">
        <v>0</v>
      </c>
      <c r="DS19" s="538">
        <f t="shared" si="54"/>
        <v>0</v>
      </c>
      <c r="DT19" s="217">
        <v>0</v>
      </c>
      <c r="DU19" s="217">
        <v>0</v>
      </c>
      <c r="DV19" s="217">
        <v>0</v>
      </c>
      <c r="DW19" s="217">
        <v>0</v>
      </c>
      <c r="DX19" s="538">
        <f t="shared" si="55"/>
        <v>0</v>
      </c>
      <c r="DY19" s="1573"/>
      <c r="DZ19" s="1201"/>
      <c r="EA19" s="65" t="s">
        <v>265</v>
      </c>
      <c r="EB19" s="266">
        <f t="shared" si="56"/>
        <v>-2</v>
      </c>
      <c r="EC19" s="312">
        <f t="shared" si="57"/>
        <v>-5</v>
      </c>
      <c r="ED19" s="312">
        <f t="shared" si="42"/>
        <v>1</v>
      </c>
      <c r="EE19" s="312">
        <f t="shared" si="43"/>
        <v>-1.8999999999999997</v>
      </c>
      <c r="EF19" s="312">
        <f t="shared" si="44"/>
        <v>5.3</v>
      </c>
      <c r="EG19" s="312">
        <f t="shared" si="45"/>
        <v>6.1</v>
      </c>
      <c r="EH19" s="312">
        <f t="shared" si="46"/>
        <v>-0.8</v>
      </c>
      <c r="EI19" s="312">
        <f t="shared" si="26"/>
        <v>2</v>
      </c>
      <c r="EJ19" s="312">
        <f t="shared" si="27"/>
        <v>1.9</v>
      </c>
      <c r="EK19" s="312">
        <f t="shared" si="28"/>
        <v>4.0999999999999996</v>
      </c>
      <c r="EL19" s="359">
        <f t="shared" si="29"/>
        <v>0</v>
      </c>
      <c r="EM19" s="16"/>
      <c r="EN19" s="16"/>
      <c r="EU19" s="16"/>
      <c r="EV19" s="16"/>
      <c r="EW19" s="16"/>
      <c r="EX19" s="16"/>
      <c r="EY19" s="16"/>
      <c r="EZ19" s="16"/>
      <c r="FA19" s="16"/>
      <c r="FB19" s="16"/>
      <c r="FC19" s="16"/>
      <c r="FD19" s="16"/>
      <c r="FE19" s="16"/>
      <c r="FF19" s="16"/>
      <c r="FG19" s="16"/>
      <c r="FH19" s="16"/>
      <c r="FI19" s="16"/>
      <c r="FJ19" s="16"/>
    </row>
    <row r="20" spans="1:166" x14ac:dyDescent="0.2">
      <c r="A20" s="498" t="s">
        <v>375</v>
      </c>
      <c r="B20" s="215"/>
      <c r="C20" s="65"/>
      <c r="D20" s="216"/>
      <c r="E20" s="65"/>
      <c r="F20" s="65"/>
      <c r="G20" s="215"/>
      <c r="H20" s="65"/>
      <c r="I20" s="216"/>
      <c r="J20" s="65"/>
      <c r="K20" s="65"/>
      <c r="L20" s="215"/>
      <c r="M20" s="65"/>
      <c r="N20" s="65"/>
      <c r="O20" s="65"/>
      <c r="P20" s="65"/>
      <c r="Q20" s="215">
        <v>24</v>
      </c>
      <c r="R20" s="248"/>
      <c r="S20" s="65"/>
      <c r="T20" s="65"/>
      <c r="U20" s="257"/>
      <c r="V20" s="215">
        <v>4</v>
      </c>
      <c r="W20" s="248"/>
      <c r="X20" s="65"/>
      <c r="Y20" s="65"/>
      <c r="Z20" s="257">
        <f t="shared" si="0"/>
        <v>0</v>
      </c>
      <c r="AA20" s="215">
        <v>0</v>
      </c>
      <c r="AB20" s="248"/>
      <c r="AC20" s="65">
        <v>0</v>
      </c>
      <c r="AD20" s="65">
        <v>0</v>
      </c>
      <c r="AE20" s="257">
        <f t="shared" si="3"/>
        <v>0</v>
      </c>
      <c r="AF20" s="215">
        <v>0</v>
      </c>
      <c r="AG20" s="248">
        <v>0</v>
      </c>
      <c r="AH20" s="65">
        <v>0</v>
      </c>
      <c r="AI20" s="65">
        <v>0</v>
      </c>
      <c r="AJ20" s="65">
        <f t="shared" si="1"/>
        <v>0</v>
      </c>
      <c r="AK20" s="215">
        <v>0</v>
      </c>
      <c r="AL20" s="65">
        <v>0</v>
      </c>
      <c r="AM20" s="65">
        <v>0</v>
      </c>
      <c r="AN20" s="65">
        <v>0</v>
      </c>
      <c r="AO20" s="65">
        <f t="shared" si="2"/>
        <v>0</v>
      </c>
      <c r="AP20" s="641">
        <v>0</v>
      </c>
      <c r="AQ20" s="65">
        <v>0</v>
      </c>
      <c r="AR20" s="65">
        <v>0</v>
      </c>
      <c r="AS20" s="65">
        <v>0</v>
      </c>
      <c r="AT20" s="65">
        <f>0-AS20-AR20-AQ20</f>
        <v>0</v>
      </c>
      <c r="AU20" s="215">
        <f t="shared" si="4"/>
        <v>0</v>
      </c>
      <c r="AV20" s="1801"/>
      <c r="AW20" s="65">
        <f t="shared" si="40"/>
        <v>0</v>
      </c>
      <c r="AX20" s="65">
        <f t="shared" si="41"/>
        <v>0</v>
      </c>
      <c r="AY20" s="65">
        <v>0</v>
      </c>
      <c r="AZ20" s="65">
        <v>0</v>
      </c>
      <c r="BA20" s="215">
        <f t="shared" si="5"/>
        <v>0</v>
      </c>
      <c r="BB20" s="65">
        <v>0</v>
      </c>
      <c r="BC20" s="65">
        <f>0-BB20</f>
        <v>0</v>
      </c>
      <c r="BD20" s="65">
        <f>0-SUM(BB20:BC20)</f>
        <v>0</v>
      </c>
      <c r="BE20" s="65">
        <f>0-SUM(BB20:BD20)</f>
        <v>0</v>
      </c>
      <c r="BF20" s="641">
        <f t="shared" si="47"/>
        <v>0</v>
      </c>
      <c r="BG20" s="65">
        <v>-0.4</v>
      </c>
      <c r="BH20" s="65">
        <f>-0.9-BG20</f>
        <v>-0.5</v>
      </c>
      <c r="BI20" s="65">
        <f>-1.8-SUM(BG20:BH20)</f>
        <v>-0.9</v>
      </c>
      <c r="BJ20" s="65">
        <f t="shared" si="7"/>
        <v>-0.7</v>
      </c>
      <c r="BK20" s="641">
        <v>-2.5</v>
      </c>
      <c r="BL20" s="65">
        <v>-0.2</v>
      </c>
      <c r="BM20" s="65">
        <f>-0.7-BL20</f>
        <v>-0.49999999999999994</v>
      </c>
      <c r="BN20" s="65">
        <f>-1.6-SUM(BL20:BM20)</f>
        <v>-0.90000000000000013</v>
      </c>
      <c r="BO20" s="65">
        <f t="shared" si="8"/>
        <v>-0.5</v>
      </c>
      <c r="BP20" s="215">
        <v>-2.1</v>
      </c>
      <c r="BQ20" s="65">
        <v>-0.8</v>
      </c>
      <c r="BR20" s="65">
        <f>-1.6-BQ20</f>
        <v>-0.8</v>
      </c>
      <c r="BS20" s="65">
        <f>-2.4-BR20-BQ20</f>
        <v>-0.79999999999999982</v>
      </c>
      <c r="BT20" s="65">
        <f t="shared" si="30"/>
        <v>-1.5</v>
      </c>
      <c r="BU20" s="641">
        <v>-3.9</v>
      </c>
      <c r="BV20" s="65">
        <v>0</v>
      </c>
      <c r="BW20" s="1385">
        <v>0</v>
      </c>
      <c r="BX20" s="65">
        <v>0</v>
      </c>
      <c r="BY20" s="65">
        <f t="shared" si="31"/>
        <v>-0.4</v>
      </c>
      <c r="BZ20" s="641">
        <v>-0.4</v>
      </c>
      <c r="CA20" s="1201">
        <v>0</v>
      </c>
      <c r="CB20" s="65">
        <v>0</v>
      </c>
      <c r="CC20" s="65">
        <v>0</v>
      </c>
      <c r="CD20" s="65">
        <v>0</v>
      </c>
      <c r="CE20" s="641">
        <f t="shared" si="58"/>
        <v>0</v>
      </c>
      <c r="CF20" s="65">
        <v>0</v>
      </c>
      <c r="CG20" s="65">
        <v>0</v>
      </c>
      <c r="CH20" s="65">
        <v>0</v>
      </c>
      <c r="CI20" s="257">
        <f t="shared" si="9"/>
        <v>0</v>
      </c>
      <c r="CJ20" s="641">
        <v>0</v>
      </c>
      <c r="CK20" s="65">
        <v>0</v>
      </c>
      <c r="CL20" s="217">
        <v>0</v>
      </c>
      <c r="CM20" s="217">
        <v>0</v>
      </c>
      <c r="CN20" s="217">
        <v>0</v>
      </c>
      <c r="CO20" s="538">
        <f t="shared" si="48"/>
        <v>0</v>
      </c>
      <c r="CP20" s="217">
        <v>0</v>
      </c>
      <c r="CQ20" s="217">
        <v>0</v>
      </c>
      <c r="CR20" s="217">
        <v>0</v>
      </c>
      <c r="CS20" s="217">
        <v>0</v>
      </c>
      <c r="CT20" s="538">
        <f t="shared" si="49"/>
        <v>0</v>
      </c>
      <c r="CU20" s="217">
        <v>0</v>
      </c>
      <c r="CV20" s="217">
        <v>0</v>
      </c>
      <c r="CW20" s="217">
        <v>0</v>
      </c>
      <c r="CX20" s="217">
        <v>0</v>
      </c>
      <c r="CY20" s="538">
        <f t="shared" si="50"/>
        <v>0</v>
      </c>
      <c r="CZ20" s="217">
        <v>0</v>
      </c>
      <c r="DA20" s="217">
        <v>0</v>
      </c>
      <c r="DB20" s="217">
        <v>0</v>
      </c>
      <c r="DC20" s="217">
        <v>0</v>
      </c>
      <c r="DD20" s="538">
        <f t="shared" si="51"/>
        <v>0</v>
      </c>
      <c r="DE20" s="217">
        <v>0</v>
      </c>
      <c r="DF20" s="217">
        <v>0</v>
      </c>
      <c r="DG20" s="217">
        <v>0</v>
      </c>
      <c r="DH20" s="217">
        <v>0</v>
      </c>
      <c r="DI20" s="538">
        <f t="shared" si="52"/>
        <v>0</v>
      </c>
      <c r="DJ20" s="217">
        <v>0</v>
      </c>
      <c r="DK20" s="217">
        <v>0</v>
      </c>
      <c r="DL20" s="217">
        <v>0</v>
      </c>
      <c r="DM20" s="217">
        <v>0</v>
      </c>
      <c r="DN20" s="538">
        <f t="shared" si="53"/>
        <v>0</v>
      </c>
      <c r="DO20" s="217">
        <v>0</v>
      </c>
      <c r="DP20" s="217">
        <v>0</v>
      </c>
      <c r="DQ20" s="217">
        <v>0</v>
      </c>
      <c r="DR20" s="217">
        <v>0</v>
      </c>
      <c r="DS20" s="538">
        <f t="shared" si="54"/>
        <v>0</v>
      </c>
      <c r="DT20" s="217">
        <v>0</v>
      </c>
      <c r="DU20" s="217">
        <v>0</v>
      </c>
      <c r="DV20" s="217">
        <v>0</v>
      </c>
      <c r="DW20" s="217">
        <v>0</v>
      </c>
      <c r="DX20" s="538">
        <f t="shared" si="55"/>
        <v>0</v>
      </c>
      <c r="DY20" s="1573"/>
      <c r="DZ20" s="1201"/>
      <c r="EA20" s="65" t="s">
        <v>266</v>
      </c>
      <c r="EB20" s="266">
        <f t="shared" si="56"/>
        <v>0</v>
      </c>
      <c r="EC20" s="312">
        <f t="shared" si="57"/>
        <v>0</v>
      </c>
      <c r="ED20" s="312">
        <f t="shared" si="42"/>
        <v>0</v>
      </c>
      <c r="EE20" s="312">
        <f t="shared" si="43"/>
        <v>0</v>
      </c>
      <c r="EF20" s="312">
        <f t="shared" si="44"/>
        <v>0</v>
      </c>
      <c r="EG20" s="312">
        <f t="shared" si="45"/>
        <v>0</v>
      </c>
      <c r="EH20" s="312">
        <f t="shared" si="46"/>
        <v>-2.5</v>
      </c>
      <c r="EI20" s="312">
        <f t="shared" si="26"/>
        <v>-2.1</v>
      </c>
      <c r="EJ20" s="312">
        <f t="shared" si="27"/>
        <v>-3.9</v>
      </c>
      <c r="EK20" s="312">
        <f t="shared" si="28"/>
        <v>-0.4</v>
      </c>
      <c r="EL20" s="359">
        <f t="shared" si="29"/>
        <v>0</v>
      </c>
      <c r="EM20" s="16"/>
      <c r="EN20" s="16"/>
      <c r="EU20" s="16"/>
      <c r="EV20" s="16"/>
      <c r="EW20" s="16"/>
      <c r="EX20" s="16"/>
      <c r="EY20" s="16"/>
      <c r="EZ20" s="16"/>
      <c r="FA20" s="16"/>
      <c r="FB20" s="16"/>
      <c r="FC20" s="16"/>
      <c r="FD20" s="16"/>
      <c r="FE20" s="16"/>
      <c r="FF20" s="16"/>
      <c r="FG20" s="16"/>
      <c r="FH20" s="16"/>
      <c r="FI20" s="16"/>
      <c r="FJ20" s="16"/>
    </row>
    <row r="21" spans="1:166" x14ac:dyDescent="0.2">
      <c r="A21" s="498" t="s">
        <v>284</v>
      </c>
      <c r="B21" s="215"/>
      <c r="C21" s="65"/>
      <c r="D21" s="216"/>
      <c r="E21" s="65"/>
      <c r="F21" s="65"/>
      <c r="G21" s="215"/>
      <c r="H21" s="65"/>
      <c r="I21" s="216"/>
      <c r="J21" s="65"/>
      <c r="K21" s="65"/>
      <c r="L21" s="215"/>
      <c r="M21" s="65"/>
      <c r="N21" s="65"/>
      <c r="O21" s="65"/>
      <c r="P21" s="65"/>
      <c r="Q21" s="254" t="s">
        <v>361</v>
      </c>
      <c r="R21" s="266"/>
      <c r="S21" s="312"/>
      <c r="T21" s="312"/>
      <c r="U21" s="359"/>
      <c r="V21" s="254">
        <v>4</v>
      </c>
      <c r="W21" s="248"/>
      <c r="X21" s="65"/>
      <c r="Y21" s="65"/>
      <c r="Z21" s="257">
        <f t="shared" si="0"/>
        <v>0</v>
      </c>
      <c r="AA21" s="215">
        <v>0</v>
      </c>
      <c r="AB21" s="248"/>
      <c r="AC21" s="65">
        <v>0</v>
      </c>
      <c r="AD21" s="65">
        <v>0</v>
      </c>
      <c r="AE21" s="257">
        <f t="shared" si="3"/>
        <v>0</v>
      </c>
      <c r="AF21" s="215">
        <v>0</v>
      </c>
      <c r="AG21" s="248">
        <v>0</v>
      </c>
      <c r="AH21" s="65">
        <v>0</v>
      </c>
      <c r="AI21" s="65">
        <v>0</v>
      </c>
      <c r="AJ21" s="65">
        <f t="shared" si="1"/>
        <v>0</v>
      </c>
      <c r="AK21" s="215">
        <v>0</v>
      </c>
      <c r="AL21" s="65">
        <v>0</v>
      </c>
      <c r="AM21" s="65">
        <v>0</v>
      </c>
      <c r="AN21" s="65">
        <v>0</v>
      </c>
      <c r="AO21" s="65">
        <f t="shared" si="2"/>
        <v>0.5</v>
      </c>
      <c r="AP21" s="641">
        <v>0.5</v>
      </c>
      <c r="AQ21" s="65">
        <v>0</v>
      </c>
      <c r="AR21" s="65">
        <f>1.2-AQ21</f>
        <v>1.2</v>
      </c>
      <c r="AS21" s="65">
        <f>1.4-AR21-AQ21</f>
        <v>0.19999999999999996</v>
      </c>
      <c r="AT21" s="65">
        <f>2.9-AS21-AR21-AQ21</f>
        <v>1.5000000000000002</v>
      </c>
      <c r="AU21" s="215">
        <f t="shared" si="4"/>
        <v>2.9000000000000004</v>
      </c>
      <c r="AV21" s="1801"/>
      <c r="AW21" s="65">
        <f t="shared" si="40"/>
        <v>0.19999999999999996</v>
      </c>
      <c r="AX21" s="65">
        <f t="shared" si="41"/>
        <v>1.5000000000000002</v>
      </c>
      <c r="AY21" s="65">
        <v>-0.1</v>
      </c>
      <c r="AZ21" s="65">
        <v>0.8</v>
      </c>
      <c r="BA21" s="215">
        <f t="shared" si="5"/>
        <v>2.4000000000000004</v>
      </c>
      <c r="BB21" s="65">
        <v>0</v>
      </c>
      <c r="BC21" s="65">
        <f>0-BB21</f>
        <v>0</v>
      </c>
      <c r="BD21" s="65">
        <f>0-SUM(BB21:BC21)</f>
        <v>0</v>
      </c>
      <c r="BE21" s="65">
        <f>2.3-SUM(BB21:BD21)</f>
        <v>2.2999999999999998</v>
      </c>
      <c r="BF21" s="641">
        <f t="shared" si="47"/>
        <v>2.2999999999999998</v>
      </c>
      <c r="BG21" s="65">
        <v>0</v>
      </c>
      <c r="BH21" s="65">
        <f>0-BG21</f>
        <v>0</v>
      </c>
      <c r="BI21" s="65">
        <f>0-SUM(BG21:BH21)</f>
        <v>0</v>
      </c>
      <c r="BJ21" s="257">
        <f t="shared" ref="BJ21:BJ36" si="59">BK21-SUM(BG21:BI21)</f>
        <v>0</v>
      </c>
      <c r="BK21" s="641">
        <v>0</v>
      </c>
      <c r="BL21" s="65">
        <v>0</v>
      </c>
      <c r="BM21" s="65">
        <v>0</v>
      </c>
      <c r="BN21" s="65">
        <v>0</v>
      </c>
      <c r="BO21" s="65">
        <f t="shared" si="8"/>
        <v>0</v>
      </c>
      <c r="BP21" s="215">
        <v>0</v>
      </c>
      <c r="BQ21" s="65">
        <v>0</v>
      </c>
      <c r="BR21" s="65">
        <v>0</v>
      </c>
      <c r="BS21" s="65">
        <v>0</v>
      </c>
      <c r="BT21" s="65">
        <f t="shared" si="30"/>
        <v>0</v>
      </c>
      <c r="BU21" s="641">
        <v>0</v>
      </c>
      <c r="BV21" s="65">
        <v>0</v>
      </c>
      <c r="BW21" s="1385">
        <v>0</v>
      </c>
      <c r="BX21" s="65">
        <v>0</v>
      </c>
      <c r="BY21" s="65">
        <f t="shared" si="31"/>
        <v>0</v>
      </c>
      <c r="BZ21" s="641">
        <v>0</v>
      </c>
      <c r="CA21" s="1201">
        <v>0</v>
      </c>
      <c r="CB21" s="65">
        <v>0</v>
      </c>
      <c r="CC21" s="65">
        <v>0</v>
      </c>
      <c r="CD21" s="65">
        <v>0</v>
      </c>
      <c r="CE21" s="641">
        <f t="shared" si="58"/>
        <v>0</v>
      </c>
      <c r="CF21" s="65">
        <v>0</v>
      </c>
      <c r="CG21" s="65">
        <v>0</v>
      </c>
      <c r="CH21" s="65">
        <v>0</v>
      </c>
      <c r="CI21" s="257">
        <f t="shared" si="9"/>
        <v>0</v>
      </c>
      <c r="CJ21" s="641">
        <v>0</v>
      </c>
      <c r="CK21" s="65">
        <v>0</v>
      </c>
      <c r="CL21" s="217">
        <v>0</v>
      </c>
      <c r="CM21" s="217">
        <v>0</v>
      </c>
      <c r="CN21" s="217">
        <v>0</v>
      </c>
      <c r="CO21" s="538">
        <f t="shared" si="48"/>
        <v>0</v>
      </c>
      <c r="CP21" s="217">
        <v>0</v>
      </c>
      <c r="CQ21" s="217">
        <v>0</v>
      </c>
      <c r="CR21" s="217">
        <v>0</v>
      </c>
      <c r="CS21" s="217">
        <v>0</v>
      </c>
      <c r="CT21" s="538">
        <f t="shared" si="49"/>
        <v>0</v>
      </c>
      <c r="CU21" s="217">
        <v>0</v>
      </c>
      <c r="CV21" s="217">
        <v>0</v>
      </c>
      <c r="CW21" s="217">
        <v>0</v>
      </c>
      <c r="CX21" s="217">
        <v>0</v>
      </c>
      <c r="CY21" s="538">
        <f t="shared" si="50"/>
        <v>0</v>
      </c>
      <c r="CZ21" s="217">
        <v>0</v>
      </c>
      <c r="DA21" s="217">
        <v>0</v>
      </c>
      <c r="DB21" s="217">
        <v>0</v>
      </c>
      <c r="DC21" s="217">
        <v>0</v>
      </c>
      <c r="DD21" s="538">
        <f t="shared" si="51"/>
        <v>0</v>
      </c>
      <c r="DE21" s="217">
        <v>0</v>
      </c>
      <c r="DF21" s="217">
        <v>0</v>
      </c>
      <c r="DG21" s="217">
        <v>0</v>
      </c>
      <c r="DH21" s="217">
        <v>0</v>
      </c>
      <c r="DI21" s="538">
        <f t="shared" si="52"/>
        <v>0</v>
      </c>
      <c r="DJ21" s="217">
        <v>0</v>
      </c>
      <c r="DK21" s="217">
        <v>0</v>
      </c>
      <c r="DL21" s="217">
        <v>0</v>
      </c>
      <c r="DM21" s="217">
        <v>0</v>
      </c>
      <c r="DN21" s="538">
        <f t="shared" si="53"/>
        <v>0</v>
      </c>
      <c r="DO21" s="217">
        <v>0</v>
      </c>
      <c r="DP21" s="217">
        <v>0</v>
      </c>
      <c r="DQ21" s="217">
        <v>0</v>
      </c>
      <c r="DR21" s="217">
        <v>0</v>
      </c>
      <c r="DS21" s="538">
        <f t="shared" si="54"/>
        <v>0</v>
      </c>
      <c r="DT21" s="217">
        <v>0</v>
      </c>
      <c r="DU21" s="217">
        <v>0</v>
      </c>
      <c r="DV21" s="217">
        <v>0</v>
      </c>
      <c r="DW21" s="217">
        <v>0</v>
      </c>
      <c r="DX21" s="538">
        <f t="shared" si="55"/>
        <v>0</v>
      </c>
      <c r="DY21" s="1573"/>
      <c r="DZ21" s="1201"/>
      <c r="EA21" s="65" t="s">
        <v>188</v>
      </c>
      <c r="EB21" s="266">
        <f t="shared" si="56"/>
        <v>0</v>
      </c>
      <c r="EC21" s="312">
        <f t="shared" si="57"/>
        <v>0</v>
      </c>
      <c r="ED21" s="312">
        <f t="shared" si="42"/>
        <v>0</v>
      </c>
      <c r="EE21" s="312">
        <f t="shared" si="43"/>
        <v>1.7</v>
      </c>
      <c r="EF21" s="312">
        <f t="shared" si="44"/>
        <v>2.4000000000000004</v>
      </c>
      <c r="EG21" s="312">
        <f t="shared" si="45"/>
        <v>2.2999999999999998</v>
      </c>
      <c r="EH21" s="312">
        <f t="shared" si="46"/>
        <v>0</v>
      </c>
      <c r="EI21" s="312">
        <f t="shared" si="26"/>
        <v>0</v>
      </c>
      <c r="EJ21" s="312">
        <f t="shared" si="27"/>
        <v>0</v>
      </c>
      <c r="EK21" s="312">
        <f t="shared" si="28"/>
        <v>0</v>
      </c>
      <c r="EL21" s="359">
        <f t="shared" si="29"/>
        <v>0</v>
      </c>
      <c r="EM21" s="16"/>
      <c r="EN21" s="16"/>
      <c r="EU21" s="16"/>
      <c r="EV21" s="16"/>
      <c r="EW21" s="16"/>
      <c r="EX21" s="16"/>
      <c r="EY21" s="16"/>
      <c r="EZ21" s="16"/>
      <c r="FA21" s="16"/>
      <c r="FB21" s="16"/>
      <c r="FC21" s="16"/>
      <c r="FD21" s="16"/>
      <c r="FE21" s="16"/>
      <c r="FF21" s="16"/>
      <c r="FG21" s="16"/>
      <c r="FH21" s="16"/>
      <c r="FI21" s="16"/>
      <c r="FJ21" s="16"/>
    </row>
    <row r="22" spans="1:166" x14ac:dyDescent="0.2">
      <c r="A22" s="498" t="s">
        <v>792</v>
      </c>
      <c r="B22" s="215"/>
      <c r="C22" s="65"/>
      <c r="D22" s="216"/>
      <c r="E22" s="65"/>
      <c r="F22" s="65"/>
      <c r="G22" s="215"/>
      <c r="H22" s="65"/>
      <c r="I22" s="216"/>
      <c r="J22" s="65"/>
      <c r="K22" s="65"/>
      <c r="L22" s="215"/>
      <c r="M22" s="65"/>
      <c r="N22" s="65"/>
      <c r="O22" s="65"/>
      <c r="P22" s="65"/>
      <c r="Q22" s="254" t="s">
        <v>361</v>
      </c>
      <c r="R22" s="266"/>
      <c r="S22" s="312"/>
      <c r="T22" s="312"/>
      <c r="U22" s="359"/>
      <c r="V22" s="254" t="s">
        <v>361</v>
      </c>
      <c r="W22" s="248"/>
      <c r="X22" s="65">
        <f>-6-W22</f>
        <v>-6</v>
      </c>
      <c r="Y22" s="65">
        <f>-6-X22-W22</f>
        <v>0</v>
      </c>
      <c r="Z22" s="257">
        <f t="shared" si="0"/>
        <v>0</v>
      </c>
      <c r="AA22" s="215">
        <v>-6</v>
      </c>
      <c r="AB22" s="248"/>
      <c r="AC22" s="65">
        <f>0</f>
        <v>0</v>
      </c>
      <c r="AD22" s="65">
        <v>0</v>
      </c>
      <c r="AE22" s="257">
        <f t="shared" si="3"/>
        <v>0</v>
      </c>
      <c r="AF22" s="215">
        <v>0</v>
      </c>
      <c r="AG22" s="248">
        <v>0</v>
      </c>
      <c r="AH22" s="65">
        <v>0</v>
      </c>
      <c r="AI22" s="65">
        <v>0</v>
      </c>
      <c r="AJ22" s="65">
        <f t="shared" si="1"/>
        <v>0</v>
      </c>
      <c r="AK22" s="215">
        <v>0</v>
      </c>
      <c r="AL22" s="65">
        <v>0</v>
      </c>
      <c r="AM22" s="65">
        <v>0</v>
      </c>
      <c r="AN22" s="65">
        <v>0</v>
      </c>
      <c r="AO22" s="65">
        <f t="shared" si="2"/>
        <v>0</v>
      </c>
      <c r="AP22" s="641">
        <v>0</v>
      </c>
      <c r="AQ22" s="65">
        <v>0</v>
      </c>
      <c r="AR22" s="65">
        <v>0</v>
      </c>
      <c r="AS22" s="65">
        <v>0</v>
      </c>
      <c r="AT22" s="65">
        <f>0-AS22-AR22-AQ22</f>
        <v>0</v>
      </c>
      <c r="AU22" s="215">
        <f t="shared" si="4"/>
        <v>0</v>
      </c>
      <c r="AV22" s="1801"/>
      <c r="AW22" s="65">
        <f t="shared" si="40"/>
        <v>0</v>
      </c>
      <c r="AX22" s="65">
        <f t="shared" si="41"/>
        <v>0</v>
      </c>
      <c r="AY22" s="65">
        <v>0</v>
      </c>
      <c r="AZ22" s="65">
        <v>0</v>
      </c>
      <c r="BA22" s="215">
        <f t="shared" si="5"/>
        <v>0</v>
      </c>
      <c r="BB22" s="65">
        <v>0</v>
      </c>
      <c r="BC22" s="65">
        <f>0-BB22</f>
        <v>0</v>
      </c>
      <c r="BD22" s="65">
        <f>0-SUM(BB22:BC22)</f>
        <v>0</v>
      </c>
      <c r="BE22" s="65">
        <f>0-SUM(BB22:BD22)</f>
        <v>0</v>
      </c>
      <c r="BF22" s="641">
        <f t="shared" si="47"/>
        <v>0</v>
      </c>
      <c r="BG22" s="65">
        <v>0</v>
      </c>
      <c r="BH22" s="65">
        <f>0-BG22</f>
        <v>0</v>
      </c>
      <c r="BI22" s="65">
        <f>0-SUM(BG22:BH22)</f>
        <v>0</v>
      </c>
      <c r="BJ22" s="257">
        <f t="shared" si="59"/>
        <v>0</v>
      </c>
      <c r="BK22" s="641">
        <v>0</v>
      </c>
      <c r="BL22" s="65">
        <v>0</v>
      </c>
      <c r="BM22" s="65">
        <v>0</v>
      </c>
      <c r="BN22" s="65">
        <v>0</v>
      </c>
      <c r="BO22" s="65">
        <f t="shared" si="8"/>
        <v>0</v>
      </c>
      <c r="BP22" s="215">
        <v>0</v>
      </c>
      <c r="BQ22" s="65">
        <v>0</v>
      </c>
      <c r="BR22" s="65">
        <v>0</v>
      </c>
      <c r="BS22" s="65">
        <v>0</v>
      </c>
      <c r="BT22" s="65">
        <f t="shared" si="30"/>
        <v>0</v>
      </c>
      <c r="BU22" s="641">
        <v>0</v>
      </c>
      <c r="BV22" s="65">
        <v>0</v>
      </c>
      <c r="BW22" s="1385">
        <f>-0.1-BV22</f>
        <v>-0.1</v>
      </c>
      <c r="BX22" s="65">
        <f>0-BW22-BV22</f>
        <v>0.1</v>
      </c>
      <c r="BY22" s="65">
        <f t="shared" si="31"/>
        <v>0</v>
      </c>
      <c r="BZ22" s="641">
        <v>0</v>
      </c>
      <c r="CA22" s="1201">
        <v>0</v>
      </c>
      <c r="CB22" s="65">
        <f>-1.2-CA22</f>
        <v>-1.2</v>
      </c>
      <c r="CC22" s="65">
        <f>-1.9-CB22-CA22</f>
        <v>-0.7</v>
      </c>
      <c r="CD22" s="257">
        <f>CE22-CC22-CA22-CB22</f>
        <v>1.9</v>
      </c>
      <c r="CE22" s="641">
        <v>0</v>
      </c>
      <c r="CF22" s="65">
        <v>0</v>
      </c>
      <c r="CG22" s="65">
        <v>0</v>
      </c>
      <c r="CH22" s="65">
        <v>0</v>
      </c>
      <c r="CI22" s="257">
        <f t="shared" si="9"/>
        <v>0</v>
      </c>
      <c r="CJ22" s="641">
        <v>0</v>
      </c>
      <c r="CK22" s="65">
        <v>0</v>
      </c>
      <c r="CL22" s="217">
        <v>0</v>
      </c>
      <c r="CM22" s="217">
        <v>0</v>
      </c>
      <c r="CN22" s="217">
        <v>0</v>
      </c>
      <c r="CO22" s="538">
        <f t="shared" si="48"/>
        <v>0</v>
      </c>
      <c r="CP22" s="217">
        <v>0</v>
      </c>
      <c r="CQ22" s="217">
        <v>0</v>
      </c>
      <c r="CR22" s="217">
        <v>0</v>
      </c>
      <c r="CS22" s="217">
        <v>0</v>
      </c>
      <c r="CT22" s="538">
        <f t="shared" si="49"/>
        <v>0</v>
      </c>
      <c r="CU22" s="217">
        <v>0</v>
      </c>
      <c r="CV22" s="217">
        <v>0</v>
      </c>
      <c r="CW22" s="217">
        <v>0</v>
      </c>
      <c r="CX22" s="217">
        <v>0</v>
      </c>
      <c r="CY22" s="538">
        <f t="shared" si="50"/>
        <v>0</v>
      </c>
      <c r="CZ22" s="217">
        <v>0</v>
      </c>
      <c r="DA22" s="217">
        <v>0</v>
      </c>
      <c r="DB22" s="217">
        <v>0</v>
      </c>
      <c r="DC22" s="217">
        <v>0</v>
      </c>
      <c r="DD22" s="538">
        <f t="shared" si="51"/>
        <v>0</v>
      </c>
      <c r="DE22" s="217">
        <v>0</v>
      </c>
      <c r="DF22" s="217">
        <v>0</v>
      </c>
      <c r="DG22" s="217">
        <v>0</v>
      </c>
      <c r="DH22" s="217">
        <v>0</v>
      </c>
      <c r="DI22" s="538">
        <f t="shared" si="52"/>
        <v>0</v>
      </c>
      <c r="DJ22" s="217">
        <v>0</v>
      </c>
      <c r="DK22" s="217">
        <v>0</v>
      </c>
      <c r="DL22" s="217">
        <v>0</v>
      </c>
      <c r="DM22" s="217">
        <v>0</v>
      </c>
      <c r="DN22" s="538">
        <f t="shared" si="53"/>
        <v>0</v>
      </c>
      <c r="DO22" s="217">
        <v>0</v>
      </c>
      <c r="DP22" s="217">
        <v>0</v>
      </c>
      <c r="DQ22" s="217">
        <v>0</v>
      </c>
      <c r="DR22" s="217">
        <v>0</v>
      </c>
      <c r="DS22" s="538">
        <f t="shared" si="54"/>
        <v>0</v>
      </c>
      <c r="DT22" s="217">
        <v>0</v>
      </c>
      <c r="DU22" s="217">
        <v>0</v>
      </c>
      <c r="DV22" s="217">
        <v>0</v>
      </c>
      <c r="DW22" s="217">
        <v>0</v>
      </c>
      <c r="DX22" s="538">
        <f t="shared" si="55"/>
        <v>0</v>
      </c>
      <c r="DY22" s="1573"/>
      <c r="DZ22" s="1201"/>
      <c r="EA22" s="65"/>
      <c r="EB22" s="266">
        <f t="shared" si="56"/>
        <v>0</v>
      </c>
      <c r="EC22" s="312">
        <f t="shared" si="57"/>
        <v>0</v>
      </c>
      <c r="ED22" s="312">
        <f t="shared" si="42"/>
        <v>0</v>
      </c>
      <c r="EE22" s="312">
        <f t="shared" si="43"/>
        <v>0</v>
      </c>
      <c r="EF22" s="312">
        <f t="shared" si="44"/>
        <v>0</v>
      </c>
      <c r="EG22" s="312">
        <f t="shared" si="45"/>
        <v>0</v>
      </c>
      <c r="EH22" s="312">
        <f t="shared" si="46"/>
        <v>0</v>
      </c>
      <c r="EI22" s="312">
        <f t="shared" si="26"/>
        <v>0</v>
      </c>
      <c r="EJ22" s="312">
        <f t="shared" si="27"/>
        <v>0</v>
      </c>
      <c r="EK22" s="312">
        <f t="shared" si="28"/>
        <v>0</v>
      </c>
      <c r="EL22" s="359">
        <f t="shared" si="29"/>
        <v>0</v>
      </c>
      <c r="EM22" s="16"/>
      <c r="EN22" s="16"/>
      <c r="EU22" s="16"/>
      <c r="EV22" s="16"/>
      <c r="EW22" s="16"/>
      <c r="EX22" s="16"/>
      <c r="EY22" s="16"/>
      <c r="EZ22" s="16"/>
      <c r="FA22" s="16"/>
      <c r="FB22" s="16"/>
      <c r="FC22" s="16"/>
      <c r="FD22" s="16"/>
      <c r="FE22" s="16"/>
      <c r="FF22" s="16"/>
      <c r="FG22" s="16"/>
      <c r="FH22" s="16"/>
      <c r="FI22" s="16"/>
      <c r="FJ22" s="16"/>
    </row>
    <row r="23" spans="1:166" x14ac:dyDescent="0.2">
      <c r="A23" s="498" t="s">
        <v>362</v>
      </c>
      <c r="B23" s="215"/>
      <c r="C23" s="65"/>
      <c r="D23" s="216"/>
      <c r="E23" s="65"/>
      <c r="F23" s="65"/>
      <c r="G23" s="215"/>
      <c r="H23" s="65"/>
      <c r="I23" s="216"/>
      <c r="J23" s="65"/>
      <c r="K23" s="65"/>
      <c r="L23" s="215"/>
      <c r="M23" s="65"/>
      <c r="N23" s="65"/>
      <c r="O23" s="65"/>
      <c r="P23" s="65"/>
      <c r="Q23" s="254"/>
      <c r="R23" s="266"/>
      <c r="S23" s="312"/>
      <c r="T23" s="312"/>
      <c r="U23" s="359"/>
      <c r="V23" s="254"/>
      <c r="W23" s="248">
        <v>0</v>
      </c>
      <c r="X23" s="65"/>
      <c r="Y23" s="65">
        <v>0</v>
      </c>
      <c r="Z23" s="257">
        <f t="shared" si="0"/>
        <v>0</v>
      </c>
      <c r="AA23" s="215">
        <v>0</v>
      </c>
      <c r="AB23" s="248">
        <v>1</v>
      </c>
      <c r="AC23" s="65">
        <f>2-AB23</f>
        <v>1</v>
      </c>
      <c r="AD23" s="65">
        <f>4-AC23-AB23</f>
        <v>2</v>
      </c>
      <c r="AE23" s="257">
        <f t="shared" si="3"/>
        <v>1</v>
      </c>
      <c r="AF23" s="215">
        <v>5</v>
      </c>
      <c r="AG23" s="248">
        <v>2</v>
      </c>
      <c r="AH23" s="65">
        <f>5-AG23</f>
        <v>3</v>
      </c>
      <c r="AI23" s="65">
        <f>8-AH23-AG23</f>
        <v>3</v>
      </c>
      <c r="AJ23" s="257">
        <f t="shared" si="1"/>
        <v>3</v>
      </c>
      <c r="AK23" s="215">
        <v>11</v>
      </c>
      <c r="AL23" s="248">
        <v>3</v>
      </c>
      <c r="AM23" s="65">
        <f>8-AL23</f>
        <v>5</v>
      </c>
      <c r="AN23" s="65">
        <f>11-AM23-AL23</f>
        <v>3</v>
      </c>
      <c r="AO23" s="257">
        <f>AP23-AN23-AM23-AL23</f>
        <v>5.1999999999999993</v>
      </c>
      <c r="AP23" s="641">
        <v>16.2</v>
      </c>
      <c r="AQ23" s="65">
        <v>4.5999999999999996</v>
      </c>
      <c r="AR23" s="65">
        <f>8.7-AQ23</f>
        <v>4.0999999999999996</v>
      </c>
      <c r="AS23" s="65">
        <f>13-AR23-AQ23</f>
        <v>4.3000000000000007</v>
      </c>
      <c r="AT23" s="65">
        <f>17-AS23-AR23-AQ23</f>
        <v>4</v>
      </c>
      <c r="AU23" s="215">
        <f t="shared" si="4"/>
        <v>17</v>
      </c>
      <c r="AV23" s="1801"/>
      <c r="AW23" s="65">
        <f t="shared" si="40"/>
        <v>4.3000000000000007</v>
      </c>
      <c r="AX23" s="65">
        <f t="shared" si="41"/>
        <v>4</v>
      </c>
      <c r="AY23" s="65">
        <v>5</v>
      </c>
      <c r="AZ23" s="65">
        <v>0.8</v>
      </c>
      <c r="BA23" s="215">
        <f t="shared" si="5"/>
        <v>14.100000000000001</v>
      </c>
      <c r="BB23" s="248">
        <v>0.2</v>
      </c>
      <c r="BC23" s="65">
        <f>0.6-BB23</f>
        <v>0.39999999999999997</v>
      </c>
      <c r="BD23" s="65">
        <f>0.9-SUM(BB23:BC23)</f>
        <v>0.30000000000000004</v>
      </c>
      <c r="BE23" s="257">
        <f>6.4-SUM(BB23:BD23)</f>
        <v>5.5</v>
      </c>
      <c r="BF23" s="641">
        <f t="shared" si="47"/>
        <v>6.4</v>
      </c>
      <c r="BG23" s="248">
        <v>7.3</v>
      </c>
      <c r="BH23" s="65">
        <f>7.6-BG23</f>
        <v>0.29999999999999982</v>
      </c>
      <c r="BI23" s="65">
        <f>9.3-SUM(BG23:BH23)</f>
        <v>1.7000000000000011</v>
      </c>
      <c r="BJ23" s="257">
        <f t="shared" si="59"/>
        <v>2.8999999999999986</v>
      </c>
      <c r="BK23" s="641">
        <v>12.2</v>
      </c>
      <c r="BL23" s="248">
        <v>2</v>
      </c>
      <c r="BM23" s="65">
        <f>4.8-BL23</f>
        <v>2.8</v>
      </c>
      <c r="BN23" s="65">
        <f>7.1-SUM(BL23:BM23)</f>
        <v>2.2999999999999998</v>
      </c>
      <c r="BO23" s="257">
        <f t="shared" si="8"/>
        <v>7.7000000000000011</v>
      </c>
      <c r="BP23" s="215">
        <v>14.8</v>
      </c>
      <c r="BQ23" s="65">
        <v>2.8</v>
      </c>
      <c r="BR23" s="65">
        <f>6-BQ23</f>
        <v>3.2</v>
      </c>
      <c r="BS23" s="65">
        <f>9.5-BR23-BQ23</f>
        <v>3.5</v>
      </c>
      <c r="BT23" s="257">
        <f t="shared" si="30"/>
        <v>33.6</v>
      </c>
      <c r="BU23" s="641">
        <v>43.1</v>
      </c>
      <c r="BV23" s="65">
        <v>15.5</v>
      </c>
      <c r="BW23" s="1385">
        <f>22.5-BV23</f>
        <v>7</v>
      </c>
      <c r="BX23" s="65">
        <f>36.9-BW23-BV23</f>
        <v>14.399999999999999</v>
      </c>
      <c r="BY23" s="257">
        <f t="shared" si="31"/>
        <v>13.899999999999999</v>
      </c>
      <c r="BZ23" s="641">
        <v>50.8</v>
      </c>
      <c r="CA23" s="1201">
        <v>6.4</v>
      </c>
      <c r="CB23" s="65">
        <f>16.1-CA23</f>
        <v>9.7000000000000011</v>
      </c>
      <c r="CC23" s="65">
        <f>25.9-CB23-CA23</f>
        <v>9.7999999999999954</v>
      </c>
      <c r="CD23" s="257">
        <f>CE23-CC23-CA23-CB23</f>
        <v>9.2000000000000046</v>
      </c>
      <c r="CE23" s="641">
        <v>35.1</v>
      </c>
      <c r="CF23" s="65">
        <v>16.5</v>
      </c>
      <c r="CG23" s="65">
        <f>27.2-CF23</f>
        <v>10.7</v>
      </c>
      <c r="CH23" s="65">
        <f>38-SUM(CF23:CG23)</f>
        <v>10.8</v>
      </c>
      <c r="CI23" s="257">
        <f t="shared" si="9"/>
        <v>10.3</v>
      </c>
      <c r="CJ23" s="641">
        <v>48.3</v>
      </c>
      <c r="CK23" s="65">
        <v>13.3</v>
      </c>
      <c r="CL23" s="217">
        <f>IS!CQ341</f>
        <v>13.090000000000002</v>
      </c>
      <c r="CM23" s="217">
        <f>IS!CR341</f>
        <v>13.750000000000002</v>
      </c>
      <c r="CN23" s="217">
        <f>IS!CS341</f>
        <v>13.200000000000001</v>
      </c>
      <c r="CO23" s="538">
        <f t="shared" ref="CO23" si="60">SUM(CK23:CN23)</f>
        <v>53.34</v>
      </c>
      <c r="CP23" s="217">
        <f>IS!CU341</f>
        <v>15.3</v>
      </c>
      <c r="CQ23" s="217">
        <f>IS!CV341</f>
        <v>13.090000000000002</v>
      </c>
      <c r="CR23" s="217">
        <f>IS!CW341</f>
        <v>13.750000000000002</v>
      </c>
      <c r="CS23" s="217">
        <f>IS!CX341</f>
        <v>13.200000000000001</v>
      </c>
      <c r="CT23" s="538">
        <f t="shared" ref="CT23" si="61">SUM(CP23:CS23)</f>
        <v>55.34</v>
      </c>
      <c r="CU23" s="217">
        <f>IS!CZ341</f>
        <v>15.3</v>
      </c>
      <c r="CV23" s="217">
        <f>IS!DA341</f>
        <v>13.090000000000002</v>
      </c>
      <c r="CW23" s="217">
        <f>IS!DB341</f>
        <v>13.750000000000002</v>
      </c>
      <c r="CX23" s="217">
        <f>IS!DC341</f>
        <v>13.200000000000001</v>
      </c>
      <c r="CY23" s="538">
        <f t="shared" ref="CY23" si="62">SUM(CU23:CX23)</f>
        <v>55.34</v>
      </c>
      <c r="CZ23" s="217">
        <f>IS!DE341</f>
        <v>15.3</v>
      </c>
      <c r="DA23" s="217">
        <f>IS!DF341</f>
        <v>13.090000000000002</v>
      </c>
      <c r="DB23" s="217">
        <f>IS!DG341</f>
        <v>13.750000000000002</v>
      </c>
      <c r="DC23" s="217">
        <f>IS!DH341</f>
        <v>13.200000000000001</v>
      </c>
      <c r="DD23" s="538">
        <f t="shared" ref="DD23" si="63">SUM(CZ23:DC23)</f>
        <v>55.34</v>
      </c>
      <c r="DE23" s="217">
        <f>IS!DJ341</f>
        <v>15.3</v>
      </c>
      <c r="DF23" s="217">
        <f>IS!DK341</f>
        <v>13.090000000000002</v>
      </c>
      <c r="DG23" s="217">
        <f>IS!DL341</f>
        <v>13.750000000000002</v>
      </c>
      <c r="DH23" s="217">
        <f>IS!DM341</f>
        <v>13.200000000000001</v>
      </c>
      <c r="DI23" s="538">
        <f t="shared" ref="DI23" si="64">SUM(DE23:DH23)</f>
        <v>55.34</v>
      </c>
      <c r="DJ23" s="217">
        <f>IS!DO341</f>
        <v>15.3</v>
      </c>
      <c r="DK23" s="217">
        <f>IS!DP341</f>
        <v>13.090000000000002</v>
      </c>
      <c r="DL23" s="217">
        <f>IS!DQ341</f>
        <v>13.750000000000002</v>
      </c>
      <c r="DM23" s="217">
        <f>IS!DR341</f>
        <v>13.200000000000001</v>
      </c>
      <c r="DN23" s="538">
        <f t="shared" ref="DN23" si="65">SUM(DJ23:DM23)</f>
        <v>55.34</v>
      </c>
      <c r="DO23" s="217">
        <f>DJ23*(1+IS!DT365)</f>
        <v>15.518169152990797</v>
      </c>
      <c r="DP23" s="217">
        <f>DK23*(1+IS!DU365)</f>
        <v>13.064967639099512</v>
      </c>
      <c r="DQ23" s="217">
        <f>DL23*(1+IS!DV365)</f>
        <v>13.66992857767177</v>
      </c>
      <c r="DR23" s="217">
        <f>DM23*(1+IS!DW365)</f>
        <v>13.081655098494707</v>
      </c>
      <c r="DS23" s="538">
        <f t="shared" ref="DS23" si="66">SUM(DO23:DR23)</f>
        <v>55.334720468256783</v>
      </c>
      <c r="DT23" s="217">
        <f>DO23*(1+IS!DY365)</f>
        <v>15.320470697157845</v>
      </c>
      <c r="DU23" s="217">
        <f>DP23*(1+IS!DZ365)</f>
        <v>12.953613025161824</v>
      </c>
      <c r="DV23" s="217">
        <f>DQ23*(1+IS!EA365)</f>
        <v>13.490804383525266</v>
      </c>
      <c r="DW23" s="217">
        <f>DR23*(1+IS!EB365)</f>
        <v>12.862407797920051</v>
      </c>
      <c r="DX23" s="538">
        <f t="shared" ref="DX23" si="67">SUM(DT23:DW23)</f>
        <v>54.627295903764981</v>
      </c>
      <c r="DY23" s="1573"/>
      <c r="DZ23" s="1201"/>
      <c r="EA23" s="65" t="s">
        <v>191</v>
      </c>
      <c r="EB23" s="266">
        <f t="shared" si="56"/>
        <v>2</v>
      </c>
      <c r="EC23" s="312">
        <f t="shared" si="57"/>
        <v>8</v>
      </c>
      <c r="ED23" s="312">
        <f t="shared" si="42"/>
        <v>14</v>
      </c>
      <c r="EE23" s="312">
        <f t="shared" si="43"/>
        <v>16.899999999999999</v>
      </c>
      <c r="EF23" s="312">
        <f t="shared" si="44"/>
        <v>14.100000000000001</v>
      </c>
      <c r="EG23" s="312">
        <f t="shared" si="45"/>
        <v>6.4</v>
      </c>
      <c r="EH23" s="312">
        <f t="shared" si="46"/>
        <v>12.2</v>
      </c>
      <c r="EI23" s="312">
        <f t="shared" si="26"/>
        <v>14.8</v>
      </c>
      <c r="EJ23" s="312">
        <f t="shared" si="27"/>
        <v>43.1</v>
      </c>
      <c r="EK23" s="312">
        <f t="shared" si="28"/>
        <v>50.8</v>
      </c>
      <c r="EL23" s="359">
        <f t="shared" si="29"/>
        <v>35.1</v>
      </c>
      <c r="EM23" s="16"/>
      <c r="EN23" s="16"/>
      <c r="EU23" s="16"/>
      <c r="EV23" s="16"/>
      <c r="EW23" s="16"/>
      <c r="EX23" s="16"/>
      <c r="EY23" s="16"/>
      <c r="EZ23" s="16"/>
      <c r="FA23" s="16"/>
      <c r="FB23" s="16"/>
      <c r="FC23" s="16"/>
      <c r="FD23" s="16"/>
      <c r="FE23" s="16"/>
      <c r="FF23" s="16"/>
      <c r="FG23" s="16"/>
      <c r="FH23" s="16"/>
      <c r="FI23" s="16"/>
      <c r="FJ23" s="16"/>
    </row>
    <row r="24" spans="1:166" x14ac:dyDescent="0.2">
      <c r="A24" s="498" t="s">
        <v>334</v>
      </c>
      <c r="B24" s="215"/>
      <c r="C24" s="65"/>
      <c r="D24" s="216"/>
      <c r="E24" s="65"/>
      <c r="F24" s="65"/>
      <c r="G24" s="215"/>
      <c r="H24" s="65"/>
      <c r="I24" s="216"/>
      <c r="J24" s="65"/>
      <c r="K24" s="65"/>
      <c r="L24" s="215"/>
      <c r="M24" s="65"/>
      <c r="N24" s="65"/>
      <c r="O24" s="65"/>
      <c r="P24" s="65"/>
      <c r="Q24" s="254" t="s">
        <v>361</v>
      </c>
      <c r="R24" s="266"/>
      <c r="S24" s="312"/>
      <c r="T24" s="312"/>
      <c r="U24" s="359"/>
      <c r="V24" s="254" t="s">
        <v>361</v>
      </c>
      <c r="W24" s="248"/>
      <c r="X24" s="65"/>
      <c r="Y24" s="65"/>
      <c r="Z24" s="257"/>
      <c r="AA24" s="215">
        <v>1</v>
      </c>
      <c r="AB24" s="248"/>
      <c r="AC24" s="65">
        <v>0</v>
      </c>
      <c r="AD24" s="65"/>
      <c r="AE24" s="257">
        <f t="shared" si="3"/>
        <v>0</v>
      </c>
      <c r="AF24" s="215">
        <v>0</v>
      </c>
      <c r="AG24" s="65">
        <v>0</v>
      </c>
      <c r="AH24" s="65">
        <v>0</v>
      </c>
      <c r="AI24" s="65">
        <v>0</v>
      </c>
      <c r="AJ24" s="65">
        <f t="shared" si="1"/>
        <v>0</v>
      </c>
      <c r="AK24" s="215">
        <v>0</v>
      </c>
      <c r="AL24" s="65">
        <v>0</v>
      </c>
      <c r="AM24" s="65">
        <v>0</v>
      </c>
      <c r="AN24" s="65">
        <v>0</v>
      </c>
      <c r="AO24" s="65">
        <f>AP24-AN24-AM24-AL24</f>
        <v>0</v>
      </c>
      <c r="AP24" s="641">
        <v>0</v>
      </c>
      <c r="AQ24" s="65">
        <v>0</v>
      </c>
      <c r="AR24" s="65">
        <v>0</v>
      </c>
      <c r="AS24" s="65">
        <v>0</v>
      </c>
      <c r="AT24" s="65">
        <f>0-AS24-AR24-AQ24</f>
        <v>0</v>
      </c>
      <c r="AU24" s="215">
        <f t="shared" si="4"/>
        <v>0</v>
      </c>
      <c r="AV24" s="1801"/>
      <c r="AW24" s="65">
        <f t="shared" si="40"/>
        <v>0</v>
      </c>
      <c r="AX24" s="65">
        <f t="shared" si="41"/>
        <v>0</v>
      </c>
      <c r="AY24" s="65">
        <v>0</v>
      </c>
      <c r="AZ24" s="65">
        <v>0</v>
      </c>
      <c r="BA24" s="215">
        <f t="shared" si="5"/>
        <v>0</v>
      </c>
      <c r="BB24" s="65">
        <v>0</v>
      </c>
      <c r="BC24" s="65">
        <f>0-BB24</f>
        <v>0</v>
      </c>
      <c r="BD24" s="65">
        <f>0-SUM(BB24:BC24)</f>
        <v>0</v>
      </c>
      <c r="BE24" s="65">
        <f>0-SUM(BB24:BD24)</f>
        <v>0</v>
      </c>
      <c r="BF24" s="641">
        <f t="shared" si="47"/>
        <v>0</v>
      </c>
      <c r="BG24" s="65">
        <v>0</v>
      </c>
      <c r="BH24" s="65">
        <f>0-BG24</f>
        <v>0</v>
      </c>
      <c r="BI24" s="65">
        <f>0-SUM(BG24:BH24)</f>
        <v>0</v>
      </c>
      <c r="BJ24" s="257">
        <f t="shared" si="59"/>
        <v>0</v>
      </c>
      <c r="BK24" s="641">
        <v>0</v>
      </c>
      <c r="BL24" s="65">
        <v>0</v>
      </c>
      <c r="BM24" s="65">
        <v>0</v>
      </c>
      <c r="BN24" s="65">
        <v>0</v>
      </c>
      <c r="BO24" s="65">
        <f t="shared" si="8"/>
        <v>0</v>
      </c>
      <c r="BP24" s="215">
        <v>0</v>
      </c>
      <c r="BQ24" s="65">
        <v>0</v>
      </c>
      <c r="BR24" s="65">
        <v>0</v>
      </c>
      <c r="BS24" s="65">
        <v>0</v>
      </c>
      <c r="BT24" s="65">
        <f t="shared" si="30"/>
        <v>0</v>
      </c>
      <c r="BU24" s="641">
        <v>0</v>
      </c>
      <c r="BV24" s="65">
        <v>0</v>
      </c>
      <c r="BW24" s="1385">
        <v>0</v>
      </c>
      <c r="BX24" s="65">
        <v>0</v>
      </c>
      <c r="BY24" s="65">
        <f t="shared" si="31"/>
        <v>0</v>
      </c>
      <c r="BZ24" s="641">
        <v>0</v>
      </c>
      <c r="CA24" s="1201">
        <v>-0.6</v>
      </c>
      <c r="CB24" s="65">
        <f>0-CA24</f>
        <v>0.6</v>
      </c>
      <c r="CC24" s="65">
        <v>0</v>
      </c>
      <c r="CD24" s="257">
        <f>CE24-CC24-CA24-CB24</f>
        <v>0</v>
      </c>
      <c r="CE24" s="641">
        <v>0</v>
      </c>
      <c r="CF24" s="65">
        <v>0</v>
      </c>
      <c r="CG24" s="65">
        <v>0</v>
      </c>
      <c r="CH24" s="65">
        <v>0</v>
      </c>
      <c r="CI24" s="257">
        <f t="shared" si="9"/>
        <v>0</v>
      </c>
      <c r="CJ24" s="641">
        <v>0</v>
      </c>
      <c r="CK24" s="65">
        <v>0</v>
      </c>
      <c r="CL24" s="217">
        <v>0</v>
      </c>
      <c r="CM24" s="217">
        <v>0</v>
      </c>
      <c r="CN24" s="217">
        <v>0</v>
      </c>
      <c r="CO24" s="538">
        <f t="shared" si="48"/>
        <v>0</v>
      </c>
      <c r="CP24" s="217">
        <v>0</v>
      </c>
      <c r="CQ24" s="217">
        <v>0</v>
      </c>
      <c r="CR24" s="217">
        <v>0</v>
      </c>
      <c r="CS24" s="217">
        <v>0</v>
      </c>
      <c r="CT24" s="538">
        <f t="shared" si="49"/>
        <v>0</v>
      </c>
      <c r="CU24" s="217">
        <v>0</v>
      </c>
      <c r="CV24" s="217">
        <v>0</v>
      </c>
      <c r="CW24" s="217">
        <v>0</v>
      </c>
      <c r="CX24" s="217">
        <v>0</v>
      </c>
      <c r="CY24" s="538">
        <f t="shared" si="50"/>
        <v>0</v>
      </c>
      <c r="CZ24" s="217">
        <v>0</v>
      </c>
      <c r="DA24" s="217">
        <v>0</v>
      </c>
      <c r="DB24" s="217">
        <v>0</v>
      </c>
      <c r="DC24" s="217">
        <v>0</v>
      </c>
      <c r="DD24" s="538">
        <f t="shared" si="51"/>
        <v>0</v>
      </c>
      <c r="DE24" s="217">
        <v>0</v>
      </c>
      <c r="DF24" s="217">
        <v>0</v>
      </c>
      <c r="DG24" s="217">
        <v>0</v>
      </c>
      <c r="DH24" s="217">
        <v>0</v>
      </c>
      <c r="DI24" s="538">
        <f t="shared" si="52"/>
        <v>0</v>
      </c>
      <c r="DJ24" s="217">
        <v>0</v>
      </c>
      <c r="DK24" s="217">
        <v>0</v>
      </c>
      <c r="DL24" s="217">
        <v>0</v>
      </c>
      <c r="DM24" s="217">
        <v>0</v>
      </c>
      <c r="DN24" s="538">
        <f t="shared" si="53"/>
        <v>0</v>
      </c>
      <c r="DO24" s="217">
        <v>0</v>
      </c>
      <c r="DP24" s="217">
        <v>0</v>
      </c>
      <c r="DQ24" s="217">
        <v>0</v>
      </c>
      <c r="DR24" s="217">
        <v>0</v>
      </c>
      <c r="DS24" s="538">
        <f t="shared" si="54"/>
        <v>0</v>
      </c>
      <c r="DT24" s="217">
        <v>0</v>
      </c>
      <c r="DU24" s="217">
        <v>0</v>
      </c>
      <c r="DV24" s="217">
        <v>0</v>
      </c>
      <c r="DW24" s="217">
        <v>0</v>
      </c>
      <c r="DX24" s="538">
        <f t="shared" si="55"/>
        <v>0</v>
      </c>
      <c r="DY24" s="1573"/>
      <c r="DZ24" s="1201"/>
      <c r="EA24" s="65" t="s">
        <v>269</v>
      </c>
      <c r="EB24" s="266">
        <f t="shared" si="56"/>
        <v>0</v>
      </c>
      <c r="EC24" s="312">
        <f t="shared" si="57"/>
        <v>0</v>
      </c>
      <c r="ED24" s="312">
        <f t="shared" si="42"/>
        <v>0</v>
      </c>
      <c r="EE24" s="312">
        <f t="shared" si="43"/>
        <v>0</v>
      </c>
      <c r="EF24" s="312">
        <f t="shared" si="44"/>
        <v>0</v>
      </c>
      <c r="EG24" s="312">
        <f t="shared" si="45"/>
        <v>0</v>
      </c>
      <c r="EH24" s="312">
        <f t="shared" si="46"/>
        <v>0</v>
      </c>
      <c r="EI24" s="312">
        <f t="shared" si="26"/>
        <v>0</v>
      </c>
      <c r="EJ24" s="312">
        <f t="shared" si="27"/>
        <v>0</v>
      </c>
      <c r="EK24" s="312">
        <f t="shared" si="28"/>
        <v>0</v>
      </c>
      <c r="EL24" s="359">
        <f t="shared" si="29"/>
        <v>0</v>
      </c>
      <c r="EM24" s="16"/>
      <c r="EN24" s="16"/>
      <c r="EU24" s="16"/>
      <c r="EV24" s="16"/>
      <c r="EW24" s="16"/>
      <c r="EX24" s="16"/>
      <c r="EY24" s="16"/>
      <c r="EZ24" s="16"/>
      <c r="FA24" s="16"/>
      <c r="FB24" s="16"/>
      <c r="FC24" s="16"/>
      <c r="FD24" s="16"/>
      <c r="FE24" s="16"/>
      <c r="FF24" s="16"/>
      <c r="FG24" s="16"/>
      <c r="FH24" s="16"/>
      <c r="FI24" s="16"/>
      <c r="FJ24" s="16"/>
    </row>
    <row r="25" spans="1:166" x14ac:dyDescent="0.2">
      <c r="A25" s="498" t="s">
        <v>753</v>
      </c>
      <c r="B25" s="215"/>
      <c r="C25" s="65"/>
      <c r="D25" s="216"/>
      <c r="E25" s="65"/>
      <c r="F25" s="65"/>
      <c r="G25" s="215"/>
      <c r="H25" s="65"/>
      <c r="I25" s="216"/>
      <c r="J25" s="65"/>
      <c r="K25" s="65"/>
      <c r="L25" s="215"/>
      <c r="M25" s="65"/>
      <c r="N25" s="65"/>
      <c r="O25" s="65"/>
      <c r="P25" s="65"/>
      <c r="Q25" s="254"/>
      <c r="R25" s="266"/>
      <c r="S25" s="312"/>
      <c r="T25" s="312"/>
      <c r="U25" s="359"/>
      <c r="V25" s="254"/>
      <c r="W25" s="248"/>
      <c r="X25" s="65"/>
      <c r="Y25" s="65"/>
      <c r="Z25" s="257"/>
      <c r="AA25" s="215"/>
      <c r="AB25" s="248"/>
      <c r="AC25" s="65"/>
      <c r="AD25" s="65"/>
      <c r="AE25" s="257"/>
      <c r="AF25" s="215"/>
      <c r="AG25" s="65"/>
      <c r="AH25" s="65"/>
      <c r="AI25" s="65"/>
      <c r="AJ25" s="65"/>
      <c r="AK25" s="215"/>
      <c r="AL25" s="65"/>
      <c r="AM25" s="65"/>
      <c r="AN25" s="65"/>
      <c r="AO25" s="65"/>
      <c r="AP25" s="641"/>
      <c r="AQ25" s="65"/>
      <c r="AR25" s="65"/>
      <c r="AS25" s="65"/>
      <c r="AT25" s="65"/>
      <c r="AU25" s="215"/>
      <c r="AV25" s="1801"/>
      <c r="AW25" s="65"/>
      <c r="AX25" s="65"/>
      <c r="AY25" s="65"/>
      <c r="AZ25" s="65"/>
      <c r="BA25" s="215"/>
      <c r="BB25" s="65"/>
      <c r="BC25" s="65"/>
      <c r="BD25" s="65"/>
      <c r="BE25" s="65"/>
      <c r="BF25" s="641"/>
      <c r="BG25" s="65"/>
      <c r="BH25" s="65"/>
      <c r="BI25" s="65"/>
      <c r="BJ25" s="257"/>
      <c r="BK25" s="641"/>
      <c r="BL25" s="65"/>
      <c r="BM25" s="65"/>
      <c r="BN25" s="65"/>
      <c r="BO25" s="65"/>
      <c r="BP25" s="215"/>
      <c r="BQ25" s="65"/>
      <c r="BR25" s="65"/>
      <c r="BS25" s="65"/>
      <c r="BT25" s="65">
        <f t="shared" si="30"/>
        <v>7.4</v>
      </c>
      <c r="BU25" s="641">
        <v>7.4</v>
      </c>
      <c r="BV25" s="65">
        <v>4.7</v>
      </c>
      <c r="BW25" s="1385">
        <f>0.8-BV25</f>
        <v>-3.9000000000000004</v>
      </c>
      <c r="BX25" s="65">
        <f>0.5-BW25-BV25</f>
        <v>-0.29999999999999982</v>
      </c>
      <c r="BY25" s="65">
        <f t="shared" si="31"/>
        <v>0</v>
      </c>
      <c r="BZ25" s="641">
        <v>0.5</v>
      </c>
      <c r="CA25" s="1201">
        <v>0</v>
      </c>
      <c r="CB25" s="65">
        <f>0-CA25</f>
        <v>0</v>
      </c>
      <c r="CC25" s="65"/>
      <c r="CD25" s="65"/>
      <c r="CE25" s="641">
        <f t="shared" si="58"/>
        <v>0</v>
      </c>
      <c r="CF25" s="65">
        <v>0</v>
      </c>
      <c r="CG25" s="65">
        <v>0</v>
      </c>
      <c r="CH25" s="65"/>
      <c r="CI25" s="65"/>
      <c r="CJ25" s="641"/>
      <c r="CK25" s="65">
        <v>0</v>
      </c>
      <c r="CL25" s="217"/>
      <c r="CM25" s="217"/>
      <c r="CN25" s="217"/>
      <c r="CO25" s="538"/>
      <c r="CP25" s="217">
        <v>0</v>
      </c>
      <c r="CQ25" s="217"/>
      <c r="CR25" s="217"/>
      <c r="CS25" s="217"/>
      <c r="CT25" s="538"/>
      <c r="CU25" s="217">
        <v>0</v>
      </c>
      <c r="CV25" s="217"/>
      <c r="CW25" s="217"/>
      <c r="CX25" s="217"/>
      <c r="CY25" s="538"/>
      <c r="CZ25" s="217">
        <v>0</v>
      </c>
      <c r="DA25" s="217"/>
      <c r="DB25" s="217"/>
      <c r="DC25" s="217"/>
      <c r="DD25" s="538"/>
      <c r="DE25" s="217">
        <v>0</v>
      </c>
      <c r="DF25" s="217"/>
      <c r="DG25" s="217"/>
      <c r="DH25" s="217"/>
      <c r="DI25" s="538"/>
      <c r="DJ25" s="217">
        <v>0</v>
      </c>
      <c r="DK25" s="217"/>
      <c r="DL25" s="217"/>
      <c r="DM25" s="217"/>
      <c r="DN25" s="538"/>
      <c r="DO25" s="217">
        <v>0</v>
      </c>
      <c r="DP25" s="217"/>
      <c r="DQ25" s="217"/>
      <c r="DR25" s="217"/>
      <c r="DS25" s="538"/>
      <c r="DT25" s="217">
        <v>0</v>
      </c>
      <c r="DU25" s="217"/>
      <c r="DV25" s="217"/>
      <c r="DW25" s="217"/>
      <c r="DX25" s="538"/>
      <c r="DY25" s="1573"/>
      <c r="DZ25" s="1201"/>
      <c r="EA25" s="65" t="s">
        <v>270</v>
      </c>
      <c r="EB25" s="266"/>
      <c r="EC25" s="312"/>
      <c r="ED25" s="312"/>
      <c r="EE25" s="312"/>
      <c r="EF25" s="312"/>
      <c r="EG25" s="312"/>
      <c r="EH25" s="312"/>
      <c r="EI25" s="312"/>
      <c r="EJ25" s="312"/>
      <c r="EK25" s="312"/>
      <c r="EL25" s="359"/>
      <c r="EM25" s="16"/>
      <c r="EN25" s="16"/>
      <c r="EU25" s="16"/>
      <c r="EV25" s="16"/>
      <c r="EW25" s="16"/>
      <c r="EX25" s="16"/>
      <c r="EY25" s="16"/>
      <c r="EZ25" s="16"/>
      <c r="FA25" s="16"/>
      <c r="FB25" s="16"/>
      <c r="FC25" s="16"/>
      <c r="FD25" s="16"/>
      <c r="FE25" s="16"/>
      <c r="FF25" s="16"/>
      <c r="FG25" s="16"/>
      <c r="FH25" s="16"/>
      <c r="FI25" s="16"/>
      <c r="FJ25" s="16"/>
    </row>
    <row r="26" spans="1:166" x14ac:dyDescent="0.2">
      <c r="A26" s="498" t="s">
        <v>335</v>
      </c>
      <c r="B26" s="215"/>
      <c r="C26" s="65"/>
      <c r="D26" s="216"/>
      <c r="E26" s="65"/>
      <c r="F26" s="65"/>
      <c r="G26" s="215"/>
      <c r="H26" s="65"/>
      <c r="I26" s="216"/>
      <c r="J26" s="65"/>
      <c r="K26" s="65"/>
      <c r="L26" s="215"/>
      <c r="M26" s="65"/>
      <c r="N26" s="65"/>
      <c r="O26" s="65"/>
      <c r="P26" s="65"/>
      <c r="Q26" s="215">
        <v>-12</v>
      </c>
      <c r="R26" s="248"/>
      <c r="S26" s="65"/>
      <c r="T26" s="65"/>
      <c r="U26" s="257"/>
      <c r="V26" s="215">
        <v>9</v>
      </c>
      <c r="W26" s="248">
        <v>14</v>
      </c>
      <c r="X26" s="65">
        <f>31-W26</f>
        <v>17</v>
      </c>
      <c r="Y26" s="65">
        <f>36-X26-W26</f>
        <v>5</v>
      </c>
      <c r="Z26" s="257">
        <f>AA26-Y26-X26-W26</f>
        <v>32</v>
      </c>
      <c r="AA26" s="215">
        <v>68</v>
      </c>
      <c r="AB26" s="248">
        <v>-2</v>
      </c>
      <c r="AC26" s="65">
        <f>8-AB26</f>
        <v>10</v>
      </c>
      <c r="AD26" s="65">
        <f>-15-AC26-AB26</f>
        <v>-23</v>
      </c>
      <c r="AE26" s="257">
        <f t="shared" si="3"/>
        <v>25</v>
      </c>
      <c r="AF26" s="215">
        <v>10</v>
      </c>
      <c r="AG26" s="248">
        <v>13</v>
      </c>
      <c r="AH26" s="65">
        <f>20-AG26</f>
        <v>7</v>
      </c>
      <c r="AI26" s="65">
        <f>-1-AH26-AG26</f>
        <v>-21</v>
      </c>
      <c r="AJ26" s="257">
        <f t="shared" si="1"/>
        <v>21</v>
      </c>
      <c r="AK26" s="215">
        <v>20</v>
      </c>
      <c r="AL26" s="248">
        <v>-8</v>
      </c>
      <c r="AM26" s="65">
        <f>-15-AL26</f>
        <v>-7</v>
      </c>
      <c r="AN26" s="65">
        <f>-17-AM26-AL26</f>
        <v>-2</v>
      </c>
      <c r="AO26" s="257">
        <f>AP26-AN26-AM26-AL26</f>
        <v>29.1</v>
      </c>
      <c r="AP26" s="641">
        <v>12.1</v>
      </c>
      <c r="AQ26" s="65">
        <v>3.4</v>
      </c>
      <c r="AR26" s="65">
        <f>0.3-AQ26</f>
        <v>-3.1</v>
      </c>
      <c r="AS26" s="65">
        <f>-1.4-AR26-AQ26</f>
        <v>-1.6999999999999997</v>
      </c>
      <c r="AT26" s="65">
        <f>16.9-AS26-AR26-AQ26</f>
        <v>18.3</v>
      </c>
      <c r="AU26" s="215">
        <f t="shared" si="4"/>
        <v>16.900000000000002</v>
      </c>
      <c r="AV26" s="1801"/>
      <c r="AW26" s="65">
        <f t="shared" si="40"/>
        <v>-1.6999999999999997</v>
      </c>
      <c r="AX26" s="65">
        <f t="shared" si="41"/>
        <v>18.3</v>
      </c>
      <c r="AY26" s="65">
        <v>-12.5</v>
      </c>
      <c r="AZ26" s="65">
        <v>1.3</v>
      </c>
      <c r="BA26" s="215">
        <f t="shared" si="5"/>
        <v>5.4000000000000012</v>
      </c>
      <c r="BB26" s="248">
        <v>11.4</v>
      </c>
      <c r="BC26" s="65">
        <f>17.7-BB26</f>
        <v>6.2999999999999989</v>
      </c>
      <c r="BD26" s="65">
        <f>-16.3-SUM(BB26:BC26)</f>
        <v>-34</v>
      </c>
      <c r="BE26" s="257">
        <f>-30.4-SUM(BB26:BD26)</f>
        <v>-14.099999999999998</v>
      </c>
      <c r="BF26" s="641">
        <f t="shared" si="47"/>
        <v>-30.4</v>
      </c>
      <c r="BG26" s="248">
        <v>-6.4</v>
      </c>
      <c r="BH26" s="65">
        <f>8-BG26</f>
        <v>14.4</v>
      </c>
      <c r="BI26" s="65">
        <f>8-SUM(BG26:BH26)</f>
        <v>0</v>
      </c>
      <c r="BJ26" s="257">
        <f t="shared" si="59"/>
        <v>0.90000000000000036</v>
      </c>
      <c r="BK26" s="641">
        <v>8.9</v>
      </c>
      <c r="BL26" s="65">
        <v>7.4</v>
      </c>
      <c r="BM26" s="65">
        <f>22.2-BL26</f>
        <v>14.799999999999999</v>
      </c>
      <c r="BN26" s="65">
        <f>33.3-SUM(BL26:BM26)</f>
        <v>11.099999999999998</v>
      </c>
      <c r="BO26" s="257">
        <f t="shared" si="8"/>
        <v>-1.1999999999999957</v>
      </c>
      <c r="BP26" s="215">
        <v>32.1</v>
      </c>
      <c r="BQ26" s="65">
        <v>9.1</v>
      </c>
      <c r="BR26" s="65">
        <f>5-BQ26</f>
        <v>-4.0999999999999996</v>
      </c>
      <c r="BS26" s="65">
        <f>-59.1-BR26-BQ26</f>
        <v>-64.099999999999994</v>
      </c>
      <c r="BT26" s="257">
        <f t="shared" si="30"/>
        <v>6.1999999999999957</v>
      </c>
      <c r="BU26" s="641">
        <v>-52.9</v>
      </c>
      <c r="BV26" s="65">
        <v>-38</v>
      </c>
      <c r="BW26" s="1385">
        <f>-92.5-BV26</f>
        <v>-54.5</v>
      </c>
      <c r="BX26" s="65">
        <f>-114.8-BW26-BV26</f>
        <v>-22.299999999999997</v>
      </c>
      <c r="BY26" s="257">
        <f t="shared" si="31"/>
        <v>82.5</v>
      </c>
      <c r="BZ26" s="641">
        <v>-32.299999999999997</v>
      </c>
      <c r="CA26" s="1201">
        <v>0</v>
      </c>
      <c r="CB26" s="65">
        <f>10.5-CA26</f>
        <v>10.5</v>
      </c>
      <c r="CC26" s="65">
        <f>34.6-CB26-CA26</f>
        <v>24.1</v>
      </c>
      <c r="CD26" s="257">
        <f>CE26-CC26-CA26-CB26</f>
        <v>45.499999999999993</v>
      </c>
      <c r="CE26" s="641">
        <v>80.099999999999994</v>
      </c>
      <c r="CF26" s="65">
        <v>15.3</v>
      </c>
      <c r="CG26" s="65">
        <f>22.4-CF26</f>
        <v>7.0999999999999979</v>
      </c>
      <c r="CH26" s="65">
        <f>-3.1-SUM(CF26:CG26)</f>
        <v>-25.5</v>
      </c>
      <c r="CI26" s="257">
        <f>CJ26-CH26-CF26-CG26</f>
        <v>-739.3</v>
      </c>
      <c r="CJ26" s="641">
        <v>-742.4</v>
      </c>
      <c r="CK26" s="65">
        <v>-19</v>
      </c>
      <c r="CL26" s="217">
        <f>(BS!CK15-BS!CL15)+(BS!CL36-BS!CK36)</f>
        <v>0</v>
      </c>
      <c r="CM26" s="217">
        <f>(BS!CL15-BS!CM15)+(BS!CM36-BS!CL36)</f>
        <v>0</v>
      </c>
      <c r="CN26" s="320">
        <f>(BS!CM15-BS!CN15)+(BS!CN36-BS!CM36)</f>
        <v>0</v>
      </c>
      <c r="CO26" s="538">
        <f t="shared" ref="CO26" si="68">SUM(CK26:CN26)</f>
        <v>-19</v>
      </c>
      <c r="CP26" s="217">
        <f>BS!CO15-BS!CP15</f>
        <v>0</v>
      </c>
      <c r="CQ26" s="217">
        <f>(BS!CP15-BS!CQ15)+(BS!CQ36-BS!CP36)</f>
        <v>0</v>
      </c>
      <c r="CR26" s="217">
        <f>(BS!CQ15-BS!CR15)+(BS!CR36-BS!CQ36)</f>
        <v>0</v>
      </c>
      <c r="CS26" s="320">
        <f>(BS!CR15-BS!CS15)+(BS!CS36-BS!CR36)</f>
        <v>0</v>
      </c>
      <c r="CT26" s="538">
        <f t="shared" ref="CT26" si="69">SUM(CP26:CS26)</f>
        <v>0</v>
      </c>
      <c r="CU26" s="217">
        <f>BS!CT15-BS!CU15</f>
        <v>0</v>
      </c>
      <c r="CV26" s="217">
        <f>(BS!CU15-BS!CV15)+(BS!CV36-BS!CU36)</f>
        <v>0</v>
      </c>
      <c r="CW26" s="217">
        <f>(BS!CV15-BS!CW15)+(BS!CW36-BS!CV36)</f>
        <v>0</v>
      </c>
      <c r="CX26" s="320">
        <f>(BS!CW15-BS!CX15)+(BS!CX36-BS!CW36)</f>
        <v>0</v>
      </c>
      <c r="CY26" s="538">
        <f t="shared" ref="CY26" si="70">SUM(CU26:CX26)</f>
        <v>0</v>
      </c>
      <c r="CZ26" s="217">
        <f>BS!CY15-BS!CZ15</f>
        <v>0</v>
      </c>
      <c r="DA26" s="217">
        <f>(BS!CZ15-BS!DA15)+(BS!DA36-BS!CZ36)</f>
        <v>0</v>
      </c>
      <c r="DB26" s="217">
        <f>(BS!DA15-BS!DB15)+(BS!DB36-BS!DA36)</f>
        <v>0</v>
      </c>
      <c r="DC26" s="320">
        <f>(BS!DB15-BS!DC15)+(BS!DC36-BS!DB36)</f>
        <v>0</v>
      </c>
      <c r="DD26" s="538">
        <f t="shared" ref="DD26" si="71">SUM(CZ26:DC26)</f>
        <v>0</v>
      </c>
      <c r="DE26" s="217">
        <f>BS!DD15-BS!DE15</f>
        <v>0</v>
      </c>
      <c r="DF26" s="217">
        <f>(BS!DE15-BS!DF15)+(BS!DF36-BS!DE36)</f>
        <v>0</v>
      </c>
      <c r="DG26" s="217">
        <f>(BS!DF15-BS!DG15)+(BS!DG36-BS!DF36)</f>
        <v>0</v>
      </c>
      <c r="DH26" s="320">
        <f>(BS!DG15-BS!DH15)+(BS!DH36-BS!DG36)</f>
        <v>0</v>
      </c>
      <c r="DI26" s="538">
        <f t="shared" ref="DI26" si="72">SUM(DE26:DH26)</f>
        <v>0</v>
      </c>
      <c r="DJ26" s="217">
        <f>BS!DI15-BS!DJ15</f>
        <v>0</v>
      </c>
      <c r="DK26" s="217">
        <f>(BS!DJ15-BS!DK15)+(BS!DK36-BS!DJ36)</f>
        <v>0</v>
      </c>
      <c r="DL26" s="217">
        <f>(BS!DK15-BS!DL15)+(BS!DL36-BS!DK36)</f>
        <v>0</v>
      </c>
      <c r="DM26" s="320">
        <f>(BS!DL15-BS!DM15)+(BS!DM36-BS!DL36)</f>
        <v>0</v>
      </c>
      <c r="DN26" s="538">
        <f t="shared" ref="DN26" si="73">SUM(DJ26:DM26)</f>
        <v>0</v>
      </c>
      <c r="DO26" s="217">
        <f>BS!DN15-BS!DO15</f>
        <v>0</v>
      </c>
      <c r="DP26" s="217">
        <f>(BS!DO15-BS!DP15)+(BS!DP36-BS!DO36)</f>
        <v>0</v>
      </c>
      <c r="DQ26" s="217">
        <f>(BS!DP15-BS!DQ15)+(BS!DQ36-BS!DP36)</f>
        <v>0</v>
      </c>
      <c r="DR26" s="320">
        <f>(BS!DQ15-BS!DR15)+(BS!DR36-BS!DQ36)</f>
        <v>0</v>
      </c>
      <c r="DS26" s="538">
        <f t="shared" ref="DS26" si="74">SUM(DO26:DR26)</f>
        <v>0</v>
      </c>
      <c r="DT26" s="217">
        <f>BS!DS15-BS!DT15</f>
        <v>0</v>
      </c>
      <c r="DU26" s="217">
        <f>(BS!DT15-BS!DU15)+(BS!DU36-BS!DT36)</f>
        <v>0</v>
      </c>
      <c r="DV26" s="217">
        <f>(BS!DU15-BS!DV15)+(BS!DV36-BS!DU36)</f>
        <v>0</v>
      </c>
      <c r="DW26" s="320">
        <f>(BS!DV15-BS!DW15)+(BS!DW36-BS!DV36)</f>
        <v>0</v>
      </c>
      <c r="DX26" s="538">
        <f t="shared" ref="DX26" si="75">SUM(DT26:DW26)</f>
        <v>0</v>
      </c>
      <c r="DY26" s="1573"/>
      <c r="DZ26" s="1201"/>
      <c r="EA26" s="65" t="s">
        <v>192</v>
      </c>
      <c r="EB26" s="266">
        <f t="shared" si="56"/>
        <v>45</v>
      </c>
      <c r="EC26" s="312">
        <f t="shared" si="57"/>
        <v>22</v>
      </c>
      <c r="ED26" s="312">
        <f t="shared" si="42"/>
        <v>-15</v>
      </c>
      <c r="EE26" s="312">
        <f t="shared" si="43"/>
        <v>27.4</v>
      </c>
      <c r="EF26" s="312">
        <f t="shared" si="44"/>
        <v>5.4000000000000012</v>
      </c>
      <c r="EG26" s="312">
        <f t="shared" si="45"/>
        <v>-30.4</v>
      </c>
      <c r="EH26" s="312">
        <f t="shared" si="46"/>
        <v>8.9</v>
      </c>
      <c r="EI26" s="312">
        <f t="shared" si="26"/>
        <v>32.1</v>
      </c>
      <c r="EJ26" s="312">
        <f t="shared" si="27"/>
        <v>-52.9</v>
      </c>
      <c r="EK26" s="312">
        <f t="shared" si="28"/>
        <v>-32.299999999999997</v>
      </c>
      <c r="EL26" s="359">
        <f t="shared" si="29"/>
        <v>80.099999999999994</v>
      </c>
      <c r="EM26" s="16"/>
      <c r="EN26" s="16"/>
      <c r="EU26" s="16"/>
      <c r="EV26" s="16"/>
      <c r="EW26" s="16"/>
      <c r="EX26" s="16"/>
      <c r="EY26" s="16"/>
      <c r="EZ26" s="16"/>
      <c r="FA26" s="16"/>
      <c r="FB26" s="16"/>
      <c r="FC26" s="16"/>
      <c r="FD26" s="16"/>
      <c r="FE26" s="16"/>
      <c r="FF26" s="16"/>
      <c r="FG26" s="16"/>
      <c r="FH26" s="16"/>
      <c r="FI26" s="16"/>
      <c r="FJ26" s="16"/>
    </row>
    <row r="27" spans="1:166" x14ac:dyDescent="0.2">
      <c r="A27" s="523" t="s">
        <v>336</v>
      </c>
      <c r="B27" s="218"/>
      <c r="C27" s="219"/>
      <c r="D27" s="220"/>
      <c r="E27" s="219"/>
      <c r="F27" s="219"/>
      <c r="G27" s="218"/>
      <c r="H27" s="219"/>
      <c r="I27" s="220"/>
      <c r="J27" s="219"/>
      <c r="K27" s="219"/>
      <c r="L27" s="218"/>
      <c r="M27" s="219"/>
      <c r="N27" s="219"/>
      <c r="O27" s="219"/>
      <c r="P27" s="219"/>
      <c r="Q27" s="218">
        <f>SUM(Q30:Q34)</f>
        <v>34</v>
      </c>
      <c r="R27" s="32">
        <f t="shared" ref="R27:AH27" si="76">SUM(R30:R34)</f>
        <v>0</v>
      </c>
      <c r="S27" s="37">
        <f t="shared" si="76"/>
        <v>0</v>
      </c>
      <c r="T27" s="37">
        <f t="shared" si="76"/>
        <v>0</v>
      </c>
      <c r="U27" s="140">
        <f t="shared" si="76"/>
        <v>0</v>
      </c>
      <c r="V27" s="49">
        <f t="shared" si="76"/>
        <v>30</v>
      </c>
      <c r="W27" s="258">
        <f t="shared" si="76"/>
        <v>-61</v>
      </c>
      <c r="X27" s="219">
        <f t="shared" si="76"/>
        <v>11</v>
      </c>
      <c r="Y27" s="219">
        <f t="shared" si="76"/>
        <v>22</v>
      </c>
      <c r="Z27" s="259">
        <f t="shared" si="76"/>
        <v>-1</v>
      </c>
      <c r="AA27" s="49">
        <f t="shared" si="76"/>
        <v>-29</v>
      </c>
      <c r="AB27" s="258">
        <f t="shared" si="76"/>
        <v>-112</v>
      </c>
      <c r="AC27" s="219">
        <f t="shared" si="76"/>
        <v>-14</v>
      </c>
      <c r="AD27" s="219">
        <f t="shared" si="76"/>
        <v>19</v>
      </c>
      <c r="AE27" s="259">
        <f t="shared" si="76"/>
        <v>-5</v>
      </c>
      <c r="AF27" s="218">
        <f t="shared" si="76"/>
        <v>-112</v>
      </c>
      <c r="AG27" s="219">
        <f t="shared" si="76"/>
        <v>-1</v>
      </c>
      <c r="AH27" s="219">
        <f t="shared" si="76"/>
        <v>11</v>
      </c>
      <c r="AI27" s="219">
        <f t="shared" ref="AI27:BK27" si="77">SUM(AI30:AI34)</f>
        <v>13</v>
      </c>
      <c r="AJ27" s="219">
        <f t="shared" si="77"/>
        <v>9</v>
      </c>
      <c r="AK27" s="218">
        <f t="shared" si="77"/>
        <v>32</v>
      </c>
      <c r="AL27" s="219">
        <f t="shared" si="77"/>
        <v>-72</v>
      </c>
      <c r="AM27" s="219">
        <f t="shared" si="77"/>
        <v>7</v>
      </c>
      <c r="AN27" s="219">
        <f t="shared" si="77"/>
        <v>15</v>
      </c>
      <c r="AO27" s="219">
        <f t="shared" si="77"/>
        <v>-8.5000000000000036</v>
      </c>
      <c r="AP27" s="642">
        <f t="shared" si="77"/>
        <v>-58.5</v>
      </c>
      <c r="AQ27" s="219">
        <f t="shared" si="77"/>
        <v>-23</v>
      </c>
      <c r="AR27" s="219">
        <f t="shared" si="77"/>
        <v>-7.5999999999999961</v>
      </c>
      <c r="AS27" s="219">
        <f t="shared" si="77"/>
        <v>-6.5000000000000036</v>
      </c>
      <c r="AT27" s="219">
        <f t="shared" si="77"/>
        <v>-16.899999999999991</v>
      </c>
      <c r="AU27" s="218">
        <f t="shared" si="77"/>
        <v>-53.999999999999993</v>
      </c>
      <c r="AV27" s="1801"/>
      <c r="AW27" s="219">
        <f t="shared" si="77"/>
        <v>-6.5000000000000036</v>
      </c>
      <c r="AX27" s="219">
        <f t="shared" si="77"/>
        <v>-16.899999999999991</v>
      </c>
      <c r="AY27" s="219">
        <f t="shared" si="77"/>
        <v>44.2</v>
      </c>
      <c r="AZ27" s="219">
        <f t="shared" si="77"/>
        <v>-39.399999999999991</v>
      </c>
      <c r="BA27" s="218">
        <f t="shared" si="77"/>
        <v>-18.599999999999966</v>
      </c>
      <c r="BB27" s="219">
        <f t="shared" si="77"/>
        <v>2.8</v>
      </c>
      <c r="BC27" s="219">
        <f t="shared" si="77"/>
        <v>-38.900000000000006</v>
      </c>
      <c r="BD27" s="219">
        <f t="shared" si="77"/>
        <v>129.80000000000001</v>
      </c>
      <c r="BE27" s="219">
        <f t="shared" si="77"/>
        <v>51.199999999999996</v>
      </c>
      <c r="BF27" s="642">
        <f t="shared" si="77"/>
        <v>144.9</v>
      </c>
      <c r="BG27" s="219">
        <f t="shared" si="77"/>
        <v>-27.1</v>
      </c>
      <c r="BH27" s="219">
        <f t="shared" si="77"/>
        <v>-120.5</v>
      </c>
      <c r="BI27" s="219">
        <f t="shared" si="77"/>
        <v>21.2</v>
      </c>
      <c r="BJ27" s="219">
        <f t="shared" si="77"/>
        <v>0.70000000000000995</v>
      </c>
      <c r="BK27" s="642">
        <f t="shared" si="77"/>
        <v>-125.69999999999999</v>
      </c>
      <c r="BL27" s="219">
        <f>SUM(BL30:BL34)</f>
        <v>0</v>
      </c>
      <c r="BM27" s="219">
        <f t="shared" ref="BM27:BP27" si="78">SUM(BM30:BM34)</f>
        <v>-53.900000000000006</v>
      </c>
      <c r="BN27" s="219">
        <f t="shared" si="78"/>
        <v>29.1</v>
      </c>
      <c r="BO27" s="219">
        <f t="shared" si="78"/>
        <v>-37.199999999999996</v>
      </c>
      <c r="BP27" s="218">
        <f t="shared" si="78"/>
        <v>-62</v>
      </c>
      <c r="BQ27" s="219">
        <f t="shared" ref="BQ27:BT27" si="79">SUM(BQ29:BQ34)</f>
        <v>18.2</v>
      </c>
      <c r="BR27" s="219">
        <f t="shared" si="79"/>
        <v>-15.800000000000002</v>
      </c>
      <c r="BS27" s="219">
        <f t="shared" si="79"/>
        <v>86</v>
      </c>
      <c r="BT27" s="219">
        <f t="shared" si="79"/>
        <v>-103.8</v>
      </c>
      <c r="BU27" s="642">
        <f>SUM(BU29:BU34)</f>
        <v>-15.400000000000006</v>
      </c>
      <c r="BV27" s="219">
        <f>SUM(BV28:BV34)</f>
        <v>161.80000000000004</v>
      </c>
      <c r="BW27" s="1405">
        <f t="shared" ref="BW27:BZ27" si="80">SUM(BW29:BW34)</f>
        <v>63.699999999999989</v>
      </c>
      <c r="BX27" s="219">
        <f t="shared" si="80"/>
        <v>224.79999999999998</v>
      </c>
      <c r="BY27" s="219">
        <f t="shared" si="80"/>
        <v>-108.10000000000001</v>
      </c>
      <c r="BZ27" s="642">
        <f t="shared" si="80"/>
        <v>263</v>
      </c>
      <c r="CA27" s="1484">
        <f>SUM(CA28:CA34)</f>
        <v>-63.300000000000004</v>
      </c>
      <c r="CB27" s="219">
        <f t="shared" ref="CB27" si="81">SUM(CB29:CB34)</f>
        <v>-10.600000000000007</v>
      </c>
      <c r="CC27" s="219">
        <f>SUM(CC29:CC34)</f>
        <v>82.9</v>
      </c>
      <c r="CD27" s="219">
        <f t="shared" ref="CD27:DX27" si="82">SUM(CD29:CD34)</f>
        <v>-0.89999999999999858</v>
      </c>
      <c r="CE27" s="642">
        <f t="shared" si="82"/>
        <v>8.1</v>
      </c>
      <c r="CF27" s="219">
        <f>SUM(CF29:CF34)</f>
        <v>-1.3999999999999915</v>
      </c>
      <c r="CG27" s="219">
        <f t="shared" si="82"/>
        <v>-154.69999999999999</v>
      </c>
      <c r="CH27" s="219">
        <f t="shared" si="82"/>
        <v>-29.800000000000011</v>
      </c>
      <c r="CI27" s="219">
        <f>SUM(CI29:CI34)</f>
        <v>539.70000000000016</v>
      </c>
      <c r="CJ27" s="642">
        <f>SUM(CJ29:CJ34)</f>
        <v>353.8</v>
      </c>
      <c r="CK27" s="1588">
        <f t="shared" si="82"/>
        <v>-439.09999999999997</v>
      </c>
      <c r="CL27" s="1589">
        <f t="shared" si="82"/>
        <v>16.166496965790813</v>
      </c>
      <c r="CM27" s="1589">
        <f t="shared" si="82"/>
        <v>-19.436683531690349</v>
      </c>
      <c r="CN27" s="1589">
        <f t="shared" si="82"/>
        <v>401.78145494286537</v>
      </c>
      <c r="CO27" s="1429">
        <f t="shared" si="82"/>
        <v>-40.588731623034107</v>
      </c>
      <c r="CP27" s="221">
        <f t="shared" si="82"/>
        <v>-285.10805553828459</v>
      </c>
      <c r="CQ27" s="221">
        <f t="shared" si="82"/>
        <v>-80.251946071501408</v>
      </c>
      <c r="CR27" s="221">
        <f t="shared" si="82"/>
        <v>-17.187065943366591</v>
      </c>
      <c r="CS27" s="221">
        <f t="shared" si="82"/>
        <v>425.01629108117049</v>
      </c>
      <c r="CT27" s="539">
        <f t="shared" si="82"/>
        <v>42.469223528017892</v>
      </c>
      <c r="CU27" s="221">
        <f t="shared" si="82"/>
        <v>-296.22090338151327</v>
      </c>
      <c r="CV27" s="221">
        <f t="shared" si="82"/>
        <v>-84.809367404387416</v>
      </c>
      <c r="CW27" s="221">
        <f t="shared" si="82"/>
        <v>-16.160975965437714</v>
      </c>
      <c r="CX27" s="221">
        <f t="shared" si="82"/>
        <v>452.96974295606771</v>
      </c>
      <c r="CY27" s="539">
        <f t="shared" si="82"/>
        <v>55.77849620472935</v>
      </c>
      <c r="CZ27" s="221">
        <f t="shared" si="82"/>
        <v>-312.47397708524966</v>
      </c>
      <c r="DA27" s="221">
        <f t="shared" si="82"/>
        <v>-89.04052924231685</v>
      </c>
      <c r="DB27" s="221">
        <f t="shared" si="82"/>
        <v>-13.412671770787057</v>
      </c>
      <c r="DC27" s="221">
        <f t="shared" si="82"/>
        <v>487.41064234338114</v>
      </c>
      <c r="DD27" s="539">
        <f t="shared" si="82"/>
        <v>72.483464245027619</v>
      </c>
      <c r="DE27" s="221">
        <f t="shared" si="82"/>
        <v>-341.38135860513341</v>
      </c>
      <c r="DF27" s="221">
        <f t="shared" si="82"/>
        <v>-97.241176323974003</v>
      </c>
      <c r="DG27" s="221">
        <f t="shared" si="82"/>
        <v>-20.695154250780234</v>
      </c>
      <c r="DH27" s="221">
        <f t="shared" si="82"/>
        <v>508.84795769564107</v>
      </c>
      <c r="DI27" s="539">
        <f t="shared" si="82"/>
        <v>49.530268515753448</v>
      </c>
      <c r="DJ27" s="221">
        <f t="shared" si="82"/>
        <v>-358.76884371585737</v>
      </c>
      <c r="DK27" s="221">
        <f t="shared" si="82"/>
        <v>-99.623158311343389</v>
      </c>
      <c r="DL27" s="221">
        <f t="shared" si="82"/>
        <v>-18.534236525767113</v>
      </c>
      <c r="DM27" s="221">
        <f t="shared" si="82"/>
        <v>542.66085243621546</v>
      </c>
      <c r="DN27" s="539">
        <f t="shared" si="82"/>
        <v>65.734613883247647</v>
      </c>
      <c r="DO27" s="221">
        <f t="shared" si="82"/>
        <v>-362.20337841743839</v>
      </c>
      <c r="DP27" s="221">
        <f t="shared" si="82"/>
        <v>-94.168374537983539</v>
      </c>
      <c r="DQ27" s="221">
        <f t="shared" si="82"/>
        <v>-6.1578929549667976</v>
      </c>
      <c r="DR27" s="221">
        <f t="shared" si="82"/>
        <v>596.99418464638791</v>
      </c>
      <c r="DS27" s="539">
        <f t="shared" si="82"/>
        <v>134.4645387359993</v>
      </c>
      <c r="DT27" s="221">
        <f t="shared" si="82"/>
        <v>-406.1829440440016</v>
      </c>
      <c r="DU27" s="221">
        <f t="shared" si="82"/>
        <v>-114.83042070159468</v>
      </c>
      <c r="DV27" s="221">
        <f t="shared" si="82"/>
        <v>-22.832681133839941</v>
      </c>
      <c r="DW27" s="221">
        <f t="shared" si="82"/>
        <v>616.81145872677916</v>
      </c>
      <c r="DX27" s="539">
        <f t="shared" si="82"/>
        <v>72.965412847343003</v>
      </c>
      <c r="DY27" s="1573"/>
      <c r="DZ27" s="1201"/>
      <c r="EA27" s="65" t="s">
        <v>619</v>
      </c>
      <c r="EB27" s="266">
        <f t="shared" si="56"/>
        <v>-105</v>
      </c>
      <c r="EC27" s="312">
        <f t="shared" si="57"/>
        <v>24</v>
      </c>
      <c r="ED27" s="312">
        <f t="shared" si="42"/>
        <v>-43</v>
      </c>
      <c r="EE27" s="312">
        <f t="shared" si="43"/>
        <v>-24.1</v>
      </c>
      <c r="EF27" s="312">
        <f t="shared" si="44"/>
        <v>-18.599999999999966</v>
      </c>
      <c r="EG27" s="312">
        <f t="shared" si="45"/>
        <v>144.9</v>
      </c>
      <c r="EH27" s="312">
        <f t="shared" si="46"/>
        <v>-125.69999999999999</v>
      </c>
      <c r="EI27" s="312">
        <f t="shared" si="26"/>
        <v>-62</v>
      </c>
      <c r="EJ27" s="312">
        <f t="shared" si="27"/>
        <v>-15.400000000000006</v>
      </c>
      <c r="EK27" s="312">
        <f t="shared" si="28"/>
        <v>263</v>
      </c>
      <c r="EL27" s="359">
        <f t="shared" si="29"/>
        <v>8.1</v>
      </c>
      <c r="EM27" s="16"/>
      <c r="EN27" s="16"/>
      <c r="EU27" s="16"/>
      <c r="EV27" s="16"/>
      <c r="EW27" s="16"/>
      <c r="EX27" s="16"/>
      <c r="EY27" s="16"/>
      <c r="EZ27" s="16"/>
      <c r="FA27" s="16"/>
      <c r="FB27" s="16"/>
      <c r="FC27" s="16"/>
      <c r="FD27" s="16"/>
      <c r="FE27" s="16"/>
      <c r="FF27" s="16"/>
      <c r="FG27" s="16"/>
      <c r="FH27" s="16"/>
      <c r="FI27" s="16"/>
      <c r="FJ27" s="16"/>
    </row>
    <row r="28" spans="1:166" x14ac:dyDescent="0.2">
      <c r="A28" s="523" t="s">
        <v>754</v>
      </c>
      <c r="B28" s="218"/>
      <c r="C28" s="219"/>
      <c r="D28" s="220"/>
      <c r="E28" s="219"/>
      <c r="F28" s="219"/>
      <c r="G28" s="218"/>
      <c r="H28" s="219"/>
      <c r="I28" s="220"/>
      <c r="J28" s="219"/>
      <c r="K28" s="219"/>
      <c r="L28" s="218"/>
      <c r="M28" s="219"/>
      <c r="N28" s="219"/>
      <c r="O28" s="219"/>
      <c r="P28" s="219"/>
      <c r="Q28" s="218"/>
      <c r="R28" s="32"/>
      <c r="S28" s="37"/>
      <c r="T28" s="37"/>
      <c r="U28" s="140"/>
      <c r="V28" s="49"/>
      <c r="W28" s="258"/>
      <c r="X28" s="219"/>
      <c r="Y28" s="219"/>
      <c r="Z28" s="259"/>
      <c r="AA28" s="49"/>
      <c r="AB28" s="258"/>
      <c r="AC28" s="219"/>
      <c r="AD28" s="219"/>
      <c r="AE28" s="219"/>
      <c r="AF28" s="218"/>
      <c r="AG28" s="219"/>
      <c r="AH28" s="219"/>
      <c r="AI28" s="219"/>
      <c r="AJ28" s="219"/>
      <c r="AK28" s="218"/>
      <c r="AL28" s="219"/>
      <c r="AM28" s="219"/>
      <c r="AN28" s="219"/>
      <c r="AO28" s="219"/>
      <c r="AP28" s="642"/>
      <c r="AQ28" s="219"/>
      <c r="AR28" s="219"/>
      <c r="AS28" s="219"/>
      <c r="AT28" s="219"/>
      <c r="AU28" s="218"/>
      <c r="AV28" s="1256"/>
      <c r="AW28" s="219"/>
      <c r="AX28" s="219"/>
      <c r="AY28" s="219"/>
      <c r="AZ28" s="219"/>
      <c r="BA28" s="218"/>
      <c r="BB28" s="219"/>
      <c r="BC28" s="219"/>
      <c r="BD28" s="219"/>
      <c r="BE28" s="219"/>
      <c r="BF28" s="642"/>
      <c r="BG28" s="219"/>
      <c r="BH28" s="219"/>
      <c r="BI28" s="219"/>
      <c r="BJ28" s="219"/>
      <c r="BK28" s="642"/>
      <c r="BL28" s="219"/>
      <c r="BM28" s="219"/>
      <c r="BN28" s="219"/>
      <c r="BO28" s="219"/>
      <c r="BP28" s="218"/>
      <c r="BQ28" s="219"/>
      <c r="BR28" s="219"/>
      <c r="BS28" s="219"/>
      <c r="BT28" s="219"/>
      <c r="BU28" s="642"/>
      <c r="BV28" s="219">
        <v>79.2</v>
      </c>
      <c r="BW28" s="1405">
        <f>79.2-BV28</f>
        <v>0</v>
      </c>
      <c r="BX28" s="219">
        <f>79.2-BW28-BV28</f>
        <v>0</v>
      </c>
      <c r="BY28" s="219"/>
      <c r="BZ28" s="641">
        <v>79.2</v>
      </c>
      <c r="CA28" s="1484">
        <v>0</v>
      </c>
      <c r="CB28" s="219">
        <f>0-CA28</f>
        <v>0</v>
      </c>
      <c r="CC28" s="219"/>
      <c r="CD28" s="219"/>
      <c r="CE28" s="642">
        <v>0</v>
      </c>
      <c r="CF28" s="219"/>
      <c r="CG28" s="219"/>
      <c r="CH28" s="219"/>
      <c r="CI28" s="219"/>
      <c r="CJ28" s="642"/>
      <c r="CK28" s="219"/>
      <c r="CL28" s="221"/>
      <c r="CM28" s="221"/>
      <c r="CN28" s="221"/>
      <c r="CO28" s="539"/>
      <c r="CP28" s="221"/>
      <c r="CQ28" s="221"/>
      <c r="CR28" s="221"/>
      <c r="CS28" s="221"/>
      <c r="CT28" s="539"/>
      <c r="CU28" s="221"/>
      <c r="CV28" s="221"/>
      <c r="CW28" s="221"/>
      <c r="CX28" s="221"/>
      <c r="CY28" s="539"/>
      <c r="CZ28" s="221"/>
      <c r="DA28" s="221"/>
      <c r="DB28" s="221"/>
      <c r="DC28" s="221"/>
      <c r="DD28" s="539"/>
      <c r="DE28" s="221"/>
      <c r="DF28" s="221"/>
      <c r="DG28" s="221"/>
      <c r="DH28" s="221"/>
      <c r="DI28" s="539"/>
      <c r="DJ28" s="221"/>
      <c r="DK28" s="221"/>
      <c r="DL28" s="221"/>
      <c r="DM28" s="221"/>
      <c r="DN28" s="539"/>
      <c r="DO28" s="221"/>
      <c r="DP28" s="221"/>
      <c r="DQ28" s="221"/>
      <c r="DR28" s="221"/>
      <c r="DS28" s="539"/>
      <c r="DT28" s="221"/>
      <c r="DU28" s="221"/>
      <c r="DV28" s="221"/>
      <c r="DW28" s="221"/>
      <c r="DX28" s="539"/>
      <c r="DY28" s="1573"/>
      <c r="DZ28" s="1201"/>
      <c r="EA28" s="65" t="s">
        <v>621</v>
      </c>
      <c r="EB28" s="266"/>
      <c r="EC28" s="312"/>
      <c r="ED28" s="312"/>
      <c r="EE28" s="312"/>
      <c r="EF28" s="312"/>
      <c r="EG28" s="312"/>
      <c r="EH28" s="312"/>
      <c r="EI28" s="312"/>
      <c r="EJ28" s="312"/>
      <c r="EK28" s="312"/>
      <c r="EL28" s="359"/>
      <c r="EM28" s="16"/>
      <c r="EN28" s="16"/>
      <c r="EU28" s="16"/>
      <c r="EV28" s="16"/>
      <c r="EW28" s="16"/>
      <c r="EX28" s="16"/>
      <c r="EY28" s="16"/>
      <c r="EZ28" s="16"/>
      <c r="FA28" s="16"/>
      <c r="FB28" s="16"/>
      <c r="FC28" s="16"/>
      <c r="FD28" s="16"/>
      <c r="FE28" s="16"/>
      <c r="FF28" s="16"/>
      <c r="FG28" s="16"/>
      <c r="FH28" s="16"/>
      <c r="FI28" s="16"/>
      <c r="FJ28" s="16"/>
    </row>
    <row r="29" spans="1:166" x14ac:dyDescent="0.2">
      <c r="A29" s="498" t="s">
        <v>623</v>
      </c>
      <c r="B29" s="215"/>
      <c r="C29" s="65"/>
      <c r="D29" s="216"/>
      <c r="E29" s="65"/>
      <c r="F29" s="65"/>
      <c r="G29" s="215"/>
      <c r="H29" s="65"/>
      <c r="I29" s="216"/>
      <c r="J29" s="65"/>
      <c r="K29" s="65"/>
      <c r="L29" s="215"/>
      <c r="M29" s="65"/>
      <c r="N29" s="65"/>
      <c r="O29" s="65"/>
      <c r="P29" s="65"/>
      <c r="Q29" s="215"/>
      <c r="R29" s="248"/>
      <c r="S29" s="65"/>
      <c r="T29" s="65"/>
      <c r="U29" s="257"/>
      <c r="V29" s="215"/>
      <c r="W29" s="248"/>
      <c r="X29" s="65"/>
      <c r="Y29" s="65"/>
      <c r="Z29" s="257"/>
      <c r="AA29" s="215"/>
      <c r="AB29" s="248"/>
      <c r="AC29" s="65"/>
      <c r="AD29" s="65"/>
      <c r="AE29" s="65"/>
      <c r="AF29" s="215"/>
      <c r="AG29" s="248"/>
      <c r="AH29" s="65"/>
      <c r="AI29" s="65"/>
      <c r="AJ29" s="257"/>
      <c r="AK29" s="215"/>
      <c r="AL29" s="248"/>
      <c r="AM29" s="65"/>
      <c r="AN29" s="65"/>
      <c r="AO29" s="257"/>
      <c r="AP29" s="641"/>
      <c r="AQ29" s="65"/>
      <c r="AR29" s="65"/>
      <c r="AS29" s="65"/>
      <c r="AT29" s="65"/>
      <c r="AU29" s="215"/>
      <c r="AV29" s="123"/>
      <c r="AW29" s="65"/>
      <c r="AX29" s="65"/>
      <c r="AY29" s="65"/>
      <c r="AZ29" s="65"/>
      <c r="BA29" s="215"/>
      <c r="BB29" s="248"/>
      <c r="BC29" s="65"/>
      <c r="BD29" s="65"/>
      <c r="BE29" s="257"/>
      <c r="BF29" s="641"/>
      <c r="BG29" s="65"/>
      <c r="BH29" s="65"/>
      <c r="BI29" s="65"/>
      <c r="BJ29" s="257"/>
      <c r="BK29" s="641"/>
      <c r="BL29" s="65"/>
      <c r="BM29" s="65"/>
      <c r="BN29" s="65"/>
      <c r="BO29" s="257"/>
      <c r="BP29" s="215"/>
      <c r="BQ29" s="65"/>
      <c r="BR29" s="65"/>
      <c r="BS29" s="65"/>
      <c r="BT29" s="257">
        <f t="shared" si="30"/>
        <v>-36.4</v>
      </c>
      <c r="BU29" s="641">
        <v>-36.4</v>
      </c>
      <c r="BV29" s="65">
        <v>0</v>
      </c>
      <c r="BW29" s="1385">
        <f>BS!BV11-BS!BW11</f>
        <v>0</v>
      </c>
      <c r="BX29" s="65">
        <v>0</v>
      </c>
      <c r="BY29" s="257">
        <f t="shared" si="31"/>
        <v>0</v>
      </c>
      <c r="BZ29" s="641">
        <v>0</v>
      </c>
      <c r="CA29" s="1201">
        <v>0</v>
      </c>
      <c r="CB29" s="65">
        <v>0</v>
      </c>
      <c r="CC29" s="65">
        <f>BS!CB11-BS!CC11</f>
        <v>0</v>
      </c>
      <c r="CD29" s="65">
        <f>BS!CC11-BS!CD11</f>
        <v>0</v>
      </c>
      <c r="CE29" s="641">
        <f>SUM(CA29:CD29)</f>
        <v>0</v>
      </c>
      <c r="CF29" s="65">
        <f>BS!CE11-BS!CF11</f>
        <v>0</v>
      </c>
      <c r="CG29" s="65">
        <f>BS!CF11-BS!CG11</f>
        <v>0</v>
      </c>
      <c r="CH29" s="65">
        <f>BS!CG11-BS!CH11</f>
        <v>0</v>
      </c>
      <c r="CI29" s="257">
        <f t="shared" ref="CI29:CI36" si="83">CJ29-CH29-CF29-CG29</f>
        <v>0</v>
      </c>
      <c r="CJ29" s="641"/>
      <c r="CK29" s="65">
        <v>0</v>
      </c>
      <c r="CL29" s="217">
        <f>BS!CK11-BS!CL11</f>
        <v>0</v>
      </c>
      <c r="CM29" s="217">
        <f>BS!CL11-BS!CM11</f>
        <v>0</v>
      </c>
      <c r="CN29" s="217">
        <f>BS!CM11-BS!CN11</f>
        <v>0</v>
      </c>
      <c r="CO29" s="538">
        <f>SUM(CK29:CN29)</f>
        <v>0</v>
      </c>
      <c r="CP29" s="217">
        <f>BS!CO11-BS!CP11</f>
        <v>0</v>
      </c>
      <c r="CQ29" s="217">
        <f>BS!CP11-BS!CQ11</f>
        <v>0</v>
      </c>
      <c r="CR29" s="217">
        <f>BS!CQ11-BS!CR11</f>
        <v>0</v>
      </c>
      <c r="CS29" s="217">
        <f>BS!CR11-BS!CS11</f>
        <v>0</v>
      </c>
      <c r="CT29" s="538">
        <f>SUM(CP29:CS29)</f>
        <v>0</v>
      </c>
      <c r="CU29" s="217">
        <f>BS!CT11-BS!CU11</f>
        <v>0</v>
      </c>
      <c r="CV29" s="217">
        <f>BS!CU11-BS!CV11</f>
        <v>0</v>
      </c>
      <c r="CW29" s="217">
        <f>BS!CV11-BS!CW11</f>
        <v>0</v>
      </c>
      <c r="CX29" s="217">
        <f>BS!CW11-BS!CX11</f>
        <v>0</v>
      </c>
      <c r="CY29" s="538">
        <f>SUM(CU29:CX29)</f>
        <v>0</v>
      </c>
      <c r="CZ29" s="217">
        <f>BS!CY11-BS!CZ11</f>
        <v>0</v>
      </c>
      <c r="DA29" s="217">
        <f>BS!CZ11-BS!DA11</f>
        <v>0</v>
      </c>
      <c r="DB29" s="217">
        <f>BS!DA11-BS!DB11</f>
        <v>0</v>
      </c>
      <c r="DC29" s="217">
        <f>BS!DB11-BS!DC11</f>
        <v>0</v>
      </c>
      <c r="DD29" s="538">
        <f>SUM(CZ29:DC29)</f>
        <v>0</v>
      </c>
      <c r="DE29" s="217">
        <f>BS!DD11-BS!DE11</f>
        <v>0</v>
      </c>
      <c r="DF29" s="217">
        <f>BS!DE11-BS!DF11</f>
        <v>0</v>
      </c>
      <c r="DG29" s="217">
        <f>BS!DF11-BS!DG11</f>
        <v>0</v>
      </c>
      <c r="DH29" s="217">
        <f>BS!DG11-BS!DH11</f>
        <v>0</v>
      </c>
      <c r="DI29" s="538">
        <f>SUM(DE29:DH29)</f>
        <v>0</v>
      </c>
      <c r="DJ29" s="217">
        <f>BS!DI11-BS!DJ11</f>
        <v>0</v>
      </c>
      <c r="DK29" s="217">
        <f>BS!DJ11-BS!DK11</f>
        <v>0</v>
      </c>
      <c r="DL29" s="217">
        <f>BS!DK11-BS!DL11</f>
        <v>0</v>
      </c>
      <c r="DM29" s="217">
        <f>BS!DL11-BS!DM11</f>
        <v>0</v>
      </c>
      <c r="DN29" s="538">
        <f>SUM(DJ29:DM29)</f>
        <v>0</v>
      </c>
      <c r="DO29" s="217">
        <f>BS!DN11-BS!DO11</f>
        <v>0</v>
      </c>
      <c r="DP29" s="217">
        <f>BS!DO11-BS!DP11</f>
        <v>0</v>
      </c>
      <c r="DQ29" s="217">
        <f>BS!DP11-BS!DQ11</f>
        <v>0</v>
      </c>
      <c r="DR29" s="217">
        <f>BS!DQ11-BS!DR11</f>
        <v>0</v>
      </c>
      <c r="DS29" s="538">
        <f>SUM(DO29:DR29)</f>
        <v>0</v>
      </c>
      <c r="DT29" s="217">
        <f>BS!DS11-BS!DT11</f>
        <v>0</v>
      </c>
      <c r="DU29" s="217">
        <f>BS!DT11-BS!DU11</f>
        <v>0</v>
      </c>
      <c r="DV29" s="217">
        <f>BS!DU11-BS!DV11</f>
        <v>0</v>
      </c>
      <c r="DW29" s="217">
        <f>BS!DV11-BS!DW11</f>
        <v>0</v>
      </c>
      <c r="DX29" s="538">
        <f>SUM(DT29:DW29)</f>
        <v>0</v>
      </c>
      <c r="DY29" s="1573"/>
      <c r="DZ29" s="1201"/>
      <c r="EA29" s="65" t="s">
        <v>620</v>
      </c>
      <c r="EB29" s="266"/>
      <c r="EC29" s="312"/>
      <c r="ED29" s="312"/>
      <c r="EE29" s="312"/>
      <c r="EF29" s="312"/>
      <c r="EG29" s="312"/>
      <c r="EH29" s="312"/>
      <c r="EI29" s="312"/>
      <c r="EJ29" s="312"/>
      <c r="EK29" s="312"/>
      <c r="EL29" s="359"/>
      <c r="EM29" s="16"/>
      <c r="EN29" s="16"/>
      <c r="EU29" s="16"/>
      <c r="EV29" s="16"/>
      <c r="EW29" s="16"/>
      <c r="EX29" s="16"/>
      <c r="EY29" s="16"/>
      <c r="EZ29" s="16"/>
      <c r="FA29" s="16"/>
      <c r="FB29" s="16"/>
      <c r="FC29" s="16"/>
      <c r="FD29" s="16"/>
      <c r="FE29" s="16"/>
      <c r="FF29" s="16"/>
      <c r="FG29" s="16"/>
      <c r="FH29" s="16"/>
      <c r="FI29" s="16"/>
      <c r="FJ29" s="16"/>
    </row>
    <row r="30" spans="1:166" x14ac:dyDescent="0.2">
      <c r="A30" s="498" t="s">
        <v>337</v>
      </c>
      <c r="B30" s="215"/>
      <c r="C30" s="65"/>
      <c r="D30" s="216"/>
      <c r="E30" s="65"/>
      <c r="F30" s="65"/>
      <c r="G30" s="215"/>
      <c r="H30" s="65"/>
      <c r="I30" s="216"/>
      <c r="J30" s="65"/>
      <c r="K30" s="65"/>
      <c r="L30" s="215"/>
      <c r="M30" s="65"/>
      <c r="N30" s="65"/>
      <c r="O30" s="65"/>
      <c r="P30" s="65"/>
      <c r="Q30" s="215">
        <v>-8</v>
      </c>
      <c r="R30" s="248"/>
      <c r="S30" s="65"/>
      <c r="T30" s="65"/>
      <c r="U30" s="257"/>
      <c r="V30" s="215">
        <v>-2</v>
      </c>
      <c r="W30" s="248">
        <v>-1</v>
      </c>
      <c r="X30" s="65">
        <f>1-W30</f>
        <v>2</v>
      </c>
      <c r="Y30" s="65">
        <f>9-X30-W30</f>
        <v>8</v>
      </c>
      <c r="Z30" s="257">
        <f>AA30-Y30-X30-W30</f>
        <v>-2</v>
      </c>
      <c r="AA30" s="215">
        <v>7</v>
      </c>
      <c r="AB30" s="248">
        <v>-2</v>
      </c>
      <c r="AC30" s="65">
        <f>-7-AB30</f>
        <v>-5</v>
      </c>
      <c r="AD30" s="65">
        <f>-1-AC30-AB30</f>
        <v>6</v>
      </c>
      <c r="AE30" s="65">
        <f t="shared" ref="AE30:AE36" si="84">AF30-AD30-AC30-AB30</f>
        <v>-12</v>
      </c>
      <c r="AF30" s="215">
        <v>-13</v>
      </c>
      <c r="AG30" s="248">
        <v>3</v>
      </c>
      <c r="AH30" s="65">
        <f>-11-AG30</f>
        <v>-14</v>
      </c>
      <c r="AI30" s="65">
        <f>1-AH30-AG30</f>
        <v>12</v>
      </c>
      <c r="AJ30" s="257">
        <f t="shared" ref="AJ30:AJ36" si="85">AK30-AI30-AH30-AG30</f>
        <v>-10</v>
      </c>
      <c r="AK30" s="215">
        <v>-9</v>
      </c>
      <c r="AL30" s="248">
        <v>6</v>
      </c>
      <c r="AM30" s="65">
        <f>-4-AL30</f>
        <v>-10</v>
      </c>
      <c r="AN30" s="65">
        <f>4-AM30-AL30</f>
        <v>8</v>
      </c>
      <c r="AO30" s="257">
        <f t="shared" ref="AO30:AO36" si="86">AP30-AN30-AM30-AL30</f>
        <v>-1.9000000000000004</v>
      </c>
      <c r="AP30" s="641">
        <v>2.1</v>
      </c>
      <c r="AQ30" s="65">
        <v>2.6</v>
      </c>
      <c r="AR30" s="65">
        <f>-2.3-AQ30</f>
        <v>-4.9000000000000004</v>
      </c>
      <c r="AS30" s="65">
        <f>-10.1-AR30-AQ30</f>
        <v>-7.7999999999999989</v>
      </c>
      <c r="AT30" s="65">
        <f>-15.9-AS30-AR30-AQ30</f>
        <v>-5.8000000000000007</v>
      </c>
      <c r="AU30" s="215">
        <f t="shared" si="4"/>
        <v>-15.9</v>
      </c>
      <c r="AV30" s="123"/>
      <c r="AW30" s="65">
        <f>AS30</f>
        <v>-7.7999999999999989</v>
      </c>
      <c r="AX30" s="65">
        <f>AT30</f>
        <v>-5.8000000000000007</v>
      </c>
      <c r="AY30" s="65">
        <v>7.9</v>
      </c>
      <c r="AZ30" s="65">
        <v>-8.4</v>
      </c>
      <c r="BA30" s="215">
        <f t="shared" si="5"/>
        <v>-14.1</v>
      </c>
      <c r="BB30" s="248">
        <v>10</v>
      </c>
      <c r="BC30" s="65">
        <f>8.7-BB30</f>
        <v>-1.3000000000000007</v>
      </c>
      <c r="BD30" s="65">
        <f>8.6-SUM(BB30:BC30)</f>
        <v>-9.9999999999999645E-2</v>
      </c>
      <c r="BE30" s="257">
        <f>-6-SUM(BB30:BD30)</f>
        <v>-14.6</v>
      </c>
      <c r="BF30" s="641">
        <f>SUM(BB30:BE30)</f>
        <v>-6</v>
      </c>
      <c r="BG30" s="65">
        <v>3.4</v>
      </c>
      <c r="BH30" s="65">
        <f>-4.2-BG30</f>
        <v>-7.6</v>
      </c>
      <c r="BI30" s="65">
        <f>-4.1-SUM(BG30:BH30)</f>
        <v>9.9999999999999645E-2</v>
      </c>
      <c r="BJ30" s="257">
        <f t="shared" si="59"/>
        <v>-18.100000000000001</v>
      </c>
      <c r="BK30" s="641">
        <v>-22.2</v>
      </c>
      <c r="BL30" s="65">
        <v>2.2999999999999998</v>
      </c>
      <c r="BM30" s="65">
        <f>0.7-BL30</f>
        <v>-1.5999999999999999</v>
      </c>
      <c r="BN30" s="65">
        <f>6.3-SUM(BL30:BM30)</f>
        <v>5.6</v>
      </c>
      <c r="BO30" s="257">
        <f t="shared" si="8"/>
        <v>-13.899999999999999</v>
      </c>
      <c r="BP30" s="215">
        <v>-7.6</v>
      </c>
      <c r="BQ30" s="65">
        <v>12.6</v>
      </c>
      <c r="BR30" s="65">
        <f>11.4-BQ30</f>
        <v>-1.1999999999999993</v>
      </c>
      <c r="BS30" s="65">
        <f>10-BR30-BQ30</f>
        <v>-1.4000000000000004</v>
      </c>
      <c r="BT30" s="257">
        <f t="shared" ref="BT30:BT36" si="87">BU30-SUM(BQ30:BS30)</f>
        <v>-34</v>
      </c>
      <c r="BU30" s="641">
        <v>-24</v>
      </c>
      <c r="BV30" s="65">
        <v>55.6</v>
      </c>
      <c r="BW30" s="1385">
        <f>59.9-BV30</f>
        <v>4.2999999999999972</v>
      </c>
      <c r="BX30" s="65">
        <f>35.4-BW30-BV30</f>
        <v>-24.5</v>
      </c>
      <c r="BY30" s="257">
        <f t="shared" si="31"/>
        <v>-61.9</v>
      </c>
      <c r="BZ30" s="641">
        <v>-26.5</v>
      </c>
      <c r="CA30" s="1201">
        <v>33.799999999999997</v>
      </c>
      <c r="CB30" s="65">
        <f>21.4-CA30</f>
        <v>-12.399999999999999</v>
      </c>
      <c r="CC30" s="65">
        <f>20-CB30-CA30</f>
        <v>-1.3999999999999986</v>
      </c>
      <c r="CD30" s="257">
        <f>CE30-CC30-CA30-CB30</f>
        <v>-35.800000000000004</v>
      </c>
      <c r="CE30" s="641">
        <v>-15.8</v>
      </c>
      <c r="CF30" s="65">
        <v>47.8</v>
      </c>
      <c r="CG30" s="65">
        <f>27.4-CF30</f>
        <v>-20.399999999999999</v>
      </c>
      <c r="CH30" s="65">
        <f>0.3-SUM(CF30:CG30)</f>
        <v>-27.099999999999998</v>
      </c>
      <c r="CI30" s="257">
        <f t="shared" si="83"/>
        <v>-30.699999999999996</v>
      </c>
      <c r="CJ30" s="641">
        <v>-30.4</v>
      </c>
      <c r="CK30" s="65">
        <v>15.4</v>
      </c>
      <c r="CL30" s="217">
        <f>BS!CK12-BS!CL12</f>
        <v>11.668762734989116</v>
      </c>
      <c r="CM30" s="217">
        <f>BS!CL12-BS!CM12</f>
        <v>-45.024746426507818</v>
      </c>
      <c r="CN30" s="320">
        <f>BS!CM12-BS!CN12</f>
        <v>-48.358140091787902</v>
      </c>
      <c r="CO30" s="538">
        <f>SUM(CK30:CN30)</f>
        <v>-66.314123783306599</v>
      </c>
      <c r="CP30" s="217">
        <f>BS!CO12-BS!CP12</f>
        <v>70.737738942346766</v>
      </c>
      <c r="CQ30" s="217">
        <f>BS!CP12-BS!CQ12</f>
        <v>-32.271110849240586</v>
      </c>
      <c r="CR30" s="217">
        <f>BS!CQ12-BS!CR12</f>
        <v>-35.596672061592415</v>
      </c>
      <c r="CS30" s="320">
        <f>BS!CR12-BS!CS12</f>
        <v>-37.985352913466386</v>
      </c>
      <c r="CT30" s="538">
        <f>SUM(CP30:CS30)</f>
        <v>-35.11539688195262</v>
      </c>
      <c r="CU30" s="217">
        <f>BS!CT12-BS!CU12</f>
        <v>73.246386106131354</v>
      </c>
      <c r="CV30" s="217">
        <f>BS!CU12-BS!CV12</f>
        <v>-34.789680966772039</v>
      </c>
      <c r="CW30" s="217">
        <f>BS!CV12-BS!CW12</f>
        <v>-38.585190761727063</v>
      </c>
      <c r="CX30" s="320">
        <f>BS!CW12-BS!CX12</f>
        <v>-40.968136431630228</v>
      </c>
      <c r="CY30" s="538">
        <f>SUM(CU30:CX30)</f>
        <v>-41.096622053997976</v>
      </c>
      <c r="CZ30" s="217">
        <f>BS!CY12-BS!CZ12</f>
        <v>78.338343215152918</v>
      </c>
      <c r="DA30" s="217">
        <f>BS!CZ12-BS!DA12</f>
        <v>-36.706745402829256</v>
      </c>
      <c r="DB30" s="217">
        <f>BS!DA12-BS!DB12</f>
        <v>-43.209241692952673</v>
      </c>
      <c r="DC30" s="320">
        <f>BS!DB12-BS!DC12</f>
        <v>-45.760235451169933</v>
      </c>
      <c r="DD30" s="538">
        <f>SUM(CZ30:DC30)</f>
        <v>-47.337879331798945</v>
      </c>
      <c r="DE30" s="217">
        <f>BS!DD12-BS!DE12</f>
        <v>85.974360550874621</v>
      </c>
      <c r="DF30" s="217">
        <f>BS!DE12-BS!DF12</f>
        <v>-39.731634382069387</v>
      </c>
      <c r="DG30" s="217">
        <f>BS!DF12-BS!DG12</f>
        <v>-44.234394480959281</v>
      </c>
      <c r="DH30" s="320">
        <f>BS!DG12-BS!DH12</f>
        <v>-46.743155232750041</v>
      </c>
      <c r="DI30" s="538">
        <f>SUM(DE30:DH30)</f>
        <v>-44.734823544904089</v>
      </c>
      <c r="DJ30" s="217">
        <f>BS!DI12-BS!DJ12</f>
        <v>91.348240908302841</v>
      </c>
      <c r="DK30" s="217">
        <f>BS!DJ12-BS!DK12</f>
        <v>-42.538107163034738</v>
      </c>
      <c r="DL30" s="217">
        <f>BS!DK12-BS!DL12</f>
        <v>-47.156420554894794</v>
      </c>
      <c r="DM30" s="320">
        <f>BS!DL12-BS!DM12</f>
        <v>-49.733212138467138</v>
      </c>
      <c r="DN30" s="538">
        <f>SUM(DJ30:DM30)</f>
        <v>-48.079498948093828</v>
      </c>
      <c r="DO30" s="217">
        <f>BS!DN12-BS!DO12</f>
        <v>95.844786617547811</v>
      </c>
      <c r="DP30" s="217">
        <f>BS!DO12-BS!DP12</f>
        <v>-45.258859536398404</v>
      </c>
      <c r="DQ30" s="217">
        <f>BS!DP12-BS!DQ12</f>
        <v>-50.147655423824176</v>
      </c>
      <c r="DR30" s="320">
        <f>BS!DQ12-BS!DR12</f>
        <v>-52.873296563657277</v>
      </c>
      <c r="DS30" s="538">
        <f>SUM(DO30:DR30)</f>
        <v>-52.435024906332046</v>
      </c>
      <c r="DT30" s="217">
        <f>BS!DS12-BS!DT12</f>
        <v>106.31744090680161</v>
      </c>
      <c r="DU30" s="217">
        <f>BS!DT12-BS!DU12</f>
        <v>-47.905722717766821</v>
      </c>
      <c r="DV30" s="217">
        <f>BS!DU12-BS!DV12</f>
        <v>-53.073386596659816</v>
      </c>
      <c r="DW30" s="320">
        <f>BS!DV12-BS!DW12</f>
        <v>-55.948297390603898</v>
      </c>
      <c r="DX30" s="538">
        <f>SUM(DT30:DW30)</f>
        <v>-50.609965798228927</v>
      </c>
      <c r="DY30" s="1573"/>
      <c r="DZ30" s="1201"/>
      <c r="EA30" s="65" t="s">
        <v>271</v>
      </c>
      <c r="EB30" s="266">
        <f t="shared" si="56"/>
        <v>-1</v>
      </c>
      <c r="EC30" s="312">
        <f t="shared" si="57"/>
        <v>-17</v>
      </c>
      <c r="ED30" s="312">
        <f t="shared" si="42"/>
        <v>-2</v>
      </c>
      <c r="EE30" s="312">
        <f t="shared" si="43"/>
        <v>3.7999999999999989</v>
      </c>
      <c r="EF30" s="312">
        <f t="shared" si="44"/>
        <v>-14.1</v>
      </c>
      <c r="EG30" s="312">
        <f t="shared" si="45"/>
        <v>-6</v>
      </c>
      <c r="EH30" s="312">
        <f t="shared" si="46"/>
        <v>-22.2</v>
      </c>
      <c r="EI30" s="312">
        <f t="shared" si="26"/>
        <v>-7.6</v>
      </c>
      <c r="EJ30" s="312">
        <f t="shared" si="27"/>
        <v>-24</v>
      </c>
      <c r="EK30" s="312">
        <f t="shared" si="28"/>
        <v>-26.5</v>
      </c>
      <c r="EL30" s="359">
        <f t="shared" si="29"/>
        <v>-15.8</v>
      </c>
      <c r="EM30" s="16"/>
      <c r="EN30" s="16"/>
      <c r="EU30" s="16"/>
      <c r="EV30" s="16"/>
      <c r="EW30" s="16"/>
      <c r="EX30" s="16"/>
      <c r="EY30" s="16"/>
      <c r="EZ30" s="16"/>
      <c r="FA30" s="16"/>
      <c r="FB30" s="16"/>
      <c r="FC30" s="16"/>
      <c r="FD30" s="16"/>
      <c r="FE30" s="16"/>
      <c r="FF30" s="16"/>
      <c r="FG30" s="16"/>
      <c r="FH30" s="16"/>
      <c r="FI30" s="16"/>
      <c r="FJ30" s="16"/>
    </row>
    <row r="31" spans="1:166" x14ac:dyDescent="0.2">
      <c r="A31" s="498" t="s">
        <v>624</v>
      </c>
      <c r="B31" s="218"/>
      <c r="C31" s="219"/>
      <c r="D31" s="220"/>
      <c r="E31" s="219"/>
      <c r="F31" s="219"/>
      <c r="G31" s="218"/>
      <c r="H31" s="219"/>
      <c r="I31" s="220"/>
      <c r="J31" s="219"/>
      <c r="K31" s="219"/>
      <c r="L31" s="218"/>
      <c r="M31" s="219"/>
      <c r="N31" s="219"/>
      <c r="O31" s="219"/>
      <c r="P31" s="219"/>
      <c r="Q31" s="215">
        <v>-6</v>
      </c>
      <c r="R31" s="248"/>
      <c r="S31" s="65"/>
      <c r="T31" s="65"/>
      <c r="U31" s="257"/>
      <c r="V31" s="215">
        <v>-2</v>
      </c>
      <c r="W31" s="248">
        <v>-13</v>
      </c>
      <c r="X31" s="65">
        <f>-12-W31</f>
        <v>1</v>
      </c>
      <c r="Y31" s="219">
        <f>-12-X31-W31</f>
        <v>0</v>
      </c>
      <c r="Z31" s="257">
        <f t="shared" ref="Z31:Z36" si="88">AA31-Y31-X31-W31</f>
        <v>8</v>
      </c>
      <c r="AA31" s="215">
        <v>-4</v>
      </c>
      <c r="AB31" s="248">
        <v>-10</v>
      </c>
      <c r="AC31" s="219">
        <f>-10-AB31</f>
        <v>0</v>
      </c>
      <c r="AD31" s="65">
        <f>-13-AC31-AB31</f>
        <v>-3</v>
      </c>
      <c r="AE31" s="65">
        <f t="shared" si="84"/>
        <v>-4</v>
      </c>
      <c r="AF31" s="215">
        <v>-17</v>
      </c>
      <c r="AG31" s="248">
        <v>8</v>
      </c>
      <c r="AH31" s="65">
        <f>15-AG31</f>
        <v>7</v>
      </c>
      <c r="AI31" s="65">
        <f>14-AH31-AG31</f>
        <v>-1</v>
      </c>
      <c r="AJ31" s="257">
        <f t="shared" si="85"/>
        <v>1</v>
      </c>
      <c r="AK31" s="215">
        <v>15</v>
      </c>
      <c r="AL31" s="248">
        <v>-37</v>
      </c>
      <c r="AM31" s="65">
        <f>-7-AL31</f>
        <v>30</v>
      </c>
      <c r="AN31" s="65">
        <f>3-AM31-AL31</f>
        <v>10</v>
      </c>
      <c r="AO31" s="257">
        <f t="shared" si="86"/>
        <v>-38.400000000000006</v>
      </c>
      <c r="AP31" s="641">
        <v>-35.4</v>
      </c>
      <c r="AQ31" s="65">
        <v>5.9</v>
      </c>
      <c r="AR31" s="65">
        <f>16.1-AQ31</f>
        <v>10.200000000000001</v>
      </c>
      <c r="AS31" s="65">
        <f>12.9-AR31-AQ31</f>
        <v>-3.2000000000000011</v>
      </c>
      <c r="AT31" s="65">
        <f>-1.4-AS31-AR31-AQ31</f>
        <v>-14.3</v>
      </c>
      <c r="AU31" s="215">
        <f t="shared" si="4"/>
        <v>-1.4000000000000004</v>
      </c>
      <c r="AV31" s="123"/>
      <c r="AW31" s="65">
        <f t="shared" ref="AW31:AW36" si="89">AS31</f>
        <v>-3.2000000000000011</v>
      </c>
      <c r="AX31" s="65">
        <f t="shared" ref="AX31:AX36" si="90">AT31</f>
        <v>-14.3</v>
      </c>
      <c r="AY31" s="65">
        <v>28.3</v>
      </c>
      <c r="AZ31" s="65">
        <v>-101.1</v>
      </c>
      <c r="BA31" s="215">
        <f t="shared" si="5"/>
        <v>-90.3</v>
      </c>
      <c r="BB31" s="248">
        <v>2.2000000000000002</v>
      </c>
      <c r="BC31" s="65">
        <f>19.4-BB31</f>
        <v>17.2</v>
      </c>
      <c r="BD31" s="65">
        <f>91.9-SUM(BB31:BC31)</f>
        <v>72.5</v>
      </c>
      <c r="BE31" s="257">
        <f>105.5-SUM(BB31:BD31)</f>
        <v>13.599999999999994</v>
      </c>
      <c r="BF31" s="641">
        <f t="shared" ref="BF31:BF38" si="91">SUM(BB31:BE31)</f>
        <v>105.5</v>
      </c>
      <c r="BG31" s="65">
        <v>-9.1999999999999993</v>
      </c>
      <c r="BH31" s="65">
        <f>-35.1-BG31</f>
        <v>-25.900000000000002</v>
      </c>
      <c r="BI31" s="65">
        <f>-8.9-SUM(BG31:BH31)</f>
        <v>26.200000000000003</v>
      </c>
      <c r="BJ31" s="257">
        <f t="shared" si="59"/>
        <v>1.8999999999999986</v>
      </c>
      <c r="BK31" s="641">
        <v>-7</v>
      </c>
      <c r="BL31" s="65">
        <v>-1.6</v>
      </c>
      <c r="BM31" s="65">
        <f>0.7-BL31</f>
        <v>2.2999999999999998</v>
      </c>
      <c r="BN31" s="65">
        <f>-0.2-SUM(BL31:BM31)</f>
        <v>-0.89999999999999969</v>
      </c>
      <c r="BO31" s="257">
        <f t="shared" si="8"/>
        <v>-7.6</v>
      </c>
      <c r="BP31" s="215">
        <v>-7.8</v>
      </c>
      <c r="BQ31" s="65">
        <v>6</v>
      </c>
      <c r="BR31" s="65">
        <f>7.7-BQ31</f>
        <v>1.7000000000000002</v>
      </c>
      <c r="BS31" s="65">
        <f>10.8-BR31-BQ31</f>
        <v>3.1000000000000014</v>
      </c>
      <c r="BT31" s="257">
        <f t="shared" si="87"/>
        <v>-34.900000000000006</v>
      </c>
      <c r="BU31" s="641">
        <v>-24.1</v>
      </c>
      <c r="BV31" s="65">
        <v>-3</v>
      </c>
      <c r="BW31" s="1385">
        <f>5-BV31</f>
        <v>8</v>
      </c>
      <c r="BX31" s="65">
        <f>-5.1-BW31-BV31</f>
        <v>-10.1</v>
      </c>
      <c r="BY31" s="257">
        <f t="shared" si="31"/>
        <v>14.299999999999999</v>
      </c>
      <c r="BZ31" s="641">
        <v>9.1999999999999993</v>
      </c>
      <c r="CA31" s="1201">
        <v>-79</v>
      </c>
      <c r="CB31" s="65">
        <f>-69.4-CA31</f>
        <v>9.5999999999999943</v>
      </c>
      <c r="CC31" s="65">
        <f>-3-CB31-CA31</f>
        <v>66.400000000000006</v>
      </c>
      <c r="CD31" s="257">
        <f>CE31-CC31-CA31-CB31</f>
        <v>10.700000000000003</v>
      </c>
      <c r="CE31" s="641">
        <v>7.7</v>
      </c>
      <c r="CF31" s="65">
        <v>-8.4</v>
      </c>
      <c r="CG31" s="65">
        <f>-11.1-CF31</f>
        <v>-2.6999999999999993</v>
      </c>
      <c r="CH31" s="65">
        <f>-12.5-SUM(CF31:CG31)</f>
        <v>-1.4000000000000004</v>
      </c>
      <c r="CI31" s="257">
        <f t="shared" si="83"/>
        <v>15.4</v>
      </c>
      <c r="CJ31" s="641">
        <f>2.9</f>
        <v>2.9</v>
      </c>
      <c r="CK31" s="65">
        <v>-7</v>
      </c>
      <c r="CL31" s="217">
        <f>BS!CK13-BS!CL13</f>
        <v>57.446693067853687</v>
      </c>
      <c r="CM31" s="217">
        <f>BS!CL13-BS!CM13</f>
        <v>-4.1669938529937269</v>
      </c>
      <c r="CN31" s="320">
        <f>BS!CM13-BS!CN13</f>
        <v>-55.951063457704919</v>
      </c>
      <c r="CO31" s="538">
        <f t="shared" ref="CO31:CO36" si="92">SUM(CK31:CN31)</f>
        <v>-9.6713642428449589</v>
      </c>
      <c r="CP31" s="217">
        <f>BS!CO13-BS!CP13</f>
        <v>54.945914360933443</v>
      </c>
      <c r="CQ31" s="217">
        <f>BS!CP13-BS!CQ13</f>
        <v>-7.4693311475971029</v>
      </c>
      <c r="CR31" s="217">
        <f>BS!CQ13-BS!CR13</f>
        <v>-1.4339438256460966</v>
      </c>
      <c r="CS31" s="320">
        <f>BS!CR13-BS!CS13</f>
        <v>-56.594974050615278</v>
      </c>
      <c r="CT31" s="538">
        <f t="shared" ref="CT31:CT36" si="93">SUM(CP31:CS31)</f>
        <v>-10.552334662925034</v>
      </c>
      <c r="CU31" s="217">
        <f>BS!CT13-BS!CU13</f>
        <v>57.995093632909885</v>
      </c>
      <c r="CV31" s="217">
        <f>BS!CU13-BS!CV13</f>
        <v>-8.0518653793211001</v>
      </c>
      <c r="CW31" s="217">
        <f>BS!CV13-BS!CW13</f>
        <v>-1.6503678826206993</v>
      </c>
      <c r="CX31" s="320">
        <f>BS!CW13-BS!CX13</f>
        <v>-60.64258009327061</v>
      </c>
      <c r="CY31" s="538">
        <f t="shared" ref="CY31:CY36" si="94">SUM(CU31:CX31)</f>
        <v>-12.349719722302524</v>
      </c>
      <c r="CZ31" s="217">
        <f>BS!CY13-BS!CZ13</f>
        <v>62.059762001851809</v>
      </c>
      <c r="DA31" s="217">
        <f>BS!CZ13-BS!DA13</f>
        <v>-8.4962244673249785</v>
      </c>
      <c r="DB31" s="217">
        <f>BS!DA13-BS!DB13</f>
        <v>-2.1884549778682754</v>
      </c>
      <c r="DC31" s="320">
        <f>BS!DB13-BS!DC13</f>
        <v>-65.600328155378548</v>
      </c>
      <c r="DD31" s="538">
        <f t="shared" ref="DD31:DD36" si="95">SUM(CZ31:DC31)</f>
        <v>-14.225245598719994</v>
      </c>
      <c r="DE31" s="217">
        <f>BS!DD13-BS!DE13</f>
        <v>67.149192395397108</v>
      </c>
      <c r="DF31" s="217">
        <f>BS!DE13-BS!DF13</f>
        <v>-9.1959139233923111</v>
      </c>
      <c r="DG31" s="217">
        <f>BS!DF13-BS!DG13</f>
        <v>-1.8831706433611828</v>
      </c>
      <c r="DH31" s="320">
        <f>BS!DG13-BS!DH13</f>
        <v>-69.513123458500758</v>
      </c>
      <c r="DI31" s="538">
        <f t="shared" ref="DI31:DI36" si="96">SUM(DE31:DH31)</f>
        <v>-13.443015629857143</v>
      </c>
      <c r="DJ31" s="217">
        <f>BS!DI13-BS!DJ13</f>
        <v>71.534841816644473</v>
      </c>
      <c r="DK31" s="217">
        <f>BS!DJ13-BS!DK13</f>
        <v>-9.8452959894108574</v>
      </c>
      <c r="DL31" s="217">
        <f>BS!DK13-BS!DL13</f>
        <v>-1.9979908060270759</v>
      </c>
      <c r="DM31" s="320">
        <f>BS!DL13-BS!DM13</f>
        <v>-74.139660649390066</v>
      </c>
      <c r="DN31" s="538">
        <f t="shared" ref="DN31:DN36" si="97">SUM(DJ31:DM31)</f>
        <v>-14.448105628183527</v>
      </c>
      <c r="DO31" s="217">
        <f>BS!DN13-BS!DO13</f>
        <v>75.95405240395479</v>
      </c>
      <c r="DP31" s="217">
        <f>BS!DO13-BS!DP13</f>
        <v>-10.475304375217235</v>
      </c>
      <c r="DQ31" s="217">
        <f>BS!DP13-BS!DQ13</f>
        <v>-2.0767148508263915</v>
      </c>
      <c r="DR31" s="320">
        <f>BS!DQ13-BS!DR13</f>
        <v>-79.158993941603825</v>
      </c>
      <c r="DS31" s="538">
        <f t="shared" ref="DS31:DS36" si="98">SUM(DO31:DR31)</f>
        <v>-15.756960763692661</v>
      </c>
      <c r="DT31" s="217">
        <f>BS!DS13-BS!DT13</f>
        <v>82.055031199684436</v>
      </c>
      <c r="DU31" s="217">
        <f>BS!DT13-BS!DU13</f>
        <v>-11.088166092853442</v>
      </c>
      <c r="DV31" s="217">
        <f>BS!DU13-BS!DV13</f>
        <v>-2.1621335043142267</v>
      </c>
      <c r="DW31" s="320">
        <f>BS!DV13-BS!DW13</f>
        <v>-84.013253897663418</v>
      </c>
      <c r="DX31" s="538">
        <f t="shared" ref="DX31:DX36" si="99">SUM(DT31:DW31)</f>
        <v>-15.208522295146651</v>
      </c>
      <c r="DY31" s="1574"/>
      <c r="DZ31" s="1201"/>
      <c r="EA31" s="65" t="s">
        <v>272</v>
      </c>
      <c r="EB31" s="266">
        <f t="shared" si="56"/>
        <v>-2</v>
      </c>
      <c r="EC31" s="312">
        <f t="shared" si="57"/>
        <v>8</v>
      </c>
      <c r="ED31" s="312">
        <f t="shared" si="42"/>
        <v>-7</v>
      </c>
      <c r="EE31" s="312">
        <f t="shared" si="43"/>
        <v>-12.300000000000006</v>
      </c>
      <c r="EF31" s="312">
        <f t="shared" si="44"/>
        <v>-90.3</v>
      </c>
      <c r="EG31" s="312">
        <f t="shared" si="45"/>
        <v>105.5</v>
      </c>
      <c r="EH31" s="312">
        <f t="shared" si="46"/>
        <v>-7</v>
      </c>
      <c r="EI31" s="312">
        <f t="shared" si="26"/>
        <v>-7.8</v>
      </c>
      <c r="EJ31" s="312">
        <f t="shared" si="27"/>
        <v>-24.1</v>
      </c>
      <c r="EK31" s="312">
        <f t="shared" si="28"/>
        <v>9.1999999999999993</v>
      </c>
      <c r="EL31" s="359">
        <f t="shared" si="29"/>
        <v>7.7</v>
      </c>
      <c r="EM31" s="25"/>
      <c r="EN31" s="25"/>
      <c r="EU31" s="25"/>
      <c r="EV31" s="25"/>
      <c r="EW31" s="25"/>
      <c r="EX31" s="25"/>
      <c r="EY31" s="25"/>
      <c r="EZ31" s="25"/>
      <c r="FA31" s="25"/>
      <c r="FB31" s="25"/>
      <c r="FC31" s="25"/>
      <c r="FD31" s="25"/>
      <c r="FE31" s="25"/>
      <c r="FF31" s="25"/>
      <c r="FG31" s="25"/>
      <c r="FH31" s="25"/>
      <c r="FI31" s="25"/>
      <c r="FJ31" s="25"/>
    </row>
    <row r="32" spans="1:166" x14ac:dyDescent="0.2">
      <c r="A32" s="498" t="s">
        <v>269</v>
      </c>
      <c r="B32" s="215"/>
      <c r="C32" s="65"/>
      <c r="D32" s="216"/>
      <c r="E32" s="65"/>
      <c r="F32" s="65"/>
      <c r="G32" s="215"/>
      <c r="H32" s="65"/>
      <c r="I32" s="216"/>
      <c r="J32" s="65"/>
      <c r="K32" s="65"/>
      <c r="L32" s="215"/>
      <c r="M32" s="65"/>
      <c r="N32" s="217"/>
      <c r="O32" s="65"/>
      <c r="P32" s="65"/>
      <c r="Q32" s="215">
        <v>23</v>
      </c>
      <c r="R32" s="248"/>
      <c r="S32" s="65"/>
      <c r="T32" s="65"/>
      <c r="U32" s="257"/>
      <c r="V32" s="215">
        <v>-21</v>
      </c>
      <c r="W32" s="248">
        <v>-27</v>
      </c>
      <c r="X32" s="65">
        <f>-20-W32</f>
        <v>7</v>
      </c>
      <c r="Y32" s="65">
        <f>-23-X32-W32</f>
        <v>-3</v>
      </c>
      <c r="Z32" s="257">
        <f t="shared" si="88"/>
        <v>31</v>
      </c>
      <c r="AA32" s="215">
        <v>8</v>
      </c>
      <c r="AB32" s="248">
        <v>-39</v>
      </c>
      <c r="AC32" s="65">
        <f>-28-AB32</f>
        <v>11</v>
      </c>
      <c r="AD32" s="65">
        <f>-26-AC32-AB32</f>
        <v>2</v>
      </c>
      <c r="AE32" s="65">
        <f t="shared" si="84"/>
        <v>31</v>
      </c>
      <c r="AF32" s="215">
        <v>5</v>
      </c>
      <c r="AG32" s="248">
        <v>-38</v>
      </c>
      <c r="AH32" s="65">
        <f>-29-AG32</f>
        <v>9</v>
      </c>
      <c r="AI32" s="65">
        <f>-30-AH32-AG32</f>
        <v>-1</v>
      </c>
      <c r="AJ32" s="257">
        <f t="shared" si="85"/>
        <v>51</v>
      </c>
      <c r="AK32" s="215">
        <v>21</v>
      </c>
      <c r="AL32" s="248">
        <v>-33</v>
      </c>
      <c r="AM32" s="65">
        <f>-45-AL32</f>
        <v>-12</v>
      </c>
      <c r="AN32" s="65">
        <f>-52-AM32-AL32</f>
        <v>-7</v>
      </c>
      <c r="AO32" s="257">
        <f t="shared" si="86"/>
        <v>55.3</v>
      </c>
      <c r="AP32" s="641">
        <v>3.3</v>
      </c>
      <c r="AQ32" s="65">
        <v>-44.1</v>
      </c>
      <c r="AR32" s="65">
        <f>-22.9-AQ32</f>
        <v>21.200000000000003</v>
      </c>
      <c r="AS32" s="65">
        <f>-55.7-AR32-AQ32</f>
        <v>-32.800000000000004</v>
      </c>
      <c r="AT32" s="65">
        <f>-20.8-AS32-AR32-AQ32</f>
        <v>34.900000000000006</v>
      </c>
      <c r="AU32" s="215">
        <f t="shared" si="4"/>
        <v>-20.799999999999997</v>
      </c>
      <c r="AV32" s="300"/>
      <c r="AW32" s="65">
        <f t="shared" si="89"/>
        <v>-32.800000000000004</v>
      </c>
      <c r="AX32" s="65">
        <f t="shared" si="90"/>
        <v>34.900000000000006</v>
      </c>
      <c r="AY32" s="65">
        <v>-13</v>
      </c>
      <c r="AZ32" s="65">
        <v>-4.5</v>
      </c>
      <c r="BA32" s="215">
        <f t="shared" si="5"/>
        <v>-15.399999999999999</v>
      </c>
      <c r="BB32" s="248">
        <v>-16.2</v>
      </c>
      <c r="BC32" s="65">
        <f>-33-BB32</f>
        <v>-16.8</v>
      </c>
      <c r="BD32" s="65">
        <f>-5-SUM(BB32:BC32)</f>
        <v>28</v>
      </c>
      <c r="BE32" s="257">
        <f>8.7-SUM(BB32:BD32)</f>
        <v>13.7</v>
      </c>
      <c r="BF32" s="641">
        <f t="shared" si="91"/>
        <v>8.6999999999999993</v>
      </c>
      <c r="BG32" s="65">
        <v>-9.6999999999999993</v>
      </c>
      <c r="BH32" s="65">
        <f>-15.8-BG32</f>
        <v>-6.1000000000000014</v>
      </c>
      <c r="BI32" s="65">
        <f>-34.7-SUM(BG32:BH32)</f>
        <v>-18.900000000000002</v>
      </c>
      <c r="BJ32" s="257">
        <f t="shared" si="59"/>
        <v>10.800000000000004</v>
      </c>
      <c r="BK32" s="641">
        <v>-23.9</v>
      </c>
      <c r="BL32" s="65">
        <v>-17</v>
      </c>
      <c r="BM32" s="65">
        <f>-19.8-BL32</f>
        <v>-2.8000000000000007</v>
      </c>
      <c r="BN32" s="65">
        <f>-35.7-SUM(BL32:BM32)</f>
        <v>-15.900000000000002</v>
      </c>
      <c r="BO32" s="257">
        <f t="shared" si="8"/>
        <v>5.1000000000000014</v>
      </c>
      <c r="BP32" s="215">
        <v>-30.6</v>
      </c>
      <c r="BQ32" s="65">
        <v>9.9</v>
      </c>
      <c r="BR32" s="65">
        <f>-8.4-BQ32</f>
        <v>-18.3</v>
      </c>
      <c r="BS32" s="65">
        <f>1.8-BR32-BQ32</f>
        <v>10.200000000000001</v>
      </c>
      <c r="BT32" s="257">
        <f t="shared" si="87"/>
        <v>-19.7</v>
      </c>
      <c r="BU32" s="641">
        <v>-17.899999999999999</v>
      </c>
      <c r="BV32" s="65">
        <v>24.4</v>
      </c>
      <c r="BW32" s="1385">
        <f>39.3-BV32</f>
        <v>14.899999999999999</v>
      </c>
      <c r="BX32" s="65">
        <f>138.8-BW32-BV32</f>
        <v>99.5</v>
      </c>
      <c r="BY32" s="257">
        <f t="shared" si="31"/>
        <v>52.399999999999977</v>
      </c>
      <c r="BZ32" s="641">
        <v>191.2</v>
      </c>
      <c r="CA32" s="1201">
        <v>-6</v>
      </c>
      <c r="CB32" s="65">
        <f>7.4-CA32</f>
        <v>13.4</v>
      </c>
      <c r="CC32" s="65">
        <f>11.8-CB32-CA32</f>
        <v>4.4000000000000004</v>
      </c>
      <c r="CD32" s="257">
        <f>CE32-CC32-CA32-CB32</f>
        <v>15.700000000000001</v>
      </c>
      <c r="CE32" s="641">
        <v>27.5</v>
      </c>
      <c r="CF32" s="65">
        <v>14.6</v>
      </c>
      <c r="CG32" s="65">
        <f>-9.5-CF32</f>
        <v>-24.1</v>
      </c>
      <c r="CH32" s="65">
        <f>-30.4-SUM(CF32:CG32)</f>
        <v>-20.9</v>
      </c>
      <c r="CI32" s="257">
        <f t="shared" si="83"/>
        <v>50.3</v>
      </c>
      <c r="CJ32" s="641">
        <v>19.899999999999999</v>
      </c>
      <c r="CK32" s="65">
        <v>-72.8</v>
      </c>
      <c r="CL32" s="217">
        <f>BS!CL25-BS!CK25</f>
        <v>-18.30473558244671</v>
      </c>
      <c r="CM32" s="217">
        <f>BS!CM25-BS!CL25</f>
        <v>-18.44418856900262</v>
      </c>
      <c r="CN32" s="320">
        <f>BS!CN25-BS!CM25</f>
        <v>45.510056959124256</v>
      </c>
      <c r="CO32" s="538">
        <f t="shared" si="92"/>
        <v>-64.038867192325071</v>
      </c>
      <c r="CP32" s="217">
        <f>BS!CP25-BS!CO25</f>
        <v>3.1478146620557368</v>
      </c>
      <c r="CQ32" s="217">
        <f>BS!CQ25-BS!CP25</f>
        <v>-18.344726569131296</v>
      </c>
      <c r="CR32" s="217">
        <f>BS!CR25-BS!CQ25</f>
        <v>-16.021345785177061</v>
      </c>
      <c r="CS32" s="320">
        <f>BS!CS25-BS!CR25</f>
        <v>48.844663270126375</v>
      </c>
      <c r="CT32" s="538">
        <f t="shared" si="93"/>
        <v>17.626405577873754</v>
      </c>
      <c r="CU32" s="217">
        <f>BS!CU25-BS!CT25</f>
        <v>6.0229448811646193</v>
      </c>
      <c r="CV32" s="217">
        <f>BS!CV25-BS!CU25</f>
        <v>-17.429269548120089</v>
      </c>
      <c r="CW32" s="217">
        <f>BS!CW25-BS!CV25</f>
        <v>-15.17596379291308</v>
      </c>
      <c r="CX32" s="320">
        <f>BS!CX25-BS!CW25</f>
        <v>53.407033331518505</v>
      </c>
      <c r="CY32" s="538">
        <f t="shared" si="94"/>
        <v>26.824744871649955</v>
      </c>
      <c r="CZ32" s="217">
        <f>BS!CZ25-BS!CY25</f>
        <v>10.201998160726816</v>
      </c>
      <c r="DA32" s="217">
        <f>BS!DA25-BS!CZ25</f>
        <v>-19.140210226737793</v>
      </c>
      <c r="DB32" s="217">
        <f>BS!DB25-BS!DA25</f>
        <v>-12.596867208717129</v>
      </c>
      <c r="DC32" s="320">
        <f>BS!DC25-BS!DB25</f>
        <v>61.10951644937694</v>
      </c>
      <c r="DD32" s="538">
        <f t="shared" si="95"/>
        <v>39.574437174648835</v>
      </c>
      <c r="DE32" s="217">
        <f>BS!DE25-BS!DD25</f>
        <v>2.952198233057743</v>
      </c>
      <c r="DF32" s="217">
        <f>BS!DF25-BS!DE25</f>
        <v>-22.964979890995778</v>
      </c>
      <c r="DG32" s="217">
        <f>BS!DG25-BS!DF25</f>
        <v>-20.12450860887202</v>
      </c>
      <c r="DH32" s="320">
        <f>BS!DH25-BS!DG25</f>
        <v>56.671986615924652</v>
      </c>
      <c r="DI32" s="538">
        <f t="shared" si="96"/>
        <v>16.534696349114597</v>
      </c>
      <c r="DJ32" s="217">
        <f>BS!DJ25-BS!DI25</f>
        <v>6.4658129059162093</v>
      </c>
      <c r="DK32" s="217">
        <f>BS!DK25-BS!DJ25</f>
        <v>-20.696612930528829</v>
      </c>
      <c r="DL32" s="217">
        <f>BS!DL25-BS!DK25</f>
        <v>-18.042637318716061</v>
      </c>
      <c r="DM32" s="320">
        <f>BS!DM25-BS!DL25</f>
        <v>62.758806081153864</v>
      </c>
      <c r="DN32" s="538">
        <f t="shared" si="97"/>
        <v>30.485368737825183</v>
      </c>
      <c r="DO32" s="217">
        <f>BS!DO25-BS!DN25</f>
        <v>23.297284216471212</v>
      </c>
      <c r="DP32" s="217">
        <f>BS!DP25-BS!DO25</f>
        <v>-8.1540287156082059</v>
      </c>
      <c r="DQ32" s="217">
        <f>BS!DQ25-BS!DP25</f>
        <v>-5.755625822383422</v>
      </c>
      <c r="DR32" s="320">
        <f>BS!DR25-BS!DQ25</f>
        <v>87.000577840267852</v>
      </c>
      <c r="DS32" s="538">
        <f t="shared" si="98"/>
        <v>96.388207518747436</v>
      </c>
      <c r="DT32" s="217">
        <f>BS!DT25-BS!DS25</f>
        <v>6.2042172354554168</v>
      </c>
      <c r="DU32" s="217">
        <f>BS!DU25-BS!DT25</f>
        <v>-25.785952048727495</v>
      </c>
      <c r="DV32" s="217">
        <f>BS!DV25-BS!DU25</f>
        <v>-22.498779398591068</v>
      </c>
      <c r="DW32" s="320">
        <f>BS!DW25-BS!DV25</f>
        <v>77.436332086790003</v>
      </c>
      <c r="DX32" s="538">
        <f t="shared" si="99"/>
        <v>35.355817874926856</v>
      </c>
      <c r="DY32" s="1573"/>
      <c r="DZ32" s="1201"/>
      <c r="EA32" s="65" t="s">
        <v>273</v>
      </c>
      <c r="EB32" s="266">
        <f t="shared" si="56"/>
        <v>0</v>
      </c>
      <c r="EC32" s="312">
        <f t="shared" si="57"/>
        <v>4</v>
      </c>
      <c r="ED32" s="312">
        <f t="shared" si="42"/>
        <v>5</v>
      </c>
      <c r="EE32" s="312">
        <f t="shared" si="43"/>
        <v>25.4</v>
      </c>
      <c r="EF32" s="312">
        <f t="shared" si="44"/>
        <v>-15.399999999999999</v>
      </c>
      <c r="EG32" s="312">
        <f t="shared" si="45"/>
        <v>8.6999999999999993</v>
      </c>
      <c r="EH32" s="312">
        <f t="shared" si="46"/>
        <v>-23.9</v>
      </c>
      <c r="EI32" s="312">
        <f t="shared" si="26"/>
        <v>-30.6</v>
      </c>
      <c r="EJ32" s="312">
        <f t="shared" si="27"/>
        <v>-17.899999999999999</v>
      </c>
      <c r="EK32" s="312">
        <f t="shared" si="28"/>
        <v>191.2</v>
      </c>
      <c r="EL32" s="359">
        <f t="shared" si="29"/>
        <v>27.5</v>
      </c>
      <c r="EM32" s="16"/>
      <c r="EN32" s="16"/>
      <c r="EU32" s="16"/>
      <c r="EV32" s="16"/>
      <c r="EW32" s="16"/>
      <c r="EX32" s="16"/>
      <c r="EY32" s="16"/>
      <c r="EZ32" s="16"/>
      <c r="FA32" s="16"/>
      <c r="FB32" s="16"/>
      <c r="FC32" s="16"/>
      <c r="FD32" s="16"/>
      <c r="FE32" s="16"/>
      <c r="FF32" s="16"/>
      <c r="FG32" s="16"/>
      <c r="FH32" s="16"/>
      <c r="FI32" s="16"/>
      <c r="FJ32" s="16"/>
    </row>
    <row r="33" spans="1:166" x14ac:dyDescent="0.2">
      <c r="A33" s="498" t="s">
        <v>270</v>
      </c>
      <c r="B33" s="215"/>
      <c r="C33" s="65"/>
      <c r="D33" s="216"/>
      <c r="E33" s="65"/>
      <c r="F33" s="65"/>
      <c r="G33" s="215"/>
      <c r="H33" s="65"/>
      <c r="I33" s="216"/>
      <c r="J33" s="65"/>
      <c r="K33" s="65"/>
      <c r="L33" s="215"/>
      <c r="M33" s="65"/>
      <c r="N33" s="217"/>
      <c r="O33" s="65"/>
      <c r="P33" s="65"/>
      <c r="Q33" s="215">
        <v>-3</v>
      </c>
      <c r="R33" s="248"/>
      <c r="S33" s="65"/>
      <c r="T33" s="65"/>
      <c r="U33" s="257"/>
      <c r="V33" s="215">
        <v>7</v>
      </c>
      <c r="W33" s="248">
        <v>13</v>
      </c>
      <c r="X33" s="65">
        <f>8-W33</f>
        <v>-5</v>
      </c>
      <c r="Y33" s="65">
        <f>-9-X33-W33</f>
        <v>-17</v>
      </c>
      <c r="Z33" s="257">
        <f t="shared" si="88"/>
        <v>-1</v>
      </c>
      <c r="AA33" s="215">
        <v>-10</v>
      </c>
      <c r="AB33" s="248">
        <v>19</v>
      </c>
      <c r="AC33" s="65">
        <f>5-AB33</f>
        <v>-14</v>
      </c>
      <c r="AD33" s="65">
        <f>13-AC33-AB33</f>
        <v>8</v>
      </c>
      <c r="AE33" s="65">
        <f t="shared" si="84"/>
        <v>1</v>
      </c>
      <c r="AF33" s="215">
        <v>14</v>
      </c>
      <c r="AG33" s="248">
        <v>32</v>
      </c>
      <c r="AH33" s="65">
        <f>30-AG33</f>
        <v>-2</v>
      </c>
      <c r="AI33" s="65">
        <f>29-AH33-AG33</f>
        <v>-1</v>
      </c>
      <c r="AJ33" s="257">
        <f t="shared" si="85"/>
        <v>-18</v>
      </c>
      <c r="AK33" s="215">
        <v>11</v>
      </c>
      <c r="AL33" s="248">
        <v>15</v>
      </c>
      <c r="AM33" s="65">
        <f>5-AL33</f>
        <v>-10</v>
      </c>
      <c r="AN33" s="65">
        <f>0-AM33-AL33</f>
        <v>-5</v>
      </c>
      <c r="AO33" s="257">
        <f t="shared" si="86"/>
        <v>-7.7</v>
      </c>
      <c r="AP33" s="641">
        <v>-7.7</v>
      </c>
      <c r="AQ33" s="65">
        <v>22.2</v>
      </c>
      <c r="AR33" s="65">
        <f>3.6-AQ33</f>
        <v>-18.599999999999998</v>
      </c>
      <c r="AS33" s="65">
        <f>15.9-AR33-AQ33</f>
        <v>12.3</v>
      </c>
      <c r="AT33" s="65">
        <f>6.4-AS33-AR33-AQ33</f>
        <v>-9.5000000000000018</v>
      </c>
      <c r="AU33" s="215">
        <f t="shared" si="4"/>
        <v>6.4</v>
      </c>
      <c r="AV33" s="243"/>
      <c r="AW33" s="65">
        <f t="shared" si="89"/>
        <v>12.3</v>
      </c>
      <c r="AX33" s="65">
        <f t="shared" si="90"/>
        <v>-9.5000000000000018</v>
      </c>
      <c r="AY33" s="65">
        <v>5.2</v>
      </c>
      <c r="AZ33" s="65">
        <v>2.9</v>
      </c>
      <c r="BA33" s="215">
        <f t="shared" si="5"/>
        <v>10.899999999999999</v>
      </c>
      <c r="BB33" s="248">
        <v>6.6</v>
      </c>
      <c r="BC33" s="65">
        <f>4.1-BB33</f>
        <v>-2.5</v>
      </c>
      <c r="BD33" s="65">
        <f>7.2-SUM(BB33:BC33)</f>
        <v>3.1000000000000005</v>
      </c>
      <c r="BE33" s="257">
        <f>18.3-SUM(BB33:BD33)</f>
        <v>11.100000000000001</v>
      </c>
      <c r="BF33" s="641">
        <f t="shared" si="91"/>
        <v>18.3</v>
      </c>
      <c r="BG33" s="65">
        <v>-6.2</v>
      </c>
      <c r="BH33" s="65">
        <f>-45.4-BG33</f>
        <v>-39.199999999999996</v>
      </c>
      <c r="BI33" s="65">
        <f>-31-SUM(BG33:BH33)</f>
        <v>14.399999999999999</v>
      </c>
      <c r="BJ33" s="257">
        <f t="shared" si="59"/>
        <v>-1.2999999999999972</v>
      </c>
      <c r="BK33" s="641">
        <v>-32.299999999999997</v>
      </c>
      <c r="BL33" s="65">
        <v>13.3</v>
      </c>
      <c r="BM33" s="65">
        <f>0.2-BL33</f>
        <v>-13.100000000000001</v>
      </c>
      <c r="BN33" s="65">
        <f>9.7-SUM(BL33:BM33)</f>
        <v>9.5</v>
      </c>
      <c r="BO33" s="257">
        <f t="shared" si="8"/>
        <v>-20.299999999999997</v>
      </c>
      <c r="BP33" s="215">
        <v>-10.6</v>
      </c>
      <c r="BQ33" s="65">
        <v>-11.7</v>
      </c>
      <c r="BR33" s="65">
        <f>-13.1-BQ33</f>
        <v>-1.4000000000000004</v>
      </c>
      <c r="BS33" s="65">
        <f>-22.2-BR33-BQ33</f>
        <v>-9.0999999999999979</v>
      </c>
      <c r="BT33" s="257">
        <f t="shared" si="87"/>
        <v>-13.700000000000003</v>
      </c>
      <c r="BU33" s="641">
        <v>-35.9</v>
      </c>
      <c r="BV33" s="65">
        <v>-0.2</v>
      </c>
      <c r="BW33" s="1385">
        <f>6.2-BV33</f>
        <v>6.4</v>
      </c>
      <c r="BX33" s="65">
        <f>29.8-BW33-BV33</f>
        <v>23.599999999999998</v>
      </c>
      <c r="BY33" s="257">
        <f t="shared" si="31"/>
        <v>3.1000000000000014</v>
      </c>
      <c r="BZ33" s="641">
        <v>32.9</v>
      </c>
      <c r="CA33" s="1201">
        <v>-15.7</v>
      </c>
      <c r="CB33" s="65">
        <f>-15.8-CA33</f>
        <v>-0.10000000000000142</v>
      </c>
      <c r="CC33" s="65">
        <f>4-CB33-CA33</f>
        <v>19.8</v>
      </c>
      <c r="CD33" s="257">
        <f>CE33-CC33-CA33-CB33</f>
        <v>-14.099999999999998</v>
      </c>
      <c r="CE33" s="641">
        <v>-10.1</v>
      </c>
      <c r="CF33" s="65">
        <v>27.2</v>
      </c>
      <c r="CG33" s="65">
        <f>1.3-CF33</f>
        <v>-25.9</v>
      </c>
      <c r="CH33" s="65">
        <f>18.1-SUM(CF33:CG33)</f>
        <v>16.8</v>
      </c>
      <c r="CI33" s="257">
        <f t="shared" si="83"/>
        <v>-16.800000000000004</v>
      </c>
      <c r="CJ33" s="641">
        <v>1.3</v>
      </c>
      <c r="CK33" s="65">
        <v>0</v>
      </c>
      <c r="CL33" s="217">
        <f>BS!CL26-BS!CK26+(BS!CL29-BS!CK29)</f>
        <v>0</v>
      </c>
      <c r="CM33" s="217">
        <f>BS!CM26-BS!CL26+(BS!CM29-BS!CL29)</f>
        <v>0</v>
      </c>
      <c r="CN33" s="217">
        <f>BS!CN26-BS!CM26+(BS!CN29-BS!CM29)</f>
        <v>0</v>
      </c>
      <c r="CO33" s="538">
        <f t="shared" si="92"/>
        <v>0</v>
      </c>
      <c r="CP33" s="217">
        <f>BS!CP26-BS!CO26+(BS!CP29-BS!CO29)</f>
        <v>0</v>
      </c>
      <c r="CQ33" s="217">
        <f>BS!CQ26-BS!CP26+(BS!CQ29-BS!CP29)</f>
        <v>0</v>
      </c>
      <c r="CR33" s="217">
        <f>BS!CR26-BS!CQ26+(BS!CR29-BS!CQ29)</f>
        <v>0</v>
      </c>
      <c r="CS33" s="217">
        <f>BS!CS26-BS!CR26+(BS!CS29-BS!CR29)</f>
        <v>0</v>
      </c>
      <c r="CT33" s="538">
        <f t="shared" si="93"/>
        <v>0</v>
      </c>
      <c r="CU33" s="217">
        <f>BS!CU26-BS!CT26+(BS!CU29-BS!CT29)</f>
        <v>0</v>
      </c>
      <c r="CV33" s="217">
        <f>BS!CV26-BS!CU26+(BS!CV29-BS!CU29)</f>
        <v>0</v>
      </c>
      <c r="CW33" s="217">
        <f>BS!CW26-BS!CV26+(BS!CW29-BS!CV29)</f>
        <v>0</v>
      </c>
      <c r="CX33" s="217">
        <f>BS!CX26-BS!CW26+(BS!CX29-BS!CW29)</f>
        <v>0</v>
      </c>
      <c r="CY33" s="538">
        <f t="shared" si="94"/>
        <v>0</v>
      </c>
      <c r="CZ33" s="217">
        <f>BS!CZ26-BS!CY26+(BS!CZ29-BS!CY29)</f>
        <v>0</v>
      </c>
      <c r="DA33" s="217">
        <f>BS!DA26-BS!CZ26+(BS!DA29-BS!CZ29)</f>
        <v>0</v>
      </c>
      <c r="DB33" s="217">
        <f>BS!DB26-BS!DA26+(BS!DB29-BS!DA29)</f>
        <v>0</v>
      </c>
      <c r="DC33" s="217">
        <f>BS!DC26-BS!DB26+(BS!DC29-BS!DB29)</f>
        <v>0</v>
      </c>
      <c r="DD33" s="538">
        <f t="shared" si="95"/>
        <v>0</v>
      </c>
      <c r="DE33" s="217">
        <f>BS!DE26-BS!DD26+(BS!DE29-BS!DD29)</f>
        <v>0</v>
      </c>
      <c r="DF33" s="217">
        <f>BS!DF26-BS!DE26+(BS!DF29-BS!DE29)</f>
        <v>0</v>
      </c>
      <c r="DG33" s="217">
        <f>BS!DG26-BS!DF26+(BS!DG29-BS!DF29)</f>
        <v>0</v>
      </c>
      <c r="DH33" s="217">
        <f>BS!DH26-BS!DG26+(BS!DH29-BS!DG29)</f>
        <v>0</v>
      </c>
      <c r="DI33" s="538">
        <f t="shared" si="96"/>
        <v>0</v>
      </c>
      <c r="DJ33" s="217">
        <f>BS!DJ26-BS!DI26+(BS!DJ29-BS!DI29)</f>
        <v>0</v>
      </c>
      <c r="DK33" s="217">
        <f>BS!DK26-BS!DJ26+(BS!DK29-BS!DJ29)</f>
        <v>0</v>
      </c>
      <c r="DL33" s="217">
        <f>BS!DL26-BS!DK26+(BS!DL29-BS!DK29)</f>
        <v>0</v>
      </c>
      <c r="DM33" s="217">
        <f>BS!DM26-BS!DL26+(BS!DM29-BS!DL29)</f>
        <v>0</v>
      </c>
      <c r="DN33" s="538">
        <f t="shared" si="97"/>
        <v>0</v>
      </c>
      <c r="DO33" s="217">
        <f>BS!DO26-BS!DN26+(BS!DO29-BS!DN29)</f>
        <v>0</v>
      </c>
      <c r="DP33" s="217">
        <f>BS!DP26-BS!DO26+(BS!DP29-BS!DO29)</f>
        <v>0</v>
      </c>
      <c r="DQ33" s="217">
        <f>BS!DQ26-BS!DP26+(BS!DQ29-BS!DP29)</f>
        <v>0</v>
      </c>
      <c r="DR33" s="217">
        <f>BS!DR26-BS!DQ26+(BS!DR29-BS!DQ29)</f>
        <v>0</v>
      </c>
      <c r="DS33" s="538">
        <f t="shared" si="98"/>
        <v>0</v>
      </c>
      <c r="DT33" s="217">
        <f>BS!DT26-BS!DS26+(BS!DT29-BS!DS29)</f>
        <v>0</v>
      </c>
      <c r="DU33" s="217">
        <f>BS!DU26-BS!DT26+(BS!DU29-BS!DT29)</f>
        <v>0</v>
      </c>
      <c r="DV33" s="217">
        <f>BS!DV26-BS!DU26+(BS!DV29-BS!DU29)</f>
        <v>0</v>
      </c>
      <c r="DW33" s="217">
        <f>BS!DW26-BS!DV26+(BS!DW29-BS!DV29)</f>
        <v>0</v>
      </c>
      <c r="DX33" s="538">
        <f t="shared" si="99"/>
        <v>0</v>
      </c>
      <c r="DY33" s="1573"/>
      <c r="DZ33" s="1201"/>
      <c r="EA33" s="65" t="s">
        <v>274</v>
      </c>
      <c r="EB33" s="266">
        <f t="shared" si="56"/>
        <v>-13</v>
      </c>
      <c r="EC33" s="312">
        <f t="shared" si="57"/>
        <v>39</v>
      </c>
      <c r="ED33" s="312">
        <f t="shared" si="42"/>
        <v>-14</v>
      </c>
      <c r="EE33" s="312">
        <f t="shared" si="43"/>
        <v>-9.0999999999999979</v>
      </c>
      <c r="EF33" s="312">
        <f t="shared" si="44"/>
        <v>10.899999999999999</v>
      </c>
      <c r="EG33" s="312">
        <f t="shared" si="45"/>
        <v>18.3</v>
      </c>
      <c r="EH33" s="312">
        <f t="shared" si="46"/>
        <v>-32.299999999999997</v>
      </c>
      <c r="EI33" s="312">
        <f t="shared" si="26"/>
        <v>-10.6</v>
      </c>
      <c r="EJ33" s="312">
        <f t="shared" si="27"/>
        <v>-35.9</v>
      </c>
      <c r="EK33" s="312">
        <f t="shared" si="28"/>
        <v>32.9</v>
      </c>
      <c r="EL33" s="359">
        <f t="shared" si="29"/>
        <v>-10.1</v>
      </c>
      <c r="EM33" s="16"/>
      <c r="EN33" s="16"/>
      <c r="EU33" s="16"/>
      <c r="EV33" s="16"/>
      <c r="EW33" s="16"/>
      <c r="EX33" s="16"/>
      <c r="EY33" s="16"/>
      <c r="EZ33" s="16"/>
      <c r="FA33" s="16"/>
      <c r="FB33" s="16"/>
      <c r="FC33" s="16"/>
      <c r="FD33" s="16"/>
      <c r="FE33" s="16"/>
      <c r="FF33" s="16"/>
      <c r="FG33" s="16"/>
      <c r="FH33" s="16"/>
      <c r="FI33" s="16"/>
      <c r="FJ33" s="16"/>
    </row>
    <row r="34" spans="1:166" x14ac:dyDescent="0.2">
      <c r="A34" s="498" t="s">
        <v>192</v>
      </c>
      <c r="B34" s="215"/>
      <c r="C34" s="65"/>
      <c r="D34" s="216"/>
      <c r="E34" s="65"/>
      <c r="F34" s="65"/>
      <c r="G34" s="215"/>
      <c r="H34" s="65"/>
      <c r="I34" s="216"/>
      <c r="J34" s="65"/>
      <c r="K34" s="65"/>
      <c r="L34" s="215"/>
      <c r="M34" s="65"/>
      <c r="N34" s="217"/>
      <c r="O34" s="65"/>
      <c r="P34" s="65"/>
      <c r="Q34" s="215">
        <v>28</v>
      </c>
      <c r="R34" s="248"/>
      <c r="S34" s="65"/>
      <c r="T34" s="65"/>
      <c r="U34" s="257"/>
      <c r="V34" s="215">
        <v>48</v>
      </c>
      <c r="W34" s="248">
        <v>-33</v>
      </c>
      <c r="X34" s="65">
        <f>-27-W34</f>
        <v>6</v>
      </c>
      <c r="Y34" s="65">
        <f>7-X34-W34</f>
        <v>34</v>
      </c>
      <c r="Z34" s="257">
        <f t="shared" si="88"/>
        <v>-37</v>
      </c>
      <c r="AA34" s="215">
        <v>-30</v>
      </c>
      <c r="AB34" s="248">
        <v>-80</v>
      </c>
      <c r="AC34" s="65">
        <f>-86-AB34</f>
        <v>-6</v>
      </c>
      <c r="AD34" s="65">
        <f>-80-AC34-AB34</f>
        <v>6</v>
      </c>
      <c r="AE34" s="65">
        <f t="shared" si="84"/>
        <v>-21</v>
      </c>
      <c r="AF34" s="215">
        <v>-101</v>
      </c>
      <c r="AG34" s="248">
        <v>-6</v>
      </c>
      <c r="AH34" s="65">
        <f>5-AG34</f>
        <v>11</v>
      </c>
      <c r="AI34" s="65">
        <f>9-AH34-AG34</f>
        <v>4</v>
      </c>
      <c r="AJ34" s="257">
        <f t="shared" si="85"/>
        <v>-15</v>
      </c>
      <c r="AK34" s="215">
        <v>-6</v>
      </c>
      <c r="AL34" s="248">
        <v>-23</v>
      </c>
      <c r="AM34" s="65">
        <f>-14-AL34</f>
        <v>9</v>
      </c>
      <c r="AN34" s="65">
        <f>-5-AM34-AL34</f>
        <v>9</v>
      </c>
      <c r="AO34" s="257">
        <f t="shared" si="86"/>
        <v>-15.799999999999997</v>
      </c>
      <c r="AP34" s="641">
        <v>-20.8</v>
      </c>
      <c r="AQ34" s="65">
        <v>-9.6</v>
      </c>
      <c r="AR34" s="65">
        <f>-25.1-AQ34</f>
        <v>-15.500000000000002</v>
      </c>
      <c r="AS34" s="65">
        <f>-0.1-AR34-AQ34</f>
        <v>25</v>
      </c>
      <c r="AT34" s="65">
        <f>-22.3-AS34-AR34-AQ34</f>
        <v>-22.199999999999996</v>
      </c>
      <c r="AU34" s="215">
        <f t="shared" si="4"/>
        <v>-22.299999999999997</v>
      </c>
      <c r="AV34" s="243"/>
      <c r="AW34" s="65">
        <f t="shared" si="89"/>
        <v>25</v>
      </c>
      <c r="AX34" s="65">
        <f t="shared" si="90"/>
        <v>-22.199999999999996</v>
      </c>
      <c r="AY34" s="65">
        <v>15.8</v>
      </c>
      <c r="AZ34" s="65">
        <v>71.7</v>
      </c>
      <c r="BA34" s="215">
        <f t="shared" si="5"/>
        <v>90.300000000000011</v>
      </c>
      <c r="BB34" s="248">
        <v>0.2</v>
      </c>
      <c r="BC34" s="65">
        <f>-35.3-BB34</f>
        <v>-35.5</v>
      </c>
      <c r="BD34" s="65">
        <f>-9-SUM(BB34:BC34)</f>
        <v>26.299999999999997</v>
      </c>
      <c r="BE34" s="257">
        <f>18.4-SUM(BB34:BD34)</f>
        <v>27.4</v>
      </c>
      <c r="BF34" s="641">
        <f t="shared" si="91"/>
        <v>18.399999999999999</v>
      </c>
      <c r="BG34" s="65">
        <v>-5.4</v>
      </c>
      <c r="BH34" s="65">
        <f>-47.1-BG34</f>
        <v>-41.7</v>
      </c>
      <c r="BI34" s="65">
        <f>-47.7-SUM(BG34:BH34)</f>
        <v>-0.60000000000000142</v>
      </c>
      <c r="BJ34" s="257">
        <f t="shared" si="59"/>
        <v>7.4000000000000057</v>
      </c>
      <c r="BK34" s="641">
        <v>-40.299999999999997</v>
      </c>
      <c r="BL34" s="65">
        <v>3</v>
      </c>
      <c r="BM34" s="65">
        <f>-35.7-BL34</f>
        <v>-38.700000000000003</v>
      </c>
      <c r="BN34" s="65">
        <f>-4.9-SUM(BL34:BM34)</f>
        <v>30.800000000000004</v>
      </c>
      <c r="BO34" s="257">
        <f t="shared" si="8"/>
        <v>-0.50000000000000178</v>
      </c>
      <c r="BP34" s="215">
        <v>-5.4</v>
      </c>
      <c r="BQ34" s="65">
        <v>1.4</v>
      </c>
      <c r="BR34" s="65">
        <f>4.8-BQ34</f>
        <v>3.4</v>
      </c>
      <c r="BS34" s="65">
        <f>88-BR34-BQ34</f>
        <v>83.199999999999989</v>
      </c>
      <c r="BT34" s="257">
        <f t="shared" si="87"/>
        <v>34.90000000000002</v>
      </c>
      <c r="BU34" s="641">
        <v>122.9</v>
      </c>
      <c r="BV34" s="65">
        <v>5.8</v>
      </c>
      <c r="BW34" s="1385">
        <f>35.9-BV34</f>
        <v>30.099999999999998</v>
      </c>
      <c r="BX34" s="65">
        <f>172.2-BW34-BV34</f>
        <v>136.29999999999998</v>
      </c>
      <c r="BY34" s="257">
        <f t="shared" si="31"/>
        <v>-115.99999999999999</v>
      </c>
      <c r="BZ34" s="641">
        <v>56.2</v>
      </c>
      <c r="CA34" s="1201">
        <v>3.6</v>
      </c>
      <c r="CB34" s="65">
        <f>-17.5-CA34</f>
        <v>-21.1</v>
      </c>
      <c r="CC34" s="65">
        <f>-23.8-CB34-CA34</f>
        <v>-6.2999999999999989</v>
      </c>
      <c r="CD34" s="257">
        <f>CE34-CC34-CA34-CB34</f>
        <v>22.6</v>
      </c>
      <c r="CE34" s="641">
        <v>-1.2</v>
      </c>
      <c r="CF34" s="65">
        <v>-82.6</v>
      </c>
      <c r="CG34" s="65">
        <f>-164.2-CF34</f>
        <v>-81.599999999999994</v>
      </c>
      <c r="CH34" s="65">
        <f>-161.4-SUM(CF34:CG34)</f>
        <v>2.7999999999999829</v>
      </c>
      <c r="CI34" s="257">
        <f t="shared" si="83"/>
        <v>521.50000000000011</v>
      </c>
      <c r="CJ34" s="641">
        <v>360.1</v>
      </c>
      <c r="CK34" s="65">
        <v>-374.7</v>
      </c>
      <c r="CL34" s="217">
        <f>(BS!CL27-BS!CK27)+(BS!CL28-BS!CK28)</f>
        <v>-34.644223254605279</v>
      </c>
      <c r="CM34" s="217">
        <f>(BS!CM27-BS!CL27)+(BS!CM28-BS!CL28)</f>
        <v>48.199245316813816</v>
      </c>
      <c r="CN34" s="217">
        <f>(BS!CN27-BS!CM27)+(BS!CN28-BS!CM28)</f>
        <v>460.58060153323396</v>
      </c>
      <c r="CO34" s="538">
        <f t="shared" si="92"/>
        <v>99.435623595442507</v>
      </c>
      <c r="CP34" s="217">
        <f>(BS!CP27-BS!CO27)+(BS!CP28-BS!CO28)</f>
        <v>-413.93952350362053</v>
      </c>
      <c r="CQ34" s="217">
        <f>(BS!CQ27-BS!CP27)+(BS!CQ28-BS!CP28)</f>
        <v>-22.166777505532423</v>
      </c>
      <c r="CR34" s="217">
        <f>(BS!CR27-BS!CQ27)+(BS!CR28-BS!CQ28)</f>
        <v>35.864895729048982</v>
      </c>
      <c r="CS34" s="217">
        <f>(BS!CS27-BS!CR27)+(BS!CS28-BS!CR28)</f>
        <v>470.7519547751258</v>
      </c>
      <c r="CT34" s="538">
        <f t="shared" si="93"/>
        <v>70.510549495021792</v>
      </c>
      <c r="CU34" s="217">
        <f>(BS!CU27-BS!CT27)+(BS!CU28-BS!CT28)</f>
        <v>-433.4853280017191</v>
      </c>
      <c r="CV34" s="217">
        <f>(BS!CV27-BS!CU27)+(BS!CV28-BS!CU28)</f>
        <v>-24.538551510174187</v>
      </c>
      <c r="CW34" s="217">
        <f>(BS!CW27-BS!CV27)+(BS!CW28-BS!CV28)</f>
        <v>39.250546471823128</v>
      </c>
      <c r="CX34" s="217">
        <f>(BS!CX27-BS!CW27)+(BS!CX28-BS!CW28)</f>
        <v>501.17342614945005</v>
      </c>
      <c r="CY34" s="538">
        <f t="shared" si="94"/>
        <v>82.400093109379895</v>
      </c>
      <c r="CZ34" s="217">
        <f>(BS!CZ27-BS!CY27)+(BS!CZ28-BS!CY28)</f>
        <v>-463.07408046298121</v>
      </c>
      <c r="DA34" s="217">
        <f>(BS!DA27-BS!CZ27)+(BS!DA28-BS!CZ28)</f>
        <v>-24.697349145424823</v>
      </c>
      <c r="DB34" s="217">
        <f>(BS!DB27-BS!DA27)+(BS!DB28-BS!DA28)</f>
        <v>44.58189210875102</v>
      </c>
      <c r="DC34" s="217">
        <f>(BS!DC27-BS!DB27)+(BS!DC28-BS!DB28)</f>
        <v>537.66168950055271</v>
      </c>
      <c r="DD34" s="538">
        <f t="shared" si="95"/>
        <v>94.472152000897722</v>
      </c>
      <c r="DE34" s="217">
        <f>(BS!DE27-BS!DD27)+(BS!DE28-BS!DD28)</f>
        <v>-497.45710978446289</v>
      </c>
      <c r="DF34" s="217">
        <f>(BS!DF27-BS!DE27)+(BS!DF28-BS!DE28)</f>
        <v>-25.348648127516526</v>
      </c>
      <c r="DG34" s="217">
        <f>(BS!DG27-BS!DF27)+(BS!DG28-BS!DF28)</f>
        <v>45.54691948241225</v>
      </c>
      <c r="DH34" s="217">
        <f>(BS!DH27-BS!DG27)+(BS!DH28-BS!DG28)</f>
        <v>568.43224977096725</v>
      </c>
      <c r="DI34" s="538">
        <f t="shared" si="96"/>
        <v>91.173411341400083</v>
      </c>
      <c r="DJ34" s="217">
        <f>(BS!DJ27-BS!DI27)+(BS!DJ28-BS!DI28)</f>
        <v>-528.1177393467209</v>
      </c>
      <c r="DK34" s="217">
        <f>(BS!DK27-BS!DJ27)+(BS!DK28-BS!DJ28)</f>
        <v>-26.543142228368964</v>
      </c>
      <c r="DL34" s="217">
        <f>(BS!DL27-BS!DK27)+(BS!DL28-BS!DK28)</f>
        <v>48.662812153870817</v>
      </c>
      <c r="DM34" s="217">
        <f>(BS!DM27-BS!DL27)+(BS!DM28-BS!DL28)</f>
        <v>603.77491914291886</v>
      </c>
      <c r="DN34" s="538">
        <f t="shared" si="97"/>
        <v>97.776849721699818</v>
      </c>
      <c r="DO34" s="217">
        <f>(BS!DO27-BS!DN27)+(BS!DO28-BS!DN28)</f>
        <v>-557.2995016554122</v>
      </c>
      <c r="DP34" s="217">
        <f>(BS!DP27-BS!DO27)+(BS!DP28-BS!DO28)</f>
        <v>-30.280181910759694</v>
      </c>
      <c r="DQ34" s="217">
        <f>(BS!DQ27-BS!DP27)+(BS!DQ28-BS!DP28)</f>
        <v>51.822103142067192</v>
      </c>
      <c r="DR34" s="217">
        <f>(BS!DR27-BS!DQ27)+(BS!DR28-BS!DQ28)</f>
        <v>642.02589731138119</v>
      </c>
      <c r="DS34" s="538">
        <f t="shared" si="98"/>
        <v>106.26831688727657</v>
      </c>
      <c r="DT34" s="217">
        <f>(BS!DT27-BS!DS27)+(BS!DT28-BS!DS28)</f>
        <v>-600.75963338594306</v>
      </c>
      <c r="DU34" s="217">
        <f>(BS!DU27-BS!DT27)+(BS!DU28-BS!DT28)</f>
        <v>-30.050579842246918</v>
      </c>
      <c r="DV34" s="217">
        <f>(BS!DV27-BS!DU27)+(BS!DV28-BS!DU28)</f>
        <v>54.90161836572517</v>
      </c>
      <c r="DW34" s="217">
        <f>(BS!DW27-BS!DV27)+(BS!DW28-BS!DV28)</f>
        <v>679.33667792825645</v>
      </c>
      <c r="DX34" s="538">
        <f t="shared" si="99"/>
        <v>103.42808306579172</v>
      </c>
      <c r="DY34" s="1573"/>
      <c r="DZ34" s="1201"/>
      <c r="EA34" s="65" t="s">
        <v>262</v>
      </c>
      <c r="EB34" s="266">
        <f t="shared" si="56"/>
        <v>-89</v>
      </c>
      <c r="EC34" s="312">
        <f t="shared" si="57"/>
        <v>-10</v>
      </c>
      <c r="ED34" s="312">
        <f t="shared" si="42"/>
        <v>-25</v>
      </c>
      <c r="EE34" s="312">
        <f t="shared" si="43"/>
        <v>-31.9</v>
      </c>
      <c r="EF34" s="312">
        <f t="shared" si="44"/>
        <v>90.300000000000011</v>
      </c>
      <c r="EG34" s="312">
        <f t="shared" si="45"/>
        <v>18.399999999999999</v>
      </c>
      <c r="EH34" s="312">
        <f t="shared" si="46"/>
        <v>-40.299999999999997</v>
      </c>
      <c r="EI34" s="312">
        <f t="shared" si="26"/>
        <v>-5.4</v>
      </c>
      <c r="EJ34" s="312">
        <f t="shared" si="27"/>
        <v>122.9</v>
      </c>
      <c r="EK34" s="312">
        <f t="shared" si="28"/>
        <v>56.2</v>
      </c>
      <c r="EL34" s="359">
        <f t="shared" si="29"/>
        <v>-1.2</v>
      </c>
      <c r="EM34" s="16"/>
      <c r="EN34" s="16"/>
      <c r="EU34" s="16"/>
      <c r="EV34" s="16"/>
      <c r="EW34" s="16"/>
      <c r="EX34" s="16"/>
      <c r="EY34" s="16"/>
      <c r="EZ34" s="16"/>
      <c r="FA34" s="16"/>
      <c r="FB34" s="16"/>
      <c r="FC34" s="16"/>
      <c r="FD34" s="16"/>
      <c r="FE34" s="16"/>
      <c r="FF34" s="16"/>
      <c r="FG34" s="16"/>
      <c r="FH34" s="16"/>
      <c r="FI34" s="16"/>
      <c r="FJ34" s="16"/>
    </row>
    <row r="35" spans="1:166" x14ac:dyDescent="0.2">
      <c r="A35" s="497" t="s">
        <v>338</v>
      </c>
      <c r="B35" s="215"/>
      <c r="C35" s="65"/>
      <c r="D35" s="216"/>
      <c r="E35" s="65"/>
      <c r="F35" s="65"/>
      <c r="G35" s="215"/>
      <c r="H35" s="65"/>
      <c r="I35" s="216"/>
      <c r="J35" s="65"/>
      <c r="K35" s="65"/>
      <c r="L35" s="215"/>
      <c r="M35" s="65"/>
      <c r="N35" s="217"/>
      <c r="O35" s="65"/>
      <c r="P35" s="65"/>
      <c r="Q35" s="215">
        <v>0</v>
      </c>
      <c r="R35" s="248"/>
      <c r="S35" s="65"/>
      <c r="T35" s="65"/>
      <c r="U35" s="257"/>
      <c r="V35" s="215">
        <v>0</v>
      </c>
      <c r="W35" s="248">
        <v>-103</v>
      </c>
      <c r="X35" s="65">
        <f>-103-W35</f>
        <v>0</v>
      </c>
      <c r="Y35" s="65">
        <f>-103-X35-W35</f>
        <v>0</v>
      </c>
      <c r="Z35" s="257">
        <f t="shared" si="88"/>
        <v>0</v>
      </c>
      <c r="AA35" s="215">
        <v>-103</v>
      </c>
      <c r="AB35" s="248">
        <v>0</v>
      </c>
      <c r="AC35" s="65">
        <v>0</v>
      </c>
      <c r="AD35" s="65">
        <v>0</v>
      </c>
      <c r="AE35" s="257">
        <f t="shared" si="84"/>
        <v>0</v>
      </c>
      <c r="AF35" s="215">
        <v>0</v>
      </c>
      <c r="AG35" s="248">
        <v>0</v>
      </c>
      <c r="AH35" s="65">
        <v>0</v>
      </c>
      <c r="AI35" s="65">
        <f>0-AH35-AG35</f>
        <v>0</v>
      </c>
      <c r="AJ35" s="257">
        <f t="shared" si="85"/>
        <v>0</v>
      </c>
      <c r="AK35" s="215">
        <v>0</v>
      </c>
      <c r="AL35" s="248">
        <v>0</v>
      </c>
      <c r="AM35" s="65">
        <v>0</v>
      </c>
      <c r="AN35" s="65">
        <v>0</v>
      </c>
      <c r="AO35" s="257">
        <f t="shared" si="86"/>
        <v>0</v>
      </c>
      <c r="AP35" s="641">
        <v>0</v>
      </c>
      <c r="AQ35" s="65">
        <v>0</v>
      </c>
      <c r="AR35" s="65">
        <v>0</v>
      </c>
      <c r="AS35" s="65">
        <v>0</v>
      </c>
      <c r="AT35" s="65">
        <f>0-AS35-AR35-AQ35</f>
        <v>0</v>
      </c>
      <c r="AU35" s="215">
        <f t="shared" si="4"/>
        <v>0</v>
      </c>
      <c r="AV35" s="243"/>
      <c r="AW35" s="65">
        <f t="shared" si="89"/>
        <v>0</v>
      </c>
      <c r="AX35" s="65">
        <f t="shared" si="90"/>
        <v>0</v>
      </c>
      <c r="AY35" s="65">
        <v>0</v>
      </c>
      <c r="AZ35" s="65">
        <v>0</v>
      </c>
      <c r="BA35" s="215">
        <f t="shared" si="5"/>
        <v>0</v>
      </c>
      <c r="BB35" s="248">
        <v>0</v>
      </c>
      <c r="BC35" s="65">
        <f>0-BB35</f>
        <v>0</v>
      </c>
      <c r="BD35" s="65">
        <f>0-SUM(BB35:BC35)</f>
        <v>0</v>
      </c>
      <c r="BE35" s="65">
        <f>0-SUM(BB35:BD35)</f>
        <v>0</v>
      </c>
      <c r="BF35" s="641">
        <f t="shared" si="91"/>
        <v>0</v>
      </c>
      <c r="BG35" s="65">
        <v>0</v>
      </c>
      <c r="BH35" s="65">
        <f>0-BG35</f>
        <v>0</v>
      </c>
      <c r="BI35" s="65">
        <f>0-SUM(BG35:BH35)</f>
        <v>0</v>
      </c>
      <c r="BJ35" s="257">
        <f t="shared" si="59"/>
        <v>0</v>
      </c>
      <c r="BK35" s="641">
        <v>0</v>
      </c>
      <c r="BL35" s="65">
        <v>0</v>
      </c>
      <c r="BM35" s="65">
        <v>0</v>
      </c>
      <c r="BN35" s="65">
        <v>0</v>
      </c>
      <c r="BO35" s="257">
        <f t="shared" si="8"/>
        <v>0</v>
      </c>
      <c r="BP35" s="215">
        <v>0</v>
      </c>
      <c r="BQ35" s="65">
        <v>0</v>
      </c>
      <c r="BR35" s="65">
        <v>0</v>
      </c>
      <c r="BS35" s="65">
        <v>0</v>
      </c>
      <c r="BT35" s="257">
        <f t="shared" si="87"/>
        <v>0</v>
      </c>
      <c r="BU35" s="641">
        <v>0</v>
      </c>
      <c r="BV35" s="65">
        <v>0</v>
      </c>
      <c r="BW35" s="1385">
        <v>0</v>
      </c>
      <c r="BX35" s="65">
        <v>0</v>
      </c>
      <c r="BY35" s="257">
        <f t="shared" si="31"/>
        <v>0</v>
      </c>
      <c r="BZ35" s="641">
        <v>0</v>
      </c>
      <c r="CA35" s="1201">
        <v>0</v>
      </c>
      <c r="CB35" s="65">
        <v>0</v>
      </c>
      <c r="CC35" s="65">
        <v>0</v>
      </c>
      <c r="CD35" s="257">
        <v>0</v>
      </c>
      <c r="CE35" s="641">
        <f t="shared" ref="CE35" si="100">SUM(CA35:CD35)</f>
        <v>0</v>
      </c>
      <c r="CF35" s="65">
        <v>0</v>
      </c>
      <c r="CG35" s="65">
        <v>0</v>
      </c>
      <c r="CH35" s="65">
        <v>0</v>
      </c>
      <c r="CI35" s="257">
        <f t="shared" si="83"/>
        <v>0</v>
      </c>
      <c r="CJ35" s="641">
        <v>0</v>
      </c>
      <c r="CK35" s="65">
        <v>0</v>
      </c>
      <c r="CL35" s="217">
        <v>0</v>
      </c>
      <c r="CM35" s="217">
        <v>0</v>
      </c>
      <c r="CN35" s="320">
        <v>0</v>
      </c>
      <c r="CO35" s="538">
        <f t="shared" si="92"/>
        <v>0</v>
      </c>
      <c r="CP35" s="217">
        <v>0</v>
      </c>
      <c r="CQ35" s="217">
        <v>0</v>
      </c>
      <c r="CR35" s="217">
        <v>0</v>
      </c>
      <c r="CS35" s="320">
        <v>0</v>
      </c>
      <c r="CT35" s="538">
        <f t="shared" si="93"/>
        <v>0</v>
      </c>
      <c r="CU35" s="217">
        <v>0</v>
      </c>
      <c r="CV35" s="217">
        <v>0</v>
      </c>
      <c r="CW35" s="217">
        <v>0</v>
      </c>
      <c r="CX35" s="320">
        <v>0</v>
      </c>
      <c r="CY35" s="538">
        <f t="shared" si="94"/>
        <v>0</v>
      </c>
      <c r="CZ35" s="217">
        <v>0</v>
      </c>
      <c r="DA35" s="217">
        <v>0</v>
      </c>
      <c r="DB35" s="217">
        <v>0</v>
      </c>
      <c r="DC35" s="320">
        <v>0</v>
      </c>
      <c r="DD35" s="538">
        <f t="shared" si="95"/>
        <v>0</v>
      </c>
      <c r="DE35" s="217">
        <v>0</v>
      </c>
      <c r="DF35" s="217">
        <v>0</v>
      </c>
      <c r="DG35" s="217">
        <v>0</v>
      </c>
      <c r="DH35" s="320">
        <v>0</v>
      </c>
      <c r="DI35" s="538">
        <f t="shared" si="96"/>
        <v>0</v>
      </c>
      <c r="DJ35" s="217">
        <v>0</v>
      </c>
      <c r="DK35" s="217">
        <v>0</v>
      </c>
      <c r="DL35" s="217">
        <v>0</v>
      </c>
      <c r="DM35" s="320">
        <v>0</v>
      </c>
      <c r="DN35" s="538">
        <f t="shared" si="97"/>
        <v>0</v>
      </c>
      <c r="DO35" s="217">
        <v>0</v>
      </c>
      <c r="DP35" s="217">
        <v>0</v>
      </c>
      <c r="DQ35" s="217">
        <v>0</v>
      </c>
      <c r="DR35" s="320">
        <v>0</v>
      </c>
      <c r="DS35" s="538">
        <f t="shared" si="98"/>
        <v>0</v>
      </c>
      <c r="DT35" s="217">
        <v>0</v>
      </c>
      <c r="DU35" s="217">
        <v>0</v>
      </c>
      <c r="DV35" s="217">
        <v>0</v>
      </c>
      <c r="DW35" s="320">
        <v>0</v>
      </c>
      <c r="DX35" s="538">
        <f t="shared" si="99"/>
        <v>0</v>
      </c>
      <c r="DY35" s="1573"/>
      <c r="DZ35" s="1201"/>
      <c r="EA35" s="65" t="s">
        <v>275</v>
      </c>
      <c r="EB35" s="266">
        <f t="shared" si="56"/>
        <v>0</v>
      </c>
      <c r="EC35" s="312">
        <f t="shared" si="57"/>
        <v>0</v>
      </c>
      <c r="ED35" s="312">
        <f t="shared" si="42"/>
        <v>0</v>
      </c>
      <c r="EE35" s="312">
        <f t="shared" si="43"/>
        <v>0</v>
      </c>
      <c r="EF35" s="312">
        <f t="shared" si="44"/>
        <v>0</v>
      </c>
      <c r="EG35" s="312">
        <f t="shared" si="45"/>
        <v>0</v>
      </c>
      <c r="EH35" s="312">
        <f t="shared" si="46"/>
        <v>0</v>
      </c>
      <c r="EI35" s="312">
        <f t="shared" si="26"/>
        <v>0</v>
      </c>
      <c r="EJ35" s="312">
        <f t="shared" si="27"/>
        <v>0</v>
      </c>
      <c r="EK35" s="312">
        <f t="shared" si="28"/>
        <v>0</v>
      </c>
      <c r="EL35" s="359">
        <f t="shared" si="29"/>
        <v>0</v>
      </c>
      <c r="EM35" s="16"/>
      <c r="EN35" s="16"/>
      <c r="EU35" s="16"/>
      <c r="EV35" s="16"/>
      <c r="EW35" s="16"/>
      <c r="EX35" s="16"/>
      <c r="EY35" s="16"/>
      <c r="EZ35" s="16"/>
      <c r="FA35" s="16"/>
      <c r="FB35" s="16"/>
      <c r="FC35" s="16"/>
      <c r="FD35" s="16"/>
      <c r="FE35" s="16"/>
      <c r="FF35" s="16"/>
      <c r="FG35" s="16"/>
      <c r="FH35" s="16"/>
      <c r="FI35" s="16"/>
      <c r="FJ35" s="16"/>
    </row>
    <row r="36" spans="1:166" x14ac:dyDescent="0.2">
      <c r="A36" s="497" t="s">
        <v>360</v>
      </c>
      <c r="B36" s="218"/>
      <c r="C36" s="219"/>
      <c r="D36" s="220"/>
      <c r="E36" s="219"/>
      <c r="F36" s="219"/>
      <c r="G36" s="218"/>
      <c r="H36" s="219"/>
      <c r="I36" s="220"/>
      <c r="J36" s="219"/>
      <c r="K36" s="219"/>
      <c r="L36" s="218"/>
      <c r="M36" s="219"/>
      <c r="N36" s="221"/>
      <c r="O36" s="219"/>
      <c r="P36" s="219"/>
      <c r="Q36" s="215">
        <v>21</v>
      </c>
      <c r="R36" s="248"/>
      <c r="S36" s="65"/>
      <c r="T36" s="65"/>
      <c r="U36" s="257"/>
      <c r="V36" s="215">
        <v>8</v>
      </c>
      <c r="W36" s="248">
        <v>16</v>
      </c>
      <c r="X36" s="65">
        <f>27-W36</f>
        <v>11</v>
      </c>
      <c r="Y36" s="65">
        <f>11-X36-W36</f>
        <v>-16</v>
      </c>
      <c r="Z36" s="257">
        <f t="shared" si="88"/>
        <v>2</v>
      </c>
      <c r="AA36" s="215">
        <v>13</v>
      </c>
      <c r="AB36" s="248">
        <v>12</v>
      </c>
      <c r="AC36" s="65">
        <f>14-AB36</f>
        <v>2</v>
      </c>
      <c r="AD36" s="65">
        <f>18-AC36-AB36</f>
        <v>4</v>
      </c>
      <c r="AE36" s="65">
        <f t="shared" si="84"/>
        <v>0</v>
      </c>
      <c r="AF36" s="215">
        <v>18</v>
      </c>
      <c r="AG36" s="248">
        <v>-21</v>
      </c>
      <c r="AH36" s="65">
        <f>-20-AG36</f>
        <v>1</v>
      </c>
      <c r="AI36" s="65">
        <f>-11-AH36-AG36</f>
        <v>9</v>
      </c>
      <c r="AJ36" s="257">
        <f t="shared" si="85"/>
        <v>-17</v>
      </c>
      <c r="AK36" s="215">
        <v>-28</v>
      </c>
      <c r="AL36" s="65">
        <v>7</v>
      </c>
      <c r="AM36" s="65">
        <f>-3-AL36</f>
        <v>-10</v>
      </c>
      <c r="AN36" s="65">
        <f>-18-AM36-AL36</f>
        <v>-15</v>
      </c>
      <c r="AO36" s="65">
        <f t="shared" si="86"/>
        <v>21.8</v>
      </c>
      <c r="AP36" s="641">
        <v>3.8</v>
      </c>
      <c r="AQ36" s="65">
        <v>3.6</v>
      </c>
      <c r="AR36" s="65">
        <f>2.8-AQ36</f>
        <v>-0.80000000000000027</v>
      </c>
      <c r="AS36" s="65">
        <f>-2-AR36-AQ36</f>
        <v>-4.8</v>
      </c>
      <c r="AT36" s="65">
        <f>-1.5-AS36-AR36-AQ36</f>
        <v>0.49999999999999956</v>
      </c>
      <c r="AU36" s="215">
        <f t="shared" si="4"/>
        <v>-1.5000000000000004</v>
      </c>
      <c r="AV36" s="243"/>
      <c r="AW36" s="65">
        <f t="shared" si="89"/>
        <v>-4.8</v>
      </c>
      <c r="AX36" s="65">
        <f t="shared" si="90"/>
        <v>0.49999999999999956</v>
      </c>
      <c r="AY36" s="65">
        <v>-6.7</v>
      </c>
      <c r="AZ36" s="65">
        <v>13.9</v>
      </c>
      <c r="BA36" s="215">
        <f t="shared" si="5"/>
        <v>2.9000000000000004</v>
      </c>
      <c r="BB36" s="65">
        <v>-3.8</v>
      </c>
      <c r="BC36" s="65">
        <f>-16.7-BB36</f>
        <v>-12.899999999999999</v>
      </c>
      <c r="BD36" s="65">
        <f>14.2-SUM(BB36:BC36)</f>
        <v>30.9</v>
      </c>
      <c r="BE36" s="65">
        <f>-2.3-SUM(BB36:BD36)</f>
        <v>-16.5</v>
      </c>
      <c r="BF36" s="641">
        <f t="shared" si="91"/>
        <v>-2.3000000000000007</v>
      </c>
      <c r="BG36" s="65">
        <v>2.5</v>
      </c>
      <c r="BH36" s="65">
        <f>3.2-BG36</f>
        <v>0.70000000000000018</v>
      </c>
      <c r="BI36" s="65">
        <f>-6-SUM(BG36:BH36)</f>
        <v>-9.1999999999999993</v>
      </c>
      <c r="BJ36" s="257">
        <f t="shared" si="59"/>
        <v>-19.5</v>
      </c>
      <c r="BK36" s="641">
        <v>-25.5</v>
      </c>
      <c r="BL36" s="65">
        <v>-9.1999999999999993</v>
      </c>
      <c r="BM36" s="65">
        <f>-13.7-BL36</f>
        <v>-4.5</v>
      </c>
      <c r="BN36" s="65">
        <f>-18-SUM(BL36:BM36)</f>
        <v>-4.3000000000000007</v>
      </c>
      <c r="BO36" s="65">
        <f t="shared" si="8"/>
        <v>-12.600000000000001</v>
      </c>
      <c r="BP36" s="215">
        <v>-30.6</v>
      </c>
      <c r="BQ36" s="65">
        <v>-4.5</v>
      </c>
      <c r="BR36" s="65">
        <f>-11.7-BQ36</f>
        <v>-7.1999999999999993</v>
      </c>
      <c r="BS36" s="65">
        <f>-18.2-BR36-BQ36</f>
        <v>-6.5</v>
      </c>
      <c r="BT36" s="65">
        <f t="shared" si="87"/>
        <v>-3.8000000000000007</v>
      </c>
      <c r="BU36" s="641">
        <v>-22</v>
      </c>
      <c r="BV36" s="65">
        <v>-24.5</v>
      </c>
      <c r="BW36" s="1385">
        <f>-25.5-BV36</f>
        <v>-1</v>
      </c>
      <c r="BX36" s="65">
        <f>-34.5-BW36-BV36</f>
        <v>-9</v>
      </c>
      <c r="BY36" s="65">
        <f t="shared" si="31"/>
        <v>5.6999999999999993</v>
      </c>
      <c r="BZ36" s="641">
        <v>-28.8</v>
      </c>
      <c r="CA36" s="1201">
        <v>-1.4</v>
      </c>
      <c r="CB36" s="65">
        <f>10.2-CA36</f>
        <v>11.6</v>
      </c>
      <c r="CC36" s="65">
        <f>14.1-CB36-CA36</f>
        <v>3.9</v>
      </c>
      <c r="CD36" s="257">
        <f>CE36-CC36-CA36-CB36</f>
        <v>-16.299999999999997</v>
      </c>
      <c r="CE36" s="641">
        <f>3.5-5.7</f>
        <v>-2.2000000000000002</v>
      </c>
      <c r="CF36" s="65">
        <f>-5.3+3.6</f>
        <v>-1.6999999999999997</v>
      </c>
      <c r="CG36" s="65">
        <f>9.8-12.9-CF36</f>
        <v>-1.4</v>
      </c>
      <c r="CH36" s="65">
        <f>12.8+-20.1-SUM(CF36:CG36)</f>
        <v>-4.2000000000000011</v>
      </c>
      <c r="CI36" s="257">
        <f t="shared" si="83"/>
        <v>65.500000000000014</v>
      </c>
      <c r="CJ36" s="641">
        <f>18+40.2</f>
        <v>58.2</v>
      </c>
      <c r="CK36" s="65">
        <f>3.7+-6.9</f>
        <v>-3.2</v>
      </c>
      <c r="CL36" s="217">
        <f>-55/4</f>
        <v>-13.75</v>
      </c>
      <c r="CM36" s="217">
        <f t="shared" ref="CM36:CN36" si="101">-55/4</f>
        <v>-13.75</v>
      </c>
      <c r="CN36" s="217">
        <f t="shared" si="101"/>
        <v>-13.75</v>
      </c>
      <c r="CO36" s="538">
        <f t="shared" si="92"/>
        <v>-44.45</v>
      </c>
      <c r="CP36" s="217">
        <f>-45/4</f>
        <v>-11.25</v>
      </c>
      <c r="CQ36" s="217">
        <f t="shared" ref="CQ36:CS36" si="102">-45/4</f>
        <v>-11.25</v>
      </c>
      <c r="CR36" s="217">
        <f t="shared" si="102"/>
        <v>-11.25</v>
      </c>
      <c r="CS36" s="217">
        <f t="shared" si="102"/>
        <v>-11.25</v>
      </c>
      <c r="CT36" s="538">
        <f t="shared" si="93"/>
        <v>-45</v>
      </c>
      <c r="CU36" s="217">
        <f>-45/4</f>
        <v>-11.25</v>
      </c>
      <c r="CV36" s="217">
        <f t="shared" ref="CV36:CX36" si="103">-45/4</f>
        <v>-11.25</v>
      </c>
      <c r="CW36" s="217">
        <f t="shared" si="103"/>
        <v>-11.25</v>
      </c>
      <c r="CX36" s="217">
        <f t="shared" si="103"/>
        <v>-11.25</v>
      </c>
      <c r="CY36" s="538">
        <f t="shared" si="94"/>
        <v>-45</v>
      </c>
      <c r="CZ36" s="217">
        <f>-45/4</f>
        <v>-11.25</v>
      </c>
      <c r="DA36" s="217">
        <f t="shared" ref="DA36:DC36" si="104">-45/4</f>
        <v>-11.25</v>
      </c>
      <c r="DB36" s="217">
        <f t="shared" si="104"/>
        <v>-11.25</v>
      </c>
      <c r="DC36" s="217">
        <f t="shared" si="104"/>
        <v>-11.25</v>
      </c>
      <c r="DD36" s="538">
        <f t="shared" si="95"/>
        <v>-45</v>
      </c>
      <c r="DE36" s="217">
        <v>0</v>
      </c>
      <c r="DF36" s="217">
        <v>0</v>
      </c>
      <c r="DG36" s="217">
        <v>0</v>
      </c>
      <c r="DH36" s="217">
        <v>0</v>
      </c>
      <c r="DI36" s="538">
        <f t="shared" si="96"/>
        <v>0</v>
      </c>
      <c r="DJ36" s="217">
        <v>0</v>
      </c>
      <c r="DK36" s="217">
        <v>0</v>
      </c>
      <c r="DL36" s="217">
        <v>0</v>
      </c>
      <c r="DM36" s="217">
        <v>0</v>
      </c>
      <c r="DN36" s="538">
        <f t="shared" si="97"/>
        <v>0</v>
      </c>
      <c r="DO36" s="217">
        <v>0</v>
      </c>
      <c r="DP36" s="217">
        <v>0</v>
      </c>
      <c r="DQ36" s="217">
        <v>0</v>
      </c>
      <c r="DR36" s="217">
        <v>0</v>
      </c>
      <c r="DS36" s="538">
        <f t="shared" si="98"/>
        <v>0</v>
      </c>
      <c r="DT36" s="217">
        <v>0</v>
      </c>
      <c r="DU36" s="217">
        <v>0</v>
      </c>
      <c r="DV36" s="217">
        <v>0</v>
      </c>
      <c r="DW36" s="217">
        <v>0</v>
      </c>
      <c r="DX36" s="538">
        <f t="shared" si="99"/>
        <v>0</v>
      </c>
      <c r="DY36" s="1574"/>
      <c r="DZ36" s="1201"/>
      <c r="EA36" s="65" t="s">
        <v>277</v>
      </c>
      <c r="EB36" s="266">
        <f t="shared" si="56"/>
        <v>0</v>
      </c>
      <c r="EC36" s="312">
        <f t="shared" si="57"/>
        <v>-16</v>
      </c>
      <c r="ED36" s="312">
        <f t="shared" si="42"/>
        <v>-11</v>
      </c>
      <c r="EE36" s="312">
        <f t="shared" si="43"/>
        <v>9.6</v>
      </c>
      <c r="EF36" s="312">
        <f t="shared" si="44"/>
        <v>2.9000000000000004</v>
      </c>
      <c r="EG36" s="312">
        <f t="shared" si="45"/>
        <v>-2.3000000000000007</v>
      </c>
      <c r="EH36" s="312">
        <f t="shared" si="46"/>
        <v>-25.5</v>
      </c>
      <c r="EI36" s="312">
        <f t="shared" si="26"/>
        <v>-30.6</v>
      </c>
      <c r="EJ36" s="312">
        <f t="shared" si="27"/>
        <v>-22</v>
      </c>
      <c r="EK36" s="312">
        <f t="shared" si="28"/>
        <v>-28.8</v>
      </c>
      <c r="EL36" s="359">
        <f t="shared" si="29"/>
        <v>-2.2000000000000002</v>
      </c>
      <c r="EM36" s="25"/>
      <c r="EN36" s="25"/>
      <c r="EU36" s="25"/>
      <c r="EV36" s="25"/>
      <c r="EW36" s="25"/>
      <c r="EX36" s="25"/>
      <c r="EY36" s="25"/>
      <c r="EZ36" s="25"/>
      <c r="FA36" s="25"/>
      <c r="FB36" s="25"/>
      <c r="FC36" s="25"/>
      <c r="FD36" s="25"/>
      <c r="FE36" s="25"/>
      <c r="FF36" s="25"/>
      <c r="FG36" s="25"/>
      <c r="FH36" s="25"/>
      <c r="FI36" s="25"/>
      <c r="FJ36" s="25"/>
    </row>
    <row r="37" spans="1:166" ht="3.95" customHeight="1" x14ac:dyDescent="0.2">
      <c r="A37" s="499" t="s">
        <v>339</v>
      </c>
      <c r="B37" s="215"/>
      <c r="C37" s="65"/>
      <c r="D37" s="216"/>
      <c r="E37" s="65"/>
      <c r="F37" s="65"/>
      <c r="G37" s="215"/>
      <c r="H37" s="65"/>
      <c r="I37" s="216"/>
      <c r="J37" s="65"/>
      <c r="K37" s="65"/>
      <c r="L37" s="215"/>
      <c r="M37" s="65"/>
      <c r="N37" s="217"/>
      <c r="O37" s="65"/>
      <c r="P37" s="65"/>
      <c r="Q37" s="215" t="s">
        <v>339</v>
      </c>
      <c r="R37" s="248"/>
      <c r="S37" s="65"/>
      <c r="T37" s="65"/>
      <c r="U37" s="257"/>
      <c r="V37" s="215" t="s">
        <v>339</v>
      </c>
      <c r="W37" s="248"/>
      <c r="X37" s="65"/>
      <c r="Y37" s="65"/>
      <c r="Z37" s="257"/>
      <c r="AA37" s="215" t="s">
        <v>339</v>
      </c>
      <c r="AB37" s="248"/>
      <c r="AC37" s="65"/>
      <c r="AD37" s="65"/>
      <c r="AE37" s="257"/>
      <c r="AF37" s="215"/>
      <c r="AG37" s="248"/>
      <c r="AH37" s="65"/>
      <c r="AI37" s="65"/>
      <c r="AJ37" s="257"/>
      <c r="AK37" s="215"/>
      <c r="AL37" s="248"/>
      <c r="AM37" s="65"/>
      <c r="AN37" s="65"/>
      <c r="AO37" s="257"/>
      <c r="AP37" s="641"/>
      <c r="AQ37" s="65"/>
      <c r="AR37" s="65"/>
      <c r="AS37" s="65"/>
      <c r="AT37" s="65"/>
      <c r="AU37" s="215"/>
      <c r="AV37" s="243"/>
      <c r="AW37" s="65"/>
      <c r="AX37" s="65"/>
      <c r="AY37" s="65"/>
      <c r="AZ37" s="65"/>
      <c r="BA37" s="215"/>
      <c r="BB37" s="248"/>
      <c r="BC37" s="65"/>
      <c r="BD37" s="65"/>
      <c r="BE37" s="257"/>
      <c r="BF37" s="641"/>
      <c r="BG37" s="65"/>
      <c r="BH37" s="65"/>
      <c r="BI37" s="65"/>
      <c r="BJ37" s="257"/>
      <c r="BK37" s="641"/>
      <c r="BL37" s="65"/>
      <c r="BM37" s="65"/>
      <c r="BN37" s="65"/>
      <c r="BO37" s="257"/>
      <c r="BP37" s="215"/>
      <c r="BQ37" s="65"/>
      <c r="BR37" s="65"/>
      <c r="BS37" s="65"/>
      <c r="BT37" s="257"/>
      <c r="BU37" s="641"/>
      <c r="BV37" s="65"/>
      <c r="BW37" s="1385"/>
      <c r="BX37" s="65"/>
      <c r="BY37" s="257"/>
      <c r="BZ37" s="641"/>
      <c r="CA37" s="1201"/>
      <c r="CB37" s="65"/>
      <c r="CC37" s="65"/>
      <c r="CD37" s="257"/>
      <c r="CE37" s="641"/>
      <c r="CF37" s="65"/>
      <c r="CG37" s="65"/>
      <c r="CH37" s="65"/>
      <c r="CI37" s="257"/>
      <c r="CJ37" s="641"/>
      <c r="CK37" s="65"/>
      <c r="CL37" s="217"/>
      <c r="CM37" s="217"/>
      <c r="CN37" s="320"/>
      <c r="CO37" s="538"/>
      <c r="CP37" s="217"/>
      <c r="CQ37" s="217"/>
      <c r="CR37" s="217"/>
      <c r="CS37" s="320"/>
      <c r="CT37" s="538"/>
      <c r="CU37" s="217"/>
      <c r="CV37" s="217"/>
      <c r="CW37" s="217"/>
      <c r="CX37" s="320"/>
      <c r="CY37" s="538"/>
      <c r="CZ37" s="217"/>
      <c r="DA37" s="217"/>
      <c r="DB37" s="217"/>
      <c r="DC37" s="320"/>
      <c r="DD37" s="538"/>
      <c r="DE37" s="217"/>
      <c r="DF37" s="217"/>
      <c r="DG37" s="217"/>
      <c r="DH37" s="320"/>
      <c r="DI37" s="538"/>
      <c r="DJ37" s="217"/>
      <c r="DK37" s="217"/>
      <c r="DL37" s="217"/>
      <c r="DM37" s="320"/>
      <c r="DN37" s="538"/>
      <c r="DO37" s="217"/>
      <c r="DP37" s="217"/>
      <c r="DQ37" s="217"/>
      <c r="DR37" s="320"/>
      <c r="DS37" s="538"/>
      <c r="DT37" s="217"/>
      <c r="DU37" s="217"/>
      <c r="DV37" s="217"/>
      <c r="DW37" s="320"/>
      <c r="DX37" s="538"/>
      <c r="DY37" s="1573"/>
      <c r="DZ37" s="1201"/>
      <c r="EA37" s="65" t="s">
        <v>553</v>
      </c>
      <c r="EB37" s="252"/>
      <c r="EC37" s="58"/>
      <c r="ED37" s="58"/>
      <c r="EE37" s="58"/>
      <c r="EF37" s="58"/>
      <c r="EG37" s="58"/>
      <c r="EH37" s="58"/>
      <c r="EI37" s="58"/>
      <c r="EJ37" s="58"/>
      <c r="EK37" s="58"/>
      <c r="EL37" s="265"/>
      <c r="EM37" s="16"/>
      <c r="EN37" s="16"/>
      <c r="EU37" s="16"/>
      <c r="EV37" s="16"/>
      <c r="EW37" s="16"/>
      <c r="EX37" s="16"/>
      <c r="EY37" s="16"/>
      <c r="EZ37" s="16"/>
      <c r="FA37" s="16"/>
      <c r="FB37" s="16"/>
      <c r="FC37" s="16"/>
      <c r="FD37" s="16"/>
      <c r="FE37" s="16"/>
      <c r="FF37" s="16"/>
      <c r="FG37" s="16"/>
      <c r="FH37" s="16"/>
      <c r="FI37" s="16"/>
      <c r="FJ37" s="16"/>
    </row>
    <row r="38" spans="1:166" x14ac:dyDescent="0.2">
      <c r="A38" s="655" t="s">
        <v>340</v>
      </c>
      <c r="B38" s="301"/>
      <c r="C38" s="304"/>
      <c r="D38" s="306"/>
      <c r="E38" s="304"/>
      <c r="F38" s="304"/>
      <c r="G38" s="301"/>
      <c r="H38" s="304"/>
      <c r="I38" s="306"/>
      <c r="J38" s="304"/>
      <c r="K38" s="304"/>
      <c r="L38" s="301"/>
      <c r="M38" s="304"/>
      <c r="N38" s="311"/>
      <c r="O38" s="304"/>
      <c r="P38" s="304"/>
      <c r="Q38" s="301">
        <f t="shared" ref="Q38:AU38" si="105">SUM(Q9:Q27)+Q35+Q36</f>
        <v>199</v>
      </c>
      <c r="R38" s="303">
        <f t="shared" si="105"/>
        <v>0</v>
      </c>
      <c r="S38" s="304">
        <f t="shared" si="105"/>
        <v>0</v>
      </c>
      <c r="T38" s="304">
        <f t="shared" si="105"/>
        <v>0</v>
      </c>
      <c r="U38" s="305">
        <f t="shared" si="105"/>
        <v>21</v>
      </c>
      <c r="V38" s="301">
        <f t="shared" si="105"/>
        <v>218</v>
      </c>
      <c r="W38" s="303">
        <f t="shared" si="105"/>
        <v>-78</v>
      </c>
      <c r="X38" s="304">
        <f t="shared" si="105"/>
        <v>80</v>
      </c>
      <c r="Y38" s="304">
        <f t="shared" si="105"/>
        <v>19</v>
      </c>
      <c r="Z38" s="305">
        <f t="shared" si="105"/>
        <v>52</v>
      </c>
      <c r="AA38" s="301">
        <f t="shared" si="105"/>
        <v>74</v>
      </c>
      <c r="AB38" s="303">
        <f t="shared" si="105"/>
        <v>-47</v>
      </c>
      <c r="AC38" s="304">
        <f t="shared" si="105"/>
        <v>45</v>
      </c>
      <c r="AD38" s="304">
        <f t="shared" si="105"/>
        <v>48</v>
      </c>
      <c r="AE38" s="305">
        <f t="shared" si="105"/>
        <v>71</v>
      </c>
      <c r="AF38" s="301">
        <f t="shared" si="105"/>
        <v>117</v>
      </c>
      <c r="AG38" s="303">
        <f t="shared" si="105"/>
        <v>41</v>
      </c>
      <c r="AH38" s="304">
        <f t="shared" si="105"/>
        <v>78</v>
      </c>
      <c r="AI38" s="304">
        <f t="shared" si="105"/>
        <v>31</v>
      </c>
      <c r="AJ38" s="305">
        <f t="shared" si="105"/>
        <v>93</v>
      </c>
      <c r="AK38" s="301">
        <f t="shared" si="105"/>
        <v>243</v>
      </c>
      <c r="AL38" s="303">
        <f t="shared" si="105"/>
        <v>52</v>
      </c>
      <c r="AM38" s="304">
        <f t="shared" si="105"/>
        <v>77</v>
      </c>
      <c r="AN38" s="304">
        <f t="shared" si="105"/>
        <v>82</v>
      </c>
      <c r="AO38" s="305">
        <f t="shared" si="105"/>
        <v>99.8</v>
      </c>
      <c r="AP38" s="643">
        <f t="shared" si="105"/>
        <v>310.8</v>
      </c>
      <c r="AQ38" s="304">
        <f t="shared" si="105"/>
        <v>48.000000000000021</v>
      </c>
      <c r="AR38" s="304">
        <f t="shared" si="105"/>
        <v>74.099999999999994</v>
      </c>
      <c r="AS38" s="304">
        <f t="shared" si="105"/>
        <v>77.200000000000017</v>
      </c>
      <c r="AT38" s="304">
        <f t="shared" si="105"/>
        <v>111.09999999999998</v>
      </c>
      <c r="AU38" s="304">
        <f t="shared" si="105"/>
        <v>310.39999999999992</v>
      </c>
      <c r="AV38" s="243"/>
      <c r="AW38" s="304">
        <f t="shared" ref="AW38:BE38" si="106">SUM(AW9:AW27)+AW35+AW36</f>
        <v>77.200000000000017</v>
      </c>
      <c r="AX38" s="304">
        <f t="shared" si="106"/>
        <v>111.09999999999998</v>
      </c>
      <c r="AY38" s="304">
        <f t="shared" si="106"/>
        <v>82.100000000000009</v>
      </c>
      <c r="AZ38" s="304">
        <f t="shared" si="106"/>
        <v>-87.3</v>
      </c>
      <c r="BA38" s="304">
        <f t="shared" si="106"/>
        <v>183.10000000000005</v>
      </c>
      <c r="BB38" s="303">
        <f t="shared" si="106"/>
        <v>65.2</v>
      </c>
      <c r="BC38" s="304">
        <f t="shared" si="106"/>
        <v>29.699999999999996</v>
      </c>
      <c r="BD38" s="304">
        <f t="shared" si="106"/>
        <v>219.8</v>
      </c>
      <c r="BE38" s="305">
        <f t="shared" si="106"/>
        <v>91.500000000000028</v>
      </c>
      <c r="BF38" s="643">
        <f t="shared" si="91"/>
        <v>406.20000000000005</v>
      </c>
      <c r="BG38" s="304">
        <f>SUM(BG9:BG27)+BG35+BG36</f>
        <v>39.299999999999969</v>
      </c>
      <c r="BH38" s="304">
        <f>SUM(BH9:BH27)+BH35+BH36</f>
        <v>-2.3999999999999799</v>
      </c>
      <c r="BI38" s="304">
        <f>SUM(BI9:BI27)+BI35+BI36</f>
        <v>107.69999999999999</v>
      </c>
      <c r="BJ38" s="304">
        <f>SUM(BJ9:BJ27)+BJ35+BJ36</f>
        <v>79.80000000000004</v>
      </c>
      <c r="BK38" s="643">
        <f>SUM(BG38:BJ38)</f>
        <v>224.4</v>
      </c>
      <c r="BL38" s="304">
        <f>SUM(BL9:BL27)+BL35+BL36</f>
        <v>78.900000000000006</v>
      </c>
      <c r="BM38" s="304">
        <f>SUM(BM9:BM27)+BM35+BM36</f>
        <v>51.299999999999983</v>
      </c>
      <c r="BN38" s="304">
        <f>SUM(BN9:BN27)+BN35+BN36</f>
        <v>137.49999999999997</v>
      </c>
      <c r="BO38" s="305">
        <f>SUM(BO9:BO27)+BO35+BO36</f>
        <v>57.499999999999993</v>
      </c>
      <c r="BP38" s="301">
        <f>SUM(BL38:BO38)</f>
        <v>325.19999999999993</v>
      </c>
      <c r="BQ38" s="304">
        <f t="shared" ref="BQ38:BY38" si="107">SUM(BQ9:BQ27)+BQ35+BQ36</f>
        <v>125.29999999999998</v>
      </c>
      <c r="BR38" s="304">
        <f t="shared" si="107"/>
        <v>87.800000000000026</v>
      </c>
      <c r="BS38" s="304">
        <f t="shared" si="107"/>
        <v>162.5</v>
      </c>
      <c r="BT38" s="305">
        <f t="shared" si="107"/>
        <v>-116.29999999999994</v>
      </c>
      <c r="BU38" s="643">
        <f t="shared" si="107"/>
        <v>259.30000000000007</v>
      </c>
      <c r="BV38" s="304">
        <f t="shared" si="107"/>
        <v>261.70000000000005</v>
      </c>
      <c r="BW38" s="1406">
        <f t="shared" si="107"/>
        <v>246.5</v>
      </c>
      <c r="BX38" s="304">
        <f t="shared" si="107"/>
        <v>442.19999999999993</v>
      </c>
      <c r="BY38" s="305">
        <f t="shared" si="107"/>
        <v>254.39999999999998</v>
      </c>
      <c r="BZ38" s="643">
        <f>SUM(BV38:BY38)</f>
        <v>1204.8</v>
      </c>
      <c r="CA38" s="1587">
        <f>SUM(CA9:CA27)+CA35+CA36</f>
        <v>183.29999999999998</v>
      </c>
      <c r="CB38" s="1587">
        <f>SUM(CB9:CB27)+CB35+CB36</f>
        <v>322.00000000000006</v>
      </c>
      <c r="CC38" s="1614">
        <f>SUM(CC9:CC27)+CC35+CC36</f>
        <v>413.70000000000005</v>
      </c>
      <c r="CD38" s="1618">
        <f>SUM(CD9:CD27)+CD35+CD36</f>
        <v>350</v>
      </c>
      <c r="CE38" s="1619">
        <f>SUM(CA38:CD38)</f>
        <v>1269</v>
      </c>
      <c r="CF38" s="1614">
        <f>SUM(CF9:CF27)+CF35+CF36</f>
        <v>275.60000000000008</v>
      </c>
      <c r="CG38" s="1614">
        <f>SUM(CG9:CG27)+CG35+CG36</f>
        <v>205.4</v>
      </c>
      <c r="CH38" s="1614">
        <f>SUM(CH9:CH27)+CH35+CH36</f>
        <v>332.5</v>
      </c>
      <c r="CI38" s="1618">
        <f>SUM(CI9:CI27)+CI35+CI36</f>
        <v>568.50000000000011</v>
      </c>
      <c r="CJ38" s="1619">
        <f>SUM(CF38:CI38)</f>
        <v>1382.0000000000002</v>
      </c>
      <c r="CK38" s="1614">
        <f>SUM(CK9:CK27)+CK35+CK36</f>
        <v>-111.00000000000001</v>
      </c>
      <c r="CL38" s="1555">
        <f>SUM(CL9:CL27)+CL35+CL36</f>
        <v>317.98328542113103</v>
      </c>
      <c r="CM38" s="1555">
        <f>SUM(CM9:CM27)+CM35+CM36</f>
        <v>324.03247427041737</v>
      </c>
      <c r="CN38" s="1556">
        <f>SUM(CN9:CN27)+CN35+CN36</f>
        <v>766.19494017585794</v>
      </c>
      <c r="CO38" s="1557">
        <f>SUM(CK38:CN38)</f>
        <v>1297.2106998674062</v>
      </c>
      <c r="CP38" s="311">
        <f>SUM(CP9:CP27)+CP35+CP36</f>
        <v>22.329961491181109</v>
      </c>
      <c r="CQ38" s="311">
        <f>SUM(CQ9:CQ27)+CQ35+CQ36</f>
        <v>272.52464292842012</v>
      </c>
      <c r="CR38" s="311">
        <f>SUM(CR9:CR27)+CR35+CR36</f>
        <v>380.32006367897446</v>
      </c>
      <c r="CS38" s="349">
        <f>SUM(CS9:CS27)+CS35+CS36</f>
        <v>847.0021119626897</v>
      </c>
      <c r="CT38" s="540">
        <f>SUM(CP38:CS38)</f>
        <v>1522.1767800612654</v>
      </c>
      <c r="CU38" s="311">
        <f>SUM(CU9:CU27)+CU35+CU36</f>
        <v>47.841672796762737</v>
      </c>
      <c r="CV38" s="311">
        <f>SUM(CV9:CV27)+CV35+CV36</f>
        <v>320.93735672124114</v>
      </c>
      <c r="CW38" s="311">
        <f>SUM(CW9:CW27)+CW35+CW36</f>
        <v>438.58226480340903</v>
      </c>
      <c r="CX38" s="349">
        <f>SUM(CX9:CX27)+CX35+CX36</f>
        <v>934.8331692038895</v>
      </c>
      <c r="CY38" s="540">
        <f>SUM(CU38:CX38)</f>
        <v>1742.1944635253026</v>
      </c>
      <c r="CZ38" s="311">
        <f>SUM(CZ9:CZ27)+CZ35+CZ36</f>
        <v>99.642597118439255</v>
      </c>
      <c r="DA38" s="311">
        <f>SUM(DA9:DA27)+DA35+DA36</f>
        <v>365.78879165278221</v>
      </c>
      <c r="DB38" s="311">
        <f>SUM(DB9:DB27)+DB35+DB36</f>
        <v>499.30902445854383</v>
      </c>
      <c r="DC38" s="349">
        <f>SUM(DC9:DC27)+DC35+DC36</f>
        <v>1009.7996217804264</v>
      </c>
      <c r="DD38" s="540">
        <f>SUM(CZ38:DC38)</f>
        <v>1974.5400350101918</v>
      </c>
      <c r="DE38" s="311">
        <f>SUM(DE9:DE27)+DE35+DE36</f>
        <v>137.20513808310363</v>
      </c>
      <c r="DF38" s="311">
        <f>SUM(DF9:DF27)+DF35+DF36</f>
        <v>426.40842673866842</v>
      </c>
      <c r="DG38" s="311">
        <f>SUM(DG9:DG27)+DG35+DG36</f>
        <v>568.78366366195019</v>
      </c>
      <c r="DH38" s="349">
        <f>SUM(DH9:DH27)+DH35+DH36</f>
        <v>1139.6478657208042</v>
      </c>
      <c r="DI38" s="540">
        <f>SUM(DE38:DH38)</f>
        <v>2272.0450942045263</v>
      </c>
      <c r="DJ38" s="311">
        <f>SUM(DJ9:DJ27)+DJ35+DJ36</f>
        <v>176.32668622562159</v>
      </c>
      <c r="DK38" s="311">
        <f>SUM(DK9:DK27)+DK35+DK36</f>
        <v>486.54992880829155</v>
      </c>
      <c r="DL38" s="311">
        <f>SUM(DL9:DL27)+DL35+DL36</f>
        <v>638.63390382499017</v>
      </c>
      <c r="DM38" s="349">
        <f>SUM(DM9:DM27)+DM35+DM36</f>
        <v>1244.5208838785079</v>
      </c>
      <c r="DN38" s="540">
        <f>SUM(DJ38:DM38)</f>
        <v>2546.0314027374111</v>
      </c>
      <c r="DO38" s="311">
        <f>SUM(DO9:DO27)+DO35+DO36</f>
        <v>195.96331223166834</v>
      </c>
      <c r="DP38" s="311">
        <f>SUM(DP9:DP27)+DP35+DP36</f>
        <v>507.78455304020468</v>
      </c>
      <c r="DQ38" s="311">
        <f>SUM(DQ9:DQ27)+DQ35+DQ36</f>
        <v>680.91099928241135</v>
      </c>
      <c r="DR38" s="349">
        <f>SUM(DR9:DR27)+DR35+DR36</f>
        <v>1336.2794082039338</v>
      </c>
      <c r="DS38" s="540">
        <f>SUM(DO38:DR38)</f>
        <v>2720.9382727582179</v>
      </c>
      <c r="DT38" s="311">
        <f>SUM(DT9:DT27)+DT35+DT36</f>
        <v>222.93584456837334</v>
      </c>
      <c r="DU38" s="311">
        <f>SUM(DU9:DU27)+DU35+DU36</f>
        <v>568.26116808593099</v>
      </c>
      <c r="DV38" s="311">
        <f>SUM(DV9:DV27)+DV35+DV36</f>
        <v>738.20748772061552</v>
      </c>
      <c r="DW38" s="349">
        <f>SUM(DW9:DW27)+DW35+DW36</f>
        <v>1434.191136711243</v>
      </c>
      <c r="DX38" s="540">
        <f>SUM(DT38:DW38)</f>
        <v>2963.5956370861627</v>
      </c>
      <c r="DY38" s="1573"/>
      <c r="DZ38" s="1201"/>
      <c r="EA38" s="65" t="s">
        <v>554</v>
      </c>
      <c r="EB38" s="426">
        <f>SUM(AC38,AB38,Z38,Y38)</f>
        <v>69</v>
      </c>
      <c r="EC38" s="484">
        <f>SUM(AD38,AE38,AG38,AH38)</f>
        <v>238</v>
      </c>
      <c r="ED38" s="484">
        <f>SUM(AI38,AJ38,AL38,AM38)</f>
        <v>253</v>
      </c>
      <c r="EE38" s="484">
        <f>SUM(AN38,AO38,AQ38,AR38)</f>
        <v>303.90000000000003</v>
      </c>
      <c r="EF38" s="484">
        <f>BA38</f>
        <v>183.10000000000005</v>
      </c>
      <c r="EG38" s="484">
        <f>BF38</f>
        <v>406.20000000000005</v>
      </c>
      <c r="EH38" s="484">
        <f>BK38</f>
        <v>224.4</v>
      </c>
      <c r="EI38" s="484">
        <f>BP38</f>
        <v>325.19999999999993</v>
      </c>
      <c r="EJ38" s="484">
        <f>BU38</f>
        <v>259.30000000000007</v>
      </c>
      <c r="EK38" s="484">
        <f>BZ38</f>
        <v>1204.8</v>
      </c>
      <c r="EL38" s="748">
        <f>CE38</f>
        <v>1269</v>
      </c>
      <c r="EM38" s="16"/>
      <c r="EN38" s="16"/>
      <c r="EU38" s="16"/>
      <c r="EV38" s="16"/>
      <c r="EW38" s="16"/>
      <c r="EX38" s="16"/>
      <c r="EY38" s="16"/>
      <c r="EZ38" s="16"/>
      <c r="FA38" s="16"/>
      <c r="FB38" s="16"/>
      <c r="FC38" s="16"/>
      <c r="FD38" s="16"/>
      <c r="FE38" s="16"/>
      <c r="FF38" s="16"/>
      <c r="FG38" s="16"/>
      <c r="FH38" s="16"/>
      <c r="FI38" s="16"/>
      <c r="FJ38" s="16"/>
    </row>
    <row r="39" spans="1:166" x14ac:dyDescent="0.2">
      <c r="A39" s="497" t="s">
        <v>339</v>
      </c>
      <c r="B39" s="218"/>
      <c r="C39" s="219"/>
      <c r="D39" s="220"/>
      <c r="E39" s="219"/>
      <c r="F39" s="219"/>
      <c r="G39" s="218"/>
      <c r="H39" s="219"/>
      <c r="I39" s="220"/>
      <c r="J39" s="219"/>
      <c r="K39" s="219"/>
      <c r="L39" s="218"/>
      <c r="M39" s="219"/>
      <c r="N39" s="221"/>
      <c r="O39" s="219"/>
      <c r="P39" s="219"/>
      <c r="Q39" s="218" t="s">
        <v>339</v>
      </c>
      <c r="R39" s="258"/>
      <c r="S39" s="219"/>
      <c r="T39" s="219"/>
      <c r="U39" s="259"/>
      <c r="V39" s="218" t="s">
        <v>339</v>
      </c>
      <c r="W39" s="258"/>
      <c r="X39" s="219"/>
      <c r="Y39" s="219"/>
      <c r="Z39" s="259"/>
      <c r="AA39" s="218" t="s">
        <v>339</v>
      </c>
      <c r="AB39" s="258"/>
      <c r="AC39" s="219"/>
      <c r="AD39" s="221"/>
      <c r="AE39" s="348"/>
      <c r="AF39" s="332"/>
      <c r="AG39" s="258"/>
      <c r="AH39" s="219"/>
      <c r="AI39" s="219"/>
      <c r="AJ39" s="259"/>
      <c r="AK39" s="215"/>
      <c r="AL39" s="258"/>
      <c r="AM39" s="219"/>
      <c r="AN39" s="219"/>
      <c r="AO39" s="259"/>
      <c r="AP39" s="641"/>
      <c r="AQ39" s="219"/>
      <c r="AR39" s="219"/>
      <c r="AS39" s="219"/>
      <c r="AT39" s="219"/>
      <c r="AU39" s="215">
        <f>SUM(AQ38:AT38)</f>
        <v>310.40000000000003</v>
      </c>
      <c r="AV39" s="279"/>
      <c r="AW39" s="65"/>
      <c r="AX39" s="65"/>
      <c r="AY39" s="219"/>
      <c r="AZ39" s="219"/>
      <c r="BA39" s="215"/>
      <c r="BB39" s="258"/>
      <c r="BC39" s="219"/>
      <c r="BD39" s="219"/>
      <c r="BE39" s="259"/>
      <c r="BF39" s="641"/>
      <c r="BG39" s="219"/>
      <c r="BH39" s="219"/>
      <c r="BI39" s="219"/>
      <c r="BJ39" s="348"/>
      <c r="BK39" s="538"/>
      <c r="BL39" s="221"/>
      <c r="BM39" s="221"/>
      <c r="BN39" s="221"/>
      <c r="BO39" s="348"/>
      <c r="BP39" s="332"/>
      <c r="BQ39" s="221"/>
      <c r="BR39" s="221"/>
      <c r="BS39" s="221"/>
      <c r="BT39" s="348"/>
      <c r="BU39" s="538"/>
      <c r="BV39" s="219"/>
      <c r="BW39" s="1405"/>
      <c r="BX39" s="219"/>
      <c r="BY39" s="259"/>
      <c r="BZ39" s="641"/>
      <c r="CA39" s="1588"/>
      <c r="CB39" s="1588"/>
      <c r="CC39" s="219"/>
      <c r="CD39" s="259"/>
      <c r="CE39" s="641"/>
      <c r="CF39" s="219"/>
      <c r="CG39" s="219"/>
      <c r="CH39" s="219"/>
      <c r="CI39" s="259"/>
      <c r="CJ39" s="641"/>
      <c r="CK39" s="219"/>
      <c r="CL39" s="221"/>
      <c r="CM39" s="221"/>
      <c r="CN39" s="348"/>
      <c r="CO39" s="538"/>
      <c r="CP39" s="221"/>
      <c r="CQ39" s="221"/>
      <c r="CR39" s="221"/>
      <c r="CS39" s="348"/>
      <c r="CT39" s="538"/>
      <c r="CU39" s="221"/>
      <c r="CV39" s="221"/>
      <c r="CW39" s="221"/>
      <c r="CX39" s="348"/>
      <c r="CY39" s="538"/>
      <c r="CZ39" s="221"/>
      <c r="DA39" s="221"/>
      <c r="DB39" s="221"/>
      <c r="DC39" s="348"/>
      <c r="DD39" s="538"/>
      <c r="DE39" s="221"/>
      <c r="DF39" s="221"/>
      <c r="DG39" s="221"/>
      <c r="DH39" s="348"/>
      <c r="DI39" s="538"/>
      <c r="DJ39" s="221"/>
      <c r="DK39" s="221"/>
      <c r="DL39" s="221"/>
      <c r="DM39" s="348"/>
      <c r="DN39" s="538"/>
      <c r="DO39" s="221"/>
      <c r="DP39" s="221"/>
      <c r="DQ39" s="221"/>
      <c r="DR39" s="348"/>
      <c r="DS39" s="538"/>
      <c r="DT39" s="221"/>
      <c r="DU39" s="221"/>
      <c r="DV39" s="221"/>
      <c r="DW39" s="348"/>
      <c r="DX39" s="538"/>
      <c r="DY39" s="1574"/>
      <c r="DZ39" s="1221"/>
      <c r="EA39" s="37" t="s">
        <v>278</v>
      </c>
      <c r="EB39" s="266"/>
      <c r="EC39" s="312"/>
      <c r="ED39" s="312"/>
      <c r="EE39" s="312"/>
      <c r="EF39" s="312"/>
      <c r="EG39" s="312"/>
      <c r="EH39" s="312"/>
      <c r="EI39" s="312"/>
      <c r="EJ39" s="312"/>
      <c r="EK39" s="312"/>
      <c r="EL39" s="359"/>
      <c r="EM39" s="25"/>
      <c r="EN39" s="25"/>
      <c r="EU39" s="25"/>
      <c r="EV39" s="25"/>
      <c r="EW39" s="25"/>
      <c r="EX39" s="25"/>
      <c r="EY39" s="25"/>
      <c r="EZ39" s="25"/>
      <c r="FA39" s="25"/>
      <c r="FB39" s="25"/>
      <c r="FC39" s="25"/>
      <c r="FD39" s="25"/>
      <c r="FE39" s="25"/>
      <c r="FF39" s="25"/>
      <c r="FG39" s="25"/>
      <c r="FH39" s="25"/>
      <c r="FI39" s="25"/>
      <c r="FJ39" s="25"/>
    </row>
    <row r="40" spans="1:166" x14ac:dyDescent="0.2">
      <c r="A40" s="497" t="s">
        <v>341</v>
      </c>
      <c r="B40" s="215"/>
      <c r="C40" s="65"/>
      <c r="D40" s="216"/>
      <c r="E40" s="65"/>
      <c r="F40" s="65"/>
      <c r="G40" s="215"/>
      <c r="H40" s="65"/>
      <c r="I40" s="216"/>
      <c r="J40" s="65"/>
      <c r="K40" s="65"/>
      <c r="L40" s="215"/>
      <c r="M40" s="65"/>
      <c r="N40" s="217"/>
      <c r="O40" s="65"/>
      <c r="P40" s="65"/>
      <c r="Q40" s="215" t="s">
        <v>339</v>
      </c>
      <c r="R40" s="248"/>
      <c r="S40" s="65"/>
      <c r="T40" s="65"/>
      <c r="U40" s="257"/>
      <c r="V40" s="215" t="s">
        <v>339</v>
      </c>
      <c r="W40" s="248"/>
      <c r="X40" s="65"/>
      <c r="Y40" s="65"/>
      <c r="Z40" s="257"/>
      <c r="AA40" s="215" t="s">
        <v>339</v>
      </c>
      <c r="AB40" s="248"/>
      <c r="AC40" s="65"/>
      <c r="AD40" s="217"/>
      <c r="AE40" s="320"/>
      <c r="AF40" s="332"/>
      <c r="AG40" s="248"/>
      <c r="AH40" s="65"/>
      <c r="AI40" s="65"/>
      <c r="AJ40" s="257"/>
      <c r="AK40" s="215"/>
      <c r="AL40" s="248"/>
      <c r="AM40" s="65"/>
      <c r="AN40" s="65"/>
      <c r="AO40" s="257"/>
      <c r="AP40" s="641"/>
      <c r="AQ40" s="65"/>
      <c r="AR40" s="65"/>
      <c r="AS40" s="65"/>
      <c r="AT40" s="65"/>
      <c r="AU40" s="215"/>
      <c r="AV40" s="883"/>
      <c r="AW40" s="65"/>
      <c r="AX40" s="65"/>
      <c r="AY40" s="65"/>
      <c r="AZ40" s="65"/>
      <c r="BA40" s="215"/>
      <c r="BB40" s="248"/>
      <c r="BC40" s="65"/>
      <c r="BD40" s="65"/>
      <c r="BE40" s="257"/>
      <c r="BF40" s="641"/>
      <c r="BG40" s="65"/>
      <c r="BH40" s="65"/>
      <c r="BI40" s="65"/>
      <c r="BJ40" s="320"/>
      <c r="BK40" s="538"/>
      <c r="BL40" s="217"/>
      <c r="BM40" s="217"/>
      <c r="BN40" s="217"/>
      <c r="BO40" s="320"/>
      <c r="BP40" s="332"/>
      <c r="BQ40" s="217"/>
      <c r="BR40" s="217"/>
      <c r="BS40" s="217"/>
      <c r="BT40" s="320"/>
      <c r="BU40" s="538"/>
      <c r="BV40" s="65"/>
      <c r="BW40" s="1385"/>
      <c r="BX40" s="65"/>
      <c r="BY40" s="257"/>
      <c r="BZ40" s="641"/>
      <c r="CA40" s="1201"/>
      <c r="CB40" s="1201"/>
      <c r="CC40" s="65"/>
      <c r="CD40" s="257"/>
      <c r="CE40" s="641"/>
      <c r="CF40" s="65"/>
      <c r="CG40" s="65"/>
      <c r="CH40" s="65"/>
      <c r="CI40" s="257"/>
      <c r="CJ40" s="641"/>
      <c r="CK40" s="65"/>
      <c r="CL40" s="217"/>
      <c r="CM40" s="217"/>
      <c r="CN40" s="320"/>
      <c r="CO40" s="538"/>
      <c r="CP40" s="217"/>
      <c r="CQ40" s="217"/>
      <c r="CR40" s="217"/>
      <c r="CS40" s="320"/>
      <c r="CT40" s="538"/>
      <c r="CU40" s="217"/>
      <c r="CV40" s="217"/>
      <c r="CW40" s="217"/>
      <c r="CX40" s="320"/>
      <c r="CY40" s="538"/>
      <c r="CZ40" s="217"/>
      <c r="DA40" s="217"/>
      <c r="DB40" s="217"/>
      <c r="DC40" s="320"/>
      <c r="DD40" s="538"/>
      <c r="DE40" s="217"/>
      <c r="DF40" s="217"/>
      <c r="DG40" s="217"/>
      <c r="DH40" s="320"/>
      <c r="DI40" s="538"/>
      <c r="DJ40" s="217"/>
      <c r="DK40" s="217"/>
      <c r="DL40" s="217"/>
      <c r="DM40" s="320"/>
      <c r="DN40" s="538"/>
      <c r="DO40" s="217"/>
      <c r="DP40" s="217"/>
      <c r="DQ40" s="217"/>
      <c r="DR40" s="320"/>
      <c r="DS40" s="538"/>
      <c r="DT40" s="217"/>
      <c r="DU40" s="217"/>
      <c r="DV40" s="217"/>
      <c r="DW40" s="320"/>
      <c r="DX40" s="538"/>
      <c r="DY40" s="1573"/>
      <c r="DZ40" s="1575"/>
      <c r="EA40" s="21" t="s">
        <v>280</v>
      </c>
      <c r="EB40" s="266"/>
      <c r="EC40" s="312"/>
      <c r="ED40" s="312"/>
      <c r="EE40" s="312"/>
      <c r="EF40" s="312"/>
      <c r="EG40" s="312"/>
      <c r="EH40" s="312"/>
      <c r="EI40" s="312"/>
      <c r="EJ40" s="312"/>
      <c r="EK40" s="312"/>
      <c r="EL40" s="359"/>
      <c r="EM40" s="16"/>
      <c r="EN40" s="16"/>
      <c r="EU40" s="16"/>
      <c r="EV40" s="16"/>
      <c r="EW40" s="16"/>
      <c r="EX40" s="16"/>
      <c r="EY40" s="16"/>
      <c r="EZ40" s="16"/>
      <c r="FA40" s="16"/>
      <c r="FB40" s="16"/>
      <c r="FC40" s="16"/>
      <c r="FD40" s="16"/>
      <c r="FE40" s="16"/>
      <c r="FF40" s="16"/>
      <c r="FG40" s="16"/>
      <c r="FH40" s="16"/>
      <c r="FI40" s="16"/>
      <c r="FJ40" s="16"/>
    </row>
    <row r="41" spans="1:166" x14ac:dyDescent="0.2">
      <c r="A41" s="497" t="s">
        <v>342</v>
      </c>
      <c r="B41" s="215"/>
      <c r="C41" s="65"/>
      <c r="D41" s="216"/>
      <c r="E41" s="65"/>
      <c r="F41" s="65"/>
      <c r="G41" s="215"/>
      <c r="H41" s="65"/>
      <c r="I41" s="216"/>
      <c r="J41" s="65"/>
      <c r="K41" s="65"/>
      <c r="L41" s="215"/>
      <c r="M41" s="65"/>
      <c r="N41" s="217"/>
      <c r="O41" s="65"/>
      <c r="P41" s="65"/>
      <c r="Q41" s="215">
        <v>-308</v>
      </c>
      <c r="R41" s="248"/>
      <c r="S41" s="65"/>
      <c r="T41" s="65"/>
      <c r="U41" s="257"/>
      <c r="V41" s="215">
        <v>-768</v>
      </c>
      <c r="W41" s="248">
        <v>0</v>
      </c>
      <c r="X41" s="65">
        <f>0-W41</f>
        <v>0</v>
      </c>
      <c r="Y41" s="65">
        <v>0</v>
      </c>
      <c r="Z41" s="257">
        <f t="shared" ref="Z41:Z47" si="108">AA41-Y41-X41-W41</f>
        <v>0</v>
      </c>
      <c r="AA41" s="254">
        <v>0</v>
      </c>
      <c r="AB41" s="248">
        <v>-268</v>
      </c>
      <c r="AC41" s="65">
        <f>-308-AB41</f>
        <v>-40</v>
      </c>
      <c r="AD41" s="65">
        <f>-318-AC41-AB41</f>
        <v>-10</v>
      </c>
      <c r="AE41" s="257">
        <f t="shared" ref="AE41:AE47" si="109">AF41-AD41-AC41-AB41</f>
        <v>-32</v>
      </c>
      <c r="AF41" s="215">
        <v>-350</v>
      </c>
      <c r="AG41" s="248">
        <v>0</v>
      </c>
      <c r="AH41" s="65">
        <v>0</v>
      </c>
      <c r="AI41" s="65">
        <v>0</v>
      </c>
      <c r="AJ41" s="65">
        <f t="shared" ref="AJ41:AJ52" si="110">AK41-AI41-AH41-AG41</f>
        <v>0</v>
      </c>
      <c r="AK41" s="215">
        <v>0</v>
      </c>
      <c r="AL41" s="65">
        <v>0</v>
      </c>
      <c r="AM41" s="65">
        <v>0</v>
      </c>
      <c r="AN41" s="65">
        <v>0</v>
      </c>
      <c r="AO41" s="65">
        <f t="shared" ref="AO41:AO52" si="111">AP41-AN41-AM41-AL41</f>
        <v>0</v>
      </c>
      <c r="AP41" s="641">
        <v>0</v>
      </c>
      <c r="AQ41" s="65">
        <v>0</v>
      </c>
      <c r="AR41" s="65">
        <v>0</v>
      </c>
      <c r="AS41" s="65">
        <v>0</v>
      </c>
      <c r="AT41" s="65">
        <f>0-AS41-AR41-AQ41</f>
        <v>0</v>
      </c>
      <c r="AU41" s="215">
        <f t="shared" ref="AU41:AU52" si="112">SUM(AQ41:AT41)</f>
        <v>0</v>
      </c>
      <c r="AV41" s="240"/>
      <c r="AW41" s="65">
        <f>AS41</f>
        <v>0</v>
      </c>
      <c r="AX41" s="65">
        <f>AT41</f>
        <v>0</v>
      </c>
      <c r="AY41" s="65">
        <v>0</v>
      </c>
      <c r="AZ41" s="65">
        <v>0</v>
      </c>
      <c r="BA41" s="215">
        <f t="shared" ref="BA41:BA52" si="113">SUM(AW41:AZ41)</f>
        <v>0</v>
      </c>
      <c r="BB41" s="65">
        <v>0</v>
      </c>
      <c r="BC41" s="65">
        <f>0-BB41</f>
        <v>0</v>
      </c>
      <c r="BD41" s="65">
        <f>0-SUM(BB41:BC41)</f>
        <v>0</v>
      </c>
      <c r="BE41" s="65">
        <f>0-SUM(BB41:BD41)</f>
        <v>0</v>
      </c>
      <c r="BF41" s="641">
        <f t="shared" ref="BF41:BF52" si="114">SUM(BB41:BE41)</f>
        <v>0</v>
      </c>
      <c r="BG41" s="65">
        <v>0</v>
      </c>
      <c r="BH41" s="65">
        <f>0-BG41</f>
        <v>0</v>
      </c>
      <c r="BI41" s="65">
        <f>0-SUM(BG41:BH41)</f>
        <v>0</v>
      </c>
      <c r="BJ41" s="65">
        <f t="shared" ref="BJ41:BJ52" si="115">BK41-SUM(BG41:BI41)</f>
        <v>0</v>
      </c>
      <c r="BK41" s="641">
        <v>0</v>
      </c>
      <c r="BL41" s="65">
        <v>0</v>
      </c>
      <c r="BM41" s="65">
        <v>0</v>
      </c>
      <c r="BN41" s="65">
        <v>0</v>
      </c>
      <c r="BO41" s="65">
        <f t="shared" ref="BO41:BO52" si="116">BP41-SUM(BL41:BN41)</f>
        <v>0</v>
      </c>
      <c r="BP41" s="215">
        <v>0</v>
      </c>
      <c r="BQ41" s="65">
        <v>0</v>
      </c>
      <c r="BR41" s="65">
        <v>0</v>
      </c>
      <c r="BS41" s="65">
        <v>0</v>
      </c>
      <c r="BT41" s="65">
        <f t="shared" ref="BT41:BT52" si="117">BU41-SUM(BQ41:BS41)</f>
        <v>0</v>
      </c>
      <c r="BU41" s="641">
        <v>0</v>
      </c>
      <c r="BV41" s="65">
        <v>0</v>
      </c>
      <c r="BW41" s="65">
        <v>0</v>
      </c>
      <c r="BX41" s="65">
        <v>0</v>
      </c>
      <c r="BY41" s="65">
        <f t="shared" ref="BY41:BY52" si="118">BZ41-SUM(BV41:BX41)</f>
        <v>0</v>
      </c>
      <c r="BZ41" s="641">
        <v>0</v>
      </c>
      <c r="CA41" s="1201">
        <v>0</v>
      </c>
      <c r="CB41" s="65">
        <v>0</v>
      </c>
      <c r="CC41" s="65">
        <v>0</v>
      </c>
      <c r="CD41" s="65">
        <v>0</v>
      </c>
      <c r="CE41" s="641">
        <f t="shared" ref="CE41:CE47" si="119">SUM(CA41:CD41)</f>
        <v>0</v>
      </c>
      <c r="CF41" s="65">
        <v>0</v>
      </c>
      <c r="CG41" s="65">
        <v>0</v>
      </c>
      <c r="CH41" s="65">
        <v>0</v>
      </c>
      <c r="CI41" s="65">
        <f t="shared" ref="CI41:CI52" si="120">CJ41-CH41-CF41-CG41</f>
        <v>0</v>
      </c>
      <c r="CJ41" s="641">
        <v>0</v>
      </c>
      <c r="CK41" s="65">
        <v>0</v>
      </c>
      <c r="CL41" s="217">
        <v>0</v>
      </c>
      <c r="CM41" s="217">
        <v>0</v>
      </c>
      <c r="CN41" s="217">
        <v>0</v>
      </c>
      <c r="CO41" s="538">
        <f t="shared" ref="CO41:CO48" si="121">SUM(CK41:CN41)</f>
        <v>0</v>
      </c>
      <c r="CP41" s="217">
        <v>0</v>
      </c>
      <c r="CQ41" s="217">
        <v>0</v>
      </c>
      <c r="CR41" s="217">
        <v>0</v>
      </c>
      <c r="CS41" s="217">
        <v>0</v>
      </c>
      <c r="CT41" s="538">
        <f t="shared" ref="CT41:CT48" si="122">SUM(CP41:CS41)</f>
        <v>0</v>
      </c>
      <c r="CU41" s="217">
        <v>0</v>
      </c>
      <c r="CV41" s="217">
        <v>0</v>
      </c>
      <c r="CW41" s="217">
        <v>0</v>
      </c>
      <c r="CX41" s="217">
        <v>0</v>
      </c>
      <c r="CY41" s="538">
        <f t="shared" ref="CY41:CY48" si="123">SUM(CU41:CX41)</f>
        <v>0</v>
      </c>
      <c r="CZ41" s="217">
        <v>0</v>
      </c>
      <c r="DA41" s="217">
        <v>0</v>
      </c>
      <c r="DB41" s="217">
        <v>0</v>
      </c>
      <c r="DC41" s="217">
        <v>0</v>
      </c>
      <c r="DD41" s="538">
        <f t="shared" ref="DD41:DD48" si="124">SUM(CZ41:DC41)</f>
        <v>0</v>
      </c>
      <c r="DE41" s="217">
        <v>0</v>
      </c>
      <c r="DF41" s="217">
        <v>0</v>
      </c>
      <c r="DG41" s="217">
        <v>0</v>
      </c>
      <c r="DH41" s="217">
        <v>0</v>
      </c>
      <c r="DI41" s="538">
        <f t="shared" ref="DI41:DI48" si="125">SUM(DE41:DH41)</f>
        <v>0</v>
      </c>
      <c r="DJ41" s="217">
        <v>0</v>
      </c>
      <c r="DK41" s="217">
        <v>0</v>
      </c>
      <c r="DL41" s="217">
        <v>0</v>
      </c>
      <c r="DM41" s="217">
        <v>0</v>
      </c>
      <c r="DN41" s="538">
        <f t="shared" ref="DN41:DN48" si="126">SUM(DJ41:DM41)</f>
        <v>0</v>
      </c>
      <c r="DO41" s="217">
        <v>0</v>
      </c>
      <c r="DP41" s="217">
        <v>0</v>
      </c>
      <c r="DQ41" s="217">
        <v>0</v>
      </c>
      <c r="DR41" s="217">
        <v>0</v>
      </c>
      <c r="DS41" s="538">
        <f t="shared" ref="DS41:DS48" si="127">SUM(DO41:DR41)</f>
        <v>0</v>
      </c>
      <c r="DT41" s="217">
        <v>0</v>
      </c>
      <c r="DU41" s="217">
        <v>0</v>
      </c>
      <c r="DV41" s="217">
        <v>0</v>
      </c>
      <c r="DW41" s="217">
        <v>0</v>
      </c>
      <c r="DX41" s="538">
        <f t="shared" ref="DX41:DX48" si="128">SUM(DT41:DW41)</f>
        <v>0</v>
      </c>
      <c r="DY41" s="1573"/>
      <c r="DZ41" s="1575"/>
      <c r="EA41" s="21" t="s">
        <v>56</v>
      </c>
      <c r="EB41" s="266">
        <f t="shared" ref="EB41:EB52" si="129">SUM(AC41,AB41,Z41,Y41)</f>
        <v>-308</v>
      </c>
      <c r="EC41" s="312">
        <f t="shared" ref="EC41:EC52" si="130">SUM(AD41,AE41,AG41,AH41)</f>
        <v>-42</v>
      </c>
      <c r="ED41" s="312">
        <f t="shared" ref="ED41:ED52" si="131">SUM(AI41,AJ41,AL41,AM41)</f>
        <v>0</v>
      </c>
      <c r="EE41" s="312">
        <f t="shared" ref="EE41:EE52" si="132">SUM(AN41,AO41,AQ41,AR41)</f>
        <v>0</v>
      </c>
      <c r="EF41" s="312">
        <f t="shared" ref="EF41:EF52" si="133">BA41</f>
        <v>0</v>
      </c>
      <c r="EG41" s="312">
        <f t="shared" ref="EG41:EG52" si="134">BF41</f>
        <v>0</v>
      </c>
      <c r="EH41" s="312">
        <f t="shared" ref="EH41:EH52" si="135">BK41</f>
        <v>0</v>
      </c>
      <c r="EI41" s="312">
        <f t="shared" ref="EI41:EI52" si="136">BP41</f>
        <v>0</v>
      </c>
      <c r="EJ41" s="312">
        <f t="shared" ref="EJ41:EJ52" si="137">BU41</f>
        <v>0</v>
      </c>
      <c r="EK41" s="312">
        <f>BZ41</f>
        <v>0</v>
      </c>
      <c r="EL41" s="359">
        <f>CE41</f>
        <v>0</v>
      </c>
      <c r="EM41" s="16"/>
      <c r="EN41" s="16"/>
      <c r="EU41" s="16"/>
      <c r="EV41" s="16"/>
      <c r="EW41" s="16"/>
      <c r="EX41" s="16"/>
      <c r="EY41" s="16"/>
      <c r="EZ41" s="16"/>
      <c r="FA41" s="16"/>
      <c r="FB41" s="16"/>
      <c r="FC41" s="16"/>
      <c r="FD41" s="16"/>
      <c r="FE41" s="16"/>
      <c r="FF41" s="16"/>
      <c r="FG41" s="16"/>
      <c r="FH41" s="16"/>
      <c r="FI41" s="16"/>
      <c r="FJ41" s="16"/>
    </row>
    <row r="42" spans="1:166" x14ac:dyDescent="0.2">
      <c r="A42" s="497" t="s">
        <v>343</v>
      </c>
      <c r="B42" s="215"/>
      <c r="C42" s="65"/>
      <c r="D42" s="216"/>
      <c r="E42" s="65"/>
      <c r="F42" s="65"/>
      <c r="G42" s="215"/>
      <c r="H42" s="65"/>
      <c r="I42" s="216"/>
      <c r="J42" s="65"/>
      <c r="K42" s="65"/>
      <c r="L42" s="215"/>
      <c r="M42" s="65"/>
      <c r="N42" s="65"/>
      <c r="O42" s="65"/>
      <c r="P42" s="65"/>
      <c r="Q42" s="215">
        <v>186</v>
      </c>
      <c r="R42" s="248"/>
      <c r="S42" s="65"/>
      <c r="T42" s="65"/>
      <c r="U42" s="257"/>
      <c r="V42" s="215">
        <v>890</v>
      </c>
      <c r="W42" s="248">
        <v>0</v>
      </c>
      <c r="X42" s="65">
        <f>0-W42</f>
        <v>0</v>
      </c>
      <c r="Y42" s="65">
        <v>0</v>
      </c>
      <c r="Z42" s="257">
        <f t="shared" si="108"/>
        <v>0</v>
      </c>
      <c r="AA42" s="254">
        <v>0</v>
      </c>
      <c r="AB42" s="248">
        <v>257</v>
      </c>
      <c r="AC42" s="65">
        <f>308-AB42</f>
        <v>51</v>
      </c>
      <c r="AD42" s="65">
        <f>318-AC42-AB42</f>
        <v>10</v>
      </c>
      <c r="AE42" s="257">
        <f t="shared" si="109"/>
        <v>32</v>
      </c>
      <c r="AF42" s="215">
        <v>350</v>
      </c>
      <c r="AG42" s="248">
        <v>0</v>
      </c>
      <c r="AH42" s="65">
        <v>0</v>
      </c>
      <c r="AI42" s="65">
        <v>0</v>
      </c>
      <c r="AJ42" s="65">
        <f t="shared" si="110"/>
        <v>0</v>
      </c>
      <c r="AK42" s="215">
        <v>0</v>
      </c>
      <c r="AL42" s="65">
        <v>0</v>
      </c>
      <c r="AM42" s="65">
        <v>0</v>
      </c>
      <c r="AN42" s="65">
        <v>0</v>
      </c>
      <c r="AO42" s="65">
        <f t="shared" si="111"/>
        <v>0</v>
      </c>
      <c r="AP42" s="641">
        <v>0</v>
      </c>
      <c r="AQ42" s="65">
        <v>0</v>
      </c>
      <c r="AR42" s="65">
        <v>0</v>
      </c>
      <c r="AS42" s="65">
        <v>0</v>
      </c>
      <c r="AT42" s="65">
        <f>0-AS42-AR42-AQ42</f>
        <v>0</v>
      </c>
      <c r="AU42" s="215">
        <f t="shared" si="112"/>
        <v>0</v>
      </c>
      <c r="AV42" s="123"/>
      <c r="AW42" s="65">
        <f>AS42</f>
        <v>0</v>
      </c>
      <c r="AX42" s="65">
        <f>AT42</f>
        <v>0</v>
      </c>
      <c r="AY42" s="65">
        <v>0</v>
      </c>
      <c r="AZ42" s="65">
        <v>0</v>
      </c>
      <c r="BA42" s="215">
        <f t="shared" si="113"/>
        <v>0</v>
      </c>
      <c r="BB42" s="65">
        <v>0</v>
      </c>
      <c r="BC42" s="65">
        <f>0-BB42</f>
        <v>0</v>
      </c>
      <c r="BD42" s="65">
        <f>0-SUM(BB42:BC42)</f>
        <v>0</v>
      </c>
      <c r="BE42" s="65">
        <f>0-SUM(BB42:BD42)</f>
        <v>0</v>
      </c>
      <c r="BF42" s="641">
        <f t="shared" si="114"/>
        <v>0</v>
      </c>
      <c r="BG42" s="65">
        <v>0</v>
      </c>
      <c r="BH42" s="65">
        <f>0-BG42</f>
        <v>0</v>
      </c>
      <c r="BI42" s="65">
        <f>0-SUM(BG42:BH42)</f>
        <v>0</v>
      </c>
      <c r="BJ42" s="65">
        <f t="shared" si="115"/>
        <v>0</v>
      </c>
      <c r="BK42" s="641">
        <v>0</v>
      </c>
      <c r="BL42" s="65">
        <v>0</v>
      </c>
      <c r="BM42" s="65">
        <v>0</v>
      </c>
      <c r="BN42" s="65">
        <v>0</v>
      </c>
      <c r="BO42" s="65">
        <f t="shared" si="116"/>
        <v>0</v>
      </c>
      <c r="BP42" s="215">
        <v>0</v>
      </c>
      <c r="BQ42" s="65">
        <v>0</v>
      </c>
      <c r="BR42" s="65">
        <v>0</v>
      </c>
      <c r="BS42" s="65">
        <v>0</v>
      </c>
      <c r="BT42" s="65">
        <f t="shared" si="117"/>
        <v>0</v>
      </c>
      <c r="BU42" s="641">
        <v>0</v>
      </c>
      <c r="BV42" s="65">
        <v>0</v>
      </c>
      <c r="BW42" s="65">
        <v>0</v>
      </c>
      <c r="BX42" s="65">
        <v>0</v>
      </c>
      <c r="BY42" s="65">
        <f t="shared" si="118"/>
        <v>0</v>
      </c>
      <c r="BZ42" s="641">
        <v>0</v>
      </c>
      <c r="CA42" s="1201">
        <v>0</v>
      </c>
      <c r="CB42" s="65">
        <v>0</v>
      </c>
      <c r="CC42" s="65">
        <v>0</v>
      </c>
      <c r="CD42" s="65">
        <v>0</v>
      </c>
      <c r="CE42" s="641">
        <f t="shared" si="119"/>
        <v>0</v>
      </c>
      <c r="CF42" s="65">
        <v>0</v>
      </c>
      <c r="CG42" s="65">
        <v>0</v>
      </c>
      <c r="CH42" s="65">
        <v>0</v>
      </c>
      <c r="CI42" s="65">
        <f t="shared" si="120"/>
        <v>0</v>
      </c>
      <c r="CJ42" s="641">
        <v>0</v>
      </c>
      <c r="CK42" s="65">
        <v>0</v>
      </c>
      <c r="CL42" s="217">
        <v>0</v>
      </c>
      <c r="CM42" s="217">
        <v>0</v>
      </c>
      <c r="CN42" s="217">
        <v>0</v>
      </c>
      <c r="CO42" s="538">
        <f t="shared" si="121"/>
        <v>0</v>
      </c>
      <c r="CP42" s="217">
        <v>0</v>
      </c>
      <c r="CQ42" s="217">
        <v>0</v>
      </c>
      <c r="CR42" s="217">
        <v>0</v>
      </c>
      <c r="CS42" s="217">
        <v>0</v>
      </c>
      <c r="CT42" s="538">
        <f t="shared" si="122"/>
        <v>0</v>
      </c>
      <c r="CU42" s="217">
        <v>0</v>
      </c>
      <c r="CV42" s="217">
        <v>0</v>
      </c>
      <c r="CW42" s="217">
        <v>0</v>
      </c>
      <c r="CX42" s="217">
        <v>0</v>
      </c>
      <c r="CY42" s="538">
        <f t="shared" si="123"/>
        <v>0</v>
      </c>
      <c r="CZ42" s="217">
        <v>0</v>
      </c>
      <c r="DA42" s="217">
        <v>0</v>
      </c>
      <c r="DB42" s="217">
        <v>0</v>
      </c>
      <c r="DC42" s="217">
        <v>0</v>
      </c>
      <c r="DD42" s="538">
        <f t="shared" si="124"/>
        <v>0</v>
      </c>
      <c r="DE42" s="217">
        <v>0</v>
      </c>
      <c r="DF42" s="217">
        <v>0</v>
      </c>
      <c r="DG42" s="217">
        <v>0</v>
      </c>
      <c r="DH42" s="217">
        <v>0</v>
      </c>
      <c r="DI42" s="538">
        <f t="shared" si="125"/>
        <v>0</v>
      </c>
      <c r="DJ42" s="217">
        <v>0</v>
      </c>
      <c r="DK42" s="217">
        <v>0</v>
      </c>
      <c r="DL42" s="217">
        <v>0</v>
      </c>
      <c r="DM42" s="217">
        <v>0</v>
      </c>
      <c r="DN42" s="538">
        <f t="shared" si="126"/>
        <v>0</v>
      </c>
      <c r="DO42" s="217">
        <v>0</v>
      </c>
      <c r="DP42" s="217">
        <v>0</v>
      </c>
      <c r="DQ42" s="217">
        <v>0</v>
      </c>
      <c r="DR42" s="217">
        <v>0</v>
      </c>
      <c r="DS42" s="538">
        <f t="shared" si="127"/>
        <v>0</v>
      </c>
      <c r="DT42" s="217">
        <v>0</v>
      </c>
      <c r="DU42" s="217">
        <v>0</v>
      </c>
      <c r="DV42" s="217">
        <v>0</v>
      </c>
      <c r="DW42" s="217">
        <v>0</v>
      </c>
      <c r="DX42" s="538">
        <f t="shared" si="128"/>
        <v>0</v>
      </c>
      <c r="DY42" s="1573"/>
      <c r="DZ42" s="1575"/>
      <c r="EA42" s="21" t="s">
        <v>55</v>
      </c>
      <c r="EB42" s="266">
        <f t="shared" si="129"/>
        <v>308</v>
      </c>
      <c r="EC42" s="312">
        <f t="shared" si="130"/>
        <v>42</v>
      </c>
      <c r="ED42" s="312">
        <f t="shared" si="131"/>
        <v>0</v>
      </c>
      <c r="EE42" s="312">
        <f t="shared" si="132"/>
        <v>0</v>
      </c>
      <c r="EF42" s="312">
        <f t="shared" si="133"/>
        <v>0</v>
      </c>
      <c r="EG42" s="312">
        <f t="shared" si="134"/>
        <v>0</v>
      </c>
      <c r="EH42" s="312">
        <f t="shared" si="135"/>
        <v>0</v>
      </c>
      <c r="EI42" s="312">
        <f t="shared" si="136"/>
        <v>0</v>
      </c>
      <c r="EJ42" s="312">
        <f t="shared" si="137"/>
        <v>0</v>
      </c>
      <c r="EK42" s="312">
        <f t="shared" ref="EK42:EK52" si="138">BZ42</f>
        <v>0</v>
      </c>
      <c r="EL42" s="359">
        <f t="shared" ref="EL42:EL52" si="139">CE42</f>
        <v>0</v>
      </c>
      <c r="EM42" s="16"/>
      <c r="EN42" s="16"/>
      <c r="EU42" s="16"/>
      <c r="EV42" s="16"/>
      <c r="EW42" s="16"/>
      <c r="EX42" s="16"/>
      <c r="EY42" s="16"/>
      <c r="EZ42" s="16"/>
      <c r="FA42" s="16"/>
      <c r="FB42" s="16"/>
      <c r="FC42" s="16"/>
      <c r="FD42" s="16"/>
      <c r="FE42" s="16"/>
      <c r="FF42" s="16"/>
      <c r="FG42" s="16"/>
      <c r="FH42" s="16"/>
      <c r="FI42" s="16"/>
      <c r="FJ42" s="16"/>
    </row>
    <row r="43" spans="1:166" x14ac:dyDescent="0.2">
      <c r="A43" s="496" t="s">
        <v>344</v>
      </c>
      <c r="B43" s="451"/>
      <c r="C43" s="452"/>
      <c r="D43" s="453"/>
      <c r="E43" s="452"/>
      <c r="F43" s="452"/>
      <c r="G43" s="451"/>
      <c r="H43" s="452"/>
      <c r="I43" s="453"/>
      <c r="J43" s="452"/>
      <c r="K43" s="452"/>
      <c r="L43" s="451"/>
      <c r="M43" s="452"/>
      <c r="N43" s="452"/>
      <c r="O43" s="452"/>
      <c r="P43" s="452"/>
      <c r="Q43" s="451">
        <v>-81</v>
      </c>
      <c r="R43" s="454"/>
      <c r="S43" s="452"/>
      <c r="T43" s="452"/>
      <c r="U43" s="455"/>
      <c r="V43" s="451">
        <v>-93</v>
      </c>
      <c r="W43" s="454">
        <v>-13</v>
      </c>
      <c r="X43" s="452">
        <f>-30-W43</f>
        <v>-17</v>
      </c>
      <c r="Y43" s="452">
        <f>-48-X43-W43</f>
        <v>-18</v>
      </c>
      <c r="Z43" s="455">
        <f t="shared" si="108"/>
        <v>-37</v>
      </c>
      <c r="AA43" s="451">
        <v>-85</v>
      </c>
      <c r="AB43" s="454">
        <v>-13</v>
      </c>
      <c r="AC43" s="452">
        <f>-31-AB43</f>
        <v>-18</v>
      </c>
      <c r="AD43" s="452">
        <f>-48-AC43-AB43</f>
        <v>-17</v>
      </c>
      <c r="AE43" s="455">
        <f t="shared" si="109"/>
        <v>-39</v>
      </c>
      <c r="AF43" s="451">
        <v>-87</v>
      </c>
      <c r="AG43" s="452">
        <v>-23</v>
      </c>
      <c r="AH43" s="452">
        <f>-50-AG43</f>
        <v>-27</v>
      </c>
      <c r="AI43" s="452">
        <f>-88-AH43-AG43</f>
        <v>-38</v>
      </c>
      <c r="AJ43" s="455">
        <f t="shared" si="110"/>
        <v>-90</v>
      </c>
      <c r="AK43" s="451">
        <v>-178</v>
      </c>
      <c r="AL43" s="452">
        <v>-33</v>
      </c>
      <c r="AM43" s="452">
        <f>-83-AL43</f>
        <v>-50</v>
      </c>
      <c r="AN43" s="452">
        <f>-125-AM43-AL43</f>
        <v>-42</v>
      </c>
      <c r="AO43" s="455">
        <f t="shared" si="111"/>
        <v>-79</v>
      </c>
      <c r="AP43" s="644">
        <v>-204</v>
      </c>
      <c r="AQ43" s="452">
        <v>-31.2</v>
      </c>
      <c r="AR43" s="452">
        <f>-63.8-AQ43</f>
        <v>-32.599999999999994</v>
      </c>
      <c r="AS43" s="452">
        <f>-90.1-AR43-AQ43</f>
        <v>-26.3</v>
      </c>
      <c r="AT43" s="452">
        <f>-150.3-AS43-AR43-AQ43</f>
        <v>-60.200000000000017</v>
      </c>
      <c r="AU43" s="451">
        <f t="shared" si="112"/>
        <v>-150.30000000000001</v>
      </c>
      <c r="AV43" s="123"/>
      <c r="AW43" s="219">
        <f t="shared" ref="AW43:AW52" si="140">AS43</f>
        <v>-26.3</v>
      </c>
      <c r="AX43" s="219">
        <f t="shared" ref="AX43:AX52" si="141">AT43</f>
        <v>-60.200000000000017</v>
      </c>
      <c r="AY43" s="452">
        <v>-14</v>
      </c>
      <c r="AZ43" s="452">
        <v>-32.6</v>
      </c>
      <c r="BA43" s="451">
        <f t="shared" si="113"/>
        <v>-133.10000000000002</v>
      </c>
      <c r="BB43" s="452">
        <v>-9.6999999999999993</v>
      </c>
      <c r="BC43" s="452">
        <f>-23.5-BB43</f>
        <v>-13.8</v>
      </c>
      <c r="BD43" s="452">
        <f>-42-SUM(BB43:BC43)</f>
        <v>-18.5</v>
      </c>
      <c r="BE43" s="452">
        <f>-82.1-SUM(BB43:BD43)</f>
        <v>-40.099999999999994</v>
      </c>
      <c r="BF43" s="644">
        <f t="shared" si="114"/>
        <v>-82.1</v>
      </c>
      <c r="BG43" s="452">
        <v>-16.600000000000001</v>
      </c>
      <c r="BH43" s="452">
        <f>-13.8-BG43</f>
        <v>2.8000000000000007</v>
      </c>
      <c r="BI43" s="452">
        <f>-37.7-SUM(BG43:BH43)</f>
        <v>-23.900000000000002</v>
      </c>
      <c r="BJ43" s="452">
        <f t="shared" si="115"/>
        <v>-32.5</v>
      </c>
      <c r="BK43" s="644">
        <v>-70.2</v>
      </c>
      <c r="BL43" s="452">
        <v>-7.3</v>
      </c>
      <c r="BM43" s="452">
        <f>-8.6-BL43</f>
        <v>-1.2999999999999998</v>
      </c>
      <c r="BN43" s="452">
        <f>-10.8-SUM(BL43:BM43)</f>
        <v>-2.2000000000000011</v>
      </c>
      <c r="BO43" s="452">
        <f t="shared" si="116"/>
        <v>-14.7</v>
      </c>
      <c r="BP43" s="451">
        <v>-25.5</v>
      </c>
      <c r="BQ43" s="452">
        <v>-3.4</v>
      </c>
      <c r="BR43" s="452">
        <f>-7.2-BQ43</f>
        <v>-3.8000000000000003</v>
      </c>
      <c r="BS43" s="452">
        <f>-10.7-BR43-BQ43</f>
        <v>-3.4999999999999987</v>
      </c>
      <c r="BT43" s="452">
        <f t="shared" si="117"/>
        <v>-20.2</v>
      </c>
      <c r="BU43" s="644">
        <v>-30.9</v>
      </c>
      <c r="BV43" s="452">
        <v>-29.4</v>
      </c>
      <c r="BW43" s="452">
        <f>-57-BV43</f>
        <v>-27.6</v>
      </c>
      <c r="BX43" s="452">
        <f>-82.9-BW43-BV43</f>
        <v>-25.900000000000006</v>
      </c>
      <c r="BY43" s="452">
        <f t="shared" si="118"/>
        <v>-32.399999999999991</v>
      </c>
      <c r="BZ43" s="644">
        <v>-115.3</v>
      </c>
      <c r="CA43" s="1208">
        <v>-5.6</v>
      </c>
      <c r="CB43" s="452">
        <f>-12.8-CA43</f>
        <v>-7.2000000000000011</v>
      </c>
      <c r="CC43" s="452">
        <f>-18.2-CB43-CA43</f>
        <v>-5.3999999999999986</v>
      </c>
      <c r="CD43" s="452">
        <f>CE43-CC43-CB43-CA43</f>
        <v>-15.500000000000002</v>
      </c>
      <c r="CE43" s="644">
        <v>-33.700000000000003</v>
      </c>
      <c r="CF43" s="452">
        <v>-4.0999999999999996</v>
      </c>
      <c r="CG43" s="452">
        <f>-11.7-CF43</f>
        <v>-7.6</v>
      </c>
      <c r="CH43" s="452">
        <f>-16.9-SUM(CF43:CG43)</f>
        <v>-5.1999999999999993</v>
      </c>
      <c r="CI43" s="452">
        <f t="shared" si="120"/>
        <v>-19.800000000000004</v>
      </c>
      <c r="CJ43" s="644">
        <v>-36.700000000000003</v>
      </c>
      <c r="CK43" s="1793">
        <v>-7</v>
      </c>
      <c r="CL43" s="1767">
        <f>-CL169*IS!CQ20</f>
        <v>-9.1905064760637423</v>
      </c>
      <c r="CM43" s="1767">
        <f>-CM169*IS!CR20</f>
        <v>-6.1525352603045249</v>
      </c>
      <c r="CN43" s="1767">
        <f>-CN169*IS!CS20</f>
        <v>-23.425758476312211</v>
      </c>
      <c r="CO43" s="1768">
        <f t="shared" ref="CO43" si="142">SUM(CK43:CN43)</f>
        <v>-45.768800212680475</v>
      </c>
      <c r="CP43" s="1767">
        <f>-CP169*IS!CU20</f>
        <v>-5.4475050719530644</v>
      </c>
      <c r="CQ43" s="1767">
        <f>-CQ169*IS!CV20</f>
        <v>-9.7754559732166264</v>
      </c>
      <c r="CR43" s="1767">
        <f>-CR169*IS!CW20</f>
        <v>-6.5453455124811537</v>
      </c>
      <c r="CS43" s="1767">
        <f>-CS169*IS!CX20</f>
        <v>-25.003331463808514</v>
      </c>
      <c r="CT43" s="1768">
        <f t="shared" ref="CT43" si="143">SUM(CP43:CS43)</f>
        <v>-46.77163802145936</v>
      </c>
      <c r="CU43" s="1767">
        <f>-CU169*IS!CZ20</f>
        <v>-5.8736801189142582</v>
      </c>
      <c r="CV43" s="1767">
        <f>-CV169*IS!DA20</f>
        <v>-10.424107022432043</v>
      </c>
      <c r="CW43" s="1767">
        <f>-CW169*IS!DB20</f>
        <v>-6.9897308560112013</v>
      </c>
      <c r="CX43" s="1767">
        <f>-CX169*IS!DC20</f>
        <v>-26.744617478124308</v>
      </c>
      <c r="CY43" s="1768">
        <f t="shared" ref="CY43" si="144">SUM(CU43:CX43)</f>
        <v>-50.032135475481809</v>
      </c>
      <c r="CZ43" s="1767">
        <f>-CZ169*IS!DE20</f>
        <v>-6.3326312187712936</v>
      </c>
      <c r="DA43" s="1767">
        <f>-DA169*IS!DF20</f>
        <v>-11.078682505153202</v>
      </c>
      <c r="DB43" s="1767">
        <f>-DB169*IS!DG20</f>
        <v>-7.553268545760548</v>
      </c>
      <c r="DC43" s="1767">
        <f>-DC169*IS!DH20</f>
        <v>-28.904154607024246</v>
      </c>
      <c r="DD43" s="1768">
        <f t="shared" ref="DD43" si="145">SUM(CZ43:DC43)</f>
        <v>-53.868736876709292</v>
      </c>
      <c r="DE43" s="1767">
        <f>-DE169*IS!DJ20</f>
        <v>-6.7445945252227411</v>
      </c>
      <c r="DF43" s="1767">
        <f>-DF169*IS!DK20</f>
        <v>-11.807710731313238</v>
      </c>
      <c r="DG43" s="1767">
        <f>-DG169*IS!DL20</f>
        <v>-8.061006791977805</v>
      </c>
      <c r="DH43" s="1767">
        <f>-DH169*IS!DM20</f>
        <v>-30.858533454629036</v>
      </c>
      <c r="DI43" s="1768">
        <f t="shared" ref="DI43" si="146">SUM(DE43:DH43)</f>
        <v>-57.471845503142816</v>
      </c>
      <c r="DJ43" s="1767">
        <f>-DJ169*IS!DO20</f>
        <v>-7.2003163465998012</v>
      </c>
      <c r="DK43" s="1767">
        <f>-DK169*IS!DP20</f>
        <v>-12.596204315092022</v>
      </c>
      <c r="DL43" s="1767">
        <f>-DL169*IS!DQ20</f>
        <v>-8.6004304294684157</v>
      </c>
      <c r="DM43" s="1767">
        <f>-DM169*IS!DR20</f>
        <v>-32.9198517610415</v>
      </c>
      <c r="DN43" s="1768">
        <f t="shared" ref="DN43" si="147">SUM(DJ43:DM43)</f>
        <v>-61.316802852201739</v>
      </c>
      <c r="DO43" s="1767">
        <f>-DO169*IS!DT20</f>
        <v>-7.7642821716410078</v>
      </c>
      <c r="DP43" s="1767">
        <f>-DP169*IS!DU20</f>
        <v>-13.421706150431895</v>
      </c>
      <c r="DQ43" s="1767">
        <f>-DQ169*IS!DV20</f>
        <v>-9.164773652076315</v>
      </c>
      <c r="DR43" s="1767">
        <f>-DR169*IS!DW20</f>
        <v>-35.077334242206049</v>
      </c>
      <c r="DS43" s="1768">
        <f t="shared" ref="DS43" si="148">SUM(DO43:DR43)</f>
        <v>-65.428096216355272</v>
      </c>
      <c r="DT43" s="1767">
        <f>-DT169*IS!DY20</f>
        <v>-8.1797983219764543</v>
      </c>
      <c r="DU43" s="1767">
        <f>-DU169*IS!DZ20</f>
        <v>-14.28487398801842</v>
      </c>
      <c r="DV43" s="1767">
        <f>-DV169*IS!EA20</f>
        <v>-9.7551209290574672</v>
      </c>
      <c r="DW43" s="1767">
        <f>-DW169*IS!EB20</f>
        <v>-37.335120243995625</v>
      </c>
      <c r="DX43" s="1768">
        <f t="shared" ref="DX43" si="149">SUM(DT43:DW43)</f>
        <v>-69.554913483047969</v>
      </c>
      <c r="DY43" s="1576"/>
      <c r="DZ43" s="1577"/>
      <c r="EA43" s="64" t="s">
        <v>594</v>
      </c>
      <c r="EB43" s="456">
        <f t="shared" si="129"/>
        <v>-86</v>
      </c>
      <c r="EC43" s="485">
        <f t="shared" si="130"/>
        <v>-106</v>
      </c>
      <c r="ED43" s="485">
        <f t="shared" si="131"/>
        <v>-211</v>
      </c>
      <c r="EE43" s="485">
        <f t="shared" si="132"/>
        <v>-184.79999999999998</v>
      </c>
      <c r="EF43" s="485">
        <f t="shared" si="133"/>
        <v>-133.10000000000002</v>
      </c>
      <c r="EG43" s="485">
        <f t="shared" si="134"/>
        <v>-82.1</v>
      </c>
      <c r="EH43" s="485">
        <f t="shared" si="135"/>
        <v>-70.2</v>
      </c>
      <c r="EI43" s="485">
        <f t="shared" si="136"/>
        <v>-25.5</v>
      </c>
      <c r="EJ43" s="485">
        <f t="shared" si="137"/>
        <v>-30.9</v>
      </c>
      <c r="EK43" s="485">
        <f t="shared" si="138"/>
        <v>-115.3</v>
      </c>
      <c r="EL43" s="749">
        <f t="shared" si="139"/>
        <v>-33.700000000000003</v>
      </c>
      <c r="EM43" s="120"/>
      <c r="EN43" s="120"/>
      <c r="EU43" s="120"/>
      <c r="EV43" s="120"/>
      <c r="EW43" s="120"/>
      <c r="EX43" s="120"/>
      <c r="EY43" s="120"/>
      <c r="EZ43" s="120"/>
      <c r="FA43" s="120"/>
      <c r="FB43" s="120"/>
      <c r="FC43" s="120"/>
      <c r="FD43" s="120"/>
      <c r="FE43" s="120"/>
      <c r="FF43" s="120"/>
      <c r="FG43" s="120"/>
      <c r="FH43" s="120"/>
      <c r="FI43" s="120"/>
      <c r="FJ43" s="120"/>
    </row>
    <row r="44" spans="1:166" x14ac:dyDescent="0.2">
      <c r="A44" s="497" t="s">
        <v>62</v>
      </c>
      <c r="B44" s="215"/>
      <c r="C44" s="65"/>
      <c r="D44" s="216"/>
      <c r="E44" s="65"/>
      <c r="F44" s="65"/>
      <c r="G44" s="215"/>
      <c r="H44" s="65"/>
      <c r="I44" s="216"/>
      <c r="J44" s="65"/>
      <c r="K44" s="65"/>
      <c r="L44" s="215"/>
      <c r="M44" s="65"/>
      <c r="N44" s="65"/>
      <c r="O44" s="65"/>
      <c r="P44" s="65"/>
      <c r="Q44" s="215">
        <v>26</v>
      </c>
      <c r="R44" s="248"/>
      <c r="S44" s="65"/>
      <c r="T44" s="65"/>
      <c r="U44" s="257"/>
      <c r="V44" s="215">
        <v>18</v>
      </c>
      <c r="W44" s="248">
        <v>7</v>
      </c>
      <c r="X44" s="65">
        <f>10-W44</f>
        <v>3</v>
      </c>
      <c r="Y44" s="65">
        <f>15-X44-W44</f>
        <v>5</v>
      </c>
      <c r="Z44" s="257">
        <f t="shared" si="108"/>
        <v>3</v>
      </c>
      <c r="AA44" s="215">
        <v>18</v>
      </c>
      <c r="AB44" s="248">
        <v>12</v>
      </c>
      <c r="AC44" s="65">
        <f>15-AB44</f>
        <v>3</v>
      </c>
      <c r="AD44" s="65">
        <f>18-AC44-AB44</f>
        <v>3</v>
      </c>
      <c r="AE44" s="257">
        <f t="shared" si="109"/>
        <v>4</v>
      </c>
      <c r="AF44" s="215">
        <v>22</v>
      </c>
      <c r="AG44" s="248">
        <v>8</v>
      </c>
      <c r="AH44" s="65">
        <f>13-AG44</f>
        <v>5</v>
      </c>
      <c r="AI44" s="65">
        <f>26-AH44-AG44</f>
        <v>13</v>
      </c>
      <c r="AJ44" s="65">
        <f t="shared" si="110"/>
        <v>1</v>
      </c>
      <c r="AK44" s="215">
        <v>27</v>
      </c>
      <c r="AL44" s="65">
        <v>1</v>
      </c>
      <c r="AM44" s="65">
        <f>2-AL44</f>
        <v>1</v>
      </c>
      <c r="AN44" s="65">
        <f>20-AM44-AL44</f>
        <v>18</v>
      </c>
      <c r="AO44" s="65">
        <f t="shared" si="111"/>
        <v>6.3999999999999986</v>
      </c>
      <c r="AP44" s="641">
        <v>26.4</v>
      </c>
      <c r="AQ44" s="65">
        <v>0</v>
      </c>
      <c r="AR44" s="65">
        <f>5.3-AQ44</f>
        <v>5.3</v>
      </c>
      <c r="AS44" s="65">
        <f>10-AR44-AQ44</f>
        <v>4.7</v>
      </c>
      <c r="AT44" s="65">
        <f>21.5-AS44-AR44-AQ44</f>
        <v>11.5</v>
      </c>
      <c r="AU44" s="215">
        <f t="shared" si="112"/>
        <v>21.5</v>
      </c>
      <c r="AV44" s="123"/>
      <c r="AW44" s="65">
        <f t="shared" si="140"/>
        <v>4.7</v>
      </c>
      <c r="AX44" s="65">
        <f t="shared" si="141"/>
        <v>11.5</v>
      </c>
      <c r="AY44" s="65">
        <v>9.5</v>
      </c>
      <c r="AZ44" s="65">
        <v>5.8</v>
      </c>
      <c r="BA44" s="215">
        <f t="shared" si="113"/>
        <v>31.5</v>
      </c>
      <c r="BB44" s="65">
        <v>7.9</v>
      </c>
      <c r="BC44" s="65">
        <f>11.7-BB44</f>
        <v>3.7999999999999989</v>
      </c>
      <c r="BD44" s="65">
        <f>23.2-SUM(BB44:BC44)</f>
        <v>11.5</v>
      </c>
      <c r="BE44" s="65">
        <f>29.9-SUM(BB44:BD44)</f>
        <v>6.6999999999999993</v>
      </c>
      <c r="BF44" s="641">
        <f t="shared" si="114"/>
        <v>29.9</v>
      </c>
      <c r="BG44" s="65">
        <v>7.4</v>
      </c>
      <c r="BH44" s="65">
        <f>36.5-BG44</f>
        <v>29.1</v>
      </c>
      <c r="BI44" s="65">
        <f>70-SUM(BG44:BH44)</f>
        <v>33.5</v>
      </c>
      <c r="BJ44" s="65">
        <f t="shared" si="115"/>
        <v>34.900000000000006</v>
      </c>
      <c r="BK44" s="641">
        <v>104.9</v>
      </c>
      <c r="BL44" s="65">
        <v>10.1</v>
      </c>
      <c r="BM44" s="65">
        <f>48.6-BL44</f>
        <v>38.5</v>
      </c>
      <c r="BN44" s="65">
        <f>48.7-SUM(BL44:BM44)</f>
        <v>0.10000000000000142</v>
      </c>
      <c r="BO44" s="65">
        <f t="shared" si="116"/>
        <v>16.099999999999994</v>
      </c>
      <c r="BP44" s="215">
        <v>64.8</v>
      </c>
      <c r="BQ44" s="65">
        <v>-4.5</v>
      </c>
      <c r="BR44" s="65">
        <f>-6.8-BQ44</f>
        <v>-2.2999999999999998</v>
      </c>
      <c r="BS44" s="65">
        <f>-6.6-BR44-BQ44</f>
        <v>0.20000000000000018</v>
      </c>
      <c r="BT44" s="65">
        <f t="shared" si="117"/>
        <v>-1.2000000000000002</v>
      </c>
      <c r="BU44" s="641">
        <v>-7.8</v>
      </c>
      <c r="BV44" s="65">
        <v>4.5</v>
      </c>
      <c r="BW44" s="65">
        <f>10.7-BV44</f>
        <v>6.1999999999999993</v>
      </c>
      <c r="BX44" s="65">
        <f>16.9-BW44-BV44</f>
        <v>6.1999999999999993</v>
      </c>
      <c r="BY44" s="65">
        <f t="shared" si="118"/>
        <v>2.7000000000000028</v>
      </c>
      <c r="BZ44" s="641">
        <v>19.600000000000001</v>
      </c>
      <c r="CA44" s="1201">
        <v>7.2</v>
      </c>
      <c r="CB44" s="65">
        <f>13.2-CA44</f>
        <v>5.9999999999999991</v>
      </c>
      <c r="CC44" s="65">
        <f>18.1-CB44-CA44</f>
        <v>4.9000000000000012</v>
      </c>
      <c r="CD44" s="452">
        <f>CE44-CC44-CB44-CA44</f>
        <v>11.899999999999999</v>
      </c>
      <c r="CE44" s="641">
        <v>30</v>
      </c>
      <c r="CF44" s="65">
        <v>6.8</v>
      </c>
      <c r="CG44" s="65">
        <f>9.6-CF44</f>
        <v>2.8</v>
      </c>
      <c r="CH44" s="65">
        <f>19.6-SUM(CF44:CG44)</f>
        <v>10.000000000000002</v>
      </c>
      <c r="CI44" s="65">
        <f t="shared" si="120"/>
        <v>6.5000000000000009</v>
      </c>
      <c r="CJ44" s="641">
        <v>26.1</v>
      </c>
      <c r="CK44" s="65">
        <v>1.6</v>
      </c>
      <c r="CL44" s="217">
        <v>0</v>
      </c>
      <c r="CM44" s="217">
        <v>0</v>
      </c>
      <c r="CN44" s="217">
        <v>0</v>
      </c>
      <c r="CO44" s="538">
        <f t="shared" si="121"/>
        <v>1.6</v>
      </c>
      <c r="CP44" s="217">
        <v>0</v>
      </c>
      <c r="CQ44" s="217">
        <v>0</v>
      </c>
      <c r="CR44" s="217">
        <v>0</v>
      </c>
      <c r="CS44" s="217">
        <v>0</v>
      </c>
      <c r="CT44" s="538">
        <f t="shared" si="122"/>
        <v>0</v>
      </c>
      <c r="CU44" s="217">
        <v>0</v>
      </c>
      <c r="CV44" s="217">
        <v>0</v>
      </c>
      <c r="CW44" s="217">
        <v>0</v>
      </c>
      <c r="CX44" s="217">
        <v>0</v>
      </c>
      <c r="CY44" s="538">
        <f t="shared" si="123"/>
        <v>0</v>
      </c>
      <c r="CZ44" s="217">
        <v>0</v>
      </c>
      <c r="DA44" s="217">
        <v>0</v>
      </c>
      <c r="DB44" s="217">
        <v>0</v>
      </c>
      <c r="DC44" s="217">
        <v>0</v>
      </c>
      <c r="DD44" s="538">
        <f t="shared" si="124"/>
        <v>0</v>
      </c>
      <c r="DE44" s="217">
        <v>0</v>
      </c>
      <c r="DF44" s="217">
        <v>0</v>
      </c>
      <c r="DG44" s="217">
        <v>0</v>
      </c>
      <c r="DH44" s="217">
        <v>0</v>
      </c>
      <c r="DI44" s="538">
        <f t="shared" si="125"/>
        <v>0</v>
      </c>
      <c r="DJ44" s="217">
        <v>0</v>
      </c>
      <c r="DK44" s="217">
        <v>0</v>
      </c>
      <c r="DL44" s="217">
        <v>0</v>
      </c>
      <c r="DM44" s="217">
        <v>0</v>
      </c>
      <c r="DN44" s="538">
        <f t="shared" si="126"/>
        <v>0</v>
      </c>
      <c r="DO44" s="217">
        <v>0</v>
      </c>
      <c r="DP44" s="217">
        <v>0</v>
      </c>
      <c r="DQ44" s="217">
        <v>0</v>
      </c>
      <c r="DR44" s="217">
        <v>0</v>
      </c>
      <c r="DS44" s="538">
        <f t="shared" si="127"/>
        <v>0</v>
      </c>
      <c r="DT44" s="217">
        <v>0</v>
      </c>
      <c r="DU44" s="217">
        <v>0</v>
      </c>
      <c r="DV44" s="217">
        <v>0</v>
      </c>
      <c r="DW44" s="217">
        <v>0</v>
      </c>
      <c r="DX44" s="538">
        <f t="shared" si="128"/>
        <v>0</v>
      </c>
      <c r="DY44" s="1573"/>
      <c r="DZ44" s="1575"/>
      <c r="EA44" s="21" t="s">
        <v>555</v>
      </c>
      <c r="EB44" s="266">
        <f t="shared" si="129"/>
        <v>23</v>
      </c>
      <c r="EC44" s="312">
        <f t="shared" si="130"/>
        <v>20</v>
      </c>
      <c r="ED44" s="312">
        <f t="shared" si="131"/>
        <v>16</v>
      </c>
      <c r="EE44" s="312">
        <f t="shared" si="132"/>
        <v>29.7</v>
      </c>
      <c r="EF44" s="312">
        <f t="shared" si="133"/>
        <v>31.5</v>
      </c>
      <c r="EG44" s="312">
        <f t="shared" si="134"/>
        <v>29.9</v>
      </c>
      <c r="EH44" s="312">
        <f t="shared" si="135"/>
        <v>104.9</v>
      </c>
      <c r="EI44" s="312">
        <f t="shared" si="136"/>
        <v>64.8</v>
      </c>
      <c r="EJ44" s="312">
        <f t="shared" si="137"/>
        <v>-7.8</v>
      </c>
      <c r="EK44" s="312">
        <f t="shared" si="138"/>
        <v>19.600000000000001</v>
      </c>
      <c r="EL44" s="359">
        <f t="shared" si="139"/>
        <v>30</v>
      </c>
      <c r="EM44" s="16"/>
      <c r="EN44" s="16"/>
      <c r="EU44" s="16"/>
      <c r="EV44" s="16"/>
      <c r="EW44" s="16"/>
      <c r="EX44" s="16"/>
      <c r="EY44" s="16"/>
      <c r="EZ44" s="16"/>
      <c r="FA44" s="16"/>
      <c r="FB44" s="16"/>
      <c r="FC44" s="16"/>
      <c r="FD44" s="16"/>
      <c r="FE44" s="16"/>
      <c r="FF44" s="16"/>
      <c r="FG44" s="16"/>
      <c r="FH44" s="16"/>
      <c r="FI44" s="16"/>
      <c r="FJ44" s="16"/>
    </row>
    <row r="45" spans="1:166" x14ac:dyDescent="0.2">
      <c r="A45" s="497" t="s">
        <v>345</v>
      </c>
      <c r="B45" s="215"/>
      <c r="C45" s="65"/>
      <c r="D45" s="216"/>
      <c r="E45" s="65"/>
      <c r="F45" s="65"/>
      <c r="G45" s="215"/>
      <c r="H45" s="65"/>
      <c r="I45" s="216"/>
      <c r="J45" s="65"/>
      <c r="K45" s="65"/>
      <c r="L45" s="215"/>
      <c r="M45" s="65"/>
      <c r="N45" s="65"/>
      <c r="O45" s="65"/>
      <c r="P45" s="65"/>
      <c r="Q45" s="215">
        <v>-6</v>
      </c>
      <c r="R45" s="248"/>
      <c r="S45" s="65"/>
      <c r="T45" s="65"/>
      <c r="U45" s="257"/>
      <c r="V45" s="215">
        <v>-28</v>
      </c>
      <c r="W45" s="248">
        <v>-2</v>
      </c>
      <c r="X45" s="65">
        <f>-7-W45</f>
        <v>-5</v>
      </c>
      <c r="Y45" s="65">
        <f>-7-X45-W45</f>
        <v>0</v>
      </c>
      <c r="Z45" s="257">
        <f t="shared" si="108"/>
        <v>-1</v>
      </c>
      <c r="AA45" s="215">
        <v>-8</v>
      </c>
      <c r="AB45" s="248">
        <v>0</v>
      </c>
      <c r="AC45" s="65">
        <f>-8-AB45</f>
        <v>-8</v>
      </c>
      <c r="AD45" s="65">
        <f>-12-AC45-AB45</f>
        <v>-4</v>
      </c>
      <c r="AE45" s="257">
        <f t="shared" si="109"/>
        <v>-5</v>
      </c>
      <c r="AF45" s="215">
        <v>-17</v>
      </c>
      <c r="AG45" s="217">
        <v>0</v>
      </c>
      <c r="AH45" s="65">
        <f>-1-AG45</f>
        <v>-1</v>
      </c>
      <c r="AI45" s="65">
        <f>-4-AH45-AG45</f>
        <v>-3</v>
      </c>
      <c r="AJ45" s="65">
        <f t="shared" si="110"/>
        <v>-50</v>
      </c>
      <c r="AK45" s="215">
        <v>-54</v>
      </c>
      <c r="AL45" s="65">
        <v>-67</v>
      </c>
      <c r="AM45" s="65">
        <f>-67-AL45</f>
        <v>0</v>
      </c>
      <c r="AN45" s="65">
        <f>-68-AM45-AL45</f>
        <v>-1</v>
      </c>
      <c r="AO45" s="65">
        <f t="shared" si="111"/>
        <v>9.9999999999994316E-2</v>
      </c>
      <c r="AP45" s="641">
        <v>-67.900000000000006</v>
      </c>
      <c r="AQ45" s="65">
        <v>-0.8</v>
      </c>
      <c r="AR45" s="65">
        <f>-0.8-AQ45</f>
        <v>0</v>
      </c>
      <c r="AS45" s="65">
        <f>-13.6-AR45-AQ45</f>
        <v>-12.799999999999999</v>
      </c>
      <c r="AT45" s="65">
        <f>-14-AS45-AR45-AQ45</f>
        <v>-0.40000000000000102</v>
      </c>
      <c r="AU45" s="215">
        <f t="shared" si="112"/>
        <v>-14</v>
      </c>
      <c r="AV45" s="123"/>
      <c r="AW45" s="65">
        <f t="shared" si="140"/>
        <v>-12.799999999999999</v>
      </c>
      <c r="AX45" s="65">
        <f t="shared" si="141"/>
        <v>-0.40000000000000102</v>
      </c>
      <c r="AY45" s="65">
        <v>0</v>
      </c>
      <c r="AZ45" s="65">
        <v>0</v>
      </c>
      <c r="BA45" s="215">
        <f t="shared" si="113"/>
        <v>-13.2</v>
      </c>
      <c r="BB45" s="65">
        <v>0</v>
      </c>
      <c r="BC45" s="65">
        <f>0-BB45</f>
        <v>0</v>
      </c>
      <c r="BD45" s="65">
        <v>0</v>
      </c>
      <c r="BE45" s="65">
        <f>0-SUM(BB45:BD45)</f>
        <v>0</v>
      </c>
      <c r="BF45" s="641">
        <f t="shared" si="114"/>
        <v>0</v>
      </c>
      <c r="BG45" s="65">
        <v>0</v>
      </c>
      <c r="BH45" s="65">
        <f>-15.3-BG45</f>
        <v>-15.3</v>
      </c>
      <c r="BI45" s="65">
        <f>-15.3-SUM(BG45:BH45)</f>
        <v>0</v>
      </c>
      <c r="BJ45" s="65">
        <f t="shared" si="115"/>
        <v>0</v>
      </c>
      <c r="BK45" s="641">
        <v>-15.3</v>
      </c>
      <c r="BL45" s="65">
        <v>0</v>
      </c>
      <c r="BM45" s="65">
        <f>-11.9-BL45</f>
        <v>-11.9</v>
      </c>
      <c r="BN45" s="65">
        <f>-11.9-SUM(BL45:BM45)</f>
        <v>0</v>
      </c>
      <c r="BO45" s="65">
        <f t="shared" si="116"/>
        <v>0</v>
      </c>
      <c r="BP45" s="215">
        <v>-11.9</v>
      </c>
      <c r="BQ45" s="65">
        <v>0</v>
      </c>
      <c r="BR45" s="65">
        <v>0</v>
      </c>
      <c r="BS45" s="65">
        <f>-3.9-BR45-BQ45</f>
        <v>-3.9</v>
      </c>
      <c r="BT45" s="65">
        <f t="shared" si="117"/>
        <v>0</v>
      </c>
      <c r="BU45" s="641">
        <v>-3.9</v>
      </c>
      <c r="BV45" s="65">
        <v>0</v>
      </c>
      <c r="BW45" s="65">
        <v>0</v>
      </c>
      <c r="BX45" s="65">
        <v>0</v>
      </c>
      <c r="BY45" s="65">
        <f t="shared" si="118"/>
        <v>0</v>
      </c>
      <c r="BZ45" s="641">
        <v>0</v>
      </c>
      <c r="CA45" s="1201">
        <v>0</v>
      </c>
      <c r="CB45" s="65">
        <v>0</v>
      </c>
      <c r="CC45" s="65">
        <v>0</v>
      </c>
      <c r="CD45" s="65">
        <v>0</v>
      </c>
      <c r="CE45" s="641">
        <f t="shared" si="119"/>
        <v>0</v>
      </c>
      <c r="CF45" s="65">
        <v>0</v>
      </c>
      <c r="CG45" s="65">
        <v>0</v>
      </c>
      <c r="CH45" s="65">
        <v>0</v>
      </c>
      <c r="CI45" s="65">
        <f t="shared" si="120"/>
        <v>0</v>
      </c>
      <c r="CJ45" s="641">
        <v>0</v>
      </c>
      <c r="CK45" s="65">
        <v>0</v>
      </c>
      <c r="CL45" s="217">
        <v>0</v>
      </c>
      <c r="CM45" s="217">
        <v>0</v>
      </c>
      <c r="CN45" s="217">
        <v>0</v>
      </c>
      <c r="CO45" s="538">
        <f t="shared" si="121"/>
        <v>0</v>
      </c>
      <c r="CP45" s="217">
        <v>0</v>
      </c>
      <c r="CQ45" s="217">
        <v>0</v>
      </c>
      <c r="CR45" s="217">
        <v>0</v>
      </c>
      <c r="CS45" s="217">
        <v>0</v>
      </c>
      <c r="CT45" s="538">
        <f t="shared" si="122"/>
        <v>0</v>
      </c>
      <c r="CU45" s="217">
        <v>0</v>
      </c>
      <c r="CV45" s="217">
        <v>0</v>
      </c>
      <c r="CW45" s="217">
        <v>0</v>
      </c>
      <c r="CX45" s="217">
        <v>0</v>
      </c>
      <c r="CY45" s="538">
        <f t="shared" si="123"/>
        <v>0</v>
      </c>
      <c r="CZ45" s="217">
        <v>0</v>
      </c>
      <c r="DA45" s="217">
        <v>0</v>
      </c>
      <c r="DB45" s="217">
        <v>0</v>
      </c>
      <c r="DC45" s="217">
        <v>0</v>
      </c>
      <c r="DD45" s="538">
        <f t="shared" si="124"/>
        <v>0</v>
      </c>
      <c r="DE45" s="217">
        <v>0</v>
      </c>
      <c r="DF45" s="217">
        <v>0</v>
      </c>
      <c r="DG45" s="217">
        <v>0</v>
      </c>
      <c r="DH45" s="217">
        <v>0</v>
      </c>
      <c r="DI45" s="538">
        <f t="shared" si="125"/>
        <v>0</v>
      </c>
      <c r="DJ45" s="217">
        <v>0</v>
      </c>
      <c r="DK45" s="217">
        <v>0</v>
      </c>
      <c r="DL45" s="217">
        <v>0</v>
      </c>
      <c r="DM45" s="217">
        <v>0</v>
      </c>
      <c r="DN45" s="538">
        <f t="shared" si="126"/>
        <v>0</v>
      </c>
      <c r="DO45" s="217">
        <v>0</v>
      </c>
      <c r="DP45" s="217">
        <v>0</v>
      </c>
      <c r="DQ45" s="217">
        <v>0</v>
      </c>
      <c r="DR45" s="217">
        <v>0</v>
      </c>
      <c r="DS45" s="538">
        <f t="shared" si="127"/>
        <v>0</v>
      </c>
      <c r="DT45" s="217">
        <v>0</v>
      </c>
      <c r="DU45" s="217">
        <v>0</v>
      </c>
      <c r="DV45" s="217">
        <v>0</v>
      </c>
      <c r="DW45" s="217">
        <v>0</v>
      </c>
      <c r="DX45" s="538">
        <f t="shared" si="128"/>
        <v>0</v>
      </c>
      <c r="DY45" s="1182"/>
      <c r="DZ45" s="1575"/>
      <c r="EA45" s="21"/>
      <c r="EB45" s="266">
        <f t="shared" si="129"/>
        <v>-9</v>
      </c>
      <c r="EC45" s="312">
        <f t="shared" si="130"/>
        <v>-10</v>
      </c>
      <c r="ED45" s="312">
        <f t="shared" si="131"/>
        <v>-120</v>
      </c>
      <c r="EE45" s="312">
        <f t="shared" si="132"/>
        <v>-1.7000000000000057</v>
      </c>
      <c r="EF45" s="312">
        <f t="shared" si="133"/>
        <v>-13.2</v>
      </c>
      <c r="EG45" s="312">
        <f t="shared" si="134"/>
        <v>0</v>
      </c>
      <c r="EH45" s="312">
        <f t="shared" si="135"/>
        <v>-15.3</v>
      </c>
      <c r="EI45" s="312">
        <f t="shared" si="136"/>
        <v>-11.9</v>
      </c>
      <c r="EJ45" s="312">
        <f t="shared" si="137"/>
        <v>-3.9</v>
      </c>
      <c r="EK45" s="312">
        <f t="shared" si="138"/>
        <v>0</v>
      </c>
      <c r="EL45" s="359">
        <f t="shared" si="139"/>
        <v>0</v>
      </c>
      <c r="EM45" s="16"/>
      <c r="EN45" s="16"/>
      <c r="EU45" s="16"/>
      <c r="EV45" s="16"/>
      <c r="EW45" s="16"/>
      <c r="EX45" s="16"/>
      <c r="EY45" s="16"/>
      <c r="EZ45" s="16"/>
      <c r="FA45" s="16"/>
      <c r="FB45" s="16"/>
      <c r="FC45" s="16"/>
      <c r="FD45" s="16"/>
      <c r="FE45" s="16"/>
      <c r="FF45" s="16"/>
      <c r="FG45" s="16"/>
      <c r="FH45" s="16"/>
      <c r="FI45" s="16"/>
      <c r="FJ45" s="16"/>
    </row>
    <row r="46" spans="1:166" x14ac:dyDescent="0.2">
      <c r="A46" s="497" t="s">
        <v>346</v>
      </c>
      <c r="B46" s="215"/>
      <c r="C46" s="65"/>
      <c r="D46" s="216"/>
      <c r="E46" s="65"/>
      <c r="F46" s="65"/>
      <c r="G46" s="215"/>
      <c r="H46" s="65"/>
      <c r="I46" s="216"/>
      <c r="J46" s="65"/>
      <c r="K46" s="65"/>
      <c r="L46" s="215"/>
      <c r="M46" s="65"/>
      <c r="N46" s="65"/>
      <c r="O46" s="65"/>
      <c r="P46" s="65"/>
      <c r="Q46" s="215">
        <v>-22</v>
      </c>
      <c r="R46" s="248"/>
      <c r="S46" s="65"/>
      <c r="T46" s="65"/>
      <c r="U46" s="257"/>
      <c r="V46" s="215">
        <v>-27</v>
      </c>
      <c r="W46" s="248">
        <v>-2</v>
      </c>
      <c r="X46" s="65">
        <f>-3-W46</f>
        <v>-1</v>
      </c>
      <c r="Y46" s="65">
        <f>-3-X46-W46</f>
        <v>0</v>
      </c>
      <c r="Z46" s="257">
        <f t="shared" si="108"/>
        <v>-1</v>
      </c>
      <c r="AA46" s="215">
        <v>-4</v>
      </c>
      <c r="AB46" s="248">
        <v>-3</v>
      </c>
      <c r="AC46" s="65">
        <f>-4-AB46</f>
        <v>-1</v>
      </c>
      <c r="AD46" s="65">
        <f>-6-AC46-AB46</f>
        <v>-2</v>
      </c>
      <c r="AE46" s="257">
        <f t="shared" si="109"/>
        <v>0</v>
      </c>
      <c r="AF46" s="215">
        <v>-6</v>
      </c>
      <c r="AG46" s="217">
        <v>0</v>
      </c>
      <c r="AH46" s="65">
        <f>-2-AG46</f>
        <v>-2</v>
      </c>
      <c r="AI46" s="65">
        <f>0-AH46-AG46</f>
        <v>2</v>
      </c>
      <c r="AJ46" s="65">
        <f t="shared" si="110"/>
        <v>0</v>
      </c>
      <c r="AK46" s="215">
        <v>0</v>
      </c>
      <c r="AL46" s="65">
        <v>0</v>
      </c>
      <c r="AM46" s="65">
        <v>0</v>
      </c>
      <c r="AN46" s="65">
        <v>0</v>
      </c>
      <c r="AO46" s="65">
        <f t="shared" si="111"/>
        <v>0</v>
      </c>
      <c r="AP46" s="641">
        <v>0</v>
      </c>
      <c r="AQ46" s="65">
        <v>0</v>
      </c>
      <c r="AR46" s="65">
        <v>0</v>
      </c>
      <c r="AS46" s="65">
        <v>0</v>
      </c>
      <c r="AT46" s="65">
        <f>0-AS46-AR46-AQ46</f>
        <v>0</v>
      </c>
      <c r="AU46" s="215">
        <f t="shared" si="112"/>
        <v>0</v>
      </c>
      <c r="AV46" s="123"/>
      <c r="AW46" s="65">
        <f t="shared" si="140"/>
        <v>0</v>
      </c>
      <c r="AX46" s="65">
        <f t="shared" si="141"/>
        <v>0</v>
      </c>
      <c r="AY46" s="65">
        <v>0</v>
      </c>
      <c r="AZ46" s="65">
        <v>0</v>
      </c>
      <c r="BA46" s="215">
        <f t="shared" si="113"/>
        <v>0</v>
      </c>
      <c r="BB46" s="65">
        <v>0</v>
      </c>
      <c r="BC46" s="65">
        <f>0-BB46</f>
        <v>0</v>
      </c>
      <c r="BD46" s="65">
        <v>0</v>
      </c>
      <c r="BE46" s="65">
        <f>0-SUM(BB46:BD46)</f>
        <v>0</v>
      </c>
      <c r="BF46" s="641">
        <f t="shared" si="114"/>
        <v>0</v>
      </c>
      <c r="BG46" s="65">
        <v>0</v>
      </c>
      <c r="BH46" s="65">
        <f t="shared" ref="BH46:BH52" si="150">0-BG46</f>
        <v>0</v>
      </c>
      <c r="BI46" s="65">
        <f>0-SUM(BG46:BH46)</f>
        <v>0</v>
      </c>
      <c r="BJ46" s="65">
        <f t="shared" si="115"/>
        <v>0</v>
      </c>
      <c r="BK46" s="641">
        <v>0</v>
      </c>
      <c r="BL46" s="65">
        <v>0</v>
      </c>
      <c r="BM46" s="65">
        <v>0</v>
      </c>
      <c r="BN46" s="65">
        <v>0</v>
      </c>
      <c r="BO46" s="65">
        <f t="shared" si="116"/>
        <v>0</v>
      </c>
      <c r="BP46" s="215">
        <v>0</v>
      </c>
      <c r="BQ46" s="65">
        <v>0</v>
      </c>
      <c r="BR46" s="65">
        <v>0</v>
      </c>
      <c r="BS46" s="65">
        <v>0</v>
      </c>
      <c r="BT46" s="65">
        <f t="shared" si="117"/>
        <v>0</v>
      </c>
      <c r="BU46" s="641">
        <v>0</v>
      </c>
      <c r="BV46" s="65">
        <v>0</v>
      </c>
      <c r="BW46" s="65">
        <v>0</v>
      </c>
      <c r="BX46" s="65">
        <v>0</v>
      </c>
      <c r="BY46" s="65">
        <f t="shared" si="118"/>
        <v>0</v>
      </c>
      <c r="BZ46" s="641">
        <v>0</v>
      </c>
      <c r="CA46" s="1201">
        <v>0</v>
      </c>
      <c r="CB46" s="65">
        <v>0</v>
      </c>
      <c r="CC46" s="65">
        <v>0</v>
      </c>
      <c r="CD46" s="65">
        <v>0</v>
      </c>
      <c r="CE46" s="641">
        <f t="shared" si="119"/>
        <v>0</v>
      </c>
      <c r="CF46" s="65">
        <v>0</v>
      </c>
      <c r="CG46" s="65">
        <v>0</v>
      </c>
      <c r="CH46" s="65">
        <v>0</v>
      </c>
      <c r="CI46" s="65">
        <f t="shared" si="120"/>
        <v>0</v>
      </c>
      <c r="CJ46" s="641">
        <v>0</v>
      </c>
      <c r="CK46" s="65">
        <v>0</v>
      </c>
      <c r="CL46" s="217">
        <v>0</v>
      </c>
      <c r="CM46" s="217">
        <v>0</v>
      </c>
      <c r="CN46" s="217">
        <v>0</v>
      </c>
      <c r="CO46" s="538">
        <f t="shared" si="121"/>
        <v>0</v>
      </c>
      <c r="CP46" s="217">
        <v>0</v>
      </c>
      <c r="CQ46" s="217">
        <v>0</v>
      </c>
      <c r="CR46" s="217">
        <v>0</v>
      </c>
      <c r="CS46" s="217">
        <v>0</v>
      </c>
      <c r="CT46" s="538">
        <f t="shared" si="122"/>
        <v>0</v>
      </c>
      <c r="CU46" s="217">
        <v>0</v>
      </c>
      <c r="CV46" s="217">
        <v>0</v>
      </c>
      <c r="CW46" s="217">
        <v>0</v>
      </c>
      <c r="CX46" s="217">
        <v>0</v>
      </c>
      <c r="CY46" s="538">
        <f t="shared" si="123"/>
        <v>0</v>
      </c>
      <c r="CZ46" s="217">
        <v>0</v>
      </c>
      <c r="DA46" s="217">
        <v>0</v>
      </c>
      <c r="DB46" s="217">
        <v>0</v>
      </c>
      <c r="DC46" s="217">
        <v>0</v>
      </c>
      <c r="DD46" s="538">
        <f t="shared" si="124"/>
        <v>0</v>
      </c>
      <c r="DE46" s="217">
        <v>0</v>
      </c>
      <c r="DF46" s="217">
        <v>0</v>
      </c>
      <c r="DG46" s="217">
        <v>0</v>
      </c>
      <c r="DH46" s="217">
        <v>0</v>
      </c>
      <c r="DI46" s="538">
        <f t="shared" si="125"/>
        <v>0</v>
      </c>
      <c r="DJ46" s="217">
        <v>0</v>
      </c>
      <c r="DK46" s="217">
        <v>0</v>
      </c>
      <c r="DL46" s="217">
        <v>0</v>
      </c>
      <c r="DM46" s="217">
        <v>0</v>
      </c>
      <c r="DN46" s="538">
        <f t="shared" si="126"/>
        <v>0</v>
      </c>
      <c r="DO46" s="217">
        <v>0</v>
      </c>
      <c r="DP46" s="217">
        <v>0</v>
      </c>
      <c r="DQ46" s="217">
        <v>0</v>
      </c>
      <c r="DR46" s="217">
        <v>0</v>
      </c>
      <c r="DS46" s="538">
        <f t="shared" si="127"/>
        <v>0</v>
      </c>
      <c r="DT46" s="217">
        <v>0</v>
      </c>
      <c r="DU46" s="217">
        <v>0</v>
      </c>
      <c r="DV46" s="217">
        <v>0</v>
      </c>
      <c r="DW46" s="217">
        <v>0</v>
      </c>
      <c r="DX46" s="538">
        <f t="shared" si="128"/>
        <v>0</v>
      </c>
      <c r="DY46" s="1182"/>
      <c r="DZ46" s="1575"/>
      <c r="EA46" s="21"/>
      <c r="EB46" s="266">
        <f t="shared" si="129"/>
        <v>-5</v>
      </c>
      <c r="EC46" s="312">
        <f t="shared" si="130"/>
        <v>-4</v>
      </c>
      <c r="ED46" s="312">
        <f t="shared" si="131"/>
        <v>2</v>
      </c>
      <c r="EE46" s="312">
        <f t="shared" si="132"/>
        <v>0</v>
      </c>
      <c r="EF46" s="312">
        <f t="shared" si="133"/>
        <v>0</v>
      </c>
      <c r="EG46" s="312">
        <f t="shared" si="134"/>
        <v>0</v>
      </c>
      <c r="EH46" s="312">
        <f t="shared" si="135"/>
        <v>0</v>
      </c>
      <c r="EI46" s="312">
        <f t="shared" si="136"/>
        <v>0</v>
      </c>
      <c r="EJ46" s="312">
        <f t="shared" si="137"/>
        <v>0</v>
      </c>
      <c r="EK46" s="312">
        <f t="shared" si="138"/>
        <v>0</v>
      </c>
      <c r="EL46" s="359">
        <f t="shared" si="139"/>
        <v>0</v>
      </c>
      <c r="EM46" s="16"/>
      <c r="EN46" s="16"/>
      <c r="EU46" s="16"/>
      <c r="EV46" s="16"/>
      <c r="EW46" s="16"/>
      <c r="EX46" s="16"/>
      <c r="EY46" s="16"/>
      <c r="EZ46" s="16"/>
      <c r="FA46" s="16"/>
      <c r="FB46" s="16"/>
      <c r="FC46" s="16"/>
      <c r="FD46" s="16"/>
      <c r="FE46" s="16"/>
      <c r="FF46" s="16"/>
      <c r="FG46" s="16"/>
      <c r="FH46" s="16"/>
      <c r="FI46" s="16"/>
      <c r="FJ46" s="16"/>
    </row>
    <row r="47" spans="1:166" x14ac:dyDescent="0.2">
      <c r="A47" s="497" t="s">
        <v>347</v>
      </c>
      <c r="B47" s="218"/>
      <c r="C47" s="219"/>
      <c r="D47" s="220"/>
      <c r="E47" s="219"/>
      <c r="F47" s="219"/>
      <c r="G47" s="218"/>
      <c r="H47" s="219"/>
      <c r="I47" s="220"/>
      <c r="J47" s="219"/>
      <c r="K47" s="219"/>
      <c r="L47" s="218"/>
      <c r="M47" s="219"/>
      <c r="N47" s="219"/>
      <c r="O47" s="219"/>
      <c r="P47" s="219"/>
      <c r="Q47" s="215">
        <v>3</v>
      </c>
      <c r="R47" s="248"/>
      <c r="S47" s="65"/>
      <c r="T47" s="65"/>
      <c r="U47" s="257"/>
      <c r="V47" s="215">
        <v>3</v>
      </c>
      <c r="W47" s="258"/>
      <c r="X47" s="65">
        <f>1-W47</f>
        <v>1</v>
      </c>
      <c r="Y47" s="65">
        <f>1-X47-W47</f>
        <v>0</v>
      </c>
      <c r="Z47" s="257">
        <f t="shared" si="108"/>
        <v>4</v>
      </c>
      <c r="AA47" s="215">
        <v>5</v>
      </c>
      <c r="AB47" s="248">
        <v>0</v>
      </c>
      <c r="AC47" s="65">
        <f>1-AB47</f>
        <v>1</v>
      </c>
      <c r="AD47" s="65">
        <f>4-AC47-AB47</f>
        <v>3</v>
      </c>
      <c r="AE47" s="259">
        <f t="shared" si="109"/>
        <v>0</v>
      </c>
      <c r="AF47" s="215">
        <v>4</v>
      </c>
      <c r="AG47" s="217">
        <v>0</v>
      </c>
      <c r="AH47" s="65">
        <f>2-AG47</f>
        <v>2</v>
      </c>
      <c r="AI47" s="65">
        <f>0-AH47-AG47</f>
        <v>-2</v>
      </c>
      <c r="AJ47" s="65">
        <f t="shared" si="110"/>
        <v>0</v>
      </c>
      <c r="AK47" s="215">
        <v>0</v>
      </c>
      <c r="AL47" s="65">
        <v>0</v>
      </c>
      <c r="AM47" s="65">
        <v>0</v>
      </c>
      <c r="AN47" s="65">
        <v>0</v>
      </c>
      <c r="AO47" s="65">
        <f t="shared" si="111"/>
        <v>0</v>
      </c>
      <c r="AP47" s="641">
        <v>0</v>
      </c>
      <c r="AQ47" s="65">
        <v>0</v>
      </c>
      <c r="AR47" s="65">
        <v>0</v>
      </c>
      <c r="AS47" s="65">
        <v>0</v>
      </c>
      <c r="AT47" s="65">
        <f>0-AS47-AR47-AQ47</f>
        <v>0</v>
      </c>
      <c r="AU47" s="215">
        <f t="shared" si="112"/>
        <v>0</v>
      </c>
      <c r="AV47" s="123"/>
      <c r="AW47" s="65">
        <f t="shared" si="140"/>
        <v>0</v>
      </c>
      <c r="AX47" s="65">
        <f t="shared" si="141"/>
        <v>0</v>
      </c>
      <c r="AY47" s="65">
        <v>0</v>
      </c>
      <c r="AZ47" s="65">
        <v>0</v>
      </c>
      <c r="BA47" s="215">
        <f t="shared" si="113"/>
        <v>0</v>
      </c>
      <c r="BB47" s="65">
        <v>0</v>
      </c>
      <c r="BC47" s="65">
        <f>0-BB47</f>
        <v>0</v>
      </c>
      <c r="BD47" s="65">
        <v>0</v>
      </c>
      <c r="BE47" s="65">
        <f>0-SUM(BB47:BD47)</f>
        <v>0</v>
      </c>
      <c r="BF47" s="641">
        <f t="shared" si="114"/>
        <v>0</v>
      </c>
      <c r="BG47" s="65">
        <v>0</v>
      </c>
      <c r="BH47" s="65">
        <f t="shared" si="150"/>
        <v>0</v>
      </c>
      <c r="BI47" s="65">
        <f>0-SUM(BG47:BH47)</f>
        <v>0</v>
      </c>
      <c r="BJ47" s="65">
        <f t="shared" si="115"/>
        <v>0</v>
      </c>
      <c r="BK47" s="641">
        <v>0</v>
      </c>
      <c r="BL47" s="65">
        <v>0</v>
      </c>
      <c r="BM47" s="65">
        <v>0</v>
      </c>
      <c r="BN47" s="65">
        <v>0</v>
      </c>
      <c r="BO47" s="65">
        <f t="shared" si="116"/>
        <v>0</v>
      </c>
      <c r="BP47" s="215">
        <v>0</v>
      </c>
      <c r="BQ47" s="65">
        <v>0</v>
      </c>
      <c r="BR47" s="65">
        <v>0</v>
      </c>
      <c r="BS47" s="65">
        <v>0</v>
      </c>
      <c r="BT47" s="65">
        <f t="shared" si="117"/>
        <v>0</v>
      </c>
      <c r="BU47" s="641">
        <v>0</v>
      </c>
      <c r="BV47" s="65">
        <v>0</v>
      </c>
      <c r="BW47" s="65">
        <v>0</v>
      </c>
      <c r="BX47" s="65">
        <v>0</v>
      </c>
      <c r="BY47" s="65">
        <f t="shared" si="118"/>
        <v>0</v>
      </c>
      <c r="BZ47" s="641">
        <v>0</v>
      </c>
      <c r="CA47" s="1201">
        <v>0</v>
      </c>
      <c r="CB47" s="65">
        <v>0</v>
      </c>
      <c r="CC47" s="65">
        <v>0</v>
      </c>
      <c r="CD47" s="65">
        <v>0</v>
      </c>
      <c r="CE47" s="641">
        <f t="shared" si="119"/>
        <v>0</v>
      </c>
      <c r="CF47" s="65">
        <v>0</v>
      </c>
      <c r="CG47" s="65">
        <v>0</v>
      </c>
      <c r="CH47" s="65">
        <v>0</v>
      </c>
      <c r="CI47" s="65">
        <f t="shared" si="120"/>
        <v>0</v>
      </c>
      <c r="CJ47" s="641">
        <v>0</v>
      </c>
      <c r="CK47" s="65">
        <v>0</v>
      </c>
      <c r="CL47" s="217">
        <v>0</v>
      </c>
      <c r="CM47" s="217">
        <v>0</v>
      </c>
      <c r="CN47" s="217">
        <v>0</v>
      </c>
      <c r="CO47" s="538">
        <f t="shared" si="121"/>
        <v>0</v>
      </c>
      <c r="CP47" s="217">
        <v>0</v>
      </c>
      <c r="CQ47" s="217">
        <v>0</v>
      </c>
      <c r="CR47" s="217">
        <v>0</v>
      </c>
      <c r="CS47" s="217">
        <v>0</v>
      </c>
      <c r="CT47" s="538">
        <f t="shared" si="122"/>
        <v>0</v>
      </c>
      <c r="CU47" s="217">
        <v>0</v>
      </c>
      <c r="CV47" s="217">
        <v>0</v>
      </c>
      <c r="CW47" s="217">
        <v>0</v>
      </c>
      <c r="CX47" s="217">
        <v>0</v>
      </c>
      <c r="CY47" s="538">
        <f t="shared" si="123"/>
        <v>0</v>
      </c>
      <c r="CZ47" s="217">
        <v>0</v>
      </c>
      <c r="DA47" s="217">
        <v>0</v>
      </c>
      <c r="DB47" s="217">
        <v>0</v>
      </c>
      <c r="DC47" s="217">
        <v>0</v>
      </c>
      <c r="DD47" s="538">
        <f t="shared" si="124"/>
        <v>0</v>
      </c>
      <c r="DE47" s="217">
        <v>0</v>
      </c>
      <c r="DF47" s="217">
        <v>0</v>
      </c>
      <c r="DG47" s="217">
        <v>0</v>
      </c>
      <c r="DH47" s="217">
        <v>0</v>
      </c>
      <c r="DI47" s="538">
        <f t="shared" si="125"/>
        <v>0</v>
      </c>
      <c r="DJ47" s="217">
        <v>0</v>
      </c>
      <c r="DK47" s="217">
        <v>0</v>
      </c>
      <c r="DL47" s="217">
        <v>0</v>
      </c>
      <c r="DM47" s="217">
        <v>0</v>
      </c>
      <c r="DN47" s="538">
        <f t="shared" si="126"/>
        <v>0</v>
      </c>
      <c r="DO47" s="217">
        <v>0</v>
      </c>
      <c r="DP47" s="217">
        <v>0</v>
      </c>
      <c r="DQ47" s="217">
        <v>0</v>
      </c>
      <c r="DR47" s="217">
        <v>0</v>
      </c>
      <c r="DS47" s="538">
        <f t="shared" si="127"/>
        <v>0</v>
      </c>
      <c r="DT47" s="217">
        <v>0</v>
      </c>
      <c r="DU47" s="217">
        <v>0</v>
      </c>
      <c r="DV47" s="217">
        <v>0</v>
      </c>
      <c r="DW47" s="217">
        <v>0</v>
      </c>
      <c r="DX47" s="538">
        <f t="shared" si="128"/>
        <v>0</v>
      </c>
      <c r="DY47" s="1182"/>
      <c r="DZ47" s="1575"/>
      <c r="EA47" s="21"/>
      <c r="EB47" s="266">
        <f t="shared" si="129"/>
        <v>5</v>
      </c>
      <c r="EC47" s="312">
        <f t="shared" si="130"/>
        <v>5</v>
      </c>
      <c r="ED47" s="312">
        <f t="shared" si="131"/>
        <v>-2</v>
      </c>
      <c r="EE47" s="312">
        <f t="shared" si="132"/>
        <v>0</v>
      </c>
      <c r="EF47" s="312">
        <f t="shared" si="133"/>
        <v>0</v>
      </c>
      <c r="EG47" s="312">
        <f t="shared" si="134"/>
        <v>0</v>
      </c>
      <c r="EH47" s="312">
        <f t="shared" si="135"/>
        <v>0</v>
      </c>
      <c r="EI47" s="312">
        <f t="shared" si="136"/>
        <v>0</v>
      </c>
      <c r="EJ47" s="312">
        <f t="shared" si="137"/>
        <v>0</v>
      </c>
      <c r="EK47" s="312">
        <f t="shared" si="138"/>
        <v>0</v>
      </c>
      <c r="EL47" s="359">
        <f t="shared" si="139"/>
        <v>0</v>
      </c>
      <c r="EM47" s="16"/>
      <c r="EN47" s="16"/>
      <c r="EU47" s="16"/>
      <c r="EV47" s="16"/>
      <c r="EW47" s="16"/>
      <c r="EX47" s="16"/>
      <c r="EY47" s="16"/>
      <c r="EZ47" s="16"/>
      <c r="FA47" s="16"/>
      <c r="FB47" s="16"/>
      <c r="FC47" s="16"/>
      <c r="FD47" s="16"/>
      <c r="FE47" s="16"/>
      <c r="FF47" s="16"/>
      <c r="FG47" s="16"/>
      <c r="FH47" s="16"/>
      <c r="FI47" s="16"/>
      <c r="FJ47" s="16"/>
    </row>
    <row r="48" spans="1:166" x14ac:dyDescent="0.2">
      <c r="A48" s="497" t="s">
        <v>412</v>
      </c>
      <c r="B48" s="218"/>
      <c r="C48" s="219"/>
      <c r="D48" s="220"/>
      <c r="E48" s="219"/>
      <c r="F48" s="219"/>
      <c r="G48" s="218"/>
      <c r="H48" s="219"/>
      <c r="I48" s="220"/>
      <c r="J48" s="219"/>
      <c r="K48" s="219"/>
      <c r="L48" s="218"/>
      <c r="M48" s="219"/>
      <c r="N48" s="219"/>
      <c r="O48" s="219"/>
      <c r="P48" s="219"/>
      <c r="Q48" s="215"/>
      <c r="R48" s="248"/>
      <c r="S48" s="65"/>
      <c r="T48" s="65"/>
      <c r="U48" s="257"/>
      <c r="V48" s="215"/>
      <c r="W48" s="258"/>
      <c r="X48" s="65"/>
      <c r="Y48" s="65"/>
      <c r="Z48" s="257"/>
      <c r="AA48" s="215"/>
      <c r="AB48" s="65"/>
      <c r="AC48" s="65"/>
      <c r="AD48" s="65"/>
      <c r="AE48" s="219"/>
      <c r="AF48" s="215"/>
      <c r="AG48" s="217"/>
      <c r="AH48" s="65"/>
      <c r="AI48" s="65"/>
      <c r="AJ48" s="65"/>
      <c r="AK48" s="215"/>
      <c r="AL48" s="65">
        <v>2</v>
      </c>
      <c r="AM48" s="65">
        <f>4-AL48</f>
        <v>2</v>
      </c>
      <c r="AN48" s="65">
        <f>6-AM48-AL48</f>
        <v>2</v>
      </c>
      <c r="AO48" s="65">
        <f t="shared" si="111"/>
        <v>1.9000000000000004</v>
      </c>
      <c r="AP48" s="641">
        <v>7.9</v>
      </c>
      <c r="AQ48" s="65">
        <v>1.9</v>
      </c>
      <c r="AR48" s="65">
        <f>3.9-AQ48</f>
        <v>2</v>
      </c>
      <c r="AS48" s="65">
        <f>6.1-AR48-AQ48</f>
        <v>2.1999999999999997</v>
      </c>
      <c r="AT48" s="65">
        <f>8.2-AS48-AR48-AQ48</f>
        <v>2.1</v>
      </c>
      <c r="AU48" s="215">
        <f t="shared" si="112"/>
        <v>8.1999999999999993</v>
      </c>
      <c r="AV48" s="300"/>
      <c r="AW48" s="65">
        <f t="shared" si="140"/>
        <v>2.1999999999999997</v>
      </c>
      <c r="AX48" s="65">
        <f t="shared" si="141"/>
        <v>2.1</v>
      </c>
      <c r="AY48" s="65">
        <v>2.2000000000000002</v>
      </c>
      <c r="AZ48" s="65">
        <v>2.5</v>
      </c>
      <c r="BA48" s="215">
        <f t="shared" si="113"/>
        <v>9</v>
      </c>
      <c r="BB48" s="65">
        <v>2</v>
      </c>
      <c r="BC48" s="65">
        <f>7.3-BB48</f>
        <v>5.3</v>
      </c>
      <c r="BD48" s="65">
        <f>7.8-SUM(BB48:BC48)</f>
        <v>0.5</v>
      </c>
      <c r="BE48" s="65">
        <f>14.6-SUM(BB48:BD48)</f>
        <v>6.8</v>
      </c>
      <c r="BF48" s="641">
        <f t="shared" si="114"/>
        <v>14.6</v>
      </c>
      <c r="BG48" s="65">
        <v>3.1</v>
      </c>
      <c r="BH48" s="65">
        <f>6.6-BG48</f>
        <v>3.4999999999999996</v>
      </c>
      <c r="BI48" s="65">
        <f>10.4-SUM(BG48:BH48)</f>
        <v>3.8000000000000007</v>
      </c>
      <c r="BJ48" s="65">
        <f t="shared" si="115"/>
        <v>3.7999999999999989</v>
      </c>
      <c r="BK48" s="641">
        <v>14.2</v>
      </c>
      <c r="BL48" s="65">
        <v>3.5</v>
      </c>
      <c r="BM48" s="65">
        <f>8.1-BL48</f>
        <v>4.5999999999999996</v>
      </c>
      <c r="BN48" s="65">
        <f>11.9-SUM(BL48:BM48)</f>
        <v>3.8000000000000007</v>
      </c>
      <c r="BO48" s="65">
        <f t="shared" si="116"/>
        <v>3.5</v>
      </c>
      <c r="BP48" s="215">
        <v>15.4</v>
      </c>
      <c r="BQ48" s="65">
        <v>3.9</v>
      </c>
      <c r="BR48" s="65">
        <f>7.7-BQ48</f>
        <v>3.8000000000000003</v>
      </c>
      <c r="BS48" s="65">
        <f>11.6-BR48-BQ48</f>
        <v>3.899999999999999</v>
      </c>
      <c r="BT48" s="65">
        <f t="shared" si="117"/>
        <v>3.9000000000000004</v>
      </c>
      <c r="BU48" s="641">
        <v>15.5</v>
      </c>
      <c r="BV48" s="65">
        <v>4</v>
      </c>
      <c r="BW48" s="65">
        <f>8-BV48</f>
        <v>4</v>
      </c>
      <c r="BX48" s="65">
        <f>12.1-BW48-BV48</f>
        <v>4.0999999999999996</v>
      </c>
      <c r="BY48" s="65">
        <f t="shared" si="118"/>
        <v>4.2000000000000011</v>
      </c>
      <c r="BZ48" s="641">
        <v>16.3</v>
      </c>
      <c r="CA48" s="1201">
        <v>4.0999999999999996</v>
      </c>
      <c r="CB48" s="65">
        <f>8.1-CA48</f>
        <v>4</v>
      </c>
      <c r="CC48" s="65">
        <f>12.5-CB48-CA48</f>
        <v>4.4000000000000004</v>
      </c>
      <c r="CD48" s="452">
        <f>CE48-CC48-CB48-CA48</f>
        <v>4.1000000000000014</v>
      </c>
      <c r="CE48" s="641">
        <v>16.600000000000001</v>
      </c>
      <c r="CF48" s="65">
        <v>4.0999999999999996</v>
      </c>
      <c r="CG48" s="65">
        <f>7.8-CF48</f>
        <v>3.7</v>
      </c>
      <c r="CH48" s="65">
        <f>11.8-SUM(CF48:CG48)</f>
        <v>4.0000000000000009</v>
      </c>
      <c r="CI48" s="65">
        <f t="shared" si="120"/>
        <v>4.0999999999999988</v>
      </c>
      <c r="CJ48" s="641">
        <v>15.9</v>
      </c>
      <c r="CK48" s="65">
        <v>4.2</v>
      </c>
      <c r="CL48" s="217"/>
      <c r="CM48" s="217"/>
      <c r="CN48" s="217"/>
      <c r="CO48" s="538">
        <f t="shared" si="121"/>
        <v>4.2</v>
      </c>
      <c r="CP48" s="217"/>
      <c r="CQ48" s="217"/>
      <c r="CR48" s="217"/>
      <c r="CS48" s="217"/>
      <c r="CT48" s="538">
        <f t="shared" si="122"/>
        <v>0</v>
      </c>
      <c r="CU48" s="217"/>
      <c r="CV48" s="217"/>
      <c r="CW48" s="217"/>
      <c r="CX48" s="217"/>
      <c r="CY48" s="538">
        <f t="shared" si="123"/>
        <v>0</v>
      </c>
      <c r="CZ48" s="217"/>
      <c r="DA48" s="217"/>
      <c r="DB48" s="217"/>
      <c r="DC48" s="217"/>
      <c r="DD48" s="538">
        <f t="shared" si="124"/>
        <v>0</v>
      </c>
      <c r="DE48" s="217"/>
      <c r="DF48" s="217"/>
      <c r="DG48" s="217"/>
      <c r="DH48" s="217"/>
      <c r="DI48" s="538">
        <f t="shared" si="125"/>
        <v>0</v>
      </c>
      <c r="DJ48" s="217"/>
      <c r="DK48" s="217"/>
      <c r="DL48" s="217"/>
      <c r="DM48" s="217"/>
      <c r="DN48" s="538">
        <f t="shared" si="126"/>
        <v>0</v>
      </c>
      <c r="DO48" s="217"/>
      <c r="DP48" s="217"/>
      <c r="DQ48" s="217"/>
      <c r="DR48" s="217"/>
      <c r="DS48" s="538">
        <f t="shared" si="127"/>
        <v>0</v>
      </c>
      <c r="DT48" s="217"/>
      <c r="DU48" s="217"/>
      <c r="DV48" s="217"/>
      <c r="DW48" s="217"/>
      <c r="DX48" s="538">
        <f t="shared" si="128"/>
        <v>0</v>
      </c>
      <c r="DY48" s="16"/>
      <c r="DZ48" s="21"/>
      <c r="EA48" s="21"/>
      <c r="EB48" s="266">
        <f t="shared" si="129"/>
        <v>0</v>
      </c>
      <c r="EC48" s="312">
        <f t="shared" si="130"/>
        <v>0</v>
      </c>
      <c r="ED48" s="312">
        <f t="shared" si="131"/>
        <v>4</v>
      </c>
      <c r="EE48" s="312">
        <f t="shared" si="132"/>
        <v>7.8000000000000007</v>
      </c>
      <c r="EF48" s="312">
        <f t="shared" si="133"/>
        <v>9</v>
      </c>
      <c r="EG48" s="312">
        <f t="shared" si="134"/>
        <v>14.6</v>
      </c>
      <c r="EH48" s="312">
        <f t="shared" si="135"/>
        <v>14.2</v>
      </c>
      <c r="EI48" s="312">
        <f t="shared" si="136"/>
        <v>15.4</v>
      </c>
      <c r="EJ48" s="312">
        <f t="shared" si="137"/>
        <v>15.5</v>
      </c>
      <c r="EK48" s="312">
        <f t="shared" si="138"/>
        <v>16.3</v>
      </c>
      <c r="EL48" s="359">
        <f t="shared" si="139"/>
        <v>16.600000000000001</v>
      </c>
      <c r="EM48" s="16"/>
      <c r="EN48" s="16"/>
      <c r="EU48" s="16"/>
      <c r="EV48" s="16"/>
      <c r="EW48" s="16"/>
      <c r="EX48" s="16"/>
      <c r="EY48" s="16"/>
      <c r="EZ48" s="16"/>
      <c r="FA48" s="16"/>
      <c r="FB48" s="16"/>
      <c r="FC48" s="16"/>
      <c r="FD48" s="16"/>
      <c r="FE48" s="16"/>
      <c r="FF48" s="16"/>
      <c r="FG48" s="16"/>
      <c r="FH48" s="16"/>
      <c r="FI48" s="16"/>
      <c r="FJ48" s="16"/>
    </row>
    <row r="49" spans="1:166" x14ac:dyDescent="0.2">
      <c r="A49" s="497" t="s">
        <v>411</v>
      </c>
      <c r="B49" s="218"/>
      <c r="C49" s="219"/>
      <c r="D49" s="220"/>
      <c r="E49" s="219"/>
      <c r="F49" s="219"/>
      <c r="G49" s="218"/>
      <c r="H49" s="219"/>
      <c r="I49" s="220"/>
      <c r="J49" s="219"/>
      <c r="K49" s="219"/>
      <c r="L49" s="218"/>
      <c r="M49" s="219"/>
      <c r="N49" s="219"/>
      <c r="O49" s="219"/>
      <c r="P49" s="219"/>
      <c r="Q49" s="215"/>
      <c r="R49" s="248"/>
      <c r="S49" s="65"/>
      <c r="T49" s="65"/>
      <c r="U49" s="257"/>
      <c r="V49" s="215"/>
      <c r="W49" s="258"/>
      <c r="X49" s="65"/>
      <c r="Y49" s="65"/>
      <c r="Z49" s="257"/>
      <c r="AA49" s="215"/>
      <c r="AB49" s="65"/>
      <c r="AC49" s="65"/>
      <c r="AD49" s="65"/>
      <c r="AE49" s="219"/>
      <c r="AF49" s="215"/>
      <c r="AG49" s="217"/>
      <c r="AH49" s="65"/>
      <c r="AI49" s="65"/>
      <c r="AJ49" s="65"/>
      <c r="AK49" s="215"/>
      <c r="AL49" s="65">
        <v>1</v>
      </c>
      <c r="AM49" s="65">
        <f>-5-AL49</f>
        <v>-6</v>
      </c>
      <c r="AN49" s="65">
        <f>-4-AM49-AL49</f>
        <v>1</v>
      </c>
      <c r="AO49" s="65">
        <f t="shared" si="111"/>
        <v>-0.40000000000000036</v>
      </c>
      <c r="AP49" s="641">
        <v>-4.4000000000000004</v>
      </c>
      <c r="AQ49" s="65">
        <v>1.3</v>
      </c>
      <c r="AR49" s="65">
        <f>1.8-AQ49</f>
        <v>0.5</v>
      </c>
      <c r="AS49" s="65">
        <f>2.7-AR49-AQ49</f>
        <v>0.90000000000000013</v>
      </c>
      <c r="AT49" s="65">
        <f>-0.3-AS49-AR49-AQ49</f>
        <v>-3</v>
      </c>
      <c r="AU49" s="215">
        <f t="shared" si="112"/>
        <v>-0.29999999999999982</v>
      </c>
      <c r="AV49" s="243"/>
      <c r="AW49" s="65">
        <f t="shared" si="140"/>
        <v>0.90000000000000013</v>
      </c>
      <c r="AX49" s="65">
        <f t="shared" si="141"/>
        <v>-3</v>
      </c>
      <c r="AY49" s="65">
        <v>1.1000000000000001</v>
      </c>
      <c r="AZ49" s="65">
        <v>1.5</v>
      </c>
      <c r="BA49" s="215">
        <f t="shared" si="113"/>
        <v>0.50000000000000044</v>
      </c>
      <c r="BB49" s="65">
        <v>-0.1</v>
      </c>
      <c r="BC49" s="65">
        <f>-4.4-BB49</f>
        <v>-4.3000000000000007</v>
      </c>
      <c r="BD49" s="65">
        <f>-4.5+0.5-SUM(BB49:BC49)</f>
        <v>0.40000000000000036</v>
      </c>
      <c r="BE49" s="65">
        <f>-4.5+0.7-SUM(BB49:BD49)</f>
        <v>0.20000000000000018</v>
      </c>
      <c r="BF49" s="641">
        <f t="shared" si="114"/>
        <v>-3.8</v>
      </c>
      <c r="BG49" s="65">
        <v>0.3</v>
      </c>
      <c r="BH49" s="65">
        <f>0-BG49</f>
        <v>-0.3</v>
      </c>
      <c r="BI49" s="65">
        <f>0-SUM(BG49:BH49)</f>
        <v>0</v>
      </c>
      <c r="BJ49" s="65">
        <f t="shared" si="115"/>
        <v>0</v>
      </c>
      <c r="BK49" s="641">
        <v>0</v>
      </c>
      <c r="BL49" s="65">
        <v>0</v>
      </c>
      <c r="BM49" s="65">
        <v>0</v>
      </c>
      <c r="BN49" s="65">
        <f>0.2-SUM(BL49:BM49)</f>
        <v>0.2</v>
      </c>
      <c r="BO49" s="65">
        <f t="shared" si="116"/>
        <v>0</v>
      </c>
      <c r="BP49" s="215">
        <v>0.2</v>
      </c>
      <c r="BQ49" s="65">
        <v>-0.2</v>
      </c>
      <c r="BR49" s="65">
        <f>-0.3-BQ49</f>
        <v>-9.9999999999999978E-2</v>
      </c>
      <c r="BS49" s="65">
        <f>-0.2-BR49-BQ49</f>
        <v>9.9999999999999978E-2</v>
      </c>
      <c r="BT49" s="65">
        <f t="shared" si="117"/>
        <v>0.1</v>
      </c>
      <c r="BU49" s="641">
        <v>-0.1</v>
      </c>
      <c r="BV49" s="65">
        <v>1.5</v>
      </c>
      <c r="BW49" s="65">
        <f>2.3-BV49</f>
        <v>0.79999999999999982</v>
      </c>
      <c r="BX49" s="65">
        <f>2.1-BW49-BV49</f>
        <v>-0.19999999999999973</v>
      </c>
      <c r="BY49" s="65">
        <f t="shared" si="118"/>
        <v>1.6</v>
      </c>
      <c r="BZ49" s="641">
        <v>3.7</v>
      </c>
      <c r="CA49" s="1201">
        <v>2.2000000000000002</v>
      </c>
      <c r="CB49" s="65">
        <f>1.8-CA49</f>
        <v>-0.40000000000000013</v>
      </c>
      <c r="CC49" s="65">
        <f>2-CB49-CA49</f>
        <v>0.20000000000000018</v>
      </c>
      <c r="CD49" s="452">
        <f>CE49-CC49-CB49-CA49</f>
        <v>1</v>
      </c>
      <c r="CE49" s="641">
        <v>3</v>
      </c>
      <c r="CF49" s="65">
        <v>-0.8</v>
      </c>
      <c r="CG49" s="65">
        <f>0.3-CF49</f>
        <v>1.1000000000000001</v>
      </c>
      <c r="CH49" s="65">
        <f>-2.3-SUM(CF49:CG49)</f>
        <v>-2.5999999999999996</v>
      </c>
      <c r="CI49" s="65">
        <f t="shared" si="120"/>
        <v>2.7999999999999994</v>
      </c>
      <c r="CJ49" s="641">
        <v>0.5</v>
      </c>
      <c r="CK49" s="65">
        <v>0.1</v>
      </c>
      <c r="CL49" s="217"/>
      <c r="CM49" s="217"/>
      <c r="CN49" s="217"/>
      <c r="CO49" s="538">
        <f>SUM(CK49:CN49)</f>
        <v>0.1</v>
      </c>
      <c r="CP49" s="217"/>
      <c r="CQ49" s="217"/>
      <c r="CR49" s="217"/>
      <c r="CS49" s="217"/>
      <c r="CT49" s="538">
        <f>SUM(CP49:CS49)</f>
        <v>0</v>
      </c>
      <c r="CU49" s="217"/>
      <c r="CV49" s="217"/>
      <c r="CW49" s="217"/>
      <c r="CX49" s="217"/>
      <c r="CY49" s="538">
        <f>SUM(CU49:CX49)</f>
        <v>0</v>
      </c>
      <c r="CZ49" s="217"/>
      <c r="DA49" s="217"/>
      <c r="DB49" s="217"/>
      <c r="DC49" s="217"/>
      <c r="DD49" s="538">
        <f>SUM(CZ49:DC49)</f>
        <v>0</v>
      </c>
      <c r="DE49" s="217"/>
      <c r="DF49" s="217"/>
      <c r="DG49" s="217"/>
      <c r="DH49" s="217"/>
      <c r="DI49" s="538">
        <f>SUM(DE49:DH49)</f>
        <v>0</v>
      </c>
      <c r="DJ49" s="217"/>
      <c r="DK49" s="217"/>
      <c r="DL49" s="217"/>
      <c r="DM49" s="217"/>
      <c r="DN49" s="538">
        <f>SUM(DJ49:DM49)</f>
        <v>0</v>
      </c>
      <c r="DO49" s="217"/>
      <c r="DP49" s="217"/>
      <c r="DQ49" s="217"/>
      <c r="DR49" s="217"/>
      <c r="DS49" s="538">
        <f>SUM(DO49:DR49)</f>
        <v>0</v>
      </c>
      <c r="DT49" s="217"/>
      <c r="DU49" s="217"/>
      <c r="DV49" s="217"/>
      <c r="DW49" s="217"/>
      <c r="DX49" s="538">
        <f>SUM(DT49:DW49)</f>
        <v>0</v>
      </c>
      <c r="DY49" s="16"/>
      <c r="DZ49" s="21"/>
      <c r="EA49" s="21"/>
      <c r="EB49" s="266">
        <f t="shared" si="129"/>
        <v>0</v>
      </c>
      <c r="EC49" s="312">
        <f t="shared" si="130"/>
        <v>0</v>
      </c>
      <c r="ED49" s="312">
        <f t="shared" si="131"/>
        <v>-5</v>
      </c>
      <c r="EE49" s="312">
        <f t="shared" si="132"/>
        <v>2.3999999999999995</v>
      </c>
      <c r="EF49" s="312">
        <f t="shared" si="133"/>
        <v>0.50000000000000044</v>
      </c>
      <c r="EG49" s="312">
        <f t="shared" si="134"/>
        <v>-3.8</v>
      </c>
      <c r="EH49" s="312">
        <f t="shared" si="135"/>
        <v>0</v>
      </c>
      <c r="EI49" s="312">
        <f t="shared" si="136"/>
        <v>0.2</v>
      </c>
      <c r="EJ49" s="312">
        <f t="shared" si="137"/>
        <v>-0.1</v>
      </c>
      <c r="EK49" s="312">
        <f t="shared" si="138"/>
        <v>3.7</v>
      </c>
      <c r="EL49" s="359">
        <f t="shared" si="139"/>
        <v>3</v>
      </c>
      <c r="EM49" s="16"/>
      <c r="EN49" s="16"/>
      <c r="EU49" s="16"/>
      <c r="EV49" s="16"/>
      <c r="EW49" s="16"/>
      <c r="EX49" s="16"/>
      <c r="EY49" s="16"/>
      <c r="EZ49" s="16"/>
      <c r="FA49" s="16"/>
      <c r="FB49" s="16"/>
      <c r="FC49" s="16"/>
      <c r="FD49" s="16"/>
      <c r="FE49" s="16"/>
      <c r="FF49" s="16"/>
      <c r="FG49" s="16"/>
      <c r="FH49" s="16"/>
      <c r="FI49" s="16"/>
      <c r="FJ49" s="16"/>
    </row>
    <row r="50" spans="1:166" x14ac:dyDescent="0.2">
      <c r="A50" s="497" t="s">
        <v>625</v>
      </c>
      <c r="B50" s="218"/>
      <c r="C50" s="219"/>
      <c r="D50" s="220"/>
      <c r="E50" s="219"/>
      <c r="F50" s="219"/>
      <c r="G50" s="218"/>
      <c r="H50" s="219"/>
      <c r="I50" s="220"/>
      <c r="J50" s="219"/>
      <c r="K50" s="219"/>
      <c r="L50" s="218"/>
      <c r="M50" s="219"/>
      <c r="N50" s="219"/>
      <c r="O50" s="219"/>
      <c r="P50" s="219"/>
      <c r="Q50" s="215"/>
      <c r="R50" s="248"/>
      <c r="S50" s="65"/>
      <c r="T50" s="65"/>
      <c r="U50" s="257"/>
      <c r="V50" s="215"/>
      <c r="W50" s="258"/>
      <c r="X50" s="65"/>
      <c r="Y50" s="65"/>
      <c r="Z50" s="257"/>
      <c r="AA50" s="215"/>
      <c r="AB50" s="65"/>
      <c r="AC50" s="65"/>
      <c r="AD50" s="65"/>
      <c r="AE50" s="219"/>
      <c r="AF50" s="215"/>
      <c r="AG50" s="217"/>
      <c r="AH50" s="65"/>
      <c r="AI50" s="65"/>
      <c r="AJ50" s="65"/>
      <c r="AK50" s="215"/>
      <c r="AL50" s="65"/>
      <c r="AM50" s="65"/>
      <c r="AN50" s="65"/>
      <c r="AO50" s="65"/>
      <c r="AP50" s="641"/>
      <c r="AQ50" s="65"/>
      <c r="AR50" s="65"/>
      <c r="AS50" s="65"/>
      <c r="AT50" s="65"/>
      <c r="AU50" s="215"/>
      <c r="AV50" s="243"/>
      <c r="AW50" s="65"/>
      <c r="AX50" s="65"/>
      <c r="AY50" s="65"/>
      <c r="AZ50" s="65"/>
      <c r="BA50" s="215"/>
      <c r="BB50" s="65"/>
      <c r="BC50" s="65"/>
      <c r="BD50" s="65"/>
      <c r="BE50" s="65"/>
      <c r="BF50" s="641"/>
      <c r="BG50" s="65"/>
      <c r="BH50" s="65"/>
      <c r="BI50" s="65"/>
      <c r="BJ50" s="65"/>
      <c r="BK50" s="641"/>
      <c r="BL50" s="65"/>
      <c r="BM50" s="65"/>
      <c r="BN50" s="65"/>
      <c r="BO50" s="65"/>
      <c r="BP50" s="215"/>
      <c r="BQ50" s="65"/>
      <c r="BR50" s="65"/>
      <c r="BS50" s="65"/>
      <c r="BT50" s="65">
        <f t="shared" si="117"/>
        <v>-388.9</v>
      </c>
      <c r="BU50" s="641">
        <v>-388.9</v>
      </c>
      <c r="BV50" s="65">
        <v>52.1</v>
      </c>
      <c r="BW50" s="65">
        <f>11.5-BV50</f>
        <v>-40.6</v>
      </c>
      <c r="BX50" s="65">
        <f>11.8-BW50-BV50</f>
        <v>0.30000000000000426</v>
      </c>
      <c r="BY50" s="65">
        <f t="shared" si="118"/>
        <v>2.399999999999995</v>
      </c>
      <c r="BZ50" s="641">
        <v>14.2</v>
      </c>
      <c r="CA50" s="1201">
        <v>-1.1000000000000001</v>
      </c>
      <c r="CB50" s="65">
        <f>1.5-CA50</f>
        <v>2.6</v>
      </c>
      <c r="CC50" s="65">
        <f>4.9-CB50-CA50</f>
        <v>3.4000000000000004</v>
      </c>
      <c r="CD50" s="452">
        <f>CE50-CC50-CB50-CA50</f>
        <v>6.1</v>
      </c>
      <c r="CE50" s="641">
        <v>11</v>
      </c>
      <c r="CF50" s="65">
        <v>5.2</v>
      </c>
      <c r="CG50" s="65">
        <f>772-CF50</f>
        <v>766.8</v>
      </c>
      <c r="CH50" s="65">
        <f>771.8-SUM(CF50:CG50)</f>
        <v>-0.20000000000004547</v>
      </c>
      <c r="CI50" s="65">
        <f t="shared" si="120"/>
        <v>0.5</v>
      </c>
      <c r="CJ50" s="641">
        <v>772.3</v>
      </c>
      <c r="CK50" s="65">
        <v>3</v>
      </c>
      <c r="CL50" s="217"/>
      <c r="CM50" s="217"/>
      <c r="CN50" s="217"/>
      <c r="CO50" s="538">
        <f>SUM(CK50:CN50)</f>
        <v>3</v>
      </c>
      <c r="CP50" s="217"/>
      <c r="CQ50" s="217"/>
      <c r="CR50" s="217"/>
      <c r="CS50" s="217"/>
      <c r="CT50" s="538">
        <f>SUM(CP50:CS50)</f>
        <v>0</v>
      </c>
      <c r="CU50" s="217"/>
      <c r="CV50" s="217"/>
      <c r="CW50" s="217"/>
      <c r="CX50" s="217"/>
      <c r="CY50" s="538">
        <f>SUM(CU50:CX50)</f>
        <v>0</v>
      </c>
      <c r="CZ50" s="217"/>
      <c r="DA50" s="217"/>
      <c r="DB50" s="217"/>
      <c r="DC50" s="217"/>
      <c r="DD50" s="538">
        <f>SUM(CZ50:DC50)</f>
        <v>0</v>
      </c>
      <c r="DE50" s="217"/>
      <c r="DF50" s="217"/>
      <c r="DG50" s="217"/>
      <c r="DH50" s="217"/>
      <c r="DI50" s="538">
        <f>SUM(DE50:DH50)</f>
        <v>0</v>
      </c>
      <c r="DJ50" s="217"/>
      <c r="DK50" s="217"/>
      <c r="DL50" s="217"/>
      <c r="DM50" s="217"/>
      <c r="DN50" s="538">
        <f>SUM(DJ50:DM50)</f>
        <v>0</v>
      </c>
      <c r="DO50" s="217"/>
      <c r="DP50" s="217"/>
      <c r="DQ50" s="217"/>
      <c r="DR50" s="217"/>
      <c r="DS50" s="538">
        <f>SUM(DO50:DR50)</f>
        <v>0</v>
      </c>
      <c r="DT50" s="217"/>
      <c r="DU50" s="217"/>
      <c r="DV50" s="217"/>
      <c r="DW50" s="217"/>
      <c r="DX50" s="538">
        <f>SUM(DT50:DW50)</f>
        <v>0</v>
      </c>
      <c r="DY50" s="16"/>
      <c r="DZ50" s="21"/>
      <c r="EA50" s="21"/>
      <c r="EB50" s="266"/>
      <c r="EC50" s="312"/>
      <c r="ED50" s="312"/>
      <c r="EE50" s="312"/>
      <c r="EF50" s="312"/>
      <c r="EG50" s="312"/>
      <c r="EH50" s="312"/>
      <c r="EI50" s="312"/>
      <c r="EJ50" s="312">
        <f t="shared" si="137"/>
        <v>-388.9</v>
      </c>
      <c r="EK50" s="312"/>
      <c r="EL50" s="359"/>
      <c r="EM50" s="16"/>
      <c r="EN50" s="16"/>
      <c r="EU50" s="16"/>
      <c r="EV50" s="16"/>
      <c r="EW50" s="16"/>
      <c r="EX50" s="16"/>
      <c r="EY50" s="16"/>
      <c r="EZ50" s="16"/>
      <c r="FA50" s="16"/>
      <c r="FB50" s="16"/>
      <c r="FC50" s="16"/>
      <c r="FD50" s="16"/>
      <c r="FE50" s="16"/>
      <c r="FF50" s="16"/>
      <c r="FG50" s="16"/>
      <c r="FH50" s="16"/>
      <c r="FI50" s="16"/>
      <c r="FJ50" s="16"/>
    </row>
    <row r="51" spans="1:166" x14ac:dyDescent="0.2">
      <c r="A51" s="497" t="s">
        <v>815</v>
      </c>
      <c r="B51" s="215"/>
      <c r="C51" s="65"/>
      <c r="D51" s="216"/>
      <c r="E51" s="65"/>
      <c r="F51" s="65"/>
      <c r="G51" s="215"/>
      <c r="H51" s="65"/>
      <c r="I51" s="216"/>
      <c r="J51" s="65"/>
      <c r="K51" s="65"/>
      <c r="L51" s="215"/>
      <c r="M51" s="65"/>
      <c r="N51" s="217"/>
      <c r="O51" s="65"/>
      <c r="P51" s="65"/>
      <c r="Q51" s="45">
        <v>5</v>
      </c>
      <c r="R51" s="19"/>
      <c r="S51" s="21"/>
      <c r="T51" s="21"/>
      <c r="U51" s="23"/>
      <c r="V51" s="250" t="s">
        <v>361</v>
      </c>
      <c r="W51" s="84"/>
      <c r="X51" s="24"/>
      <c r="Y51" s="24"/>
      <c r="Z51" s="105"/>
      <c r="AA51" s="332">
        <v>0</v>
      </c>
      <c r="AB51" s="217">
        <v>0</v>
      </c>
      <c r="AC51" s="217">
        <v>0</v>
      </c>
      <c r="AD51" s="217">
        <v>0</v>
      </c>
      <c r="AE51" s="217">
        <v>0</v>
      </c>
      <c r="AF51" s="332">
        <f>SUM(AB51:AE51)</f>
        <v>0</v>
      </c>
      <c r="AG51" s="217">
        <v>0</v>
      </c>
      <c r="AH51" s="65">
        <v>0</v>
      </c>
      <c r="AI51" s="65">
        <v>0</v>
      </c>
      <c r="AJ51" s="65">
        <f t="shared" si="110"/>
        <v>0</v>
      </c>
      <c r="AK51" s="215">
        <v>0</v>
      </c>
      <c r="AL51" s="65">
        <v>0</v>
      </c>
      <c r="AM51" s="65">
        <v>0</v>
      </c>
      <c r="AN51" s="65">
        <v>0</v>
      </c>
      <c r="AO51" s="65">
        <f t="shared" si="111"/>
        <v>0</v>
      </c>
      <c r="AP51" s="641">
        <v>0</v>
      </c>
      <c r="AQ51" s="65">
        <v>0</v>
      </c>
      <c r="AR51" s="65">
        <v>0</v>
      </c>
      <c r="AS51" s="65">
        <v>0</v>
      </c>
      <c r="AT51" s="65">
        <f>0-AS51-AR51-AQ51</f>
        <v>0</v>
      </c>
      <c r="AU51" s="215">
        <f t="shared" si="112"/>
        <v>0</v>
      </c>
      <c r="AV51" s="243"/>
      <c r="AW51" s="65">
        <f t="shared" si="140"/>
        <v>0</v>
      </c>
      <c r="AX51" s="65">
        <f t="shared" si="141"/>
        <v>0</v>
      </c>
      <c r="AY51" s="65">
        <v>0</v>
      </c>
      <c r="AZ51" s="65">
        <v>-3325.4</v>
      </c>
      <c r="BA51" s="215">
        <f t="shared" si="113"/>
        <v>-3325.4</v>
      </c>
      <c r="BB51" s="65">
        <v>0</v>
      </c>
      <c r="BC51" s="65">
        <f>0-BB51</f>
        <v>0</v>
      </c>
      <c r="BD51" s="65">
        <v>0</v>
      </c>
      <c r="BE51" s="65">
        <f>0-SUM(BB51:BD51)</f>
        <v>0</v>
      </c>
      <c r="BF51" s="641">
        <f t="shared" si="114"/>
        <v>0</v>
      </c>
      <c r="BG51" s="65">
        <v>0</v>
      </c>
      <c r="BH51" s="65">
        <f t="shared" si="150"/>
        <v>0</v>
      </c>
      <c r="BI51" s="65">
        <f>0-SUM(BG51:BH51)</f>
        <v>0</v>
      </c>
      <c r="BJ51" s="65">
        <f t="shared" si="115"/>
        <v>0</v>
      </c>
      <c r="BK51" s="641">
        <v>0</v>
      </c>
      <c r="BL51" s="65">
        <v>0</v>
      </c>
      <c r="BM51" s="65">
        <v>0</v>
      </c>
      <c r="BN51" s="65">
        <v>0</v>
      </c>
      <c r="BO51" s="65">
        <f t="shared" si="116"/>
        <v>0</v>
      </c>
      <c r="BP51" s="215">
        <v>0</v>
      </c>
      <c r="BQ51" s="65">
        <v>0</v>
      </c>
      <c r="BR51" s="65">
        <v>0</v>
      </c>
      <c r="BS51" s="65">
        <v>0</v>
      </c>
      <c r="BT51" s="65">
        <f t="shared" si="117"/>
        <v>-7374.7</v>
      </c>
      <c r="BU51" s="641">
        <v>-7374.7</v>
      </c>
      <c r="BV51" s="65">
        <v>0</v>
      </c>
      <c r="BW51" s="65">
        <v>0</v>
      </c>
      <c r="BX51" s="65">
        <v>0</v>
      </c>
      <c r="BY51" s="65">
        <f t="shared" si="118"/>
        <v>0</v>
      </c>
      <c r="BZ51" s="641">
        <v>0</v>
      </c>
      <c r="CA51" s="1201">
        <v>0</v>
      </c>
      <c r="CB51" s="65">
        <v>0</v>
      </c>
      <c r="CC51" s="65">
        <v>0</v>
      </c>
      <c r="CD51" s="65">
        <v>0</v>
      </c>
      <c r="CE51" s="641">
        <f>SUM(CA51:CD51)</f>
        <v>0</v>
      </c>
      <c r="CF51" s="65">
        <v>-1635.9</v>
      </c>
      <c r="CG51" s="65">
        <f>-1635.9-CF51</f>
        <v>0</v>
      </c>
      <c r="CH51" s="65">
        <f>-1635.9-SUM(CF51:CG51)</f>
        <v>0</v>
      </c>
      <c r="CI51" s="65">
        <f t="shared" si="120"/>
        <v>0</v>
      </c>
      <c r="CJ51" s="641">
        <v>-1635.9</v>
      </c>
      <c r="CK51" s="65">
        <v>0</v>
      </c>
      <c r="CL51" s="217">
        <v>0</v>
      </c>
      <c r="CM51" s="217">
        <v>0</v>
      </c>
      <c r="CN51" s="217">
        <v>0</v>
      </c>
      <c r="CO51" s="538">
        <f>SUM(CK51:CN51)</f>
        <v>0</v>
      </c>
      <c r="CP51" s="217">
        <v>0</v>
      </c>
      <c r="CQ51" s="217">
        <v>0</v>
      </c>
      <c r="CR51" s="217">
        <v>0</v>
      </c>
      <c r="CS51" s="217">
        <v>0</v>
      </c>
      <c r="CT51" s="538">
        <f>SUM(CP51:CS51)</f>
        <v>0</v>
      </c>
      <c r="CU51" s="217">
        <v>0</v>
      </c>
      <c r="CV51" s="217">
        <v>0</v>
      </c>
      <c r="CW51" s="217">
        <v>0</v>
      </c>
      <c r="CX51" s="217">
        <v>0</v>
      </c>
      <c r="CY51" s="538">
        <f>SUM(CU51:CX51)</f>
        <v>0</v>
      </c>
      <c r="CZ51" s="217">
        <v>0</v>
      </c>
      <c r="DA51" s="217">
        <v>0</v>
      </c>
      <c r="DB51" s="217">
        <v>0</v>
      </c>
      <c r="DC51" s="217">
        <v>0</v>
      </c>
      <c r="DD51" s="538">
        <f>SUM(CZ51:DC51)</f>
        <v>0</v>
      </c>
      <c r="DE51" s="217">
        <v>0</v>
      </c>
      <c r="DF51" s="217">
        <v>0</v>
      </c>
      <c r="DG51" s="217">
        <v>0</v>
      </c>
      <c r="DH51" s="217">
        <v>0</v>
      </c>
      <c r="DI51" s="538">
        <f>SUM(DE51:DH51)</f>
        <v>0</v>
      </c>
      <c r="DJ51" s="217">
        <v>0</v>
      </c>
      <c r="DK51" s="217">
        <v>0</v>
      </c>
      <c r="DL51" s="217">
        <v>0</v>
      </c>
      <c r="DM51" s="217">
        <v>0</v>
      </c>
      <c r="DN51" s="538">
        <f>SUM(DJ51:DM51)</f>
        <v>0</v>
      </c>
      <c r="DO51" s="217">
        <v>0</v>
      </c>
      <c r="DP51" s="217">
        <v>0</v>
      </c>
      <c r="DQ51" s="217">
        <v>0</v>
      </c>
      <c r="DR51" s="217">
        <v>0</v>
      </c>
      <c r="DS51" s="538">
        <f>SUM(DO51:DR51)</f>
        <v>0</v>
      </c>
      <c r="DT51" s="217">
        <v>0</v>
      </c>
      <c r="DU51" s="217">
        <v>0</v>
      </c>
      <c r="DV51" s="217">
        <v>0</v>
      </c>
      <c r="DW51" s="217">
        <v>0</v>
      </c>
      <c r="DX51" s="538">
        <f>SUM(DT51:DW51)</f>
        <v>0</v>
      </c>
      <c r="DY51" s="16"/>
      <c r="DZ51" s="21"/>
      <c r="EA51" s="21"/>
      <c r="EB51" s="266">
        <f t="shared" si="129"/>
        <v>0</v>
      </c>
      <c r="EC51" s="312">
        <f t="shared" si="130"/>
        <v>0</v>
      </c>
      <c r="ED51" s="312">
        <f t="shared" si="131"/>
        <v>0</v>
      </c>
      <c r="EE51" s="312">
        <f t="shared" si="132"/>
        <v>0</v>
      </c>
      <c r="EF51" s="312">
        <f t="shared" si="133"/>
        <v>-3325.4</v>
      </c>
      <c r="EG51" s="312">
        <f t="shared" si="134"/>
        <v>0</v>
      </c>
      <c r="EH51" s="312">
        <f t="shared" si="135"/>
        <v>0</v>
      </c>
      <c r="EI51" s="312">
        <f t="shared" si="136"/>
        <v>0</v>
      </c>
      <c r="EJ51" s="312">
        <f t="shared" si="137"/>
        <v>-7374.7</v>
      </c>
      <c r="EK51" s="312">
        <f t="shared" si="138"/>
        <v>0</v>
      </c>
      <c r="EL51" s="359">
        <f t="shared" si="139"/>
        <v>0</v>
      </c>
      <c r="EM51" s="16"/>
      <c r="EN51" s="16"/>
      <c r="EU51" s="16"/>
      <c r="EV51" s="16"/>
      <c r="EW51" s="16"/>
      <c r="EX51" s="16"/>
      <c r="EY51" s="16"/>
      <c r="EZ51" s="16"/>
      <c r="FA51" s="16"/>
      <c r="FB51" s="16"/>
      <c r="FC51" s="16"/>
      <c r="FD51" s="16"/>
      <c r="FE51" s="16"/>
      <c r="FF51" s="16"/>
      <c r="FG51" s="16"/>
      <c r="FH51" s="16"/>
      <c r="FI51" s="16"/>
      <c r="FJ51" s="16"/>
    </row>
    <row r="52" spans="1:166" x14ac:dyDescent="0.2">
      <c r="A52" s="497" t="s">
        <v>348</v>
      </c>
      <c r="B52" s="215"/>
      <c r="C52" s="65"/>
      <c r="D52" s="216"/>
      <c r="E52" s="65"/>
      <c r="F52" s="65"/>
      <c r="G52" s="215"/>
      <c r="H52" s="65"/>
      <c r="I52" s="216"/>
      <c r="J52" s="65"/>
      <c r="K52" s="65"/>
      <c r="L52" s="215"/>
      <c r="M52" s="65"/>
      <c r="N52" s="217"/>
      <c r="O52" s="65"/>
      <c r="P52" s="65"/>
      <c r="Q52" s="45">
        <v>13</v>
      </c>
      <c r="R52" s="19"/>
      <c r="S52" s="21"/>
      <c r="T52" s="21"/>
      <c r="U52" s="23"/>
      <c r="V52" s="250" t="s">
        <v>361</v>
      </c>
      <c r="W52" s="84"/>
      <c r="X52" s="24"/>
      <c r="Y52" s="24"/>
      <c r="Z52" s="105"/>
      <c r="AA52" s="332">
        <v>0</v>
      </c>
      <c r="AB52" s="217">
        <v>0</v>
      </c>
      <c r="AC52" s="217">
        <v>0</v>
      </c>
      <c r="AD52" s="217">
        <v>0</v>
      </c>
      <c r="AE52" s="217">
        <v>0</v>
      </c>
      <c r="AF52" s="332">
        <f>SUM(AB52:AE52)</f>
        <v>0</v>
      </c>
      <c r="AG52" s="217">
        <v>0</v>
      </c>
      <c r="AH52" s="65">
        <f>-3</f>
        <v>-3</v>
      </c>
      <c r="AI52" s="65">
        <f>4-AH52-AG52</f>
        <v>7</v>
      </c>
      <c r="AJ52" s="65">
        <f t="shared" si="110"/>
        <v>2</v>
      </c>
      <c r="AK52" s="215">
        <f>7-1</f>
        <v>6</v>
      </c>
      <c r="AL52" s="65">
        <v>0</v>
      </c>
      <c r="AM52" s="65">
        <v>0</v>
      </c>
      <c r="AN52" s="65">
        <v>0</v>
      </c>
      <c r="AO52" s="65">
        <f t="shared" si="111"/>
        <v>0</v>
      </c>
      <c r="AP52" s="641">
        <v>0</v>
      </c>
      <c r="AQ52" s="65">
        <v>0</v>
      </c>
      <c r="AR52" s="65">
        <v>0</v>
      </c>
      <c r="AS52" s="65">
        <v>0</v>
      </c>
      <c r="AT52" s="65">
        <f>0-AS52-AR52-AQ52</f>
        <v>0</v>
      </c>
      <c r="AU52" s="215">
        <f t="shared" si="112"/>
        <v>0</v>
      </c>
      <c r="AV52" s="243"/>
      <c r="AW52" s="65">
        <f t="shared" si="140"/>
        <v>0</v>
      </c>
      <c r="AX52" s="65">
        <f t="shared" si="141"/>
        <v>0</v>
      </c>
      <c r="AY52" s="65">
        <v>0</v>
      </c>
      <c r="AZ52" s="65">
        <v>0</v>
      </c>
      <c r="BA52" s="215">
        <f t="shared" si="113"/>
        <v>0</v>
      </c>
      <c r="BB52" s="65">
        <v>0</v>
      </c>
      <c r="BC52" s="65">
        <f>0-BB52</f>
        <v>0</v>
      </c>
      <c r="BD52" s="65">
        <f>-4.3-SUM(BB52:BC52)</f>
        <v>-4.3</v>
      </c>
      <c r="BE52" s="65">
        <f>0-SUM(BB52:BD52)</f>
        <v>4.3</v>
      </c>
      <c r="BF52" s="641">
        <f t="shared" si="114"/>
        <v>0</v>
      </c>
      <c r="BG52" s="65">
        <v>0</v>
      </c>
      <c r="BH52" s="65">
        <f t="shared" si="150"/>
        <v>0</v>
      </c>
      <c r="BI52" s="65">
        <f>0-SUM(BG52:BH52)</f>
        <v>0</v>
      </c>
      <c r="BJ52" s="65">
        <f t="shared" si="115"/>
        <v>0</v>
      </c>
      <c r="BK52" s="641">
        <v>0</v>
      </c>
      <c r="BL52" s="65">
        <v>0</v>
      </c>
      <c r="BM52" s="65">
        <v>0</v>
      </c>
      <c r="BN52" s="65">
        <v>0</v>
      </c>
      <c r="BO52" s="65">
        <f t="shared" si="116"/>
        <v>0</v>
      </c>
      <c r="BP52" s="215">
        <v>0</v>
      </c>
      <c r="BQ52" s="65">
        <v>0</v>
      </c>
      <c r="BR52" s="65">
        <v>0</v>
      </c>
      <c r="BS52" s="65">
        <v>0</v>
      </c>
      <c r="BT52" s="65">
        <f t="shared" si="117"/>
        <v>0</v>
      </c>
      <c r="BU52" s="641">
        <v>0</v>
      </c>
      <c r="BV52" s="65">
        <v>0</v>
      </c>
      <c r="BW52" s="65">
        <v>0</v>
      </c>
      <c r="BX52" s="65">
        <v>0</v>
      </c>
      <c r="BY52" s="65">
        <f t="shared" si="118"/>
        <v>0</v>
      </c>
      <c r="BZ52" s="641">
        <v>0</v>
      </c>
      <c r="CA52" s="1201">
        <v>0</v>
      </c>
      <c r="CB52" s="65">
        <v>0</v>
      </c>
      <c r="CC52" s="65">
        <v>0</v>
      </c>
      <c r="CD52" s="65">
        <v>0</v>
      </c>
      <c r="CE52" s="641">
        <f>SUM(CA52:CD52)</f>
        <v>0</v>
      </c>
      <c r="CF52" s="65">
        <v>0</v>
      </c>
      <c r="CG52" s="65">
        <v>0</v>
      </c>
      <c r="CH52" s="65">
        <v>0</v>
      </c>
      <c r="CI52" s="65">
        <f t="shared" si="120"/>
        <v>0</v>
      </c>
      <c r="CJ52" s="641">
        <v>0</v>
      </c>
      <c r="CK52" s="65">
        <v>0</v>
      </c>
      <c r="CL52" s="217">
        <v>0</v>
      </c>
      <c r="CM52" s="217">
        <v>0</v>
      </c>
      <c r="CN52" s="217">
        <v>0</v>
      </c>
      <c r="CO52" s="538">
        <f>SUM(CK52:CN52)</f>
        <v>0</v>
      </c>
      <c r="CP52" s="217">
        <v>0</v>
      </c>
      <c r="CQ52" s="217">
        <v>0</v>
      </c>
      <c r="CR52" s="217">
        <v>0</v>
      </c>
      <c r="CS52" s="217">
        <v>0</v>
      </c>
      <c r="CT52" s="538">
        <f>SUM(CP52:CS52)</f>
        <v>0</v>
      </c>
      <c r="CU52" s="217">
        <v>0</v>
      </c>
      <c r="CV52" s="217">
        <v>0</v>
      </c>
      <c r="CW52" s="217">
        <v>0</v>
      </c>
      <c r="CX52" s="217">
        <v>0</v>
      </c>
      <c r="CY52" s="538">
        <f>SUM(CU52:CX52)</f>
        <v>0</v>
      </c>
      <c r="CZ52" s="217">
        <v>0</v>
      </c>
      <c r="DA52" s="217">
        <v>0</v>
      </c>
      <c r="DB52" s="217">
        <v>0</v>
      </c>
      <c r="DC52" s="217">
        <v>0</v>
      </c>
      <c r="DD52" s="538">
        <f>SUM(CZ52:DC52)</f>
        <v>0</v>
      </c>
      <c r="DE52" s="217">
        <v>0</v>
      </c>
      <c r="DF52" s="217">
        <v>0</v>
      </c>
      <c r="DG52" s="217">
        <v>0</v>
      </c>
      <c r="DH52" s="217">
        <v>0</v>
      </c>
      <c r="DI52" s="538">
        <f>SUM(DE52:DH52)</f>
        <v>0</v>
      </c>
      <c r="DJ52" s="217">
        <v>0</v>
      </c>
      <c r="DK52" s="217">
        <v>0</v>
      </c>
      <c r="DL52" s="217">
        <v>0</v>
      </c>
      <c r="DM52" s="217">
        <v>0</v>
      </c>
      <c r="DN52" s="538">
        <f>SUM(DJ52:DM52)</f>
        <v>0</v>
      </c>
      <c r="DO52" s="217">
        <v>0</v>
      </c>
      <c r="DP52" s="217">
        <v>0</v>
      </c>
      <c r="DQ52" s="217">
        <v>0</v>
      </c>
      <c r="DR52" s="217">
        <v>0</v>
      </c>
      <c r="DS52" s="538">
        <f>SUM(DO52:DR52)</f>
        <v>0</v>
      </c>
      <c r="DT52" s="217">
        <v>0</v>
      </c>
      <c r="DU52" s="217">
        <v>0</v>
      </c>
      <c r="DV52" s="217">
        <v>0</v>
      </c>
      <c r="DW52" s="217">
        <v>0</v>
      </c>
      <c r="DX52" s="538">
        <f>SUM(DT52:DW52)</f>
        <v>0</v>
      </c>
      <c r="DY52" s="16"/>
      <c r="DZ52" s="21"/>
      <c r="EA52" s="21"/>
      <c r="EB52" s="266">
        <f t="shared" si="129"/>
        <v>0</v>
      </c>
      <c r="EC52" s="312">
        <f t="shared" si="130"/>
        <v>-3</v>
      </c>
      <c r="ED52" s="312">
        <f t="shared" si="131"/>
        <v>9</v>
      </c>
      <c r="EE52" s="312">
        <f t="shared" si="132"/>
        <v>0</v>
      </c>
      <c r="EF52" s="312">
        <f t="shared" si="133"/>
        <v>0</v>
      </c>
      <c r="EG52" s="312">
        <f t="shared" si="134"/>
        <v>0</v>
      </c>
      <c r="EH52" s="312">
        <f t="shared" si="135"/>
        <v>0</v>
      </c>
      <c r="EI52" s="312">
        <f t="shared" si="136"/>
        <v>0</v>
      </c>
      <c r="EJ52" s="312">
        <f t="shared" si="137"/>
        <v>0</v>
      </c>
      <c r="EK52" s="312">
        <f t="shared" si="138"/>
        <v>0</v>
      </c>
      <c r="EL52" s="359">
        <f t="shared" si="139"/>
        <v>0</v>
      </c>
      <c r="EM52" s="16"/>
      <c r="EN52" s="16"/>
      <c r="EU52" s="16"/>
      <c r="EV52" s="16"/>
      <c r="EW52" s="16"/>
      <c r="EX52" s="16"/>
      <c r="EY52" s="16"/>
      <c r="EZ52" s="16"/>
      <c r="FA52" s="16"/>
      <c r="FB52" s="16"/>
      <c r="FC52" s="16"/>
      <c r="FD52" s="16"/>
      <c r="FE52" s="16"/>
      <c r="FF52" s="16"/>
      <c r="FG52" s="16"/>
      <c r="FH52" s="16"/>
      <c r="FI52" s="16"/>
      <c r="FJ52" s="16"/>
    </row>
    <row r="53" spans="1:166" ht="3.95" customHeight="1" x14ac:dyDescent="0.2">
      <c r="A53" s="497"/>
      <c r="B53" s="215"/>
      <c r="C53" s="65"/>
      <c r="D53" s="216"/>
      <c r="E53" s="65"/>
      <c r="F53" s="65"/>
      <c r="G53" s="215"/>
      <c r="H53" s="65"/>
      <c r="I53" s="216"/>
      <c r="J53" s="65"/>
      <c r="K53" s="65"/>
      <c r="L53" s="215"/>
      <c r="M53" s="65"/>
      <c r="N53" s="217"/>
      <c r="O53" s="65"/>
      <c r="P53" s="65"/>
      <c r="Q53" s="45"/>
      <c r="R53" s="19"/>
      <c r="S53" s="21"/>
      <c r="T53" s="21"/>
      <c r="U53" s="23"/>
      <c r="V53" s="45"/>
      <c r="W53" s="84"/>
      <c r="X53" s="24"/>
      <c r="Y53" s="24"/>
      <c r="Z53" s="105"/>
      <c r="AA53" s="332"/>
      <c r="AB53" s="217"/>
      <c r="AC53" s="217"/>
      <c r="AD53" s="217"/>
      <c r="AE53" s="217"/>
      <c r="AF53" s="332"/>
      <c r="AG53" s="217"/>
      <c r="AH53" s="65"/>
      <c r="AI53" s="65"/>
      <c r="AJ53" s="65"/>
      <c r="AK53" s="215"/>
      <c r="AL53" s="65"/>
      <c r="AM53" s="65"/>
      <c r="AN53" s="65"/>
      <c r="AO53" s="65"/>
      <c r="AP53" s="641"/>
      <c r="AQ53" s="65"/>
      <c r="AR53" s="65"/>
      <c r="AS53" s="65"/>
      <c r="AT53" s="65"/>
      <c r="AU53" s="215"/>
      <c r="AV53" s="243"/>
      <c r="AW53" s="65"/>
      <c r="AX53" s="65"/>
      <c r="AY53" s="65"/>
      <c r="AZ53" s="65"/>
      <c r="BA53" s="215"/>
      <c r="BB53" s="65"/>
      <c r="BC53" s="65"/>
      <c r="BD53" s="65"/>
      <c r="BE53" s="65"/>
      <c r="BF53" s="641"/>
      <c r="BG53" s="65"/>
      <c r="BH53" s="65"/>
      <c r="BI53" s="65"/>
      <c r="BJ53" s="65"/>
      <c r="BK53" s="641"/>
      <c r="BL53" s="65"/>
      <c r="BM53" s="65"/>
      <c r="BN53" s="65"/>
      <c r="BO53" s="65"/>
      <c r="BP53" s="215"/>
      <c r="BQ53" s="65"/>
      <c r="BR53" s="65"/>
      <c r="BS53" s="65"/>
      <c r="BT53" s="65"/>
      <c r="BU53" s="641"/>
      <c r="BV53" s="65"/>
      <c r="BW53" s="65"/>
      <c r="BX53" s="65"/>
      <c r="BY53" s="65"/>
      <c r="BZ53" s="641"/>
      <c r="CA53" s="1201"/>
      <c r="CB53" s="65"/>
      <c r="CC53" s="65"/>
      <c r="CD53" s="65"/>
      <c r="CE53" s="641"/>
      <c r="CF53" s="65"/>
      <c r="CG53" s="65"/>
      <c r="CH53" s="65"/>
      <c r="CI53" s="65"/>
      <c r="CJ53" s="641"/>
      <c r="CK53" s="65"/>
      <c r="CL53" s="217"/>
      <c r="CM53" s="217"/>
      <c r="CN53" s="217"/>
      <c r="CO53" s="538"/>
      <c r="CP53" s="217"/>
      <c r="CQ53" s="217"/>
      <c r="CR53" s="217"/>
      <c r="CS53" s="217"/>
      <c r="CT53" s="538"/>
      <c r="CU53" s="217"/>
      <c r="CV53" s="217"/>
      <c r="CW53" s="217"/>
      <c r="CX53" s="217"/>
      <c r="CY53" s="538"/>
      <c r="CZ53" s="217"/>
      <c r="DA53" s="217"/>
      <c r="DB53" s="217"/>
      <c r="DC53" s="217"/>
      <c r="DD53" s="538"/>
      <c r="DE53" s="217"/>
      <c r="DF53" s="217"/>
      <c r="DG53" s="217"/>
      <c r="DH53" s="217"/>
      <c r="DI53" s="538"/>
      <c r="DJ53" s="217"/>
      <c r="DK53" s="217"/>
      <c r="DL53" s="217"/>
      <c r="DM53" s="217"/>
      <c r="DN53" s="538"/>
      <c r="DO53" s="217"/>
      <c r="DP53" s="217"/>
      <c r="DQ53" s="217"/>
      <c r="DR53" s="217"/>
      <c r="DS53" s="538"/>
      <c r="DT53" s="217"/>
      <c r="DU53" s="217"/>
      <c r="DV53" s="217"/>
      <c r="DW53" s="217"/>
      <c r="DX53" s="538"/>
      <c r="DY53" s="16"/>
      <c r="DZ53" s="21"/>
      <c r="EA53" s="21"/>
      <c r="EB53" s="266"/>
      <c r="EC53" s="312"/>
      <c r="ED53" s="312"/>
      <c r="EE53" s="312"/>
      <c r="EF53" s="312"/>
      <c r="EG53" s="312"/>
      <c r="EH53" s="312"/>
      <c r="EI53" s="312"/>
      <c r="EJ53" s="312"/>
      <c r="EK53" s="312"/>
      <c r="EL53" s="359"/>
      <c r="EM53" s="16"/>
      <c r="EN53" s="16"/>
      <c r="EU53" s="16"/>
      <c r="EV53" s="16"/>
      <c r="EW53" s="16"/>
      <c r="EX53" s="16"/>
      <c r="EY53" s="16"/>
      <c r="EZ53" s="16"/>
      <c r="FA53" s="16"/>
      <c r="FB53" s="16"/>
      <c r="FC53" s="16"/>
      <c r="FD53" s="16"/>
      <c r="FE53" s="16"/>
      <c r="FF53" s="16"/>
      <c r="FG53" s="16"/>
      <c r="FH53" s="16"/>
      <c r="FI53" s="16"/>
      <c r="FJ53" s="16"/>
    </row>
    <row r="54" spans="1:166" x14ac:dyDescent="0.2">
      <c r="A54" s="655" t="s">
        <v>349</v>
      </c>
      <c r="B54" s="301"/>
      <c r="C54" s="304"/>
      <c r="D54" s="306"/>
      <c r="E54" s="304"/>
      <c r="F54" s="304"/>
      <c r="G54" s="301"/>
      <c r="H54" s="304"/>
      <c r="I54" s="306"/>
      <c r="J54" s="304"/>
      <c r="K54" s="304"/>
      <c r="L54" s="301"/>
      <c r="M54" s="304"/>
      <c r="N54" s="304"/>
      <c r="O54" s="304"/>
      <c r="P54" s="304"/>
      <c r="Q54" s="307">
        <f>SUM(Q41:Q53)</f>
        <v>-184</v>
      </c>
      <c r="R54" s="308"/>
      <c r="S54" s="309"/>
      <c r="T54" s="309"/>
      <c r="U54" s="310"/>
      <c r="V54" s="307">
        <f t="shared" ref="V54:AF54" si="151">SUM(V41:V53)</f>
        <v>-5</v>
      </c>
      <c r="W54" s="308">
        <f t="shared" si="151"/>
        <v>-10</v>
      </c>
      <c r="X54" s="309">
        <f t="shared" si="151"/>
        <v>-19</v>
      </c>
      <c r="Y54" s="309">
        <f t="shared" si="151"/>
        <v>-13</v>
      </c>
      <c r="Z54" s="310">
        <f t="shared" si="151"/>
        <v>-32</v>
      </c>
      <c r="AA54" s="307">
        <f t="shared" si="151"/>
        <v>-74</v>
      </c>
      <c r="AB54" s="308">
        <f t="shared" si="151"/>
        <v>-15</v>
      </c>
      <c r="AC54" s="309">
        <f t="shared" si="151"/>
        <v>-12</v>
      </c>
      <c r="AD54" s="309">
        <f t="shared" si="151"/>
        <v>-17</v>
      </c>
      <c r="AE54" s="309">
        <f t="shared" si="151"/>
        <v>-40</v>
      </c>
      <c r="AF54" s="307">
        <f t="shared" si="151"/>
        <v>-84</v>
      </c>
      <c r="AG54" s="308">
        <f>SUM(AG41:AG53)</f>
        <v>-15</v>
      </c>
      <c r="AH54" s="309">
        <f>SUM(AH41:AH53)</f>
        <v>-26</v>
      </c>
      <c r="AI54" s="309">
        <f>SUM(AI41:AI53)</f>
        <v>-21</v>
      </c>
      <c r="AJ54" s="309">
        <f>SUM(AJ41:AJ53)</f>
        <v>-137</v>
      </c>
      <c r="AK54" s="307">
        <f>SUM(AG54:AJ54)</f>
        <v>-199</v>
      </c>
      <c r="AL54" s="308">
        <f t="shared" ref="AL54:AU54" si="152">SUM(AL41:AL53)</f>
        <v>-96</v>
      </c>
      <c r="AM54" s="309">
        <f t="shared" si="152"/>
        <v>-53</v>
      </c>
      <c r="AN54" s="309">
        <f t="shared" si="152"/>
        <v>-22</v>
      </c>
      <c r="AO54" s="309">
        <f t="shared" si="152"/>
        <v>-71</v>
      </c>
      <c r="AP54" s="645">
        <f t="shared" si="152"/>
        <v>-242</v>
      </c>
      <c r="AQ54" s="309">
        <f t="shared" si="152"/>
        <v>-28.8</v>
      </c>
      <c r="AR54" s="309">
        <f t="shared" si="152"/>
        <v>-24.799999999999994</v>
      </c>
      <c r="AS54" s="309">
        <f t="shared" si="152"/>
        <v>-31.299999999999997</v>
      </c>
      <c r="AT54" s="309">
        <f t="shared" si="152"/>
        <v>-50.000000000000014</v>
      </c>
      <c r="AU54" s="645">
        <f t="shared" si="152"/>
        <v>-134.90000000000003</v>
      </c>
      <c r="AV54" s="243"/>
      <c r="AW54" s="309">
        <f t="shared" ref="AW54:BE54" si="153">SUM(AW41:AW53)</f>
        <v>-31.299999999999997</v>
      </c>
      <c r="AX54" s="309">
        <f t="shared" si="153"/>
        <v>-50.000000000000014</v>
      </c>
      <c r="AY54" s="309">
        <f t="shared" si="153"/>
        <v>-1.1999999999999997</v>
      </c>
      <c r="AZ54" s="309">
        <f t="shared" si="153"/>
        <v>-3348.2000000000003</v>
      </c>
      <c r="BA54" s="645">
        <f t="shared" si="153"/>
        <v>-3430.7000000000003</v>
      </c>
      <c r="BB54" s="308">
        <f t="shared" si="153"/>
        <v>0.10000000000000106</v>
      </c>
      <c r="BC54" s="309">
        <f t="shared" si="153"/>
        <v>-9.0000000000000036</v>
      </c>
      <c r="BD54" s="309">
        <f t="shared" si="153"/>
        <v>-10.399999999999999</v>
      </c>
      <c r="BE54" s="309">
        <f t="shared" si="153"/>
        <v>-22.099999999999991</v>
      </c>
      <c r="BF54" s="645">
        <f>SUM(BB54:BE54)</f>
        <v>-41.399999999999991</v>
      </c>
      <c r="BG54" s="309">
        <f>SUM(BG41:BG53)</f>
        <v>-5.8000000000000016</v>
      </c>
      <c r="BH54" s="309">
        <f>SUM(BH41:BH53)</f>
        <v>19.8</v>
      </c>
      <c r="BI54" s="309">
        <f>SUM(BI41:BI53)</f>
        <v>13.399999999999999</v>
      </c>
      <c r="BJ54" s="309">
        <f>SUM(BJ41:BJ53)</f>
        <v>6.2000000000000046</v>
      </c>
      <c r="BK54" s="645">
        <f>SUM(BG54:BJ54)</f>
        <v>33.6</v>
      </c>
      <c r="BL54" s="309">
        <f>SUM(BL41:BL53)</f>
        <v>6.3</v>
      </c>
      <c r="BM54" s="309">
        <f>SUM(BM41:BM53)</f>
        <v>29.900000000000006</v>
      </c>
      <c r="BN54" s="309">
        <f>SUM(BN41:BN53)</f>
        <v>1.900000000000001</v>
      </c>
      <c r="BO54" s="309">
        <f>SUM(BO41:BO53)</f>
        <v>4.899999999999995</v>
      </c>
      <c r="BP54" s="307">
        <f>SUM(BL54:BO54)</f>
        <v>43</v>
      </c>
      <c r="BQ54" s="309">
        <f>SUM(BQ41:BQ53)</f>
        <v>-4.2</v>
      </c>
      <c r="BR54" s="309">
        <f>SUM(BR41:BR53)</f>
        <v>-2.3999999999999995</v>
      </c>
      <c r="BS54" s="309">
        <f>SUM(BS41:BS53)</f>
        <v>-3.1999999999999993</v>
      </c>
      <c r="BT54" s="309">
        <f>SUM(BT41:BT53)</f>
        <v>-7781</v>
      </c>
      <c r="BU54" s="645">
        <f>SUM(BQ54:BT54)</f>
        <v>-7790.8</v>
      </c>
      <c r="BV54" s="309">
        <f>SUM(BV41:BV53)</f>
        <v>32.700000000000003</v>
      </c>
      <c r="BW54" s="309">
        <f>SUM(BW41:BW53)</f>
        <v>-57.2</v>
      </c>
      <c r="BX54" s="309">
        <f>SUM(BX41:BX53)</f>
        <v>-15.500000000000002</v>
      </c>
      <c r="BY54" s="309">
        <f>SUM(BY41:BY53)</f>
        <v>-21.499999999999989</v>
      </c>
      <c r="BZ54" s="645">
        <f>SUM(BV54:BY54)</f>
        <v>-61.499999999999986</v>
      </c>
      <c r="CA54" s="1590">
        <f>SUM(CA41:CA53)</f>
        <v>6.8000000000000007</v>
      </c>
      <c r="CB54" s="1590">
        <f>SUM(CB41:CB53)</f>
        <v>4.9999999999999982</v>
      </c>
      <c r="CC54" s="309">
        <f>SUM(CC41:CC53)</f>
        <v>7.5000000000000036</v>
      </c>
      <c r="CD54" s="309">
        <f>SUM(CD41:CD53)</f>
        <v>7.5999999999999979</v>
      </c>
      <c r="CE54" s="645">
        <f>SUM(CA54:CD54)</f>
        <v>26.900000000000002</v>
      </c>
      <c r="CF54" s="309">
        <f>SUM(CF41:CF53)</f>
        <v>-1624.7</v>
      </c>
      <c r="CG54" s="309">
        <f>SUM(CG41:CG53)</f>
        <v>766.8</v>
      </c>
      <c r="CH54" s="309">
        <f>SUM(CH41:CH53)</f>
        <v>5.9999999999999591</v>
      </c>
      <c r="CI54" s="309">
        <f>SUM(CI41:CI53)</f>
        <v>-5.9000000000000075</v>
      </c>
      <c r="CJ54" s="645">
        <f>SUM(CF54:CI54)</f>
        <v>-857.80000000000007</v>
      </c>
      <c r="CK54" s="309">
        <f>SUM(CK41:CK53)</f>
        <v>1.9</v>
      </c>
      <c r="CL54" s="350">
        <f>SUM(CL41:CL53)</f>
        <v>-9.1905064760637423</v>
      </c>
      <c r="CM54" s="350">
        <f>SUM(CM41:CM53)</f>
        <v>-6.1525352603045249</v>
      </c>
      <c r="CN54" s="350">
        <f>SUM(CN41:CN53)</f>
        <v>-23.425758476312211</v>
      </c>
      <c r="CO54" s="541">
        <f>SUM(CK54:CN54)</f>
        <v>-36.868800212680476</v>
      </c>
      <c r="CP54" s="350">
        <f>SUM(CP41:CP53)</f>
        <v>-5.4475050719530644</v>
      </c>
      <c r="CQ54" s="350">
        <f>SUM(CQ41:CQ53)</f>
        <v>-9.7754559732166264</v>
      </c>
      <c r="CR54" s="350">
        <f>SUM(CR41:CR53)</f>
        <v>-6.5453455124811537</v>
      </c>
      <c r="CS54" s="350">
        <f>SUM(CS41:CS53)</f>
        <v>-25.003331463808514</v>
      </c>
      <c r="CT54" s="541">
        <f>SUM(CP54:CS54)</f>
        <v>-46.77163802145936</v>
      </c>
      <c r="CU54" s="350">
        <f>SUM(CU41:CU53)</f>
        <v>-5.8736801189142582</v>
      </c>
      <c r="CV54" s="350">
        <f>SUM(CV41:CV53)</f>
        <v>-10.424107022432043</v>
      </c>
      <c r="CW54" s="350">
        <f>SUM(CW41:CW53)</f>
        <v>-6.9897308560112013</v>
      </c>
      <c r="CX54" s="350">
        <f>SUM(CX41:CX53)</f>
        <v>-26.744617478124308</v>
      </c>
      <c r="CY54" s="541">
        <f>SUM(CU54:CX54)</f>
        <v>-50.032135475481809</v>
      </c>
      <c r="CZ54" s="350">
        <f>SUM(CZ41:CZ53)</f>
        <v>-6.3326312187712936</v>
      </c>
      <c r="DA54" s="350">
        <f>SUM(DA41:DA53)</f>
        <v>-11.078682505153202</v>
      </c>
      <c r="DB54" s="350">
        <f>SUM(DB41:DB53)</f>
        <v>-7.553268545760548</v>
      </c>
      <c r="DC54" s="350">
        <f>SUM(DC41:DC53)</f>
        <v>-28.904154607024246</v>
      </c>
      <c r="DD54" s="541">
        <f>SUM(CZ54:DC54)</f>
        <v>-53.868736876709292</v>
      </c>
      <c r="DE54" s="350">
        <f>SUM(DE41:DE53)</f>
        <v>-6.7445945252227411</v>
      </c>
      <c r="DF54" s="350">
        <f>SUM(DF41:DF53)</f>
        <v>-11.807710731313238</v>
      </c>
      <c r="DG54" s="350">
        <f>SUM(DG41:DG53)</f>
        <v>-8.061006791977805</v>
      </c>
      <c r="DH54" s="350">
        <f>SUM(DH41:DH53)</f>
        <v>-30.858533454629036</v>
      </c>
      <c r="DI54" s="541">
        <f>SUM(DE54:DH54)</f>
        <v>-57.471845503142816</v>
      </c>
      <c r="DJ54" s="350">
        <f>SUM(DJ41:DJ53)</f>
        <v>-7.2003163465998012</v>
      </c>
      <c r="DK54" s="350">
        <f>SUM(DK41:DK53)</f>
        <v>-12.596204315092022</v>
      </c>
      <c r="DL54" s="350">
        <f>SUM(DL41:DL53)</f>
        <v>-8.6004304294684157</v>
      </c>
      <c r="DM54" s="350">
        <f>SUM(DM41:DM53)</f>
        <v>-32.9198517610415</v>
      </c>
      <c r="DN54" s="541">
        <f>SUM(DJ54:DM54)</f>
        <v>-61.316802852201739</v>
      </c>
      <c r="DO54" s="350">
        <f>SUM(DO41:DO53)</f>
        <v>-7.7642821716410078</v>
      </c>
      <c r="DP54" s="350">
        <f>SUM(DP41:DP53)</f>
        <v>-13.421706150431895</v>
      </c>
      <c r="DQ54" s="350">
        <f>SUM(DQ41:DQ53)</f>
        <v>-9.164773652076315</v>
      </c>
      <c r="DR54" s="350">
        <f>SUM(DR41:DR53)</f>
        <v>-35.077334242206049</v>
      </c>
      <c r="DS54" s="541">
        <f>SUM(DO54:DR54)</f>
        <v>-65.428096216355272</v>
      </c>
      <c r="DT54" s="350">
        <f>SUM(DT41:DT53)</f>
        <v>-8.1797983219764543</v>
      </c>
      <c r="DU54" s="350">
        <f>SUM(DU41:DU53)</f>
        <v>-14.28487398801842</v>
      </c>
      <c r="DV54" s="350">
        <f>SUM(DV41:DV53)</f>
        <v>-9.7551209290574672</v>
      </c>
      <c r="DW54" s="350">
        <f>SUM(DW41:DW53)</f>
        <v>-37.335120243995625</v>
      </c>
      <c r="DX54" s="541">
        <f>SUM(DT54:DW54)</f>
        <v>-69.554913483047969</v>
      </c>
      <c r="DY54" s="16"/>
      <c r="DZ54" s="21"/>
      <c r="EA54" s="21"/>
      <c r="EB54" s="426">
        <f t="shared" ref="EB54:EB69" si="154">SUM(AC54,AB54,Z54,Y54)</f>
        <v>-72</v>
      </c>
      <c r="EC54" s="484">
        <f t="shared" ref="EC54:EC69" si="155">SUM(AD54,AE54,AG54,AH54)</f>
        <v>-98</v>
      </c>
      <c r="ED54" s="484">
        <f t="shared" ref="ED54:ED69" si="156">SUM(AI54,AJ54,AL54,AM54)</f>
        <v>-307</v>
      </c>
      <c r="EE54" s="484">
        <f t="shared" ref="EE54:EE69" si="157">SUM(AN54,AO54,AQ54,AR54)</f>
        <v>-146.6</v>
      </c>
      <c r="EF54" s="484">
        <f t="shared" ref="EF54:EF69" si="158">BA54</f>
        <v>-3430.7000000000003</v>
      </c>
      <c r="EG54" s="484">
        <f t="shared" ref="EG54:EG69" si="159">BF54</f>
        <v>-41.399999999999991</v>
      </c>
      <c r="EH54" s="484">
        <f t="shared" ref="EH54:EH69" si="160">BK54</f>
        <v>33.6</v>
      </c>
      <c r="EI54" s="484">
        <f>BP54</f>
        <v>43</v>
      </c>
      <c r="EJ54" s="484">
        <f>BU54</f>
        <v>-7790.8</v>
      </c>
      <c r="EK54" s="484">
        <f>BZ54</f>
        <v>-61.499999999999986</v>
      </c>
      <c r="EL54" s="748">
        <f>CE54</f>
        <v>26.900000000000002</v>
      </c>
      <c r="EM54" s="16"/>
      <c r="EN54" s="16"/>
      <c r="EU54" s="16"/>
      <c r="EV54" s="16"/>
      <c r="EW54" s="16"/>
      <c r="EX54" s="16"/>
      <c r="EY54" s="16"/>
      <c r="EZ54" s="16"/>
      <c r="FA54" s="16"/>
      <c r="FB54" s="16"/>
      <c r="FC54" s="16"/>
      <c r="FD54" s="16"/>
      <c r="FE54" s="16"/>
      <c r="FF54" s="16"/>
      <c r="FG54" s="16"/>
      <c r="FH54" s="16"/>
      <c r="FI54" s="16"/>
      <c r="FJ54" s="16"/>
    </row>
    <row r="55" spans="1:166" x14ac:dyDescent="0.2">
      <c r="A55" s="497" t="s">
        <v>339</v>
      </c>
      <c r="B55" s="215"/>
      <c r="C55" s="65"/>
      <c r="D55" s="216"/>
      <c r="E55" s="65"/>
      <c r="F55" s="65"/>
      <c r="G55" s="215"/>
      <c r="H55" s="65"/>
      <c r="I55" s="216"/>
      <c r="J55" s="65"/>
      <c r="K55" s="65"/>
      <c r="L55" s="215"/>
      <c r="M55" s="65"/>
      <c r="N55" s="65"/>
      <c r="O55" s="65"/>
      <c r="P55" s="65"/>
      <c r="Q55" s="222" t="s">
        <v>339</v>
      </c>
      <c r="R55" s="262"/>
      <c r="S55" s="263"/>
      <c r="T55" s="263"/>
      <c r="U55" s="264"/>
      <c r="V55" s="222" t="s">
        <v>339</v>
      </c>
      <c r="W55" s="262"/>
      <c r="X55" s="263"/>
      <c r="Y55" s="263"/>
      <c r="Z55" s="264"/>
      <c r="AA55" s="222" t="s">
        <v>339</v>
      </c>
      <c r="AB55" s="262"/>
      <c r="AC55" s="263"/>
      <c r="AD55" s="351"/>
      <c r="AE55" s="352"/>
      <c r="AF55" s="344"/>
      <c r="AG55" s="262"/>
      <c r="AH55" s="263"/>
      <c r="AI55" s="263"/>
      <c r="AJ55" s="264"/>
      <c r="AK55" s="222"/>
      <c r="AL55" s="262"/>
      <c r="AM55" s="263"/>
      <c r="AN55" s="263"/>
      <c r="AO55" s="264"/>
      <c r="AP55" s="646"/>
      <c r="AQ55" s="263"/>
      <c r="AR55" s="263"/>
      <c r="AS55" s="263"/>
      <c r="AT55" s="263"/>
      <c r="AU55" s="222"/>
      <c r="AV55" s="243"/>
      <c r="AW55" s="263"/>
      <c r="AX55" s="263"/>
      <c r="AY55" s="263"/>
      <c r="AZ55" s="263"/>
      <c r="BA55" s="222"/>
      <c r="BB55" s="262"/>
      <c r="BC55" s="263"/>
      <c r="BD55" s="263"/>
      <c r="BE55" s="264"/>
      <c r="BF55" s="646"/>
      <c r="BG55" s="263"/>
      <c r="BH55" s="263"/>
      <c r="BI55" s="263"/>
      <c r="BJ55" s="352"/>
      <c r="BK55" s="542"/>
      <c r="BL55" s="351"/>
      <c r="BM55" s="263"/>
      <c r="BN55" s="351"/>
      <c r="BO55" s="352"/>
      <c r="BP55" s="344"/>
      <c r="BQ55" s="351"/>
      <c r="BR55" s="263"/>
      <c r="BS55" s="351"/>
      <c r="BT55" s="352"/>
      <c r="BU55" s="542"/>
      <c r="BV55" s="263"/>
      <c r="BW55" s="1408"/>
      <c r="BX55" s="263"/>
      <c r="BY55" s="264"/>
      <c r="BZ55" s="646"/>
      <c r="CA55" s="1578"/>
      <c r="CB55" s="1578"/>
      <c r="CC55" s="263"/>
      <c r="CD55" s="264"/>
      <c r="CE55" s="646"/>
      <c r="CF55" s="263"/>
      <c r="CG55" s="263"/>
      <c r="CH55" s="263"/>
      <c r="CI55" s="264"/>
      <c r="CJ55" s="646"/>
      <c r="CK55" s="263"/>
      <c r="CL55" s="351"/>
      <c r="CM55" s="351"/>
      <c r="CN55" s="352"/>
      <c r="CO55" s="542"/>
      <c r="CP55" s="351"/>
      <c r="CQ55" s="351"/>
      <c r="CR55" s="351"/>
      <c r="CS55" s="352"/>
      <c r="CT55" s="542"/>
      <c r="CU55" s="351"/>
      <c r="CV55" s="351"/>
      <c r="CW55" s="351"/>
      <c r="CX55" s="352"/>
      <c r="CY55" s="542"/>
      <c r="CZ55" s="351"/>
      <c r="DA55" s="351"/>
      <c r="DB55" s="351"/>
      <c r="DC55" s="352"/>
      <c r="DD55" s="542"/>
      <c r="DE55" s="351"/>
      <c r="DF55" s="351"/>
      <c r="DG55" s="351"/>
      <c r="DH55" s="352"/>
      <c r="DI55" s="542"/>
      <c r="DJ55" s="351"/>
      <c r="DK55" s="351"/>
      <c r="DL55" s="351"/>
      <c r="DM55" s="352"/>
      <c r="DN55" s="542"/>
      <c r="DO55" s="351"/>
      <c r="DP55" s="351"/>
      <c r="DQ55" s="351"/>
      <c r="DR55" s="352"/>
      <c r="DS55" s="542"/>
      <c r="DT55" s="351"/>
      <c r="DU55" s="351"/>
      <c r="DV55" s="351"/>
      <c r="DW55" s="352"/>
      <c r="DX55" s="542"/>
      <c r="DY55" s="16"/>
      <c r="DZ55" s="21"/>
      <c r="EA55" s="21"/>
      <c r="EB55" s="266"/>
      <c r="EC55" s="312"/>
      <c r="ED55" s="312"/>
      <c r="EE55" s="312"/>
      <c r="EF55" s="312"/>
      <c r="EG55" s="312"/>
      <c r="EH55" s="312"/>
      <c r="EI55" s="312"/>
      <c r="EJ55" s="312"/>
      <c r="EK55" s="312"/>
      <c r="EL55" s="359"/>
      <c r="EM55" s="16"/>
      <c r="EN55" s="16"/>
      <c r="EU55" s="16"/>
      <c r="EV55" s="16"/>
      <c r="EW55" s="16"/>
      <c r="EX55" s="16"/>
      <c r="EY55" s="16"/>
      <c r="EZ55" s="16"/>
      <c r="FA55" s="16"/>
      <c r="FB55" s="16"/>
      <c r="FC55" s="16"/>
      <c r="FD55" s="16"/>
      <c r="FE55" s="16"/>
      <c r="FF55" s="16"/>
      <c r="FG55" s="16"/>
      <c r="FH55" s="16"/>
      <c r="FI55" s="16"/>
      <c r="FJ55" s="16"/>
    </row>
    <row r="56" spans="1:166" x14ac:dyDescent="0.2">
      <c r="A56" s="497" t="s">
        <v>350</v>
      </c>
      <c r="B56" s="215"/>
      <c r="C56" s="65"/>
      <c r="D56" s="216"/>
      <c r="E56" s="65"/>
      <c r="F56" s="65"/>
      <c r="G56" s="215"/>
      <c r="H56" s="65"/>
      <c r="I56" s="216"/>
      <c r="J56" s="65"/>
      <c r="K56" s="65"/>
      <c r="L56" s="215"/>
      <c r="M56" s="65"/>
      <c r="N56" s="65"/>
      <c r="O56" s="65"/>
      <c r="P56" s="65"/>
      <c r="Q56" s="222" t="s">
        <v>339</v>
      </c>
      <c r="R56" s="262"/>
      <c r="S56" s="263"/>
      <c r="T56" s="263"/>
      <c r="U56" s="264"/>
      <c r="V56" s="222" t="s">
        <v>339</v>
      </c>
      <c r="W56" s="262"/>
      <c r="X56" s="263"/>
      <c r="Y56" s="263"/>
      <c r="Z56" s="264"/>
      <c r="AA56" s="222" t="s">
        <v>339</v>
      </c>
      <c r="AB56" s="262"/>
      <c r="AC56" s="263"/>
      <c r="AD56" s="351"/>
      <c r="AE56" s="352"/>
      <c r="AF56" s="344"/>
      <c r="AG56" s="262"/>
      <c r="AH56" s="263"/>
      <c r="AI56" s="263"/>
      <c r="AJ56" s="264"/>
      <c r="AK56" s="222"/>
      <c r="AL56" s="262"/>
      <c r="AM56" s="263"/>
      <c r="AN56" s="263"/>
      <c r="AO56" s="264"/>
      <c r="AP56" s="646"/>
      <c r="AQ56" s="263"/>
      <c r="AR56" s="263"/>
      <c r="AS56" s="263"/>
      <c r="AT56" s="263"/>
      <c r="AU56" s="222"/>
      <c r="AV56" s="243"/>
      <c r="AW56" s="263"/>
      <c r="AX56" s="263"/>
      <c r="AY56" s="263"/>
      <c r="AZ56" s="263"/>
      <c r="BA56" s="222"/>
      <c r="BB56" s="262"/>
      <c r="BC56" s="263"/>
      <c r="BD56" s="263"/>
      <c r="BE56" s="264"/>
      <c r="BF56" s="646"/>
      <c r="BG56" s="263"/>
      <c r="BH56" s="263"/>
      <c r="BI56" s="263"/>
      <c r="BJ56" s="352"/>
      <c r="BK56" s="542"/>
      <c r="BL56" s="351"/>
      <c r="BM56" s="263"/>
      <c r="BN56" s="351"/>
      <c r="BO56" s="352"/>
      <c r="BP56" s="344"/>
      <c r="BQ56" s="351"/>
      <c r="BR56" s="263"/>
      <c r="BS56" s="351"/>
      <c r="BT56" s="352"/>
      <c r="BU56" s="542"/>
      <c r="BV56" s="263"/>
      <c r="BW56" s="1408"/>
      <c r="BX56" s="263"/>
      <c r="BY56" s="264"/>
      <c r="BZ56" s="646"/>
      <c r="CA56" s="1578"/>
      <c r="CB56" s="1578"/>
      <c r="CC56" s="263"/>
      <c r="CD56" s="264"/>
      <c r="CE56" s="646"/>
      <c r="CF56" s="263"/>
      <c r="CG56" s="263"/>
      <c r="CH56" s="263"/>
      <c r="CI56" s="264"/>
      <c r="CJ56" s="646"/>
      <c r="CK56" s="263"/>
      <c r="CL56" s="351"/>
      <c r="CM56" s="351"/>
      <c r="CN56" s="352"/>
      <c r="CO56" s="542"/>
      <c r="CP56" s="351"/>
      <c r="CQ56" s="351"/>
      <c r="CR56" s="351"/>
      <c r="CS56" s="352"/>
      <c r="CT56" s="542"/>
      <c r="CU56" s="351"/>
      <c r="CV56" s="351"/>
      <c r="CW56" s="351"/>
      <c r="CX56" s="352"/>
      <c r="CY56" s="542"/>
      <c r="CZ56" s="351"/>
      <c r="DA56" s="351"/>
      <c r="DB56" s="351"/>
      <c r="DC56" s="352"/>
      <c r="DD56" s="542"/>
      <c r="DE56" s="351"/>
      <c r="DF56" s="351"/>
      <c r="DG56" s="351"/>
      <c r="DH56" s="352"/>
      <c r="DI56" s="542"/>
      <c r="DJ56" s="351"/>
      <c r="DK56" s="351"/>
      <c r="DL56" s="351"/>
      <c r="DM56" s="352"/>
      <c r="DN56" s="542"/>
      <c r="DO56" s="351"/>
      <c r="DP56" s="351"/>
      <c r="DQ56" s="351"/>
      <c r="DR56" s="352"/>
      <c r="DS56" s="542"/>
      <c r="DT56" s="351"/>
      <c r="DU56" s="351"/>
      <c r="DV56" s="351"/>
      <c r="DW56" s="352"/>
      <c r="DX56" s="542"/>
      <c r="DY56" s="16"/>
      <c r="DZ56" s="21"/>
      <c r="EA56" s="21"/>
      <c r="EB56" s="266"/>
      <c r="EC56" s="312"/>
      <c r="ED56" s="312"/>
      <c r="EE56" s="312"/>
      <c r="EF56" s="312"/>
      <c r="EG56" s="312"/>
      <c r="EH56" s="312"/>
      <c r="EI56" s="312"/>
      <c r="EJ56" s="312"/>
      <c r="EK56" s="312"/>
      <c r="EL56" s="359"/>
      <c r="EM56" s="16"/>
      <c r="EN56" s="16"/>
      <c r="EU56" s="16"/>
      <c r="EV56" s="16"/>
      <c r="EW56" s="16"/>
      <c r="EX56" s="16"/>
      <c r="EY56" s="16"/>
      <c r="EZ56" s="16"/>
      <c r="FA56" s="16"/>
      <c r="FB56" s="16"/>
      <c r="FC56" s="16"/>
      <c r="FD56" s="16"/>
      <c r="FE56" s="16"/>
      <c r="FF56" s="16"/>
      <c r="FG56" s="16"/>
      <c r="FH56" s="16"/>
      <c r="FI56" s="16"/>
      <c r="FJ56" s="16"/>
    </row>
    <row r="57" spans="1:166" x14ac:dyDescent="0.2">
      <c r="A57" s="497" t="s">
        <v>351</v>
      </c>
      <c r="B57" s="215"/>
      <c r="C57" s="65"/>
      <c r="D57" s="216"/>
      <c r="E57" s="65"/>
      <c r="F57" s="65"/>
      <c r="G57" s="215"/>
      <c r="H57" s="65"/>
      <c r="I57" s="216"/>
      <c r="J57" s="65"/>
      <c r="K57" s="65"/>
      <c r="L57" s="215"/>
      <c r="M57" s="65"/>
      <c r="N57" s="65"/>
      <c r="O57" s="65"/>
      <c r="P57" s="65"/>
      <c r="Q57" s="337" t="s">
        <v>361</v>
      </c>
      <c r="R57" s="262"/>
      <c r="S57" s="263"/>
      <c r="T57" s="263"/>
      <c r="U57" s="264"/>
      <c r="V57" s="222">
        <v>0</v>
      </c>
      <c r="W57" s="262">
        <v>1047</v>
      </c>
      <c r="X57" s="263">
        <f>1047-W57</f>
        <v>0</v>
      </c>
      <c r="Y57" s="263">
        <f>2143-X57-W57</f>
        <v>1096</v>
      </c>
      <c r="Z57" s="257">
        <f t="shared" ref="Z57:Z67" si="161">AA57-Y57-X57-W57</f>
        <v>0</v>
      </c>
      <c r="AA57" s="222">
        <v>2143</v>
      </c>
      <c r="AB57" s="262">
        <v>0</v>
      </c>
      <c r="AC57" s="263">
        <f>1-AB57</f>
        <v>1</v>
      </c>
      <c r="AD57" s="263">
        <f>1-AC57-AB57</f>
        <v>0</v>
      </c>
      <c r="AE57" s="264">
        <f t="shared" ref="AE57:AE67" si="162">AF57-AD57-AC57-AB57</f>
        <v>0</v>
      </c>
      <c r="AF57" s="215">
        <v>1</v>
      </c>
      <c r="AG57" s="262">
        <v>0</v>
      </c>
      <c r="AH57" s="263">
        <v>0</v>
      </c>
      <c r="AI57" s="263">
        <v>0</v>
      </c>
      <c r="AJ57" s="264">
        <f t="shared" ref="AJ57:AJ67" si="163">AK57-AI57-AH57-AG57</f>
        <v>50</v>
      </c>
      <c r="AK57" s="215">
        <v>50</v>
      </c>
      <c r="AL57" s="65">
        <v>94</v>
      </c>
      <c r="AM57" s="65">
        <f>94-AL57</f>
        <v>0</v>
      </c>
      <c r="AN57" s="65">
        <f>94-AM57-AL57</f>
        <v>0</v>
      </c>
      <c r="AO57" s="65">
        <f t="shared" ref="AO57:AO67" si="164">AP57-AN57-AM57-AL57</f>
        <v>0.29999999999999716</v>
      </c>
      <c r="AP57" s="641">
        <v>94.3</v>
      </c>
      <c r="AQ57" s="65">
        <v>24.7</v>
      </c>
      <c r="AR57" s="65">
        <f>29.5-AQ57</f>
        <v>4.8000000000000007</v>
      </c>
      <c r="AS57" s="65">
        <f>38.5-AR57-AQ57</f>
        <v>9.0000000000000036</v>
      </c>
      <c r="AT57" s="65">
        <f>38.5-AS57-AR57-AQ57</f>
        <v>0</v>
      </c>
      <c r="AU57" s="215">
        <f t="shared" ref="AU57:AU69" si="165">SUM(AQ57:AT57)</f>
        <v>38.5</v>
      </c>
      <c r="AV57" s="279"/>
      <c r="AW57" s="65">
        <f>AS57</f>
        <v>9.0000000000000036</v>
      </c>
      <c r="AX57" s="65">
        <f>AT57</f>
        <v>0</v>
      </c>
      <c r="AY57" s="65">
        <v>0</v>
      </c>
      <c r="AZ57" s="65">
        <v>2637.1</v>
      </c>
      <c r="BA57" s="215">
        <f t="shared" ref="BA57:BA69" si="166">SUM(AW57:AZ57)</f>
        <v>2646.1</v>
      </c>
      <c r="BB57" s="65">
        <v>1857.6</v>
      </c>
      <c r="BC57" s="65">
        <f>1860+401.5-BB57</f>
        <v>403.90000000000009</v>
      </c>
      <c r="BD57" s="65">
        <f>1860+401.5-SUM(BB57:BC57)</f>
        <v>0</v>
      </c>
      <c r="BE57" s="65">
        <f>1860+401.5-SUM(BB57:BD57)</f>
        <v>0</v>
      </c>
      <c r="BF57" s="641">
        <f t="shared" ref="BF57:BF67" si="167">SUM(BB57:BE57)</f>
        <v>2261.5</v>
      </c>
      <c r="BG57" s="65">
        <v>0</v>
      </c>
      <c r="BH57" s="65">
        <f>0-BG57</f>
        <v>0</v>
      </c>
      <c r="BI57" s="65">
        <f>1733.5-SUM(BG57:BH57)</f>
        <v>1733.5</v>
      </c>
      <c r="BJ57" s="65">
        <f t="shared" ref="BJ57:BJ67" si="168">BK57-SUM(BG57:BI57)</f>
        <v>0</v>
      </c>
      <c r="BK57" s="641">
        <v>1733.5</v>
      </c>
      <c r="BL57" s="65">
        <v>0</v>
      </c>
      <c r="BM57" s="65">
        <v>0</v>
      </c>
      <c r="BN57" s="65">
        <v>0</v>
      </c>
      <c r="BO57" s="65">
        <f t="shared" ref="BO57:BO67" si="169">BP57-SUM(BL57:BN57)</f>
        <v>0</v>
      </c>
      <c r="BP57" s="215">
        <v>0</v>
      </c>
      <c r="BQ57" s="65">
        <v>0</v>
      </c>
      <c r="BR57" s="65">
        <v>0</v>
      </c>
      <c r="BS57" s="65">
        <v>0</v>
      </c>
      <c r="BT57" s="65">
        <f>BU57-SUM(BQ57:BS57)</f>
        <v>8932.5</v>
      </c>
      <c r="BU57" s="641">
        <f>6682.5+2250</f>
        <v>8932.5</v>
      </c>
      <c r="BV57" s="65">
        <v>0</v>
      </c>
      <c r="BW57" s="1385">
        <f>1250-BV57</f>
        <v>1250</v>
      </c>
      <c r="BX57" s="65">
        <f>1250-BW57-BV57</f>
        <v>0</v>
      </c>
      <c r="BY57" s="65">
        <f>BZ57-SUM(BV57:BX57)</f>
        <v>0</v>
      </c>
      <c r="BZ57" s="641">
        <v>1250</v>
      </c>
      <c r="CA57" s="1201">
        <v>0</v>
      </c>
      <c r="CB57" s="65">
        <f>0-CA57</f>
        <v>0</v>
      </c>
      <c r="CC57" s="65">
        <v>0</v>
      </c>
      <c r="CD57" s="65">
        <v>0</v>
      </c>
      <c r="CE57" s="641">
        <f t="shared" ref="CE57:CE67" si="170">SUM(CA57:CD57)</f>
        <v>0</v>
      </c>
      <c r="CF57" s="65">
        <v>1300</v>
      </c>
      <c r="CG57" s="65">
        <f>3050-CF57</f>
        <v>1750</v>
      </c>
      <c r="CH57" s="65">
        <f>4350-SUM(CF57:CG57)</f>
        <v>1300</v>
      </c>
      <c r="CI57" s="65">
        <f t="shared" ref="CI57:CI67" si="171">CJ57-CH57-CF57-CG57</f>
        <v>1500</v>
      </c>
      <c r="CJ57" s="641">
        <v>5850</v>
      </c>
      <c r="CK57" s="65">
        <v>0</v>
      </c>
      <c r="CL57" s="217">
        <v>0</v>
      </c>
      <c r="CM57" s="217">
        <v>0</v>
      </c>
      <c r="CN57" s="217">
        <v>0</v>
      </c>
      <c r="CO57" s="538">
        <f t="shared" ref="CO57:CO67" si="172">SUM(CK57:CN57)</f>
        <v>0</v>
      </c>
      <c r="CP57" s="217">
        <v>0</v>
      </c>
      <c r="CQ57" s="217">
        <v>0</v>
      </c>
      <c r="CR57" s="217">
        <v>0</v>
      </c>
      <c r="CS57" s="217">
        <v>0</v>
      </c>
      <c r="CT57" s="538">
        <f t="shared" ref="CT57:CT67" si="173">SUM(CP57:CS57)</f>
        <v>0</v>
      </c>
      <c r="CU57" s="217">
        <v>0</v>
      </c>
      <c r="CV57" s="217">
        <v>0</v>
      </c>
      <c r="CW57" s="217">
        <v>0</v>
      </c>
      <c r="CX57" s="217">
        <v>0</v>
      </c>
      <c r="CY57" s="538">
        <f t="shared" ref="CY57:CY67" si="174">SUM(CU57:CX57)</f>
        <v>0</v>
      </c>
      <c r="CZ57" s="217">
        <v>0</v>
      </c>
      <c r="DA57" s="217">
        <v>0</v>
      </c>
      <c r="DB57" s="217">
        <v>0</v>
      </c>
      <c r="DC57" s="217">
        <v>0</v>
      </c>
      <c r="DD57" s="538">
        <f t="shared" ref="DD57:DD67" si="175">SUM(CZ57:DC57)</f>
        <v>0</v>
      </c>
      <c r="DE57" s="217">
        <v>0</v>
      </c>
      <c r="DF57" s="217">
        <v>0</v>
      </c>
      <c r="DG57" s="217">
        <v>0</v>
      </c>
      <c r="DH57" s="217">
        <v>0</v>
      </c>
      <c r="DI57" s="538">
        <f t="shared" ref="DI57:DI67" si="176">SUM(DE57:DH57)</f>
        <v>0</v>
      </c>
      <c r="DJ57" s="217">
        <v>0</v>
      </c>
      <c r="DK57" s="217">
        <v>0</v>
      </c>
      <c r="DL57" s="217">
        <v>0</v>
      </c>
      <c r="DM57" s="217">
        <v>0</v>
      </c>
      <c r="DN57" s="538">
        <f t="shared" ref="DN57:DN67" si="177">SUM(DJ57:DM57)</f>
        <v>0</v>
      </c>
      <c r="DO57" s="217">
        <v>0</v>
      </c>
      <c r="DP57" s="217">
        <v>0</v>
      </c>
      <c r="DQ57" s="217">
        <v>0</v>
      </c>
      <c r="DR57" s="217">
        <v>0</v>
      </c>
      <c r="DS57" s="538">
        <f t="shared" ref="DS57:DS67" si="178">SUM(DO57:DR57)</f>
        <v>0</v>
      </c>
      <c r="DT57" s="217">
        <v>0</v>
      </c>
      <c r="DU57" s="217">
        <v>0</v>
      </c>
      <c r="DV57" s="217">
        <v>0</v>
      </c>
      <c r="DW57" s="217">
        <v>0</v>
      </c>
      <c r="DX57" s="538">
        <f t="shared" ref="DX57:DX59" si="179">SUM(DT57:DW57)</f>
        <v>0</v>
      </c>
      <c r="DY57" s="16"/>
      <c r="DZ57" s="21"/>
      <c r="EA57" s="21"/>
      <c r="EB57" s="266">
        <f t="shared" si="154"/>
        <v>1097</v>
      </c>
      <c r="EC57" s="312">
        <f t="shared" si="155"/>
        <v>0</v>
      </c>
      <c r="ED57" s="312">
        <f t="shared" si="156"/>
        <v>144</v>
      </c>
      <c r="EE57" s="312">
        <f t="shared" si="157"/>
        <v>29.799999999999997</v>
      </c>
      <c r="EF57" s="312">
        <f t="shared" si="158"/>
        <v>2646.1</v>
      </c>
      <c r="EG57" s="312">
        <f t="shared" si="159"/>
        <v>2261.5</v>
      </c>
      <c r="EH57" s="312">
        <f t="shared" si="160"/>
        <v>1733.5</v>
      </c>
      <c r="EI57" s="312">
        <f t="shared" ref="EI57:EI69" si="180">BP57</f>
        <v>0</v>
      </c>
      <c r="EJ57" s="312">
        <f t="shared" ref="EJ57:EJ69" si="181">BU57</f>
        <v>8932.5</v>
      </c>
      <c r="EK57" s="312">
        <f t="shared" ref="EK57:EK69" si="182">BZ57</f>
        <v>1250</v>
      </c>
      <c r="EL57" s="359">
        <f t="shared" ref="EL57:EL69" si="183">CE57</f>
        <v>0</v>
      </c>
      <c r="EM57" s="16"/>
      <c r="EN57" s="16"/>
      <c r="EU57" s="16"/>
      <c r="EV57" s="16"/>
      <c r="EW57" s="16"/>
      <c r="EX57" s="16"/>
      <c r="EY57" s="16"/>
      <c r="EZ57" s="16"/>
      <c r="FA57" s="16"/>
      <c r="FB57" s="16"/>
      <c r="FC57" s="16"/>
      <c r="FD57" s="16"/>
      <c r="FE57" s="16"/>
      <c r="FF57" s="16"/>
      <c r="FG57" s="16"/>
      <c r="FH57" s="16"/>
      <c r="FI57" s="16"/>
      <c r="FJ57" s="16"/>
    </row>
    <row r="58" spans="1:166" x14ac:dyDescent="0.2">
      <c r="A58" s="497" t="s">
        <v>352</v>
      </c>
      <c r="B58" s="215"/>
      <c r="C58" s="65"/>
      <c r="D58" s="216"/>
      <c r="E58" s="65"/>
      <c r="F58" s="65"/>
      <c r="G58" s="215"/>
      <c r="H58" s="65"/>
      <c r="I58" s="216"/>
      <c r="J58" s="65"/>
      <c r="K58" s="65"/>
      <c r="L58" s="215"/>
      <c r="M58" s="65"/>
      <c r="N58" s="65"/>
      <c r="O58" s="65"/>
      <c r="P58" s="65"/>
      <c r="Q58" s="337">
        <v>-3</v>
      </c>
      <c r="R58" s="262"/>
      <c r="S58" s="263"/>
      <c r="T58" s="263"/>
      <c r="U58" s="264"/>
      <c r="V58" s="222">
        <v>-3</v>
      </c>
      <c r="W58" s="262">
        <v>-1224</v>
      </c>
      <c r="X58" s="263">
        <f>-1229-W58</f>
        <v>-5</v>
      </c>
      <c r="Y58" s="263">
        <f>-1978-X58-W58</f>
        <v>-749</v>
      </c>
      <c r="Z58" s="257">
        <f t="shared" si="161"/>
        <v>-351</v>
      </c>
      <c r="AA58" s="222">
        <v>-2329</v>
      </c>
      <c r="AB58" s="262">
        <v>-51</v>
      </c>
      <c r="AC58" s="263">
        <f>-103-AB58</f>
        <v>-52</v>
      </c>
      <c r="AD58" s="263">
        <f>-130-AC58-AB58</f>
        <v>-27</v>
      </c>
      <c r="AE58" s="264">
        <f t="shared" si="162"/>
        <v>-1</v>
      </c>
      <c r="AF58" s="215">
        <v>-131</v>
      </c>
      <c r="AG58" s="262">
        <v>-27</v>
      </c>
      <c r="AH58" s="263">
        <f>-53-AG58</f>
        <v>-26</v>
      </c>
      <c r="AI58" s="263">
        <f>-54-AH58-AG58</f>
        <v>-1</v>
      </c>
      <c r="AJ58" s="263">
        <f t="shared" si="163"/>
        <v>-2</v>
      </c>
      <c r="AK58" s="215">
        <v>-56</v>
      </c>
      <c r="AL58" s="65">
        <f>-1-65</f>
        <v>-66</v>
      </c>
      <c r="AM58" s="65">
        <f>-2-AL58-65</f>
        <v>-1</v>
      </c>
      <c r="AN58" s="65">
        <f>-4-AM58-AL58-104</f>
        <v>-41</v>
      </c>
      <c r="AO58" s="65">
        <f t="shared" si="164"/>
        <v>-43.700000000000017</v>
      </c>
      <c r="AP58" s="641">
        <f>-7.4-144.3</f>
        <v>-151.70000000000002</v>
      </c>
      <c r="AQ58" s="65">
        <f>-16.8-9.9</f>
        <v>-26.700000000000003</v>
      </c>
      <c r="AR58" s="65">
        <f>-33.7-29.5-AQ58</f>
        <v>-36.5</v>
      </c>
      <c r="AS58" s="65">
        <f>-50.7-38.5-AR58-AQ58</f>
        <v>-26</v>
      </c>
      <c r="AT58" s="65">
        <f>-106.2-AS58-AR58-AQ58</f>
        <v>-17</v>
      </c>
      <c r="AU58" s="215">
        <f t="shared" si="165"/>
        <v>-106.2</v>
      </c>
      <c r="AV58" s="157"/>
      <c r="AW58" s="65">
        <f t="shared" ref="AW58:AW69" si="184">AS58</f>
        <v>-26</v>
      </c>
      <c r="AX58" s="65">
        <f t="shared" ref="AX58:AX69" si="185">AT58</f>
        <v>-17</v>
      </c>
      <c r="AY58" s="65">
        <v>-23.2</v>
      </c>
      <c r="AZ58" s="65">
        <v>-735.3</v>
      </c>
      <c r="BA58" s="215">
        <f t="shared" si="166"/>
        <v>-801.5</v>
      </c>
      <c r="BB58" s="65">
        <v>-1844</v>
      </c>
      <c r="BC58" s="65">
        <f>-1852.4-BB58</f>
        <v>-8.4000000000000909</v>
      </c>
      <c r="BD58" s="65">
        <f>-1866.3-SUM(BB58:BC58)</f>
        <v>-13.899999999999864</v>
      </c>
      <c r="BE58" s="65">
        <f>-1874.5-SUM(BB58:BD58)</f>
        <v>-8.2000000000000455</v>
      </c>
      <c r="BF58" s="641">
        <f t="shared" si="167"/>
        <v>-1874.5</v>
      </c>
      <c r="BG58" s="65">
        <v>-11.5</v>
      </c>
      <c r="BH58" s="65">
        <f>-19-BG58</f>
        <v>-7.5</v>
      </c>
      <c r="BI58" s="65">
        <f>-1754.7-SUM(BG58:BH58)</f>
        <v>-1735.7</v>
      </c>
      <c r="BJ58" s="65">
        <f t="shared" si="168"/>
        <v>-12.099999999999909</v>
      </c>
      <c r="BK58" s="641">
        <v>-1766.8</v>
      </c>
      <c r="BL58" s="65">
        <v>-13.2</v>
      </c>
      <c r="BM58" s="65">
        <f>-25.3-BL58</f>
        <v>-12.100000000000001</v>
      </c>
      <c r="BN58" s="65">
        <f>-38.1-SUM(BL58:BM58)</f>
        <v>-12.8</v>
      </c>
      <c r="BO58" s="65">
        <f t="shared" si="169"/>
        <v>-19.100000000000001</v>
      </c>
      <c r="BP58" s="215">
        <v>-57.2</v>
      </c>
      <c r="BQ58" s="65">
        <v>-19.100000000000001</v>
      </c>
      <c r="BR58" s="65">
        <f>-38.3-BQ58</f>
        <v>-19.199999999999996</v>
      </c>
      <c r="BS58" s="65">
        <f>-57.3-BR58-BQ58</f>
        <v>-19</v>
      </c>
      <c r="BT58" s="65">
        <f t="shared" ref="BT58:BT67" si="186">BU58-SUM(BQ58:BS58)</f>
        <v>-3044.7</v>
      </c>
      <c r="BU58" s="641">
        <v>-3102</v>
      </c>
      <c r="BV58" s="65">
        <v>-1020.6</v>
      </c>
      <c r="BW58" s="1385">
        <f>-2592.4-BV58</f>
        <v>-1571.8000000000002</v>
      </c>
      <c r="BX58" s="65">
        <f>-2610.6-BW58-BV58</f>
        <v>-18.199999999999704</v>
      </c>
      <c r="BY58" s="65">
        <f t="shared" ref="BY58:BY68" si="187">BZ58-SUM(BV58:BX58)</f>
        <v>-17.200000000000273</v>
      </c>
      <c r="BZ58" s="641">
        <v>-2627.8</v>
      </c>
      <c r="CA58" s="1201">
        <v>-17.2</v>
      </c>
      <c r="CB58" s="65">
        <f>-34.6-CA58</f>
        <v>-17.400000000000002</v>
      </c>
      <c r="CC58" s="65">
        <f>-52.7-CB58-CA58</f>
        <v>-18.099999999999998</v>
      </c>
      <c r="CD58" s="65">
        <f>CE58-CC58-CB58-CA58</f>
        <v>-17.000000000000004</v>
      </c>
      <c r="CE58" s="641">
        <v>-69.7</v>
      </c>
      <c r="CF58" s="65">
        <v>-319.89999999999998</v>
      </c>
      <c r="CG58" s="65">
        <f>-377.7-CF58</f>
        <v>-57.800000000000011</v>
      </c>
      <c r="CH58" s="65">
        <f>-1690-SUM(CF58:CG58)</f>
        <v>-1312.3</v>
      </c>
      <c r="CI58" s="65">
        <f t="shared" si="171"/>
        <v>-1051.5000000000002</v>
      </c>
      <c r="CJ58" s="641">
        <v>-2741.5</v>
      </c>
      <c r="CK58" s="65">
        <v>-21.7</v>
      </c>
      <c r="CL58" s="217">
        <f>-BS!CL127</f>
        <v>-16.875</v>
      </c>
      <c r="CM58" s="217">
        <f>-BS!CM127</f>
        <v>-16.875</v>
      </c>
      <c r="CN58" s="217">
        <f>-BS!CN127</f>
        <v>-16.875</v>
      </c>
      <c r="CO58" s="538">
        <f t="shared" si="172"/>
        <v>-72.325000000000003</v>
      </c>
      <c r="CP58" s="217">
        <f>-BS!CP127</f>
        <v>-16.875</v>
      </c>
      <c r="CQ58" s="217">
        <f>-BS!CQ127</f>
        <v>-16.875</v>
      </c>
      <c r="CR58" s="217">
        <f>-BS!CR127</f>
        <v>-16.875</v>
      </c>
      <c r="CS58" s="217">
        <f>-BS!CS127</f>
        <v>-16.875</v>
      </c>
      <c r="CT58" s="538">
        <f t="shared" si="173"/>
        <v>-67.5</v>
      </c>
      <c r="CU58" s="217">
        <f>-BS!CU127</f>
        <v>-16.875</v>
      </c>
      <c r="CV58" s="217">
        <f>-BS!CV127</f>
        <v>-16.875</v>
      </c>
      <c r="CW58" s="217">
        <f>-BS!CW127</f>
        <v>-16.875</v>
      </c>
      <c r="CX58" s="217">
        <f>-BS!CX127</f>
        <v>-16.875</v>
      </c>
      <c r="CY58" s="538">
        <f t="shared" si="174"/>
        <v>-67.5</v>
      </c>
      <c r="CZ58" s="217">
        <f>-BS!CZ127</f>
        <v>-16.875</v>
      </c>
      <c r="DA58" s="217">
        <f>-BS!DA127</f>
        <v>-16.875</v>
      </c>
      <c r="DB58" s="217">
        <f>-BS!DB127</f>
        <v>-16.875</v>
      </c>
      <c r="DC58" s="217">
        <f>-BS!DC127</f>
        <v>-633.35000000000036</v>
      </c>
      <c r="DD58" s="538">
        <f t="shared" si="175"/>
        <v>-683.97500000000036</v>
      </c>
      <c r="DE58" s="217">
        <f>-BS!DE127</f>
        <v>-13.75</v>
      </c>
      <c r="DF58" s="217">
        <f>-BS!DF127</f>
        <v>-13.75</v>
      </c>
      <c r="DG58" s="217">
        <f>-BS!DG127</f>
        <v>-13.75</v>
      </c>
      <c r="DH58" s="217">
        <f>-BS!DH127</f>
        <v>-13.75</v>
      </c>
      <c r="DI58" s="538">
        <f t="shared" si="176"/>
        <v>-55</v>
      </c>
      <c r="DJ58" s="217">
        <f>-BS!DJ127</f>
        <v>-13.75</v>
      </c>
      <c r="DK58" s="217">
        <f>-BS!DK127</f>
        <v>-13.75</v>
      </c>
      <c r="DL58" s="217">
        <f>-BS!DL127</f>
        <v>-13.75</v>
      </c>
      <c r="DM58" s="217">
        <f>-BS!DM127</f>
        <v>-13.75</v>
      </c>
      <c r="DN58" s="538">
        <f t="shared" si="177"/>
        <v>-55</v>
      </c>
      <c r="DO58" s="217">
        <f>-BS!DO127</f>
        <v>-13.75</v>
      </c>
      <c r="DP58" s="217">
        <f>-BS!DP127</f>
        <v>-13.75</v>
      </c>
      <c r="DQ58" s="217">
        <f>-BS!DQ127</f>
        <v>-13.75</v>
      </c>
      <c r="DR58" s="217">
        <f>-BS!DR127</f>
        <v>-13.75</v>
      </c>
      <c r="DS58" s="538">
        <f t="shared" si="178"/>
        <v>-55</v>
      </c>
      <c r="DT58" s="217">
        <f>-BS!DT127</f>
        <v>-13.75</v>
      </c>
      <c r="DU58" s="217">
        <f>-BS!DU127</f>
        <v>-13.75</v>
      </c>
      <c r="DV58" s="217">
        <f>-BS!DV127</f>
        <v>-13.75</v>
      </c>
      <c r="DW58" s="217">
        <f>-BS!DW127</f>
        <v>-13.75</v>
      </c>
      <c r="DX58" s="538">
        <f t="shared" si="179"/>
        <v>-55</v>
      </c>
      <c r="DY58" s="16"/>
      <c r="DZ58" s="21"/>
      <c r="EA58" s="21"/>
      <c r="EB58" s="266">
        <f t="shared" si="154"/>
        <v>-1203</v>
      </c>
      <c r="EC58" s="312">
        <f t="shared" si="155"/>
        <v>-81</v>
      </c>
      <c r="ED58" s="312">
        <f t="shared" si="156"/>
        <v>-70</v>
      </c>
      <c r="EE58" s="312">
        <f t="shared" si="157"/>
        <v>-147.90000000000003</v>
      </c>
      <c r="EF58" s="312">
        <f t="shared" si="158"/>
        <v>-801.5</v>
      </c>
      <c r="EG58" s="312">
        <f t="shared" si="159"/>
        <v>-1874.5</v>
      </c>
      <c r="EH58" s="312">
        <f t="shared" si="160"/>
        <v>-1766.8</v>
      </c>
      <c r="EI58" s="312">
        <f t="shared" si="180"/>
        <v>-57.2</v>
      </c>
      <c r="EJ58" s="312">
        <f t="shared" si="181"/>
        <v>-3102</v>
      </c>
      <c r="EK58" s="312">
        <f t="shared" si="182"/>
        <v>-2627.8</v>
      </c>
      <c r="EL58" s="359">
        <f t="shared" si="183"/>
        <v>-69.7</v>
      </c>
      <c r="EM58" s="16"/>
      <c r="EN58" s="16"/>
      <c r="EU58" s="16"/>
      <c r="EV58" s="16"/>
      <c r="EW58" s="16"/>
      <c r="EX58" s="16"/>
      <c r="EY58" s="16"/>
      <c r="EZ58" s="16"/>
      <c r="FA58" s="16"/>
      <c r="FB58" s="16"/>
      <c r="FC58" s="16"/>
      <c r="FD58" s="16"/>
      <c r="FE58" s="16"/>
      <c r="FF58" s="16"/>
      <c r="FG58" s="16"/>
      <c r="FH58" s="16"/>
      <c r="FI58" s="16"/>
      <c r="FJ58" s="16"/>
    </row>
    <row r="59" spans="1:166" x14ac:dyDescent="0.2">
      <c r="A59" s="497" t="s">
        <v>626</v>
      </c>
      <c r="B59" s="215"/>
      <c r="C59" s="65"/>
      <c r="D59" s="216"/>
      <c r="E59" s="65"/>
      <c r="F59" s="65"/>
      <c r="G59" s="215"/>
      <c r="H59" s="65"/>
      <c r="I59" s="216"/>
      <c r="J59" s="65"/>
      <c r="K59" s="65"/>
      <c r="L59" s="215"/>
      <c r="M59" s="65"/>
      <c r="N59" s="65"/>
      <c r="O59" s="65"/>
      <c r="P59" s="65"/>
      <c r="Q59" s="337"/>
      <c r="R59" s="262"/>
      <c r="S59" s="263"/>
      <c r="T59" s="263"/>
      <c r="U59" s="264"/>
      <c r="V59" s="222"/>
      <c r="W59" s="262"/>
      <c r="X59" s="263"/>
      <c r="Y59" s="263"/>
      <c r="Z59" s="257"/>
      <c r="AA59" s="222"/>
      <c r="AB59" s="262"/>
      <c r="AC59" s="263"/>
      <c r="AD59" s="263"/>
      <c r="AE59" s="264"/>
      <c r="AF59" s="215"/>
      <c r="AG59" s="262"/>
      <c r="AH59" s="263"/>
      <c r="AI59" s="263"/>
      <c r="AJ59" s="263"/>
      <c r="AK59" s="215"/>
      <c r="AL59" s="65"/>
      <c r="AM59" s="65"/>
      <c r="AN59" s="65"/>
      <c r="AO59" s="65"/>
      <c r="AP59" s="641"/>
      <c r="AQ59" s="65"/>
      <c r="AR59" s="65"/>
      <c r="AS59" s="65"/>
      <c r="AT59" s="65"/>
      <c r="AU59" s="215">
        <f t="shared" si="165"/>
        <v>0</v>
      </c>
      <c r="AV59" s="243"/>
      <c r="AW59" s="65">
        <f t="shared" si="184"/>
        <v>0</v>
      </c>
      <c r="AX59" s="65">
        <f t="shared" si="185"/>
        <v>0</v>
      </c>
      <c r="AY59" s="65"/>
      <c r="AZ59" s="65">
        <v>0</v>
      </c>
      <c r="BA59" s="215">
        <f t="shared" si="166"/>
        <v>0</v>
      </c>
      <c r="BB59" s="65">
        <v>0</v>
      </c>
      <c r="BC59" s="65">
        <f>0-BB59</f>
        <v>0</v>
      </c>
      <c r="BD59" s="65">
        <f>0-SUM(BB59:BC59)</f>
        <v>0</v>
      </c>
      <c r="BE59" s="65">
        <f>-70.6-SUM(BB59:BD59)</f>
        <v>-70.599999999999994</v>
      </c>
      <c r="BF59" s="641">
        <f t="shared" si="167"/>
        <v>-70.599999999999994</v>
      </c>
      <c r="BG59" s="65">
        <v>-37.700000000000003</v>
      </c>
      <c r="BH59" s="65">
        <f>-105.9-BG59</f>
        <v>-68.2</v>
      </c>
      <c r="BI59" s="65">
        <f>-112.8-SUM(BG59:BH59)</f>
        <v>-6.8999999999999915</v>
      </c>
      <c r="BJ59" s="65">
        <f t="shared" si="168"/>
        <v>0</v>
      </c>
      <c r="BK59" s="641">
        <v>-112.8</v>
      </c>
      <c r="BL59" s="65">
        <v>0</v>
      </c>
      <c r="BM59" s="65">
        <v>0</v>
      </c>
      <c r="BN59" s="65">
        <v>0</v>
      </c>
      <c r="BO59" s="65">
        <f t="shared" si="169"/>
        <v>0</v>
      </c>
      <c r="BP59" s="215">
        <v>0</v>
      </c>
      <c r="BQ59" s="65">
        <v>0</v>
      </c>
      <c r="BR59" s="65">
        <v>0</v>
      </c>
      <c r="BS59" s="65">
        <v>0</v>
      </c>
      <c r="BT59" s="65">
        <f t="shared" si="186"/>
        <v>0</v>
      </c>
      <c r="BU59" s="641">
        <v>0</v>
      </c>
      <c r="BV59" s="65">
        <v>0</v>
      </c>
      <c r="BW59" s="1385">
        <v>0</v>
      </c>
      <c r="BX59" s="65">
        <v>0</v>
      </c>
      <c r="BY59" s="65">
        <f t="shared" si="187"/>
        <v>0</v>
      </c>
      <c r="BZ59" s="641">
        <v>0</v>
      </c>
      <c r="CA59" s="1201">
        <v>0</v>
      </c>
      <c r="CB59" s="65">
        <v>0</v>
      </c>
      <c r="CC59" s="65">
        <v>0</v>
      </c>
      <c r="CD59" s="65">
        <v>0</v>
      </c>
      <c r="CE59" s="641">
        <f t="shared" si="170"/>
        <v>0</v>
      </c>
      <c r="CF59" s="65">
        <v>0</v>
      </c>
      <c r="CG59" s="65">
        <v>0</v>
      </c>
      <c r="CH59" s="65">
        <v>0</v>
      </c>
      <c r="CI59" s="65">
        <f t="shared" si="171"/>
        <v>0</v>
      </c>
      <c r="CJ59" s="641">
        <v>0</v>
      </c>
      <c r="CK59" s="65">
        <v>0</v>
      </c>
      <c r="CL59" s="217">
        <v>0</v>
      </c>
      <c r="CM59" s="217">
        <v>0</v>
      </c>
      <c r="CN59" s="217">
        <v>0</v>
      </c>
      <c r="CO59" s="538">
        <f t="shared" si="172"/>
        <v>0</v>
      </c>
      <c r="CP59" s="217">
        <v>0</v>
      </c>
      <c r="CQ59" s="217">
        <v>0</v>
      </c>
      <c r="CR59" s="217">
        <v>0</v>
      </c>
      <c r="CS59" s="217">
        <v>0</v>
      </c>
      <c r="CT59" s="538">
        <f t="shared" si="173"/>
        <v>0</v>
      </c>
      <c r="CU59" s="217">
        <v>0</v>
      </c>
      <c r="CV59" s="217">
        <v>0</v>
      </c>
      <c r="CW59" s="217">
        <v>0</v>
      </c>
      <c r="CX59" s="217">
        <v>0</v>
      </c>
      <c r="CY59" s="538">
        <f t="shared" si="174"/>
        <v>0</v>
      </c>
      <c r="CZ59" s="217">
        <v>0</v>
      </c>
      <c r="DA59" s="217">
        <v>0</v>
      </c>
      <c r="DB59" s="217">
        <v>0</v>
      </c>
      <c r="DC59" s="217">
        <v>0</v>
      </c>
      <c r="DD59" s="538">
        <f t="shared" si="175"/>
        <v>0</v>
      </c>
      <c r="DE59" s="217">
        <v>0</v>
      </c>
      <c r="DF59" s="217">
        <v>0</v>
      </c>
      <c r="DG59" s="217">
        <v>0</v>
      </c>
      <c r="DH59" s="217">
        <v>0</v>
      </c>
      <c r="DI59" s="538">
        <f t="shared" si="176"/>
        <v>0</v>
      </c>
      <c r="DJ59" s="217">
        <v>0</v>
      </c>
      <c r="DK59" s="217">
        <v>0</v>
      </c>
      <c r="DL59" s="217">
        <v>0</v>
      </c>
      <c r="DM59" s="217">
        <v>0</v>
      </c>
      <c r="DN59" s="538">
        <f t="shared" si="177"/>
        <v>0</v>
      </c>
      <c r="DO59" s="217">
        <v>0</v>
      </c>
      <c r="DP59" s="217">
        <v>0</v>
      </c>
      <c r="DQ59" s="217">
        <v>0</v>
      </c>
      <c r="DR59" s="217">
        <v>0</v>
      </c>
      <c r="DS59" s="538">
        <f t="shared" si="178"/>
        <v>0</v>
      </c>
      <c r="DT59" s="217">
        <v>0</v>
      </c>
      <c r="DU59" s="217">
        <v>0</v>
      </c>
      <c r="DV59" s="217">
        <v>0</v>
      </c>
      <c r="DW59" s="217">
        <v>0</v>
      </c>
      <c r="DX59" s="538">
        <f t="shared" si="179"/>
        <v>0</v>
      </c>
      <c r="DY59" s="16"/>
      <c r="DZ59" s="21"/>
      <c r="EA59" s="21"/>
      <c r="EB59" s="266">
        <f t="shared" si="154"/>
        <v>0</v>
      </c>
      <c r="EC59" s="312">
        <f t="shared" si="155"/>
        <v>0</v>
      </c>
      <c r="ED59" s="312">
        <f t="shared" si="156"/>
        <v>0</v>
      </c>
      <c r="EE59" s="312">
        <f t="shared" si="157"/>
        <v>0</v>
      </c>
      <c r="EF59" s="312">
        <f t="shared" si="158"/>
        <v>0</v>
      </c>
      <c r="EG59" s="312">
        <f t="shared" si="159"/>
        <v>-70.599999999999994</v>
      </c>
      <c r="EH59" s="312">
        <f t="shared" si="160"/>
        <v>-112.8</v>
      </c>
      <c r="EI59" s="312">
        <f t="shared" si="180"/>
        <v>0</v>
      </c>
      <c r="EJ59" s="312">
        <f t="shared" si="181"/>
        <v>0</v>
      </c>
      <c r="EK59" s="312">
        <f t="shared" si="182"/>
        <v>0</v>
      </c>
      <c r="EL59" s="359">
        <f t="shared" si="183"/>
        <v>0</v>
      </c>
      <c r="EM59" s="16"/>
      <c r="EN59" s="16"/>
      <c r="EU59" s="16"/>
      <c r="EV59" s="16"/>
      <c r="EW59" s="16"/>
      <c r="EX59" s="16"/>
      <c r="EY59" s="16"/>
      <c r="EZ59" s="16"/>
      <c r="FA59" s="16"/>
      <c r="FB59" s="16"/>
      <c r="FC59" s="16"/>
      <c r="FD59" s="16"/>
      <c r="FE59" s="16"/>
      <c r="FF59" s="16"/>
      <c r="FG59" s="16"/>
      <c r="FH59" s="16"/>
      <c r="FI59" s="16"/>
      <c r="FJ59" s="16"/>
    </row>
    <row r="60" spans="1:166" x14ac:dyDescent="0.2">
      <c r="A60" s="497" t="s">
        <v>627</v>
      </c>
      <c r="B60" s="215"/>
      <c r="C60" s="65"/>
      <c r="D60" s="216"/>
      <c r="E60" s="65"/>
      <c r="F60" s="65"/>
      <c r="G60" s="215"/>
      <c r="H60" s="65"/>
      <c r="I60" s="216"/>
      <c r="J60" s="65"/>
      <c r="K60" s="65"/>
      <c r="L60" s="215"/>
      <c r="M60" s="65"/>
      <c r="N60" s="65"/>
      <c r="O60" s="65"/>
      <c r="P60" s="65"/>
      <c r="Q60" s="337"/>
      <c r="R60" s="262"/>
      <c r="S60" s="263"/>
      <c r="T60" s="263"/>
      <c r="U60" s="264"/>
      <c r="V60" s="222"/>
      <c r="W60" s="262"/>
      <c r="X60" s="263"/>
      <c r="Y60" s="263"/>
      <c r="Z60" s="257"/>
      <c r="AA60" s="222"/>
      <c r="AB60" s="262"/>
      <c r="AC60" s="263"/>
      <c r="AD60" s="263"/>
      <c r="AE60" s="264"/>
      <c r="AF60" s="215"/>
      <c r="AG60" s="262"/>
      <c r="AH60" s="263"/>
      <c r="AI60" s="263"/>
      <c r="AJ60" s="263"/>
      <c r="AK60" s="215"/>
      <c r="AL60" s="65"/>
      <c r="AM60" s="65"/>
      <c r="AN60" s="65"/>
      <c r="AO60" s="65"/>
      <c r="AP60" s="641"/>
      <c r="AQ60" s="65"/>
      <c r="AR60" s="65"/>
      <c r="AS60" s="65"/>
      <c r="AT60" s="65"/>
      <c r="AU60" s="215"/>
      <c r="AV60" s="243"/>
      <c r="AW60" s="65"/>
      <c r="AX60" s="65"/>
      <c r="AY60" s="65"/>
      <c r="AZ60" s="65"/>
      <c r="BA60" s="215"/>
      <c r="BB60" s="65"/>
      <c r="BC60" s="65"/>
      <c r="BD60" s="65"/>
      <c r="BE60" s="65"/>
      <c r="BF60" s="641"/>
      <c r="BG60" s="65"/>
      <c r="BH60" s="65"/>
      <c r="BI60" s="65"/>
      <c r="BJ60" s="65"/>
      <c r="BK60" s="641"/>
      <c r="BL60" s="65"/>
      <c r="BM60" s="65"/>
      <c r="BN60" s="65"/>
      <c r="BO60" s="65"/>
      <c r="BP60" s="215"/>
      <c r="BQ60" s="65"/>
      <c r="BR60" s="65"/>
      <c r="BS60" s="65"/>
      <c r="BT60" s="65">
        <f t="shared" si="186"/>
        <v>2998.2</v>
      </c>
      <c r="BU60" s="641">
        <v>2998.2</v>
      </c>
      <c r="BV60" s="65">
        <v>2.1</v>
      </c>
      <c r="BW60" s="1385">
        <f>2.1-BV60</f>
        <v>0</v>
      </c>
      <c r="BX60" s="65">
        <f>2.1-BW60-BV60</f>
        <v>0</v>
      </c>
      <c r="BY60" s="65">
        <f t="shared" si="187"/>
        <v>-2.1</v>
      </c>
      <c r="BZ60" s="641">
        <v>0</v>
      </c>
      <c r="CA60" s="1201">
        <v>6.5</v>
      </c>
      <c r="CB60" s="65">
        <f>0-CA60</f>
        <v>-6.5</v>
      </c>
      <c r="CC60" s="65">
        <f>0-CB60-CA60</f>
        <v>0</v>
      </c>
      <c r="CD60" s="65">
        <v>0</v>
      </c>
      <c r="CE60" s="641">
        <f t="shared" si="170"/>
        <v>0</v>
      </c>
      <c r="CF60" s="65">
        <v>0</v>
      </c>
      <c r="CG60" s="65">
        <v>0</v>
      </c>
      <c r="CH60" s="65">
        <v>0</v>
      </c>
      <c r="CI60" s="65">
        <f t="shared" si="171"/>
        <v>-3335.8999999999996</v>
      </c>
      <c r="CJ60" s="641">
        <f>-3005.7+-330.2</f>
        <v>-3335.8999999999996</v>
      </c>
      <c r="CK60" s="65">
        <v>-33.6</v>
      </c>
      <c r="CL60" s="217"/>
      <c r="CM60" s="217"/>
      <c r="CN60" s="217"/>
      <c r="CO60" s="538">
        <f>SUM(CK60:CN60)</f>
        <v>-33.6</v>
      </c>
      <c r="CP60" s="217"/>
      <c r="CQ60" s="217"/>
      <c r="CR60" s="217"/>
      <c r="CS60" s="217"/>
      <c r="CT60" s="538"/>
      <c r="CU60" s="217"/>
      <c r="CV60" s="217"/>
      <c r="CW60" s="217"/>
      <c r="CX60" s="217"/>
      <c r="CY60" s="538"/>
      <c r="CZ60" s="217"/>
      <c r="DA60" s="217"/>
      <c r="DB60" s="217"/>
      <c r="DC60" s="217"/>
      <c r="DD60" s="538"/>
      <c r="DE60" s="217"/>
      <c r="DF60" s="217"/>
      <c r="DG60" s="217"/>
      <c r="DH60" s="217"/>
      <c r="DI60" s="538"/>
      <c r="DJ60" s="217"/>
      <c r="DK60" s="217"/>
      <c r="DL60" s="217"/>
      <c r="DM60" s="217"/>
      <c r="DN60" s="538"/>
      <c r="DO60" s="217"/>
      <c r="DP60" s="217"/>
      <c r="DQ60" s="217"/>
      <c r="DR60" s="217"/>
      <c r="DS60" s="538"/>
      <c r="DT60" s="217"/>
      <c r="DU60" s="217"/>
      <c r="DV60" s="217"/>
      <c r="DW60" s="217"/>
      <c r="DX60" s="538"/>
      <c r="DY60" s="1460"/>
      <c r="DZ60" s="1575"/>
      <c r="EA60" s="21"/>
      <c r="EB60" s="266"/>
      <c r="EC60" s="312"/>
      <c r="ED60" s="312"/>
      <c r="EE60" s="312"/>
      <c r="EF60" s="312"/>
      <c r="EG60" s="312"/>
      <c r="EH60" s="312"/>
      <c r="EI60" s="312"/>
      <c r="EJ60" s="312"/>
      <c r="EK60" s="312"/>
      <c r="EL60" s="359"/>
      <c r="EM60" s="16"/>
      <c r="EN60" s="16"/>
      <c r="EU60" s="16"/>
      <c r="EV60" s="16"/>
      <c r="EW60" s="16"/>
      <c r="EX60" s="16"/>
      <c r="EY60" s="16"/>
      <c r="EZ60" s="16"/>
      <c r="FA60" s="16"/>
      <c r="FB60" s="16"/>
      <c r="FC60" s="16"/>
      <c r="FD60" s="16"/>
      <c r="FE60" s="16"/>
      <c r="FF60" s="16"/>
      <c r="FG60" s="16"/>
      <c r="FH60" s="16"/>
      <c r="FI60" s="16"/>
      <c r="FJ60" s="16"/>
    </row>
    <row r="61" spans="1:166" x14ac:dyDescent="0.2">
      <c r="A61" s="497" t="s">
        <v>353</v>
      </c>
      <c r="B61" s="215"/>
      <c r="C61" s="65"/>
      <c r="D61" s="216"/>
      <c r="E61" s="65"/>
      <c r="F61" s="65"/>
      <c r="G61" s="215"/>
      <c r="H61" s="65"/>
      <c r="I61" s="216"/>
      <c r="J61" s="65"/>
      <c r="K61" s="65"/>
      <c r="L61" s="215"/>
      <c r="M61" s="65"/>
      <c r="N61" s="65"/>
      <c r="O61" s="65"/>
      <c r="P61" s="65"/>
      <c r="Q61" s="337" t="s">
        <v>361</v>
      </c>
      <c r="R61" s="262"/>
      <c r="S61" s="263"/>
      <c r="T61" s="263"/>
      <c r="U61" s="264"/>
      <c r="V61" s="222">
        <v>0</v>
      </c>
      <c r="W61" s="262">
        <v>-16</v>
      </c>
      <c r="X61" s="263">
        <f>-16-W61</f>
        <v>0</v>
      </c>
      <c r="Y61" s="263">
        <f>-19-X61-W61</f>
        <v>-3</v>
      </c>
      <c r="Z61" s="257">
        <f t="shared" si="161"/>
        <v>0</v>
      </c>
      <c r="AA61" s="222">
        <v>-19</v>
      </c>
      <c r="AB61" s="262">
        <v>0</v>
      </c>
      <c r="AC61" s="263">
        <v>0</v>
      </c>
      <c r="AD61" s="263">
        <f>0-AC61-AB61</f>
        <v>0</v>
      </c>
      <c r="AE61" s="264">
        <f t="shared" si="162"/>
        <v>0</v>
      </c>
      <c r="AF61" s="215">
        <v>0</v>
      </c>
      <c r="AG61" s="262">
        <v>0</v>
      </c>
      <c r="AH61" s="65">
        <v>0</v>
      </c>
      <c r="AI61" s="65">
        <v>0</v>
      </c>
      <c r="AJ61" s="65">
        <f t="shared" si="163"/>
        <v>0</v>
      </c>
      <c r="AK61" s="215">
        <v>0</v>
      </c>
      <c r="AL61" s="65">
        <v>0</v>
      </c>
      <c r="AM61" s="65">
        <v>0</v>
      </c>
      <c r="AN61" s="65">
        <v>0</v>
      </c>
      <c r="AO61" s="65">
        <f t="shared" si="164"/>
        <v>0</v>
      </c>
      <c r="AP61" s="641">
        <v>0</v>
      </c>
      <c r="AQ61" s="65">
        <v>0</v>
      </c>
      <c r="AR61" s="65">
        <v>0</v>
      </c>
      <c r="AS61" s="65">
        <v>0</v>
      </c>
      <c r="AT61" s="65">
        <f>0-AS61-AR61-AQ61</f>
        <v>0</v>
      </c>
      <c r="AU61" s="215">
        <f t="shared" si="165"/>
        <v>0</v>
      </c>
      <c r="AV61" s="243"/>
      <c r="AW61" s="65">
        <f t="shared" si="184"/>
        <v>0</v>
      </c>
      <c r="AX61" s="65">
        <f t="shared" si="185"/>
        <v>0</v>
      </c>
      <c r="AY61" s="65">
        <v>0</v>
      </c>
      <c r="AZ61" s="65">
        <v>-69.2</v>
      </c>
      <c r="BA61" s="215">
        <f t="shared" si="166"/>
        <v>-69.2</v>
      </c>
      <c r="BB61" s="65">
        <v>-23.1</v>
      </c>
      <c r="BC61" s="65">
        <f>-32.6-BB61</f>
        <v>-9.5</v>
      </c>
      <c r="BD61" s="65">
        <f>-32.6-SUM(BB61:BC61)</f>
        <v>0</v>
      </c>
      <c r="BE61" s="65">
        <f>-32.6-SUM(BB61:BD61)</f>
        <v>0</v>
      </c>
      <c r="BF61" s="641">
        <f t="shared" si="167"/>
        <v>-32.6</v>
      </c>
      <c r="BG61" s="65">
        <v>0</v>
      </c>
      <c r="BH61" s="65">
        <f t="shared" ref="BH61:BH67" si="188">0-BG61</f>
        <v>0</v>
      </c>
      <c r="BI61" s="65">
        <f>-16-SUM(BG61:BH61)</f>
        <v>-16</v>
      </c>
      <c r="BJ61" s="65">
        <f t="shared" si="168"/>
        <v>0</v>
      </c>
      <c r="BK61" s="641">
        <v>-16</v>
      </c>
      <c r="BL61" s="65">
        <v>0</v>
      </c>
      <c r="BM61" s="65">
        <v>0</v>
      </c>
      <c r="BN61" s="65">
        <v>0</v>
      </c>
      <c r="BO61" s="65">
        <f t="shared" si="169"/>
        <v>0</v>
      </c>
      <c r="BP61" s="215">
        <v>0</v>
      </c>
      <c r="BQ61" s="65">
        <v>0</v>
      </c>
      <c r="BR61" s="65">
        <v>0</v>
      </c>
      <c r="BS61" s="65">
        <v>0</v>
      </c>
      <c r="BT61" s="65">
        <f t="shared" si="186"/>
        <v>-158</v>
      </c>
      <c r="BU61" s="641">
        <v>-158</v>
      </c>
      <c r="BV61" s="65">
        <v>1.4</v>
      </c>
      <c r="BW61" s="1385">
        <f>-81.3 +-0.7-BV61</f>
        <v>-83.4</v>
      </c>
      <c r="BX61" s="65">
        <f>-81.3-BW61-BV61</f>
        <v>0.70000000000000862</v>
      </c>
      <c r="BY61" s="65">
        <f t="shared" si="187"/>
        <v>0</v>
      </c>
      <c r="BZ61" s="641">
        <v>-81.3</v>
      </c>
      <c r="CA61" s="1201">
        <v>0</v>
      </c>
      <c r="CB61" s="65">
        <f>0+1.1-CA61</f>
        <v>1.1000000000000001</v>
      </c>
      <c r="CC61" s="65">
        <f>0-CB61-CA61</f>
        <v>-1.1000000000000001</v>
      </c>
      <c r="CD61" s="65">
        <v>0</v>
      </c>
      <c r="CE61" s="641">
        <f t="shared" si="170"/>
        <v>0</v>
      </c>
      <c r="CF61" s="65">
        <v>-31.8</v>
      </c>
      <c r="CG61" s="65">
        <f>-47-CF61</f>
        <v>-15.2</v>
      </c>
      <c r="CH61" s="65">
        <f>-57-SUM(CF61:CG61)</f>
        <v>-10</v>
      </c>
      <c r="CI61" s="65">
        <f t="shared" si="171"/>
        <v>-5.8999999999999986</v>
      </c>
      <c r="CJ61" s="641">
        <v>-62.9</v>
      </c>
      <c r="CK61" s="65">
        <v>0</v>
      </c>
      <c r="CL61" s="217">
        <v>0</v>
      </c>
      <c r="CM61" s="217">
        <v>0</v>
      </c>
      <c r="CN61" s="217">
        <v>0</v>
      </c>
      <c r="CO61" s="538">
        <f t="shared" si="172"/>
        <v>0</v>
      </c>
      <c r="CP61" s="217">
        <v>0</v>
      </c>
      <c r="CQ61" s="217">
        <v>0</v>
      </c>
      <c r="CR61" s="217">
        <v>0</v>
      </c>
      <c r="CS61" s="217">
        <v>0</v>
      </c>
      <c r="CT61" s="538">
        <f t="shared" si="173"/>
        <v>0</v>
      </c>
      <c r="CU61" s="217">
        <v>0</v>
      </c>
      <c r="CV61" s="217">
        <v>0</v>
      </c>
      <c r="CW61" s="217">
        <v>0</v>
      </c>
      <c r="CX61" s="217">
        <v>0</v>
      </c>
      <c r="CY61" s="538">
        <f t="shared" si="174"/>
        <v>0</v>
      </c>
      <c r="CZ61" s="217">
        <v>0</v>
      </c>
      <c r="DA61" s="217">
        <v>0</v>
      </c>
      <c r="DB61" s="217">
        <v>0</v>
      </c>
      <c r="DC61" s="217">
        <v>0</v>
      </c>
      <c r="DD61" s="538">
        <f t="shared" si="175"/>
        <v>0</v>
      </c>
      <c r="DE61" s="217">
        <v>0</v>
      </c>
      <c r="DF61" s="217">
        <v>0</v>
      </c>
      <c r="DG61" s="217">
        <v>0</v>
      </c>
      <c r="DH61" s="217">
        <v>0</v>
      </c>
      <c r="DI61" s="538">
        <f t="shared" si="176"/>
        <v>0</v>
      </c>
      <c r="DJ61" s="217">
        <v>0</v>
      </c>
      <c r="DK61" s="217">
        <v>0</v>
      </c>
      <c r="DL61" s="217">
        <v>0</v>
      </c>
      <c r="DM61" s="217">
        <v>0</v>
      </c>
      <c r="DN61" s="538">
        <f t="shared" si="177"/>
        <v>0</v>
      </c>
      <c r="DO61" s="217">
        <v>0</v>
      </c>
      <c r="DP61" s="217">
        <v>0</v>
      </c>
      <c r="DQ61" s="217">
        <v>0</v>
      </c>
      <c r="DR61" s="217">
        <v>0</v>
      </c>
      <c r="DS61" s="538">
        <f t="shared" si="178"/>
        <v>0</v>
      </c>
      <c r="DT61" s="217">
        <v>0</v>
      </c>
      <c r="DU61" s="217">
        <v>0</v>
      </c>
      <c r="DV61" s="217">
        <v>0</v>
      </c>
      <c r="DW61" s="217">
        <v>0</v>
      </c>
      <c r="DX61" s="538">
        <f t="shared" ref="DX61:DX67" si="189">SUM(DT61:DW61)</f>
        <v>0</v>
      </c>
      <c r="DY61" s="16"/>
      <c r="DZ61" s="21"/>
      <c r="EA61" s="21"/>
      <c r="EB61" s="266">
        <f t="shared" si="154"/>
        <v>-3</v>
      </c>
      <c r="EC61" s="312">
        <f t="shared" si="155"/>
        <v>0</v>
      </c>
      <c r="ED61" s="312">
        <f t="shared" si="156"/>
        <v>0</v>
      </c>
      <c r="EE61" s="312">
        <f t="shared" si="157"/>
        <v>0</v>
      </c>
      <c r="EF61" s="312">
        <f t="shared" si="158"/>
        <v>-69.2</v>
      </c>
      <c r="EG61" s="312">
        <f t="shared" si="159"/>
        <v>-32.6</v>
      </c>
      <c r="EH61" s="312">
        <f t="shared" si="160"/>
        <v>-16</v>
      </c>
      <c r="EI61" s="312">
        <f t="shared" si="180"/>
        <v>0</v>
      </c>
      <c r="EJ61" s="312">
        <f t="shared" si="181"/>
        <v>-158</v>
      </c>
      <c r="EK61" s="312">
        <f t="shared" si="182"/>
        <v>-81.3</v>
      </c>
      <c r="EL61" s="359">
        <f t="shared" si="183"/>
        <v>0</v>
      </c>
      <c r="EM61" s="16"/>
      <c r="EN61" s="16"/>
      <c r="EU61" s="16"/>
      <c r="EV61" s="16"/>
      <c r="EW61" s="16"/>
      <c r="EX61" s="16"/>
      <c r="EY61" s="16"/>
      <c r="EZ61" s="16"/>
      <c r="FA61" s="16"/>
      <c r="FB61" s="16"/>
      <c r="FC61" s="16"/>
      <c r="FD61" s="16"/>
      <c r="FE61" s="16"/>
      <c r="FF61" s="16"/>
      <c r="FG61" s="16"/>
      <c r="FH61" s="16"/>
      <c r="FI61" s="16"/>
      <c r="FJ61" s="16"/>
    </row>
    <row r="62" spans="1:166" x14ac:dyDescent="0.2">
      <c r="A62" s="497" t="s">
        <v>363</v>
      </c>
      <c r="B62" s="215"/>
      <c r="C62" s="65"/>
      <c r="D62" s="216"/>
      <c r="E62" s="65"/>
      <c r="F62" s="65"/>
      <c r="G62" s="215"/>
      <c r="H62" s="65"/>
      <c r="I62" s="216"/>
      <c r="J62" s="65"/>
      <c r="K62" s="65"/>
      <c r="L62" s="215"/>
      <c r="M62" s="65"/>
      <c r="N62" s="65"/>
      <c r="O62" s="65"/>
      <c r="P62" s="65"/>
      <c r="Q62" s="222"/>
      <c r="R62" s="262"/>
      <c r="S62" s="263"/>
      <c r="T62" s="263"/>
      <c r="U62" s="264"/>
      <c r="V62" s="222"/>
      <c r="W62" s="262">
        <v>0</v>
      </c>
      <c r="X62" s="263">
        <f>0-W62</f>
        <v>0</v>
      </c>
      <c r="Y62" s="263"/>
      <c r="Z62" s="257">
        <f t="shared" si="161"/>
        <v>0</v>
      </c>
      <c r="AA62" s="332">
        <v>0</v>
      </c>
      <c r="AB62" s="262">
        <v>1</v>
      </c>
      <c r="AC62" s="263">
        <f>4-AB62</f>
        <v>3</v>
      </c>
      <c r="AD62" s="263">
        <f>10-AC62-AB62</f>
        <v>6</v>
      </c>
      <c r="AE62" s="264">
        <f t="shared" si="162"/>
        <v>4</v>
      </c>
      <c r="AF62" s="215">
        <v>14</v>
      </c>
      <c r="AG62" s="262">
        <v>1</v>
      </c>
      <c r="AH62" s="65">
        <f>3-AG62</f>
        <v>2</v>
      </c>
      <c r="AI62" s="65">
        <f>7-AH62-AG62</f>
        <v>4</v>
      </c>
      <c r="AJ62" s="65">
        <f t="shared" si="163"/>
        <v>2</v>
      </c>
      <c r="AK62" s="215">
        <v>9</v>
      </c>
      <c r="AL62" s="65">
        <v>3</v>
      </c>
      <c r="AM62" s="65">
        <f>3-AL62</f>
        <v>0</v>
      </c>
      <c r="AN62" s="65">
        <f>4-AM62-AL62</f>
        <v>1</v>
      </c>
      <c r="AO62" s="65">
        <f t="shared" si="164"/>
        <v>-0.70000000000000018</v>
      </c>
      <c r="AP62" s="641">
        <v>3.3</v>
      </c>
      <c r="AQ62" s="65">
        <v>0.7</v>
      </c>
      <c r="AR62" s="65">
        <f>0.9-AQ62</f>
        <v>0.20000000000000007</v>
      </c>
      <c r="AS62" s="65">
        <f>2-AR62-AQ62</f>
        <v>1.0999999999999999</v>
      </c>
      <c r="AT62" s="65">
        <f>3.5-AS62-AR62-AQ62</f>
        <v>1.5000000000000002</v>
      </c>
      <c r="AU62" s="215">
        <f t="shared" si="165"/>
        <v>3.5</v>
      </c>
      <c r="AV62" s="243"/>
      <c r="AW62" s="65">
        <f t="shared" si="184"/>
        <v>1.0999999999999999</v>
      </c>
      <c r="AX62" s="65">
        <f t="shared" si="185"/>
        <v>1.5000000000000002</v>
      </c>
      <c r="AY62" s="65">
        <v>1.1000000000000001</v>
      </c>
      <c r="AZ62" s="65">
        <v>0</v>
      </c>
      <c r="BA62" s="215">
        <f t="shared" si="166"/>
        <v>3.7</v>
      </c>
      <c r="BB62" s="65">
        <v>0</v>
      </c>
      <c r="BC62" s="65">
        <f>0-BB62</f>
        <v>0</v>
      </c>
      <c r="BD62" s="65">
        <f>0-SUM(BB62:BC62)</f>
        <v>0</v>
      </c>
      <c r="BE62" s="65">
        <f>0-SUM(BB62:BD62)</f>
        <v>0</v>
      </c>
      <c r="BF62" s="641">
        <f t="shared" si="167"/>
        <v>0</v>
      </c>
      <c r="BG62" s="65">
        <v>0</v>
      </c>
      <c r="BH62" s="65">
        <f t="shared" si="188"/>
        <v>0</v>
      </c>
      <c r="BI62" s="65">
        <f>0-SUM(BG62:BH62)</f>
        <v>0</v>
      </c>
      <c r="BJ62" s="65">
        <f t="shared" si="168"/>
        <v>0</v>
      </c>
      <c r="BK62" s="641">
        <v>0</v>
      </c>
      <c r="BL62" s="65">
        <v>0</v>
      </c>
      <c r="BM62" s="65">
        <v>3.5</v>
      </c>
      <c r="BN62" s="65">
        <f>4.2-SUM(BL62:BM62)</f>
        <v>0.70000000000000018</v>
      </c>
      <c r="BO62" s="65">
        <f t="shared" si="169"/>
        <v>5.8999999999999995</v>
      </c>
      <c r="BP62" s="215">
        <v>10.1</v>
      </c>
      <c r="BQ62" s="65">
        <v>0</v>
      </c>
      <c r="BR62" s="65">
        <v>0</v>
      </c>
      <c r="BS62" s="65">
        <f>0.2-BR62-BQ62</f>
        <v>0.2</v>
      </c>
      <c r="BT62" s="65">
        <f t="shared" si="186"/>
        <v>-0.2</v>
      </c>
      <c r="BU62" s="641">
        <v>0</v>
      </c>
      <c r="BV62" s="65">
        <v>0</v>
      </c>
      <c r="BW62" s="1385">
        <v>0</v>
      </c>
      <c r="BX62" s="65">
        <v>0</v>
      </c>
      <c r="BY62" s="65">
        <f t="shared" si="187"/>
        <v>0.5</v>
      </c>
      <c r="BZ62" s="641">
        <v>0.5</v>
      </c>
      <c r="CA62" s="1201">
        <v>0</v>
      </c>
      <c r="CB62" s="65">
        <v>0</v>
      </c>
      <c r="CC62" s="65">
        <v>0</v>
      </c>
      <c r="CD62" s="65">
        <f>CE62-CC62-CB62-CA62</f>
        <v>8.6</v>
      </c>
      <c r="CE62" s="641">
        <v>8.6</v>
      </c>
      <c r="CF62" s="65">
        <v>0</v>
      </c>
      <c r="CG62" s="65">
        <v>0</v>
      </c>
      <c r="CH62" s="65">
        <v>0</v>
      </c>
      <c r="CI62" s="65">
        <f t="shared" si="171"/>
        <v>0</v>
      </c>
      <c r="CJ62" s="641">
        <v>0</v>
      </c>
      <c r="CK62" s="65">
        <v>0</v>
      </c>
      <c r="CL62" s="217">
        <v>0</v>
      </c>
      <c r="CM62" s="217">
        <v>0</v>
      </c>
      <c r="CN62" s="217">
        <v>0</v>
      </c>
      <c r="CO62" s="538">
        <f t="shared" si="172"/>
        <v>0</v>
      </c>
      <c r="CP62" s="217">
        <v>0</v>
      </c>
      <c r="CQ62" s="217">
        <v>0</v>
      </c>
      <c r="CR62" s="217">
        <v>0</v>
      </c>
      <c r="CS62" s="217">
        <v>0</v>
      </c>
      <c r="CT62" s="538">
        <f t="shared" si="173"/>
        <v>0</v>
      </c>
      <c r="CU62" s="217">
        <v>0</v>
      </c>
      <c r="CV62" s="217">
        <v>0</v>
      </c>
      <c r="CW62" s="217">
        <v>0</v>
      </c>
      <c r="CX62" s="217">
        <v>0</v>
      </c>
      <c r="CY62" s="538">
        <f t="shared" si="174"/>
        <v>0</v>
      </c>
      <c r="CZ62" s="217">
        <v>0</v>
      </c>
      <c r="DA62" s="217">
        <v>0</v>
      </c>
      <c r="DB62" s="217">
        <v>0</v>
      </c>
      <c r="DC62" s="217">
        <v>0</v>
      </c>
      <c r="DD62" s="538">
        <f t="shared" si="175"/>
        <v>0</v>
      </c>
      <c r="DE62" s="217">
        <v>0</v>
      </c>
      <c r="DF62" s="217">
        <v>0</v>
      </c>
      <c r="DG62" s="217">
        <v>0</v>
      </c>
      <c r="DH62" s="217">
        <v>0</v>
      </c>
      <c r="DI62" s="538">
        <f t="shared" si="176"/>
        <v>0</v>
      </c>
      <c r="DJ62" s="217">
        <v>0</v>
      </c>
      <c r="DK62" s="217">
        <v>0</v>
      </c>
      <c r="DL62" s="217">
        <v>0</v>
      </c>
      <c r="DM62" s="217">
        <v>0</v>
      </c>
      <c r="DN62" s="538">
        <f t="shared" si="177"/>
        <v>0</v>
      </c>
      <c r="DO62" s="217">
        <v>0</v>
      </c>
      <c r="DP62" s="217">
        <v>0</v>
      </c>
      <c r="DQ62" s="217">
        <v>0</v>
      </c>
      <c r="DR62" s="217">
        <v>0</v>
      </c>
      <c r="DS62" s="538">
        <f t="shared" si="178"/>
        <v>0</v>
      </c>
      <c r="DT62" s="217">
        <v>0</v>
      </c>
      <c r="DU62" s="217">
        <v>0</v>
      </c>
      <c r="DV62" s="217">
        <v>0</v>
      </c>
      <c r="DW62" s="217">
        <v>0</v>
      </c>
      <c r="DX62" s="538">
        <f t="shared" si="189"/>
        <v>0</v>
      </c>
      <c r="DY62" s="16"/>
      <c r="DZ62" s="21"/>
      <c r="EA62" s="21"/>
      <c r="EB62" s="266">
        <f t="shared" si="154"/>
        <v>4</v>
      </c>
      <c r="EC62" s="312">
        <f t="shared" si="155"/>
        <v>13</v>
      </c>
      <c r="ED62" s="312">
        <f t="shared" si="156"/>
        <v>9</v>
      </c>
      <c r="EE62" s="312">
        <f t="shared" si="157"/>
        <v>1.1999999999999997</v>
      </c>
      <c r="EF62" s="312">
        <f t="shared" si="158"/>
        <v>3.7</v>
      </c>
      <c r="EG62" s="312">
        <f t="shared" si="159"/>
        <v>0</v>
      </c>
      <c r="EH62" s="312">
        <f t="shared" si="160"/>
        <v>0</v>
      </c>
      <c r="EI62" s="312">
        <f t="shared" si="180"/>
        <v>10.1</v>
      </c>
      <c r="EJ62" s="312">
        <f t="shared" si="181"/>
        <v>0</v>
      </c>
      <c r="EK62" s="312">
        <f t="shared" si="182"/>
        <v>0.5</v>
      </c>
      <c r="EL62" s="359">
        <f t="shared" si="183"/>
        <v>8.6</v>
      </c>
      <c r="EM62" s="16"/>
      <c r="EN62" s="16"/>
      <c r="EU62" s="16"/>
      <c r="EV62" s="16"/>
      <c r="EW62" s="16"/>
      <c r="EX62" s="16"/>
      <c r="EY62" s="16"/>
      <c r="EZ62" s="16"/>
      <c r="FA62" s="16"/>
      <c r="FB62" s="16"/>
      <c r="FC62" s="16"/>
      <c r="FD62" s="16"/>
      <c r="FE62" s="16"/>
      <c r="FF62" s="16"/>
      <c r="FG62" s="16"/>
      <c r="FH62" s="16"/>
      <c r="FI62" s="16"/>
      <c r="FJ62" s="16"/>
    </row>
    <row r="63" spans="1:166" x14ac:dyDescent="0.2">
      <c r="A63" s="497" t="s">
        <v>494</v>
      </c>
      <c r="B63" s="215"/>
      <c r="C63" s="65"/>
      <c r="D63" s="216"/>
      <c r="E63" s="65"/>
      <c r="F63" s="65"/>
      <c r="G63" s="215"/>
      <c r="H63" s="65"/>
      <c r="I63" s="216"/>
      <c r="J63" s="65"/>
      <c r="K63" s="65"/>
      <c r="L63" s="215"/>
      <c r="M63" s="65"/>
      <c r="N63" s="65"/>
      <c r="O63" s="65"/>
      <c r="P63" s="65"/>
      <c r="Q63" s="222"/>
      <c r="R63" s="262"/>
      <c r="S63" s="263"/>
      <c r="T63" s="263"/>
      <c r="U63" s="264"/>
      <c r="V63" s="222"/>
      <c r="W63" s="262"/>
      <c r="X63" s="263"/>
      <c r="Y63" s="263"/>
      <c r="Z63" s="257"/>
      <c r="AA63" s="332">
        <v>0</v>
      </c>
      <c r="AB63" s="262"/>
      <c r="AC63" s="263"/>
      <c r="AD63" s="263"/>
      <c r="AE63" s="264"/>
      <c r="AF63" s="332">
        <f>SUM(AB63:AE63)</f>
        <v>0</v>
      </c>
      <c r="AG63" s="262">
        <v>1</v>
      </c>
      <c r="AH63" s="65">
        <f>2-AG63</f>
        <v>1</v>
      </c>
      <c r="AI63" s="65">
        <f>2-AH63-AG63</f>
        <v>0</v>
      </c>
      <c r="AJ63" s="65">
        <f t="shared" si="163"/>
        <v>2</v>
      </c>
      <c r="AK63" s="215">
        <v>4</v>
      </c>
      <c r="AL63" s="65">
        <v>2</v>
      </c>
      <c r="AM63" s="65">
        <f>2-AL63</f>
        <v>0</v>
      </c>
      <c r="AN63" s="65">
        <f>2-AM63-AL63</f>
        <v>0</v>
      </c>
      <c r="AO63" s="65">
        <f t="shared" si="164"/>
        <v>1</v>
      </c>
      <c r="AP63" s="641">
        <v>3</v>
      </c>
      <c r="AQ63" s="65">
        <v>0.2</v>
      </c>
      <c r="AR63" s="65">
        <f>0.4-AQ63</f>
        <v>0.2</v>
      </c>
      <c r="AS63" s="65">
        <f>2.8-AR63-AQ63</f>
        <v>2.3999999999999995</v>
      </c>
      <c r="AT63" s="65">
        <f>4.2-AS63-AR63-AQ63</f>
        <v>1.4000000000000008</v>
      </c>
      <c r="AU63" s="215">
        <f t="shared" si="165"/>
        <v>4.2</v>
      </c>
      <c r="AV63" s="243"/>
      <c r="AW63" s="65">
        <f t="shared" si="184"/>
        <v>2.3999999999999995</v>
      </c>
      <c r="AX63" s="65">
        <f t="shared" si="185"/>
        <v>1.4000000000000008</v>
      </c>
      <c r="AY63" s="65">
        <v>3.2</v>
      </c>
      <c r="AZ63" s="65">
        <f>0.8+5.11590769747272E-13</f>
        <v>0.80000000000051164</v>
      </c>
      <c r="BA63" s="215">
        <f t="shared" si="166"/>
        <v>7.8000000000005114</v>
      </c>
      <c r="BB63" s="65">
        <v>0</v>
      </c>
      <c r="BC63" s="65">
        <f>0-BB63</f>
        <v>0</v>
      </c>
      <c r="BD63" s="65">
        <f>0-SUM(BB63:BC63)</f>
        <v>0</v>
      </c>
      <c r="BE63" s="65">
        <f>0-SUM(BB63:BD63)</f>
        <v>0</v>
      </c>
      <c r="BF63" s="641">
        <f t="shared" si="167"/>
        <v>0</v>
      </c>
      <c r="BG63" s="65">
        <v>0</v>
      </c>
      <c r="BH63" s="65">
        <f t="shared" si="188"/>
        <v>0</v>
      </c>
      <c r="BI63" s="65">
        <f>1.3-SUM(BG63:BH63)</f>
        <v>1.3</v>
      </c>
      <c r="BJ63" s="65">
        <f>BK63-SUM(BG63:BI63)</f>
        <v>0.19999999999999996</v>
      </c>
      <c r="BK63" s="641">
        <v>1.5</v>
      </c>
      <c r="BL63" s="65">
        <v>1.2</v>
      </c>
      <c r="BM63" s="65">
        <f>2.5-BL63</f>
        <v>1.3</v>
      </c>
      <c r="BN63" s="65">
        <f>2.7-SUM(BL63:BM63)</f>
        <v>0.20000000000000018</v>
      </c>
      <c r="BO63" s="65">
        <f t="shared" si="169"/>
        <v>3.3</v>
      </c>
      <c r="BP63" s="215">
        <v>6</v>
      </c>
      <c r="BQ63" s="65">
        <v>0</v>
      </c>
      <c r="BR63" s="65">
        <v>0</v>
      </c>
      <c r="BS63" s="65">
        <f>0.1-BR63-BQ63</f>
        <v>0.1</v>
      </c>
      <c r="BT63" s="65">
        <f t="shared" si="186"/>
        <v>0.4</v>
      </c>
      <c r="BU63" s="641">
        <v>0.5</v>
      </c>
      <c r="BV63" s="65">
        <v>0.4</v>
      </c>
      <c r="BW63" s="1385">
        <f>1.6-BV63</f>
        <v>1.2000000000000002</v>
      </c>
      <c r="BX63" s="65">
        <f>1.6-BW63-BV63</f>
        <v>0</v>
      </c>
      <c r="BY63" s="65">
        <f t="shared" si="187"/>
        <v>1.4</v>
      </c>
      <c r="BZ63" s="641">
        <v>3</v>
      </c>
      <c r="CA63" s="1201">
        <v>0</v>
      </c>
      <c r="CB63" s="65">
        <f>10.7-CA63</f>
        <v>10.7</v>
      </c>
      <c r="CC63" s="65">
        <f>12.5-CB63-CA63</f>
        <v>1.8000000000000007</v>
      </c>
      <c r="CD63" s="65">
        <f>CE63-CC63-CB63-CA63</f>
        <v>1.1999999999999993</v>
      </c>
      <c r="CE63" s="641">
        <v>13.7</v>
      </c>
      <c r="CF63" s="65">
        <v>8</v>
      </c>
      <c r="CG63" s="65">
        <f>12.3-CF63</f>
        <v>4.3000000000000007</v>
      </c>
      <c r="CH63" s="65">
        <f>17.5-SUM(CF63:CG63)</f>
        <v>5.1999999999999993</v>
      </c>
      <c r="CI63" s="65">
        <f t="shared" si="171"/>
        <v>11.2</v>
      </c>
      <c r="CJ63" s="641">
        <v>28.7</v>
      </c>
      <c r="CK63" s="65">
        <v>25.2</v>
      </c>
      <c r="CL63" s="217">
        <f>IS!CQ384</f>
        <v>1</v>
      </c>
      <c r="CM63" s="217">
        <f>IS!CR384</f>
        <v>1</v>
      </c>
      <c r="CN63" s="217">
        <f>IS!CS384</f>
        <v>1</v>
      </c>
      <c r="CO63" s="538">
        <f t="shared" si="172"/>
        <v>28.2</v>
      </c>
      <c r="CP63" s="217">
        <f>IS!CU384</f>
        <v>0</v>
      </c>
      <c r="CQ63" s="217">
        <f>IS!CV384</f>
        <v>1</v>
      </c>
      <c r="CR63" s="217">
        <f>IS!CW384</f>
        <v>1</v>
      </c>
      <c r="CS63" s="217">
        <f>IS!CX384</f>
        <v>1</v>
      </c>
      <c r="CT63" s="538">
        <f t="shared" si="173"/>
        <v>3</v>
      </c>
      <c r="CU63" s="217">
        <f>IS!CZ384</f>
        <v>0</v>
      </c>
      <c r="CV63" s="217">
        <f>IS!DA384</f>
        <v>1</v>
      </c>
      <c r="CW63" s="217">
        <f>IS!DB384</f>
        <v>1</v>
      </c>
      <c r="CX63" s="217">
        <f>IS!DC384</f>
        <v>1</v>
      </c>
      <c r="CY63" s="538">
        <f t="shared" si="174"/>
        <v>3</v>
      </c>
      <c r="CZ63" s="217">
        <f>IS!DE384</f>
        <v>0</v>
      </c>
      <c r="DA63" s="217">
        <f>IS!DF384</f>
        <v>1</v>
      </c>
      <c r="DB63" s="217">
        <f>IS!DG384</f>
        <v>1</v>
      </c>
      <c r="DC63" s="217">
        <f>IS!DH384</f>
        <v>1</v>
      </c>
      <c r="DD63" s="538">
        <f t="shared" si="175"/>
        <v>3</v>
      </c>
      <c r="DE63" s="217">
        <f>IS!DJ384</f>
        <v>0</v>
      </c>
      <c r="DF63" s="217">
        <f>IS!DK384</f>
        <v>1</v>
      </c>
      <c r="DG63" s="217">
        <f>IS!DL384</f>
        <v>1</v>
      </c>
      <c r="DH63" s="217">
        <f>IS!DM384</f>
        <v>1</v>
      </c>
      <c r="DI63" s="538">
        <f t="shared" si="176"/>
        <v>3</v>
      </c>
      <c r="DJ63" s="217">
        <f>IS!DO384</f>
        <v>0</v>
      </c>
      <c r="DK63" s="217">
        <f>IS!DP384</f>
        <v>1</v>
      </c>
      <c r="DL63" s="217">
        <f>IS!DQ384</f>
        <v>1</v>
      </c>
      <c r="DM63" s="217">
        <f>IS!DR384</f>
        <v>1</v>
      </c>
      <c r="DN63" s="538">
        <f t="shared" si="177"/>
        <v>3</v>
      </c>
      <c r="DO63" s="217">
        <f>IS!DT384</f>
        <v>0</v>
      </c>
      <c r="DP63" s="217">
        <f>IS!DU384</f>
        <v>1</v>
      </c>
      <c r="DQ63" s="217">
        <f>IS!DV384</f>
        <v>1</v>
      </c>
      <c r="DR63" s="217">
        <f>IS!DW384</f>
        <v>1</v>
      </c>
      <c r="DS63" s="538">
        <f t="shared" si="178"/>
        <v>3</v>
      </c>
      <c r="DT63" s="217">
        <f>IS!DY384</f>
        <v>0</v>
      </c>
      <c r="DU63" s="217">
        <f>IS!DZ384</f>
        <v>1</v>
      </c>
      <c r="DV63" s="217">
        <f>IS!EA384</f>
        <v>1</v>
      </c>
      <c r="DW63" s="217">
        <f>IS!EB384</f>
        <v>1</v>
      </c>
      <c r="DX63" s="538">
        <f t="shared" si="189"/>
        <v>3</v>
      </c>
      <c r="DY63" s="16"/>
      <c r="DZ63" s="21"/>
      <c r="EA63" s="21"/>
      <c r="EB63" s="266">
        <f t="shared" si="154"/>
        <v>0</v>
      </c>
      <c r="EC63" s="312">
        <f t="shared" si="155"/>
        <v>2</v>
      </c>
      <c r="ED63" s="312">
        <f t="shared" si="156"/>
        <v>4</v>
      </c>
      <c r="EE63" s="312">
        <f t="shared" si="157"/>
        <v>1.4</v>
      </c>
      <c r="EF63" s="312">
        <f t="shared" si="158"/>
        <v>7.8000000000005114</v>
      </c>
      <c r="EG63" s="312">
        <f t="shared" si="159"/>
        <v>0</v>
      </c>
      <c r="EH63" s="312">
        <f t="shared" si="160"/>
        <v>1.5</v>
      </c>
      <c r="EI63" s="312">
        <f t="shared" si="180"/>
        <v>6</v>
      </c>
      <c r="EJ63" s="312">
        <f t="shared" si="181"/>
        <v>0.5</v>
      </c>
      <c r="EK63" s="312">
        <f t="shared" si="182"/>
        <v>3</v>
      </c>
      <c r="EL63" s="359">
        <f t="shared" si="183"/>
        <v>13.7</v>
      </c>
      <c r="EM63" s="16"/>
      <c r="EN63" s="16"/>
      <c r="EU63" s="16"/>
      <c r="EV63" s="16"/>
      <c r="EW63" s="16"/>
      <c r="EX63" s="16"/>
      <c r="EY63" s="16"/>
      <c r="EZ63" s="16"/>
      <c r="FA63" s="16"/>
      <c r="FB63" s="16"/>
      <c r="FC63" s="16"/>
      <c r="FD63" s="16"/>
      <c r="FE63" s="16"/>
      <c r="FF63" s="16"/>
      <c r="FG63" s="16"/>
      <c r="FH63" s="16"/>
      <c r="FI63" s="16"/>
      <c r="FJ63" s="16"/>
    </row>
    <row r="64" spans="1:166" x14ac:dyDescent="0.2">
      <c r="A64" s="497" t="s">
        <v>354</v>
      </c>
      <c r="B64" s="215"/>
      <c r="C64" s="65"/>
      <c r="D64" s="216"/>
      <c r="E64" s="65"/>
      <c r="F64" s="65"/>
      <c r="G64" s="215"/>
      <c r="H64" s="65"/>
      <c r="I64" s="216"/>
      <c r="J64" s="65"/>
      <c r="K64" s="65"/>
      <c r="L64" s="215"/>
      <c r="M64" s="65"/>
      <c r="N64" s="65"/>
      <c r="O64" s="65"/>
      <c r="P64" s="65"/>
      <c r="Q64" s="222">
        <v>6</v>
      </c>
      <c r="R64" s="262"/>
      <c r="S64" s="263"/>
      <c r="T64" s="263"/>
      <c r="U64" s="264"/>
      <c r="V64" s="222">
        <v>3</v>
      </c>
      <c r="W64" s="262">
        <v>0</v>
      </c>
      <c r="X64" s="263">
        <f>0-W64</f>
        <v>0</v>
      </c>
      <c r="Y64" s="263">
        <f>7-X64-W64</f>
        <v>7</v>
      </c>
      <c r="Z64" s="257">
        <f t="shared" si="161"/>
        <v>392</v>
      </c>
      <c r="AA64" s="222">
        <v>399</v>
      </c>
      <c r="AB64" s="262">
        <v>0</v>
      </c>
      <c r="AC64" s="263">
        <f>2-AB64</f>
        <v>2</v>
      </c>
      <c r="AD64" s="263">
        <f>7-AC64-AB64</f>
        <v>5</v>
      </c>
      <c r="AE64" s="264">
        <f t="shared" si="162"/>
        <v>1</v>
      </c>
      <c r="AF64" s="215">
        <v>8</v>
      </c>
      <c r="AG64" s="262">
        <v>0</v>
      </c>
      <c r="AH64" s="65">
        <v>0</v>
      </c>
      <c r="AI64" s="65">
        <v>0</v>
      </c>
      <c r="AJ64" s="65">
        <f t="shared" si="163"/>
        <v>0</v>
      </c>
      <c r="AK64" s="215">
        <v>0</v>
      </c>
      <c r="AL64" s="65">
        <v>0</v>
      </c>
      <c r="AM64" s="65">
        <v>0</v>
      </c>
      <c r="AN64" s="65">
        <v>0</v>
      </c>
      <c r="AO64" s="65">
        <f t="shared" si="164"/>
        <v>0</v>
      </c>
      <c r="AP64" s="641">
        <v>0</v>
      </c>
      <c r="AQ64" s="65">
        <v>0</v>
      </c>
      <c r="AR64" s="65">
        <v>0</v>
      </c>
      <c r="AS64" s="65">
        <v>0</v>
      </c>
      <c r="AT64" s="65">
        <f>0-AS64-AR64-AQ64</f>
        <v>0</v>
      </c>
      <c r="AU64" s="215">
        <f t="shared" si="165"/>
        <v>0</v>
      </c>
      <c r="AV64" s="243"/>
      <c r="AW64" s="65">
        <f t="shared" si="184"/>
        <v>0</v>
      </c>
      <c r="AX64" s="65">
        <f t="shared" si="185"/>
        <v>0</v>
      </c>
      <c r="AY64" s="65">
        <v>0</v>
      </c>
      <c r="AZ64" s="65">
        <v>0</v>
      </c>
      <c r="BA64" s="215">
        <f t="shared" si="166"/>
        <v>0</v>
      </c>
      <c r="BB64" s="65">
        <v>0</v>
      </c>
      <c r="BC64" s="65">
        <f>1.8-BB64</f>
        <v>1.8</v>
      </c>
      <c r="BD64" s="65">
        <f>1.8-SUM(BB64:BC64)</f>
        <v>0</v>
      </c>
      <c r="BE64" s="65">
        <f>1.6-SUM(BB64:BD64)</f>
        <v>-0.19999999999999996</v>
      </c>
      <c r="BF64" s="641">
        <f t="shared" si="167"/>
        <v>1.6</v>
      </c>
      <c r="BG64" s="65">
        <v>0</v>
      </c>
      <c r="BH64" s="65">
        <f t="shared" si="188"/>
        <v>0</v>
      </c>
      <c r="BI64" s="65">
        <v>0</v>
      </c>
      <c r="BJ64" s="65">
        <v>0</v>
      </c>
      <c r="BK64" s="641">
        <v>0</v>
      </c>
      <c r="BL64" s="65">
        <v>0</v>
      </c>
      <c r="BM64" s="65">
        <v>0</v>
      </c>
      <c r="BN64" s="65">
        <v>0</v>
      </c>
      <c r="BO64" s="65">
        <f t="shared" si="169"/>
        <v>0</v>
      </c>
      <c r="BP64" s="215">
        <v>0</v>
      </c>
      <c r="BQ64" s="65">
        <v>0</v>
      </c>
      <c r="BR64" s="65">
        <v>0</v>
      </c>
      <c r="BS64" s="65">
        <v>0</v>
      </c>
      <c r="BT64" s="65">
        <f t="shared" si="186"/>
        <v>0</v>
      </c>
      <c r="BU64" s="641">
        <v>0</v>
      </c>
      <c r="BV64" s="65">
        <v>0</v>
      </c>
      <c r="BW64" s="1385">
        <v>0</v>
      </c>
      <c r="BX64" s="65">
        <v>0</v>
      </c>
      <c r="BY64" s="65">
        <f t="shared" si="187"/>
        <v>2.1</v>
      </c>
      <c r="BZ64" s="641">
        <v>2.1</v>
      </c>
      <c r="CA64" s="1201">
        <v>0</v>
      </c>
      <c r="CB64" s="65">
        <v>0</v>
      </c>
      <c r="CC64" s="65">
        <v>0</v>
      </c>
      <c r="CD64" s="65">
        <v>0</v>
      </c>
      <c r="CE64" s="641">
        <f t="shared" si="170"/>
        <v>0</v>
      </c>
      <c r="CF64" s="65">
        <v>0</v>
      </c>
      <c r="CG64" s="65">
        <v>0</v>
      </c>
      <c r="CH64" s="65">
        <v>0</v>
      </c>
      <c r="CI64" s="65">
        <f t="shared" si="171"/>
        <v>0</v>
      </c>
      <c r="CJ64" s="641">
        <v>0</v>
      </c>
      <c r="CK64" s="65">
        <v>0</v>
      </c>
      <c r="CL64" s="217">
        <v>0</v>
      </c>
      <c r="CM64" s="217">
        <v>0</v>
      </c>
      <c r="CN64" s="217">
        <v>0</v>
      </c>
      <c r="CO64" s="538">
        <f t="shared" si="172"/>
        <v>0</v>
      </c>
      <c r="CP64" s="217">
        <v>0</v>
      </c>
      <c r="CQ64" s="217">
        <v>0</v>
      </c>
      <c r="CR64" s="217">
        <v>0</v>
      </c>
      <c r="CS64" s="217">
        <v>0</v>
      </c>
      <c r="CT64" s="538">
        <f t="shared" si="173"/>
        <v>0</v>
      </c>
      <c r="CU64" s="217">
        <v>0</v>
      </c>
      <c r="CV64" s="217">
        <v>0</v>
      </c>
      <c r="CW64" s="217">
        <v>0</v>
      </c>
      <c r="CX64" s="217">
        <v>0</v>
      </c>
      <c r="CY64" s="538">
        <f t="shared" si="174"/>
        <v>0</v>
      </c>
      <c r="CZ64" s="217">
        <v>0</v>
      </c>
      <c r="DA64" s="217">
        <v>0</v>
      </c>
      <c r="DB64" s="217">
        <v>0</v>
      </c>
      <c r="DC64" s="217">
        <v>0</v>
      </c>
      <c r="DD64" s="538">
        <f t="shared" si="175"/>
        <v>0</v>
      </c>
      <c r="DE64" s="217">
        <v>0</v>
      </c>
      <c r="DF64" s="217">
        <v>0</v>
      </c>
      <c r="DG64" s="217">
        <v>0</v>
      </c>
      <c r="DH64" s="217">
        <v>0</v>
      </c>
      <c r="DI64" s="538">
        <f t="shared" si="176"/>
        <v>0</v>
      </c>
      <c r="DJ64" s="217">
        <v>0</v>
      </c>
      <c r="DK64" s="217">
        <v>0</v>
      </c>
      <c r="DL64" s="217">
        <v>0</v>
      </c>
      <c r="DM64" s="217">
        <v>0</v>
      </c>
      <c r="DN64" s="538">
        <f t="shared" si="177"/>
        <v>0</v>
      </c>
      <c r="DO64" s="217">
        <v>0</v>
      </c>
      <c r="DP64" s="217">
        <v>0</v>
      </c>
      <c r="DQ64" s="217">
        <v>0</v>
      </c>
      <c r="DR64" s="217">
        <v>0</v>
      </c>
      <c r="DS64" s="538">
        <f t="shared" si="178"/>
        <v>0</v>
      </c>
      <c r="DT64" s="217">
        <v>0</v>
      </c>
      <c r="DU64" s="217">
        <v>0</v>
      </c>
      <c r="DV64" s="217">
        <v>0</v>
      </c>
      <c r="DW64" s="217">
        <v>0</v>
      </c>
      <c r="DX64" s="538">
        <f t="shared" si="189"/>
        <v>0</v>
      </c>
      <c r="DY64" s="16"/>
      <c r="DZ64" s="21"/>
      <c r="EA64" s="21"/>
      <c r="EB64" s="266">
        <f t="shared" si="154"/>
        <v>401</v>
      </c>
      <c r="EC64" s="312">
        <f t="shared" si="155"/>
        <v>6</v>
      </c>
      <c r="ED64" s="312">
        <f t="shared" si="156"/>
        <v>0</v>
      </c>
      <c r="EE64" s="312">
        <f t="shared" si="157"/>
        <v>0</v>
      </c>
      <c r="EF64" s="312">
        <f t="shared" si="158"/>
        <v>0</v>
      </c>
      <c r="EG64" s="312">
        <f t="shared" si="159"/>
        <v>1.6</v>
      </c>
      <c r="EH64" s="312">
        <f t="shared" si="160"/>
        <v>0</v>
      </c>
      <c r="EI64" s="312">
        <f t="shared" si="180"/>
        <v>0</v>
      </c>
      <c r="EJ64" s="312">
        <f t="shared" si="181"/>
        <v>0</v>
      </c>
      <c r="EK64" s="312">
        <f t="shared" si="182"/>
        <v>2.1</v>
      </c>
      <c r="EL64" s="359">
        <f t="shared" si="183"/>
        <v>0</v>
      </c>
      <c r="EM64" s="16"/>
      <c r="EN64" s="16"/>
      <c r="EU64" s="16"/>
      <c r="EV64" s="16"/>
      <c r="EW64" s="16"/>
      <c r="EX64" s="16"/>
      <c r="EY64" s="16"/>
      <c r="EZ64" s="16"/>
      <c r="FA64" s="16"/>
      <c r="FB64" s="16"/>
      <c r="FC64" s="16"/>
      <c r="FD64" s="16"/>
      <c r="FE64" s="16"/>
      <c r="FF64" s="16"/>
      <c r="FG64" s="16"/>
      <c r="FH64" s="16"/>
      <c r="FI64" s="16"/>
      <c r="FJ64" s="16"/>
    </row>
    <row r="65" spans="1:166" hidden="1" outlineLevel="1" x14ac:dyDescent="0.2">
      <c r="A65" s="497" t="s">
        <v>829</v>
      </c>
      <c r="B65" s="215"/>
      <c r="C65" s="65"/>
      <c r="D65" s="216"/>
      <c r="E65" s="65"/>
      <c r="F65" s="65"/>
      <c r="G65" s="215"/>
      <c r="H65" s="65"/>
      <c r="I65" s="216"/>
      <c r="J65" s="65"/>
      <c r="K65" s="65"/>
      <c r="L65" s="215"/>
      <c r="M65" s="65"/>
      <c r="N65" s="65"/>
      <c r="O65" s="65"/>
      <c r="P65" s="65"/>
      <c r="Q65" s="222"/>
      <c r="R65" s="262"/>
      <c r="S65" s="263"/>
      <c r="T65" s="263"/>
      <c r="U65" s="264"/>
      <c r="V65" s="222"/>
      <c r="W65" s="262"/>
      <c r="X65" s="263"/>
      <c r="Y65" s="263"/>
      <c r="Z65" s="257"/>
      <c r="AA65" s="222"/>
      <c r="AB65" s="262"/>
      <c r="AC65" s="263"/>
      <c r="AD65" s="263"/>
      <c r="AE65" s="264"/>
      <c r="AF65" s="215"/>
      <c r="AG65" s="263"/>
      <c r="AH65" s="65"/>
      <c r="AI65" s="65"/>
      <c r="AJ65" s="65"/>
      <c r="AK65" s="215"/>
      <c r="AL65" s="65"/>
      <c r="AM65" s="65"/>
      <c r="AN65" s="65"/>
      <c r="AO65" s="65"/>
      <c r="AP65" s="641"/>
      <c r="AQ65" s="65"/>
      <c r="AR65" s="65"/>
      <c r="AS65" s="65"/>
      <c r="AT65" s="65"/>
      <c r="AU65" s="215"/>
      <c r="AV65" s="243"/>
      <c r="AW65" s="65"/>
      <c r="AX65" s="65"/>
      <c r="AY65" s="65"/>
      <c r="AZ65" s="65"/>
      <c r="BA65" s="215"/>
      <c r="BB65" s="65"/>
      <c r="BC65" s="65"/>
      <c r="BD65" s="65"/>
      <c r="BE65" s="65"/>
      <c r="BF65" s="641"/>
      <c r="BG65" s="65"/>
      <c r="BH65" s="65"/>
      <c r="BI65" s="65"/>
      <c r="BJ65" s="65"/>
      <c r="BK65" s="641"/>
      <c r="BL65" s="65"/>
      <c r="BM65" s="65"/>
      <c r="BN65" s="65"/>
      <c r="BO65" s="65"/>
      <c r="BP65" s="215"/>
      <c r="BQ65" s="65"/>
      <c r="BR65" s="65"/>
      <c r="BS65" s="65"/>
      <c r="BT65" s="65"/>
      <c r="BU65" s="641"/>
      <c r="BV65" s="65">
        <v>0</v>
      </c>
      <c r="BW65" s="1385">
        <v>0</v>
      </c>
      <c r="BX65" s="65">
        <v>0</v>
      </c>
      <c r="BY65" s="65">
        <f t="shared" si="187"/>
        <v>0</v>
      </c>
      <c r="BZ65" s="641">
        <v>0</v>
      </c>
      <c r="CA65" s="1201">
        <v>0</v>
      </c>
      <c r="CB65" s="65">
        <v>0</v>
      </c>
      <c r="CC65" s="65">
        <v>0</v>
      </c>
      <c r="CD65" s="65">
        <v>0</v>
      </c>
      <c r="CE65" s="641">
        <v>0</v>
      </c>
      <c r="CF65" s="65">
        <v>0</v>
      </c>
      <c r="CG65" s="65">
        <v>0</v>
      </c>
      <c r="CH65" s="65">
        <v>0</v>
      </c>
      <c r="CI65" s="65">
        <f t="shared" si="171"/>
        <v>0</v>
      </c>
      <c r="CJ65" s="641">
        <v>0</v>
      </c>
      <c r="CK65" s="65">
        <f>-IS!CP53</f>
        <v>0</v>
      </c>
      <c r="CL65" s="217">
        <f>-IS!CQ53</f>
        <v>0</v>
      </c>
      <c r="CM65" s="217">
        <f>-IS!CR53</f>
        <v>0</v>
      </c>
      <c r="CN65" s="217">
        <f>-IS!CS53</f>
        <v>0</v>
      </c>
      <c r="CO65" s="538">
        <f t="shared" ref="CO65" si="190">SUM(CK65:CN65)</f>
        <v>0</v>
      </c>
      <c r="CP65" s="217">
        <f>-IS!CU53</f>
        <v>0</v>
      </c>
      <c r="CQ65" s="217">
        <f>-IS!CV53</f>
        <v>0</v>
      </c>
      <c r="CR65" s="217">
        <f>-IS!CW53</f>
        <v>0</v>
      </c>
      <c r="CS65" s="217">
        <f>-IS!CX53</f>
        <v>0</v>
      </c>
      <c r="CT65" s="538">
        <f t="shared" ref="CT65" si="191">SUM(CP65:CS65)</f>
        <v>0</v>
      </c>
      <c r="CU65" s="217">
        <f>-IS!CZ53</f>
        <v>0</v>
      </c>
      <c r="CV65" s="217">
        <f>-IS!DA53</f>
        <v>0</v>
      </c>
      <c r="CW65" s="217">
        <f>-IS!DB53</f>
        <v>0</v>
      </c>
      <c r="CX65" s="217">
        <f>-IS!DC53</f>
        <v>0</v>
      </c>
      <c r="CY65" s="538">
        <f t="shared" ref="CY65" si="192">SUM(CU65:CX65)</f>
        <v>0</v>
      </c>
      <c r="CZ65" s="217">
        <f>-IS!DE53</f>
        <v>0</v>
      </c>
      <c r="DA65" s="217">
        <f>-IS!DF53</f>
        <v>0</v>
      </c>
      <c r="DB65" s="217">
        <f>-IS!DG53</f>
        <v>0</v>
      </c>
      <c r="DC65" s="217">
        <f>-IS!DH53</f>
        <v>0</v>
      </c>
      <c r="DD65" s="538">
        <f t="shared" ref="DD65" si="193">SUM(CZ65:DC65)</f>
        <v>0</v>
      </c>
      <c r="DE65" s="217">
        <f>-IS!DJ53</f>
        <v>0</v>
      </c>
      <c r="DF65" s="217">
        <f>-IS!DK53</f>
        <v>0</v>
      </c>
      <c r="DG65" s="217">
        <f>-IS!DL53</f>
        <v>0</v>
      </c>
      <c r="DH65" s="217">
        <f>-IS!DM53</f>
        <v>0</v>
      </c>
      <c r="DI65" s="538">
        <f t="shared" ref="DI65" si="194">SUM(DE65:DH65)</f>
        <v>0</v>
      </c>
      <c r="DJ65" s="217">
        <f>-IS!DO53</f>
        <v>0</v>
      </c>
      <c r="DK65" s="217">
        <f>-IS!DP53</f>
        <v>0</v>
      </c>
      <c r="DL65" s="217">
        <f>-IS!DQ53</f>
        <v>0</v>
      </c>
      <c r="DM65" s="217">
        <f>-IS!DR53</f>
        <v>0</v>
      </c>
      <c r="DN65" s="538">
        <f t="shared" ref="DN65" si="195">SUM(DJ65:DM65)</f>
        <v>0</v>
      </c>
      <c r="DO65" s="217">
        <f>-IS!DT53</f>
        <v>0</v>
      </c>
      <c r="DP65" s="217">
        <f>-IS!DU53</f>
        <v>0</v>
      </c>
      <c r="DQ65" s="217">
        <f>-IS!DV53</f>
        <v>0</v>
      </c>
      <c r="DR65" s="217">
        <f>-IS!DW53</f>
        <v>0</v>
      </c>
      <c r="DS65" s="538">
        <f t="shared" ref="DS65" si="196">SUM(DO65:DR65)</f>
        <v>0</v>
      </c>
      <c r="DT65" s="217">
        <f>-IS!DY53</f>
        <v>0</v>
      </c>
      <c r="DU65" s="217">
        <f>-IS!DZ53</f>
        <v>0</v>
      </c>
      <c r="DV65" s="217">
        <f>-IS!EA53</f>
        <v>0</v>
      </c>
      <c r="DW65" s="217">
        <f>-IS!EB53</f>
        <v>0</v>
      </c>
      <c r="DX65" s="538">
        <f t="shared" ref="DX65" si="197">SUM(DT65:DW65)</f>
        <v>0</v>
      </c>
      <c r="DY65" s="16"/>
      <c r="DZ65" s="21"/>
      <c r="EA65" s="21"/>
      <c r="EB65" s="266"/>
      <c r="EC65" s="312"/>
      <c r="ED65" s="312"/>
      <c r="EE65" s="312"/>
      <c r="EF65" s="312"/>
      <c r="EG65" s="312"/>
      <c r="EH65" s="312"/>
      <c r="EI65" s="312"/>
      <c r="EJ65" s="312"/>
      <c r="EK65" s="312"/>
      <c r="EL65" s="359"/>
      <c r="EM65" s="16"/>
      <c r="EN65" s="16"/>
      <c r="EU65" s="16"/>
      <c r="EV65" s="16"/>
      <c r="EW65" s="16"/>
      <c r="EX65" s="16"/>
      <c r="EY65" s="16"/>
      <c r="EZ65" s="16"/>
      <c r="FA65" s="16"/>
      <c r="FB65" s="16"/>
      <c r="FC65" s="16"/>
      <c r="FD65" s="16"/>
      <c r="FE65" s="16"/>
      <c r="FF65" s="16"/>
      <c r="FG65" s="16"/>
      <c r="FH65" s="16"/>
      <c r="FI65" s="16"/>
      <c r="FJ65" s="16"/>
    </row>
    <row r="66" spans="1:166" collapsed="1" x14ac:dyDescent="0.2">
      <c r="A66" s="496" t="s">
        <v>849</v>
      </c>
      <c r="B66" s="218"/>
      <c r="C66" s="219"/>
      <c r="D66" s="220"/>
      <c r="E66" s="219"/>
      <c r="F66" s="219"/>
      <c r="G66" s="218"/>
      <c r="H66" s="219"/>
      <c r="I66" s="220"/>
      <c r="J66" s="219"/>
      <c r="K66" s="219"/>
      <c r="L66" s="218"/>
      <c r="M66" s="223"/>
      <c r="N66" s="219"/>
      <c r="O66" s="219"/>
      <c r="P66" s="219"/>
      <c r="Q66" s="336" t="s">
        <v>361</v>
      </c>
      <c r="R66" s="260"/>
      <c r="S66" s="223"/>
      <c r="T66" s="223"/>
      <c r="U66" s="261"/>
      <c r="V66" s="224" t="s">
        <v>361</v>
      </c>
      <c r="W66" s="260"/>
      <c r="X66" s="223"/>
      <c r="Y66" s="223">
        <f>-367-X66-W66</f>
        <v>-367</v>
      </c>
      <c r="Z66" s="259">
        <f t="shared" si="161"/>
        <v>0</v>
      </c>
      <c r="AA66" s="224">
        <v>-367</v>
      </c>
      <c r="AB66" s="260"/>
      <c r="AC66" s="223">
        <v>0</v>
      </c>
      <c r="AD66" s="223">
        <f>-8-AC66-AB66</f>
        <v>-8</v>
      </c>
      <c r="AE66" s="261">
        <f t="shared" si="162"/>
        <v>-9</v>
      </c>
      <c r="AF66" s="218">
        <v>-17</v>
      </c>
      <c r="AG66" s="223">
        <v>-8</v>
      </c>
      <c r="AH66" s="223">
        <f>-17-AG66</f>
        <v>-9</v>
      </c>
      <c r="AI66" s="223">
        <f>-25-AH66-AG66</f>
        <v>-8</v>
      </c>
      <c r="AJ66" s="223">
        <f t="shared" si="163"/>
        <v>-9</v>
      </c>
      <c r="AK66" s="218">
        <v>-34</v>
      </c>
      <c r="AL66" s="223">
        <v>-8</v>
      </c>
      <c r="AM66" s="223">
        <f>-17-AL66</f>
        <v>-9</v>
      </c>
      <c r="AN66" s="223">
        <f>-25-AM66-AL66</f>
        <v>-8</v>
      </c>
      <c r="AO66" s="223">
        <f t="shared" si="164"/>
        <v>-9.1000000000000014</v>
      </c>
      <c r="AP66" s="642">
        <v>-34.1</v>
      </c>
      <c r="AQ66" s="223">
        <v>-8.5</v>
      </c>
      <c r="AR66" s="223">
        <f>-17.1-AQ66</f>
        <v>-8.6000000000000014</v>
      </c>
      <c r="AS66" s="223">
        <f>-25.6-AR66-AQ66</f>
        <v>-8.5</v>
      </c>
      <c r="AT66" s="223">
        <f>-34.2-AS66-AR66-AQ66</f>
        <v>-8.6000000000000014</v>
      </c>
      <c r="AU66" s="218">
        <f t="shared" si="165"/>
        <v>-34.200000000000003</v>
      </c>
      <c r="AV66" s="243"/>
      <c r="AW66" s="219">
        <f t="shared" si="184"/>
        <v>-8.5</v>
      </c>
      <c r="AX66" s="219">
        <f t="shared" si="185"/>
        <v>-8.6000000000000014</v>
      </c>
      <c r="AY66" s="223">
        <v>-8.1999999999999993</v>
      </c>
      <c r="AZ66" s="223">
        <v>-0.4</v>
      </c>
      <c r="BA66" s="218">
        <f t="shared" si="166"/>
        <v>-25.7</v>
      </c>
      <c r="BB66" s="223">
        <v>0</v>
      </c>
      <c r="BC66" s="223">
        <f>0-BB66</f>
        <v>0</v>
      </c>
      <c r="BD66" s="219">
        <f>0-SUM(BB66:BC66)</f>
        <v>0</v>
      </c>
      <c r="BE66" s="219">
        <f>-393.4-SUM(BB66:BD66)</f>
        <v>-393.4</v>
      </c>
      <c r="BF66" s="642">
        <f t="shared" si="167"/>
        <v>-393.4</v>
      </c>
      <c r="BG66" s="223">
        <v>0</v>
      </c>
      <c r="BH66" s="219">
        <f t="shared" si="188"/>
        <v>0</v>
      </c>
      <c r="BI66" s="219">
        <f>0-SUM(BG66:BH66)</f>
        <v>0</v>
      </c>
      <c r="BJ66" s="223">
        <f t="shared" si="168"/>
        <v>-14</v>
      </c>
      <c r="BK66" s="642">
        <v>-14</v>
      </c>
      <c r="BL66" s="223">
        <v>-17.5</v>
      </c>
      <c r="BM66" s="223">
        <f>-38.6-BL66</f>
        <v>-21.1</v>
      </c>
      <c r="BN66" s="223">
        <f>-59.7-SUM(BL66:BM66)</f>
        <v>-21.1</v>
      </c>
      <c r="BO66" s="223">
        <f t="shared" si="169"/>
        <v>-24.599999999999994</v>
      </c>
      <c r="BP66" s="218">
        <v>-84.3</v>
      </c>
      <c r="BQ66" s="223">
        <v>-24.6</v>
      </c>
      <c r="BR66" s="223">
        <f>-49.3-BQ66</f>
        <v>-24.699999999999996</v>
      </c>
      <c r="BS66" s="223">
        <f>-77.4-BR66-BQ66</f>
        <v>-28.100000000000009</v>
      </c>
      <c r="BT66" s="223">
        <f t="shared" si="186"/>
        <v>-28.199999999999989</v>
      </c>
      <c r="BU66" s="642">
        <v>-105.6</v>
      </c>
      <c r="BV66" s="223">
        <v>0</v>
      </c>
      <c r="BW66" s="1409">
        <f>-124.5-BV66</f>
        <v>-124.5</v>
      </c>
      <c r="BX66" s="223">
        <f>-238.8-BW66-BV66</f>
        <v>-114.30000000000001</v>
      </c>
      <c r="BY66" s="65">
        <f t="shared" si="187"/>
        <v>-123.59999999999997</v>
      </c>
      <c r="BZ66" s="642">
        <v>-362.4</v>
      </c>
      <c r="CA66" s="1579">
        <v>-128.30000000000001</v>
      </c>
      <c r="CB66" s="223">
        <f>-260.2-CA66</f>
        <v>-131.89999999999998</v>
      </c>
      <c r="CC66" s="223">
        <f>-396.9-CB66-CA66</f>
        <v>-136.69999999999999</v>
      </c>
      <c r="CD66" s="219">
        <f>CE66-CC66-CB66-CA66</f>
        <v>-141.20000000000005</v>
      </c>
      <c r="CE66" s="642">
        <v>-538.1</v>
      </c>
      <c r="CF66" s="223">
        <v>-145.9</v>
      </c>
      <c r="CG66" s="223">
        <f>-296.6-CF66</f>
        <v>-150.70000000000002</v>
      </c>
      <c r="CH66" s="223">
        <f>-451.9-SUM(CF66:CG66)</f>
        <v>-155.29999999999995</v>
      </c>
      <c r="CI66" s="223">
        <f t="shared" si="171"/>
        <v>-211.60000000000005</v>
      </c>
      <c r="CJ66" s="1746">
        <v>-663.5</v>
      </c>
      <c r="CK66" s="1794">
        <v>-96.9</v>
      </c>
      <c r="CL66" s="1430">
        <f>-IS!CQ415</f>
        <v>-209.93353064999999</v>
      </c>
      <c r="CM66" s="1430">
        <f>-IS!CR415</f>
        <v>-209.67109065000005</v>
      </c>
      <c r="CN66" s="1430">
        <f>-IS!CS415</f>
        <v>-209.40865065000003</v>
      </c>
      <c r="CO66" s="1429">
        <f t="shared" si="172"/>
        <v>-725.91327195000008</v>
      </c>
      <c r="CP66" s="1430">
        <f>-IS!CU415</f>
        <v>-217.4178627525917</v>
      </c>
      <c r="CQ66" s="1430">
        <f>-IS!CV415</f>
        <v>-230.91533635500002</v>
      </c>
      <c r="CR66" s="1430">
        <f>-IS!CW415</f>
        <v>-230.60355763500002</v>
      </c>
      <c r="CS66" s="1430">
        <f>-IS!CX415</f>
        <v>-230.29177891500001</v>
      </c>
      <c r="CT66" s="1429">
        <f t="shared" si="173"/>
        <v>-909.22853565759181</v>
      </c>
      <c r="CU66" s="1430">
        <f>-IS!CZ415</f>
        <v>-250.40188865590326</v>
      </c>
      <c r="CV66" s="722">
        <f>-IS!DA415</f>
        <v>-253.99315172682003</v>
      </c>
      <c r="CW66" s="722">
        <f>-IS!DB415</f>
        <v>-253.62275860746007</v>
      </c>
      <c r="CX66" s="722">
        <f>-IS!DC415</f>
        <v>-253.25236548810003</v>
      </c>
      <c r="CY66" s="539">
        <f t="shared" si="174"/>
        <v>-1011.2701644782834</v>
      </c>
      <c r="CZ66" s="722">
        <f>-IS!DE415</f>
        <v>-287.49240499338379</v>
      </c>
      <c r="DA66" s="722">
        <f>-IS!DF415</f>
        <v>-279.37616960225023</v>
      </c>
      <c r="DB66" s="722">
        <f>-IS!DG415</f>
        <v>-278.93614257645061</v>
      </c>
      <c r="DC66" s="722">
        <f>-IS!DH415</f>
        <v>-278.49611555065087</v>
      </c>
      <c r="DD66" s="539">
        <f t="shared" si="175"/>
        <v>-1124.3008327227355</v>
      </c>
      <c r="DE66" s="722">
        <f>-IS!DJ415</f>
        <v>-311.92264086537841</v>
      </c>
      <c r="DF66" s="722">
        <f>-IS!DK415</f>
        <v>-307.29442537334012</v>
      </c>
      <c r="DG66" s="722">
        <f>-IS!DL415</f>
        <v>-306.77167326669007</v>
      </c>
      <c r="DH66" s="722">
        <f>-IS!DM415</f>
        <v>-306.24892116004008</v>
      </c>
      <c r="DI66" s="539">
        <f t="shared" si="176"/>
        <v>-1232.2376606654486</v>
      </c>
      <c r="DJ66" s="722">
        <f>-IS!DO415</f>
        <v>-359.48119809263676</v>
      </c>
      <c r="DK66" s="722">
        <f>-IS!DP415</f>
        <v>-338.00086681798155</v>
      </c>
      <c r="DL66" s="722">
        <f>-IS!DQ415</f>
        <v>-337.37983731528135</v>
      </c>
      <c r="DM66" s="722">
        <f>-IS!DR415</f>
        <v>-336.75880781258115</v>
      </c>
      <c r="DN66" s="539">
        <f t="shared" si="177"/>
        <v>-1371.6207100384809</v>
      </c>
      <c r="DO66" s="722">
        <f>-IS!DT415</f>
        <v>-398.2802149441622</v>
      </c>
      <c r="DP66" s="722">
        <f>-IS!DU415</f>
        <v>-371.77362820166093</v>
      </c>
      <c r="DQ66" s="722">
        <f>-IS!DV415</f>
        <v>-371.03584515245308</v>
      </c>
      <c r="DR66" s="722">
        <f>-IS!DW415</f>
        <v>-370.29806210324529</v>
      </c>
      <c r="DS66" s="539">
        <f t="shared" si="178"/>
        <v>-1511.3877504015213</v>
      </c>
      <c r="DT66" s="722">
        <f>-IS!DY415</f>
        <v>-425.16359707549555</v>
      </c>
      <c r="DU66" s="722">
        <f>-IS!DZ415</f>
        <v>-408.91852856766189</v>
      </c>
      <c r="DV66" s="722">
        <f>-IS!EA415</f>
        <v>-408.04204230520298</v>
      </c>
      <c r="DW66" s="722">
        <f>-IS!EB415</f>
        <v>-407.16555604274396</v>
      </c>
      <c r="DX66" s="539">
        <f t="shared" si="189"/>
        <v>-1649.2897239911044</v>
      </c>
      <c r="DY66" s="25"/>
      <c r="DZ66" s="37"/>
      <c r="EA66" s="37"/>
      <c r="EB66" s="424">
        <f t="shared" si="154"/>
        <v>-367</v>
      </c>
      <c r="EC66" s="486">
        <f t="shared" si="155"/>
        <v>-34</v>
      </c>
      <c r="ED66" s="486">
        <f t="shared" si="156"/>
        <v>-34</v>
      </c>
      <c r="EE66" s="486">
        <f t="shared" si="157"/>
        <v>-34.200000000000003</v>
      </c>
      <c r="EF66" s="486">
        <f t="shared" si="158"/>
        <v>-25.7</v>
      </c>
      <c r="EG66" s="486">
        <f t="shared" si="159"/>
        <v>-393.4</v>
      </c>
      <c r="EH66" s="486">
        <f t="shared" si="160"/>
        <v>-14</v>
      </c>
      <c r="EI66" s="486">
        <f t="shared" si="180"/>
        <v>-84.3</v>
      </c>
      <c r="EJ66" s="486">
        <f t="shared" si="181"/>
        <v>-105.6</v>
      </c>
      <c r="EK66" s="486">
        <f t="shared" si="182"/>
        <v>-362.4</v>
      </c>
      <c r="EL66" s="750">
        <f t="shared" si="183"/>
        <v>-538.1</v>
      </c>
      <c r="EM66" s="25"/>
      <c r="EN66" s="25"/>
      <c r="EU66" s="25"/>
      <c r="EV66" s="25"/>
      <c r="EW66" s="25"/>
      <c r="EX66" s="25"/>
      <c r="EY66" s="25"/>
      <c r="EZ66" s="25"/>
      <c r="FA66" s="25"/>
      <c r="FB66" s="25"/>
      <c r="FC66" s="25"/>
      <c r="FD66" s="25"/>
      <c r="FE66" s="25"/>
      <c r="FF66" s="25"/>
      <c r="FG66" s="25"/>
      <c r="FH66" s="25"/>
      <c r="FI66" s="25"/>
      <c r="FJ66" s="25"/>
    </row>
    <row r="67" spans="1:166" x14ac:dyDescent="0.2">
      <c r="A67" s="496" t="s">
        <v>355</v>
      </c>
      <c r="B67" s="218"/>
      <c r="C67" s="218"/>
      <c r="D67" s="721"/>
      <c r="E67" s="218"/>
      <c r="F67" s="218"/>
      <c r="G67" s="218"/>
      <c r="H67" s="218"/>
      <c r="I67" s="721"/>
      <c r="J67" s="218"/>
      <c r="K67" s="218"/>
      <c r="L67" s="218"/>
      <c r="M67" s="218"/>
      <c r="N67" s="218"/>
      <c r="O67" s="218"/>
      <c r="P67" s="258"/>
      <c r="Q67" s="336" t="s">
        <v>361</v>
      </c>
      <c r="R67" s="260"/>
      <c r="S67" s="223"/>
      <c r="T67" s="223"/>
      <c r="U67" s="261"/>
      <c r="V67" s="224">
        <v>-2</v>
      </c>
      <c r="W67" s="260"/>
      <c r="X67" s="223"/>
      <c r="Y67" s="223"/>
      <c r="Z67" s="259">
        <f t="shared" si="161"/>
        <v>0</v>
      </c>
      <c r="AA67" s="524">
        <v>0</v>
      </c>
      <c r="AB67" s="260">
        <v>-1</v>
      </c>
      <c r="AC67" s="223">
        <f>-1-AB67</f>
        <v>0</v>
      </c>
      <c r="AD67" s="223">
        <f>-1-AC67-AB67</f>
        <v>0</v>
      </c>
      <c r="AE67" s="261">
        <f t="shared" si="162"/>
        <v>-1</v>
      </c>
      <c r="AF67" s="218">
        <v>-2</v>
      </c>
      <c r="AG67" s="260">
        <v>-6</v>
      </c>
      <c r="AH67" s="223">
        <f>-6-AG67</f>
        <v>0</v>
      </c>
      <c r="AI67" s="223">
        <f>-35-AH67-AG67</f>
        <v>-29</v>
      </c>
      <c r="AJ67" s="261">
        <f t="shared" si="163"/>
        <v>0</v>
      </c>
      <c r="AK67" s="218">
        <v>-35</v>
      </c>
      <c r="AL67" s="260">
        <v>-18</v>
      </c>
      <c r="AM67" s="223">
        <f>-20-AL67</f>
        <v>-2</v>
      </c>
      <c r="AN67" s="223">
        <f>-20-AM67-AL67</f>
        <v>0</v>
      </c>
      <c r="AO67" s="261">
        <f t="shared" si="164"/>
        <v>-0.30000000000000071</v>
      </c>
      <c r="AP67" s="642">
        <v>-20.3</v>
      </c>
      <c r="AQ67" s="223">
        <v>-2.2999999999999998</v>
      </c>
      <c r="AR67" s="223">
        <f>-2.4-AQ67</f>
        <v>-0.10000000000000009</v>
      </c>
      <c r="AS67" s="223">
        <f>-2.4-AR67-AQ67</f>
        <v>0</v>
      </c>
      <c r="AT67" s="223">
        <f>-2.7-AS67-AR67-AQ67</f>
        <v>-0.30000000000000027</v>
      </c>
      <c r="AU67" s="218">
        <f t="shared" si="165"/>
        <v>-2.7</v>
      </c>
      <c r="AV67" s="279"/>
      <c r="AW67" s="219">
        <f t="shared" si="184"/>
        <v>0</v>
      </c>
      <c r="AX67" s="219">
        <f t="shared" si="185"/>
        <v>-0.30000000000000027</v>
      </c>
      <c r="AY67" s="223">
        <v>-2.2999999999999998</v>
      </c>
      <c r="AZ67" s="223">
        <v>-0.2</v>
      </c>
      <c r="BA67" s="218">
        <f t="shared" si="166"/>
        <v>-2.8000000000000003</v>
      </c>
      <c r="BB67" s="260">
        <v>0</v>
      </c>
      <c r="BC67" s="223">
        <f>0-BB67</f>
        <v>0</v>
      </c>
      <c r="BD67" s="219">
        <f>0-SUM(BB67:BC67)</f>
        <v>0</v>
      </c>
      <c r="BE67" s="219">
        <f>0-SUM(BB67:BD67)</f>
        <v>0</v>
      </c>
      <c r="BF67" s="642">
        <f t="shared" si="167"/>
        <v>0</v>
      </c>
      <c r="BG67" s="223">
        <v>0</v>
      </c>
      <c r="BH67" s="219">
        <f t="shared" si="188"/>
        <v>0</v>
      </c>
      <c r="BI67" s="219">
        <f>0-SUM(BG67:BH67)</f>
        <v>0</v>
      </c>
      <c r="BJ67" s="261">
        <f t="shared" si="168"/>
        <v>0</v>
      </c>
      <c r="BK67" s="642">
        <v>0</v>
      </c>
      <c r="BL67" s="223">
        <v>0</v>
      </c>
      <c r="BM67" s="223">
        <v>0</v>
      </c>
      <c r="BN67" s="223">
        <v>0</v>
      </c>
      <c r="BO67" s="65">
        <f t="shared" si="169"/>
        <v>-7.3</v>
      </c>
      <c r="BP67" s="218">
        <v>-7.3</v>
      </c>
      <c r="BQ67" s="223">
        <v>0</v>
      </c>
      <c r="BR67" s="223">
        <v>0</v>
      </c>
      <c r="BS67" s="223">
        <v>0</v>
      </c>
      <c r="BT67" s="65">
        <f t="shared" si="186"/>
        <v>0</v>
      </c>
      <c r="BU67" s="642">
        <v>0</v>
      </c>
      <c r="BV67" s="223">
        <v>0</v>
      </c>
      <c r="BW67" s="1409">
        <v>0</v>
      </c>
      <c r="BX67" s="223">
        <v>0</v>
      </c>
      <c r="BY67" s="65">
        <f t="shared" si="187"/>
        <v>-293.7</v>
      </c>
      <c r="BZ67" s="642">
        <v>-293.7</v>
      </c>
      <c r="CA67" s="1579">
        <v>0</v>
      </c>
      <c r="CB67" s="223">
        <v>0</v>
      </c>
      <c r="CC67" s="223">
        <v>0</v>
      </c>
      <c r="CD67" s="223">
        <v>0</v>
      </c>
      <c r="CE67" s="642">
        <f t="shared" si="170"/>
        <v>0</v>
      </c>
      <c r="CF67" s="223">
        <v>0</v>
      </c>
      <c r="CG67" s="223">
        <v>0</v>
      </c>
      <c r="CH67" s="223">
        <v>0</v>
      </c>
      <c r="CI67" s="223">
        <f t="shared" si="171"/>
        <v>0</v>
      </c>
      <c r="CJ67" s="642">
        <v>0</v>
      </c>
      <c r="CK67" s="223">
        <v>0</v>
      </c>
      <c r="CL67" s="722">
        <v>0</v>
      </c>
      <c r="CM67" s="722">
        <v>0</v>
      </c>
      <c r="CN67" s="722">
        <v>0</v>
      </c>
      <c r="CO67" s="539">
        <f t="shared" si="172"/>
        <v>0</v>
      </c>
      <c r="CP67" s="722">
        <v>0</v>
      </c>
      <c r="CQ67" s="722">
        <v>0</v>
      </c>
      <c r="CR67" s="722">
        <v>0</v>
      </c>
      <c r="CS67" s="722">
        <v>0</v>
      </c>
      <c r="CT67" s="539">
        <f t="shared" si="173"/>
        <v>0</v>
      </c>
      <c r="CU67" s="722">
        <v>0</v>
      </c>
      <c r="CV67" s="722">
        <v>0</v>
      </c>
      <c r="CW67" s="722">
        <v>0</v>
      </c>
      <c r="CX67" s="722">
        <v>0</v>
      </c>
      <c r="CY67" s="539">
        <f t="shared" si="174"/>
        <v>0</v>
      </c>
      <c r="CZ67" s="722">
        <v>0</v>
      </c>
      <c r="DA67" s="722">
        <v>0</v>
      </c>
      <c r="DB67" s="722">
        <v>0</v>
      </c>
      <c r="DC67" s="722">
        <v>0</v>
      </c>
      <c r="DD67" s="539">
        <f t="shared" si="175"/>
        <v>0</v>
      </c>
      <c r="DE67" s="722">
        <v>0</v>
      </c>
      <c r="DF67" s="722">
        <v>0</v>
      </c>
      <c r="DG67" s="722">
        <v>0</v>
      </c>
      <c r="DH67" s="722">
        <v>0</v>
      </c>
      <c r="DI67" s="539">
        <f t="shared" si="176"/>
        <v>0</v>
      </c>
      <c r="DJ67" s="722">
        <v>0</v>
      </c>
      <c r="DK67" s="722">
        <v>0</v>
      </c>
      <c r="DL67" s="722">
        <v>0</v>
      </c>
      <c r="DM67" s="722">
        <v>0</v>
      </c>
      <c r="DN67" s="539">
        <f t="shared" si="177"/>
        <v>0</v>
      </c>
      <c r="DO67" s="722">
        <v>0</v>
      </c>
      <c r="DP67" s="722">
        <v>0</v>
      </c>
      <c r="DQ67" s="722">
        <v>0</v>
      </c>
      <c r="DR67" s="722">
        <v>0</v>
      </c>
      <c r="DS67" s="539">
        <f t="shared" si="178"/>
        <v>0</v>
      </c>
      <c r="DT67" s="722">
        <v>0</v>
      </c>
      <c r="DU67" s="722">
        <v>0</v>
      </c>
      <c r="DV67" s="722">
        <v>0</v>
      </c>
      <c r="DW67" s="722">
        <v>0</v>
      </c>
      <c r="DX67" s="539">
        <f t="shared" si="189"/>
        <v>0</v>
      </c>
      <c r="DY67" s="25"/>
      <c r="DZ67" s="37"/>
      <c r="EA67" s="37"/>
      <c r="EB67" s="424">
        <f t="shared" si="154"/>
        <v>-1</v>
      </c>
      <c r="EC67" s="486">
        <f t="shared" si="155"/>
        <v>-7</v>
      </c>
      <c r="ED67" s="486">
        <f t="shared" si="156"/>
        <v>-49</v>
      </c>
      <c r="EE67" s="486">
        <f t="shared" si="157"/>
        <v>-2.7000000000000006</v>
      </c>
      <c r="EF67" s="486">
        <f t="shared" si="158"/>
        <v>-2.8000000000000003</v>
      </c>
      <c r="EG67" s="486">
        <f t="shared" si="159"/>
        <v>0</v>
      </c>
      <c r="EH67" s="486">
        <f t="shared" si="160"/>
        <v>0</v>
      </c>
      <c r="EI67" s="486">
        <f t="shared" si="180"/>
        <v>-7.3</v>
      </c>
      <c r="EJ67" s="486">
        <f t="shared" si="181"/>
        <v>0</v>
      </c>
      <c r="EK67" s="486">
        <f t="shared" si="182"/>
        <v>-293.7</v>
      </c>
      <c r="EL67" s="750">
        <f t="shared" si="183"/>
        <v>0</v>
      </c>
      <c r="EM67" s="25"/>
      <c r="EN67" s="25"/>
      <c r="EU67" s="25"/>
      <c r="EV67" s="25"/>
      <c r="EW67" s="25"/>
      <c r="EX67" s="25"/>
      <c r="EY67" s="25"/>
      <c r="EZ67" s="25"/>
      <c r="FA67" s="25"/>
      <c r="FB67" s="25"/>
      <c r="FC67" s="25"/>
      <c r="FD67" s="25"/>
      <c r="FE67" s="25"/>
      <c r="FF67" s="25"/>
      <c r="FG67" s="25"/>
      <c r="FH67" s="25"/>
      <c r="FI67" s="25"/>
      <c r="FJ67" s="25"/>
    </row>
    <row r="68" spans="1:166" x14ac:dyDescent="0.2">
      <c r="A68" s="496" t="s">
        <v>830</v>
      </c>
      <c r="B68" s="218"/>
      <c r="C68" s="218"/>
      <c r="D68" s="721"/>
      <c r="E68" s="218"/>
      <c r="F68" s="218"/>
      <c r="G68" s="218"/>
      <c r="H68" s="218"/>
      <c r="I68" s="721"/>
      <c r="J68" s="218"/>
      <c r="K68" s="218"/>
      <c r="L68" s="218"/>
      <c r="M68" s="218"/>
      <c r="N68" s="218"/>
      <c r="O68" s="218"/>
      <c r="P68" s="258"/>
      <c r="Q68" s="336"/>
      <c r="R68" s="260"/>
      <c r="S68" s="223"/>
      <c r="T68" s="223"/>
      <c r="U68" s="261"/>
      <c r="V68" s="224"/>
      <c r="W68" s="260"/>
      <c r="X68" s="223"/>
      <c r="Y68" s="223"/>
      <c r="Z68" s="259"/>
      <c r="AA68" s="524"/>
      <c r="AB68" s="260"/>
      <c r="AC68" s="223"/>
      <c r="AD68" s="223"/>
      <c r="AE68" s="261"/>
      <c r="AF68" s="218"/>
      <c r="AG68" s="260"/>
      <c r="AH68" s="223"/>
      <c r="AI68" s="223"/>
      <c r="AJ68" s="261"/>
      <c r="AK68" s="218"/>
      <c r="AL68" s="260"/>
      <c r="AM68" s="223"/>
      <c r="AN68" s="223"/>
      <c r="AO68" s="261"/>
      <c r="AP68" s="642"/>
      <c r="AQ68" s="223"/>
      <c r="AR68" s="223"/>
      <c r="AS68" s="223"/>
      <c r="AT68" s="223"/>
      <c r="AU68" s="218"/>
      <c r="AV68" s="279"/>
      <c r="AW68" s="219"/>
      <c r="AX68" s="219"/>
      <c r="AY68" s="223"/>
      <c r="AZ68" s="223"/>
      <c r="BA68" s="218"/>
      <c r="BB68" s="260"/>
      <c r="BC68" s="223"/>
      <c r="BD68" s="219"/>
      <c r="BE68" s="219"/>
      <c r="BF68" s="642"/>
      <c r="BG68" s="223"/>
      <c r="BH68" s="219"/>
      <c r="BI68" s="219"/>
      <c r="BJ68" s="261"/>
      <c r="BK68" s="642"/>
      <c r="BL68" s="223"/>
      <c r="BM68" s="223"/>
      <c r="BN68" s="223"/>
      <c r="BO68" s="65"/>
      <c r="BP68" s="218"/>
      <c r="BQ68" s="223"/>
      <c r="BR68" s="223"/>
      <c r="BS68" s="223"/>
      <c r="BT68" s="65"/>
      <c r="BU68" s="642"/>
      <c r="BV68" s="223"/>
      <c r="BW68" s="1409"/>
      <c r="BX68" s="223">
        <f>-3.9-BW68-BV68</f>
        <v>-3.9</v>
      </c>
      <c r="BY68" s="65">
        <f t="shared" si="187"/>
        <v>-1.6999999999999997</v>
      </c>
      <c r="BZ68" s="642">
        <v>-5.6</v>
      </c>
      <c r="CA68" s="1579">
        <f>3.1</f>
        <v>3.1</v>
      </c>
      <c r="CB68" s="223">
        <f>0-CA68</f>
        <v>-3.1</v>
      </c>
      <c r="CC68" s="223">
        <f>0.8-CB68-CA68</f>
        <v>0.80000000000000027</v>
      </c>
      <c r="CD68" s="65">
        <f>CE68-CC68-CB68-CA68</f>
        <v>-6.2000000000000011</v>
      </c>
      <c r="CE68" s="642">
        <f>-5.4</f>
        <v>-5.4</v>
      </c>
      <c r="CF68" s="223">
        <v>-1.1000000000000001</v>
      </c>
      <c r="CG68" s="223">
        <f>-2.3-CF68</f>
        <v>-1.1999999999999997</v>
      </c>
      <c r="CH68" s="223">
        <f>-6.2-SUM(CF68:CG68)</f>
        <v>-3.9000000000000004</v>
      </c>
      <c r="CI68" s="223">
        <f>CJ68-CH68-CF68-CG68</f>
        <v>-3.9</v>
      </c>
      <c r="CJ68" s="642">
        <v>-10.1</v>
      </c>
      <c r="CK68" s="223">
        <v>-0.6</v>
      </c>
      <c r="CL68" s="722"/>
      <c r="CM68" s="722"/>
      <c r="CN68" s="722"/>
      <c r="CO68" s="539"/>
      <c r="CP68" s="722"/>
      <c r="CQ68" s="722"/>
      <c r="CR68" s="722"/>
      <c r="CS68" s="722"/>
      <c r="CT68" s="539"/>
      <c r="CU68" s="722"/>
      <c r="CV68" s="722"/>
      <c r="CW68" s="722"/>
      <c r="CX68" s="722"/>
      <c r="CY68" s="539"/>
      <c r="CZ68" s="722"/>
      <c r="DA68" s="722"/>
      <c r="DB68" s="722"/>
      <c r="DC68" s="722"/>
      <c r="DD68" s="539"/>
      <c r="DE68" s="722"/>
      <c r="DF68" s="722"/>
      <c r="DG68" s="722"/>
      <c r="DH68" s="722"/>
      <c r="DI68" s="539"/>
      <c r="DJ68" s="722"/>
      <c r="DK68" s="722"/>
      <c r="DL68" s="722"/>
      <c r="DM68" s="722"/>
      <c r="DN68" s="539"/>
      <c r="DO68" s="722"/>
      <c r="DP68" s="722"/>
      <c r="DQ68" s="722"/>
      <c r="DR68" s="722"/>
      <c r="DS68" s="539"/>
      <c r="DT68" s="722"/>
      <c r="DU68" s="722"/>
      <c r="DV68" s="722"/>
      <c r="DW68" s="722"/>
      <c r="DX68" s="539"/>
      <c r="DY68" s="25"/>
      <c r="DZ68" s="37"/>
      <c r="EA68" s="37"/>
      <c r="EB68" s="424"/>
      <c r="EC68" s="486"/>
      <c r="ED68" s="486"/>
      <c r="EE68" s="486"/>
      <c r="EF68" s="486"/>
      <c r="EG68" s="486"/>
      <c r="EH68" s="486"/>
      <c r="EI68" s="486"/>
      <c r="EJ68" s="486"/>
      <c r="EK68" s="486">
        <f t="shared" si="182"/>
        <v>-5.6</v>
      </c>
      <c r="EL68" s="750"/>
      <c r="EM68" s="25"/>
      <c r="EN68" s="25"/>
      <c r="EU68" s="25"/>
      <c r="EV68" s="25"/>
      <c r="EW68" s="25"/>
      <c r="EX68" s="25"/>
      <c r="EY68" s="25"/>
      <c r="EZ68" s="25"/>
      <c r="FA68" s="25"/>
      <c r="FB68" s="25"/>
      <c r="FC68" s="25"/>
      <c r="FD68" s="25"/>
      <c r="FE68" s="25"/>
      <c r="FF68" s="25"/>
      <c r="FG68" s="25"/>
      <c r="FH68" s="25"/>
      <c r="FI68" s="25"/>
      <c r="FJ68" s="25"/>
    </row>
    <row r="69" spans="1:166" x14ac:dyDescent="0.2">
      <c r="A69" s="497" t="s">
        <v>503</v>
      </c>
      <c r="B69" s="215"/>
      <c r="C69" s="215"/>
      <c r="D69" s="249"/>
      <c r="E69" s="215"/>
      <c r="F69" s="215"/>
      <c r="G69" s="215"/>
      <c r="H69" s="215"/>
      <c r="I69" s="249"/>
      <c r="J69" s="215"/>
      <c r="K69" s="215"/>
      <c r="L69" s="215"/>
      <c r="M69" s="215"/>
      <c r="N69" s="215"/>
      <c r="O69" s="215"/>
      <c r="P69" s="248"/>
      <c r="Q69" s="337"/>
      <c r="R69" s="262"/>
      <c r="S69" s="263"/>
      <c r="T69" s="263"/>
      <c r="U69" s="264"/>
      <c r="V69" s="222"/>
      <c r="W69" s="262"/>
      <c r="X69" s="263"/>
      <c r="Y69" s="263"/>
      <c r="Z69" s="257"/>
      <c r="AA69" s="332"/>
      <c r="AB69" s="262"/>
      <c r="AC69" s="263"/>
      <c r="AD69" s="263"/>
      <c r="AE69" s="264"/>
      <c r="AF69" s="215"/>
      <c r="AG69" s="262"/>
      <c r="AH69" s="263"/>
      <c r="AI69" s="263"/>
      <c r="AJ69" s="264"/>
      <c r="AK69" s="215"/>
      <c r="AL69" s="262"/>
      <c r="AM69" s="263"/>
      <c r="AN69" s="263"/>
      <c r="AO69" s="264"/>
      <c r="AP69" s="641"/>
      <c r="AQ69" s="263">
        <v>0</v>
      </c>
      <c r="AR69" s="263">
        <v>0</v>
      </c>
      <c r="AS69" s="263">
        <v>0</v>
      </c>
      <c r="AT69" s="263">
        <v>0</v>
      </c>
      <c r="AU69" s="215">
        <f t="shared" si="165"/>
        <v>0</v>
      </c>
      <c r="AV69" s="157"/>
      <c r="AW69" s="65">
        <f t="shared" si="184"/>
        <v>0</v>
      </c>
      <c r="AX69" s="65">
        <f t="shared" si="185"/>
        <v>0</v>
      </c>
      <c r="AY69" s="263">
        <v>0</v>
      </c>
      <c r="AZ69" s="263">
        <v>1563.5</v>
      </c>
      <c r="BA69" s="215">
        <f t="shared" si="166"/>
        <v>1563.5</v>
      </c>
      <c r="BB69" s="262"/>
      <c r="BC69" s="263"/>
      <c r="BD69" s="263"/>
      <c r="BE69" s="264"/>
      <c r="BF69" s="641"/>
      <c r="BG69" s="263"/>
      <c r="BH69" s="263"/>
      <c r="BI69" s="263"/>
      <c r="BJ69" s="264"/>
      <c r="BK69" s="641"/>
      <c r="BL69" s="263"/>
      <c r="BM69" s="263"/>
      <c r="BN69" s="263"/>
      <c r="BO69" s="264"/>
      <c r="BP69" s="215"/>
      <c r="BQ69" s="263"/>
      <c r="BR69" s="263"/>
      <c r="BS69" s="263"/>
      <c r="BT69" s="264"/>
      <c r="BU69" s="641"/>
      <c r="BV69" s="263"/>
      <c r="BW69" s="1408"/>
      <c r="BX69" s="263"/>
      <c r="BY69" s="264"/>
      <c r="BZ69" s="641"/>
      <c r="CA69" s="1578"/>
      <c r="CB69" s="263"/>
      <c r="CC69" s="263"/>
      <c r="CD69" s="264"/>
      <c r="CE69" s="641"/>
      <c r="CF69" s="263"/>
      <c r="CG69" s="263"/>
      <c r="CH69" s="263"/>
      <c r="CI69" s="264"/>
      <c r="CJ69" s="641"/>
      <c r="CK69" s="263"/>
      <c r="CL69" s="351"/>
      <c r="CM69" s="351"/>
      <c r="CN69" s="352"/>
      <c r="CO69" s="538"/>
      <c r="CP69" s="351"/>
      <c r="CQ69" s="351"/>
      <c r="CR69" s="351"/>
      <c r="CS69" s="352"/>
      <c r="CT69" s="538"/>
      <c r="CU69" s="351"/>
      <c r="CV69" s="351"/>
      <c r="CW69" s="351"/>
      <c r="CX69" s="352"/>
      <c r="CY69" s="538"/>
      <c r="CZ69" s="351"/>
      <c r="DA69" s="351"/>
      <c r="DB69" s="351"/>
      <c r="DC69" s="352"/>
      <c r="DD69" s="538"/>
      <c r="DE69" s="351"/>
      <c r="DF69" s="351"/>
      <c r="DG69" s="351"/>
      <c r="DH69" s="352"/>
      <c r="DI69" s="538"/>
      <c r="DJ69" s="351"/>
      <c r="DK69" s="351"/>
      <c r="DL69" s="351"/>
      <c r="DM69" s="352"/>
      <c r="DN69" s="538"/>
      <c r="DO69" s="351"/>
      <c r="DP69" s="351"/>
      <c r="DQ69" s="351"/>
      <c r="DR69" s="352"/>
      <c r="DS69" s="538"/>
      <c r="DT69" s="351"/>
      <c r="DU69" s="351"/>
      <c r="DV69" s="351"/>
      <c r="DW69" s="352"/>
      <c r="DX69" s="538"/>
      <c r="DY69" s="16"/>
      <c r="DZ69" s="21"/>
      <c r="EA69" s="21"/>
      <c r="EB69" s="266">
        <f t="shared" si="154"/>
        <v>0</v>
      </c>
      <c r="EC69" s="312">
        <f t="shared" si="155"/>
        <v>0</v>
      </c>
      <c r="ED69" s="312">
        <f t="shared" si="156"/>
        <v>0</v>
      </c>
      <c r="EE69" s="312">
        <f t="shared" si="157"/>
        <v>0</v>
      </c>
      <c r="EF69" s="312">
        <f t="shared" si="158"/>
        <v>1563.5</v>
      </c>
      <c r="EG69" s="312">
        <f t="shared" si="159"/>
        <v>0</v>
      </c>
      <c r="EH69" s="312">
        <f t="shared" si="160"/>
        <v>0</v>
      </c>
      <c r="EI69" s="312">
        <f t="shared" si="180"/>
        <v>0</v>
      </c>
      <c r="EJ69" s="312">
        <f t="shared" si="181"/>
        <v>0</v>
      </c>
      <c r="EK69" s="312">
        <f t="shared" si="182"/>
        <v>0</v>
      </c>
      <c r="EL69" s="359">
        <f t="shared" si="183"/>
        <v>0</v>
      </c>
      <c r="EM69" s="16"/>
      <c r="EN69" s="16"/>
      <c r="EU69" s="16"/>
      <c r="EV69" s="16"/>
      <c r="EW69" s="16"/>
      <c r="EX69" s="16"/>
      <c r="EY69" s="16"/>
      <c r="EZ69" s="16"/>
      <c r="FA69" s="16"/>
      <c r="FB69" s="16"/>
      <c r="FC69" s="16"/>
      <c r="FD69" s="16"/>
      <c r="FE69" s="16"/>
      <c r="FF69" s="16"/>
      <c r="FG69" s="16"/>
      <c r="FH69" s="16"/>
      <c r="FI69" s="16"/>
      <c r="FJ69" s="16"/>
    </row>
    <row r="70" spans="1:166" ht="3.95" customHeight="1" x14ac:dyDescent="0.2">
      <c r="A70" s="497" t="s">
        <v>339</v>
      </c>
      <c r="B70" s="215"/>
      <c r="C70" s="215"/>
      <c r="D70" s="249"/>
      <c r="E70" s="215"/>
      <c r="F70" s="215"/>
      <c r="G70" s="215"/>
      <c r="H70" s="215"/>
      <c r="I70" s="249"/>
      <c r="J70" s="215"/>
      <c r="K70" s="215"/>
      <c r="L70" s="215"/>
      <c r="M70" s="215"/>
      <c r="N70" s="215"/>
      <c r="O70" s="215"/>
      <c r="P70" s="248"/>
      <c r="Q70" s="222"/>
      <c r="R70" s="262"/>
      <c r="S70" s="263"/>
      <c r="T70" s="263"/>
      <c r="U70" s="264"/>
      <c r="V70" s="222" t="s">
        <v>339</v>
      </c>
      <c r="W70" s="262"/>
      <c r="X70" s="263"/>
      <c r="Y70" s="263"/>
      <c r="Z70" s="264"/>
      <c r="AA70" s="222"/>
      <c r="AB70" s="262"/>
      <c r="AC70" s="263"/>
      <c r="AD70" s="263"/>
      <c r="AE70" s="264"/>
      <c r="AF70" s="215"/>
      <c r="AG70" s="262"/>
      <c r="AH70" s="263"/>
      <c r="AI70" s="263"/>
      <c r="AJ70" s="264"/>
      <c r="AK70" s="222"/>
      <c r="AL70" s="262"/>
      <c r="AM70" s="263"/>
      <c r="AN70" s="263"/>
      <c r="AO70" s="264"/>
      <c r="AP70" s="646"/>
      <c r="AQ70" s="263"/>
      <c r="AR70" s="263"/>
      <c r="AS70" s="263"/>
      <c r="AT70" s="263"/>
      <c r="AU70" s="222"/>
      <c r="AV70" s="888"/>
      <c r="AW70" s="263"/>
      <c r="AX70" s="263"/>
      <c r="AY70" s="263"/>
      <c r="AZ70" s="263"/>
      <c r="BA70" s="222"/>
      <c r="BB70" s="262"/>
      <c r="BC70" s="263"/>
      <c r="BD70" s="263"/>
      <c r="BE70" s="264"/>
      <c r="BF70" s="646"/>
      <c r="BG70" s="263"/>
      <c r="BH70" s="263"/>
      <c r="BI70" s="263"/>
      <c r="BJ70" s="264"/>
      <c r="BK70" s="646"/>
      <c r="BL70" s="263"/>
      <c r="BM70" s="263"/>
      <c r="BN70" s="263"/>
      <c r="BO70" s="264"/>
      <c r="BP70" s="222"/>
      <c r="BQ70" s="263"/>
      <c r="BR70" s="263"/>
      <c r="BS70" s="263"/>
      <c r="BT70" s="264"/>
      <c r="BU70" s="646"/>
      <c r="BV70" s="263"/>
      <c r="BW70" s="1408"/>
      <c r="BX70" s="263"/>
      <c r="BY70" s="264"/>
      <c r="BZ70" s="646"/>
      <c r="CA70" s="1578"/>
      <c r="CB70" s="263"/>
      <c r="CC70" s="263"/>
      <c r="CD70" s="264"/>
      <c r="CE70" s="646"/>
      <c r="CF70" s="263"/>
      <c r="CG70" s="263"/>
      <c r="CH70" s="263"/>
      <c r="CI70" s="264"/>
      <c r="CJ70" s="646"/>
      <c r="CK70" s="263"/>
      <c r="CL70" s="351"/>
      <c r="CM70" s="351"/>
      <c r="CN70" s="352"/>
      <c r="CO70" s="542"/>
      <c r="CP70" s="351"/>
      <c r="CQ70" s="351"/>
      <c r="CR70" s="351"/>
      <c r="CS70" s="352"/>
      <c r="CT70" s="542"/>
      <c r="CU70" s="351"/>
      <c r="CV70" s="351"/>
      <c r="CW70" s="351"/>
      <c r="CX70" s="352"/>
      <c r="CY70" s="542"/>
      <c r="CZ70" s="351"/>
      <c r="DA70" s="351"/>
      <c r="DB70" s="351"/>
      <c r="DC70" s="352"/>
      <c r="DD70" s="542"/>
      <c r="DE70" s="351"/>
      <c r="DF70" s="351"/>
      <c r="DG70" s="351"/>
      <c r="DH70" s="352"/>
      <c r="DI70" s="542"/>
      <c r="DJ70" s="351"/>
      <c r="DK70" s="351"/>
      <c r="DL70" s="351"/>
      <c r="DM70" s="352"/>
      <c r="DN70" s="542"/>
      <c r="DO70" s="351"/>
      <c r="DP70" s="351"/>
      <c r="DQ70" s="351"/>
      <c r="DR70" s="352"/>
      <c r="DS70" s="542"/>
      <c r="DT70" s="351"/>
      <c r="DU70" s="351"/>
      <c r="DV70" s="351"/>
      <c r="DW70" s="352"/>
      <c r="DX70" s="542"/>
      <c r="DY70" s="16"/>
      <c r="DZ70" s="21"/>
      <c r="EA70" s="21"/>
      <c r="EB70" s="266"/>
      <c r="EC70" s="312"/>
      <c r="ED70" s="312"/>
      <c r="EE70" s="312"/>
      <c r="EF70" s="312"/>
      <c r="EG70" s="312"/>
      <c r="EH70" s="312"/>
      <c r="EI70" s="312"/>
      <c r="EJ70" s="312"/>
      <c r="EK70" s="312"/>
      <c r="EL70" s="359"/>
      <c r="EM70" s="16"/>
      <c r="EN70" s="16"/>
      <c r="EU70" s="16"/>
      <c r="EV70" s="16"/>
      <c r="EW70" s="16"/>
      <c r="EX70" s="16"/>
      <c r="EY70" s="16"/>
      <c r="EZ70" s="16"/>
      <c r="FA70" s="16"/>
      <c r="FB70" s="16"/>
      <c r="FC70" s="16"/>
      <c r="FD70" s="16"/>
      <c r="FE70" s="16"/>
      <c r="FF70" s="16"/>
      <c r="FG70" s="16"/>
      <c r="FH70" s="16"/>
      <c r="FI70" s="16"/>
      <c r="FJ70" s="16"/>
    </row>
    <row r="71" spans="1:166" x14ac:dyDescent="0.2">
      <c r="A71" s="655" t="s">
        <v>356</v>
      </c>
      <c r="B71" s="301"/>
      <c r="C71" s="301"/>
      <c r="D71" s="302"/>
      <c r="E71" s="301"/>
      <c r="F71" s="301"/>
      <c r="G71" s="301"/>
      <c r="H71" s="301"/>
      <c r="I71" s="302"/>
      <c r="J71" s="301"/>
      <c r="K71" s="301"/>
      <c r="L71" s="301"/>
      <c r="M71" s="301"/>
      <c r="N71" s="301"/>
      <c r="O71" s="301"/>
      <c r="P71" s="303"/>
      <c r="Q71" s="307">
        <v>3</v>
      </c>
      <c r="R71" s="308"/>
      <c r="S71" s="309"/>
      <c r="T71" s="309"/>
      <c r="U71" s="310"/>
      <c r="V71" s="307">
        <v>-2</v>
      </c>
      <c r="W71" s="308">
        <f t="shared" ref="W71:AF71" si="198">SUM(W57:W70)</f>
        <v>-193</v>
      </c>
      <c r="X71" s="309">
        <f t="shared" si="198"/>
        <v>-5</v>
      </c>
      <c r="Y71" s="309">
        <f t="shared" si="198"/>
        <v>-16</v>
      </c>
      <c r="Z71" s="310">
        <f t="shared" si="198"/>
        <v>41</v>
      </c>
      <c r="AA71" s="307">
        <f t="shared" si="198"/>
        <v>-173</v>
      </c>
      <c r="AB71" s="308">
        <f t="shared" si="198"/>
        <v>-51</v>
      </c>
      <c r="AC71" s="309">
        <f t="shared" si="198"/>
        <v>-46</v>
      </c>
      <c r="AD71" s="309">
        <f t="shared" si="198"/>
        <v>-24</v>
      </c>
      <c r="AE71" s="310">
        <f t="shared" si="198"/>
        <v>-6</v>
      </c>
      <c r="AF71" s="307">
        <f t="shared" si="198"/>
        <v>-127</v>
      </c>
      <c r="AG71" s="308">
        <f t="shared" ref="AG71:AP71" si="199">SUM(AG57:AG70)</f>
        <v>-39</v>
      </c>
      <c r="AH71" s="309">
        <f t="shared" si="199"/>
        <v>-32</v>
      </c>
      <c r="AI71" s="309">
        <f t="shared" si="199"/>
        <v>-34</v>
      </c>
      <c r="AJ71" s="310">
        <f t="shared" si="199"/>
        <v>43</v>
      </c>
      <c r="AK71" s="307">
        <f t="shared" si="199"/>
        <v>-62</v>
      </c>
      <c r="AL71" s="308">
        <f t="shared" si="199"/>
        <v>7</v>
      </c>
      <c r="AM71" s="309">
        <f t="shared" si="199"/>
        <v>-12</v>
      </c>
      <c r="AN71" s="309">
        <f t="shared" si="199"/>
        <v>-48</v>
      </c>
      <c r="AO71" s="310">
        <f t="shared" si="199"/>
        <v>-52.500000000000028</v>
      </c>
      <c r="AP71" s="645">
        <f t="shared" si="199"/>
        <v>-105.50000000000001</v>
      </c>
      <c r="AQ71" s="309">
        <f t="shared" ref="AQ71:BE71" si="200">SUM(AQ57:AQ70)</f>
        <v>-11.900000000000002</v>
      </c>
      <c r="AR71" s="309">
        <f t="shared" si="200"/>
        <v>-40.000000000000007</v>
      </c>
      <c r="AS71" s="309">
        <f t="shared" si="200"/>
        <v>-21.999999999999996</v>
      </c>
      <c r="AT71" s="309">
        <f t="shared" si="200"/>
        <v>-23.000000000000004</v>
      </c>
      <c r="AU71" s="645">
        <f t="shared" si="200"/>
        <v>-96.9</v>
      </c>
      <c r="AV71" s="247"/>
      <c r="AW71" s="309">
        <f>SUM(AW57:AW70)</f>
        <v>-21.999999999999996</v>
      </c>
      <c r="AX71" s="309">
        <f>SUM(AX57:AX70)</f>
        <v>-23.000000000000004</v>
      </c>
      <c r="AY71" s="309">
        <f t="shared" si="200"/>
        <v>-29.4</v>
      </c>
      <c r="AZ71" s="309">
        <f t="shared" si="200"/>
        <v>3396.3</v>
      </c>
      <c r="BA71" s="307">
        <f t="shared" si="200"/>
        <v>3321.9000000000005</v>
      </c>
      <c r="BB71" s="308">
        <f t="shared" si="200"/>
        <v>-9.5000000000000924</v>
      </c>
      <c r="BC71" s="309">
        <f t="shared" si="200"/>
        <v>387.8</v>
      </c>
      <c r="BD71" s="309">
        <f t="shared" si="200"/>
        <v>-13.899999999999864</v>
      </c>
      <c r="BE71" s="310">
        <f t="shared" si="200"/>
        <v>-472.40000000000003</v>
      </c>
      <c r="BF71" s="645">
        <f>SUM(BB71:BE71)</f>
        <v>-108</v>
      </c>
      <c r="BG71" s="309">
        <f>SUM(BG57:BG70)</f>
        <v>-49.2</v>
      </c>
      <c r="BH71" s="309">
        <f>SUM(BH57:BH70)</f>
        <v>-75.7</v>
      </c>
      <c r="BI71" s="309">
        <f>SUM(BI57:BI70)</f>
        <v>-23.800000000000036</v>
      </c>
      <c r="BJ71" s="310">
        <f>SUM(BJ57:BJ70)</f>
        <v>-25.89999999999991</v>
      </c>
      <c r="BK71" s="645">
        <f>SUM(BG71:BJ71)</f>
        <v>-174.59999999999997</v>
      </c>
      <c r="BL71" s="309">
        <f>SUM(BL57:BL70)</f>
        <v>-29.5</v>
      </c>
      <c r="BM71" s="309">
        <f>SUM(BM57:BM70)</f>
        <v>-28.400000000000002</v>
      </c>
      <c r="BN71" s="309">
        <f>SUM(BN57:BN70)</f>
        <v>-33</v>
      </c>
      <c r="BO71" s="310">
        <f>SUM(BO57:BO70)</f>
        <v>-41.8</v>
      </c>
      <c r="BP71" s="307">
        <f>SUM(BL71:BO71)</f>
        <v>-132.69999999999999</v>
      </c>
      <c r="BQ71" s="309">
        <f>SUM(BQ57:BQ70)</f>
        <v>-43.7</v>
      </c>
      <c r="BR71" s="309">
        <f>SUM(BR57:BR70)</f>
        <v>-43.899999999999991</v>
      </c>
      <c r="BS71" s="309">
        <f>SUM(BS57:BS70)</f>
        <v>-46.800000000000011</v>
      </c>
      <c r="BT71" s="310">
        <f>SUM(BT57:BT70)</f>
        <v>8699.9999999999982</v>
      </c>
      <c r="BU71" s="645">
        <f>SUM(BQ71:BT71)</f>
        <v>8565.5999999999985</v>
      </c>
      <c r="BV71" s="309">
        <f>SUM(BV57:BV70)</f>
        <v>-1016.7</v>
      </c>
      <c r="BW71" s="1407">
        <f>SUM(BW57:BW70)</f>
        <v>-528.50000000000023</v>
      </c>
      <c r="BX71" s="309">
        <f>SUM(BX57:BX70)</f>
        <v>-135.6999999999997</v>
      </c>
      <c r="BY71" s="310">
        <f>SUM(BY57:BY70)</f>
        <v>-434.30000000000024</v>
      </c>
      <c r="BZ71" s="645">
        <f>SUM(BV71:BY71)</f>
        <v>-2115.2000000000003</v>
      </c>
      <c r="CA71" s="1590">
        <f>SUM(CA57:CA70)</f>
        <v>-135.9</v>
      </c>
      <c r="CB71" s="1590">
        <f>SUM(CB57:CB70)</f>
        <v>-147.09999999999997</v>
      </c>
      <c r="CC71" s="309">
        <f>SUM(CC57:CC70)</f>
        <v>-153.29999999999998</v>
      </c>
      <c r="CD71" s="310">
        <f>SUM(CD57:CD70)</f>
        <v>-154.60000000000005</v>
      </c>
      <c r="CE71" s="645">
        <f>SUM(CA71:CD71)</f>
        <v>-590.9</v>
      </c>
      <c r="CF71" s="309">
        <f>SUM(CF57:CF70)</f>
        <v>809.30000000000007</v>
      </c>
      <c r="CG71" s="309">
        <f>SUM(CG57:CG70)</f>
        <v>1529.3999999999999</v>
      </c>
      <c r="CH71" s="309">
        <f>SUM(CH57:CH70)</f>
        <v>-176.29999999999993</v>
      </c>
      <c r="CI71" s="310">
        <f>SUM(CI57:CI70)</f>
        <v>-3097.6</v>
      </c>
      <c r="CJ71" s="645">
        <f>SUM(CF71:CI71)</f>
        <v>-935.19999999999982</v>
      </c>
      <c r="CK71" s="309">
        <f>SUM(CK57:CK70)</f>
        <v>-127.6</v>
      </c>
      <c r="CL71" s="350">
        <f>SUM(CL57:CL70)</f>
        <v>-225.80853064999999</v>
      </c>
      <c r="CM71" s="350">
        <f>SUM(CM57:CM70)</f>
        <v>-225.54609065000005</v>
      </c>
      <c r="CN71" s="353">
        <f>SUM(CN57:CN70)</f>
        <v>-225.28365065000003</v>
      </c>
      <c r="CO71" s="541">
        <f>SUM(CK71:CN71)</f>
        <v>-804.23827195000013</v>
      </c>
      <c r="CP71" s="350">
        <f>SUM(CP57:CP70)</f>
        <v>-234.2928627525917</v>
      </c>
      <c r="CQ71" s="350">
        <f>SUM(CQ57:CQ70)</f>
        <v>-246.79033635500002</v>
      </c>
      <c r="CR71" s="350">
        <f>SUM(CR57:CR70)</f>
        <v>-246.47855763500002</v>
      </c>
      <c r="CS71" s="353">
        <f>SUM(CS57:CS70)</f>
        <v>-246.16677891500001</v>
      </c>
      <c r="CT71" s="541">
        <f>SUM(CP71:CS71)</f>
        <v>-973.72853565759181</v>
      </c>
      <c r="CU71" s="350">
        <f>SUM(CU57:CU70)</f>
        <v>-267.27688865590324</v>
      </c>
      <c r="CV71" s="350">
        <f>SUM(CV57:CV70)</f>
        <v>-269.86815172682003</v>
      </c>
      <c r="CW71" s="350">
        <f>SUM(CW57:CW70)</f>
        <v>-269.49775860746007</v>
      </c>
      <c r="CX71" s="353">
        <f>SUM(CX57:CX70)</f>
        <v>-269.12736548810005</v>
      </c>
      <c r="CY71" s="541">
        <f>SUM(CU71:CX71)</f>
        <v>-1075.7701644782833</v>
      </c>
      <c r="CZ71" s="350">
        <f>SUM(CZ57:CZ70)</f>
        <v>-304.36740499338379</v>
      </c>
      <c r="DA71" s="350">
        <f>SUM(DA57:DA70)</f>
        <v>-295.25116960225023</v>
      </c>
      <c r="DB71" s="350">
        <f>SUM(DB57:DB70)</f>
        <v>-294.81114257645061</v>
      </c>
      <c r="DC71" s="353">
        <f>SUM(DC57:DC70)</f>
        <v>-910.84611555065123</v>
      </c>
      <c r="DD71" s="541">
        <f>SUM(CZ71:DC71)</f>
        <v>-1805.2758327227359</v>
      </c>
      <c r="DE71" s="350">
        <f>SUM(DE57:DE70)</f>
        <v>-325.67264086537841</v>
      </c>
      <c r="DF71" s="350">
        <f>SUM(DF57:DF70)</f>
        <v>-320.04442537334012</v>
      </c>
      <c r="DG71" s="350">
        <f>SUM(DG57:DG70)</f>
        <v>-319.52167326669007</v>
      </c>
      <c r="DH71" s="353">
        <f>SUM(DH57:DH70)</f>
        <v>-318.99892116004008</v>
      </c>
      <c r="DI71" s="541">
        <f>SUM(DE71:DH71)</f>
        <v>-1284.2376606654486</v>
      </c>
      <c r="DJ71" s="350">
        <f>SUM(DJ57:DJ70)</f>
        <v>-373.23119809263676</v>
      </c>
      <c r="DK71" s="350">
        <f>SUM(DK57:DK70)</f>
        <v>-350.75086681798155</v>
      </c>
      <c r="DL71" s="350">
        <f>SUM(DL57:DL70)</f>
        <v>-350.12983731528135</v>
      </c>
      <c r="DM71" s="353">
        <f>SUM(DM57:DM70)</f>
        <v>-349.50880781258115</v>
      </c>
      <c r="DN71" s="541">
        <f>SUM(DJ71:DM71)</f>
        <v>-1423.6207100384809</v>
      </c>
      <c r="DO71" s="350">
        <f>SUM(DO57:DO70)</f>
        <v>-412.0302149441622</v>
      </c>
      <c r="DP71" s="350">
        <f>SUM(DP57:DP70)</f>
        <v>-384.52362820166093</v>
      </c>
      <c r="DQ71" s="350">
        <f>SUM(DQ57:DQ70)</f>
        <v>-383.78584515245308</v>
      </c>
      <c r="DR71" s="353">
        <f>SUM(DR57:DR70)</f>
        <v>-383.04806210324529</v>
      </c>
      <c r="DS71" s="541">
        <f>SUM(DO71:DR71)</f>
        <v>-1563.3877504015213</v>
      </c>
      <c r="DT71" s="350">
        <f>SUM(DT57:DT70)</f>
        <v>-438.91359707549555</v>
      </c>
      <c r="DU71" s="350">
        <f>SUM(DU57:DU70)</f>
        <v>-421.66852856766189</v>
      </c>
      <c r="DV71" s="350">
        <f>SUM(DV57:DV70)</f>
        <v>-420.79204230520298</v>
      </c>
      <c r="DW71" s="353">
        <f>SUM(DW57:DW70)</f>
        <v>-419.91555604274396</v>
      </c>
      <c r="DX71" s="541">
        <f>SUM(DT71:DW71)</f>
        <v>-1701.2897239911044</v>
      </c>
      <c r="DY71" s="16"/>
      <c r="DZ71" s="21"/>
      <c r="EA71" s="21"/>
      <c r="EB71" s="426">
        <f>SUM(AC71,AB71,Z71,Y71)</f>
        <v>-72</v>
      </c>
      <c r="EC71" s="484">
        <f>SUM(AD71,AE71,AG71,AH71)</f>
        <v>-101</v>
      </c>
      <c r="ED71" s="484">
        <f>SUM(AI71,AJ71,AL71,AM71)</f>
        <v>4</v>
      </c>
      <c r="EE71" s="484">
        <f>SUM(AN71,AO71,AQ71,AR71)</f>
        <v>-152.40000000000003</v>
      </c>
      <c r="EF71" s="484">
        <f>BA71</f>
        <v>3321.9000000000005</v>
      </c>
      <c r="EG71" s="484">
        <f>BF71</f>
        <v>-108</v>
      </c>
      <c r="EH71" s="484">
        <f>BK71</f>
        <v>-174.59999999999997</v>
      </c>
      <c r="EI71" s="484">
        <f>BP71</f>
        <v>-132.69999999999999</v>
      </c>
      <c r="EJ71" s="484">
        <f>BU71</f>
        <v>8565.5999999999985</v>
      </c>
      <c r="EK71" s="484">
        <f>BZ71</f>
        <v>-2115.2000000000003</v>
      </c>
      <c r="EL71" s="748">
        <f>CE71</f>
        <v>-590.9</v>
      </c>
      <c r="EM71" s="16"/>
      <c r="EN71" s="16"/>
      <c r="EU71" s="16"/>
      <c r="EV71" s="16"/>
      <c r="EW71" s="16"/>
      <c r="EX71" s="16"/>
      <c r="EY71" s="16"/>
      <c r="EZ71" s="16"/>
      <c r="FA71" s="16"/>
      <c r="FB71" s="16"/>
      <c r="FC71" s="16"/>
      <c r="FD71" s="16"/>
      <c r="FE71" s="16"/>
      <c r="FF71" s="16"/>
      <c r="FG71" s="16"/>
      <c r="FH71" s="16"/>
      <c r="FI71" s="16"/>
      <c r="FJ71" s="16"/>
    </row>
    <row r="72" spans="1:166" x14ac:dyDescent="0.2">
      <c r="A72" s="497" t="s">
        <v>788</v>
      </c>
      <c r="B72" s="215"/>
      <c r="C72" s="215"/>
      <c r="D72" s="249"/>
      <c r="E72" s="215"/>
      <c r="F72" s="215"/>
      <c r="G72" s="215"/>
      <c r="H72" s="215"/>
      <c r="I72" s="249"/>
      <c r="J72" s="215"/>
      <c r="K72" s="215"/>
      <c r="L72" s="215"/>
      <c r="M72" s="215"/>
      <c r="N72" s="215"/>
      <c r="O72" s="215"/>
      <c r="P72" s="248"/>
      <c r="Q72" s="222" t="s">
        <v>339</v>
      </c>
      <c r="R72" s="262"/>
      <c r="S72" s="263"/>
      <c r="T72" s="263"/>
      <c r="U72" s="264"/>
      <c r="V72" s="222"/>
      <c r="W72" s="262" t="s">
        <v>339</v>
      </c>
      <c r="X72" s="263"/>
      <c r="Y72" s="263"/>
      <c r="Z72" s="264"/>
      <c r="AA72" s="222" t="s">
        <v>339</v>
      </c>
      <c r="AB72" s="262" t="s">
        <v>339</v>
      </c>
      <c r="AC72" s="263"/>
      <c r="AD72" s="263"/>
      <c r="AE72" s="264"/>
      <c r="AF72" s="222"/>
      <c r="AG72" s="262"/>
      <c r="AH72" s="263"/>
      <c r="AI72" s="263"/>
      <c r="AJ72" s="264"/>
      <c r="AK72" s="222"/>
      <c r="AL72" s="262" t="s">
        <v>339</v>
      </c>
      <c r="AM72" s="263"/>
      <c r="AN72" s="263"/>
      <c r="AO72" s="264"/>
      <c r="AP72" s="646"/>
      <c r="AQ72" s="263" t="s">
        <v>339</v>
      </c>
      <c r="AR72" s="263"/>
      <c r="AS72" s="263"/>
      <c r="AT72" s="263"/>
      <c r="AU72" s="222"/>
      <c r="AV72" s="280"/>
      <c r="AW72" s="263"/>
      <c r="AX72" s="263"/>
      <c r="AY72" s="263"/>
      <c r="AZ72" s="263"/>
      <c r="BA72" s="222"/>
      <c r="BB72" s="262" t="s">
        <v>339</v>
      </c>
      <c r="BC72" s="263"/>
      <c r="BD72" s="263"/>
      <c r="BE72" s="264"/>
      <c r="BF72" s="646"/>
      <c r="BG72" s="263" t="s">
        <v>339</v>
      </c>
      <c r="BH72" s="263"/>
      <c r="BI72" s="351"/>
      <c r="BJ72" s="352"/>
      <c r="BK72" s="542"/>
      <c r="BL72" s="263"/>
      <c r="BM72" s="263"/>
      <c r="BN72" s="351"/>
      <c r="BO72" s="352"/>
      <c r="BP72" s="344"/>
      <c r="BQ72" s="263" t="s">
        <v>339</v>
      </c>
      <c r="BR72" s="263"/>
      <c r="BS72" s="263"/>
      <c r="BT72" s="352"/>
      <c r="BU72" s="542"/>
      <c r="BV72" s="263" t="s">
        <v>339</v>
      </c>
      <c r="BW72" s="1408"/>
      <c r="BX72" s="263"/>
      <c r="BY72" s="264"/>
      <c r="BZ72" s="646"/>
      <c r="CA72" s="1578"/>
      <c r="CB72" s="1578"/>
      <c r="CC72" s="263"/>
      <c r="CD72" s="264"/>
      <c r="CE72" s="646">
        <f>SUM(CA72:CD72)</f>
        <v>0</v>
      </c>
      <c r="CF72" s="263" t="s">
        <v>339</v>
      </c>
      <c r="CG72" s="263"/>
      <c r="CH72" s="263"/>
      <c r="CI72" s="264"/>
      <c r="CJ72" s="646"/>
      <c r="CK72" s="263" t="s">
        <v>339</v>
      </c>
      <c r="CL72" s="351"/>
      <c r="CM72" s="351"/>
      <c r="CN72" s="352"/>
      <c r="CO72" s="542"/>
      <c r="CP72" s="351" t="s">
        <v>339</v>
      </c>
      <c r="CQ72" s="351"/>
      <c r="CR72" s="351"/>
      <c r="CS72" s="352"/>
      <c r="CT72" s="542"/>
      <c r="CU72" s="351" t="s">
        <v>339</v>
      </c>
      <c r="CV72" s="351"/>
      <c r="CW72" s="351"/>
      <c r="CX72" s="352"/>
      <c r="CY72" s="542"/>
      <c r="CZ72" s="351" t="s">
        <v>339</v>
      </c>
      <c r="DA72" s="351"/>
      <c r="DB72" s="351"/>
      <c r="DC72" s="352"/>
      <c r="DD72" s="542"/>
      <c r="DE72" s="351" t="s">
        <v>339</v>
      </c>
      <c r="DF72" s="351"/>
      <c r="DG72" s="351"/>
      <c r="DH72" s="352"/>
      <c r="DI72" s="542"/>
      <c r="DJ72" s="351" t="s">
        <v>339</v>
      </c>
      <c r="DK72" s="351"/>
      <c r="DL72" s="351"/>
      <c r="DM72" s="352"/>
      <c r="DN72" s="542"/>
      <c r="DO72" s="351" t="s">
        <v>339</v>
      </c>
      <c r="DP72" s="351"/>
      <c r="DQ72" s="351"/>
      <c r="DR72" s="352"/>
      <c r="DS72" s="542"/>
      <c r="DT72" s="351" t="s">
        <v>339</v>
      </c>
      <c r="DU72" s="351"/>
      <c r="DV72" s="351"/>
      <c r="DW72" s="352"/>
      <c r="DX72" s="542"/>
      <c r="DY72" s="16"/>
      <c r="DZ72" s="21"/>
      <c r="EA72" s="21"/>
      <c r="EB72" s="252"/>
      <c r="EC72" s="58"/>
      <c r="ED72" s="58"/>
      <c r="EE72" s="58"/>
      <c r="EF72" s="58"/>
      <c r="EG72" s="58"/>
      <c r="EH72" s="58"/>
      <c r="EI72" s="58"/>
      <c r="EJ72" s="58"/>
      <c r="EK72" s="58"/>
      <c r="EL72" s="265"/>
      <c r="EM72" s="16"/>
      <c r="EN72" s="16"/>
      <c r="EU72" s="16"/>
      <c r="EV72" s="16"/>
      <c r="EW72" s="16"/>
      <c r="EX72" s="16"/>
      <c r="EY72" s="16"/>
      <c r="EZ72" s="16"/>
      <c r="FA72" s="16"/>
      <c r="FB72" s="16"/>
      <c r="FC72" s="16"/>
      <c r="FD72" s="16"/>
      <c r="FE72" s="16"/>
      <c r="FF72" s="16"/>
      <c r="FG72" s="16"/>
      <c r="FH72" s="16"/>
      <c r="FI72" s="16"/>
      <c r="FJ72" s="16"/>
    </row>
    <row r="73" spans="1:166" x14ac:dyDescent="0.2">
      <c r="A73" s="497" t="s">
        <v>408</v>
      </c>
      <c r="B73" s="215"/>
      <c r="C73" s="215"/>
      <c r="D73" s="249"/>
      <c r="E73" s="215"/>
      <c r="F73" s="215"/>
      <c r="G73" s="215"/>
      <c r="H73" s="215"/>
      <c r="I73" s="249"/>
      <c r="J73" s="215"/>
      <c r="K73" s="215"/>
      <c r="L73" s="215"/>
      <c r="M73" s="215"/>
      <c r="N73" s="215"/>
      <c r="O73" s="215"/>
      <c r="P73" s="248"/>
      <c r="Q73" s="222"/>
      <c r="R73" s="262"/>
      <c r="S73" s="263"/>
      <c r="T73" s="263"/>
      <c r="U73" s="264"/>
      <c r="V73" s="222"/>
      <c r="W73" s="262"/>
      <c r="X73" s="263"/>
      <c r="Y73" s="263"/>
      <c r="Z73" s="264"/>
      <c r="AA73" s="222"/>
      <c r="AB73" s="262"/>
      <c r="AC73" s="263">
        <f>2-AB73</f>
        <v>2</v>
      </c>
      <c r="AD73" s="263">
        <f>2-AC73-AB73</f>
        <v>0</v>
      </c>
      <c r="AE73" s="264">
        <v>3</v>
      </c>
      <c r="AF73" s="222">
        <v>5</v>
      </c>
      <c r="AG73" s="262">
        <v>5</v>
      </c>
      <c r="AH73" s="263">
        <f>6-AG73</f>
        <v>1</v>
      </c>
      <c r="AI73" s="263">
        <f>14-AH73-AG73</f>
        <v>8</v>
      </c>
      <c r="AJ73" s="264">
        <f>AK73-AI73-AH73-AG73</f>
        <v>0</v>
      </c>
      <c r="AK73" s="222">
        <v>14</v>
      </c>
      <c r="AL73" s="263">
        <v>-11</v>
      </c>
      <c r="AM73" s="263">
        <f>-17-AL73</f>
        <v>-6</v>
      </c>
      <c r="AN73" s="263">
        <f>-13-AM73-AL73</f>
        <v>4</v>
      </c>
      <c r="AO73" s="264">
        <f>AP73-AN73-AM73-AL73</f>
        <v>5.4</v>
      </c>
      <c r="AP73" s="646">
        <v>-7.6</v>
      </c>
      <c r="AQ73" s="263">
        <v>3.5</v>
      </c>
      <c r="AR73" s="263">
        <f>1.6-AQ73</f>
        <v>-1.9</v>
      </c>
      <c r="AS73" s="263">
        <f>-4.1-AR73-AQ73</f>
        <v>-5.6999999999999993</v>
      </c>
      <c r="AT73" s="263">
        <f>-12.7-AS73-AR73-AQ73</f>
        <v>-8.6</v>
      </c>
      <c r="AU73" s="215">
        <f>SUM(AQ73:AT73)</f>
        <v>-12.7</v>
      </c>
      <c r="AV73" s="129"/>
      <c r="AW73" s="65">
        <f>AS73</f>
        <v>-5.6999999999999993</v>
      </c>
      <c r="AX73" s="65">
        <f>AT73</f>
        <v>-8.6</v>
      </c>
      <c r="AY73" s="263">
        <v>8.8000000000000007</v>
      </c>
      <c r="AZ73" s="263">
        <v>-1.7</v>
      </c>
      <c r="BA73" s="215">
        <f>SUM(AW73:AZ73)</f>
        <v>-7.1999999999999984</v>
      </c>
      <c r="BB73" s="263">
        <v>4.3</v>
      </c>
      <c r="BC73" s="263">
        <f>5.1-BB73</f>
        <v>0.79999999999999982</v>
      </c>
      <c r="BD73" s="263">
        <f>-4.2-SUM(BB73:BC73)</f>
        <v>-9.3000000000000007</v>
      </c>
      <c r="BE73" s="264">
        <f>-4.8-SUM(BB73:BD73)</f>
        <v>-0.59999999999999876</v>
      </c>
      <c r="BF73" s="646">
        <f>SUM(BB73:BE73)</f>
        <v>-4.8</v>
      </c>
      <c r="BG73" s="263">
        <v>-6.2</v>
      </c>
      <c r="BH73" s="263">
        <f>-7.3-BG73</f>
        <v>-1.0999999999999996</v>
      </c>
      <c r="BI73" s="263">
        <f>0.5-SUM(BG73:BH73)</f>
        <v>7.8</v>
      </c>
      <c r="BJ73" s="264">
        <f>BK73-SUM(BG73:BI73)</f>
        <v>3.8</v>
      </c>
      <c r="BK73" s="646">
        <v>4.3</v>
      </c>
      <c r="BL73" s="263">
        <v>-3.6</v>
      </c>
      <c r="BM73" s="263">
        <f>-1.1-BL73</f>
        <v>2.5</v>
      </c>
      <c r="BN73" s="263">
        <f>2.7-SUM(BL73:BM73)</f>
        <v>3.8000000000000003</v>
      </c>
      <c r="BO73" s="65">
        <f>BP73-SUM(BL73:BN73)</f>
        <v>2</v>
      </c>
      <c r="BP73" s="222">
        <v>4.7</v>
      </c>
      <c r="BQ73" s="263">
        <v>-1.2</v>
      </c>
      <c r="BR73" s="263">
        <f>-1.1-BQ73</f>
        <v>9.9999999999999867E-2</v>
      </c>
      <c r="BS73" s="263">
        <f>-4.6-BR73-BQ73</f>
        <v>-3.4999999999999991</v>
      </c>
      <c r="BT73" s="65">
        <f>BU73-SUM(BQ73:BS73)</f>
        <v>-13.200000000000001</v>
      </c>
      <c r="BU73" s="646">
        <v>-17.8</v>
      </c>
      <c r="BV73" s="263">
        <v>-59</v>
      </c>
      <c r="BW73" s="1408">
        <f>-52.8-BV73</f>
        <v>6.2000000000000028</v>
      </c>
      <c r="BX73" s="263">
        <f>-57.2-BW73-BV73</f>
        <v>-4.4000000000000057</v>
      </c>
      <c r="BY73" s="65">
        <f t="shared" ref="BY73" si="201">BZ73-SUM(BV73:BX73)</f>
        <v>-16.299999999999997</v>
      </c>
      <c r="BZ73" s="646">
        <v>-73.5</v>
      </c>
      <c r="CA73" s="1578">
        <v>13.9</v>
      </c>
      <c r="CB73" s="263">
        <f>6.2-CA73</f>
        <v>-7.7</v>
      </c>
      <c r="CC73" s="263">
        <f>14.6-CB73-CA73</f>
        <v>8.4</v>
      </c>
      <c r="CD73" s="452">
        <f>CE73-CC73-CB73-CA73</f>
        <v>-17</v>
      </c>
      <c r="CE73" s="646">
        <v>-2.4</v>
      </c>
      <c r="CF73" s="263">
        <v>3.3</v>
      </c>
      <c r="CG73" s="263">
        <f>13.3-CF73</f>
        <v>10</v>
      </c>
      <c r="CH73" s="263">
        <f>22.7-SUM(CF73:CG73)</f>
        <v>9.3999999999999986</v>
      </c>
      <c r="CI73" s="65">
        <f>CJ73-CH73-CG73-CF73</f>
        <v>1.3000000000000016</v>
      </c>
      <c r="CJ73" s="646">
        <v>24</v>
      </c>
      <c r="CK73" s="263">
        <f>-8.3+24</f>
        <v>15.7</v>
      </c>
      <c r="CL73" s="351">
        <v>0</v>
      </c>
      <c r="CM73" s="351">
        <v>0</v>
      </c>
      <c r="CN73" s="352">
        <v>0</v>
      </c>
      <c r="CO73" s="542">
        <f>SUM(CK73:CN73)</f>
        <v>15.7</v>
      </c>
      <c r="CP73" s="351">
        <v>0</v>
      </c>
      <c r="CQ73" s="351">
        <v>0</v>
      </c>
      <c r="CR73" s="351">
        <v>0</v>
      </c>
      <c r="CS73" s="352">
        <v>0</v>
      </c>
      <c r="CT73" s="542">
        <f>SUM(CP73:CS73)</f>
        <v>0</v>
      </c>
      <c r="CU73" s="351">
        <v>0</v>
      </c>
      <c r="CV73" s="351">
        <v>0</v>
      </c>
      <c r="CW73" s="351">
        <v>0</v>
      </c>
      <c r="CX73" s="352">
        <v>0</v>
      </c>
      <c r="CY73" s="542">
        <f>SUM(CU73:CX73)</f>
        <v>0</v>
      </c>
      <c r="CZ73" s="351">
        <v>0</v>
      </c>
      <c r="DA73" s="351">
        <v>0</v>
      </c>
      <c r="DB73" s="351">
        <v>0</v>
      </c>
      <c r="DC73" s="352">
        <v>0</v>
      </c>
      <c r="DD73" s="542">
        <f>SUM(CZ73:DC73)</f>
        <v>0</v>
      </c>
      <c r="DE73" s="351">
        <v>0</v>
      </c>
      <c r="DF73" s="351">
        <v>0</v>
      </c>
      <c r="DG73" s="351">
        <v>0</v>
      </c>
      <c r="DH73" s="352">
        <v>0</v>
      </c>
      <c r="DI73" s="542">
        <f>SUM(DE73:DH73)</f>
        <v>0</v>
      </c>
      <c r="DJ73" s="351">
        <v>0</v>
      </c>
      <c r="DK73" s="351">
        <v>0</v>
      </c>
      <c r="DL73" s="351">
        <v>0</v>
      </c>
      <c r="DM73" s="352">
        <v>0</v>
      </c>
      <c r="DN73" s="542">
        <f>SUM(DJ73:DM73)</f>
        <v>0</v>
      </c>
      <c r="DO73" s="351">
        <v>0</v>
      </c>
      <c r="DP73" s="351">
        <v>0</v>
      </c>
      <c r="DQ73" s="351">
        <v>0</v>
      </c>
      <c r="DR73" s="352">
        <v>0</v>
      </c>
      <c r="DS73" s="542">
        <f>SUM(DO73:DR73)</f>
        <v>0</v>
      </c>
      <c r="DT73" s="351">
        <v>0</v>
      </c>
      <c r="DU73" s="351">
        <v>0</v>
      </c>
      <c r="DV73" s="351">
        <v>0</v>
      </c>
      <c r="DW73" s="352">
        <v>0</v>
      </c>
      <c r="DX73" s="542">
        <f>SUM(DT73:DW73)</f>
        <v>0</v>
      </c>
      <c r="DY73" s="16"/>
      <c r="DZ73" s="21"/>
      <c r="EA73" s="21"/>
      <c r="EB73" s="252">
        <f>SUM(AC73,AB73,Z73,Y73)</f>
        <v>2</v>
      </c>
      <c r="EC73" s="58">
        <f>SUM(AD73,AE73,AG73,AH73)</f>
        <v>9</v>
      </c>
      <c r="ED73" s="58">
        <f>SUM(AI73,AJ73,AL73,AM73)</f>
        <v>-9</v>
      </c>
      <c r="EE73" s="58">
        <f>SUM(AN73,AO73,AQ73,AR73)</f>
        <v>11</v>
      </c>
      <c r="EF73" s="58">
        <f>BA73</f>
        <v>-7.1999999999999984</v>
      </c>
      <c r="EG73" s="58">
        <f>BF73</f>
        <v>-4.8</v>
      </c>
      <c r="EH73" s="58">
        <f>BK73</f>
        <v>4.3</v>
      </c>
      <c r="EI73" s="756">
        <f>BP73</f>
        <v>4.7</v>
      </c>
      <c r="EJ73" s="58">
        <f>BU73</f>
        <v>-17.8</v>
      </c>
      <c r="EK73" s="756">
        <f>BZ73</f>
        <v>-73.5</v>
      </c>
      <c r="EL73" s="757">
        <f>CE73</f>
        <v>-2.4</v>
      </c>
      <c r="EM73" s="16"/>
      <c r="EN73" s="16"/>
      <c r="EU73" s="16"/>
      <c r="EV73" s="16"/>
      <c r="EW73" s="16"/>
      <c r="EX73" s="16"/>
      <c r="EY73" s="16"/>
      <c r="EZ73" s="16"/>
      <c r="FA73" s="16"/>
      <c r="FB73" s="16"/>
      <c r="FC73" s="16"/>
      <c r="FD73" s="16"/>
      <c r="FE73" s="16"/>
      <c r="FF73" s="16"/>
      <c r="FG73" s="16"/>
      <c r="FH73" s="16"/>
      <c r="FI73" s="16"/>
      <c r="FJ73" s="16"/>
    </row>
    <row r="74" spans="1:166" x14ac:dyDescent="0.2">
      <c r="A74" s="497" t="s">
        <v>357</v>
      </c>
      <c r="B74" s="45"/>
      <c r="C74" s="45"/>
      <c r="D74" s="160"/>
      <c r="E74" s="45"/>
      <c r="F74" s="45"/>
      <c r="G74" s="45"/>
      <c r="H74" s="45"/>
      <c r="I74" s="160"/>
      <c r="J74" s="45"/>
      <c r="K74" s="45"/>
      <c r="L74" s="45"/>
      <c r="M74" s="45"/>
      <c r="N74" s="45"/>
      <c r="O74" s="45"/>
      <c r="P74" s="19"/>
      <c r="Q74" s="215">
        <f>Q71+Q54+Q38+Q73</f>
        <v>18</v>
      </c>
      <c r="R74" s="248">
        <f t="shared" ref="R74:BU74" si="202">R71+R54+R38+R73</f>
        <v>0</v>
      </c>
      <c r="S74" s="65">
        <f t="shared" si="202"/>
        <v>0</v>
      </c>
      <c r="T74" s="65">
        <f t="shared" si="202"/>
        <v>0</v>
      </c>
      <c r="U74" s="257">
        <f t="shared" si="202"/>
        <v>21</v>
      </c>
      <c r="V74" s="215">
        <f t="shared" si="202"/>
        <v>211</v>
      </c>
      <c r="W74" s="248">
        <f t="shared" si="202"/>
        <v>-281</v>
      </c>
      <c r="X74" s="65">
        <f t="shared" si="202"/>
        <v>56</v>
      </c>
      <c r="Y74" s="65">
        <f t="shared" si="202"/>
        <v>-10</v>
      </c>
      <c r="Z74" s="257">
        <f t="shared" si="202"/>
        <v>61</v>
      </c>
      <c r="AA74" s="215">
        <f t="shared" si="202"/>
        <v>-173</v>
      </c>
      <c r="AB74" s="248">
        <f t="shared" si="202"/>
        <v>-113</v>
      </c>
      <c r="AC74" s="65">
        <f t="shared" si="202"/>
        <v>-11</v>
      </c>
      <c r="AD74" s="65">
        <f t="shared" si="202"/>
        <v>7</v>
      </c>
      <c r="AE74" s="65">
        <f t="shared" si="202"/>
        <v>28</v>
      </c>
      <c r="AF74" s="215">
        <f t="shared" si="202"/>
        <v>-89</v>
      </c>
      <c r="AG74" s="65">
        <f t="shared" si="202"/>
        <v>-8</v>
      </c>
      <c r="AH74" s="65">
        <f t="shared" si="202"/>
        <v>21</v>
      </c>
      <c r="AI74" s="65">
        <f t="shared" si="202"/>
        <v>-16</v>
      </c>
      <c r="AJ74" s="65">
        <f t="shared" si="202"/>
        <v>-1</v>
      </c>
      <c r="AK74" s="215">
        <f t="shared" si="202"/>
        <v>-4</v>
      </c>
      <c r="AL74" s="65">
        <f t="shared" si="202"/>
        <v>-48</v>
      </c>
      <c r="AM74" s="65">
        <f t="shared" si="202"/>
        <v>6</v>
      </c>
      <c r="AN74" s="65">
        <f t="shared" si="202"/>
        <v>16</v>
      </c>
      <c r="AO74" s="65">
        <f t="shared" si="202"/>
        <v>-18.300000000000033</v>
      </c>
      <c r="AP74" s="641">
        <f t="shared" si="202"/>
        <v>-44.29999999999999</v>
      </c>
      <c r="AQ74" s="65">
        <f t="shared" si="202"/>
        <v>10.800000000000018</v>
      </c>
      <c r="AR74" s="65">
        <f t="shared" si="202"/>
        <v>7.3999999999999968</v>
      </c>
      <c r="AS74" s="65">
        <f t="shared" si="202"/>
        <v>18.200000000000021</v>
      </c>
      <c r="AT74" s="65">
        <f t="shared" si="202"/>
        <v>29.499999999999964</v>
      </c>
      <c r="AU74" s="641">
        <f t="shared" si="202"/>
        <v>65.899999999999878</v>
      </c>
      <c r="AV74" s="280"/>
      <c r="AW74" s="65">
        <f>AW71+AW54+AW38+AW73</f>
        <v>18.200000000000021</v>
      </c>
      <c r="AX74" s="65">
        <f>AX71+AX54+AX38+AX73</f>
        <v>29.499999999999964</v>
      </c>
      <c r="AY74" s="65">
        <f t="shared" si="202"/>
        <v>60.300000000000011</v>
      </c>
      <c r="AZ74" s="65">
        <f t="shared" si="202"/>
        <v>-40.900000000000091</v>
      </c>
      <c r="BA74" s="215">
        <f t="shared" si="202"/>
        <v>67.100000000000321</v>
      </c>
      <c r="BB74" s="65">
        <f t="shared" si="202"/>
        <v>60.099999999999909</v>
      </c>
      <c r="BC74" s="65">
        <f t="shared" si="202"/>
        <v>409.3</v>
      </c>
      <c r="BD74" s="65">
        <f t="shared" si="202"/>
        <v>186.20000000000013</v>
      </c>
      <c r="BE74" s="65">
        <f t="shared" si="202"/>
        <v>-403.6</v>
      </c>
      <c r="BF74" s="641">
        <f t="shared" si="202"/>
        <v>252.00000000000006</v>
      </c>
      <c r="BG74" s="65">
        <f t="shared" si="202"/>
        <v>-21.900000000000038</v>
      </c>
      <c r="BH74" s="65">
        <f t="shared" si="202"/>
        <v>-59.399999999999984</v>
      </c>
      <c r="BI74" s="65">
        <f t="shared" si="202"/>
        <v>105.09999999999995</v>
      </c>
      <c r="BJ74" s="65">
        <f t="shared" si="202"/>
        <v>63.900000000000134</v>
      </c>
      <c r="BK74" s="641">
        <f t="shared" si="202"/>
        <v>87.700000000000031</v>
      </c>
      <c r="BL74" s="65">
        <f t="shared" si="202"/>
        <v>52.1</v>
      </c>
      <c r="BM74" s="65">
        <f t="shared" si="202"/>
        <v>55.299999999999983</v>
      </c>
      <c r="BN74" s="65">
        <f t="shared" si="202"/>
        <v>110.19999999999997</v>
      </c>
      <c r="BO74" s="839">
        <f>BO71+BO54+BO38+BO73</f>
        <v>22.599999999999987</v>
      </c>
      <c r="BP74" s="215">
        <f t="shared" si="202"/>
        <v>240.19999999999993</v>
      </c>
      <c r="BQ74" s="65">
        <f t="shared" si="202"/>
        <v>76.199999999999974</v>
      </c>
      <c r="BR74" s="65">
        <f t="shared" si="202"/>
        <v>41.600000000000037</v>
      </c>
      <c r="BS74" s="65">
        <f t="shared" si="202"/>
        <v>108.99999999999999</v>
      </c>
      <c r="BT74" s="839">
        <f t="shared" si="202"/>
        <v>789.49999999999818</v>
      </c>
      <c r="BU74" s="641">
        <f t="shared" si="202"/>
        <v>1016.2999999999986</v>
      </c>
      <c r="BV74" s="65">
        <f>BV71+BV54+BV38+BV73</f>
        <v>-781.3</v>
      </c>
      <c r="BW74" s="1385">
        <f t="shared" ref="BW74:DA74" si="203">BW71+BW54+BW38+BW73</f>
        <v>-333.00000000000028</v>
      </c>
      <c r="BX74" s="65">
        <f t="shared" si="203"/>
        <v>286.60000000000025</v>
      </c>
      <c r="BY74" s="65">
        <f t="shared" si="203"/>
        <v>-217.70000000000027</v>
      </c>
      <c r="BZ74" s="641">
        <f t="shared" si="203"/>
        <v>-1045.4000000000003</v>
      </c>
      <c r="CA74" s="1580">
        <f>CA71+CA54+CA38+CA73+CA72</f>
        <v>68.099999999999994</v>
      </c>
      <c r="CB74" s="65">
        <f t="shared" ref="CB74" si="204">CB71+CB54+CB38+CB73</f>
        <v>172.2000000000001</v>
      </c>
      <c r="CC74" s="65">
        <f t="shared" si="203"/>
        <v>276.30000000000007</v>
      </c>
      <c r="CD74" s="65">
        <f t="shared" si="203"/>
        <v>185.99999999999994</v>
      </c>
      <c r="CE74" s="1620">
        <f>CE71+CE54+CE38+CE73+CE72</f>
        <v>702.6</v>
      </c>
      <c r="CF74" s="65">
        <f t="shared" si="203"/>
        <v>-536.5</v>
      </c>
      <c r="CG74" s="65">
        <f t="shared" si="203"/>
        <v>2511.6</v>
      </c>
      <c r="CH74" s="65">
        <f t="shared" si="203"/>
        <v>171.60000000000005</v>
      </c>
      <c r="CI74" s="297">
        <f>CI71+CI54+CI38+CI73</f>
        <v>-2533.6999999999998</v>
      </c>
      <c r="CJ74" s="641">
        <f t="shared" si="203"/>
        <v>-386.99999999999977</v>
      </c>
      <c r="CK74" s="65">
        <f t="shared" si="203"/>
        <v>-221</v>
      </c>
      <c r="CL74" s="217">
        <f t="shared" si="203"/>
        <v>82.984248295067289</v>
      </c>
      <c r="CM74" s="217">
        <f t="shared" si="203"/>
        <v>92.333848360112796</v>
      </c>
      <c r="CN74" s="217">
        <f t="shared" si="203"/>
        <v>517.48553104954567</v>
      </c>
      <c r="CO74" s="538">
        <f t="shared" si="203"/>
        <v>471.80362770472556</v>
      </c>
      <c r="CP74" s="217">
        <f t="shared" si="203"/>
        <v>-217.41040633336365</v>
      </c>
      <c r="CQ74" s="217">
        <f t="shared" si="203"/>
        <v>15.958850600203448</v>
      </c>
      <c r="CR74" s="217">
        <f t="shared" si="203"/>
        <v>127.29616053149329</v>
      </c>
      <c r="CS74" s="217">
        <f t="shared" si="203"/>
        <v>575.83200158388115</v>
      </c>
      <c r="CT74" s="538">
        <f t="shared" si="203"/>
        <v>501.67660638221423</v>
      </c>
      <c r="CU74" s="217">
        <f t="shared" si="203"/>
        <v>-225.30889597805475</v>
      </c>
      <c r="CV74" s="217">
        <f t="shared" si="203"/>
        <v>40.64509797198906</v>
      </c>
      <c r="CW74" s="217">
        <f t="shared" si="203"/>
        <v>162.09477533993777</v>
      </c>
      <c r="CX74" s="217">
        <f t="shared" si="203"/>
        <v>638.96118623766506</v>
      </c>
      <c r="CY74" s="538">
        <f t="shared" si="203"/>
        <v>616.39216357153759</v>
      </c>
      <c r="CZ74" s="217">
        <f t="shared" si="203"/>
        <v>-211.0574390937158</v>
      </c>
      <c r="DA74" s="217">
        <f t="shared" si="203"/>
        <v>59.458939545378769</v>
      </c>
      <c r="DB74" s="217">
        <f t="shared" ref="DB74:DS74" si="205">DB71+DB54+DB38+DB73</f>
        <v>196.94461333633268</v>
      </c>
      <c r="DC74" s="217">
        <f t="shared" si="205"/>
        <v>70.049351622750919</v>
      </c>
      <c r="DD74" s="538">
        <f t="shared" si="205"/>
        <v>115.39546541074651</v>
      </c>
      <c r="DE74" s="217">
        <f t="shared" si="205"/>
        <v>-195.21209730749752</v>
      </c>
      <c r="DF74" s="217">
        <f t="shared" si="205"/>
        <v>94.556290634015056</v>
      </c>
      <c r="DG74" s="217">
        <f t="shared" si="205"/>
        <v>241.20098360328228</v>
      </c>
      <c r="DH74" s="217">
        <f t="shared" si="205"/>
        <v>789.79041110613514</v>
      </c>
      <c r="DI74" s="538">
        <f t="shared" si="205"/>
        <v>930.33558803593496</v>
      </c>
      <c r="DJ74" s="217">
        <f t="shared" si="205"/>
        <v>-204.10482821361495</v>
      </c>
      <c r="DK74" s="217">
        <f t="shared" si="205"/>
        <v>123.20285767521801</v>
      </c>
      <c r="DL74" s="217">
        <f t="shared" si="205"/>
        <v>279.9036360802404</v>
      </c>
      <c r="DM74" s="217">
        <f t="shared" si="205"/>
        <v>862.09222430488524</v>
      </c>
      <c r="DN74" s="538">
        <f t="shared" si="205"/>
        <v>1061.0938898467284</v>
      </c>
      <c r="DO74" s="217">
        <f t="shared" si="205"/>
        <v>-223.83118488413487</v>
      </c>
      <c r="DP74" s="217">
        <f t="shared" si="205"/>
        <v>109.83921868811188</v>
      </c>
      <c r="DQ74" s="217">
        <f t="shared" si="205"/>
        <v>287.96038047788198</v>
      </c>
      <c r="DR74" s="217">
        <f t="shared" si="205"/>
        <v>918.15401185848248</v>
      </c>
      <c r="DS74" s="538">
        <f t="shared" si="205"/>
        <v>1092.1224261403413</v>
      </c>
      <c r="DT74" s="217">
        <f t="shared" ref="DT74:DX74" si="206">DT71+DT54+DT38+DT73</f>
        <v>-224.15755082909868</v>
      </c>
      <c r="DU74" s="217">
        <f t="shared" si="206"/>
        <v>132.30776553025066</v>
      </c>
      <c r="DV74" s="217">
        <f t="shared" si="206"/>
        <v>307.66032448635508</v>
      </c>
      <c r="DW74" s="217">
        <f t="shared" si="206"/>
        <v>976.94046042450339</v>
      </c>
      <c r="DX74" s="538">
        <f t="shared" si="206"/>
        <v>1192.7509996120102</v>
      </c>
      <c r="DY74" s="16"/>
      <c r="DZ74" s="21"/>
      <c r="EA74" s="21"/>
      <c r="EB74" s="266">
        <f>SUM(AC74,AB74,Z74,Y74)</f>
        <v>-73</v>
      </c>
      <c r="EC74" s="312">
        <f>SUM(AD74,AE74,AG74,AH74)</f>
        <v>48</v>
      </c>
      <c r="ED74" s="312">
        <f>SUM(AI74,AJ74,AL74,AM74)</f>
        <v>-59</v>
      </c>
      <c r="EE74" s="312">
        <f>SUM(AN74,AO74,AQ74,AR74)</f>
        <v>15.899999999999983</v>
      </c>
      <c r="EF74" s="312">
        <f>BA74</f>
        <v>67.100000000000321</v>
      </c>
      <c r="EG74" s="312">
        <f>BF74</f>
        <v>252.00000000000006</v>
      </c>
      <c r="EH74" s="312">
        <f>BK74</f>
        <v>87.700000000000031</v>
      </c>
      <c r="EI74" s="312">
        <f>BP74</f>
        <v>240.19999999999993</v>
      </c>
      <c r="EJ74" s="312">
        <f>BU74</f>
        <v>1016.2999999999986</v>
      </c>
      <c r="EK74" s="312">
        <f>BZ74</f>
        <v>-1045.4000000000003</v>
      </c>
      <c r="EL74" s="359">
        <f>CE74</f>
        <v>702.6</v>
      </c>
      <c r="EM74" s="16"/>
      <c r="EN74" s="16"/>
      <c r="EU74" s="16"/>
      <c r="EV74" s="16"/>
      <c r="EW74" s="16"/>
      <c r="EX74" s="16"/>
      <c r="EY74" s="16"/>
      <c r="EZ74" s="16"/>
      <c r="FA74" s="16"/>
      <c r="FB74" s="16"/>
      <c r="FC74" s="16"/>
      <c r="FD74" s="16"/>
      <c r="FE74" s="16"/>
      <c r="FF74" s="16"/>
      <c r="FG74" s="16"/>
      <c r="FH74" s="16"/>
      <c r="FI74" s="16"/>
      <c r="FJ74" s="16"/>
    </row>
    <row r="75" spans="1:166" x14ac:dyDescent="0.2">
      <c r="A75" s="497" t="s">
        <v>358</v>
      </c>
      <c r="B75" s="250"/>
      <c r="C75" s="250"/>
      <c r="D75" s="251"/>
      <c r="E75" s="250"/>
      <c r="F75" s="250"/>
      <c r="G75" s="250"/>
      <c r="H75" s="250"/>
      <c r="I75" s="251"/>
      <c r="J75" s="250"/>
      <c r="K75" s="250"/>
      <c r="L75" s="250"/>
      <c r="M75" s="250"/>
      <c r="N75" s="250"/>
      <c r="O75" s="250"/>
      <c r="P75" s="252"/>
      <c r="Q75" s="254">
        <f>L77</f>
        <v>203</v>
      </c>
      <c r="R75" s="252"/>
      <c r="S75" s="58"/>
      <c r="T75" s="58"/>
      <c r="U75" s="265"/>
      <c r="V75" s="254">
        <f>Q77</f>
        <v>221</v>
      </c>
      <c r="W75" s="266">
        <f>V77</f>
        <v>432</v>
      </c>
      <c r="X75" s="319">
        <f>W77</f>
        <v>151</v>
      </c>
      <c r="Y75" s="319">
        <f>X77</f>
        <v>207</v>
      </c>
      <c r="Z75" s="257">
        <f>Y77</f>
        <v>197</v>
      </c>
      <c r="AA75" s="254">
        <f>V77</f>
        <v>432</v>
      </c>
      <c r="AB75" s="266">
        <f>AA77</f>
        <v>259</v>
      </c>
      <c r="AC75" s="312">
        <f>AB77</f>
        <v>146</v>
      </c>
      <c r="AD75" s="312">
        <f>AC77</f>
        <v>135</v>
      </c>
      <c r="AE75" s="312">
        <f>AD77</f>
        <v>142</v>
      </c>
      <c r="AF75" s="254">
        <f>AA77</f>
        <v>259</v>
      </c>
      <c r="AG75" s="312">
        <f>AF77</f>
        <v>170</v>
      </c>
      <c r="AH75" s="312">
        <f>AG77</f>
        <v>162</v>
      </c>
      <c r="AI75" s="312">
        <f>AH77</f>
        <v>183</v>
      </c>
      <c r="AJ75" s="312">
        <f>AI77</f>
        <v>167</v>
      </c>
      <c r="AK75" s="254">
        <f>AF77</f>
        <v>170</v>
      </c>
      <c r="AL75" s="312">
        <f>AK77</f>
        <v>166</v>
      </c>
      <c r="AM75" s="312">
        <f>AL77</f>
        <v>118</v>
      </c>
      <c r="AN75" s="312">
        <f>AM77</f>
        <v>124</v>
      </c>
      <c r="AO75" s="312">
        <f>AN77</f>
        <v>140</v>
      </c>
      <c r="AP75" s="647">
        <f>AK77</f>
        <v>166</v>
      </c>
      <c r="AQ75" s="312">
        <f>AP77</f>
        <v>121.70000000000002</v>
      </c>
      <c r="AR75" s="312">
        <f>AQ77</f>
        <v>132.50000000000003</v>
      </c>
      <c r="AS75" s="312">
        <f>AR77</f>
        <v>139.90000000000003</v>
      </c>
      <c r="AT75" s="312">
        <f>AS77</f>
        <v>158.10000000000005</v>
      </c>
      <c r="AU75" s="647">
        <f>AP77</f>
        <v>121.70000000000002</v>
      </c>
      <c r="AV75" s="247"/>
      <c r="AW75" s="312">
        <f>AR77</f>
        <v>139.90000000000003</v>
      </c>
      <c r="AX75" s="312">
        <f>AS77</f>
        <v>158.10000000000005</v>
      </c>
      <c r="AY75" s="312">
        <f>AT77</f>
        <v>187.60000000000002</v>
      </c>
      <c r="AZ75" s="312">
        <f>AY77</f>
        <v>247.90000000000003</v>
      </c>
      <c r="BA75" s="254">
        <f>AR77</f>
        <v>139.90000000000003</v>
      </c>
      <c r="BB75" s="312">
        <f>BA77</f>
        <v>207.00000000000034</v>
      </c>
      <c r="BC75" s="312">
        <f>BB77</f>
        <v>267.10000000000025</v>
      </c>
      <c r="BD75" s="312">
        <f>BC77</f>
        <v>676.40000000000032</v>
      </c>
      <c r="BE75" s="312">
        <f>BD77</f>
        <v>862.60000000000048</v>
      </c>
      <c r="BF75" s="647">
        <f>BA77</f>
        <v>207.00000000000034</v>
      </c>
      <c r="BG75" s="312">
        <f>BF77</f>
        <v>459.0000000000004</v>
      </c>
      <c r="BH75" s="312">
        <f>BG77</f>
        <v>437.10000000000036</v>
      </c>
      <c r="BI75" s="312">
        <f>BH77</f>
        <v>377.70000000000039</v>
      </c>
      <c r="BJ75" s="312">
        <f>BI77</f>
        <v>482.80000000000035</v>
      </c>
      <c r="BK75" s="647">
        <f>BF77</f>
        <v>459.0000000000004</v>
      </c>
      <c r="BL75" s="312">
        <f>BK77</f>
        <v>546.70000000000039</v>
      </c>
      <c r="BM75" s="312">
        <f>BL77</f>
        <v>598.80000000000041</v>
      </c>
      <c r="BN75" s="312">
        <f>BM77</f>
        <v>654.10000000000036</v>
      </c>
      <c r="BO75" s="312">
        <f>BN77</f>
        <v>764.3000000000003</v>
      </c>
      <c r="BP75" s="254">
        <f>BK77</f>
        <v>546.70000000000039</v>
      </c>
      <c r="BQ75" s="312">
        <f>BP77</f>
        <v>786.90000000000032</v>
      </c>
      <c r="BR75" s="312">
        <f>BQ77</f>
        <v>863.10000000000025</v>
      </c>
      <c r="BS75" s="312">
        <f>BR77</f>
        <v>904.70000000000027</v>
      </c>
      <c r="BT75" s="312">
        <f>BS77</f>
        <v>1013.7000000000003</v>
      </c>
      <c r="BU75" s="647">
        <f>BP77</f>
        <v>786.90000000000032</v>
      </c>
      <c r="BV75" s="312">
        <f>BU77</f>
        <v>1803.1999999999989</v>
      </c>
      <c r="BW75" s="1410">
        <f>BV77</f>
        <v>1021.899999999999</v>
      </c>
      <c r="BX75" s="312">
        <f>BW77</f>
        <v>688.89999999999873</v>
      </c>
      <c r="BY75" s="312">
        <f>BX77</f>
        <v>975.49999999999898</v>
      </c>
      <c r="BZ75" s="647">
        <f>BU77</f>
        <v>1803.1999999999989</v>
      </c>
      <c r="CA75" s="1581">
        <f>BZ77</f>
        <v>757.79999999999859</v>
      </c>
      <c r="CB75" s="312">
        <f>CA77</f>
        <v>825.89999999999861</v>
      </c>
      <c r="CC75" s="312">
        <f>CB77</f>
        <v>998.09999999999877</v>
      </c>
      <c r="CD75" s="312">
        <f>CC77</f>
        <v>1274.3999999999987</v>
      </c>
      <c r="CE75" s="647">
        <f>BZ77</f>
        <v>757.79999999999859</v>
      </c>
      <c r="CF75" s="312">
        <f>CE77</f>
        <v>1460.3999999999987</v>
      </c>
      <c r="CG75" s="312">
        <f>CF77</f>
        <v>923.89999999999873</v>
      </c>
      <c r="CH75" s="312">
        <f>CG77</f>
        <v>3435.4999999999986</v>
      </c>
      <c r="CI75" s="312">
        <f>CH77</f>
        <v>3607.0999999999985</v>
      </c>
      <c r="CJ75" s="647">
        <f>CE77</f>
        <v>1460.3999999999987</v>
      </c>
      <c r="CK75" s="312">
        <f>CI77</f>
        <v>1073.3999999999987</v>
      </c>
      <c r="CL75" s="354">
        <f>CK77</f>
        <v>852.39999999999873</v>
      </c>
      <c r="CM75" s="354">
        <f>CL77</f>
        <v>935.38424829506607</v>
      </c>
      <c r="CN75" s="354">
        <f>CM77</f>
        <v>1027.7180966551789</v>
      </c>
      <c r="CO75" s="543">
        <f>CJ77</f>
        <v>1073.399999999999</v>
      </c>
      <c r="CP75" s="354">
        <f>CO77</f>
        <v>1545.2036277047246</v>
      </c>
      <c r="CQ75" s="354">
        <f>CP77</f>
        <v>1327.7932213713609</v>
      </c>
      <c r="CR75" s="354">
        <f>CQ77</f>
        <v>1343.7520719715644</v>
      </c>
      <c r="CS75" s="354">
        <f>CR77</f>
        <v>1471.0482325030578</v>
      </c>
      <c r="CT75" s="543">
        <f>CO77</f>
        <v>1545.2036277047246</v>
      </c>
      <c r="CU75" s="354">
        <f>CT77</f>
        <v>2046.8802340869388</v>
      </c>
      <c r="CV75" s="354">
        <f>CU77</f>
        <v>1821.571338108884</v>
      </c>
      <c r="CW75" s="354">
        <f>CV77</f>
        <v>1862.2164360808731</v>
      </c>
      <c r="CX75" s="354">
        <f>CW77</f>
        <v>2024.3112114208109</v>
      </c>
      <c r="CY75" s="543">
        <f>CT77</f>
        <v>2046.8802340869388</v>
      </c>
      <c r="CZ75" s="354">
        <f>CY77</f>
        <v>2663.2723976584766</v>
      </c>
      <c r="DA75" s="354">
        <f>CZ77</f>
        <v>2452.2149585647608</v>
      </c>
      <c r="DB75" s="354">
        <f>DA77</f>
        <v>2511.6738981101394</v>
      </c>
      <c r="DC75" s="354">
        <f>DB77</f>
        <v>2708.618511446472</v>
      </c>
      <c r="DD75" s="543">
        <f>CY77</f>
        <v>2663.2723976584766</v>
      </c>
      <c r="DE75" s="354">
        <f>DD77</f>
        <v>2778.6678630692231</v>
      </c>
      <c r="DF75" s="354">
        <f>DE77</f>
        <v>2583.4557657617256</v>
      </c>
      <c r="DG75" s="354">
        <f>DF77</f>
        <v>2678.0120563957407</v>
      </c>
      <c r="DH75" s="354">
        <f>DG77</f>
        <v>2919.2130399990228</v>
      </c>
      <c r="DI75" s="543">
        <f>DD77</f>
        <v>2778.6678630692231</v>
      </c>
      <c r="DJ75" s="354">
        <f>DI77</f>
        <v>3709.0034511051581</v>
      </c>
      <c r="DK75" s="354">
        <f>DJ77</f>
        <v>3504.8986228915433</v>
      </c>
      <c r="DL75" s="354">
        <f>DK77</f>
        <v>3628.1014805667614</v>
      </c>
      <c r="DM75" s="354">
        <f>DL77</f>
        <v>3908.0051166470021</v>
      </c>
      <c r="DN75" s="543">
        <f>DI77</f>
        <v>3709.0034511051581</v>
      </c>
      <c r="DO75" s="354">
        <f>DN77</f>
        <v>4770.0973409518865</v>
      </c>
      <c r="DP75" s="354">
        <f>DO77</f>
        <v>4546.2661560677516</v>
      </c>
      <c r="DQ75" s="354">
        <f>DP77</f>
        <v>4656.1053747558635</v>
      </c>
      <c r="DR75" s="354">
        <f>DQ77</f>
        <v>4944.0657552337452</v>
      </c>
      <c r="DS75" s="543">
        <f>DN77</f>
        <v>4770.0973409518865</v>
      </c>
      <c r="DT75" s="354">
        <f>DS77</f>
        <v>5862.2197670922278</v>
      </c>
      <c r="DU75" s="354">
        <f>DT77</f>
        <v>5638.0622162631289</v>
      </c>
      <c r="DV75" s="354">
        <f>DU77</f>
        <v>5770.3699817933793</v>
      </c>
      <c r="DW75" s="354">
        <f>DV77</f>
        <v>6078.0303062797348</v>
      </c>
      <c r="DX75" s="543">
        <f>DS77</f>
        <v>5862.2197670922278</v>
      </c>
      <c r="DY75" s="16"/>
      <c r="DZ75" s="21"/>
      <c r="EA75" s="21"/>
      <c r="EB75" s="252"/>
      <c r="EC75" s="58"/>
      <c r="ED75" s="58"/>
      <c r="EE75" s="58"/>
      <c r="EF75" s="58"/>
      <c r="EG75" s="58"/>
      <c r="EH75" s="58"/>
      <c r="EI75" s="58"/>
      <c r="EJ75" s="58"/>
      <c r="EK75" s="58"/>
      <c r="EL75" s="265"/>
      <c r="EM75" s="16"/>
      <c r="EN75" s="16"/>
      <c r="EU75" s="16"/>
      <c r="EV75" s="16"/>
      <c r="EW75" s="16"/>
      <c r="EX75" s="16"/>
      <c r="EY75" s="16"/>
      <c r="EZ75" s="16"/>
      <c r="FA75" s="16"/>
      <c r="FB75" s="16"/>
      <c r="FC75" s="16"/>
      <c r="FD75" s="16"/>
      <c r="FE75" s="16"/>
      <c r="FF75" s="16"/>
      <c r="FG75" s="16"/>
      <c r="FH75" s="16"/>
      <c r="FI75" s="16"/>
      <c r="FJ75" s="16"/>
    </row>
    <row r="76" spans="1:166" ht="3.95" customHeight="1" x14ac:dyDescent="0.2">
      <c r="A76" s="497" t="s">
        <v>339</v>
      </c>
      <c r="B76" s="215"/>
      <c r="C76" s="215"/>
      <c r="D76" s="249"/>
      <c r="E76" s="215"/>
      <c r="F76" s="215"/>
      <c r="G76" s="215"/>
      <c r="H76" s="215"/>
      <c r="I76" s="249"/>
      <c r="J76" s="215"/>
      <c r="K76" s="215"/>
      <c r="L76" s="215"/>
      <c r="M76" s="215"/>
      <c r="N76" s="215"/>
      <c r="O76" s="215"/>
      <c r="P76" s="248"/>
      <c r="Q76" s="215" t="s">
        <v>339</v>
      </c>
      <c r="R76" s="248"/>
      <c r="S76" s="65"/>
      <c r="T76" s="65"/>
      <c r="U76" s="257"/>
      <c r="V76" s="215"/>
      <c r="W76" s="248"/>
      <c r="X76" s="65"/>
      <c r="Y76" s="65"/>
      <c r="Z76" s="257"/>
      <c r="AA76" s="215" t="s">
        <v>339</v>
      </c>
      <c r="AB76" s="248"/>
      <c r="AC76" s="65"/>
      <c r="AD76" s="65"/>
      <c r="AE76" s="257"/>
      <c r="AF76" s="215"/>
      <c r="AG76" s="248"/>
      <c r="AH76" s="65"/>
      <c r="AI76" s="65"/>
      <c r="AJ76" s="257"/>
      <c r="AK76" s="215"/>
      <c r="AL76" s="248"/>
      <c r="AM76" s="65"/>
      <c r="AN76" s="65"/>
      <c r="AO76" s="257"/>
      <c r="AP76" s="641"/>
      <c r="AQ76" s="65"/>
      <c r="AR76" s="65"/>
      <c r="AS76" s="65"/>
      <c r="AT76" s="65"/>
      <c r="AU76" s="215"/>
      <c r="AV76" s="280"/>
      <c r="AW76" s="65"/>
      <c r="AX76" s="65"/>
      <c r="AY76" s="65"/>
      <c r="AZ76" s="65"/>
      <c r="BA76" s="215"/>
      <c r="BB76" s="248"/>
      <c r="BC76" s="65"/>
      <c r="BD76" s="65"/>
      <c r="BE76" s="257"/>
      <c r="BF76" s="641"/>
      <c r="BG76" s="65"/>
      <c r="BH76" s="65"/>
      <c r="BI76" s="65"/>
      <c r="BJ76" s="257"/>
      <c r="BK76" s="641"/>
      <c r="BL76" s="65"/>
      <c r="BM76" s="65"/>
      <c r="BN76" s="65"/>
      <c r="BO76" s="257"/>
      <c r="BP76" s="215"/>
      <c r="BQ76" s="65"/>
      <c r="BR76" s="65"/>
      <c r="BS76" s="65"/>
      <c r="BT76" s="257"/>
      <c r="BU76" s="641"/>
      <c r="BV76" s="65"/>
      <c r="BW76" s="1385"/>
      <c r="BX76" s="65"/>
      <c r="BY76" s="257"/>
      <c r="BZ76" s="641"/>
      <c r="CA76" s="65"/>
      <c r="CB76" s="65"/>
      <c r="CC76" s="65"/>
      <c r="CD76" s="257"/>
      <c r="CE76" s="641"/>
      <c r="CF76" s="65"/>
      <c r="CG76" s="65"/>
      <c r="CH76" s="65"/>
      <c r="CI76" s="257"/>
      <c r="CJ76" s="641"/>
      <c r="CK76" s="65"/>
      <c r="CL76" s="217"/>
      <c r="CM76" s="217"/>
      <c r="CN76" s="320"/>
      <c r="CO76" s="538"/>
      <c r="CP76" s="217"/>
      <c r="CQ76" s="217"/>
      <c r="CR76" s="217"/>
      <c r="CS76" s="320"/>
      <c r="CT76" s="538"/>
      <c r="CU76" s="217"/>
      <c r="CV76" s="217"/>
      <c r="CW76" s="217"/>
      <c r="CX76" s="320"/>
      <c r="CY76" s="538"/>
      <c r="CZ76" s="217"/>
      <c r="DA76" s="217"/>
      <c r="DB76" s="217"/>
      <c r="DC76" s="320"/>
      <c r="DD76" s="538"/>
      <c r="DE76" s="217"/>
      <c r="DF76" s="217"/>
      <c r="DG76" s="217"/>
      <c r="DH76" s="320"/>
      <c r="DI76" s="538"/>
      <c r="DJ76" s="217"/>
      <c r="DK76" s="217"/>
      <c r="DL76" s="217"/>
      <c r="DM76" s="320"/>
      <c r="DN76" s="538"/>
      <c r="DO76" s="217"/>
      <c r="DP76" s="217"/>
      <c r="DQ76" s="217"/>
      <c r="DR76" s="320"/>
      <c r="DS76" s="538"/>
      <c r="DT76" s="217"/>
      <c r="DU76" s="217"/>
      <c r="DV76" s="217"/>
      <c r="DW76" s="320"/>
      <c r="DX76" s="538"/>
      <c r="DY76" s="16"/>
      <c r="DZ76" s="21"/>
      <c r="EA76" s="21"/>
      <c r="EB76" s="252"/>
      <c r="EC76" s="58"/>
      <c r="ED76" s="58"/>
      <c r="EE76" s="58"/>
      <c r="EF76" s="58"/>
      <c r="EG76" s="58"/>
      <c r="EH76" s="58"/>
      <c r="EI76" s="58"/>
      <c r="EJ76" s="58"/>
      <c r="EK76" s="58"/>
      <c r="EL76" s="265"/>
      <c r="EM76" s="16"/>
      <c r="EN76" s="16"/>
      <c r="EU76" s="16"/>
      <c r="EV76" s="16"/>
      <c r="EW76" s="16"/>
      <c r="EX76" s="16"/>
      <c r="EY76" s="16"/>
      <c r="EZ76" s="16"/>
      <c r="FA76" s="16"/>
      <c r="FB76" s="16"/>
      <c r="FC76" s="16"/>
      <c r="FD76" s="16"/>
      <c r="FE76" s="16"/>
      <c r="FF76" s="16"/>
      <c r="FG76" s="16"/>
      <c r="FH76" s="16"/>
      <c r="FI76" s="16"/>
      <c r="FJ76" s="16"/>
    </row>
    <row r="77" spans="1:166" x14ac:dyDescent="0.2">
      <c r="A77" s="656" t="s">
        <v>359</v>
      </c>
      <c r="B77" s="502"/>
      <c r="C77" s="502"/>
      <c r="D77" s="503"/>
      <c r="E77" s="502"/>
      <c r="F77" s="502"/>
      <c r="G77" s="502"/>
      <c r="H77" s="502"/>
      <c r="I77" s="503"/>
      <c r="J77" s="502"/>
      <c r="K77" s="502"/>
      <c r="L77" s="502">
        <v>203</v>
      </c>
      <c r="M77" s="502"/>
      <c r="N77" s="502"/>
      <c r="O77" s="502"/>
      <c r="P77" s="502"/>
      <c r="Q77" s="504">
        <f>Q75+Q74</f>
        <v>221</v>
      </c>
      <c r="R77" s="505"/>
      <c r="S77" s="504"/>
      <c r="T77" s="504"/>
      <c r="U77" s="506"/>
      <c r="V77" s="502">
        <f t="shared" ref="V77:BU77" si="207">V75+V74</f>
        <v>432</v>
      </c>
      <c r="W77" s="504">
        <f t="shared" si="207"/>
        <v>151</v>
      </c>
      <c r="X77" s="504">
        <f t="shared" si="207"/>
        <v>207</v>
      </c>
      <c r="Y77" s="504">
        <f t="shared" si="207"/>
        <v>197</v>
      </c>
      <c r="Z77" s="506">
        <f t="shared" si="207"/>
        <v>258</v>
      </c>
      <c r="AA77" s="502">
        <f t="shared" si="207"/>
        <v>259</v>
      </c>
      <c r="AB77" s="504">
        <f t="shared" si="207"/>
        <v>146</v>
      </c>
      <c r="AC77" s="504">
        <f t="shared" si="207"/>
        <v>135</v>
      </c>
      <c r="AD77" s="504">
        <f t="shared" si="207"/>
        <v>142</v>
      </c>
      <c r="AE77" s="506">
        <f t="shared" si="207"/>
        <v>170</v>
      </c>
      <c r="AF77" s="502">
        <f t="shared" si="207"/>
        <v>170</v>
      </c>
      <c r="AG77" s="504">
        <f t="shared" si="207"/>
        <v>162</v>
      </c>
      <c r="AH77" s="504">
        <f t="shared" si="207"/>
        <v>183</v>
      </c>
      <c r="AI77" s="504">
        <f t="shared" si="207"/>
        <v>167</v>
      </c>
      <c r="AJ77" s="506">
        <f t="shared" si="207"/>
        <v>166</v>
      </c>
      <c r="AK77" s="502">
        <f t="shared" si="207"/>
        <v>166</v>
      </c>
      <c r="AL77" s="504">
        <f t="shared" si="207"/>
        <v>118</v>
      </c>
      <c r="AM77" s="504">
        <f t="shared" si="207"/>
        <v>124</v>
      </c>
      <c r="AN77" s="504">
        <f t="shared" si="207"/>
        <v>140</v>
      </c>
      <c r="AO77" s="506">
        <f t="shared" si="207"/>
        <v>121.69999999999996</v>
      </c>
      <c r="AP77" s="648">
        <f t="shared" si="207"/>
        <v>121.70000000000002</v>
      </c>
      <c r="AQ77" s="504">
        <f t="shared" si="207"/>
        <v>132.50000000000003</v>
      </c>
      <c r="AR77" s="504">
        <f t="shared" si="207"/>
        <v>139.90000000000003</v>
      </c>
      <c r="AS77" s="504">
        <f t="shared" si="207"/>
        <v>158.10000000000005</v>
      </c>
      <c r="AT77" s="504">
        <f t="shared" si="207"/>
        <v>187.60000000000002</v>
      </c>
      <c r="AU77" s="648">
        <f t="shared" si="207"/>
        <v>187.59999999999991</v>
      </c>
      <c r="AV77" s="280"/>
      <c r="AW77" s="504">
        <f>AW75+AW74</f>
        <v>158.10000000000005</v>
      </c>
      <c r="AX77" s="504">
        <f>AX75+AX74</f>
        <v>187.60000000000002</v>
      </c>
      <c r="AY77" s="504">
        <f t="shared" si="207"/>
        <v>247.90000000000003</v>
      </c>
      <c r="AZ77" s="504">
        <f t="shared" si="207"/>
        <v>206.99999999999994</v>
      </c>
      <c r="BA77" s="502">
        <f t="shared" si="207"/>
        <v>207.00000000000034</v>
      </c>
      <c r="BB77" s="504">
        <f t="shared" si="207"/>
        <v>267.10000000000025</v>
      </c>
      <c r="BC77" s="504">
        <f t="shared" si="207"/>
        <v>676.40000000000032</v>
      </c>
      <c r="BD77" s="504">
        <f t="shared" si="207"/>
        <v>862.60000000000048</v>
      </c>
      <c r="BE77" s="506">
        <f t="shared" si="207"/>
        <v>459.00000000000045</v>
      </c>
      <c r="BF77" s="648">
        <f t="shared" si="207"/>
        <v>459.0000000000004</v>
      </c>
      <c r="BG77" s="504">
        <f t="shared" si="207"/>
        <v>437.10000000000036</v>
      </c>
      <c r="BH77" s="504">
        <f t="shared" si="207"/>
        <v>377.70000000000039</v>
      </c>
      <c r="BI77" s="504">
        <f t="shared" si="207"/>
        <v>482.80000000000035</v>
      </c>
      <c r="BJ77" s="506">
        <f t="shared" si="207"/>
        <v>546.7000000000005</v>
      </c>
      <c r="BK77" s="648">
        <f t="shared" si="207"/>
        <v>546.70000000000039</v>
      </c>
      <c r="BL77" s="504">
        <f t="shared" si="207"/>
        <v>598.80000000000041</v>
      </c>
      <c r="BM77" s="504">
        <f t="shared" si="207"/>
        <v>654.10000000000036</v>
      </c>
      <c r="BN77" s="504">
        <f t="shared" si="207"/>
        <v>764.3000000000003</v>
      </c>
      <c r="BO77" s="506">
        <f t="shared" si="207"/>
        <v>786.90000000000032</v>
      </c>
      <c r="BP77" s="502">
        <f t="shared" si="207"/>
        <v>786.90000000000032</v>
      </c>
      <c r="BQ77" s="504">
        <f t="shared" si="207"/>
        <v>863.10000000000025</v>
      </c>
      <c r="BR77" s="504">
        <f t="shared" si="207"/>
        <v>904.70000000000027</v>
      </c>
      <c r="BS77" s="504">
        <f t="shared" si="207"/>
        <v>1013.7000000000003</v>
      </c>
      <c r="BT77" s="506">
        <f t="shared" si="207"/>
        <v>1803.1999999999985</v>
      </c>
      <c r="BU77" s="648">
        <f t="shared" si="207"/>
        <v>1803.1999999999989</v>
      </c>
      <c r="BV77" s="504">
        <f t="shared" ref="BV77:DA77" si="208">BV75+BV74</f>
        <v>1021.899999999999</v>
      </c>
      <c r="BW77" s="1411">
        <f t="shared" si="208"/>
        <v>688.89999999999873</v>
      </c>
      <c r="BX77" s="504">
        <f t="shared" si="208"/>
        <v>975.49999999999898</v>
      </c>
      <c r="BY77" s="506">
        <f t="shared" si="208"/>
        <v>757.7999999999987</v>
      </c>
      <c r="BZ77" s="648">
        <f t="shared" si="208"/>
        <v>757.79999999999859</v>
      </c>
      <c r="CA77" s="504">
        <f t="shared" ref="CA77:CB77" si="209">CA75+CA74</f>
        <v>825.89999999999861</v>
      </c>
      <c r="CB77" s="504">
        <f t="shared" si="209"/>
        <v>998.09999999999877</v>
      </c>
      <c r="CC77" s="504">
        <f t="shared" si="208"/>
        <v>1274.3999999999987</v>
      </c>
      <c r="CD77" s="506">
        <f t="shared" si="208"/>
        <v>1460.3999999999987</v>
      </c>
      <c r="CE77" s="648">
        <f t="shared" si="208"/>
        <v>1460.3999999999987</v>
      </c>
      <c r="CF77" s="504">
        <f t="shared" si="208"/>
        <v>923.89999999999873</v>
      </c>
      <c r="CG77" s="504">
        <f t="shared" si="208"/>
        <v>3435.4999999999986</v>
      </c>
      <c r="CH77" s="504">
        <f t="shared" si="208"/>
        <v>3607.0999999999985</v>
      </c>
      <c r="CI77" s="506">
        <f t="shared" si="208"/>
        <v>1073.3999999999987</v>
      </c>
      <c r="CJ77" s="648">
        <f t="shared" si="208"/>
        <v>1073.399999999999</v>
      </c>
      <c r="CK77" s="504">
        <f t="shared" si="208"/>
        <v>852.39999999999873</v>
      </c>
      <c r="CL77" s="507">
        <f t="shared" si="208"/>
        <v>935.38424829506607</v>
      </c>
      <c r="CM77" s="507">
        <f t="shared" si="208"/>
        <v>1027.7180966551789</v>
      </c>
      <c r="CN77" s="508">
        <f t="shared" si="208"/>
        <v>1545.2036277047246</v>
      </c>
      <c r="CO77" s="544">
        <f t="shared" si="208"/>
        <v>1545.2036277047246</v>
      </c>
      <c r="CP77" s="507">
        <f t="shared" si="208"/>
        <v>1327.7932213713609</v>
      </c>
      <c r="CQ77" s="507">
        <f t="shared" si="208"/>
        <v>1343.7520719715644</v>
      </c>
      <c r="CR77" s="507">
        <f t="shared" si="208"/>
        <v>1471.0482325030578</v>
      </c>
      <c r="CS77" s="508">
        <f t="shared" si="208"/>
        <v>2046.8802340869388</v>
      </c>
      <c r="CT77" s="544">
        <f t="shared" si="208"/>
        <v>2046.8802340869388</v>
      </c>
      <c r="CU77" s="507">
        <f t="shared" si="208"/>
        <v>1821.571338108884</v>
      </c>
      <c r="CV77" s="507">
        <f t="shared" si="208"/>
        <v>1862.2164360808731</v>
      </c>
      <c r="CW77" s="507">
        <f t="shared" si="208"/>
        <v>2024.3112114208109</v>
      </c>
      <c r="CX77" s="508">
        <f t="shared" si="208"/>
        <v>2663.2723976584757</v>
      </c>
      <c r="CY77" s="544">
        <f t="shared" si="208"/>
        <v>2663.2723976584766</v>
      </c>
      <c r="CZ77" s="507">
        <f t="shared" si="208"/>
        <v>2452.2149585647608</v>
      </c>
      <c r="DA77" s="507">
        <f t="shared" si="208"/>
        <v>2511.6738981101394</v>
      </c>
      <c r="DB77" s="507">
        <f t="shared" ref="DB77:DS77" si="210">DB75+DB74</f>
        <v>2708.618511446472</v>
      </c>
      <c r="DC77" s="508">
        <f t="shared" si="210"/>
        <v>2778.6678630692231</v>
      </c>
      <c r="DD77" s="544">
        <f t="shared" si="210"/>
        <v>2778.6678630692231</v>
      </c>
      <c r="DE77" s="507">
        <f t="shared" si="210"/>
        <v>2583.4557657617256</v>
      </c>
      <c r="DF77" s="507">
        <f t="shared" si="210"/>
        <v>2678.0120563957407</v>
      </c>
      <c r="DG77" s="507">
        <f t="shared" si="210"/>
        <v>2919.2130399990228</v>
      </c>
      <c r="DH77" s="508">
        <f t="shared" si="210"/>
        <v>3709.0034511051581</v>
      </c>
      <c r="DI77" s="544">
        <f t="shared" si="210"/>
        <v>3709.0034511051581</v>
      </c>
      <c r="DJ77" s="507">
        <f t="shared" si="210"/>
        <v>3504.8986228915433</v>
      </c>
      <c r="DK77" s="507">
        <f t="shared" si="210"/>
        <v>3628.1014805667614</v>
      </c>
      <c r="DL77" s="507">
        <f t="shared" si="210"/>
        <v>3908.0051166470021</v>
      </c>
      <c r="DM77" s="508">
        <f t="shared" si="210"/>
        <v>4770.0973409518874</v>
      </c>
      <c r="DN77" s="544">
        <f t="shared" si="210"/>
        <v>4770.0973409518865</v>
      </c>
      <c r="DO77" s="507">
        <f t="shared" si="210"/>
        <v>4546.2661560677516</v>
      </c>
      <c r="DP77" s="507">
        <f t="shared" si="210"/>
        <v>4656.1053747558635</v>
      </c>
      <c r="DQ77" s="507">
        <f t="shared" si="210"/>
        <v>4944.0657552337452</v>
      </c>
      <c r="DR77" s="508">
        <f t="shared" si="210"/>
        <v>5862.2197670922278</v>
      </c>
      <c r="DS77" s="544">
        <f t="shared" si="210"/>
        <v>5862.2197670922278</v>
      </c>
      <c r="DT77" s="507">
        <f t="shared" ref="DT77:DX77" si="211">DT75+DT74</f>
        <v>5638.0622162631289</v>
      </c>
      <c r="DU77" s="507">
        <f t="shared" si="211"/>
        <v>5770.3699817933793</v>
      </c>
      <c r="DV77" s="507">
        <f t="shared" si="211"/>
        <v>6078.0303062797348</v>
      </c>
      <c r="DW77" s="508">
        <f t="shared" si="211"/>
        <v>7054.9707667042385</v>
      </c>
      <c r="DX77" s="544">
        <f t="shared" si="211"/>
        <v>7054.9707667042385</v>
      </c>
      <c r="DY77" s="16"/>
      <c r="DZ77" s="21"/>
      <c r="EA77" s="21"/>
      <c r="EB77" s="252"/>
      <c r="EC77" s="58"/>
      <c r="ED77" s="58"/>
      <c r="EE77" s="58"/>
      <c r="EF77" s="58"/>
      <c r="EG77" s="58"/>
      <c r="EH77" s="58"/>
      <c r="EI77" s="58"/>
      <c r="EJ77" s="58"/>
      <c r="EK77" s="58"/>
      <c r="EL77" s="265"/>
      <c r="EM77" s="16"/>
      <c r="EN77" s="16"/>
      <c r="EU77" s="16"/>
      <c r="EV77" s="16"/>
      <c r="EW77" s="16"/>
      <c r="EX77" s="16"/>
      <c r="EY77" s="16"/>
      <c r="EZ77" s="16"/>
      <c r="FA77" s="16"/>
      <c r="FB77" s="16"/>
      <c r="FC77" s="16"/>
      <c r="FD77" s="16"/>
      <c r="FE77" s="16"/>
      <c r="FF77" s="16"/>
      <c r="FG77" s="16"/>
      <c r="FH77" s="16"/>
      <c r="FI77" s="16"/>
      <c r="FJ77" s="16"/>
    </row>
    <row r="78" spans="1:166" hidden="1" outlineLevel="1" x14ac:dyDescent="0.2">
      <c r="A78" s="176"/>
      <c r="B78" s="219"/>
      <c r="C78" s="219"/>
      <c r="D78" s="220"/>
      <c r="E78" s="219"/>
      <c r="F78" s="219"/>
      <c r="G78" s="219"/>
      <c r="H78" s="219"/>
      <c r="I78" s="220"/>
      <c r="J78" s="219"/>
      <c r="K78" s="219"/>
      <c r="L78" s="219"/>
      <c r="M78" s="219"/>
      <c r="N78" s="219"/>
      <c r="O78" s="219"/>
      <c r="P78" s="219"/>
      <c r="Q78" s="219"/>
      <c r="R78" s="219"/>
      <c r="S78" s="219"/>
      <c r="T78" s="219"/>
      <c r="U78" s="219"/>
      <c r="V78" s="219"/>
      <c r="W78" s="219"/>
      <c r="X78" s="219"/>
      <c r="Y78" s="219"/>
      <c r="Z78" s="219"/>
      <c r="AA78" s="629">
        <f>AA77-BS!AA10</f>
        <v>0</v>
      </c>
      <c r="AB78" s="628">
        <f>AB77-BS!AB10</f>
        <v>0</v>
      </c>
      <c r="AC78" s="628">
        <f>AC77-BS!AC10</f>
        <v>0</v>
      </c>
      <c r="AD78" s="629">
        <f>AD77-BS!AD10</f>
        <v>0</v>
      </c>
      <c r="AE78" s="629">
        <f>AE77-BS!AE10</f>
        <v>0</v>
      </c>
      <c r="AF78" s="629">
        <f>AF77-BS!AF10</f>
        <v>0</v>
      </c>
      <c r="AG78" s="628">
        <f>AG77-BS!AG10</f>
        <v>0</v>
      </c>
      <c r="AH78" s="628">
        <f>AH77-BS!AH10</f>
        <v>0</v>
      </c>
      <c r="AI78" s="628">
        <f>AI77-BS!AI10</f>
        <v>0</v>
      </c>
      <c r="AJ78" s="628">
        <f>AJ77-BS!AJ10</f>
        <v>0</v>
      </c>
      <c r="AK78" s="628">
        <f>AK77-BS!AK10</f>
        <v>0</v>
      </c>
      <c r="AL78" s="628">
        <f>AL77-BS!AL10</f>
        <v>0</v>
      </c>
      <c r="AM78" s="628">
        <f>AM77-BS!AM10</f>
        <v>0</v>
      </c>
      <c r="AN78" s="628">
        <f>AN77-BS!AN10</f>
        <v>0</v>
      </c>
      <c r="AO78" s="628">
        <f>AO77-BS!AO10</f>
        <v>0</v>
      </c>
      <c r="AP78" s="628">
        <f>AP77-BS!AP10</f>
        <v>0</v>
      </c>
      <c r="AQ78" s="628">
        <f>AQ77-BS!AQ10</f>
        <v>0</v>
      </c>
      <c r="AR78" s="628">
        <f>AR77-BS!AR10</f>
        <v>0</v>
      </c>
      <c r="AS78" s="628">
        <f>AS77-BS!AS10</f>
        <v>0</v>
      </c>
      <c r="AT78" s="628">
        <f>AT77-BS!AT10</f>
        <v>0</v>
      </c>
      <c r="AU78" s="628"/>
      <c r="AV78" s="280"/>
      <c r="AW78" s="628"/>
      <c r="AX78" s="628"/>
      <c r="AY78" s="628">
        <f>AY77-BS!AX10</f>
        <v>60.30000000000004</v>
      </c>
      <c r="AZ78" s="628">
        <f>AZ77-BS!AZ10</f>
        <v>0</v>
      </c>
      <c r="BA78" s="621">
        <f>BA77-BS!BA10</f>
        <v>3.4106051316484809E-13</v>
      </c>
      <c r="BB78" s="621">
        <f>BB77-BS!BB10</f>
        <v>0</v>
      </c>
      <c r="BC78" s="621">
        <f>BC77-BS!BC10</f>
        <v>0</v>
      </c>
      <c r="BD78" s="621">
        <f>BD77-BS!BD10</f>
        <v>0</v>
      </c>
      <c r="BE78" s="621">
        <f>BE77-BS!BE10</f>
        <v>4.5474735088646412E-13</v>
      </c>
      <c r="BF78" s="621">
        <f>BF77-BS!BF10</f>
        <v>0</v>
      </c>
      <c r="BG78" s="628">
        <f>BG77-BS!BG10</f>
        <v>7.3000000000003524</v>
      </c>
      <c r="BH78" s="628">
        <f>BH77-BS!BH10</f>
        <v>0</v>
      </c>
      <c r="BI78" s="628">
        <f>BI77-BS!BI10</f>
        <v>0</v>
      </c>
      <c r="BJ78" s="629">
        <f>BJ77-BS!BJ10</f>
        <v>0</v>
      </c>
      <c r="BK78" s="629">
        <f>BK77-BS!BK10</f>
        <v>0</v>
      </c>
      <c r="BL78" s="629">
        <f>BL77-BS!BL10</f>
        <v>0</v>
      </c>
      <c r="BM78" s="628">
        <f>BM77-BS!BM10</f>
        <v>0</v>
      </c>
      <c r="BN78" s="628">
        <f>BN77-BS!BN10</f>
        <v>0</v>
      </c>
      <c r="BO78" s="629">
        <f>BO77-BS!BO10</f>
        <v>0</v>
      </c>
      <c r="BP78" s="629">
        <f>BP77-BS!BP10</f>
        <v>0</v>
      </c>
      <c r="BQ78" s="628">
        <f>BQ77-BS!BQ10</f>
        <v>0</v>
      </c>
      <c r="BR78" s="628">
        <f>BR77-BS!BR10</f>
        <v>0</v>
      </c>
      <c r="BS78" s="629">
        <f>BS77-BS!BS10</f>
        <v>0</v>
      </c>
      <c r="BT78" s="629">
        <f>BT77-BS!BT10</f>
        <v>0</v>
      </c>
      <c r="BU78" s="629">
        <f>BU77-BS!BU10</f>
        <v>0</v>
      </c>
      <c r="BV78" s="628">
        <f>BV77-BS!BV10</f>
        <v>-1.0231815394945443E-12</v>
      </c>
      <c r="BW78" s="1412">
        <f>BW77-BS!BW10</f>
        <v>-1.2505552149377763E-12</v>
      </c>
      <c r="BX78" s="628">
        <f>BX77-BS!BX10</f>
        <v>-1.0231815394945443E-12</v>
      </c>
      <c r="BY78" s="628">
        <f>BY77-BS!BY10</f>
        <v>-1.2505552149377763E-12</v>
      </c>
      <c r="BZ78" s="628">
        <f>BZ77-BS!BZ10</f>
        <v>-1.3642420526593924E-12</v>
      </c>
      <c r="CA78" s="628">
        <f>CA77-BS!CA10</f>
        <v>-1.3642420526593924E-12</v>
      </c>
      <c r="CB78" s="628">
        <f>CB77-BS!CB10</f>
        <v>-1.2505552149377763E-12</v>
      </c>
      <c r="CC78" s="628">
        <f>CC77-BS!CC10</f>
        <v>0</v>
      </c>
      <c r="CD78" s="628">
        <f>CD77-BS!CD10</f>
        <v>0</v>
      </c>
      <c r="CE78" s="628">
        <f>CE77-BS!CE10</f>
        <v>0</v>
      </c>
      <c r="CF78" s="628">
        <f>CF77-BS!CF10</f>
        <v>-1.2505552149377763E-12</v>
      </c>
      <c r="CG78" s="628">
        <f>CG77-BS!CG10</f>
        <v>0</v>
      </c>
      <c r="CH78" s="628">
        <f>CH77-BS!CH10</f>
        <v>0</v>
      </c>
      <c r="CI78" s="628">
        <f>CI77-BS!CI10</f>
        <v>0</v>
      </c>
      <c r="CJ78" s="628">
        <f>CJ77-BS!CJ10</f>
        <v>0</v>
      </c>
      <c r="CK78" s="628">
        <f>CK77-BS!CK10</f>
        <v>-1.2505552149377763E-12</v>
      </c>
      <c r="CL78" s="629">
        <f>CL77-BS!CL10</f>
        <v>-1.1368683772161603E-12</v>
      </c>
      <c r="CM78" s="629">
        <f>CM77-BS!CM10</f>
        <v>0</v>
      </c>
      <c r="CN78" s="629">
        <f>CN77-BS!CN10</f>
        <v>0</v>
      </c>
      <c r="CO78" s="629">
        <f>CO77-BS!CO10</f>
        <v>0</v>
      </c>
      <c r="CP78" s="629">
        <f>CP77-BS!CP10</f>
        <v>0</v>
      </c>
      <c r="CQ78" s="629">
        <f>CQ77-BS!CQ10</f>
        <v>0</v>
      </c>
      <c r="CR78" s="629">
        <f>CR77-BS!CR10</f>
        <v>0</v>
      </c>
      <c r="CS78" s="629">
        <f>CS77-BS!CS10</f>
        <v>0</v>
      </c>
      <c r="CT78" s="629">
        <f>CT77-BS!CT10</f>
        <v>0</v>
      </c>
      <c r="CU78" s="629">
        <f>CU77-BS!CU10</f>
        <v>0</v>
      </c>
      <c r="CV78" s="629">
        <f>CV77-BS!CV10</f>
        <v>0</v>
      </c>
      <c r="CW78" s="629">
        <f>CW77-BS!CW10</f>
        <v>0</v>
      </c>
      <c r="CX78" s="629">
        <f>CX77-BS!CX10</f>
        <v>0</v>
      </c>
      <c r="CY78" s="629">
        <f>CY77-BS!CY10</f>
        <v>0</v>
      </c>
      <c r="CZ78" s="629">
        <f>CZ77-BS!CZ10</f>
        <v>0</v>
      </c>
      <c r="DA78" s="629">
        <f>DA77-BS!DA10</f>
        <v>0</v>
      </c>
      <c r="DB78" s="629">
        <f>DB77-BS!DB10</f>
        <v>0</v>
      </c>
      <c r="DC78" s="629">
        <f>DC77-BS!DC10</f>
        <v>0</v>
      </c>
      <c r="DD78" s="629">
        <f>DD77-BS!DD10</f>
        <v>0</v>
      </c>
      <c r="DE78" s="629">
        <f>DE77-BS!DE10</f>
        <v>0</v>
      </c>
      <c r="DF78" s="629">
        <f>DF77-BS!DF10</f>
        <v>0</v>
      </c>
      <c r="DG78" s="629">
        <f>DG77-BS!DG10</f>
        <v>0</v>
      </c>
      <c r="DH78" s="629">
        <f>DH77-BS!DH10</f>
        <v>0</v>
      </c>
      <c r="DI78" s="629">
        <f>DI77-BS!DI10</f>
        <v>0</v>
      </c>
      <c r="DJ78" s="629">
        <f>DJ77-BS!DJ10</f>
        <v>0</v>
      </c>
      <c r="DK78" s="629">
        <f>DK77-BS!DK10</f>
        <v>0</v>
      </c>
      <c r="DL78" s="629">
        <f>DL77-BS!DL10</f>
        <v>0</v>
      </c>
      <c r="DM78" s="629">
        <f>DM77-BS!DM10</f>
        <v>0</v>
      </c>
      <c r="DN78" s="629">
        <f>DN77-BS!DN10</f>
        <v>0</v>
      </c>
      <c r="DO78" s="629">
        <f>DO77-BS!DO10</f>
        <v>0</v>
      </c>
      <c r="DP78" s="629">
        <f>DP77-BS!DP10</f>
        <v>0</v>
      </c>
      <c r="DQ78" s="629">
        <f>DQ77-BS!DQ10</f>
        <v>0</v>
      </c>
      <c r="DR78" s="629">
        <f>DR77-BS!DR10</f>
        <v>0</v>
      </c>
      <c r="DS78" s="629">
        <f>DS77-BS!DS10</f>
        <v>0</v>
      </c>
      <c r="DT78" s="629">
        <f>DT77-BS!DT10</f>
        <v>0</v>
      </c>
      <c r="DU78" s="629">
        <f>DU77-BS!DU10</f>
        <v>0</v>
      </c>
      <c r="DV78" s="629">
        <f>DV77-BS!DV10</f>
        <v>0</v>
      </c>
      <c r="DW78" s="629">
        <f>DW77-BS!DW10</f>
        <v>0</v>
      </c>
      <c r="DX78" s="629">
        <f>DX77-BS!DX10</f>
        <v>0</v>
      </c>
      <c r="DY78" s="16"/>
      <c r="DZ78" s="21"/>
      <c r="EA78" s="21"/>
      <c r="EB78" s="252"/>
      <c r="EC78" s="58"/>
      <c r="ED78" s="58"/>
      <c r="EE78" s="58"/>
      <c r="EF78" s="58"/>
      <c r="EG78" s="58"/>
      <c r="EH78" s="58"/>
      <c r="EI78" s="58"/>
      <c r="EJ78" s="58"/>
      <c r="EK78" s="58"/>
      <c r="EL78" s="265"/>
      <c r="EM78" s="16"/>
      <c r="EN78" s="16"/>
      <c r="EU78" s="16"/>
      <c r="EV78" s="16"/>
      <c r="EW78" s="16"/>
      <c r="EX78" s="16"/>
      <c r="EY78" s="16"/>
      <c r="EZ78" s="16"/>
      <c r="FA78" s="16"/>
      <c r="FB78" s="16"/>
      <c r="FC78" s="16"/>
      <c r="FD78" s="16"/>
      <c r="FE78" s="16"/>
      <c r="FF78" s="16"/>
      <c r="FG78" s="16"/>
      <c r="FH78" s="16"/>
      <c r="FI78" s="16"/>
      <c r="FJ78" s="16"/>
    </row>
    <row r="79" spans="1:166" hidden="1" outlineLevel="1" x14ac:dyDescent="0.2">
      <c r="A79" s="13" t="s">
        <v>67</v>
      </c>
      <c r="B79" s="324"/>
      <c r="C79" s="324"/>
      <c r="D79" s="324"/>
      <c r="E79" s="324"/>
      <c r="F79" s="324"/>
      <c r="G79" s="324"/>
      <c r="H79" s="324"/>
      <c r="I79" s="324"/>
      <c r="J79" s="324"/>
      <c r="K79" s="324"/>
      <c r="L79" s="324"/>
      <c r="M79" s="324"/>
      <c r="N79" s="324"/>
      <c r="O79" s="324"/>
      <c r="P79" s="324"/>
      <c r="Q79" s="324"/>
      <c r="R79" s="324"/>
      <c r="S79" s="324"/>
      <c r="T79" s="324"/>
      <c r="U79" s="324"/>
      <c r="V79" s="324">
        <f>V77-BS!V10</f>
        <v>0</v>
      </c>
      <c r="W79" s="324"/>
      <c r="X79" s="324"/>
      <c r="Y79" s="324"/>
      <c r="Z79" s="324"/>
      <c r="AA79" s="325"/>
      <c r="AB79" s="324"/>
      <c r="AC79" s="324"/>
      <c r="AD79" s="325"/>
      <c r="AE79" s="325"/>
      <c r="AF79" s="326"/>
      <c r="AG79" s="324"/>
      <c r="AH79" s="324"/>
      <c r="AI79" s="324"/>
      <c r="AJ79" s="324"/>
      <c r="AK79" s="598"/>
      <c r="AL79" s="324"/>
      <c r="AM79" s="324"/>
      <c r="AN79" s="324"/>
      <c r="AO79" s="324"/>
      <c r="AP79" s="598"/>
      <c r="AQ79" s="324"/>
      <c r="AR79" s="324"/>
      <c r="AS79" s="324"/>
      <c r="AT79" s="324"/>
      <c r="AU79" s="598"/>
      <c r="AV79" s="244"/>
      <c r="AW79" s="324"/>
      <c r="AX79" s="324"/>
      <c r="AY79" s="324"/>
      <c r="AZ79" s="324"/>
      <c r="BA79" s="598"/>
      <c r="BB79" s="324"/>
      <c r="BC79" s="324"/>
      <c r="BD79" s="324"/>
      <c r="BE79" s="324"/>
      <c r="BF79" s="598"/>
      <c r="BG79" s="324"/>
      <c r="BH79" s="324"/>
      <c r="BI79" s="324"/>
      <c r="BJ79" s="325"/>
      <c r="BK79" s="326"/>
      <c r="BL79" s="325"/>
      <c r="BM79" s="325"/>
      <c r="BN79" s="325"/>
      <c r="BO79" s="325"/>
      <c r="BP79" s="326"/>
      <c r="BQ79" s="325"/>
      <c r="BR79" s="324"/>
      <c r="BS79" s="325"/>
      <c r="BT79" s="325"/>
      <c r="BU79" s="326"/>
      <c r="BV79" s="324"/>
      <c r="BW79" s="1413"/>
      <c r="BX79" s="324"/>
      <c r="BY79" s="324"/>
      <c r="BZ79" s="598"/>
      <c r="CA79" s="324"/>
      <c r="CB79" s="324"/>
      <c r="CC79" s="324"/>
      <c r="CD79" s="324"/>
      <c r="CE79" s="598"/>
      <c r="CF79" s="324"/>
      <c r="CG79" s="324"/>
      <c r="CH79" s="324"/>
      <c r="CI79" s="324"/>
      <c r="CJ79" s="598"/>
      <c r="CK79" s="324"/>
      <c r="CL79" s="325"/>
      <c r="CM79" s="325"/>
      <c r="CN79" s="325"/>
      <c r="CO79" s="326"/>
      <c r="CP79" s="325"/>
      <c r="CQ79" s="325"/>
      <c r="CR79" s="325"/>
      <c r="CS79" s="325"/>
      <c r="CT79" s="326"/>
      <c r="CU79" s="325"/>
      <c r="CV79" s="325"/>
      <c r="CW79" s="325"/>
      <c r="CX79" s="325"/>
      <c r="CY79" s="326"/>
      <c r="CZ79" s="325"/>
      <c r="DA79" s="325"/>
      <c r="DB79" s="325"/>
      <c r="DC79" s="325"/>
      <c r="DD79" s="326"/>
      <c r="DE79" s="325"/>
      <c r="DF79" s="325"/>
      <c r="DG79" s="325"/>
      <c r="DH79" s="325"/>
      <c r="DI79" s="326"/>
      <c r="DJ79" s="325"/>
      <c r="DK79" s="325"/>
      <c r="DL79" s="325"/>
      <c r="DM79" s="325"/>
      <c r="DN79" s="326"/>
      <c r="DO79" s="325"/>
      <c r="DP79" s="325"/>
      <c r="DQ79" s="325"/>
      <c r="DR79" s="325"/>
      <c r="DS79" s="326"/>
      <c r="DT79" s="325"/>
      <c r="DU79" s="325"/>
      <c r="DV79" s="325"/>
      <c r="DW79" s="325"/>
      <c r="DX79" s="326"/>
      <c r="DY79" s="37"/>
      <c r="DZ79" s="37"/>
      <c r="EA79" s="37"/>
      <c r="EB79" s="425"/>
      <c r="EC79" s="57"/>
      <c r="ED79" s="57"/>
      <c r="EE79" s="57"/>
      <c r="EF79" s="57"/>
      <c r="EG79" s="57"/>
      <c r="EH79" s="57"/>
      <c r="EI79" s="57"/>
      <c r="EJ79" s="57"/>
      <c r="EK79" s="57"/>
      <c r="EL79" s="751"/>
      <c r="EM79" s="37"/>
      <c r="EN79" s="37"/>
      <c r="EU79" s="37"/>
      <c r="EV79" s="37"/>
      <c r="EW79" s="37"/>
      <c r="EX79" s="37"/>
      <c r="EY79" s="37"/>
      <c r="EZ79" s="37"/>
      <c r="FA79" s="37"/>
      <c r="FB79" s="37"/>
      <c r="FC79" s="37"/>
      <c r="FD79" s="37"/>
      <c r="FE79" s="37"/>
      <c r="FF79" s="37"/>
      <c r="FG79" s="37"/>
      <c r="FH79" s="37"/>
      <c r="FI79" s="37"/>
      <c r="FJ79" s="37"/>
    </row>
    <row r="80" spans="1:166" hidden="1" outlineLevel="1" x14ac:dyDescent="0.2">
      <c r="A80" s="170" t="s">
        <v>68</v>
      </c>
      <c r="B80" s="219"/>
      <c r="C80" s="219"/>
      <c r="D80" s="220"/>
      <c r="E80" s="219"/>
      <c r="F80" s="219"/>
      <c r="G80" s="219"/>
      <c r="H80" s="219"/>
      <c r="I80" s="220"/>
      <c r="J80" s="219"/>
      <c r="K80" s="219"/>
      <c r="L80" s="219"/>
      <c r="M80" s="219"/>
      <c r="N80" s="219"/>
      <c r="O80" s="219"/>
      <c r="P80" s="219"/>
      <c r="Q80" s="219"/>
      <c r="R80" s="219"/>
      <c r="S80" s="219"/>
      <c r="T80" s="219"/>
      <c r="U80" s="219"/>
      <c r="V80" s="219"/>
      <c r="W80" s="221"/>
      <c r="X80" s="221"/>
      <c r="Y80" s="221"/>
      <c r="Z80" s="221"/>
      <c r="AA80" s="328">
        <v>180</v>
      </c>
      <c r="AB80" s="65"/>
      <c r="AC80" s="65"/>
      <c r="AD80" s="65"/>
      <c r="AE80" s="65"/>
      <c r="AF80" s="328">
        <v>61</v>
      </c>
      <c r="AG80" s="65">
        <v>17</v>
      </c>
      <c r="AH80" s="65">
        <f>20-AG80</f>
        <v>3</v>
      </c>
      <c r="AI80" s="65">
        <f>50-AH80-AG80</f>
        <v>30</v>
      </c>
      <c r="AJ80" s="65"/>
      <c r="AK80" s="328">
        <v>65</v>
      </c>
      <c r="AL80" s="65">
        <v>15</v>
      </c>
      <c r="AM80" s="65">
        <f>30-AL80</f>
        <v>15</v>
      </c>
      <c r="AN80" s="65">
        <f>43-AM80-AL80</f>
        <v>13</v>
      </c>
      <c r="AO80" s="65">
        <f>AP80-AN80-AM80-AL80</f>
        <v>13</v>
      </c>
      <c r="AP80" s="328">
        <v>56</v>
      </c>
      <c r="AQ80" s="65">
        <v>12.6</v>
      </c>
      <c r="AR80" s="65">
        <f>24.9-AQ80</f>
        <v>12.299999999999999</v>
      </c>
      <c r="AS80" s="65">
        <f>36.8-AR80-AQ80</f>
        <v>11.9</v>
      </c>
      <c r="AT80" s="65">
        <f>48.7-AS80-AR80-AQ80</f>
        <v>11.900000000000007</v>
      </c>
      <c r="AU80" s="328">
        <f>SUM(AQ80:AT80)</f>
        <v>48.7</v>
      </c>
      <c r="AV80" s="246"/>
      <c r="AW80" s="65">
        <f>AS80</f>
        <v>11.9</v>
      </c>
      <c r="AX80" s="65">
        <f>AT80</f>
        <v>11.900000000000007</v>
      </c>
      <c r="AY80" s="65">
        <v>12.1</v>
      </c>
      <c r="AZ80" s="65">
        <v>29.6</v>
      </c>
      <c r="BA80" s="328">
        <f>SUM(AW80:AZ80)</f>
        <v>65.5</v>
      </c>
      <c r="BB80" s="65">
        <v>29.5</v>
      </c>
      <c r="BC80" s="65">
        <f>93.5-BB80</f>
        <v>64</v>
      </c>
      <c r="BD80" s="65"/>
      <c r="BE80" s="65"/>
      <c r="BF80" s="328"/>
      <c r="BG80" s="65">
        <v>23.1</v>
      </c>
      <c r="BH80" s="65">
        <f>91.7-BG80</f>
        <v>68.599999999999994</v>
      </c>
      <c r="BI80" s="65">
        <f>114.3-SUM(BG80:BH80)</f>
        <v>22.600000000000009</v>
      </c>
      <c r="BJ80" s="217"/>
      <c r="BK80" s="328">
        <v>170.3</v>
      </c>
      <c r="BL80" s="65">
        <v>14.2</v>
      </c>
      <c r="BM80" s="65">
        <f>69.5-BL80</f>
        <v>55.3</v>
      </c>
      <c r="BN80" s="217"/>
      <c r="BO80" s="217"/>
      <c r="BP80" s="328">
        <v>139.1</v>
      </c>
      <c r="BQ80" s="65">
        <v>14.4</v>
      </c>
      <c r="BR80" s="65">
        <f>68-BQ80</f>
        <v>53.6</v>
      </c>
      <c r="BS80" s="217"/>
      <c r="BT80" s="217"/>
      <c r="BU80" s="328">
        <v>199.9</v>
      </c>
      <c r="BV80" s="65"/>
      <c r="BW80" s="1385"/>
      <c r="BX80" s="65"/>
      <c r="BY80" s="65"/>
      <c r="BZ80" s="328"/>
      <c r="CA80" s="65"/>
      <c r="CB80" s="65"/>
      <c r="CC80" s="65"/>
      <c r="CD80" s="65"/>
      <c r="CE80" s="328"/>
      <c r="CF80" s="65"/>
      <c r="CG80" s="65"/>
      <c r="CH80" s="65"/>
      <c r="CI80" s="65"/>
      <c r="CJ80" s="328"/>
      <c r="CK80" s="65"/>
      <c r="CL80" s="217"/>
      <c r="CM80" s="217"/>
      <c r="CN80" s="217"/>
      <c r="CO80" s="331"/>
      <c r="CP80" s="217"/>
      <c r="CQ80" s="217"/>
      <c r="CR80" s="217"/>
      <c r="CS80" s="217"/>
      <c r="CT80" s="331"/>
      <c r="CU80" s="217"/>
      <c r="CV80" s="217"/>
      <c r="CW80" s="217"/>
      <c r="CX80" s="217"/>
      <c r="CY80" s="331"/>
      <c r="CZ80" s="217"/>
      <c r="DA80" s="217"/>
      <c r="DB80" s="217"/>
      <c r="DC80" s="217"/>
      <c r="DD80" s="331"/>
      <c r="DE80" s="217"/>
      <c r="DF80" s="217"/>
      <c r="DG80" s="217"/>
      <c r="DH80" s="217"/>
      <c r="DI80" s="331"/>
      <c r="DJ80" s="217"/>
      <c r="DK80" s="217"/>
      <c r="DL80" s="217"/>
      <c r="DM80" s="217"/>
      <c r="DN80" s="331"/>
      <c r="DO80" s="217"/>
      <c r="DP80" s="217"/>
      <c r="DQ80" s="217"/>
      <c r="DR80" s="217"/>
      <c r="DS80" s="331"/>
      <c r="DT80" s="217"/>
      <c r="DU80" s="217"/>
      <c r="DV80" s="217"/>
      <c r="DW80" s="217"/>
      <c r="DX80" s="331"/>
      <c r="DY80" s="37"/>
      <c r="DZ80" s="37"/>
      <c r="EA80" s="37"/>
      <c r="EB80" s="425"/>
      <c r="EC80" s="57"/>
      <c r="ED80" s="57"/>
      <c r="EE80" s="57"/>
      <c r="EF80" s="57"/>
      <c r="EG80" s="57"/>
      <c r="EH80" s="57"/>
      <c r="EI80" s="57"/>
      <c r="EJ80" s="57"/>
      <c r="EK80" s="57"/>
      <c r="EL80" s="751"/>
      <c r="EM80" s="37"/>
      <c r="EN80" s="37"/>
      <c r="EU80" s="37"/>
      <c r="EV80" s="37"/>
      <c r="EW80" s="37"/>
      <c r="EX80" s="37"/>
      <c r="EY80" s="37"/>
      <c r="EZ80" s="37"/>
      <c r="FA80" s="37"/>
      <c r="FB80" s="37"/>
      <c r="FC80" s="37"/>
      <c r="FD80" s="37"/>
      <c r="FE80" s="37"/>
      <c r="FF80" s="37"/>
      <c r="FG80" s="37"/>
      <c r="FH80" s="37"/>
      <c r="FI80" s="37"/>
      <c r="FJ80" s="37"/>
    </row>
    <row r="81" spans="1:166" hidden="1" outlineLevel="1" x14ac:dyDescent="0.2">
      <c r="A81" s="625" t="s">
        <v>66</v>
      </c>
      <c r="B81" s="322"/>
      <c r="C81" s="322"/>
      <c r="D81" s="626"/>
      <c r="E81" s="322"/>
      <c r="F81" s="322"/>
      <c r="G81" s="322"/>
      <c r="H81" s="322"/>
      <c r="I81" s="626"/>
      <c r="J81" s="322"/>
      <c r="K81" s="322"/>
      <c r="L81" s="322"/>
      <c r="M81" s="322"/>
      <c r="N81" s="322"/>
      <c r="O81" s="322"/>
      <c r="P81" s="322"/>
      <c r="Q81" s="322"/>
      <c r="R81" s="322"/>
      <c r="S81" s="322"/>
      <c r="T81" s="322"/>
      <c r="U81" s="322"/>
      <c r="V81" s="322"/>
      <c r="W81" s="340"/>
      <c r="X81" s="340"/>
      <c r="Y81" s="340"/>
      <c r="Z81" s="340"/>
      <c r="AA81" s="627">
        <v>16</v>
      </c>
      <c r="AB81" s="628"/>
      <c r="AC81" s="628"/>
      <c r="AD81" s="628"/>
      <c r="AE81" s="628"/>
      <c r="AF81" s="627">
        <v>151</v>
      </c>
      <c r="AG81" s="628">
        <v>17</v>
      </c>
      <c r="AH81" s="628">
        <f>41-AG81</f>
        <v>24</v>
      </c>
      <c r="AI81" s="628">
        <f>67-AH81-AG81</f>
        <v>26</v>
      </c>
      <c r="AJ81" s="628"/>
      <c r="AK81" s="627">
        <v>74</v>
      </c>
      <c r="AL81" s="628">
        <v>36</v>
      </c>
      <c r="AM81" s="628">
        <f>70-AL81</f>
        <v>34</v>
      </c>
      <c r="AN81" s="628">
        <f>97-AM81-AL81</f>
        <v>27</v>
      </c>
      <c r="AO81" s="628">
        <f>AP81-AN81-AM81-AL81</f>
        <v>15.299999999999997</v>
      </c>
      <c r="AP81" s="627">
        <v>112.3</v>
      </c>
      <c r="AQ81" s="628">
        <v>6.8</v>
      </c>
      <c r="AR81" s="628">
        <f>21.1-AQ81</f>
        <v>14.3</v>
      </c>
      <c r="AS81" s="628">
        <f>30.3-AR81-AQ81</f>
        <v>9.1999999999999993</v>
      </c>
      <c r="AT81" s="628">
        <f>54.3-AS81-AR81-AQ81</f>
        <v>23.999999999999993</v>
      </c>
      <c r="AU81" s="627">
        <f>SUM(AQ81:AT81)</f>
        <v>54.3</v>
      </c>
      <c r="AV81" s="156"/>
      <c r="AW81" s="65">
        <f>AS81</f>
        <v>9.1999999999999993</v>
      </c>
      <c r="AX81" s="65">
        <f>AT81</f>
        <v>23.999999999999993</v>
      </c>
      <c r="AY81" s="628">
        <v>24.3</v>
      </c>
      <c r="AZ81" s="628">
        <v>4.5999999999999996</v>
      </c>
      <c r="BA81" s="627">
        <f>SUM(AW81:AZ81)</f>
        <v>62.099999999999987</v>
      </c>
      <c r="BB81" s="628">
        <v>6.6</v>
      </c>
      <c r="BC81" s="628">
        <f>13.3-BB81</f>
        <v>6.7000000000000011</v>
      </c>
      <c r="BD81" s="628"/>
      <c r="BE81" s="628"/>
      <c r="BF81" s="627"/>
      <c r="BG81" s="628">
        <v>3.7</v>
      </c>
      <c r="BH81" s="628">
        <f>21.7-BG81</f>
        <v>18</v>
      </c>
      <c r="BI81" s="628">
        <f>31.8-SUM(BG81:BH81)</f>
        <v>10.100000000000001</v>
      </c>
      <c r="BJ81" s="629"/>
      <c r="BK81" s="627">
        <v>40.1</v>
      </c>
      <c r="BL81" s="628">
        <v>4.8</v>
      </c>
      <c r="BM81" s="628">
        <f>14.7-BL81</f>
        <v>9.8999999999999986</v>
      </c>
      <c r="BN81" s="629"/>
      <c r="BO81" s="629"/>
      <c r="BP81" s="627">
        <v>35.6</v>
      </c>
      <c r="BQ81" s="628">
        <v>11.3</v>
      </c>
      <c r="BR81" s="628">
        <f>19-BQ81</f>
        <v>7.6999999999999993</v>
      </c>
      <c r="BS81" s="629"/>
      <c r="BT81" s="629"/>
      <c r="BU81" s="627">
        <v>35.200000000000003</v>
      </c>
      <c r="BV81" s="628"/>
      <c r="BW81" s="1412"/>
      <c r="BX81" s="628"/>
      <c r="BY81" s="628"/>
      <c r="BZ81" s="627"/>
      <c r="CA81" s="628"/>
      <c r="CB81" s="628"/>
      <c r="CC81" s="628"/>
      <c r="CD81" s="628"/>
      <c r="CE81" s="627"/>
      <c r="CF81" s="628"/>
      <c r="CG81" s="628"/>
      <c r="CH81" s="628"/>
      <c r="CI81" s="628"/>
      <c r="CJ81" s="627"/>
      <c r="CK81" s="628"/>
      <c r="CL81" s="629"/>
      <c r="CM81" s="629"/>
      <c r="CN81" s="629"/>
      <c r="CO81" s="630"/>
      <c r="CP81" s="629"/>
      <c r="CQ81" s="629"/>
      <c r="CR81" s="629"/>
      <c r="CS81" s="629"/>
      <c r="CT81" s="630"/>
      <c r="CU81" s="629"/>
      <c r="CV81" s="629"/>
      <c r="CW81" s="629"/>
      <c r="CX81" s="629"/>
      <c r="CY81" s="630"/>
      <c r="CZ81" s="629"/>
      <c r="DA81" s="629"/>
      <c r="DB81" s="629"/>
      <c r="DC81" s="629"/>
      <c r="DD81" s="630"/>
      <c r="DE81" s="629"/>
      <c r="DF81" s="629"/>
      <c r="DG81" s="629"/>
      <c r="DH81" s="629"/>
      <c r="DI81" s="630"/>
      <c r="DJ81" s="629"/>
      <c r="DK81" s="629"/>
      <c r="DL81" s="629"/>
      <c r="DM81" s="629"/>
      <c r="DN81" s="630"/>
      <c r="DO81" s="629"/>
      <c r="DP81" s="629"/>
      <c r="DQ81" s="629"/>
      <c r="DR81" s="629"/>
      <c r="DS81" s="630"/>
      <c r="DT81" s="629"/>
      <c r="DU81" s="629"/>
      <c r="DV81" s="629"/>
      <c r="DW81" s="629"/>
      <c r="DX81" s="630"/>
      <c r="DY81" s="37"/>
      <c r="DZ81" s="37"/>
      <c r="EA81" s="37"/>
      <c r="EB81" s="425"/>
      <c r="EC81" s="57"/>
      <c r="ED81" s="57"/>
      <c r="EE81" s="57"/>
      <c r="EF81" s="57"/>
      <c r="EG81" s="57"/>
      <c r="EH81" s="57"/>
      <c r="EI81" s="57"/>
      <c r="EJ81" s="57"/>
      <c r="EK81" s="57"/>
      <c r="EL81" s="751"/>
      <c r="EM81" s="37"/>
      <c r="EN81" s="37"/>
      <c r="EU81" s="37"/>
      <c r="EV81" s="37"/>
      <c r="EW81" s="37"/>
      <c r="EX81" s="37"/>
      <c r="EY81" s="37"/>
      <c r="EZ81" s="37"/>
      <c r="FA81" s="37"/>
      <c r="FB81" s="37"/>
      <c r="FC81" s="37"/>
      <c r="FD81" s="37"/>
      <c r="FE81" s="37"/>
      <c r="FF81" s="37"/>
      <c r="FG81" s="37"/>
      <c r="FH81" s="37"/>
      <c r="FI81" s="37"/>
      <c r="FJ81" s="37"/>
    </row>
    <row r="82" spans="1:166" hidden="1" outlineLevel="1" x14ac:dyDescent="0.2">
      <c r="A82" s="13" t="s">
        <v>69</v>
      </c>
      <c r="B82" s="324"/>
      <c r="C82" s="324"/>
      <c r="D82" s="324"/>
      <c r="E82" s="324"/>
      <c r="F82" s="324"/>
      <c r="G82" s="324"/>
      <c r="H82" s="324"/>
      <c r="I82" s="324"/>
      <c r="J82" s="324"/>
      <c r="K82" s="324"/>
      <c r="L82" s="324"/>
      <c r="M82" s="324"/>
      <c r="N82" s="324"/>
      <c r="O82" s="324"/>
      <c r="P82" s="324"/>
      <c r="Q82" s="324"/>
      <c r="R82" s="324"/>
      <c r="S82" s="324"/>
      <c r="T82" s="324"/>
      <c r="U82" s="324"/>
      <c r="V82" s="324"/>
      <c r="W82" s="324"/>
      <c r="X82" s="324"/>
      <c r="Y82" s="324"/>
      <c r="Z82" s="324"/>
      <c r="AA82" s="325"/>
      <c r="AB82" s="324"/>
      <c r="AC82" s="324"/>
      <c r="AD82" s="325"/>
      <c r="AE82" s="325"/>
      <c r="AF82" s="326"/>
      <c r="AG82" s="324"/>
      <c r="AH82" s="324"/>
      <c r="AI82" s="324"/>
      <c r="AJ82" s="324"/>
      <c r="AK82" s="598"/>
      <c r="AL82" s="324"/>
      <c r="AM82" s="324"/>
      <c r="AN82" s="324"/>
      <c r="AO82" s="324"/>
      <c r="AP82" s="598"/>
      <c r="AQ82" s="324"/>
      <c r="AR82" s="324"/>
      <c r="AS82" s="324"/>
      <c r="AT82" s="324"/>
      <c r="AU82" s="598"/>
      <c r="AV82" s="158"/>
      <c r="AW82" s="324"/>
      <c r="AX82" s="324"/>
      <c r="AY82" s="324"/>
      <c r="AZ82" s="324"/>
      <c r="BA82" s="598"/>
      <c r="BB82" s="324"/>
      <c r="BC82" s="324"/>
      <c r="BD82" s="324"/>
      <c r="BE82" s="324"/>
      <c r="BF82" s="598"/>
      <c r="BG82" s="324"/>
      <c r="BH82" s="324"/>
      <c r="BI82" s="324"/>
      <c r="BJ82" s="325"/>
      <c r="BK82" s="598"/>
      <c r="BL82" s="324"/>
      <c r="BM82" s="324"/>
      <c r="BN82" s="325"/>
      <c r="BO82" s="325"/>
      <c r="BP82" s="598"/>
      <c r="BQ82" s="324"/>
      <c r="BR82" s="324"/>
      <c r="BS82" s="325"/>
      <c r="BT82" s="325"/>
      <c r="BU82" s="598"/>
      <c r="BV82" s="324"/>
      <c r="BW82" s="1413"/>
      <c r="BX82" s="324"/>
      <c r="BY82" s="324"/>
      <c r="BZ82" s="598"/>
      <c r="CA82" s="324"/>
      <c r="CB82" s="324"/>
      <c r="CC82" s="324"/>
      <c r="CD82" s="324"/>
      <c r="CE82" s="598"/>
      <c r="CF82" s="324"/>
      <c r="CG82" s="324"/>
      <c r="CH82" s="324"/>
      <c r="CI82" s="324"/>
      <c r="CJ82" s="598"/>
      <c r="CK82" s="324"/>
      <c r="CL82" s="325"/>
      <c r="CM82" s="325"/>
      <c r="CN82" s="325"/>
      <c r="CO82" s="326"/>
      <c r="CP82" s="325"/>
      <c r="CQ82" s="325"/>
      <c r="CR82" s="325"/>
      <c r="CS82" s="325"/>
      <c r="CT82" s="326"/>
      <c r="CU82" s="325"/>
      <c r="CV82" s="325"/>
      <c r="CW82" s="325"/>
      <c r="CX82" s="325"/>
      <c r="CY82" s="326"/>
      <c r="CZ82" s="325"/>
      <c r="DA82" s="325"/>
      <c r="DB82" s="325"/>
      <c r="DC82" s="325"/>
      <c r="DD82" s="326"/>
      <c r="DE82" s="325"/>
      <c r="DF82" s="325"/>
      <c r="DG82" s="325"/>
      <c r="DH82" s="325"/>
      <c r="DI82" s="326"/>
      <c r="DJ82" s="325"/>
      <c r="DK82" s="325"/>
      <c r="DL82" s="325"/>
      <c r="DM82" s="325"/>
      <c r="DN82" s="326"/>
      <c r="DO82" s="325"/>
      <c r="DP82" s="325"/>
      <c r="DQ82" s="325"/>
      <c r="DR82" s="325"/>
      <c r="DS82" s="326"/>
      <c r="DT82" s="325"/>
      <c r="DU82" s="325"/>
      <c r="DV82" s="325"/>
      <c r="DW82" s="325"/>
      <c r="DX82" s="326"/>
      <c r="DY82" s="37"/>
      <c r="DZ82" s="37"/>
      <c r="EA82" s="37"/>
      <c r="EB82" s="425"/>
      <c r="EC82" s="57"/>
      <c r="ED82" s="57"/>
      <c r="EE82" s="57"/>
      <c r="EF82" s="57"/>
      <c r="EG82" s="57"/>
      <c r="EH82" s="57"/>
      <c r="EI82" s="57"/>
      <c r="EJ82" s="57"/>
      <c r="EK82" s="57"/>
      <c r="EL82" s="751"/>
      <c r="EM82" s="37"/>
      <c r="EN82" s="37"/>
      <c r="EU82" s="37"/>
      <c r="EV82" s="37"/>
      <c r="EW82" s="37"/>
      <c r="EX82" s="37"/>
      <c r="EY82" s="37"/>
      <c r="EZ82" s="37"/>
      <c r="FA82" s="37"/>
      <c r="FB82" s="37"/>
      <c r="FC82" s="37"/>
      <c r="FD82" s="37"/>
      <c r="FE82" s="37"/>
      <c r="FF82" s="37"/>
      <c r="FG82" s="37"/>
      <c r="FH82" s="37"/>
      <c r="FI82" s="37"/>
      <c r="FJ82" s="37"/>
    </row>
    <row r="83" spans="1:166" hidden="1" outlineLevel="1" x14ac:dyDescent="0.2">
      <c r="A83" s="170" t="s">
        <v>64</v>
      </c>
      <c r="B83" s="219"/>
      <c r="C83" s="219"/>
      <c r="D83" s="220"/>
      <c r="E83" s="219"/>
      <c r="F83" s="219"/>
      <c r="G83" s="219"/>
      <c r="H83" s="219"/>
      <c r="I83" s="220"/>
      <c r="J83" s="219"/>
      <c r="K83" s="219"/>
      <c r="L83" s="219"/>
      <c r="M83" s="219"/>
      <c r="N83" s="219"/>
      <c r="O83" s="219"/>
      <c r="P83" s="219"/>
      <c r="Q83" s="219"/>
      <c r="R83" s="219"/>
      <c r="S83" s="219"/>
      <c r="T83" s="219"/>
      <c r="U83" s="219"/>
      <c r="V83" s="219"/>
      <c r="W83" s="221"/>
      <c r="X83" s="221"/>
      <c r="Y83" s="221"/>
      <c r="Z83" s="221"/>
      <c r="AA83" s="328"/>
      <c r="AB83" s="65"/>
      <c r="AC83" s="65"/>
      <c r="AD83" s="65"/>
      <c r="AE83" s="65"/>
      <c r="AF83" s="328"/>
      <c r="AG83" s="65"/>
      <c r="AH83" s="65"/>
      <c r="AI83" s="65"/>
      <c r="AJ83" s="65"/>
      <c r="AK83" s="328"/>
      <c r="AL83" s="65"/>
      <c r="AM83" s="65"/>
      <c r="AN83" s="65"/>
      <c r="AO83" s="65"/>
      <c r="AP83" s="328"/>
      <c r="AQ83" s="65"/>
      <c r="AR83" s="65"/>
      <c r="AS83" s="65"/>
      <c r="AT83" s="65"/>
      <c r="AU83" s="328"/>
      <c r="AV83" s="157"/>
      <c r="AW83" s="65"/>
      <c r="AX83" s="65"/>
      <c r="AY83" s="65"/>
      <c r="AZ83" s="65"/>
      <c r="BA83" s="328"/>
      <c r="BB83" s="65">
        <v>0</v>
      </c>
      <c r="BC83" s="65">
        <f>0-BB83</f>
        <v>0</v>
      </c>
      <c r="BD83" s="65">
        <f>0-SUM(BB83:BC83)</f>
        <v>0</v>
      </c>
      <c r="BE83" s="65"/>
      <c r="BF83" s="328"/>
      <c r="BG83" s="65">
        <v>0</v>
      </c>
      <c r="BH83" s="65">
        <f>98.6-BG83</f>
        <v>98.6</v>
      </c>
      <c r="BI83" s="65">
        <f>98.6-SUM(BG83:BH83)</f>
        <v>0</v>
      </c>
      <c r="BJ83" s="217"/>
      <c r="BK83" s="328">
        <v>98.6</v>
      </c>
      <c r="BL83" s="65">
        <v>0</v>
      </c>
      <c r="BM83" s="65">
        <f>17.8-BL83</f>
        <v>17.8</v>
      </c>
      <c r="BN83" s="217"/>
      <c r="BO83" s="217"/>
      <c r="BP83" s="328">
        <v>17.8</v>
      </c>
      <c r="BQ83" s="65">
        <v>0</v>
      </c>
      <c r="BR83" s="65">
        <v>0</v>
      </c>
      <c r="BS83" s="217"/>
      <c r="BT83" s="217"/>
      <c r="BU83" s="328">
        <v>0</v>
      </c>
      <c r="BV83" s="65"/>
      <c r="BW83" s="1385"/>
      <c r="BX83" s="65"/>
      <c r="BY83" s="65"/>
      <c r="BZ83" s="328"/>
      <c r="CA83" s="65"/>
      <c r="CB83" s="65"/>
      <c r="CC83" s="65"/>
      <c r="CD83" s="65"/>
      <c r="CE83" s="328"/>
      <c r="CF83" s="65"/>
      <c r="CG83" s="65"/>
      <c r="CH83" s="65"/>
      <c r="CI83" s="65"/>
      <c r="CJ83" s="328"/>
      <c r="CK83" s="65"/>
      <c r="CL83" s="217"/>
      <c r="CM83" s="217"/>
      <c r="CN83" s="217"/>
      <c r="CO83" s="331"/>
      <c r="CP83" s="217"/>
      <c r="CQ83" s="217"/>
      <c r="CR83" s="217"/>
      <c r="CS83" s="217"/>
      <c r="CT83" s="331"/>
      <c r="CU83" s="217"/>
      <c r="CV83" s="217"/>
      <c r="CW83" s="217"/>
      <c r="CX83" s="217"/>
      <c r="CY83" s="331"/>
      <c r="CZ83" s="217"/>
      <c r="DA83" s="217"/>
      <c r="DB83" s="217"/>
      <c r="DC83" s="217"/>
      <c r="DD83" s="331"/>
      <c r="DE83" s="217"/>
      <c r="DF83" s="217"/>
      <c r="DG83" s="217"/>
      <c r="DH83" s="217"/>
      <c r="DI83" s="331"/>
      <c r="DJ83" s="217"/>
      <c r="DK83" s="217"/>
      <c r="DL83" s="217"/>
      <c r="DM83" s="217"/>
      <c r="DN83" s="331"/>
      <c r="DO83" s="217"/>
      <c r="DP83" s="217"/>
      <c r="DQ83" s="217"/>
      <c r="DR83" s="217"/>
      <c r="DS83" s="331"/>
      <c r="DT83" s="217"/>
      <c r="DU83" s="217"/>
      <c r="DV83" s="217"/>
      <c r="DW83" s="217"/>
      <c r="DX83" s="331"/>
      <c r="DY83" s="37"/>
      <c r="DZ83" s="37"/>
      <c r="EA83" s="37"/>
      <c r="EB83" s="425"/>
      <c r="EC83" s="57"/>
      <c r="ED83" s="57"/>
      <c r="EE83" s="57"/>
      <c r="EF83" s="57"/>
      <c r="EG83" s="57"/>
      <c r="EH83" s="57"/>
      <c r="EI83" s="57"/>
      <c r="EJ83" s="57"/>
      <c r="EK83" s="57"/>
      <c r="EL83" s="751"/>
      <c r="EM83" s="37"/>
      <c r="EN83" s="37"/>
      <c r="EU83" s="37"/>
      <c r="EV83" s="37"/>
      <c r="EW83" s="37"/>
      <c r="EX83" s="37"/>
      <c r="EY83" s="37"/>
      <c r="EZ83" s="37"/>
      <c r="FA83" s="37"/>
      <c r="FB83" s="37"/>
      <c r="FC83" s="37"/>
      <c r="FD83" s="37"/>
      <c r="FE83" s="37"/>
      <c r="FF83" s="37"/>
      <c r="FG83" s="37"/>
      <c r="FH83" s="37"/>
      <c r="FI83" s="37"/>
      <c r="FJ83" s="37"/>
    </row>
    <row r="84" spans="1:166" hidden="1" outlineLevel="1" x14ac:dyDescent="0.2">
      <c r="A84" s="170" t="s">
        <v>70</v>
      </c>
      <c r="B84" s="219"/>
      <c r="C84" s="219"/>
      <c r="D84" s="220"/>
      <c r="E84" s="219"/>
      <c r="F84" s="219"/>
      <c r="G84" s="219"/>
      <c r="H84" s="219"/>
      <c r="I84" s="220"/>
      <c r="J84" s="219"/>
      <c r="K84" s="219"/>
      <c r="L84" s="219"/>
      <c r="M84" s="219"/>
      <c r="N84" s="219"/>
      <c r="O84" s="219"/>
      <c r="P84" s="219"/>
      <c r="Q84" s="219"/>
      <c r="R84" s="219"/>
      <c r="S84" s="219"/>
      <c r="T84" s="219"/>
      <c r="U84" s="219"/>
      <c r="V84" s="219"/>
      <c r="W84" s="221"/>
      <c r="X84" s="221"/>
      <c r="Y84" s="221"/>
      <c r="Z84" s="221"/>
      <c r="AA84" s="215">
        <v>13</v>
      </c>
      <c r="AB84" s="65"/>
      <c r="AC84" s="65"/>
      <c r="AD84" s="65"/>
      <c r="AE84" s="65"/>
      <c r="AF84" s="215">
        <v>8</v>
      </c>
      <c r="AG84" s="65">
        <v>2</v>
      </c>
      <c r="AH84" s="65">
        <f>5-AG84</f>
        <v>3</v>
      </c>
      <c r="AI84" s="65">
        <f>6-AH84-AG84</f>
        <v>1</v>
      </c>
      <c r="AJ84" s="65"/>
      <c r="AK84" s="215">
        <v>9</v>
      </c>
      <c r="AL84" s="65">
        <v>0.7</v>
      </c>
      <c r="AM84" s="65">
        <f>1-AL84</f>
        <v>0.30000000000000004</v>
      </c>
      <c r="AN84" s="65">
        <f>2-AM84-AL84</f>
        <v>1</v>
      </c>
      <c r="AO84" s="65">
        <f>AP84-AN84-AM84-AL84</f>
        <v>0.20000000000000018</v>
      </c>
      <c r="AP84" s="215">
        <v>2.2000000000000002</v>
      </c>
      <c r="AQ84" s="65">
        <v>1.4</v>
      </c>
      <c r="AR84" s="65">
        <f>1.9-AQ84</f>
        <v>0.5</v>
      </c>
      <c r="AS84" s="65">
        <f>2.1-AR84-AQ84</f>
        <v>0.20000000000000018</v>
      </c>
      <c r="AT84" s="65">
        <f>3.7-AS84-AR84-AQ84</f>
        <v>1.6</v>
      </c>
      <c r="AU84" s="215">
        <f>SUM(AQ84:AT84)</f>
        <v>3.7</v>
      </c>
      <c r="AV84" s="889"/>
      <c r="AW84" s="65">
        <f>AS84</f>
        <v>0.20000000000000018</v>
      </c>
      <c r="AX84" s="65">
        <f>AT84</f>
        <v>1.6</v>
      </c>
      <c r="AY84" s="65">
        <v>0</v>
      </c>
      <c r="AZ84" s="65">
        <v>0</v>
      </c>
      <c r="BA84" s="215">
        <f>SUM(AW84:AZ84)</f>
        <v>1.8000000000000003</v>
      </c>
      <c r="BB84" s="65">
        <v>0</v>
      </c>
      <c r="BC84" s="65">
        <f>0-BB84</f>
        <v>0</v>
      </c>
      <c r="BD84" s="65">
        <f>0-SUM(BB84:BC84)</f>
        <v>0</v>
      </c>
      <c r="BE84" s="65"/>
      <c r="BF84" s="215"/>
      <c r="BG84" s="65">
        <v>29.2</v>
      </c>
      <c r="BH84" s="65">
        <f>36.1-BG84</f>
        <v>6.9000000000000021</v>
      </c>
      <c r="BI84" s="65">
        <f>36.1-SUM(BG84:BH84)</f>
        <v>0</v>
      </c>
      <c r="BJ84" s="217"/>
      <c r="BK84" s="215">
        <v>36.1</v>
      </c>
      <c r="BL84" s="65">
        <v>0.3</v>
      </c>
      <c r="BM84" s="65">
        <f>0.9-BL84</f>
        <v>0.60000000000000009</v>
      </c>
      <c r="BN84" s="217"/>
      <c r="BO84" s="217"/>
      <c r="BP84" s="215">
        <v>1</v>
      </c>
      <c r="BQ84" s="65">
        <v>0</v>
      </c>
      <c r="BR84" s="65">
        <v>0</v>
      </c>
      <c r="BS84" s="217"/>
      <c r="BT84" s="217"/>
      <c r="BU84" s="215">
        <v>0</v>
      </c>
      <c r="BV84" s="65"/>
      <c r="BW84" s="1385"/>
      <c r="BX84" s="65"/>
      <c r="BY84" s="65"/>
      <c r="BZ84" s="215"/>
      <c r="CA84" s="65"/>
      <c r="CB84" s="65"/>
      <c r="CC84" s="65"/>
      <c r="CD84" s="65"/>
      <c r="CE84" s="215"/>
      <c r="CF84" s="65"/>
      <c r="CG84" s="65"/>
      <c r="CH84" s="65"/>
      <c r="CI84" s="65"/>
      <c r="CJ84" s="215"/>
      <c r="CK84" s="65"/>
      <c r="CL84" s="217"/>
      <c r="CM84" s="217"/>
      <c r="CN84" s="217"/>
      <c r="CO84" s="332"/>
      <c r="CP84" s="217"/>
      <c r="CQ84" s="217"/>
      <c r="CR84" s="217"/>
      <c r="CS84" s="217"/>
      <c r="CT84" s="332"/>
      <c r="CU84" s="217"/>
      <c r="CV84" s="217"/>
      <c r="CW84" s="217"/>
      <c r="CX84" s="217"/>
      <c r="CY84" s="332"/>
      <c r="CZ84" s="217"/>
      <c r="DA84" s="217"/>
      <c r="DB84" s="217"/>
      <c r="DC84" s="217"/>
      <c r="DD84" s="332"/>
      <c r="DE84" s="217"/>
      <c r="DF84" s="217"/>
      <c r="DG84" s="217"/>
      <c r="DH84" s="217"/>
      <c r="DI84" s="332"/>
      <c r="DJ84" s="217"/>
      <c r="DK84" s="217"/>
      <c r="DL84" s="217"/>
      <c r="DM84" s="217"/>
      <c r="DN84" s="332"/>
      <c r="DO84" s="217"/>
      <c r="DP84" s="217"/>
      <c r="DQ84" s="217"/>
      <c r="DR84" s="217"/>
      <c r="DS84" s="332"/>
      <c r="DT84" s="217"/>
      <c r="DU84" s="217"/>
      <c r="DV84" s="217"/>
      <c r="DW84" s="217"/>
      <c r="DX84" s="332"/>
      <c r="DY84" s="37"/>
      <c r="DZ84" s="37"/>
      <c r="EA84" s="37"/>
      <c r="EB84" s="425"/>
      <c r="EC84" s="57"/>
      <c r="ED84" s="57"/>
      <c r="EE84" s="57"/>
      <c r="EF84" s="57"/>
      <c r="EG84" s="57"/>
      <c r="EH84" s="57"/>
      <c r="EI84" s="57"/>
      <c r="EJ84" s="57"/>
      <c r="EK84" s="57"/>
      <c r="EL84" s="751"/>
      <c r="EM84" s="37"/>
      <c r="EN84" s="37"/>
      <c r="EU84" s="37"/>
      <c r="EV84" s="37"/>
      <c r="EW84" s="37"/>
      <c r="EX84" s="37"/>
      <c r="EY84" s="37"/>
      <c r="EZ84" s="37"/>
      <c r="FA84" s="37"/>
      <c r="FB84" s="37"/>
      <c r="FC84" s="37"/>
      <c r="FD84" s="37"/>
      <c r="FE84" s="37"/>
      <c r="FF84" s="37"/>
      <c r="FG84" s="37"/>
      <c r="FH84" s="37"/>
      <c r="FI84" s="37"/>
      <c r="FJ84" s="37"/>
    </row>
    <row r="85" spans="1:166" hidden="1" outlineLevel="1" x14ac:dyDescent="0.2">
      <c r="A85" s="625" t="s">
        <v>572</v>
      </c>
      <c r="B85" s="322"/>
      <c r="C85" s="322"/>
      <c r="D85" s="626"/>
      <c r="E85" s="322"/>
      <c r="F85" s="322"/>
      <c r="G85" s="322"/>
      <c r="H85" s="322"/>
      <c r="I85" s="626"/>
      <c r="J85" s="322"/>
      <c r="K85" s="322"/>
      <c r="L85" s="322"/>
      <c r="M85" s="322"/>
      <c r="N85" s="322"/>
      <c r="O85" s="322"/>
      <c r="P85" s="322"/>
      <c r="Q85" s="322"/>
      <c r="R85" s="322"/>
      <c r="S85" s="322"/>
      <c r="T85" s="322"/>
      <c r="U85" s="322"/>
      <c r="V85" s="322"/>
      <c r="W85" s="340"/>
      <c r="X85" s="340"/>
      <c r="Y85" s="340"/>
      <c r="Z85" s="340"/>
      <c r="AA85" s="627"/>
      <c r="AB85" s="628"/>
      <c r="AC85" s="628"/>
      <c r="AD85" s="628"/>
      <c r="AE85" s="628"/>
      <c r="AF85" s="627"/>
      <c r="AG85" s="628"/>
      <c r="AH85" s="628"/>
      <c r="AI85" s="628"/>
      <c r="AJ85" s="628"/>
      <c r="AK85" s="627"/>
      <c r="AL85" s="628">
        <v>-0.3</v>
      </c>
      <c r="AM85" s="628"/>
      <c r="AN85" s="628"/>
      <c r="AO85" s="628"/>
      <c r="AP85" s="627"/>
      <c r="AQ85" s="628">
        <v>1.4</v>
      </c>
      <c r="AR85" s="628">
        <f>3.7-AQ85</f>
        <v>2.3000000000000003</v>
      </c>
      <c r="AS85" s="628">
        <f>8-AR85-AQ85</f>
        <v>4.2999999999999989</v>
      </c>
      <c r="AT85" s="628">
        <f>11-AS85-AR85-AQ85</f>
        <v>3.0000000000000004</v>
      </c>
      <c r="AU85" s="627">
        <f>SUM(AQ85:AT85)</f>
        <v>11</v>
      </c>
      <c r="AV85" s="890"/>
      <c r="AW85" s="710">
        <f>AS85</f>
        <v>4.2999999999999989</v>
      </c>
      <c r="AX85" s="628">
        <f>AT85</f>
        <v>3.0000000000000004</v>
      </c>
      <c r="AY85" s="628">
        <v>4.5999999999999996</v>
      </c>
      <c r="AZ85" s="628">
        <v>1.1000000000000001</v>
      </c>
      <c r="BA85" s="627">
        <f>SUM(AW85:AZ85)</f>
        <v>12.999999999999998</v>
      </c>
      <c r="BB85" s="628">
        <v>2</v>
      </c>
      <c r="BC85" s="628">
        <f>7.3-BB85</f>
        <v>5.3</v>
      </c>
      <c r="BD85" s="628">
        <f>10.3-SUM(BB85:BC85)</f>
        <v>3.0000000000000009</v>
      </c>
      <c r="BE85" s="628"/>
      <c r="BF85" s="627"/>
      <c r="BG85" s="628">
        <v>3.1</v>
      </c>
      <c r="BH85" s="628">
        <f>6.6-BG85</f>
        <v>3.4999999999999996</v>
      </c>
      <c r="BI85" s="628">
        <f>0.7-SUM(BG85:BH85)</f>
        <v>-5.8999999999999995</v>
      </c>
      <c r="BJ85" s="629"/>
      <c r="BK85" s="627">
        <v>0.7</v>
      </c>
      <c r="BL85" s="628">
        <v>0</v>
      </c>
      <c r="BM85" s="628">
        <v>0</v>
      </c>
      <c r="BN85" s="629"/>
      <c r="BO85" s="629"/>
      <c r="BP85" s="627">
        <v>0</v>
      </c>
      <c r="BQ85" s="628">
        <v>0</v>
      </c>
      <c r="BR85" s="628">
        <v>0</v>
      </c>
      <c r="BS85" s="629"/>
      <c r="BT85" s="629"/>
      <c r="BU85" s="627">
        <v>0</v>
      </c>
      <c r="BV85" s="628"/>
      <c r="BW85" s="1412"/>
      <c r="BX85" s="628"/>
      <c r="BY85" s="628"/>
      <c r="BZ85" s="627"/>
      <c r="CA85" s="628"/>
      <c r="CB85" s="628"/>
      <c r="CC85" s="628"/>
      <c r="CD85" s="628"/>
      <c r="CE85" s="627"/>
      <c r="CF85" s="628"/>
      <c r="CG85" s="628"/>
      <c r="CH85" s="628"/>
      <c r="CI85" s="628"/>
      <c r="CJ85" s="627"/>
      <c r="CK85" s="628"/>
      <c r="CL85" s="629"/>
      <c r="CM85" s="629"/>
      <c r="CN85" s="629"/>
      <c r="CO85" s="630"/>
      <c r="CP85" s="629"/>
      <c r="CQ85" s="629"/>
      <c r="CR85" s="629"/>
      <c r="CS85" s="629"/>
      <c r="CT85" s="630"/>
      <c r="CU85" s="629"/>
      <c r="CV85" s="629"/>
      <c r="CW85" s="629"/>
      <c r="CX85" s="629"/>
      <c r="CY85" s="630"/>
      <c r="CZ85" s="629"/>
      <c r="DA85" s="629"/>
      <c r="DB85" s="629"/>
      <c r="DC85" s="629"/>
      <c r="DD85" s="630"/>
      <c r="DE85" s="629"/>
      <c r="DF85" s="629"/>
      <c r="DG85" s="629"/>
      <c r="DH85" s="629"/>
      <c r="DI85" s="630"/>
      <c r="DJ85" s="629"/>
      <c r="DK85" s="629"/>
      <c r="DL85" s="629"/>
      <c r="DM85" s="629"/>
      <c r="DN85" s="630"/>
      <c r="DO85" s="629"/>
      <c r="DP85" s="629"/>
      <c r="DQ85" s="629"/>
      <c r="DR85" s="629"/>
      <c r="DS85" s="630"/>
      <c r="DT85" s="629"/>
      <c r="DU85" s="629"/>
      <c r="DV85" s="629"/>
      <c r="DW85" s="629"/>
      <c r="DX85" s="630"/>
      <c r="DY85" s="37"/>
      <c r="DZ85" s="37"/>
      <c r="EA85" s="37"/>
      <c r="EB85" s="425"/>
      <c r="EC85" s="57"/>
      <c r="ED85" s="57"/>
      <c r="EE85" s="57"/>
      <c r="EF85" s="57"/>
      <c r="EG85" s="57"/>
      <c r="EH85" s="57"/>
      <c r="EI85" s="57"/>
      <c r="EJ85" s="57"/>
      <c r="EK85" s="57"/>
      <c r="EL85" s="751"/>
      <c r="EM85" s="37"/>
      <c r="EN85" s="37"/>
      <c r="EU85" s="37"/>
      <c r="EV85" s="37"/>
      <c r="EW85" s="37"/>
      <c r="EX85" s="37"/>
      <c r="EY85" s="37"/>
      <c r="EZ85" s="37"/>
      <c r="FA85" s="37"/>
      <c r="FB85" s="37"/>
      <c r="FC85" s="37"/>
      <c r="FD85" s="37"/>
      <c r="FE85" s="37"/>
      <c r="FF85" s="37"/>
      <c r="FG85" s="37"/>
      <c r="FH85" s="37"/>
      <c r="FI85" s="37"/>
      <c r="FJ85" s="37"/>
    </row>
    <row r="86" spans="1:166" collapsed="1" x14ac:dyDescent="0.2">
      <c r="A86" s="26"/>
      <c r="B86" s="219"/>
      <c r="C86" s="219"/>
      <c r="D86" s="220"/>
      <c r="E86" s="219"/>
      <c r="F86" s="219"/>
      <c r="G86" s="219"/>
      <c r="H86" s="219"/>
      <c r="I86" s="220"/>
      <c r="J86" s="219"/>
      <c r="K86" s="219"/>
      <c r="L86" s="219"/>
      <c r="M86" s="219"/>
      <c r="N86" s="219"/>
      <c r="O86" s="219"/>
      <c r="P86" s="219"/>
      <c r="Q86" s="219"/>
      <c r="R86" s="219"/>
      <c r="S86" s="219"/>
      <c r="T86" s="219"/>
      <c r="U86" s="219"/>
      <c r="V86" s="219"/>
      <c r="W86" s="221"/>
      <c r="X86" s="221"/>
      <c r="Y86" s="221"/>
      <c r="Z86" s="221"/>
      <c r="AA86" s="221"/>
      <c r="AB86" s="221"/>
      <c r="AC86" s="221"/>
      <c r="AD86" s="221"/>
      <c r="AE86" s="221"/>
      <c r="AF86" s="217"/>
      <c r="AG86" s="219"/>
      <c r="AH86" s="219"/>
      <c r="AI86" s="219"/>
      <c r="AJ86" s="219"/>
      <c r="AK86" s="65"/>
      <c r="AL86" s="219"/>
      <c r="AM86" s="219"/>
      <c r="AN86" s="219"/>
      <c r="AO86" s="219"/>
      <c r="AP86" s="219"/>
      <c r="AQ86" s="219"/>
      <c r="AR86" s="219"/>
      <c r="AS86" s="219"/>
      <c r="AT86" s="219"/>
      <c r="AU86" s="219"/>
      <c r="AV86" s="272"/>
      <c r="AW86" s="219"/>
      <c r="AX86" s="219"/>
      <c r="AY86" s="219"/>
      <c r="AZ86" s="219"/>
      <c r="BA86" s="219"/>
      <c r="BB86" s="219"/>
      <c r="BC86" s="219"/>
      <c r="BD86" s="219"/>
      <c r="BE86" s="219"/>
      <c r="BF86" s="219">
        <f>BS!BF10-'CF '!BF77</f>
        <v>0</v>
      </c>
      <c r="BG86" s="219">
        <f>BS!BG10-'CF '!BG77</f>
        <v>-7.3000000000003524</v>
      </c>
      <c r="BH86" s="219">
        <f>BS!BH10-'CF '!BH77</f>
        <v>0</v>
      </c>
      <c r="BI86" s="219">
        <f>BS!BI10-'CF '!BI77</f>
        <v>0</v>
      </c>
      <c r="BJ86" s="219">
        <f>BS!BJ10-'CF '!BJ77</f>
        <v>0</v>
      </c>
      <c r="BK86" s="219">
        <f>BS!BK10-'CF '!BK77</f>
        <v>0</v>
      </c>
      <c r="BL86" s="219">
        <f>BS!BL10-'CF '!BL77</f>
        <v>0</v>
      </c>
      <c r="BM86" s="219">
        <f>BS!BM10-'CF '!BM77</f>
        <v>0</v>
      </c>
      <c r="BN86" s="219">
        <f>BS!BN10-'CF '!BN77</f>
        <v>0</v>
      </c>
      <c r="BO86" s="219">
        <f>BS!BO10-'CF '!BO77</f>
        <v>0</v>
      </c>
      <c r="BP86" s="219">
        <f>BS!BP10-'CF '!BP77</f>
        <v>0</v>
      </c>
      <c r="BQ86" s="219">
        <f>BS!BQ10-'CF '!BQ77</f>
        <v>0</v>
      </c>
      <c r="BR86" s="219">
        <f>BS!BR10-'CF '!BR77</f>
        <v>0</v>
      </c>
      <c r="BS86" s="219">
        <f>BS!BS10-'CF '!BS77</f>
        <v>0</v>
      </c>
      <c r="BT86" s="219">
        <f>BS!BT10-'CF '!BT77</f>
        <v>0</v>
      </c>
      <c r="BU86" s="219">
        <f>BS!BU10-'CF '!BU77</f>
        <v>0</v>
      </c>
      <c r="BV86" s="219">
        <f>BS!BV10-'CF '!BV77</f>
        <v>1.0231815394945443E-12</v>
      </c>
      <c r="BW86" s="219">
        <f>BS!BW10-'CF '!BW77</f>
        <v>1.2505552149377763E-12</v>
      </c>
      <c r="BX86" s="219">
        <f>BS!BX10-'CF '!BX77</f>
        <v>1.0231815394945443E-12</v>
      </c>
      <c r="BY86" s="219">
        <f>BS!BY10-'CF '!BY77</f>
        <v>1.2505552149377763E-12</v>
      </c>
      <c r="BZ86" s="219">
        <f>BS!BZ10-'CF '!BZ77</f>
        <v>1.3642420526593924E-12</v>
      </c>
      <c r="CA86" s="219">
        <f>BS!CA10-'CF '!CA77</f>
        <v>1.3642420526593924E-12</v>
      </c>
      <c r="CB86" s="219">
        <f>BS!CB10-'CF '!CB77</f>
        <v>1.2505552149377763E-12</v>
      </c>
      <c r="CC86" s="219">
        <f>BS!CC10-'CF '!CC77</f>
        <v>0</v>
      </c>
      <c r="CD86" s="219">
        <f>BS!CD10-'CF '!CD77</f>
        <v>0</v>
      </c>
      <c r="CE86" s="219">
        <f>BS!CE10-'CF '!CE77</f>
        <v>0</v>
      </c>
      <c r="CF86" s="219">
        <f>BS!CF10-'CF '!CF77</f>
        <v>1.2505552149377763E-12</v>
      </c>
      <c r="CG86" s="219">
        <f>BS!CG10-'CF '!CG77</f>
        <v>0</v>
      </c>
      <c r="CH86" s="219">
        <f>BS!CH10-'CF '!CH77</f>
        <v>0</v>
      </c>
      <c r="CI86" s="219">
        <f>BS!CI10-'CF '!CI77</f>
        <v>0</v>
      </c>
      <c r="CJ86" s="219">
        <f>BS!CJ10-'CF '!CJ77</f>
        <v>0</v>
      </c>
      <c r="CK86" s="219">
        <f>BS!CK10-'CF '!CK77</f>
        <v>1.2505552149377763E-12</v>
      </c>
      <c r="CL86" s="219">
        <f>BS!CL10-'CF '!CL77</f>
        <v>1.1368683772161603E-12</v>
      </c>
      <c r="CM86" s="219">
        <f>BS!CM10-'CF '!CM77</f>
        <v>0</v>
      </c>
      <c r="CN86" s="219">
        <f>BS!CN10-'CF '!CN77</f>
        <v>0</v>
      </c>
      <c r="CO86" s="219">
        <f>BS!CO10-'CF '!CO77</f>
        <v>0</v>
      </c>
      <c r="CP86" s="219">
        <f>BS!CP10-'CF '!CP77</f>
        <v>0</v>
      </c>
      <c r="CQ86" s="219">
        <f>BS!CQ10-'CF '!CQ77</f>
        <v>0</v>
      </c>
      <c r="CR86" s="219">
        <f>BS!CR10-'CF '!CR77</f>
        <v>0</v>
      </c>
      <c r="CS86" s="219">
        <f>BS!CS10-'CF '!CS77</f>
        <v>0</v>
      </c>
      <c r="CT86" s="219">
        <f>BS!CT10-'CF '!CT77</f>
        <v>0</v>
      </c>
      <c r="CU86" s="219">
        <f>BS!CU10-'CF '!CU77</f>
        <v>0</v>
      </c>
      <c r="CV86" s="219">
        <f>BS!CV10-'CF '!CV77</f>
        <v>0</v>
      </c>
      <c r="CW86" s="219">
        <f>BS!CW10-'CF '!CW77</f>
        <v>0</v>
      </c>
      <c r="CX86" s="219">
        <f>BS!CX10-'CF '!CX77</f>
        <v>0</v>
      </c>
      <c r="CY86" s="219">
        <f>BS!CY10-'CF '!CY77</f>
        <v>0</v>
      </c>
      <c r="CZ86" s="219">
        <f>BS!CZ10-'CF '!CZ77</f>
        <v>0</v>
      </c>
      <c r="DA86" s="219">
        <f>BS!DA10-'CF '!DA77</f>
        <v>0</v>
      </c>
      <c r="DB86" s="219">
        <f>BS!DB10-'CF '!DB77</f>
        <v>0</v>
      </c>
      <c r="DC86" s="219">
        <f>BS!DC10-'CF '!DC77</f>
        <v>0</v>
      </c>
      <c r="DD86" s="219">
        <f>BS!DD10-'CF '!DD77</f>
        <v>0</v>
      </c>
      <c r="DE86" s="219">
        <f>BS!DE10-'CF '!DE77</f>
        <v>0</v>
      </c>
      <c r="DF86" s="219">
        <f>BS!DF10-'CF '!DF77</f>
        <v>0</v>
      </c>
      <c r="DG86" s="219">
        <f>BS!DG10-'CF '!DG77</f>
        <v>0</v>
      </c>
      <c r="DH86" s="219">
        <f>BS!DH10-'CF '!DH77</f>
        <v>0</v>
      </c>
      <c r="DI86" s="219">
        <f>BS!DI10-'CF '!DI77</f>
        <v>0</v>
      </c>
      <c r="DJ86" s="219">
        <f>BS!DJ10-'CF '!DJ77</f>
        <v>0</v>
      </c>
      <c r="DK86" s="219">
        <f>BS!DK10-'CF '!DK77</f>
        <v>0</v>
      </c>
      <c r="DL86" s="219">
        <f>BS!DL10-'CF '!DL77</f>
        <v>0</v>
      </c>
      <c r="DM86" s="219">
        <f>BS!DM10-'CF '!DM77</f>
        <v>0</v>
      </c>
      <c r="DN86" s="219">
        <f>BS!DN10-'CF '!DN77</f>
        <v>0</v>
      </c>
      <c r="DO86" s="219">
        <f>BS!DO10-'CF '!DO77</f>
        <v>0</v>
      </c>
      <c r="DP86" s="219">
        <f>BS!DP10-'CF '!DP77</f>
        <v>0</v>
      </c>
      <c r="DQ86" s="219">
        <f>BS!DQ10-'CF '!DQ77</f>
        <v>0</v>
      </c>
      <c r="DR86" s="219">
        <f>BS!DR10-'CF '!DR77</f>
        <v>0</v>
      </c>
      <c r="DS86" s="219">
        <f>BS!DS10-'CF '!DS77</f>
        <v>0</v>
      </c>
      <c r="DT86" s="219">
        <f>BS!DT10-'CF '!DT77</f>
        <v>0</v>
      </c>
      <c r="DU86" s="219">
        <f>BS!DU10-'CF '!DU77</f>
        <v>0</v>
      </c>
      <c r="DV86" s="219">
        <f>BS!DV10-'CF '!DV77</f>
        <v>0</v>
      </c>
      <c r="DW86" s="219">
        <f>BS!DW10-'CF '!DW77</f>
        <v>0</v>
      </c>
      <c r="DX86" s="219">
        <f>BS!DX10-'CF '!DX77</f>
        <v>0</v>
      </c>
      <c r="DY86" s="37"/>
      <c r="DZ86" s="37"/>
      <c r="EA86" s="37"/>
      <c r="EB86" s="11" t="str">
        <f t="shared" ref="EB86:EL86" si="212">EB7</f>
        <v>CY06</v>
      </c>
      <c r="EC86" s="10" t="str">
        <f t="shared" si="212"/>
        <v>CY07</v>
      </c>
      <c r="ED86" s="10" t="str">
        <f t="shared" si="212"/>
        <v>CY08</v>
      </c>
      <c r="EE86" s="10" t="str">
        <f t="shared" si="212"/>
        <v>CY09</v>
      </c>
      <c r="EF86" s="10" t="str">
        <f t="shared" si="212"/>
        <v>CY10</v>
      </c>
      <c r="EG86" s="10" t="str">
        <f t="shared" si="212"/>
        <v>CY11</v>
      </c>
      <c r="EH86" s="10" t="str">
        <f t="shared" si="212"/>
        <v>CY12E</v>
      </c>
      <c r="EI86" s="10" t="str">
        <f t="shared" si="212"/>
        <v>CY13E</v>
      </c>
      <c r="EJ86" s="10" t="str">
        <f t="shared" si="212"/>
        <v>CY14E</v>
      </c>
      <c r="EK86" s="10" t="str">
        <f t="shared" si="212"/>
        <v>CY15E</v>
      </c>
      <c r="EL86" s="59" t="str">
        <f t="shared" si="212"/>
        <v>CY16E</v>
      </c>
      <c r="EM86" s="37"/>
      <c r="EN86" s="37"/>
      <c r="EU86" s="37"/>
      <c r="EV86" s="37"/>
      <c r="EW86" s="37"/>
      <c r="EX86" s="37"/>
      <c r="EY86" s="37"/>
      <c r="EZ86" s="37"/>
      <c r="FA86" s="37"/>
      <c r="FB86" s="37"/>
      <c r="FC86" s="37"/>
      <c r="FD86" s="37"/>
      <c r="FE86" s="37"/>
      <c r="FF86" s="37"/>
      <c r="FG86" s="37"/>
      <c r="FH86" s="37"/>
      <c r="FI86" s="37"/>
      <c r="FJ86" s="37"/>
    </row>
    <row r="87" spans="1:166" x14ac:dyDescent="0.2">
      <c r="A87" s="13" t="s">
        <v>405</v>
      </c>
      <c r="B87" s="324"/>
      <c r="C87" s="324"/>
      <c r="D87" s="324"/>
      <c r="E87" s="324"/>
      <c r="F87" s="324"/>
      <c r="G87" s="324"/>
      <c r="H87" s="324"/>
      <c r="I87" s="324"/>
      <c r="J87" s="324"/>
      <c r="K87" s="324"/>
      <c r="L87" s="324"/>
      <c r="M87" s="324"/>
      <c r="N87" s="324"/>
      <c r="O87" s="324"/>
      <c r="P87" s="324"/>
      <c r="Q87" s="324"/>
      <c r="R87" s="324"/>
      <c r="S87" s="324"/>
      <c r="T87" s="324"/>
      <c r="U87" s="324"/>
      <c r="V87" s="324"/>
      <c r="W87" s="324"/>
      <c r="X87" s="324"/>
      <c r="Y87" s="324"/>
      <c r="Z87" s="324"/>
      <c r="AA87" s="325"/>
      <c r="AB87" s="324"/>
      <c r="AC87" s="324"/>
      <c r="AD87" s="325"/>
      <c r="AE87" s="325"/>
      <c r="AF87" s="326"/>
      <c r="AG87" s="324"/>
      <c r="AH87" s="324"/>
      <c r="AI87" s="324"/>
      <c r="AJ87" s="324"/>
      <c r="AK87" s="598"/>
      <c r="AL87" s="324"/>
      <c r="AM87" s="324"/>
      <c r="AN87" s="324"/>
      <c r="AO87" s="324"/>
      <c r="AP87" s="598"/>
      <c r="AQ87" s="324"/>
      <c r="AR87" s="324"/>
      <c r="AS87" s="324"/>
      <c r="AT87" s="324"/>
      <c r="AU87" s="598"/>
      <c r="AV87" s="272"/>
      <c r="AW87" s="324"/>
      <c r="AX87" s="324"/>
      <c r="AY87" s="324"/>
      <c r="AZ87" s="324"/>
      <c r="BA87" s="598"/>
      <c r="BB87" s="324"/>
      <c r="BC87" s="324"/>
      <c r="BD87" s="324"/>
      <c r="BE87" s="324"/>
      <c r="BF87" s="598"/>
      <c r="BG87" s="324"/>
      <c r="BH87" s="324"/>
      <c r="BI87" s="324"/>
      <c r="BJ87" s="325"/>
      <c r="BK87" s="326"/>
      <c r="BL87" s="325"/>
      <c r="BM87" s="325"/>
      <c r="BN87" s="325"/>
      <c r="BO87" s="325"/>
      <c r="BP87" s="326"/>
      <c r="BQ87" s="325"/>
      <c r="BR87" s="324"/>
      <c r="BS87" s="325"/>
      <c r="BT87" s="325"/>
      <c r="BU87" s="326"/>
      <c r="BV87" s="324"/>
      <c r="BW87" s="1413"/>
      <c r="BX87" s="324"/>
      <c r="BY87" s="324"/>
      <c r="BZ87" s="598"/>
      <c r="CA87" s="324"/>
      <c r="CB87" s="324"/>
      <c r="CC87" s="324"/>
      <c r="CD87" s="324"/>
      <c r="CE87" s="598"/>
      <c r="CF87" s="324"/>
      <c r="CG87" s="324"/>
      <c r="CH87" s="324"/>
      <c r="CI87" s="324"/>
      <c r="CJ87" s="598"/>
      <c r="CK87" s="324"/>
      <c r="CL87" s="325"/>
      <c r="CM87" s="325"/>
      <c r="CN87" s="325"/>
      <c r="CO87" s="326"/>
      <c r="CP87" s="325"/>
      <c r="CQ87" s="325"/>
      <c r="CR87" s="325"/>
      <c r="CS87" s="325"/>
      <c r="CT87" s="326"/>
      <c r="CU87" s="325"/>
      <c r="CV87" s="325"/>
      <c r="CW87" s="325"/>
      <c r="CX87" s="325"/>
      <c r="CY87" s="326"/>
      <c r="CZ87" s="325"/>
      <c r="DA87" s="325"/>
      <c r="DB87" s="325"/>
      <c r="DC87" s="325"/>
      <c r="DD87" s="326"/>
      <c r="DE87" s="325"/>
      <c r="DF87" s="325"/>
      <c r="DG87" s="325"/>
      <c r="DH87" s="325"/>
      <c r="DI87" s="326"/>
      <c r="DJ87" s="325"/>
      <c r="DK87" s="325"/>
      <c r="DL87" s="325"/>
      <c r="DM87" s="325"/>
      <c r="DN87" s="326"/>
      <c r="DO87" s="325"/>
      <c r="DP87" s="325"/>
      <c r="DQ87" s="325"/>
      <c r="DR87" s="325"/>
      <c r="DS87" s="326"/>
      <c r="DT87" s="325"/>
      <c r="DU87" s="325"/>
      <c r="DV87" s="325"/>
      <c r="DW87" s="325"/>
      <c r="DX87" s="326"/>
      <c r="DY87" s="21"/>
      <c r="DZ87" s="21"/>
      <c r="EA87" s="21"/>
      <c r="EB87" s="427" t="s">
        <v>405</v>
      </c>
      <c r="EC87" s="487"/>
      <c r="ED87" s="487"/>
      <c r="EE87" s="487"/>
      <c r="EF87" s="487"/>
      <c r="EG87" s="487"/>
      <c r="EH87" s="487"/>
      <c r="EI87" s="487"/>
      <c r="EJ87" s="487"/>
      <c r="EK87" s="487"/>
      <c r="EL87" s="752"/>
      <c r="EM87" s="16"/>
      <c r="EN87" s="16"/>
      <c r="EU87" s="16"/>
      <c r="EV87" s="16"/>
      <c r="EW87" s="16"/>
      <c r="EX87" s="16"/>
      <c r="EY87" s="16"/>
      <c r="EZ87" s="16"/>
      <c r="FA87" s="16"/>
      <c r="FB87" s="16"/>
      <c r="FC87" s="16"/>
      <c r="FD87" s="16"/>
      <c r="FE87" s="16"/>
      <c r="FF87" s="16"/>
      <c r="FG87" s="16"/>
      <c r="FH87" s="16"/>
      <c r="FI87" s="16"/>
      <c r="FJ87" s="16"/>
    </row>
    <row r="88" spans="1:166" x14ac:dyDescent="0.2">
      <c r="A88" s="170" t="s">
        <v>406</v>
      </c>
      <c r="B88" s="65"/>
      <c r="C88" s="65"/>
      <c r="D88" s="65"/>
      <c r="E88" s="65"/>
      <c r="F88" s="65"/>
      <c r="G88" s="65"/>
      <c r="H88" s="65"/>
      <c r="I88" s="65"/>
      <c r="J88" s="65"/>
      <c r="K88" s="65"/>
      <c r="L88" s="65"/>
      <c r="M88" s="65"/>
      <c r="N88" s="65"/>
      <c r="O88" s="65"/>
      <c r="P88" s="65"/>
      <c r="Q88" s="328">
        <f>Q38</f>
        <v>199</v>
      </c>
      <c r="R88" s="321"/>
      <c r="S88" s="321"/>
      <c r="T88" s="321"/>
      <c r="U88" s="321"/>
      <c r="V88" s="328">
        <f t="shared" ref="V88:AF88" si="213">V38</f>
        <v>218</v>
      </c>
      <c r="W88" s="65">
        <f t="shared" si="213"/>
        <v>-78</v>
      </c>
      <c r="X88" s="65">
        <f t="shared" si="213"/>
        <v>80</v>
      </c>
      <c r="Y88" s="65">
        <f t="shared" si="213"/>
        <v>19</v>
      </c>
      <c r="Z88" s="65">
        <f t="shared" si="213"/>
        <v>52</v>
      </c>
      <c r="AA88" s="328">
        <f t="shared" si="213"/>
        <v>74</v>
      </c>
      <c r="AB88" s="65">
        <f t="shared" si="213"/>
        <v>-47</v>
      </c>
      <c r="AC88" s="65">
        <f t="shared" si="213"/>
        <v>45</v>
      </c>
      <c r="AD88" s="65">
        <f t="shared" si="213"/>
        <v>48</v>
      </c>
      <c r="AE88" s="65">
        <f t="shared" si="213"/>
        <v>71</v>
      </c>
      <c r="AF88" s="328">
        <f t="shared" si="213"/>
        <v>117</v>
      </c>
      <c r="AG88" s="65">
        <f t="shared" ref="AG88:AT88" si="214">AG38</f>
        <v>41</v>
      </c>
      <c r="AH88" s="65">
        <f t="shared" si="214"/>
        <v>78</v>
      </c>
      <c r="AI88" s="65">
        <f t="shared" si="214"/>
        <v>31</v>
      </c>
      <c r="AJ88" s="65">
        <f t="shared" si="214"/>
        <v>93</v>
      </c>
      <c r="AK88" s="328">
        <f t="shared" si="214"/>
        <v>243</v>
      </c>
      <c r="AL88" s="65">
        <f t="shared" si="214"/>
        <v>52</v>
      </c>
      <c r="AM88" s="65">
        <f t="shared" si="214"/>
        <v>77</v>
      </c>
      <c r="AN88" s="65">
        <f t="shared" si="214"/>
        <v>82</v>
      </c>
      <c r="AO88" s="65">
        <f t="shared" si="214"/>
        <v>99.8</v>
      </c>
      <c r="AP88" s="328">
        <f t="shared" si="214"/>
        <v>310.8</v>
      </c>
      <c r="AQ88" s="65">
        <f t="shared" si="214"/>
        <v>48.000000000000021</v>
      </c>
      <c r="AR88" s="65">
        <f t="shared" si="214"/>
        <v>74.099999999999994</v>
      </c>
      <c r="AS88" s="65">
        <f t="shared" si="214"/>
        <v>77.200000000000017</v>
      </c>
      <c r="AT88" s="65">
        <f t="shared" si="214"/>
        <v>111.09999999999998</v>
      </c>
      <c r="AU88" s="328">
        <f t="shared" ref="AU88:BA88" si="215">AU38</f>
        <v>310.39999999999992</v>
      </c>
      <c r="AV88" s="246"/>
      <c r="AW88" s="65">
        <f t="shared" si="215"/>
        <v>77.200000000000017</v>
      </c>
      <c r="AX88" s="65">
        <f t="shared" si="215"/>
        <v>111.09999999999998</v>
      </c>
      <c r="AY88" s="65">
        <f t="shared" si="215"/>
        <v>82.100000000000009</v>
      </c>
      <c r="AZ88" s="65">
        <f t="shared" si="215"/>
        <v>-87.3</v>
      </c>
      <c r="BA88" s="328">
        <f t="shared" si="215"/>
        <v>183.10000000000005</v>
      </c>
      <c r="BB88" s="65">
        <f t="shared" ref="BB88:BK88" si="216">BB38</f>
        <v>65.2</v>
      </c>
      <c r="BC88" s="65">
        <f t="shared" si="216"/>
        <v>29.699999999999996</v>
      </c>
      <c r="BD88" s="65">
        <f t="shared" si="216"/>
        <v>219.8</v>
      </c>
      <c r="BE88" s="65">
        <f t="shared" si="216"/>
        <v>91.500000000000028</v>
      </c>
      <c r="BF88" s="328">
        <f t="shared" si="216"/>
        <v>406.20000000000005</v>
      </c>
      <c r="BG88" s="65">
        <f t="shared" si="216"/>
        <v>39.299999999999969</v>
      </c>
      <c r="BH88" s="65">
        <f t="shared" si="216"/>
        <v>-2.3999999999999799</v>
      </c>
      <c r="BI88" s="65">
        <f t="shared" si="216"/>
        <v>107.69999999999999</v>
      </c>
      <c r="BJ88" s="65">
        <f>BJ38</f>
        <v>79.80000000000004</v>
      </c>
      <c r="BK88" s="328">
        <f t="shared" si="216"/>
        <v>224.4</v>
      </c>
      <c r="BL88" s="65">
        <f>BL38</f>
        <v>78.900000000000006</v>
      </c>
      <c r="BM88" s="65">
        <f t="shared" ref="BM88:BU88" si="217">BM38</f>
        <v>51.299999999999983</v>
      </c>
      <c r="BN88" s="65">
        <f t="shared" si="217"/>
        <v>137.49999999999997</v>
      </c>
      <c r="BO88" s="65">
        <f t="shared" si="217"/>
        <v>57.499999999999993</v>
      </c>
      <c r="BP88" s="328">
        <f t="shared" si="217"/>
        <v>325.19999999999993</v>
      </c>
      <c r="BQ88" s="65">
        <f t="shared" si="217"/>
        <v>125.29999999999998</v>
      </c>
      <c r="BR88" s="65">
        <f t="shared" si="217"/>
        <v>87.800000000000026</v>
      </c>
      <c r="BS88" s="65">
        <f t="shared" si="217"/>
        <v>162.5</v>
      </c>
      <c r="BT88" s="65">
        <f t="shared" si="217"/>
        <v>-116.29999999999994</v>
      </c>
      <c r="BU88" s="328">
        <f t="shared" si="217"/>
        <v>259.30000000000007</v>
      </c>
      <c r="BV88" s="65">
        <f t="shared" ref="BV88:DA88" si="218">BV38</f>
        <v>261.70000000000005</v>
      </c>
      <c r="BW88" s="1385">
        <f t="shared" si="218"/>
        <v>246.5</v>
      </c>
      <c r="BX88" s="65">
        <f t="shared" si="218"/>
        <v>442.19999999999993</v>
      </c>
      <c r="BY88" s="65">
        <f t="shared" si="218"/>
        <v>254.39999999999998</v>
      </c>
      <c r="BZ88" s="328">
        <f t="shared" si="218"/>
        <v>1204.8</v>
      </c>
      <c r="CA88" s="65">
        <f t="shared" ref="CA88:CB88" si="219">CA38</f>
        <v>183.29999999999998</v>
      </c>
      <c r="CB88" s="65">
        <f t="shared" si="219"/>
        <v>322.00000000000006</v>
      </c>
      <c r="CC88" s="65">
        <f t="shared" si="218"/>
        <v>413.70000000000005</v>
      </c>
      <c r="CD88" s="65">
        <f t="shared" si="218"/>
        <v>350</v>
      </c>
      <c r="CE88" s="328">
        <f t="shared" si="218"/>
        <v>1269</v>
      </c>
      <c r="CF88" s="65">
        <f t="shared" si="218"/>
        <v>275.60000000000008</v>
      </c>
      <c r="CG88" s="65">
        <f t="shared" si="218"/>
        <v>205.4</v>
      </c>
      <c r="CH88" s="65">
        <f t="shared" si="218"/>
        <v>332.5</v>
      </c>
      <c r="CI88" s="65">
        <f t="shared" si="218"/>
        <v>568.50000000000011</v>
      </c>
      <c r="CJ88" s="328">
        <f t="shared" si="218"/>
        <v>1382.0000000000002</v>
      </c>
      <c r="CK88" s="65">
        <f t="shared" si="218"/>
        <v>-111.00000000000001</v>
      </c>
      <c r="CL88" s="217">
        <f t="shared" si="218"/>
        <v>317.98328542113103</v>
      </c>
      <c r="CM88" s="217">
        <f t="shared" si="218"/>
        <v>324.03247427041737</v>
      </c>
      <c r="CN88" s="217">
        <f t="shared" si="218"/>
        <v>766.19494017585794</v>
      </c>
      <c r="CO88" s="331">
        <f t="shared" si="218"/>
        <v>1297.2106998674062</v>
      </c>
      <c r="CP88" s="217">
        <f t="shared" si="218"/>
        <v>22.329961491181109</v>
      </c>
      <c r="CQ88" s="217">
        <f t="shared" si="218"/>
        <v>272.52464292842012</v>
      </c>
      <c r="CR88" s="217">
        <f t="shared" si="218"/>
        <v>380.32006367897446</v>
      </c>
      <c r="CS88" s="217">
        <f t="shared" si="218"/>
        <v>847.0021119626897</v>
      </c>
      <c r="CT88" s="331">
        <f t="shared" si="218"/>
        <v>1522.1767800612654</v>
      </c>
      <c r="CU88" s="217">
        <f t="shared" si="218"/>
        <v>47.841672796762737</v>
      </c>
      <c r="CV88" s="217">
        <f t="shared" si="218"/>
        <v>320.93735672124114</v>
      </c>
      <c r="CW88" s="217">
        <f t="shared" si="218"/>
        <v>438.58226480340903</v>
      </c>
      <c r="CX88" s="217">
        <f t="shared" si="218"/>
        <v>934.8331692038895</v>
      </c>
      <c r="CY88" s="331">
        <f t="shared" si="218"/>
        <v>1742.1944635253026</v>
      </c>
      <c r="CZ88" s="217">
        <f t="shared" si="218"/>
        <v>99.642597118439255</v>
      </c>
      <c r="DA88" s="217">
        <f t="shared" si="218"/>
        <v>365.78879165278221</v>
      </c>
      <c r="DB88" s="217">
        <f t="shared" ref="DB88:DS88" si="220">DB38</f>
        <v>499.30902445854383</v>
      </c>
      <c r="DC88" s="217">
        <f t="shared" si="220"/>
        <v>1009.7996217804264</v>
      </c>
      <c r="DD88" s="331">
        <f t="shared" si="220"/>
        <v>1974.5400350101918</v>
      </c>
      <c r="DE88" s="217">
        <f t="shared" si="220"/>
        <v>137.20513808310363</v>
      </c>
      <c r="DF88" s="217">
        <f t="shared" si="220"/>
        <v>426.40842673866842</v>
      </c>
      <c r="DG88" s="217">
        <f t="shared" si="220"/>
        <v>568.78366366195019</v>
      </c>
      <c r="DH88" s="217">
        <f t="shared" si="220"/>
        <v>1139.6478657208042</v>
      </c>
      <c r="DI88" s="331">
        <f t="shared" si="220"/>
        <v>2272.0450942045263</v>
      </c>
      <c r="DJ88" s="217">
        <f t="shared" si="220"/>
        <v>176.32668622562159</v>
      </c>
      <c r="DK88" s="217">
        <f t="shared" si="220"/>
        <v>486.54992880829155</v>
      </c>
      <c r="DL88" s="217">
        <f t="shared" si="220"/>
        <v>638.63390382499017</v>
      </c>
      <c r="DM88" s="217">
        <f t="shared" si="220"/>
        <v>1244.5208838785079</v>
      </c>
      <c r="DN88" s="331">
        <f t="shared" si="220"/>
        <v>2546.0314027374111</v>
      </c>
      <c r="DO88" s="217">
        <f t="shared" si="220"/>
        <v>195.96331223166834</v>
      </c>
      <c r="DP88" s="217">
        <f t="shared" si="220"/>
        <v>507.78455304020468</v>
      </c>
      <c r="DQ88" s="217">
        <f t="shared" si="220"/>
        <v>680.91099928241135</v>
      </c>
      <c r="DR88" s="217">
        <f t="shared" si="220"/>
        <v>1336.2794082039338</v>
      </c>
      <c r="DS88" s="331">
        <f t="shared" si="220"/>
        <v>2720.9382727582179</v>
      </c>
      <c r="DT88" s="217">
        <f t="shared" ref="DT88:DX88" si="221">DT38</f>
        <v>222.93584456837334</v>
      </c>
      <c r="DU88" s="217">
        <f t="shared" si="221"/>
        <v>568.26116808593099</v>
      </c>
      <c r="DV88" s="217">
        <f t="shared" si="221"/>
        <v>738.20748772061552</v>
      </c>
      <c r="DW88" s="217">
        <f t="shared" si="221"/>
        <v>1434.191136711243</v>
      </c>
      <c r="DX88" s="331">
        <f t="shared" si="221"/>
        <v>2963.5956370861627</v>
      </c>
      <c r="DY88" s="21"/>
      <c r="DZ88" s="21"/>
      <c r="EA88" s="21"/>
      <c r="EB88" s="420">
        <f>SUM(AC88,AB88,Z88,Y88)</f>
        <v>69</v>
      </c>
      <c r="EC88" s="488">
        <f>SUM(AD88,AE88,AG88,AH88)</f>
        <v>238</v>
      </c>
      <c r="ED88" s="488">
        <f>SUM(AI88,AJ88,AL88,AM88)</f>
        <v>253</v>
      </c>
      <c r="EE88" s="488">
        <f>SUM(AN88,AO88,AQ88,AR88)</f>
        <v>303.90000000000003</v>
      </c>
      <c r="EF88" s="488">
        <f>BA88</f>
        <v>183.10000000000005</v>
      </c>
      <c r="EG88" s="488">
        <f>BF88</f>
        <v>406.20000000000005</v>
      </c>
      <c r="EH88" s="488">
        <f>BK88</f>
        <v>224.4</v>
      </c>
      <c r="EI88" s="488">
        <f>BP88</f>
        <v>325.19999999999993</v>
      </c>
      <c r="EJ88" s="488">
        <f>BU88</f>
        <v>259.30000000000007</v>
      </c>
      <c r="EK88" s="488">
        <f>BZ88</f>
        <v>1204.8</v>
      </c>
      <c r="EL88" s="753">
        <f>CE88</f>
        <v>1269</v>
      </c>
      <c r="EM88" s="16"/>
      <c r="EN88" s="16"/>
      <c r="EU88" s="16"/>
      <c r="EV88" s="16"/>
      <c r="EW88" s="16"/>
      <c r="EX88" s="16"/>
      <c r="EY88" s="16"/>
      <c r="EZ88" s="16"/>
      <c r="FA88" s="16"/>
      <c r="FB88" s="16"/>
      <c r="FC88" s="16"/>
      <c r="FD88" s="16"/>
      <c r="FE88" s="16"/>
      <c r="FF88" s="16"/>
      <c r="FG88" s="16"/>
      <c r="FH88" s="16"/>
      <c r="FI88" s="16"/>
      <c r="FJ88" s="16"/>
    </row>
    <row r="89" spans="1:166" x14ac:dyDescent="0.2">
      <c r="A89" s="170" t="s">
        <v>674</v>
      </c>
      <c r="B89" s="65"/>
      <c r="C89" s="65"/>
      <c r="D89" s="65"/>
      <c r="E89" s="65"/>
      <c r="F89" s="65"/>
      <c r="G89" s="65"/>
      <c r="H89" s="65"/>
      <c r="I89" s="65"/>
      <c r="J89" s="65"/>
      <c r="K89" s="65"/>
      <c r="L89" s="65"/>
      <c r="M89" s="65"/>
      <c r="N89" s="65"/>
      <c r="O89" s="65"/>
      <c r="P89" s="65"/>
      <c r="Q89" s="215"/>
      <c r="R89" s="65"/>
      <c r="S89" s="65"/>
      <c r="T89" s="65"/>
      <c r="U89" s="65"/>
      <c r="V89" s="215"/>
      <c r="W89" s="65"/>
      <c r="X89" s="65"/>
      <c r="Y89" s="65"/>
      <c r="Z89" s="65"/>
      <c r="AA89" s="215"/>
      <c r="AB89" s="65"/>
      <c r="AC89" s="65"/>
      <c r="AD89" s="65"/>
      <c r="AE89" s="65"/>
      <c r="AF89" s="215"/>
      <c r="AG89" s="65"/>
      <c r="AH89" s="65"/>
      <c r="AI89" s="65"/>
      <c r="AJ89" s="65"/>
      <c r="AK89" s="215"/>
      <c r="AL89" s="65"/>
      <c r="AM89" s="65"/>
      <c r="AN89" s="65"/>
      <c r="AO89" s="65"/>
      <c r="AP89" s="215"/>
      <c r="AQ89" s="65"/>
      <c r="AR89" s="65"/>
      <c r="AS89" s="65"/>
      <c r="AT89" s="65"/>
      <c r="AU89" s="215"/>
      <c r="AV89" s="246"/>
      <c r="AW89" s="65"/>
      <c r="AX89" s="65"/>
      <c r="AY89" s="65"/>
      <c r="AZ89" s="65"/>
      <c r="BA89" s="215"/>
      <c r="BB89" s="65"/>
      <c r="BC89" s="65"/>
      <c r="BD89" s="65"/>
      <c r="BE89" s="65"/>
      <c r="BF89" s="215"/>
      <c r="BG89" s="65"/>
      <c r="BH89" s="65"/>
      <c r="BI89" s="65"/>
      <c r="BJ89" s="65"/>
      <c r="BK89" s="215"/>
      <c r="BL89" s="65"/>
      <c r="BM89" s="65"/>
      <c r="BN89" s="65"/>
      <c r="BO89" s="65"/>
      <c r="BP89" s="215"/>
      <c r="BQ89" s="65">
        <f>BQ65</f>
        <v>0</v>
      </c>
      <c r="BR89" s="65">
        <f t="shared" ref="BR89:BT89" si="222">BR65</f>
        <v>0</v>
      </c>
      <c r="BS89" s="65">
        <f t="shared" si="222"/>
        <v>0</v>
      </c>
      <c r="BT89" s="65">
        <f t="shared" si="222"/>
        <v>0</v>
      </c>
      <c r="BU89" s="215">
        <f>SUM(BQ89:BT89)</f>
        <v>0</v>
      </c>
      <c r="BV89" s="65">
        <v>-67.5</v>
      </c>
      <c r="BW89" s="1385">
        <v>-67.5</v>
      </c>
      <c r="BX89" s="65">
        <v>-67.5</v>
      </c>
      <c r="BY89" s="65">
        <v>-67.5</v>
      </c>
      <c r="BZ89" s="215">
        <v>-270</v>
      </c>
      <c r="CA89" s="65">
        <v>-67.5</v>
      </c>
      <c r="CB89" s="65">
        <v>-67.5</v>
      </c>
      <c r="CC89" s="65">
        <v>-67.5</v>
      </c>
      <c r="CD89" s="65">
        <v>-67.5</v>
      </c>
      <c r="CE89" s="215">
        <v>-270</v>
      </c>
      <c r="CF89" s="65">
        <f>CG89</f>
        <v>0</v>
      </c>
      <c r="CG89" s="65">
        <f t="shared" ref="CG89:CI89" si="223">CG65</f>
        <v>0</v>
      </c>
      <c r="CH89" s="65">
        <f t="shared" si="223"/>
        <v>0</v>
      </c>
      <c r="CI89" s="65">
        <f t="shared" si="223"/>
        <v>0</v>
      </c>
      <c r="CJ89" s="215">
        <f>SUM(CF89:CI89)</f>
        <v>0</v>
      </c>
      <c r="CK89" s="65">
        <f>CK65</f>
        <v>0</v>
      </c>
      <c r="CL89" s="217">
        <f t="shared" ref="CL89:CN89" si="224">CL65</f>
        <v>0</v>
      </c>
      <c r="CM89" s="217">
        <f t="shared" si="224"/>
        <v>0</v>
      </c>
      <c r="CN89" s="217">
        <f t="shared" si="224"/>
        <v>0</v>
      </c>
      <c r="CO89" s="332">
        <f>SUM(CK89:CN89)</f>
        <v>0</v>
      </c>
      <c r="CP89" s="217">
        <f>CP65</f>
        <v>0</v>
      </c>
      <c r="CQ89" s="217">
        <f t="shared" ref="CQ89:CS89" si="225">CQ65</f>
        <v>0</v>
      </c>
      <c r="CR89" s="217">
        <f t="shared" si="225"/>
        <v>0</v>
      </c>
      <c r="CS89" s="217">
        <f t="shared" si="225"/>
        <v>0</v>
      </c>
      <c r="CT89" s="332">
        <f>SUM(CP89:CS89)</f>
        <v>0</v>
      </c>
      <c r="CU89" s="217">
        <f>CU65</f>
        <v>0</v>
      </c>
      <c r="CV89" s="217">
        <f t="shared" ref="CV89:CX89" si="226">CV65</f>
        <v>0</v>
      </c>
      <c r="CW89" s="217">
        <f t="shared" si="226"/>
        <v>0</v>
      </c>
      <c r="CX89" s="217">
        <f t="shared" si="226"/>
        <v>0</v>
      </c>
      <c r="CY89" s="332">
        <f>SUM(CU89:CX89)</f>
        <v>0</v>
      </c>
      <c r="CZ89" s="217">
        <f>CZ65</f>
        <v>0</v>
      </c>
      <c r="DA89" s="217">
        <f t="shared" ref="DA89:DC89" si="227">DA65</f>
        <v>0</v>
      </c>
      <c r="DB89" s="217">
        <f t="shared" si="227"/>
        <v>0</v>
      </c>
      <c r="DC89" s="217">
        <f t="shared" si="227"/>
        <v>0</v>
      </c>
      <c r="DD89" s="332">
        <f>SUM(CZ89:DC89)</f>
        <v>0</v>
      </c>
      <c r="DE89" s="217">
        <f>DE65</f>
        <v>0</v>
      </c>
      <c r="DF89" s="217">
        <f t="shared" ref="DF89:DH89" si="228">DF65</f>
        <v>0</v>
      </c>
      <c r="DG89" s="217">
        <f t="shared" si="228"/>
        <v>0</v>
      </c>
      <c r="DH89" s="217">
        <f t="shared" si="228"/>
        <v>0</v>
      </c>
      <c r="DI89" s="332">
        <f>SUM(DE89:DH89)</f>
        <v>0</v>
      </c>
      <c r="DJ89" s="217">
        <f>DJ65</f>
        <v>0</v>
      </c>
      <c r="DK89" s="217">
        <f t="shared" ref="DK89:DM89" si="229">DK65</f>
        <v>0</v>
      </c>
      <c r="DL89" s="217">
        <f t="shared" si="229"/>
        <v>0</v>
      </c>
      <c r="DM89" s="217">
        <f t="shared" si="229"/>
        <v>0</v>
      </c>
      <c r="DN89" s="332">
        <f>SUM(DJ89:DM89)</f>
        <v>0</v>
      </c>
      <c r="DO89" s="217">
        <f>DO65</f>
        <v>0</v>
      </c>
      <c r="DP89" s="217">
        <f t="shared" ref="DP89:DR89" si="230">DP65</f>
        <v>0</v>
      </c>
      <c r="DQ89" s="217">
        <f t="shared" si="230"/>
        <v>0</v>
      </c>
      <c r="DR89" s="217">
        <f t="shared" si="230"/>
        <v>0</v>
      </c>
      <c r="DS89" s="332">
        <f>SUM(DO89:DR89)</f>
        <v>0</v>
      </c>
      <c r="DT89" s="217">
        <f>DT65</f>
        <v>0</v>
      </c>
      <c r="DU89" s="217">
        <f t="shared" ref="DU89:DW89" si="231">DU65</f>
        <v>0</v>
      </c>
      <c r="DV89" s="217">
        <f t="shared" si="231"/>
        <v>0</v>
      </c>
      <c r="DW89" s="217">
        <f t="shared" si="231"/>
        <v>0</v>
      </c>
      <c r="DX89" s="332">
        <f>SUM(DT89:DW89)</f>
        <v>0</v>
      </c>
      <c r="DY89" s="21"/>
      <c r="DZ89" s="21"/>
      <c r="EA89" s="21"/>
      <c r="EB89" s="266"/>
      <c r="EC89" s="312"/>
      <c r="ED89" s="312"/>
      <c r="EE89" s="312"/>
      <c r="EF89" s="312"/>
      <c r="EG89" s="312"/>
      <c r="EH89" s="312"/>
      <c r="EI89" s="312"/>
      <c r="EJ89" s="312"/>
      <c r="EK89" s="312"/>
      <c r="EL89" s="359"/>
      <c r="EM89" s="16"/>
      <c r="EN89" s="16"/>
      <c r="EU89" s="16"/>
      <c r="EV89" s="16"/>
      <c r="EW89" s="16"/>
      <c r="EX89" s="16"/>
      <c r="EY89" s="16"/>
      <c r="EZ89" s="16"/>
      <c r="FA89" s="16"/>
      <c r="FB89" s="16"/>
      <c r="FC89" s="16"/>
      <c r="FD89" s="16"/>
      <c r="FE89" s="16"/>
      <c r="FF89" s="16"/>
      <c r="FG89" s="16"/>
      <c r="FH89" s="16"/>
      <c r="FI89" s="16"/>
      <c r="FJ89" s="16"/>
    </row>
    <row r="90" spans="1:166" x14ac:dyDescent="0.2">
      <c r="A90" s="170" t="s">
        <v>418</v>
      </c>
      <c r="B90" s="65"/>
      <c r="C90" s="65"/>
      <c r="D90" s="65"/>
      <c r="E90" s="65"/>
      <c r="F90" s="65"/>
      <c r="G90" s="65"/>
      <c r="H90" s="65"/>
      <c r="I90" s="65"/>
      <c r="J90" s="65"/>
      <c r="K90" s="65"/>
      <c r="L90" s="65"/>
      <c r="M90" s="65"/>
      <c r="N90" s="65"/>
      <c r="O90" s="65"/>
      <c r="P90" s="65"/>
      <c r="Q90" s="215">
        <f>Q43</f>
        <v>-81</v>
      </c>
      <c r="R90" s="65"/>
      <c r="S90" s="65"/>
      <c r="T90" s="65"/>
      <c r="U90" s="65"/>
      <c r="V90" s="215">
        <f t="shared" ref="V90:AF90" si="232">V43</f>
        <v>-93</v>
      </c>
      <c r="W90" s="65">
        <f t="shared" si="232"/>
        <v>-13</v>
      </c>
      <c r="X90" s="65">
        <f t="shared" si="232"/>
        <v>-17</v>
      </c>
      <c r="Y90" s="65">
        <f t="shared" si="232"/>
        <v>-18</v>
      </c>
      <c r="Z90" s="65">
        <f t="shared" si="232"/>
        <v>-37</v>
      </c>
      <c r="AA90" s="215">
        <f t="shared" si="232"/>
        <v>-85</v>
      </c>
      <c r="AB90" s="65">
        <f t="shared" si="232"/>
        <v>-13</v>
      </c>
      <c r="AC90" s="65">
        <f t="shared" si="232"/>
        <v>-18</v>
      </c>
      <c r="AD90" s="65">
        <f t="shared" si="232"/>
        <v>-17</v>
      </c>
      <c r="AE90" s="65">
        <f t="shared" si="232"/>
        <v>-39</v>
      </c>
      <c r="AF90" s="215">
        <f t="shared" si="232"/>
        <v>-87</v>
      </c>
      <c r="AG90" s="65">
        <f t="shared" ref="AG90:AT90" si="233">AG43</f>
        <v>-23</v>
      </c>
      <c r="AH90" s="65">
        <f t="shared" si="233"/>
        <v>-27</v>
      </c>
      <c r="AI90" s="65">
        <f t="shared" si="233"/>
        <v>-38</v>
      </c>
      <c r="AJ90" s="65">
        <f t="shared" si="233"/>
        <v>-90</v>
      </c>
      <c r="AK90" s="215">
        <f t="shared" si="233"/>
        <v>-178</v>
      </c>
      <c r="AL90" s="65">
        <f t="shared" si="233"/>
        <v>-33</v>
      </c>
      <c r="AM90" s="65">
        <f t="shared" si="233"/>
        <v>-50</v>
      </c>
      <c r="AN90" s="65">
        <f t="shared" si="233"/>
        <v>-42</v>
      </c>
      <c r="AO90" s="65">
        <f t="shared" si="233"/>
        <v>-79</v>
      </c>
      <c r="AP90" s="215">
        <f t="shared" si="233"/>
        <v>-204</v>
      </c>
      <c r="AQ90" s="65">
        <f t="shared" si="233"/>
        <v>-31.2</v>
      </c>
      <c r="AR90" s="65">
        <f t="shared" si="233"/>
        <v>-32.599999999999994</v>
      </c>
      <c r="AS90" s="65">
        <f t="shared" si="233"/>
        <v>-26.3</v>
      </c>
      <c r="AT90" s="65">
        <f t="shared" si="233"/>
        <v>-60.200000000000017</v>
      </c>
      <c r="AU90" s="215">
        <f t="shared" ref="AU90:BA90" si="234">AU43</f>
        <v>-150.30000000000001</v>
      </c>
      <c r="AV90" s="890"/>
      <c r="AW90" s="65">
        <f t="shared" si="234"/>
        <v>-26.3</v>
      </c>
      <c r="AX90" s="65">
        <f t="shared" si="234"/>
        <v>-60.200000000000017</v>
      </c>
      <c r="AY90" s="65">
        <f t="shared" si="234"/>
        <v>-14</v>
      </c>
      <c r="AZ90" s="65">
        <f t="shared" si="234"/>
        <v>-32.6</v>
      </c>
      <c r="BA90" s="215">
        <f t="shared" si="234"/>
        <v>-133.10000000000002</v>
      </c>
      <c r="BB90" s="65">
        <f t="shared" ref="BB90:BK90" si="235">BB43</f>
        <v>-9.6999999999999993</v>
      </c>
      <c r="BC90" s="65">
        <f t="shared" si="235"/>
        <v>-13.8</v>
      </c>
      <c r="BD90" s="65">
        <f t="shared" si="235"/>
        <v>-18.5</v>
      </c>
      <c r="BE90" s="65">
        <f t="shared" si="235"/>
        <v>-40.099999999999994</v>
      </c>
      <c r="BF90" s="215">
        <f t="shared" si="235"/>
        <v>-82.1</v>
      </c>
      <c r="BG90" s="65">
        <f t="shared" si="235"/>
        <v>-16.600000000000001</v>
      </c>
      <c r="BH90" s="65">
        <f t="shared" si="235"/>
        <v>2.8000000000000007</v>
      </c>
      <c r="BI90" s="65">
        <f t="shared" si="235"/>
        <v>-23.900000000000002</v>
      </c>
      <c r="BJ90" s="65">
        <f>BJ43</f>
        <v>-32.5</v>
      </c>
      <c r="BK90" s="215">
        <f t="shared" si="235"/>
        <v>-70.2</v>
      </c>
      <c r="BL90" s="65">
        <f>BL43</f>
        <v>-7.3</v>
      </c>
      <c r="BM90" s="65">
        <f t="shared" ref="BM90:BU90" si="236">BM43</f>
        <v>-1.2999999999999998</v>
      </c>
      <c r="BN90" s="65">
        <f t="shared" si="236"/>
        <v>-2.2000000000000011</v>
      </c>
      <c r="BO90" s="65">
        <f t="shared" si="236"/>
        <v>-14.7</v>
      </c>
      <c r="BP90" s="215">
        <f t="shared" si="236"/>
        <v>-25.5</v>
      </c>
      <c r="BQ90" s="65">
        <f t="shared" si="236"/>
        <v>-3.4</v>
      </c>
      <c r="BR90" s="65">
        <f t="shared" si="236"/>
        <v>-3.8000000000000003</v>
      </c>
      <c r="BS90" s="65">
        <f t="shared" si="236"/>
        <v>-3.4999999999999987</v>
      </c>
      <c r="BT90" s="65">
        <f t="shared" si="236"/>
        <v>-20.2</v>
      </c>
      <c r="BU90" s="215">
        <f t="shared" si="236"/>
        <v>-30.9</v>
      </c>
      <c r="BV90" s="65">
        <f t="shared" ref="BV90:DA90" si="237">BV43</f>
        <v>-29.4</v>
      </c>
      <c r="BW90" s="1385">
        <f t="shared" si="237"/>
        <v>-27.6</v>
      </c>
      <c r="BX90" s="65">
        <f t="shared" si="237"/>
        <v>-25.900000000000006</v>
      </c>
      <c r="BY90" s="65">
        <f t="shared" si="237"/>
        <v>-32.399999999999991</v>
      </c>
      <c r="BZ90" s="215">
        <f t="shared" si="237"/>
        <v>-115.3</v>
      </c>
      <c r="CA90" s="65">
        <f t="shared" ref="CA90:CB90" si="238">CA43</f>
        <v>-5.6</v>
      </c>
      <c r="CB90" s="65">
        <f t="shared" si="238"/>
        <v>-7.2000000000000011</v>
      </c>
      <c r="CC90" s="65">
        <f t="shared" si="237"/>
        <v>-5.3999999999999986</v>
      </c>
      <c r="CD90" s="65">
        <f t="shared" si="237"/>
        <v>-15.500000000000002</v>
      </c>
      <c r="CE90" s="215">
        <f t="shared" si="237"/>
        <v>-33.700000000000003</v>
      </c>
      <c r="CF90" s="65">
        <f t="shared" si="237"/>
        <v>-4.0999999999999996</v>
      </c>
      <c r="CG90" s="65">
        <f t="shared" si="237"/>
        <v>-7.6</v>
      </c>
      <c r="CH90" s="65">
        <f t="shared" si="237"/>
        <v>-5.1999999999999993</v>
      </c>
      <c r="CI90" s="65">
        <f t="shared" si="237"/>
        <v>-19.800000000000004</v>
      </c>
      <c r="CJ90" s="215">
        <f t="shared" si="237"/>
        <v>-36.700000000000003</v>
      </c>
      <c r="CK90" s="65">
        <f t="shared" si="237"/>
        <v>-7</v>
      </c>
      <c r="CL90" s="217">
        <f t="shared" si="237"/>
        <v>-9.1905064760637423</v>
      </c>
      <c r="CM90" s="217">
        <f t="shared" si="237"/>
        <v>-6.1525352603045249</v>
      </c>
      <c r="CN90" s="217">
        <f t="shared" si="237"/>
        <v>-23.425758476312211</v>
      </c>
      <c r="CO90" s="332">
        <f t="shared" si="237"/>
        <v>-45.768800212680475</v>
      </c>
      <c r="CP90" s="217">
        <f t="shared" si="237"/>
        <v>-5.4475050719530644</v>
      </c>
      <c r="CQ90" s="217">
        <f t="shared" si="237"/>
        <v>-9.7754559732166264</v>
      </c>
      <c r="CR90" s="217">
        <f t="shared" si="237"/>
        <v>-6.5453455124811537</v>
      </c>
      <c r="CS90" s="217">
        <f t="shared" si="237"/>
        <v>-25.003331463808514</v>
      </c>
      <c r="CT90" s="332">
        <f t="shared" si="237"/>
        <v>-46.77163802145936</v>
      </c>
      <c r="CU90" s="217">
        <f t="shared" si="237"/>
        <v>-5.8736801189142582</v>
      </c>
      <c r="CV90" s="217">
        <f t="shared" si="237"/>
        <v>-10.424107022432043</v>
      </c>
      <c r="CW90" s="217">
        <f t="shared" si="237"/>
        <v>-6.9897308560112013</v>
      </c>
      <c r="CX90" s="217">
        <f t="shared" si="237"/>
        <v>-26.744617478124308</v>
      </c>
      <c r="CY90" s="332">
        <f t="shared" si="237"/>
        <v>-50.032135475481809</v>
      </c>
      <c r="CZ90" s="217">
        <f t="shared" si="237"/>
        <v>-6.3326312187712936</v>
      </c>
      <c r="DA90" s="217">
        <f t="shared" si="237"/>
        <v>-11.078682505153202</v>
      </c>
      <c r="DB90" s="217">
        <f t="shared" ref="DB90:DS90" si="239">DB43</f>
        <v>-7.553268545760548</v>
      </c>
      <c r="DC90" s="217">
        <f t="shared" si="239"/>
        <v>-28.904154607024246</v>
      </c>
      <c r="DD90" s="332">
        <f t="shared" si="239"/>
        <v>-53.868736876709292</v>
      </c>
      <c r="DE90" s="217">
        <f t="shared" si="239"/>
        <v>-6.7445945252227411</v>
      </c>
      <c r="DF90" s="217">
        <f t="shared" si="239"/>
        <v>-11.807710731313238</v>
      </c>
      <c r="DG90" s="217">
        <f t="shared" si="239"/>
        <v>-8.061006791977805</v>
      </c>
      <c r="DH90" s="217">
        <f t="shared" si="239"/>
        <v>-30.858533454629036</v>
      </c>
      <c r="DI90" s="332">
        <f t="shared" si="239"/>
        <v>-57.471845503142816</v>
      </c>
      <c r="DJ90" s="217">
        <f t="shared" si="239"/>
        <v>-7.2003163465998012</v>
      </c>
      <c r="DK90" s="217">
        <f t="shared" si="239"/>
        <v>-12.596204315092022</v>
      </c>
      <c r="DL90" s="217">
        <f t="shared" si="239"/>
        <v>-8.6004304294684157</v>
      </c>
      <c r="DM90" s="217">
        <f t="shared" si="239"/>
        <v>-32.9198517610415</v>
      </c>
      <c r="DN90" s="332">
        <f t="shared" si="239"/>
        <v>-61.316802852201739</v>
      </c>
      <c r="DO90" s="217">
        <f t="shared" si="239"/>
        <v>-7.7642821716410078</v>
      </c>
      <c r="DP90" s="217">
        <f t="shared" si="239"/>
        <v>-13.421706150431895</v>
      </c>
      <c r="DQ90" s="217">
        <f t="shared" si="239"/>
        <v>-9.164773652076315</v>
      </c>
      <c r="DR90" s="217">
        <f t="shared" si="239"/>
        <v>-35.077334242206049</v>
      </c>
      <c r="DS90" s="332">
        <f t="shared" si="239"/>
        <v>-65.428096216355272</v>
      </c>
      <c r="DT90" s="217">
        <f t="shared" ref="DT90:DX90" si="240">DT43</f>
        <v>-8.1797983219764543</v>
      </c>
      <c r="DU90" s="217">
        <f t="shared" si="240"/>
        <v>-14.28487398801842</v>
      </c>
      <c r="DV90" s="217">
        <f t="shared" si="240"/>
        <v>-9.7551209290574672</v>
      </c>
      <c r="DW90" s="217">
        <f t="shared" si="240"/>
        <v>-37.335120243995625</v>
      </c>
      <c r="DX90" s="332">
        <f t="shared" si="240"/>
        <v>-69.554913483047969</v>
      </c>
      <c r="DY90" s="21"/>
      <c r="DZ90" s="21"/>
      <c r="EA90" s="21"/>
      <c r="EB90" s="266">
        <f>SUM(AC90,AB90,Z90,Y90)</f>
        <v>-86</v>
      </c>
      <c r="EC90" s="312">
        <f>SUM(AD90,AE90,AG90,AH90)</f>
        <v>-106</v>
      </c>
      <c r="ED90" s="312">
        <f>SUM(AI90,AJ90,AL90,AM90)</f>
        <v>-211</v>
      </c>
      <c r="EE90" s="312">
        <f>SUM(AN90,AO90,AQ90,AR90)</f>
        <v>-184.79999999999998</v>
      </c>
      <c r="EF90" s="312">
        <f>BA90</f>
        <v>-133.10000000000002</v>
      </c>
      <c r="EG90" s="312">
        <f>BF90</f>
        <v>-82.1</v>
      </c>
      <c r="EH90" s="312">
        <f>BK90</f>
        <v>-70.2</v>
      </c>
      <c r="EI90" s="312">
        <f>BP90</f>
        <v>-25.5</v>
      </c>
      <c r="EJ90" s="312">
        <f>BU90</f>
        <v>-30.9</v>
      </c>
      <c r="EK90" s="312">
        <f>BZ90</f>
        <v>-115.3</v>
      </c>
      <c r="EL90" s="359">
        <f>CE90</f>
        <v>-33.700000000000003</v>
      </c>
      <c r="EM90" s="16"/>
      <c r="EN90" s="16"/>
      <c r="EU90" s="16"/>
      <c r="EV90" s="16"/>
      <c r="EW90" s="16"/>
      <c r="EX90" s="16"/>
      <c r="EY90" s="16"/>
      <c r="EZ90" s="16"/>
      <c r="FA90" s="16"/>
      <c r="FB90" s="16"/>
      <c r="FC90" s="16"/>
      <c r="FD90" s="16"/>
      <c r="FE90" s="16"/>
      <c r="FF90" s="16"/>
      <c r="FG90" s="16"/>
      <c r="FH90" s="16"/>
      <c r="FI90" s="16"/>
      <c r="FJ90" s="16"/>
    </row>
    <row r="91" spans="1:166" x14ac:dyDescent="0.2">
      <c r="A91" s="676" t="s">
        <v>407</v>
      </c>
      <c r="B91" s="322"/>
      <c r="C91" s="322"/>
      <c r="D91" s="322"/>
      <c r="E91" s="322"/>
      <c r="F91" s="322"/>
      <c r="G91" s="322"/>
      <c r="H91" s="322"/>
      <c r="I91" s="322"/>
      <c r="J91" s="322"/>
      <c r="K91" s="322"/>
      <c r="L91" s="322"/>
      <c r="M91" s="322"/>
      <c r="N91" s="322"/>
      <c r="O91" s="322"/>
      <c r="P91" s="322"/>
      <c r="Q91" s="329">
        <f>Q90+Q88</f>
        <v>118</v>
      </c>
      <c r="R91" s="322"/>
      <c r="S91" s="322"/>
      <c r="T91" s="322"/>
      <c r="U91" s="322"/>
      <c r="V91" s="329">
        <f t="shared" ref="V91:AF91" si="241">V90+V88</f>
        <v>125</v>
      </c>
      <c r="W91" s="322">
        <f t="shared" si="241"/>
        <v>-91</v>
      </c>
      <c r="X91" s="322">
        <f t="shared" si="241"/>
        <v>63</v>
      </c>
      <c r="Y91" s="322">
        <f t="shared" si="241"/>
        <v>1</v>
      </c>
      <c r="Z91" s="322">
        <f t="shared" si="241"/>
        <v>15</v>
      </c>
      <c r="AA91" s="329">
        <f t="shared" si="241"/>
        <v>-11</v>
      </c>
      <c r="AB91" s="322">
        <f t="shared" si="241"/>
        <v>-60</v>
      </c>
      <c r="AC91" s="322">
        <f t="shared" si="241"/>
        <v>27</v>
      </c>
      <c r="AD91" s="322">
        <f t="shared" si="241"/>
        <v>31</v>
      </c>
      <c r="AE91" s="322">
        <f t="shared" si="241"/>
        <v>32</v>
      </c>
      <c r="AF91" s="329">
        <f t="shared" si="241"/>
        <v>30</v>
      </c>
      <c r="AG91" s="322">
        <f t="shared" ref="AG91:BA91" si="242">AG90+AG88</f>
        <v>18</v>
      </c>
      <c r="AH91" s="322">
        <f t="shared" si="242"/>
        <v>51</v>
      </c>
      <c r="AI91" s="322">
        <f t="shared" si="242"/>
        <v>-7</v>
      </c>
      <c r="AJ91" s="322">
        <f t="shared" si="242"/>
        <v>3</v>
      </c>
      <c r="AK91" s="329">
        <f t="shared" si="242"/>
        <v>65</v>
      </c>
      <c r="AL91" s="322">
        <f t="shared" si="242"/>
        <v>19</v>
      </c>
      <c r="AM91" s="322">
        <f t="shared" si="242"/>
        <v>27</v>
      </c>
      <c r="AN91" s="322">
        <f t="shared" si="242"/>
        <v>40</v>
      </c>
      <c r="AO91" s="322">
        <f t="shared" si="242"/>
        <v>20.799999999999997</v>
      </c>
      <c r="AP91" s="329">
        <f t="shared" si="242"/>
        <v>106.80000000000001</v>
      </c>
      <c r="AQ91" s="322">
        <f t="shared" si="242"/>
        <v>16.800000000000022</v>
      </c>
      <c r="AR91" s="322">
        <f t="shared" si="242"/>
        <v>41.5</v>
      </c>
      <c r="AS91" s="322">
        <f t="shared" si="242"/>
        <v>50.90000000000002</v>
      </c>
      <c r="AT91" s="322">
        <f t="shared" si="242"/>
        <v>50.899999999999963</v>
      </c>
      <c r="AU91" s="329">
        <f t="shared" si="242"/>
        <v>160.09999999999991</v>
      </c>
      <c r="AV91" s="272"/>
      <c r="AW91" s="322">
        <f>AW90+AW88</f>
        <v>50.90000000000002</v>
      </c>
      <c r="AX91" s="322">
        <f>AX90+AX88</f>
        <v>50.899999999999963</v>
      </c>
      <c r="AY91" s="322">
        <f t="shared" si="242"/>
        <v>68.100000000000009</v>
      </c>
      <c r="AZ91" s="322">
        <f t="shared" si="242"/>
        <v>-119.9</v>
      </c>
      <c r="BA91" s="329">
        <f t="shared" si="242"/>
        <v>50.000000000000028</v>
      </c>
      <c r="BB91" s="322">
        <f t="shared" ref="BB91:BL91" si="243">BB90+BB88</f>
        <v>55.5</v>
      </c>
      <c r="BC91" s="322">
        <f t="shared" si="243"/>
        <v>15.899999999999995</v>
      </c>
      <c r="BD91" s="322">
        <f t="shared" si="243"/>
        <v>201.3</v>
      </c>
      <c r="BE91" s="322">
        <f t="shared" si="243"/>
        <v>51.400000000000034</v>
      </c>
      <c r="BF91" s="329">
        <f t="shared" si="243"/>
        <v>324.10000000000002</v>
      </c>
      <c r="BG91" s="322">
        <f t="shared" si="243"/>
        <v>22.699999999999967</v>
      </c>
      <c r="BH91" s="322">
        <f t="shared" si="243"/>
        <v>0.40000000000002078</v>
      </c>
      <c r="BI91" s="322">
        <f t="shared" si="243"/>
        <v>83.799999999999983</v>
      </c>
      <c r="BJ91" s="322">
        <f t="shared" si="243"/>
        <v>47.30000000000004</v>
      </c>
      <c r="BK91" s="329">
        <f t="shared" si="243"/>
        <v>154.19999999999999</v>
      </c>
      <c r="BL91" s="322">
        <f t="shared" si="243"/>
        <v>71.600000000000009</v>
      </c>
      <c r="BM91" s="322">
        <f t="shared" ref="BM91:BU91" si="244">BM90+BM88</f>
        <v>49.999999999999986</v>
      </c>
      <c r="BN91" s="322">
        <f t="shared" si="244"/>
        <v>135.29999999999998</v>
      </c>
      <c r="BO91" s="322">
        <f t="shared" si="244"/>
        <v>42.8</v>
      </c>
      <c r="BP91" s="329">
        <f t="shared" si="244"/>
        <v>299.69999999999993</v>
      </c>
      <c r="BQ91" s="322">
        <f t="shared" si="244"/>
        <v>121.89999999999998</v>
      </c>
      <c r="BR91" s="322">
        <f t="shared" si="244"/>
        <v>84.000000000000028</v>
      </c>
      <c r="BS91" s="322">
        <f t="shared" si="244"/>
        <v>159</v>
      </c>
      <c r="BT91" s="322">
        <f t="shared" si="244"/>
        <v>-136.49999999999994</v>
      </c>
      <c r="BU91" s="329">
        <f t="shared" si="244"/>
        <v>228.40000000000006</v>
      </c>
      <c r="BV91" s="322">
        <f>BV90+BV89+BV88</f>
        <v>164.80000000000004</v>
      </c>
      <c r="BW91" s="1414">
        <f t="shared" ref="BW91:DX91" si="245">BW90+BW89+BW88</f>
        <v>151.4</v>
      </c>
      <c r="BX91" s="322">
        <f t="shared" si="245"/>
        <v>348.79999999999995</v>
      </c>
      <c r="BY91" s="322">
        <f t="shared" si="245"/>
        <v>154.5</v>
      </c>
      <c r="BZ91" s="329">
        <f t="shared" si="245"/>
        <v>819.5</v>
      </c>
      <c r="CA91" s="322">
        <f>CA90+CA89+CA88</f>
        <v>110.19999999999999</v>
      </c>
      <c r="CB91" s="322">
        <f t="shared" ref="CB91" si="246">CB90+CB89+CB88</f>
        <v>247.30000000000007</v>
      </c>
      <c r="CC91" s="322">
        <f t="shared" si="245"/>
        <v>340.80000000000007</v>
      </c>
      <c r="CD91" s="322">
        <f t="shared" si="245"/>
        <v>267</v>
      </c>
      <c r="CE91" s="329">
        <f t="shared" si="245"/>
        <v>965.3</v>
      </c>
      <c r="CF91" s="322">
        <f t="shared" si="245"/>
        <v>271.50000000000006</v>
      </c>
      <c r="CG91" s="322">
        <f t="shared" si="245"/>
        <v>197.8</v>
      </c>
      <c r="CH91" s="322">
        <f t="shared" si="245"/>
        <v>327.3</v>
      </c>
      <c r="CI91" s="322">
        <f t="shared" si="245"/>
        <v>548.70000000000016</v>
      </c>
      <c r="CJ91" s="329">
        <f t="shared" si="245"/>
        <v>1345.3000000000002</v>
      </c>
      <c r="CK91" s="322">
        <f t="shared" si="245"/>
        <v>-118.00000000000001</v>
      </c>
      <c r="CL91" s="340">
        <f t="shared" si="245"/>
        <v>308.79277894506731</v>
      </c>
      <c r="CM91" s="340">
        <f t="shared" si="245"/>
        <v>317.87993901011282</v>
      </c>
      <c r="CN91" s="340">
        <f t="shared" si="245"/>
        <v>742.7691816995457</v>
      </c>
      <c r="CO91" s="333">
        <f t="shared" si="245"/>
        <v>1251.4418996547258</v>
      </c>
      <c r="CP91" s="340">
        <f t="shared" si="245"/>
        <v>16.882456419228046</v>
      </c>
      <c r="CQ91" s="340">
        <f t="shared" si="245"/>
        <v>262.74918695520347</v>
      </c>
      <c r="CR91" s="340">
        <f t="shared" si="245"/>
        <v>373.7747181664933</v>
      </c>
      <c r="CS91" s="340">
        <f t="shared" si="245"/>
        <v>821.99878049888116</v>
      </c>
      <c r="CT91" s="333">
        <f t="shared" si="245"/>
        <v>1475.4051420398059</v>
      </c>
      <c r="CU91" s="340">
        <f t="shared" si="245"/>
        <v>41.967992677848478</v>
      </c>
      <c r="CV91" s="340">
        <f t="shared" si="245"/>
        <v>310.51324969880909</v>
      </c>
      <c r="CW91" s="340">
        <f t="shared" si="245"/>
        <v>431.59253394739784</v>
      </c>
      <c r="CX91" s="340">
        <f t="shared" si="245"/>
        <v>908.08855172576523</v>
      </c>
      <c r="CY91" s="333">
        <f t="shared" si="245"/>
        <v>1692.1623280498209</v>
      </c>
      <c r="CZ91" s="340">
        <f t="shared" si="245"/>
        <v>93.309965899667958</v>
      </c>
      <c r="DA91" s="340">
        <f t="shared" si="245"/>
        <v>354.710109147629</v>
      </c>
      <c r="DB91" s="340">
        <f t="shared" si="245"/>
        <v>491.75575591278329</v>
      </c>
      <c r="DC91" s="340">
        <f t="shared" si="245"/>
        <v>980.89546717340215</v>
      </c>
      <c r="DD91" s="333">
        <f t="shared" si="245"/>
        <v>1920.6712981334824</v>
      </c>
      <c r="DE91" s="340">
        <f t="shared" si="245"/>
        <v>130.4605435578809</v>
      </c>
      <c r="DF91" s="340">
        <f t="shared" si="245"/>
        <v>414.60071600735517</v>
      </c>
      <c r="DG91" s="340">
        <f t="shared" si="245"/>
        <v>560.72265686997241</v>
      </c>
      <c r="DH91" s="340">
        <f t="shared" si="245"/>
        <v>1108.7893322661753</v>
      </c>
      <c r="DI91" s="333">
        <f t="shared" si="245"/>
        <v>2214.5732487013834</v>
      </c>
      <c r="DJ91" s="340">
        <f t="shared" si="245"/>
        <v>169.12636987902178</v>
      </c>
      <c r="DK91" s="340">
        <f t="shared" si="245"/>
        <v>473.95372449319956</v>
      </c>
      <c r="DL91" s="340">
        <f t="shared" si="245"/>
        <v>630.03347339552181</v>
      </c>
      <c r="DM91" s="340">
        <f t="shared" si="245"/>
        <v>1211.6010321174665</v>
      </c>
      <c r="DN91" s="333">
        <f t="shared" si="245"/>
        <v>2484.7145998852093</v>
      </c>
      <c r="DO91" s="340">
        <f t="shared" si="245"/>
        <v>188.19903006002733</v>
      </c>
      <c r="DP91" s="340">
        <f t="shared" si="245"/>
        <v>494.36284688977281</v>
      </c>
      <c r="DQ91" s="340">
        <f t="shared" si="245"/>
        <v>671.74622563033506</v>
      </c>
      <c r="DR91" s="340">
        <f t="shared" si="245"/>
        <v>1301.2020739617278</v>
      </c>
      <c r="DS91" s="333">
        <f t="shared" si="245"/>
        <v>2655.5101765418626</v>
      </c>
      <c r="DT91" s="340">
        <f t="shared" si="245"/>
        <v>214.75604624639689</v>
      </c>
      <c r="DU91" s="340">
        <f t="shared" si="245"/>
        <v>553.97629409791261</v>
      </c>
      <c r="DV91" s="340">
        <f t="shared" si="245"/>
        <v>728.45236679155801</v>
      </c>
      <c r="DW91" s="340">
        <f t="shared" si="245"/>
        <v>1396.8560164672474</v>
      </c>
      <c r="DX91" s="333">
        <f t="shared" si="245"/>
        <v>2894.0407236031147</v>
      </c>
      <c r="DY91" s="37"/>
      <c r="DZ91" s="37"/>
      <c r="EA91" s="37"/>
      <c r="EB91" s="421">
        <f>SUM(AC91,AB91,Z91,Y91)</f>
        <v>-17</v>
      </c>
      <c r="EC91" s="489">
        <f>SUM(AD91,AE91,AG91,AH91)</f>
        <v>132</v>
      </c>
      <c r="ED91" s="489">
        <f>SUM(AI91,AJ91,AL91,AM91)</f>
        <v>42</v>
      </c>
      <c r="EE91" s="489">
        <f>SUM(AN91,AO91,AQ91,AR91)</f>
        <v>119.10000000000002</v>
      </c>
      <c r="EF91" s="489">
        <f>BA91</f>
        <v>50.000000000000028</v>
      </c>
      <c r="EG91" s="489">
        <f>BF91</f>
        <v>324.10000000000002</v>
      </c>
      <c r="EH91" s="489">
        <f>BK91</f>
        <v>154.19999999999999</v>
      </c>
      <c r="EI91" s="489">
        <f>BP91</f>
        <v>299.69999999999993</v>
      </c>
      <c r="EJ91" s="489">
        <f>BU91</f>
        <v>228.40000000000006</v>
      </c>
      <c r="EK91" s="489">
        <f>BZ91</f>
        <v>819.5</v>
      </c>
      <c r="EL91" s="754">
        <f>CE91</f>
        <v>965.3</v>
      </c>
      <c r="EM91" s="37"/>
      <c r="EN91" s="37"/>
      <c r="EU91" s="37"/>
      <c r="EV91" s="37"/>
      <c r="EW91" s="37"/>
      <c r="EX91" s="37"/>
      <c r="EY91" s="37"/>
      <c r="EZ91" s="37"/>
      <c r="FA91" s="37"/>
      <c r="FB91" s="37"/>
      <c r="FC91" s="37"/>
      <c r="FD91" s="37"/>
      <c r="FE91" s="37"/>
      <c r="FF91" s="37"/>
      <c r="FG91" s="37"/>
      <c r="FH91" s="37"/>
      <c r="FI91" s="37"/>
      <c r="FJ91" s="37"/>
    </row>
    <row r="92" spans="1:166" x14ac:dyDescent="0.2">
      <c r="A92" s="1772" t="s">
        <v>419</v>
      </c>
      <c r="B92" s="29"/>
      <c r="C92" s="29"/>
      <c r="D92" s="29"/>
      <c r="E92" s="29"/>
      <c r="F92" s="29"/>
      <c r="G92" s="29"/>
      <c r="H92" s="29"/>
      <c r="I92" s="29"/>
      <c r="J92" s="29"/>
      <c r="K92" s="29"/>
      <c r="L92" s="29"/>
      <c r="M92" s="29"/>
      <c r="N92" s="29"/>
      <c r="O92" s="29"/>
      <c r="P92" s="29"/>
      <c r="Q92" s="1773">
        <f>Q91/IS!Q67</f>
        <v>0.89004173262372466</v>
      </c>
      <c r="R92" s="1774">
        <f>R91/IS!R67</f>
        <v>0</v>
      </c>
      <c r="S92" s="1774">
        <f>S91/IS!S67</f>
        <v>0</v>
      </c>
      <c r="T92" s="1774">
        <f>T91/IS!T67</f>
        <v>0</v>
      </c>
      <c r="U92" s="1774">
        <f>U91/IS!U67</f>
        <v>0</v>
      </c>
      <c r="V92" s="1773">
        <f>V91/IS!V67</f>
        <v>1.1693171188026192</v>
      </c>
      <c r="W92" s="1774">
        <f>W91/IS!W67</f>
        <v>-0.67208271787296892</v>
      </c>
      <c r="X92" s="1774">
        <f>X91/IS!X67</f>
        <v>0.46494464944649444</v>
      </c>
      <c r="Y92" s="1774"/>
      <c r="Z92" s="1774">
        <f>Z91/IS!Z67</f>
        <v>0.1245681636991762</v>
      </c>
      <c r="AA92" s="1773">
        <f>AA91/IS!AA66</f>
        <v>-9.592158846150492E-2</v>
      </c>
      <c r="AB92" s="1774">
        <f>AB91/IS!AB67</f>
        <v>-0.44150110375275936</v>
      </c>
      <c r="AC92" s="1774">
        <f>AC91/IS!AC67</f>
        <v>0.19780219780219779</v>
      </c>
      <c r="AD92" s="1774">
        <f>AD91/IS!AD67</f>
        <v>0.22594752186588923</v>
      </c>
      <c r="AE92" s="1774">
        <f>AE91/IS!AE67</f>
        <v>0.23255813953488372</v>
      </c>
      <c r="AF92" s="1775">
        <f>SUM(AB92:AE92)</f>
        <v>0.21480675545021138</v>
      </c>
      <c r="AG92" s="1774">
        <f>AG91/IS!AG67</f>
        <v>0.13071895424836602</v>
      </c>
      <c r="AH92" s="1774">
        <f>AH91/IS!AH67</f>
        <v>0.36983321247280637</v>
      </c>
      <c r="AI92" s="1774">
        <f>AI91/IS!AI67</f>
        <v>-5.0909090909090911E-2</v>
      </c>
      <c r="AJ92" s="1774">
        <f>AJ91/IS!AJ67</f>
        <v>2.1849963583394028E-2</v>
      </c>
      <c r="AK92" s="1775">
        <f>SUM(AG92:AJ92)</f>
        <v>0.47149303939547554</v>
      </c>
      <c r="AL92" s="1774">
        <f>AL91/IS!AL67</f>
        <v>0.13838310269482884</v>
      </c>
      <c r="AM92" s="1774">
        <f>AM91/IS!AM67</f>
        <v>0.19783500942694809</v>
      </c>
      <c r="AN92" s="1774">
        <f>AN91/IS!AN67</f>
        <v>0.29261155815654721</v>
      </c>
      <c r="AO92" s="1774">
        <f>AO91/IS!AO67</f>
        <v>0.15215801024140452</v>
      </c>
      <c r="AP92" s="1775">
        <f>SUM(AL92:AO92)</f>
        <v>0.78098768051972867</v>
      </c>
      <c r="AQ92" s="1774">
        <f>AQ91/IS!AQ67</f>
        <v>0.12280701754385979</v>
      </c>
      <c r="AR92" s="1774">
        <f>AR91/IS!AR67</f>
        <v>0.30336257309941517</v>
      </c>
      <c r="AS92" s="1774">
        <f>AS91/IS!AW67</f>
        <v>0.37099125364431507</v>
      </c>
      <c r="AT92" s="1774">
        <f>AT91/IS!AX67</f>
        <v>0.3696441539578792</v>
      </c>
      <c r="AU92" s="1775"/>
      <c r="AV92" s="1026"/>
      <c r="AW92" s="1774"/>
      <c r="AX92" s="1774"/>
      <c r="AY92" s="1774"/>
      <c r="AZ92" s="1774"/>
      <c r="BA92" s="1775">
        <f>SUM(AR92:AY92)</f>
        <v>1.0439979807016093</v>
      </c>
      <c r="BB92" s="1774">
        <f>BB91/IS!BB67</f>
        <v>0.15934539190353145</v>
      </c>
      <c r="BC92" s="1774">
        <f>BC91/IS!BC67</f>
        <v>4.5650301464254937E-2</v>
      </c>
      <c r="BD92" s="1774">
        <f>BD91/IS!BD67</f>
        <v>0.57795004306632214</v>
      </c>
      <c r="BE92" s="1774">
        <f>BE91/IS!BE67</f>
        <v>0.1476163124641012</v>
      </c>
      <c r="BF92" s="1775">
        <f>SUM(BB92:BE92)</f>
        <v>0.93056204889820981</v>
      </c>
      <c r="BG92" s="1774">
        <f>BG91/IS!BG67</f>
        <v>6.4506962205171839E-2</v>
      </c>
      <c r="BH92" s="1774">
        <f>BH91/IS!BH67</f>
        <v>1.1280315848844352E-3</v>
      </c>
      <c r="BI92" s="1774">
        <f>BI91/IS!BI67</f>
        <v>0.23605633802816897</v>
      </c>
      <c r="BJ92" s="1774">
        <f>BJ91/IS!BJ67</f>
        <v>0.13271604938271617</v>
      </c>
      <c r="BK92" s="1776">
        <f>SUM(BG92:BJ92)</f>
        <v>0.43440738120094147</v>
      </c>
      <c r="BL92" s="447">
        <f>BL91/IS!BL67</f>
        <v>0.2005040604872585</v>
      </c>
      <c r="BM92" s="447">
        <f>BM91/IS!BM67</f>
        <v>0.13978194017332957</v>
      </c>
      <c r="BN92" s="447">
        <f>BN91/IS!BN67</f>
        <v>0.37782742250767937</v>
      </c>
      <c r="BO92" s="447">
        <f>BO91/IS!BO67</f>
        <v>0.11941964285714286</v>
      </c>
      <c r="BP92" s="1776">
        <f>SUM(BL92:BO92)</f>
        <v>0.83753306602541033</v>
      </c>
      <c r="BQ92" s="447">
        <f>BQ91/IS!BQ67</f>
        <v>0.33936525612472157</v>
      </c>
      <c r="BR92" s="447">
        <f>BR91/IS!BR67</f>
        <v>0.23372287145242079</v>
      </c>
      <c r="BS92" s="447">
        <f>BS91/IS!BS67</f>
        <v>0.44265033407572385</v>
      </c>
      <c r="BT92" s="447">
        <f>BT91/IS!BT67</f>
        <v>-0.36235731351207845</v>
      </c>
      <c r="BU92" s="1776">
        <f>SUM(BQ92:BT92)</f>
        <v>0.65338114814078774</v>
      </c>
      <c r="BV92" s="447">
        <f>BV91/IS!CA67</f>
        <v>0.35273972602739734</v>
      </c>
      <c r="BW92" s="1777">
        <f>BW91/IS!CB67</f>
        <v>0.31780016792611254</v>
      </c>
      <c r="BX92" s="447">
        <f>BX91/IS!CC67</f>
        <v>0.73200419727177324</v>
      </c>
      <c r="BY92" s="447">
        <f>BY91/IS!CD67</f>
        <v>0.32546871708447439</v>
      </c>
      <c r="BZ92" s="1776">
        <f>SUM(BV92:BY92)</f>
        <v>1.7280128083097575</v>
      </c>
      <c r="CA92" s="447">
        <f>CA91/IS!CF67</f>
        <v>0.23526900085397096</v>
      </c>
      <c r="CB92" s="447">
        <f>CB91/IS!CG67</f>
        <v>0.5260582854711765</v>
      </c>
      <c r="CC92" s="447">
        <f>CC91/IS!CH67</f>
        <v>0.7241818954526138</v>
      </c>
      <c r="CD92" s="447">
        <f>CD91/IS!CI67</f>
        <v>0.56711979609175867</v>
      </c>
      <c r="CE92" s="1776">
        <f>SUM(CA92:CD92)</f>
        <v>2.0526289778695199</v>
      </c>
      <c r="CF92" s="447">
        <f>CF91/IS!CK67</f>
        <v>0.56977964323189934</v>
      </c>
      <c r="CG92" s="447">
        <f>CG91/IS!CL67</f>
        <v>0.41380753138075316</v>
      </c>
      <c r="CH92" s="447">
        <f>CH91/IS!CM67</f>
        <v>0.68386961972419558</v>
      </c>
      <c r="CI92" s="447">
        <f>CI91/IS!CN67</f>
        <v>1.1522469550608991</v>
      </c>
      <c r="CJ92" s="1776">
        <f>SUM(CF92:CI92)</f>
        <v>2.819703749397747</v>
      </c>
      <c r="CK92" s="447">
        <f>CK91/IS!CP67</f>
        <v>-0.24899767883519733</v>
      </c>
      <c r="CL92" s="1778">
        <f>CL91/IS!CQ67</f>
        <v>0.64761011367479526</v>
      </c>
      <c r="CM92" s="1778">
        <f>CM91/IS!CR67</f>
        <v>0.66762458886303044</v>
      </c>
      <c r="CN92" s="1778">
        <f>CN91/IS!CS67</f>
        <v>1.5628936041674903</v>
      </c>
      <c r="CO92" s="1779">
        <f>SUM(CK92:CN92)</f>
        <v>2.6291306278701185</v>
      </c>
      <c r="CP92" s="1778">
        <f>CP91/IS!CU67</f>
        <v>3.5472132889624516E-2</v>
      </c>
      <c r="CQ92" s="1778">
        <f>CQ91/IS!CV67</f>
        <v>0.55107297754863327</v>
      </c>
      <c r="CR92" s="1778">
        <f>CR91/IS!CW67</f>
        <v>0.78513251606200496</v>
      </c>
      <c r="CS92" s="1778">
        <f>CS91/IS!CX67</f>
        <v>1.7300287161807666</v>
      </c>
      <c r="CT92" s="1779">
        <f>SUM(CP92:CS92)</f>
        <v>3.1017063426810294</v>
      </c>
      <c r="CU92" s="1778">
        <f>CU91/IS!CZ67</f>
        <v>8.8192921321635961E-2</v>
      </c>
      <c r="CV92" s="1778">
        <f>CV91/IS!DA67</f>
        <v>0.65128461636912827</v>
      </c>
      <c r="CW92" s="1778">
        <f>CW91/IS!DB67</f>
        <v>0.9067256904885258</v>
      </c>
      <c r="CX92" s="1778">
        <f>CX91/IS!DC67</f>
        <v>1.9117253433428325</v>
      </c>
      <c r="CY92" s="1779">
        <f>SUM(CU92:CX92)</f>
        <v>3.5579285715221225</v>
      </c>
      <c r="CZ92" s="1778">
        <f>CZ91/IS!DE67</f>
        <v>0.19611578339762645</v>
      </c>
      <c r="DA92" s="1778">
        <f>DA91/IS!DF67</f>
        <v>0.74402758248303236</v>
      </c>
      <c r="DB92" s="1778">
        <f>DB91/IS!DG67</f>
        <v>1.033298823074337</v>
      </c>
      <c r="DC92" s="1778">
        <f>DC91/IS!DH67</f>
        <v>2.0655914624250218</v>
      </c>
      <c r="DD92" s="1779">
        <f>SUM(CZ92:DC92)</f>
        <v>4.0390336513800174</v>
      </c>
      <c r="DE92" s="1778">
        <f>DE91/IS!DJ67</f>
        <v>0.27424468313000866</v>
      </c>
      <c r="DF92" s="1778">
        <f>DF91/IS!DK67</f>
        <v>0.86970564433818442</v>
      </c>
      <c r="DG92" s="1778">
        <f>DG91/IS!DL67</f>
        <v>1.1784334076213385</v>
      </c>
      <c r="DH92" s="1778">
        <f>DH91/IS!DM67</f>
        <v>2.3356358836217419</v>
      </c>
      <c r="DI92" s="1779">
        <f>SUM(DE92:DH92)</f>
        <v>4.6580196187112737</v>
      </c>
      <c r="DJ92" s="1778">
        <f>DJ91/IS!DO67</f>
        <v>0.35559107521830891</v>
      </c>
      <c r="DK92" s="1778">
        <f>DK91/IS!DP67</f>
        <v>0.99427631867387822</v>
      </c>
      <c r="DL92" s="1778">
        <f>DL91/IS!DQ67</f>
        <v>1.3243643351886782</v>
      </c>
      <c r="DM92" s="1778">
        <f>DM91/IS!DR67</f>
        <v>2.5530594683538634</v>
      </c>
      <c r="DN92" s="1779">
        <f>SUM(DJ92:DM92)</f>
        <v>5.2272911974347291</v>
      </c>
      <c r="DO92" s="1778">
        <f>DO91/IS!DT67</f>
        <v>0.39577089603934451</v>
      </c>
      <c r="DP92" s="1778">
        <f>DP91/IS!DU67</f>
        <v>1.0371658518800122</v>
      </c>
      <c r="DQ92" s="1778">
        <f>DQ91/IS!DV67</f>
        <v>1.4123520739421398</v>
      </c>
      <c r="DR92" s="1778">
        <f>DR91/IS!DW67</f>
        <v>2.7428553807337237</v>
      </c>
      <c r="DS92" s="1779">
        <f>SUM(DO92:DR92)</f>
        <v>5.5881442025952204</v>
      </c>
      <c r="DT92" s="1778">
        <f>DT91/IS!DY67</f>
        <v>0.45171633606693606</v>
      </c>
      <c r="DU92" s="1778">
        <f>DU91/IS!DZ67</f>
        <v>1.162324242980209</v>
      </c>
      <c r="DV92" s="1778">
        <f>DV91/IS!EA67</f>
        <v>1.5319349117136243</v>
      </c>
      <c r="DW92" s="1778">
        <f>DW91/IS!EB67</f>
        <v>2.9456373984894526</v>
      </c>
      <c r="DX92" s="1779">
        <f>SUM(DT92:DW92)</f>
        <v>6.0916128892502215</v>
      </c>
      <c r="DY92" s="21"/>
      <c r="DZ92" s="21"/>
      <c r="EA92" s="21"/>
      <c r="EB92" s="58"/>
      <c r="EC92" s="173"/>
      <c r="ED92" s="173"/>
      <c r="EE92" s="173"/>
      <c r="EF92" s="16"/>
      <c r="EG92" s="16"/>
      <c r="EH92" s="16"/>
      <c r="EI92" s="16"/>
      <c r="EJ92" s="21"/>
      <c r="EK92" s="21"/>
      <c r="EL92" s="21"/>
      <c r="EM92" s="16"/>
      <c r="EN92" s="16"/>
      <c r="EU92" s="16"/>
      <c r="EV92" s="16"/>
      <c r="EW92" s="16"/>
      <c r="EX92" s="16"/>
      <c r="EY92" s="16"/>
      <c r="EZ92" s="16"/>
      <c r="FA92" s="16"/>
      <c r="FB92" s="16"/>
      <c r="FC92" s="16"/>
      <c r="FD92" s="16"/>
      <c r="FE92" s="16"/>
      <c r="FF92" s="16"/>
      <c r="FG92" s="16"/>
      <c r="FH92" s="16"/>
      <c r="FI92" s="16"/>
      <c r="FJ92" s="16"/>
    </row>
    <row r="93" spans="1:166" x14ac:dyDescent="0.2">
      <c r="A93" s="170" t="s">
        <v>420</v>
      </c>
      <c r="B93" s="16"/>
      <c r="C93" s="16"/>
      <c r="D93" s="16"/>
      <c r="E93" s="16"/>
      <c r="F93" s="16"/>
      <c r="G93" s="16"/>
      <c r="H93" s="16"/>
      <c r="I93" s="16"/>
      <c r="J93" s="16"/>
      <c r="K93" s="16"/>
      <c r="L93" s="225"/>
      <c r="M93" s="16"/>
      <c r="N93" s="16"/>
      <c r="O93" s="16"/>
      <c r="P93" s="16"/>
      <c r="Q93" s="330"/>
      <c r="R93" s="21"/>
      <c r="S93" s="21"/>
      <c r="T93" s="21"/>
      <c r="U93" s="21"/>
      <c r="V93" s="330"/>
      <c r="W93" s="16"/>
      <c r="X93" s="16"/>
      <c r="Y93" s="16"/>
      <c r="Z93" s="16"/>
      <c r="AA93" s="330"/>
      <c r="AB93" s="16"/>
      <c r="AC93" s="16"/>
      <c r="AD93" s="16"/>
      <c r="AE93" s="16"/>
      <c r="AF93" s="330"/>
      <c r="AG93" s="16"/>
      <c r="AH93" s="16"/>
      <c r="AI93" s="16"/>
      <c r="AJ93" s="16"/>
      <c r="AK93" s="330"/>
      <c r="AL93" s="16"/>
      <c r="AM93" s="16"/>
      <c r="AN93" s="16"/>
      <c r="AO93" s="16"/>
      <c r="AP93" s="330"/>
      <c r="AQ93" s="16"/>
      <c r="AR93" s="16"/>
      <c r="AS93" s="16"/>
      <c r="AT93" s="16"/>
      <c r="AU93" s="330"/>
      <c r="AV93" s="891"/>
      <c r="AW93" s="21"/>
      <c r="AX93" s="21"/>
      <c r="AY93" s="21"/>
      <c r="AZ93" s="21"/>
      <c r="BA93" s="330"/>
      <c r="BB93" s="16"/>
      <c r="BC93" s="16"/>
      <c r="BD93" s="16"/>
      <c r="BE93" s="16"/>
      <c r="BF93" s="330"/>
      <c r="BG93" s="16"/>
      <c r="BH93" s="16"/>
      <c r="BI93" s="16"/>
      <c r="BJ93" s="16"/>
      <c r="BK93" s="330"/>
      <c r="BL93" s="16"/>
      <c r="BM93" s="16"/>
      <c r="BN93" s="16"/>
      <c r="BO93" s="16"/>
      <c r="BP93" s="330"/>
      <c r="BQ93" s="16"/>
      <c r="BR93" s="16"/>
      <c r="BS93" s="16"/>
      <c r="BT93" s="16"/>
      <c r="BU93" s="330"/>
      <c r="BV93" s="16"/>
      <c r="BW93" s="1353"/>
      <c r="BX93" s="16"/>
      <c r="BY93" s="16"/>
      <c r="BZ93" s="330"/>
      <c r="CA93" s="16"/>
      <c r="CB93" s="16"/>
      <c r="CC93" s="16"/>
      <c r="CD93" s="16"/>
      <c r="CE93" s="330"/>
      <c r="CF93" s="16"/>
      <c r="CG93" s="16"/>
      <c r="CH93" s="16"/>
      <c r="CI93" s="16"/>
      <c r="CJ93" s="330"/>
      <c r="CK93" s="16"/>
      <c r="CL93" s="147"/>
      <c r="CM93" s="147"/>
      <c r="CN93" s="147"/>
      <c r="CO93" s="341"/>
      <c r="CP93" s="147"/>
      <c r="CQ93" s="147"/>
      <c r="CR93" s="147"/>
      <c r="CS93" s="147"/>
      <c r="CT93" s="341"/>
      <c r="CU93" s="147"/>
      <c r="CV93" s="147"/>
      <c r="CW93" s="147"/>
      <c r="CX93" s="147"/>
      <c r="CY93" s="341"/>
      <c r="CZ93" s="147"/>
      <c r="DA93" s="147"/>
      <c r="DB93" s="147"/>
      <c r="DC93" s="147"/>
      <c r="DD93" s="341"/>
      <c r="DE93" s="147"/>
      <c r="DF93" s="147"/>
      <c r="DG93" s="147"/>
      <c r="DH93" s="147"/>
      <c r="DI93" s="341"/>
      <c r="DJ93" s="147"/>
      <c r="DK93" s="147"/>
      <c r="DL93" s="147"/>
      <c r="DM93" s="147"/>
      <c r="DN93" s="341"/>
      <c r="DO93" s="147"/>
      <c r="DP93" s="147"/>
      <c r="DQ93" s="147"/>
      <c r="DR93" s="147"/>
      <c r="DS93" s="341"/>
      <c r="DT93" s="147"/>
      <c r="DU93" s="147"/>
      <c r="DV93" s="147"/>
      <c r="DW93" s="147"/>
      <c r="DX93" s="341"/>
      <c r="DY93" s="16"/>
      <c r="DZ93" s="21"/>
      <c r="EA93" s="21"/>
      <c r="EB93" s="58"/>
      <c r="EC93" s="173"/>
      <c r="ED93" s="173"/>
      <c r="EE93" s="173"/>
      <c r="EF93" s="16"/>
      <c r="EG93" s="16"/>
      <c r="EH93" s="16"/>
      <c r="EI93" s="16"/>
      <c r="EJ93" s="21"/>
      <c r="EK93" s="21"/>
      <c r="EL93" s="21"/>
      <c r="EM93" s="16"/>
      <c r="EN93" s="16"/>
      <c r="EU93" s="16"/>
      <c r="EV93" s="16"/>
      <c r="EW93" s="16"/>
      <c r="EX93" s="16"/>
      <c r="EY93" s="16"/>
      <c r="EZ93" s="16"/>
      <c r="FA93" s="16"/>
      <c r="FB93" s="16"/>
      <c r="FC93" s="16"/>
      <c r="FD93" s="16"/>
      <c r="FE93" s="16"/>
      <c r="FF93" s="16"/>
      <c r="FG93" s="16"/>
      <c r="FH93" s="16"/>
      <c r="FI93" s="16"/>
      <c r="FJ93" s="16"/>
    </row>
    <row r="94" spans="1:166" x14ac:dyDescent="0.2">
      <c r="A94" s="21" t="s">
        <v>414</v>
      </c>
      <c r="B94" s="38"/>
      <c r="C94" s="38"/>
      <c r="D94" s="38"/>
      <c r="E94" s="38"/>
      <c r="F94" s="38"/>
      <c r="G94" s="38"/>
      <c r="H94" s="38"/>
      <c r="I94" s="38"/>
      <c r="J94" s="38"/>
      <c r="K94" s="38"/>
      <c r="L94" s="38"/>
      <c r="M94" s="16"/>
      <c r="N94" s="16"/>
      <c r="O94" s="16"/>
      <c r="P94" s="16"/>
      <c r="Q94" s="215">
        <f>Q44</f>
        <v>26</v>
      </c>
      <c r="R94" s="65">
        <f t="shared" ref="R94:AF94" si="247">R44</f>
        <v>0</v>
      </c>
      <c r="S94" s="65">
        <f t="shared" si="247"/>
        <v>0</v>
      </c>
      <c r="T94" s="65">
        <f t="shared" si="247"/>
        <v>0</v>
      </c>
      <c r="U94" s="65">
        <f t="shared" si="247"/>
        <v>0</v>
      </c>
      <c r="V94" s="215">
        <f t="shared" si="247"/>
        <v>18</v>
      </c>
      <c r="W94" s="204">
        <f t="shared" si="247"/>
        <v>7</v>
      </c>
      <c r="X94" s="204">
        <f t="shared" si="247"/>
        <v>3</v>
      </c>
      <c r="Y94" s="204">
        <f t="shared" si="247"/>
        <v>5</v>
      </c>
      <c r="Z94" s="204">
        <f t="shared" si="247"/>
        <v>3</v>
      </c>
      <c r="AA94" s="215">
        <f t="shared" si="247"/>
        <v>18</v>
      </c>
      <c r="AB94" s="204">
        <f t="shared" si="247"/>
        <v>12</v>
      </c>
      <c r="AC94" s="204">
        <f t="shared" si="247"/>
        <v>3</v>
      </c>
      <c r="AD94" s="204">
        <f t="shared" si="247"/>
        <v>3</v>
      </c>
      <c r="AE94" s="204">
        <f t="shared" si="247"/>
        <v>4</v>
      </c>
      <c r="AF94" s="215">
        <f t="shared" si="247"/>
        <v>22</v>
      </c>
      <c r="AG94" s="204">
        <f t="shared" ref="AG94:AZ94" si="248">AG44</f>
        <v>8</v>
      </c>
      <c r="AH94" s="204">
        <f t="shared" si="248"/>
        <v>5</v>
      </c>
      <c r="AI94" s="204">
        <f t="shared" si="248"/>
        <v>13</v>
      </c>
      <c r="AJ94" s="204">
        <f t="shared" si="248"/>
        <v>1</v>
      </c>
      <c r="AK94" s="215">
        <f t="shared" si="248"/>
        <v>27</v>
      </c>
      <c r="AL94" s="204">
        <f t="shared" si="248"/>
        <v>1</v>
      </c>
      <c r="AM94" s="204">
        <f t="shared" si="248"/>
        <v>1</v>
      </c>
      <c r="AN94" s="204">
        <f t="shared" si="248"/>
        <v>18</v>
      </c>
      <c r="AO94" s="204">
        <f t="shared" si="248"/>
        <v>6.3999999999999986</v>
      </c>
      <c r="AP94" s="215">
        <f t="shared" si="248"/>
        <v>26.4</v>
      </c>
      <c r="AQ94" s="204">
        <f t="shared" si="248"/>
        <v>0</v>
      </c>
      <c r="AR94" s="204">
        <f t="shared" si="248"/>
        <v>5.3</v>
      </c>
      <c r="AS94" s="204">
        <f t="shared" si="248"/>
        <v>4.7</v>
      </c>
      <c r="AT94" s="204">
        <f t="shared" si="248"/>
        <v>11.5</v>
      </c>
      <c r="AU94" s="215"/>
      <c r="AV94" s="890"/>
      <c r="AW94" s="65">
        <f>AW44</f>
        <v>4.7</v>
      </c>
      <c r="AX94" s="65">
        <f>AX44</f>
        <v>11.5</v>
      </c>
      <c r="AY94" s="65">
        <f t="shared" si="248"/>
        <v>9.5</v>
      </c>
      <c r="AZ94" s="65">
        <f t="shared" si="248"/>
        <v>5.8</v>
      </c>
      <c r="BA94" s="215">
        <f>BA44</f>
        <v>31.5</v>
      </c>
      <c r="BB94" s="204">
        <f t="shared" ref="BB94:BK94" si="249">BB44</f>
        <v>7.9</v>
      </c>
      <c r="BC94" s="204">
        <f t="shared" si="249"/>
        <v>3.7999999999999989</v>
      </c>
      <c r="BD94" s="204">
        <f t="shared" si="249"/>
        <v>11.5</v>
      </c>
      <c r="BE94" s="204">
        <f t="shared" si="249"/>
        <v>6.6999999999999993</v>
      </c>
      <c r="BF94" s="215">
        <f t="shared" si="249"/>
        <v>29.9</v>
      </c>
      <c r="BG94" s="204">
        <f t="shared" si="249"/>
        <v>7.4</v>
      </c>
      <c r="BH94" s="204">
        <f t="shared" si="249"/>
        <v>29.1</v>
      </c>
      <c r="BI94" s="204">
        <f t="shared" si="249"/>
        <v>33.5</v>
      </c>
      <c r="BJ94" s="204">
        <f>BJ44</f>
        <v>34.900000000000006</v>
      </c>
      <c r="BK94" s="215">
        <f t="shared" si="249"/>
        <v>104.9</v>
      </c>
      <c r="BL94" s="204">
        <f>BL44</f>
        <v>10.1</v>
      </c>
      <c r="BM94" s="204">
        <f t="shared" ref="BM94:BU94" si="250">BM44</f>
        <v>38.5</v>
      </c>
      <c r="BN94" s="204">
        <f t="shared" si="250"/>
        <v>0.10000000000000142</v>
      </c>
      <c r="BO94" s="204">
        <f t="shared" si="250"/>
        <v>16.099999999999994</v>
      </c>
      <c r="BP94" s="215">
        <f t="shared" si="250"/>
        <v>64.8</v>
      </c>
      <c r="BQ94" s="204">
        <f t="shared" si="250"/>
        <v>-4.5</v>
      </c>
      <c r="BR94" s="204">
        <f t="shared" si="250"/>
        <v>-2.2999999999999998</v>
      </c>
      <c r="BS94" s="204">
        <f t="shared" si="250"/>
        <v>0.20000000000000018</v>
      </c>
      <c r="BT94" s="204">
        <f t="shared" si="250"/>
        <v>-1.2000000000000002</v>
      </c>
      <c r="BU94" s="215">
        <f t="shared" si="250"/>
        <v>-7.8</v>
      </c>
      <c r="BV94" s="204">
        <f t="shared" ref="BV94:DA94" si="251">BV44</f>
        <v>4.5</v>
      </c>
      <c r="BW94" s="1396">
        <f t="shared" si="251"/>
        <v>6.1999999999999993</v>
      </c>
      <c r="BX94" s="204">
        <f t="shared" si="251"/>
        <v>6.1999999999999993</v>
      </c>
      <c r="BY94" s="204">
        <f t="shared" si="251"/>
        <v>2.7000000000000028</v>
      </c>
      <c r="BZ94" s="215">
        <f t="shared" si="251"/>
        <v>19.600000000000001</v>
      </c>
      <c r="CA94" s="204">
        <f t="shared" ref="CA94:CB94" si="252">CA44</f>
        <v>7.2</v>
      </c>
      <c r="CB94" s="204">
        <f t="shared" si="252"/>
        <v>5.9999999999999991</v>
      </c>
      <c r="CC94" s="204">
        <f t="shared" si="251"/>
        <v>4.9000000000000012</v>
      </c>
      <c r="CD94" s="204">
        <f t="shared" si="251"/>
        <v>11.899999999999999</v>
      </c>
      <c r="CE94" s="215">
        <f t="shared" si="251"/>
        <v>30</v>
      </c>
      <c r="CF94" s="204">
        <f t="shared" si="251"/>
        <v>6.8</v>
      </c>
      <c r="CG94" s="204">
        <f t="shared" si="251"/>
        <v>2.8</v>
      </c>
      <c r="CH94" s="204">
        <f t="shared" si="251"/>
        <v>10.000000000000002</v>
      </c>
      <c r="CI94" s="204">
        <f t="shared" si="251"/>
        <v>6.5000000000000009</v>
      </c>
      <c r="CJ94" s="215">
        <f t="shared" si="251"/>
        <v>26.1</v>
      </c>
      <c r="CK94" s="204">
        <f t="shared" si="251"/>
        <v>1.6</v>
      </c>
      <c r="CL94" s="205">
        <f t="shared" si="251"/>
        <v>0</v>
      </c>
      <c r="CM94" s="205">
        <f t="shared" si="251"/>
        <v>0</v>
      </c>
      <c r="CN94" s="205">
        <f t="shared" si="251"/>
        <v>0</v>
      </c>
      <c r="CO94" s="332">
        <f t="shared" si="251"/>
        <v>1.6</v>
      </c>
      <c r="CP94" s="205">
        <f t="shared" si="251"/>
        <v>0</v>
      </c>
      <c r="CQ94" s="205">
        <f t="shared" si="251"/>
        <v>0</v>
      </c>
      <c r="CR94" s="205">
        <f t="shared" si="251"/>
        <v>0</v>
      </c>
      <c r="CS94" s="205">
        <f t="shared" si="251"/>
        <v>0</v>
      </c>
      <c r="CT94" s="332">
        <f t="shared" si="251"/>
        <v>0</v>
      </c>
      <c r="CU94" s="205">
        <f t="shared" si="251"/>
        <v>0</v>
      </c>
      <c r="CV94" s="205">
        <f t="shared" si="251"/>
        <v>0</v>
      </c>
      <c r="CW94" s="205">
        <f t="shared" si="251"/>
        <v>0</v>
      </c>
      <c r="CX94" s="205">
        <f t="shared" si="251"/>
        <v>0</v>
      </c>
      <c r="CY94" s="332">
        <f t="shared" si="251"/>
        <v>0</v>
      </c>
      <c r="CZ94" s="205">
        <f t="shared" si="251"/>
        <v>0</v>
      </c>
      <c r="DA94" s="205">
        <f t="shared" si="251"/>
        <v>0</v>
      </c>
      <c r="DB94" s="205">
        <f t="shared" ref="DB94:DS94" si="253">DB44</f>
        <v>0</v>
      </c>
      <c r="DC94" s="205">
        <f t="shared" si="253"/>
        <v>0</v>
      </c>
      <c r="DD94" s="332">
        <f t="shared" si="253"/>
        <v>0</v>
      </c>
      <c r="DE94" s="205">
        <f t="shared" si="253"/>
        <v>0</v>
      </c>
      <c r="DF94" s="205">
        <f t="shared" si="253"/>
        <v>0</v>
      </c>
      <c r="DG94" s="205">
        <f t="shared" si="253"/>
        <v>0</v>
      </c>
      <c r="DH94" s="205">
        <f t="shared" si="253"/>
        <v>0</v>
      </c>
      <c r="DI94" s="332">
        <f t="shared" si="253"/>
        <v>0</v>
      </c>
      <c r="DJ94" s="205">
        <f t="shared" si="253"/>
        <v>0</v>
      </c>
      <c r="DK94" s="205">
        <f t="shared" si="253"/>
        <v>0</v>
      </c>
      <c r="DL94" s="205">
        <f t="shared" si="253"/>
        <v>0</v>
      </c>
      <c r="DM94" s="205">
        <f t="shared" si="253"/>
        <v>0</v>
      </c>
      <c r="DN94" s="332">
        <f t="shared" si="253"/>
        <v>0</v>
      </c>
      <c r="DO94" s="205">
        <f t="shared" si="253"/>
        <v>0</v>
      </c>
      <c r="DP94" s="205">
        <f t="shared" si="253"/>
        <v>0</v>
      </c>
      <c r="DQ94" s="205">
        <f t="shared" si="253"/>
        <v>0</v>
      </c>
      <c r="DR94" s="205">
        <f t="shared" si="253"/>
        <v>0</v>
      </c>
      <c r="DS94" s="332">
        <f t="shared" si="253"/>
        <v>0</v>
      </c>
      <c r="DT94" s="205">
        <f t="shared" ref="DT94:DX94" si="254">DT44</f>
        <v>0</v>
      </c>
      <c r="DU94" s="205">
        <f t="shared" si="254"/>
        <v>0</v>
      </c>
      <c r="DV94" s="205">
        <f t="shared" si="254"/>
        <v>0</v>
      </c>
      <c r="DW94" s="205">
        <f t="shared" si="254"/>
        <v>0</v>
      </c>
      <c r="DX94" s="332">
        <f t="shared" si="254"/>
        <v>0</v>
      </c>
      <c r="DY94" s="16"/>
      <c r="DZ94" s="21"/>
      <c r="EA94" s="21"/>
      <c r="EB94" s="58"/>
      <c r="EC94" s="173"/>
      <c r="ED94" s="173"/>
      <c r="EE94" s="173"/>
      <c r="EF94" s="16"/>
      <c r="EG94" s="16"/>
      <c r="EH94" s="16"/>
      <c r="EI94" s="16"/>
      <c r="EJ94" s="21"/>
      <c r="EK94" s="21"/>
      <c r="EL94" s="21"/>
      <c r="EM94" s="16"/>
      <c r="EN94" s="16"/>
      <c r="EU94" s="16"/>
      <c r="EV94" s="16"/>
      <c r="EW94" s="16"/>
      <c r="EX94" s="16"/>
      <c r="EY94" s="16"/>
      <c r="EZ94" s="16"/>
      <c r="FA94" s="16"/>
      <c r="FB94" s="16"/>
      <c r="FC94" s="16"/>
      <c r="FD94" s="16"/>
      <c r="FE94" s="16"/>
      <c r="FF94" s="16"/>
      <c r="FG94" s="16"/>
      <c r="FH94" s="16"/>
      <c r="FI94" s="16"/>
      <c r="FJ94" s="16"/>
    </row>
    <row r="95" spans="1:166" x14ac:dyDescent="0.2">
      <c r="A95" s="327" t="s">
        <v>421</v>
      </c>
      <c r="B95" s="335"/>
      <c r="C95" s="335"/>
      <c r="D95" s="335"/>
      <c r="E95" s="335"/>
      <c r="F95" s="335"/>
      <c r="G95" s="335"/>
      <c r="H95" s="335"/>
      <c r="I95" s="335"/>
      <c r="J95" s="335"/>
      <c r="K95" s="335"/>
      <c r="L95" s="335"/>
      <c r="M95" s="291"/>
      <c r="N95" s="291"/>
      <c r="O95" s="291"/>
      <c r="P95" s="291"/>
      <c r="Q95" s="301">
        <f>Q91+Q94</f>
        <v>144</v>
      </c>
      <c r="R95" s="304">
        <f t="shared" ref="R95:AF95" si="255">R91+R94</f>
        <v>0</v>
      </c>
      <c r="S95" s="304">
        <f t="shared" si="255"/>
        <v>0</v>
      </c>
      <c r="T95" s="304">
        <f t="shared" si="255"/>
        <v>0</v>
      </c>
      <c r="U95" s="304">
        <f t="shared" si="255"/>
        <v>0</v>
      </c>
      <c r="V95" s="301">
        <f t="shared" si="255"/>
        <v>143</v>
      </c>
      <c r="W95" s="304">
        <f t="shared" si="255"/>
        <v>-84</v>
      </c>
      <c r="X95" s="304">
        <f t="shared" si="255"/>
        <v>66</v>
      </c>
      <c r="Y95" s="304">
        <f t="shared" si="255"/>
        <v>6</v>
      </c>
      <c r="Z95" s="304">
        <f t="shared" si="255"/>
        <v>18</v>
      </c>
      <c r="AA95" s="301">
        <f t="shared" si="255"/>
        <v>7</v>
      </c>
      <c r="AB95" s="304">
        <f t="shared" si="255"/>
        <v>-48</v>
      </c>
      <c r="AC95" s="304">
        <f t="shared" si="255"/>
        <v>30</v>
      </c>
      <c r="AD95" s="304">
        <f t="shared" si="255"/>
        <v>34</v>
      </c>
      <c r="AE95" s="304">
        <f t="shared" si="255"/>
        <v>36</v>
      </c>
      <c r="AF95" s="301">
        <f t="shared" si="255"/>
        <v>52</v>
      </c>
      <c r="AG95" s="304">
        <f t="shared" ref="AG95:BA95" si="256">AG91+AG94</f>
        <v>26</v>
      </c>
      <c r="AH95" s="304">
        <f t="shared" si="256"/>
        <v>56</v>
      </c>
      <c r="AI95" s="304">
        <f t="shared" si="256"/>
        <v>6</v>
      </c>
      <c r="AJ95" s="304">
        <f t="shared" si="256"/>
        <v>4</v>
      </c>
      <c r="AK95" s="301">
        <f t="shared" si="256"/>
        <v>92</v>
      </c>
      <c r="AL95" s="304">
        <f t="shared" si="256"/>
        <v>20</v>
      </c>
      <c r="AM95" s="304">
        <f t="shared" si="256"/>
        <v>28</v>
      </c>
      <c r="AN95" s="304">
        <f t="shared" si="256"/>
        <v>58</v>
      </c>
      <c r="AO95" s="304">
        <f t="shared" si="256"/>
        <v>27.199999999999996</v>
      </c>
      <c r="AP95" s="301">
        <f t="shared" si="256"/>
        <v>133.20000000000002</v>
      </c>
      <c r="AQ95" s="304">
        <f t="shared" si="256"/>
        <v>16.800000000000022</v>
      </c>
      <c r="AR95" s="304">
        <f t="shared" si="256"/>
        <v>46.8</v>
      </c>
      <c r="AS95" s="304">
        <f t="shared" si="256"/>
        <v>55.600000000000023</v>
      </c>
      <c r="AT95" s="304">
        <f t="shared" si="256"/>
        <v>62.399999999999963</v>
      </c>
      <c r="AU95" s="301"/>
      <c r="AV95" s="272"/>
      <c r="AW95" s="304">
        <f>AW91+AW94</f>
        <v>55.600000000000023</v>
      </c>
      <c r="AX95" s="304">
        <f>AX91+AX94</f>
        <v>62.399999999999963</v>
      </c>
      <c r="AY95" s="304">
        <f>AY91+AY94</f>
        <v>77.600000000000009</v>
      </c>
      <c r="AZ95" s="304">
        <f>AZ91+AZ94</f>
        <v>-114.10000000000001</v>
      </c>
      <c r="BA95" s="301">
        <f t="shared" si="256"/>
        <v>81.500000000000028</v>
      </c>
      <c r="BB95" s="304">
        <f t="shared" ref="BB95:BL95" si="257">BB91+BB94</f>
        <v>63.4</v>
      </c>
      <c r="BC95" s="304">
        <f t="shared" si="257"/>
        <v>19.699999999999996</v>
      </c>
      <c r="BD95" s="304">
        <f t="shared" si="257"/>
        <v>212.8</v>
      </c>
      <c r="BE95" s="304">
        <f t="shared" si="257"/>
        <v>58.100000000000037</v>
      </c>
      <c r="BF95" s="301">
        <f t="shared" si="257"/>
        <v>354</v>
      </c>
      <c r="BG95" s="304">
        <f t="shared" si="257"/>
        <v>30.099999999999966</v>
      </c>
      <c r="BH95" s="304">
        <f t="shared" si="257"/>
        <v>29.500000000000021</v>
      </c>
      <c r="BI95" s="304">
        <f t="shared" si="257"/>
        <v>117.29999999999998</v>
      </c>
      <c r="BJ95" s="304">
        <f t="shared" si="257"/>
        <v>82.200000000000045</v>
      </c>
      <c r="BK95" s="301">
        <f t="shared" si="257"/>
        <v>259.10000000000002</v>
      </c>
      <c r="BL95" s="304">
        <f t="shared" si="257"/>
        <v>81.7</v>
      </c>
      <c r="BM95" s="304">
        <f t="shared" ref="BM95:BU95" si="258">BM91+BM94</f>
        <v>88.499999999999986</v>
      </c>
      <c r="BN95" s="304">
        <f t="shared" si="258"/>
        <v>135.39999999999998</v>
      </c>
      <c r="BO95" s="304">
        <f t="shared" si="258"/>
        <v>58.899999999999991</v>
      </c>
      <c r="BP95" s="301">
        <f t="shared" si="258"/>
        <v>364.49999999999994</v>
      </c>
      <c r="BQ95" s="304">
        <f t="shared" si="258"/>
        <v>117.39999999999998</v>
      </c>
      <c r="BR95" s="304">
        <f t="shared" si="258"/>
        <v>81.700000000000031</v>
      </c>
      <c r="BS95" s="304">
        <f t="shared" si="258"/>
        <v>159.19999999999999</v>
      </c>
      <c r="BT95" s="304">
        <f t="shared" si="258"/>
        <v>-137.69999999999993</v>
      </c>
      <c r="BU95" s="301">
        <f t="shared" si="258"/>
        <v>220.60000000000005</v>
      </c>
      <c r="BV95" s="304">
        <f t="shared" ref="BV95:DA95" si="259">BV91+BV94</f>
        <v>169.30000000000004</v>
      </c>
      <c r="BW95" s="1406">
        <f t="shared" si="259"/>
        <v>157.6</v>
      </c>
      <c r="BX95" s="304">
        <f t="shared" si="259"/>
        <v>354.99999999999994</v>
      </c>
      <c r="BY95" s="304">
        <f t="shared" si="259"/>
        <v>157.19999999999999</v>
      </c>
      <c r="BZ95" s="301">
        <f t="shared" si="259"/>
        <v>839.1</v>
      </c>
      <c r="CA95" s="304">
        <f t="shared" ref="CA95:CB95" si="260">CA91+CA94</f>
        <v>117.39999999999999</v>
      </c>
      <c r="CB95" s="304">
        <f t="shared" si="260"/>
        <v>253.30000000000007</v>
      </c>
      <c r="CC95" s="304">
        <f t="shared" si="259"/>
        <v>345.70000000000005</v>
      </c>
      <c r="CD95" s="304">
        <f t="shared" si="259"/>
        <v>278.89999999999998</v>
      </c>
      <c r="CE95" s="301">
        <f t="shared" si="259"/>
        <v>995.3</v>
      </c>
      <c r="CF95" s="304">
        <f t="shared" si="259"/>
        <v>278.30000000000007</v>
      </c>
      <c r="CG95" s="304">
        <f t="shared" si="259"/>
        <v>200.60000000000002</v>
      </c>
      <c r="CH95" s="304">
        <f t="shared" si="259"/>
        <v>337.3</v>
      </c>
      <c r="CI95" s="304">
        <f t="shared" si="259"/>
        <v>555.20000000000016</v>
      </c>
      <c r="CJ95" s="301">
        <f t="shared" si="259"/>
        <v>1371.4</v>
      </c>
      <c r="CK95" s="304">
        <f t="shared" si="259"/>
        <v>-116.40000000000002</v>
      </c>
      <c r="CL95" s="311">
        <f t="shared" si="259"/>
        <v>308.79277894506731</v>
      </c>
      <c r="CM95" s="311">
        <f t="shared" si="259"/>
        <v>317.87993901011282</v>
      </c>
      <c r="CN95" s="311">
        <f t="shared" si="259"/>
        <v>742.7691816995457</v>
      </c>
      <c r="CO95" s="342">
        <f t="shared" si="259"/>
        <v>1253.0418996547257</v>
      </c>
      <c r="CP95" s="311">
        <f t="shared" si="259"/>
        <v>16.882456419228046</v>
      </c>
      <c r="CQ95" s="311">
        <f t="shared" si="259"/>
        <v>262.74918695520347</v>
      </c>
      <c r="CR95" s="311">
        <f t="shared" si="259"/>
        <v>373.7747181664933</v>
      </c>
      <c r="CS95" s="311">
        <f t="shared" si="259"/>
        <v>821.99878049888116</v>
      </c>
      <c r="CT95" s="342">
        <f t="shared" si="259"/>
        <v>1475.4051420398059</v>
      </c>
      <c r="CU95" s="311">
        <f t="shared" si="259"/>
        <v>41.967992677848478</v>
      </c>
      <c r="CV95" s="311">
        <f t="shared" si="259"/>
        <v>310.51324969880909</v>
      </c>
      <c r="CW95" s="311">
        <f t="shared" si="259"/>
        <v>431.59253394739784</v>
      </c>
      <c r="CX95" s="311">
        <f t="shared" si="259"/>
        <v>908.08855172576523</v>
      </c>
      <c r="CY95" s="342">
        <f t="shared" si="259"/>
        <v>1692.1623280498209</v>
      </c>
      <c r="CZ95" s="311">
        <f t="shared" si="259"/>
        <v>93.309965899667958</v>
      </c>
      <c r="DA95" s="311">
        <f t="shared" si="259"/>
        <v>354.710109147629</v>
      </c>
      <c r="DB95" s="311">
        <f t="shared" ref="DB95:DS95" si="261">DB91+DB94</f>
        <v>491.75575591278329</v>
      </c>
      <c r="DC95" s="311">
        <f t="shared" si="261"/>
        <v>980.89546717340215</v>
      </c>
      <c r="DD95" s="342">
        <f t="shared" si="261"/>
        <v>1920.6712981334824</v>
      </c>
      <c r="DE95" s="311">
        <f t="shared" si="261"/>
        <v>130.4605435578809</v>
      </c>
      <c r="DF95" s="311">
        <f t="shared" si="261"/>
        <v>414.60071600735517</v>
      </c>
      <c r="DG95" s="311">
        <f t="shared" si="261"/>
        <v>560.72265686997241</v>
      </c>
      <c r="DH95" s="311">
        <f t="shared" si="261"/>
        <v>1108.7893322661753</v>
      </c>
      <c r="DI95" s="342">
        <f t="shared" si="261"/>
        <v>2214.5732487013834</v>
      </c>
      <c r="DJ95" s="311">
        <f t="shared" si="261"/>
        <v>169.12636987902178</v>
      </c>
      <c r="DK95" s="311">
        <f t="shared" si="261"/>
        <v>473.95372449319956</v>
      </c>
      <c r="DL95" s="311">
        <f t="shared" si="261"/>
        <v>630.03347339552181</v>
      </c>
      <c r="DM95" s="311">
        <f t="shared" si="261"/>
        <v>1211.6010321174665</v>
      </c>
      <c r="DN95" s="342">
        <f t="shared" si="261"/>
        <v>2484.7145998852093</v>
      </c>
      <c r="DO95" s="311">
        <f t="shared" si="261"/>
        <v>188.19903006002733</v>
      </c>
      <c r="DP95" s="311">
        <f t="shared" si="261"/>
        <v>494.36284688977281</v>
      </c>
      <c r="DQ95" s="311">
        <f t="shared" si="261"/>
        <v>671.74622563033506</v>
      </c>
      <c r="DR95" s="311">
        <f t="shared" si="261"/>
        <v>1301.2020739617278</v>
      </c>
      <c r="DS95" s="342">
        <f t="shared" si="261"/>
        <v>2655.5101765418626</v>
      </c>
      <c r="DT95" s="311">
        <f t="shared" ref="DT95:DX95" si="262">DT91+DT94</f>
        <v>214.75604624639689</v>
      </c>
      <c r="DU95" s="311">
        <f t="shared" si="262"/>
        <v>553.97629409791261</v>
      </c>
      <c r="DV95" s="311">
        <f t="shared" si="262"/>
        <v>728.45236679155801</v>
      </c>
      <c r="DW95" s="311">
        <f t="shared" si="262"/>
        <v>1396.8560164672474</v>
      </c>
      <c r="DX95" s="342">
        <f t="shared" si="262"/>
        <v>2894.0407236031147</v>
      </c>
      <c r="DY95" s="25"/>
      <c r="DZ95" s="37"/>
      <c r="EA95" s="37"/>
      <c r="EB95" s="57"/>
      <c r="EC95" s="419"/>
      <c r="ED95" s="419"/>
      <c r="EE95" s="419"/>
      <c r="EF95" s="25"/>
      <c r="EG95" s="25"/>
      <c r="EH95" s="25"/>
      <c r="EI95" s="25"/>
      <c r="EJ95" s="37"/>
      <c r="EK95" s="37"/>
      <c r="EL95" s="37"/>
      <c r="EM95" s="25"/>
      <c r="EN95" s="25"/>
      <c r="EU95" s="25"/>
      <c r="EV95" s="25"/>
      <c r="EW95" s="25"/>
      <c r="EX95" s="25"/>
      <c r="EY95" s="25"/>
      <c r="EZ95" s="25"/>
      <c r="FA95" s="25"/>
      <c r="FB95" s="25"/>
      <c r="FC95" s="25"/>
      <c r="FD95" s="25"/>
      <c r="FE95" s="25"/>
      <c r="FF95" s="25"/>
      <c r="FG95" s="25"/>
      <c r="FH95" s="25"/>
      <c r="FI95" s="25"/>
      <c r="FJ95" s="25"/>
    </row>
    <row r="96" spans="1:166" ht="5.25" customHeight="1" x14ac:dyDescent="0.2">
      <c r="A96" s="21"/>
      <c r="B96" s="38"/>
      <c r="C96" s="38"/>
      <c r="D96" s="38"/>
      <c r="E96" s="38"/>
      <c r="F96" s="38"/>
      <c r="G96" s="38"/>
      <c r="H96" s="38"/>
      <c r="I96" s="38"/>
      <c r="J96" s="38"/>
      <c r="K96" s="38"/>
      <c r="L96" s="38"/>
      <c r="M96" s="16"/>
      <c r="N96" s="16"/>
      <c r="O96" s="16"/>
      <c r="P96" s="16"/>
      <c r="Q96" s="253"/>
      <c r="R96" s="16"/>
      <c r="S96" s="16"/>
      <c r="T96" s="16"/>
      <c r="U96" s="16"/>
      <c r="V96" s="253"/>
      <c r="W96" s="16"/>
      <c r="X96" s="16"/>
      <c r="Y96" s="16"/>
      <c r="Z96" s="16"/>
      <c r="AA96" s="253"/>
      <c r="AB96" s="16"/>
      <c r="AC96" s="16"/>
      <c r="AD96" s="16"/>
      <c r="AE96" s="16"/>
      <c r="AF96" s="253"/>
      <c r="AG96" s="16"/>
      <c r="AH96" s="16"/>
      <c r="AI96" s="16"/>
      <c r="AJ96" s="16"/>
      <c r="AK96" s="253"/>
      <c r="AL96" s="16"/>
      <c r="AM96" s="16"/>
      <c r="AN96" s="16"/>
      <c r="AO96" s="16"/>
      <c r="AP96" s="253"/>
      <c r="AQ96" s="16"/>
      <c r="AR96" s="16"/>
      <c r="AS96" s="16"/>
      <c r="AT96" s="16"/>
      <c r="AU96" s="253"/>
      <c r="AV96" s="272"/>
      <c r="AW96" s="21"/>
      <c r="AX96" s="21"/>
      <c r="AY96" s="21"/>
      <c r="AZ96" s="21"/>
      <c r="BA96" s="253"/>
      <c r="BB96" s="16"/>
      <c r="BC96" s="16"/>
      <c r="BD96" s="16"/>
      <c r="BE96" s="16"/>
      <c r="BF96" s="253"/>
      <c r="BG96" s="16"/>
      <c r="BH96" s="16"/>
      <c r="BI96" s="16"/>
      <c r="BJ96" s="16"/>
      <c r="BK96" s="253"/>
      <c r="BL96" s="16"/>
      <c r="BM96" s="16"/>
      <c r="BN96" s="16"/>
      <c r="BO96" s="16"/>
      <c r="BP96" s="253"/>
      <c r="BQ96" s="16"/>
      <c r="BR96" s="16"/>
      <c r="BS96" s="16"/>
      <c r="BT96" s="16"/>
      <c r="BU96" s="253"/>
      <c r="BV96" s="16"/>
      <c r="BW96" s="1353"/>
      <c r="BX96" s="16"/>
      <c r="BY96" s="16"/>
      <c r="BZ96" s="253"/>
      <c r="CA96" s="16"/>
      <c r="CB96" s="16"/>
      <c r="CC96" s="16"/>
      <c r="CD96" s="16"/>
      <c r="CE96" s="253"/>
      <c r="CF96" s="16"/>
      <c r="CG96" s="16"/>
      <c r="CH96" s="16"/>
      <c r="CI96" s="16"/>
      <c r="CJ96" s="253"/>
      <c r="CK96" s="16"/>
      <c r="CL96" s="147"/>
      <c r="CM96" s="147"/>
      <c r="CN96" s="147"/>
      <c r="CO96" s="175"/>
      <c r="CP96" s="147"/>
      <c r="CQ96" s="147"/>
      <c r="CR96" s="147"/>
      <c r="CS96" s="147"/>
      <c r="CT96" s="175"/>
      <c r="CU96" s="147"/>
      <c r="CV96" s="147"/>
      <c r="CW96" s="147"/>
      <c r="CX96" s="147"/>
      <c r="CY96" s="175"/>
      <c r="CZ96" s="147"/>
      <c r="DA96" s="147"/>
      <c r="DB96" s="147"/>
      <c r="DC96" s="147"/>
      <c r="DD96" s="175"/>
      <c r="DE96" s="147"/>
      <c r="DF96" s="147"/>
      <c r="DG96" s="147"/>
      <c r="DH96" s="147"/>
      <c r="DI96" s="175"/>
      <c r="DJ96" s="147"/>
      <c r="DK96" s="147"/>
      <c r="DL96" s="147"/>
      <c r="DM96" s="147"/>
      <c r="DN96" s="175"/>
      <c r="DO96" s="147"/>
      <c r="DP96" s="147"/>
      <c r="DQ96" s="147"/>
      <c r="DR96" s="147"/>
      <c r="DS96" s="175"/>
      <c r="DT96" s="147"/>
      <c r="DU96" s="147"/>
      <c r="DV96" s="147"/>
      <c r="DW96" s="147"/>
      <c r="DX96" s="175"/>
      <c r="DY96" s="16"/>
      <c r="DZ96" s="21"/>
      <c r="EA96" s="21"/>
      <c r="EB96" s="58"/>
      <c r="EC96" s="173"/>
      <c r="ED96" s="173"/>
      <c r="EE96" s="173"/>
      <c r="EF96" s="16"/>
      <c r="EG96" s="16"/>
      <c r="EH96" s="16"/>
      <c r="EI96" s="16"/>
      <c r="EJ96" s="21"/>
      <c r="EK96" s="21"/>
      <c r="EL96" s="21"/>
      <c r="EM96" s="16"/>
      <c r="EN96" s="16"/>
      <c r="EU96" s="16"/>
      <c r="EV96" s="16"/>
      <c r="EW96" s="16"/>
      <c r="EX96" s="16"/>
      <c r="EY96" s="16"/>
      <c r="EZ96" s="16"/>
      <c r="FA96" s="16"/>
      <c r="FB96" s="16"/>
      <c r="FC96" s="16"/>
      <c r="FD96" s="16"/>
      <c r="FE96" s="16"/>
      <c r="FF96" s="16"/>
      <c r="FG96" s="16"/>
      <c r="FH96" s="16"/>
      <c r="FI96" s="16"/>
      <c r="FJ96" s="16"/>
    </row>
    <row r="97" spans="1:166" x14ac:dyDescent="0.2">
      <c r="A97" s="323" t="s">
        <v>415</v>
      </c>
      <c r="B97" s="38"/>
      <c r="C97" s="38"/>
      <c r="D97" s="38"/>
      <c r="E97" s="38"/>
      <c r="F97" s="38"/>
      <c r="G97" s="38"/>
      <c r="H97" s="38"/>
      <c r="I97" s="38"/>
      <c r="J97" s="38"/>
      <c r="K97" s="38"/>
      <c r="L97" s="38"/>
      <c r="M97" s="16"/>
      <c r="N97" s="16"/>
      <c r="O97" s="16"/>
      <c r="P97" s="16"/>
      <c r="Q97" s="222" t="str">
        <f>Q66</f>
        <v>-</v>
      </c>
      <c r="R97" s="334">
        <f t="shared" ref="R97:AF97" si="263">R66</f>
        <v>0</v>
      </c>
      <c r="S97" s="334">
        <f t="shared" si="263"/>
        <v>0</v>
      </c>
      <c r="T97" s="334">
        <f t="shared" si="263"/>
        <v>0</v>
      </c>
      <c r="U97" s="334">
        <f t="shared" si="263"/>
        <v>0</v>
      </c>
      <c r="V97" s="222" t="str">
        <f t="shared" si="263"/>
        <v>-</v>
      </c>
      <c r="W97" s="334">
        <f t="shared" si="263"/>
        <v>0</v>
      </c>
      <c r="X97" s="334">
        <f t="shared" si="263"/>
        <v>0</v>
      </c>
      <c r="Y97" s="334">
        <f t="shared" si="263"/>
        <v>-367</v>
      </c>
      <c r="Z97" s="334">
        <f t="shared" si="263"/>
        <v>0</v>
      </c>
      <c r="AA97" s="222">
        <f t="shared" si="263"/>
        <v>-367</v>
      </c>
      <c r="AB97" s="334">
        <f t="shared" si="263"/>
        <v>0</v>
      </c>
      <c r="AC97" s="334">
        <f t="shared" si="263"/>
        <v>0</v>
      </c>
      <c r="AD97" s="334">
        <f t="shared" si="263"/>
        <v>-8</v>
      </c>
      <c r="AE97" s="334">
        <f t="shared" si="263"/>
        <v>-9</v>
      </c>
      <c r="AF97" s="222">
        <f t="shared" si="263"/>
        <v>-17</v>
      </c>
      <c r="AG97" s="334">
        <f t="shared" ref="AG97:AT97" si="264">AG66</f>
        <v>-8</v>
      </c>
      <c r="AH97" s="334">
        <f t="shared" si="264"/>
        <v>-9</v>
      </c>
      <c r="AI97" s="334">
        <f t="shared" si="264"/>
        <v>-8</v>
      </c>
      <c r="AJ97" s="334">
        <f t="shared" si="264"/>
        <v>-9</v>
      </c>
      <c r="AK97" s="222">
        <f t="shared" si="264"/>
        <v>-34</v>
      </c>
      <c r="AL97" s="334">
        <f t="shared" si="264"/>
        <v>-8</v>
      </c>
      <c r="AM97" s="334">
        <f t="shared" si="264"/>
        <v>-9</v>
      </c>
      <c r="AN97" s="334">
        <f t="shared" si="264"/>
        <v>-8</v>
      </c>
      <c r="AO97" s="334">
        <f t="shared" si="264"/>
        <v>-9.1000000000000014</v>
      </c>
      <c r="AP97" s="222">
        <f t="shared" si="264"/>
        <v>-34.1</v>
      </c>
      <c r="AQ97" s="334">
        <f t="shared" si="264"/>
        <v>-8.5</v>
      </c>
      <c r="AR97" s="334">
        <f t="shared" si="264"/>
        <v>-8.6000000000000014</v>
      </c>
      <c r="AS97" s="334">
        <f t="shared" si="264"/>
        <v>-8.5</v>
      </c>
      <c r="AT97" s="334">
        <f t="shared" si="264"/>
        <v>-8.6000000000000014</v>
      </c>
      <c r="AU97" s="222"/>
      <c r="AV97" s="157"/>
      <c r="AW97" s="263">
        <f t="shared" ref="AW97:BA98" si="265">AW66</f>
        <v>-8.5</v>
      </c>
      <c r="AX97" s="263">
        <f t="shared" si="265"/>
        <v>-8.6000000000000014</v>
      </c>
      <c r="AY97" s="263">
        <f t="shared" si="265"/>
        <v>-8.1999999999999993</v>
      </c>
      <c r="AZ97" s="263">
        <f t="shared" si="265"/>
        <v>-0.4</v>
      </c>
      <c r="BA97" s="222">
        <f t="shared" si="265"/>
        <v>-25.7</v>
      </c>
      <c r="BB97" s="334">
        <f t="shared" ref="BB97:BK97" si="266">BB66</f>
        <v>0</v>
      </c>
      <c r="BC97" s="334">
        <f t="shared" si="266"/>
        <v>0</v>
      </c>
      <c r="BD97" s="334">
        <f t="shared" si="266"/>
        <v>0</v>
      </c>
      <c r="BE97" s="334">
        <f t="shared" si="266"/>
        <v>-393.4</v>
      </c>
      <c r="BF97" s="222">
        <f t="shared" si="266"/>
        <v>-393.4</v>
      </c>
      <c r="BG97" s="334">
        <f t="shared" si="266"/>
        <v>0</v>
      </c>
      <c r="BH97" s="334">
        <f t="shared" si="266"/>
        <v>0</v>
      </c>
      <c r="BI97" s="334">
        <f t="shared" si="266"/>
        <v>0</v>
      </c>
      <c r="BJ97" s="334">
        <f>BJ66</f>
        <v>-14</v>
      </c>
      <c r="BK97" s="222">
        <f t="shared" si="266"/>
        <v>-14</v>
      </c>
      <c r="BL97" s="334">
        <f>BL66</f>
        <v>-17.5</v>
      </c>
      <c r="BM97" s="334">
        <f t="shared" ref="BM97:BU97" si="267">BM66</f>
        <v>-21.1</v>
      </c>
      <c r="BN97" s="334">
        <f t="shared" si="267"/>
        <v>-21.1</v>
      </c>
      <c r="BO97" s="334">
        <f t="shared" si="267"/>
        <v>-24.599999999999994</v>
      </c>
      <c r="BP97" s="222">
        <f t="shared" si="267"/>
        <v>-84.3</v>
      </c>
      <c r="BQ97" s="334">
        <f t="shared" si="267"/>
        <v>-24.6</v>
      </c>
      <c r="BR97" s="334">
        <f t="shared" si="267"/>
        <v>-24.699999999999996</v>
      </c>
      <c r="BS97" s="334">
        <f t="shared" si="267"/>
        <v>-28.100000000000009</v>
      </c>
      <c r="BT97" s="334">
        <f t="shared" si="267"/>
        <v>-28.199999999999989</v>
      </c>
      <c r="BU97" s="222">
        <f t="shared" si="267"/>
        <v>-105.6</v>
      </c>
      <c r="BV97" s="334">
        <f t="shared" ref="BV97:DA97" si="268">BV66</f>
        <v>0</v>
      </c>
      <c r="BW97" s="1415">
        <f t="shared" si="268"/>
        <v>-124.5</v>
      </c>
      <c r="BX97" s="334">
        <f t="shared" si="268"/>
        <v>-114.30000000000001</v>
      </c>
      <c r="BY97" s="334">
        <f t="shared" si="268"/>
        <v>-123.59999999999997</v>
      </c>
      <c r="BZ97" s="222">
        <f t="shared" si="268"/>
        <v>-362.4</v>
      </c>
      <c r="CA97" s="334">
        <f t="shared" ref="CA97:CB97" si="269">CA66</f>
        <v>-128.30000000000001</v>
      </c>
      <c r="CB97" s="334">
        <f t="shared" si="269"/>
        <v>-131.89999999999998</v>
      </c>
      <c r="CC97" s="334">
        <f t="shared" si="268"/>
        <v>-136.69999999999999</v>
      </c>
      <c r="CD97" s="334">
        <f t="shared" si="268"/>
        <v>-141.20000000000005</v>
      </c>
      <c r="CE97" s="222">
        <f t="shared" si="268"/>
        <v>-538.1</v>
      </c>
      <c r="CF97" s="334">
        <f t="shared" si="268"/>
        <v>-145.9</v>
      </c>
      <c r="CG97" s="334">
        <f t="shared" si="268"/>
        <v>-150.70000000000002</v>
      </c>
      <c r="CH97" s="334">
        <f t="shared" si="268"/>
        <v>-155.29999999999995</v>
      </c>
      <c r="CI97" s="334">
        <f t="shared" si="268"/>
        <v>-211.60000000000005</v>
      </c>
      <c r="CJ97" s="222">
        <f t="shared" si="268"/>
        <v>-663.5</v>
      </c>
      <c r="CK97" s="334">
        <f t="shared" si="268"/>
        <v>-96.9</v>
      </c>
      <c r="CL97" s="343">
        <f t="shared" si="268"/>
        <v>-209.93353064999999</v>
      </c>
      <c r="CM97" s="343">
        <f t="shared" si="268"/>
        <v>-209.67109065000005</v>
      </c>
      <c r="CN97" s="343">
        <f t="shared" si="268"/>
        <v>-209.40865065000003</v>
      </c>
      <c r="CO97" s="344">
        <f t="shared" si="268"/>
        <v>-725.91327195000008</v>
      </c>
      <c r="CP97" s="343">
        <f t="shared" si="268"/>
        <v>-217.4178627525917</v>
      </c>
      <c r="CQ97" s="343">
        <f t="shared" si="268"/>
        <v>-230.91533635500002</v>
      </c>
      <c r="CR97" s="343">
        <f t="shared" si="268"/>
        <v>-230.60355763500002</v>
      </c>
      <c r="CS97" s="343">
        <f t="shared" si="268"/>
        <v>-230.29177891500001</v>
      </c>
      <c r="CT97" s="344">
        <f t="shared" si="268"/>
        <v>-909.22853565759181</v>
      </c>
      <c r="CU97" s="343">
        <f t="shared" si="268"/>
        <v>-250.40188865590326</v>
      </c>
      <c r="CV97" s="343">
        <f t="shared" si="268"/>
        <v>-253.99315172682003</v>
      </c>
      <c r="CW97" s="343">
        <f t="shared" si="268"/>
        <v>-253.62275860746007</v>
      </c>
      <c r="CX97" s="343">
        <f t="shared" si="268"/>
        <v>-253.25236548810003</v>
      </c>
      <c r="CY97" s="344">
        <f t="shared" si="268"/>
        <v>-1011.2701644782834</v>
      </c>
      <c r="CZ97" s="343">
        <f t="shared" si="268"/>
        <v>-287.49240499338379</v>
      </c>
      <c r="DA97" s="343">
        <f t="shared" si="268"/>
        <v>-279.37616960225023</v>
      </c>
      <c r="DB97" s="343">
        <f t="shared" ref="DB97:DS97" si="270">DB66</f>
        <v>-278.93614257645061</v>
      </c>
      <c r="DC97" s="343">
        <f t="shared" si="270"/>
        <v>-278.49611555065087</v>
      </c>
      <c r="DD97" s="344">
        <f t="shared" si="270"/>
        <v>-1124.3008327227355</v>
      </c>
      <c r="DE97" s="343">
        <f t="shared" si="270"/>
        <v>-311.92264086537841</v>
      </c>
      <c r="DF97" s="343">
        <f t="shared" si="270"/>
        <v>-307.29442537334012</v>
      </c>
      <c r="DG97" s="343">
        <f t="shared" si="270"/>
        <v>-306.77167326669007</v>
      </c>
      <c r="DH97" s="343">
        <f t="shared" si="270"/>
        <v>-306.24892116004008</v>
      </c>
      <c r="DI97" s="344">
        <f t="shared" si="270"/>
        <v>-1232.2376606654486</v>
      </c>
      <c r="DJ97" s="343">
        <f t="shared" si="270"/>
        <v>-359.48119809263676</v>
      </c>
      <c r="DK97" s="343">
        <f t="shared" si="270"/>
        <v>-338.00086681798155</v>
      </c>
      <c r="DL97" s="343">
        <f t="shared" si="270"/>
        <v>-337.37983731528135</v>
      </c>
      <c r="DM97" s="343">
        <f t="shared" si="270"/>
        <v>-336.75880781258115</v>
      </c>
      <c r="DN97" s="344">
        <f t="shared" si="270"/>
        <v>-1371.6207100384809</v>
      </c>
      <c r="DO97" s="343">
        <f t="shared" si="270"/>
        <v>-398.2802149441622</v>
      </c>
      <c r="DP97" s="343">
        <f t="shared" si="270"/>
        <v>-371.77362820166093</v>
      </c>
      <c r="DQ97" s="343">
        <f t="shared" si="270"/>
        <v>-371.03584515245308</v>
      </c>
      <c r="DR97" s="343">
        <f t="shared" si="270"/>
        <v>-370.29806210324529</v>
      </c>
      <c r="DS97" s="344">
        <f t="shared" si="270"/>
        <v>-1511.3877504015213</v>
      </c>
      <c r="DT97" s="343">
        <f t="shared" ref="DT97:DX97" si="271">DT66</f>
        <v>-425.16359707549555</v>
      </c>
      <c r="DU97" s="343">
        <f t="shared" si="271"/>
        <v>-408.91852856766189</v>
      </c>
      <c r="DV97" s="343">
        <f t="shared" si="271"/>
        <v>-408.04204230520298</v>
      </c>
      <c r="DW97" s="343">
        <f t="shared" si="271"/>
        <v>-407.16555604274396</v>
      </c>
      <c r="DX97" s="344">
        <f t="shared" si="271"/>
        <v>-1649.2897239911044</v>
      </c>
      <c r="DY97" s="16"/>
      <c r="DZ97" s="21"/>
      <c r="EA97" s="21"/>
      <c r="EB97" s="58"/>
      <c r="EC97" s="173"/>
      <c r="ED97" s="173"/>
      <c r="EE97" s="173"/>
      <c r="EF97" s="16"/>
      <c r="EG97" s="16"/>
      <c r="EH97" s="16"/>
      <c r="EI97" s="16"/>
      <c r="EJ97" s="21"/>
      <c r="EK97" s="21"/>
      <c r="EL97" s="21"/>
      <c r="EM97" s="16"/>
      <c r="EN97" s="16"/>
      <c r="EU97" s="16"/>
      <c r="EV97" s="16"/>
      <c r="EW97" s="16"/>
      <c r="EX97" s="16"/>
      <c r="EY97" s="16"/>
      <c r="EZ97" s="16"/>
      <c r="FA97" s="16"/>
      <c r="FB97" s="16"/>
      <c r="FC97" s="16"/>
      <c r="FD97" s="16"/>
      <c r="FE97" s="16"/>
      <c r="FF97" s="16"/>
      <c r="FG97" s="16"/>
      <c r="FH97" s="16"/>
      <c r="FI97" s="16"/>
      <c r="FJ97" s="16"/>
    </row>
    <row r="98" spans="1:166" x14ac:dyDescent="0.2">
      <c r="A98" s="323" t="s">
        <v>416</v>
      </c>
      <c r="B98" s="38"/>
      <c r="C98" s="38"/>
      <c r="D98" s="38"/>
      <c r="E98" s="38"/>
      <c r="F98" s="38"/>
      <c r="G98" s="38"/>
      <c r="H98" s="38"/>
      <c r="I98" s="38"/>
      <c r="J98" s="38"/>
      <c r="K98" s="38"/>
      <c r="L98" s="38"/>
      <c r="M98" s="16"/>
      <c r="N98" s="16"/>
      <c r="O98" s="16"/>
      <c r="P98" s="16"/>
      <c r="Q98" s="222" t="str">
        <f>Q67</f>
        <v>-</v>
      </c>
      <c r="R98" s="334">
        <f t="shared" ref="R98:AF98" si="272">R67</f>
        <v>0</v>
      </c>
      <c r="S98" s="334">
        <f t="shared" si="272"/>
        <v>0</v>
      </c>
      <c r="T98" s="334">
        <f t="shared" si="272"/>
        <v>0</v>
      </c>
      <c r="U98" s="334">
        <f t="shared" si="272"/>
        <v>0</v>
      </c>
      <c r="V98" s="222">
        <f t="shared" si="272"/>
        <v>-2</v>
      </c>
      <c r="W98" s="334">
        <f t="shared" si="272"/>
        <v>0</v>
      </c>
      <c r="X98" s="334">
        <f t="shared" si="272"/>
        <v>0</v>
      </c>
      <c r="Y98" s="334">
        <f t="shared" si="272"/>
        <v>0</v>
      </c>
      <c r="Z98" s="334">
        <f t="shared" si="272"/>
        <v>0</v>
      </c>
      <c r="AA98" s="222">
        <f t="shared" si="272"/>
        <v>0</v>
      </c>
      <c r="AB98" s="334">
        <f t="shared" si="272"/>
        <v>-1</v>
      </c>
      <c r="AC98" s="334">
        <f t="shared" si="272"/>
        <v>0</v>
      </c>
      <c r="AD98" s="334">
        <f t="shared" si="272"/>
        <v>0</v>
      </c>
      <c r="AE98" s="334">
        <f t="shared" si="272"/>
        <v>-1</v>
      </c>
      <c r="AF98" s="222">
        <f t="shared" si="272"/>
        <v>-2</v>
      </c>
      <c r="AG98" s="334">
        <f t="shared" ref="AG98:AT98" si="273">AG67</f>
        <v>-6</v>
      </c>
      <c r="AH98" s="334">
        <f t="shared" si="273"/>
        <v>0</v>
      </c>
      <c r="AI98" s="334">
        <f t="shared" si="273"/>
        <v>-29</v>
      </c>
      <c r="AJ98" s="334">
        <f t="shared" si="273"/>
        <v>0</v>
      </c>
      <c r="AK98" s="222">
        <f t="shared" si="273"/>
        <v>-35</v>
      </c>
      <c r="AL98" s="334">
        <f t="shared" si="273"/>
        <v>-18</v>
      </c>
      <c r="AM98" s="334">
        <f t="shared" si="273"/>
        <v>-2</v>
      </c>
      <c r="AN98" s="334">
        <f t="shared" si="273"/>
        <v>0</v>
      </c>
      <c r="AO98" s="334">
        <f t="shared" si="273"/>
        <v>-0.30000000000000071</v>
      </c>
      <c r="AP98" s="222">
        <f t="shared" si="273"/>
        <v>-20.3</v>
      </c>
      <c r="AQ98" s="334">
        <f t="shared" si="273"/>
        <v>-2.2999999999999998</v>
      </c>
      <c r="AR98" s="334">
        <f t="shared" si="273"/>
        <v>-0.10000000000000009</v>
      </c>
      <c r="AS98" s="334">
        <f t="shared" si="273"/>
        <v>0</v>
      </c>
      <c r="AT98" s="334">
        <f t="shared" si="273"/>
        <v>-0.30000000000000027</v>
      </c>
      <c r="AU98" s="222"/>
      <c r="AV98" s="246"/>
      <c r="AW98" s="263">
        <f t="shared" si="265"/>
        <v>0</v>
      </c>
      <c r="AX98" s="263">
        <f t="shared" si="265"/>
        <v>-0.30000000000000027</v>
      </c>
      <c r="AY98" s="263">
        <f t="shared" si="265"/>
        <v>-2.2999999999999998</v>
      </c>
      <c r="AZ98" s="263">
        <f t="shared" si="265"/>
        <v>-0.2</v>
      </c>
      <c r="BA98" s="222">
        <f t="shared" si="265"/>
        <v>-2.8000000000000003</v>
      </c>
      <c r="BB98" s="334">
        <f t="shared" ref="BB98:BK98" si="274">BB67</f>
        <v>0</v>
      </c>
      <c r="BC98" s="334">
        <f t="shared" si="274"/>
        <v>0</v>
      </c>
      <c r="BD98" s="334">
        <f t="shared" si="274"/>
        <v>0</v>
      </c>
      <c r="BE98" s="334">
        <f t="shared" si="274"/>
        <v>0</v>
      </c>
      <c r="BF98" s="222">
        <f t="shared" si="274"/>
        <v>0</v>
      </c>
      <c r="BG98" s="334">
        <f t="shared" si="274"/>
        <v>0</v>
      </c>
      <c r="BH98" s="334">
        <f t="shared" si="274"/>
        <v>0</v>
      </c>
      <c r="BI98" s="334">
        <f t="shared" si="274"/>
        <v>0</v>
      </c>
      <c r="BJ98" s="334">
        <f>BJ67</f>
        <v>0</v>
      </c>
      <c r="BK98" s="222">
        <f t="shared" si="274"/>
        <v>0</v>
      </c>
      <c r="BL98" s="334">
        <f>BL67</f>
        <v>0</v>
      </c>
      <c r="BM98" s="334">
        <f t="shared" ref="BM98:BU98" si="275">BM67</f>
        <v>0</v>
      </c>
      <c r="BN98" s="334">
        <f>BN67</f>
        <v>0</v>
      </c>
      <c r="BO98" s="334">
        <f t="shared" si="275"/>
        <v>-7.3</v>
      </c>
      <c r="BP98" s="222">
        <f t="shared" si="275"/>
        <v>-7.3</v>
      </c>
      <c r="BQ98" s="334">
        <f t="shared" si="275"/>
        <v>0</v>
      </c>
      <c r="BR98" s="334">
        <f t="shared" si="275"/>
        <v>0</v>
      </c>
      <c r="BS98" s="334">
        <f t="shared" si="275"/>
        <v>0</v>
      </c>
      <c r="BT98" s="334">
        <f t="shared" si="275"/>
        <v>0</v>
      </c>
      <c r="BU98" s="222">
        <f t="shared" si="275"/>
        <v>0</v>
      </c>
      <c r="BV98" s="334">
        <f t="shared" ref="BV98:DA98" si="276">BV67</f>
        <v>0</v>
      </c>
      <c r="BW98" s="1415">
        <f t="shared" si="276"/>
        <v>0</v>
      </c>
      <c r="BX98" s="334">
        <f t="shared" si="276"/>
        <v>0</v>
      </c>
      <c r="BY98" s="334">
        <f t="shared" si="276"/>
        <v>-293.7</v>
      </c>
      <c r="BZ98" s="222">
        <f t="shared" si="276"/>
        <v>-293.7</v>
      </c>
      <c r="CA98" s="334">
        <f t="shared" ref="CA98:CB98" si="277">CA67</f>
        <v>0</v>
      </c>
      <c r="CB98" s="334">
        <f t="shared" si="277"/>
        <v>0</v>
      </c>
      <c r="CC98" s="334">
        <f t="shared" si="276"/>
        <v>0</v>
      </c>
      <c r="CD98" s="334">
        <f t="shared" si="276"/>
        <v>0</v>
      </c>
      <c r="CE98" s="222">
        <f t="shared" si="276"/>
        <v>0</v>
      </c>
      <c r="CF98" s="334">
        <f t="shared" si="276"/>
        <v>0</v>
      </c>
      <c r="CG98" s="334">
        <f t="shared" si="276"/>
        <v>0</v>
      </c>
      <c r="CH98" s="334">
        <f t="shared" si="276"/>
        <v>0</v>
      </c>
      <c r="CI98" s="334">
        <f t="shared" si="276"/>
        <v>0</v>
      </c>
      <c r="CJ98" s="222">
        <f t="shared" si="276"/>
        <v>0</v>
      </c>
      <c r="CK98" s="334">
        <f t="shared" si="276"/>
        <v>0</v>
      </c>
      <c r="CL98" s="343">
        <f t="shared" si="276"/>
        <v>0</v>
      </c>
      <c r="CM98" s="343">
        <f t="shared" si="276"/>
        <v>0</v>
      </c>
      <c r="CN98" s="343">
        <f t="shared" si="276"/>
        <v>0</v>
      </c>
      <c r="CO98" s="344">
        <f t="shared" si="276"/>
        <v>0</v>
      </c>
      <c r="CP98" s="343">
        <f t="shared" si="276"/>
        <v>0</v>
      </c>
      <c r="CQ98" s="343">
        <f t="shared" si="276"/>
        <v>0</v>
      </c>
      <c r="CR98" s="343">
        <f t="shared" si="276"/>
        <v>0</v>
      </c>
      <c r="CS98" s="343">
        <f t="shared" si="276"/>
        <v>0</v>
      </c>
      <c r="CT98" s="344">
        <f t="shared" si="276"/>
        <v>0</v>
      </c>
      <c r="CU98" s="343">
        <f t="shared" si="276"/>
        <v>0</v>
      </c>
      <c r="CV98" s="343">
        <f t="shared" si="276"/>
        <v>0</v>
      </c>
      <c r="CW98" s="343">
        <f t="shared" si="276"/>
        <v>0</v>
      </c>
      <c r="CX98" s="343">
        <f t="shared" si="276"/>
        <v>0</v>
      </c>
      <c r="CY98" s="344">
        <f t="shared" si="276"/>
        <v>0</v>
      </c>
      <c r="CZ98" s="343">
        <f t="shared" si="276"/>
        <v>0</v>
      </c>
      <c r="DA98" s="343">
        <f t="shared" si="276"/>
        <v>0</v>
      </c>
      <c r="DB98" s="343">
        <f t="shared" ref="DB98:DS98" si="278">DB67</f>
        <v>0</v>
      </c>
      <c r="DC98" s="343">
        <f t="shared" si="278"/>
        <v>0</v>
      </c>
      <c r="DD98" s="344">
        <f t="shared" si="278"/>
        <v>0</v>
      </c>
      <c r="DE98" s="343">
        <f t="shared" si="278"/>
        <v>0</v>
      </c>
      <c r="DF98" s="343">
        <f t="shared" si="278"/>
        <v>0</v>
      </c>
      <c r="DG98" s="343">
        <f t="shared" si="278"/>
        <v>0</v>
      </c>
      <c r="DH98" s="343">
        <f t="shared" si="278"/>
        <v>0</v>
      </c>
      <c r="DI98" s="344">
        <f t="shared" si="278"/>
        <v>0</v>
      </c>
      <c r="DJ98" s="343">
        <f t="shared" si="278"/>
        <v>0</v>
      </c>
      <c r="DK98" s="343">
        <f t="shared" si="278"/>
        <v>0</v>
      </c>
      <c r="DL98" s="343">
        <f t="shared" si="278"/>
        <v>0</v>
      </c>
      <c r="DM98" s="343">
        <f t="shared" si="278"/>
        <v>0</v>
      </c>
      <c r="DN98" s="344">
        <f t="shared" si="278"/>
        <v>0</v>
      </c>
      <c r="DO98" s="343">
        <f t="shared" si="278"/>
        <v>0</v>
      </c>
      <c r="DP98" s="343">
        <f t="shared" si="278"/>
        <v>0</v>
      </c>
      <c r="DQ98" s="343">
        <f t="shared" si="278"/>
        <v>0</v>
      </c>
      <c r="DR98" s="343">
        <f t="shared" si="278"/>
        <v>0</v>
      </c>
      <c r="DS98" s="344">
        <f t="shared" si="278"/>
        <v>0</v>
      </c>
      <c r="DT98" s="343">
        <f t="shared" ref="DT98:DX98" si="279">DT67</f>
        <v>0</v>
      </c>
      <c r="DU98" s="343">
        <f t="shared" si="279"/>
        <v>0</v>
      </c>
      <c r="DV98" s="343">
        <f t="shared" si="279"/>
        <v>0</v>
      </c>
      <c r="DW98" s="343">
        <f t="shared" si="279"/>
        <v>0</v>
      </c>
      <c r="DX98" s="344">
        <f t="shared" si="279"/>
        <v>0</v>
      </c>
      <c r="DY98" s="16"/>
      <c r="DZ98" s="21"/>
      <c r="EA98" s="21"/>
      <c r="EB98" s="58"/>
      <c r="EC98" s="173"/>
      <c r="ED98" s="173"/>
      <c r="EE98" s="173"/>
      <c r="EF98" s="16"/>
      <c r="EG98" s="16"/>
      <c r="EH98" s="16"/>
      <c r="EI98" s="16"/>
      <c r="EJ98" s="21"/>
      <c r="EK98" s="21"/>
      <c r="EL98" s="21"/>
      <c r="EM98" s="16"/>
      <c r="EN98" s="16"/>
      <c r="EU98" s="16"/>
      <c r="EV98" s="16"/>
      <c r="EW98" s="16"/>
      <c r="EX98" s="16"/>
      <c r="EY98" s="16"/>
      <c r="EZ98" s="16"/>
      <c r="FA98" s="16"/>
      <c r="FB98" s="16"/>
      <c r="FC98" s="16"/>
      <c r="FD98" s="16"/>
      <c r="FE98" s="16"/>
      <c r="FF98" s="16"/>
      <c r="FG98" s="16"/>
      <c r="FH98" s="16"/>
      <c r="FI98" s="16"/>
      <c r="FJ98" s="16"/>
    </row>
    <row r="99" spans="1:166" x14ac:dyDescent="0.2">
      <c r="A99" s="323" t="s">
        <v>417</v>
      </c>
      <c r="B99" s="16"/>
      <c r="C99" s="16"/>
      <c r="D99" s="16"/>
      <c r="E99" s="16"/>
      <c r="F99" s="16"/>
      <c r="G99" s="16"/>
      <c r="H99" s="16"/>
      <c r="I99" s="16"/>
      <c r="J99" s="16"/>
      <c r="K99" s="16"/>
      <c r="L99" s="16"/>
      <c r="M99" s="16"/>
      <c r="N99" s="16"/>
      <c r="O99" s="16"/>
      <c r="P99" s="16"/>
      <c r="Q99" s="40">
        <f>Q58</f>
        <v>-3</v>
      </c>
      <c r="R99" s="673">
        <f t="shared" ref="R99:AZ99" si="280">R58</f>
        <v>0</v>
      </c>
      <c r="S99" s="673">
        <f t="shared" si="280"/>
        <v>0</v>
      </c>
      <c r="T99" s="673">
        <f t="shared" si="280"/>
        <v>0</v>
      </c>
      <c r="U99" s="673">
        <f t="shared" si="280"/>
        <v>0</v>
      </c>
      <c r="V99" s="40">
        <f t="shared" si="280"/>
        <v>-3</v>
      </c>
      <c r="W99" s="673">
        <f t="shared" si="280"/>
        <v>-1224</v>
      </c>
      <c r="X99" s="673">
        <f t="shared" si="280"/>
        <v>-5</v>
      </c>
      <c r="Y99" s="673">
        <f t="shared" si="280"/>
        <v>-749</v>
      </c>
      <c r="Z99" s="673">
        <f t="shared" si="280"/>
        <v>-351</v>
      </c>
      <c r="AA99" s="40">
        <f t="shared" si="280"/>
        <v>-2329</v>
      </c>
      <c r="AB99" s="673">
        <f t="shared" si="280"/>
        <v>-51</v>
      </c>
      <c r="AC99" s="673">
        <f t="shared" si="280"/>
        <v>-52</v>
      </c>
      <c r="AD99" s="673">
        <f t="shared" si="280"/>
        <v>-27</v>
      </c>
      <c r="AE99" s="673">
        <f t="shared" si="280"/>
        <v>-1</v>
      </c>
      <c r="AF99" s="40">
        <f t="shared" si="280"/>
        <v>-131</v>
      </c>
      <c r="AG99" s="673">
        <f t="shared" si="280"/>
        <v>-27</v>
      </c>
      <c r="AH99" s="673">
        <f t="shared" si="280"/>
        <v>-26</v>
      </c>
      <c r="AI99" s="673">
        <f t="shared" si="280"/>
        <v>-1</v>
      </c>
      <c r="AJ99" s="673">
        <f t="shared" si="280"/>
        <v>-2</v>
      </c>
      <c r="AK99" s="40">
        <f t="shared" si="280"/>
        <v>-56</v>
      </c>
      <c r="AL99" s="673">
        <f t="shared" si="280"/>
        <v>-66</v>
      </c>
      <c r="AM99" s="673">
        <f t="shared" si="280"/>
        <v>-1</v>
      </c>
      <c r="AN99" s="673">
        <f t="shared" si="280"/>
        <v>-41</v>
      </c>
      <c r="AO99" s="673">
        <f t="shared" si="280"/>
        <v>-43.700000000000017</v>
      </c>
      <c r="AP99" s="40">
        <f t="shared" si="280"/>
        <v>-151.70000000000002</v>
      </c>
      <c r="AQ99" s="673">
        <f t="shared" si="280"/>
        <v>-26.700000000000003</v>
      </c>
      <c r="AR99" s="673">
        <f t="shared" si="280"/>
        <v>-36.5</v>
      </c>
      <c r="AS99" s="673">
        <f t="shared" si="280"/>
        <v>-26</v>
      </c>
      <c r="AT99" s="673">
        <f t="shared" si="280"/>
        <v>-17</v>
      </c>
      <c r="AU99" s="40"/>
      <c r="AV99" s="45"/>
      <c r="AW99" s="38">
        <f>AW58</f>
        <v>-26</v>
      </c>
      <c r="AX99" s="38">
        <f>AX58</f>
        <v>-17</v>
      </c>
      <c r="AY99" s="38">
        <f t="shared" si="280"/>
        <v>-23.2</v>
      </c>
      <c r="AZ99" s="38">
        <f t="shared" si="280"/>
        <v>-735.3</v>
      </c>
      <c r="BA99" s="40">
        <f t="shared" ref="BA99:BV99" si="281">BA58+BA57</f>
        <v>1844.6</v>
      </c>
      <c r="BB99" s="673">
        <f t="shared" si="281"/>
        <v>13.599999999999909</v>
      </c>
      <c r="BC99" s="673">
        <f t="shared" si="281"/>
        <v>395.5</v>
      </c>
      <c r="BD99" s="673">
        <f t="shared" si="281"/>
        <v>-13.899999999999864</v>
      </c>
      <c r="BE99" s="673">
        <f t="shared" si="281"/>
        <v>-8.2000000000000455</v>
      </c>
      <c r="BF99" s="40">
        <f>BF58+BF57</f>
        <v>387</v>
      </c>
      <c r="BG99" s="673">
        <f t="shared" si="281"/>
        <v>-11.5</v>
      </c>
      <c r="BH99" s="673">
        <f t="shared" si="281"/>
        <v>-7.5</v>
      </c>
      <c r="BI99" s="673">
        <f t="shared" si="281"/>
        <v>-2.2000000000000455</v>
      </c>
      <c r="BJ99" s="673">
        <f t="shared" si="281"/>
        <v>-12.099999999999909</v>
      </c>
      <c r="BK99" s="40">
        <f t="shared" si="281"/>
        <v>-33.299999999999955</v>
      </c>
      <c r="BL99" s="673">
        <f t="shared" si="281"/>
        <v>-13.2</v>
      </c>
      <c r="BM99" s="673">
        <f t="shared" si="281"/>
        <v>-12.100000000000001</v>
      </c>
      <c r="BN99" s="673">
        <f t="shared" si="281"/>
        <v>-12.8</v>
      </c>
      <c r="BO99" s="673">
        <f t="shared" si="281"/>
        <v>-19.100000000000001</v>
      </c>
      <c r="BP99" s="40">
        <f t="shared" si="281"/>
        <v>-57.2</v>
      </c>
      <c r="BQ99" s="673">
        <f t="shared" si="281"/>
        <v>-19.100000000000001</v>
      </c>
      <c r="BR99" s="673">
        <f t="shared" si="281"/>
        <v>-19.199999999999996</v>
      </c>
      <c r="BS99" s="673">
        <f t="shared" si="281"/>
        <v>-19</v>
      </c>
      <c r="BT99" s="673">
        <f t="shared" si="281"/>
        <v>5887.8</v>
      </c>
      <c r="BU99" s="40">
        <f t="shared" si="281"/>
        <v>5830.5</v>
      </c>
      <c r="BV99" s="673">
        <f t="shared" si="281"/>
        <v>-1020.6</v>
      </c>
      <c r="BW99" s="1386">
        <f>BW58+BW57</f>
        <v>-321.80000000000018</v>
      </c>
      <c r="BX99" s="673">
        <f t="shared" ref="BX99:DS99" si="282">BX58+BX57</f>
        <v>-18.199999999999704</v>
      </c>
      <c r="BY99" s="673">
        <f t="shared" si="282"/>
        <v>-17.200000000000273</v>
      </c>
      <c r="BZ99" s="40">
        <f t="shared" si="282"/>
        <v>-1377.8000000000002</v>
      </c>
      <c r="CA99" s="673">
        <f t="shared" si="282"/>
        <v>-17.2</v>
      </c>
      <c r="CB99" s="673">
        <f>CB58+CB57</f>
        <v>-17.400000000000002</v>
      </c>
      <c r="CC99" s="673">
        <f t="shared" si="282"/>
        <v>-18.099999999999998</v>
      </c>
      <c r="CD99" s="673">
        <f t="shared" si="282"/>
        <v>-17.000000000000004</v>
      </c>
      <c r="CE99" s="40">
        <f t="shared" si="282"/>
        <v>-69.7</v>
      </c>
      <c r="CF99" s="673">
        <f t="shared" si="282"/>
        <v>980.1</v>
      </c>
      <c r="CG99" s="673">
        <f t="shared" si="282"/>
        <v>1692.2</v>
      </c>
      <c r="CH99" s="673">
        <f t="shared" si="282"/>
        <v>-12.299999999999955</v>
      </c>
      <c r="CI99" s="673">
        <f t="shared" si="282"/>
        <v>448.49999999999977</v>
      </c>
      <c r="CJ99" s="40">
        <f t="shared" si="282"/>
        <v>3108.5</v>
      </c>
      <c r="CK99" s="673">
        <f t="shared" si="282"/>
        <v>-21.7</v>
      </c>
      <c r="CL99" s="674">
        <f t="shared" si="282"/>
        <v>-16.875</v>
      </c>
      <c r="CM99" s="674">
        <f t="shared" si="282"/>
        <v>-16.875</v>
      </c>
      <c r="CN99" s="674">
        <f t="shared" si="282"/>
        <v>-16.875</v>
      </c>
      <c r="CO99" s="675">
        <f t="shared" si="282"/>
        <v>-72.325000000000003</v>
      </c>
      <c r="CP99" s="674">
        <f t="shared" si="282"/>
        <v>-16.875</v>
      </c>
      <c r="CQ99" s="674">
        <f t="shared" si="282"/>
        <v>-16.875</v>
      </c>
      <c r="CR99" s="674">
        <f t="shared" si="282"/>
        <v>-16.875</v>
      </c>
      <c r="CS99" s="674">
        <f t="shared" si="282"/>
        <v>-16.875</v>
      </c>
      <c r="CT99" s="675">
        <f t="shared" si="282"/>
        <v>-67.5</v>
      </c>
      <c r="CU99" s="674">
        <f t="shared" si="282"/>
        <v>-16.875</v>
      </c>
      <c r="CV99" s="674">
        <f t="shared" si="282"/>
        <v>-16.875</v>
      </c>
      <c r="CW99" s="674">
        <f t="shared" si="282"/>
        <v>-16.875</v>
      </c>
      <c r="CX99" s="674">
        <f t="shared" si="282"/>
        <v>-16.875</v>
      </c>
      <c r="CY99" s="675">
        <f t="shared" si="282"/>
        <v>-67.5</v>
      </c>
      <c r="CZ99" s="674">
        <f t="shared" si="282"/>
        <v>-16.875</v>
      </c>
      <c r="DA99" s="674">
        <f t="shared" si="282"/>
        <v>-16.875</v>
      </c>
      <c r="DB99" s="674">
        <f t="shared" si="282"/>
        <v>-16.875</v>
      </c>
      <c r="DC99" s="674">
        <f t="shared" si="282"/>
        <v>-633.35000000000036</v>
      </c>
      <c r="DD99" s="675">
        <f t="shared" si="282"/>
        <v>-683.97500000000036</v>
      </c>
      <c r="DE99" s="674">
        <f t="shared" si="282"/>
        <v>-13.75</v>
      </c>
      <c r="DF99" s="674">
        <f t="shared" si="282"/>
        <v>-13.75</v>
      </c>
      <c r="DG99" s="674">
        <f t="shared" si="282"/>
        <v>-13.75</v>
      </c>
      <c r="DH99" s="674">
        <f t="shared" si="282"/>
        <v>-13.75</v>
      </c>
      <c r="DI99" s="675">
        <f t="shared" si="282"/>
        <v>-55</v>
      </c>
      <c r="DJ99" s="674">
        <f t="shared" si="282"/>
        <v>-13.75</v>
      </c>
      <c r="DK99" s="674">
        <f t="shared" si="282"/>
        <v>-13.75</v>
      </c>
      <c r="DL99" s="674">
        <f t="shared" si="282"/>
        <v>-13.75</v>
      </c>
      <c r="DM99" s="674">
        <f t="shared" si="282"/>
        <v>-13.75</v>
      </c>
      <c r="DN99" s="675">
        <f t="shared" si="282"/>
        <v>-55</v>
      </c>
      <c r="DO99" s="674">
        <f t="shared" si="282"/>
        <v>-13.75</v>
      </c>
      <c r="DP99" s="674">
        <f t="shared" si="282"/>
        <v>-13.75</v>
      </c>
      <c r="DQ99" s="674">
        <f t="shared" si="282"/>
        <v>-13.75</v>
      </c>
      <c r="DR99" s="674">
        <f t="shared" si="282"/>
        <v>-13.75</v>
      </c>
      <c r="DS99" s="675">
        <f t="shared" si="282"/>
        <v>-55</v>
      </c>
      <c r="DT99" s="674">
        <f t="shared" ref="DT99:DX99" si="283">DT58+DT57</f>
        <v>-13.75</v>
      </c>
      <c r="DU99" s="674">
        <f t="shared" si="283"/>
        <v>-13.75</v>
      </c>
      <c r="DV99" s="674">
        <f t="shared" si="283"/>
        <v>-13.75</v>
      </c>
      <c r="DW99" s="674">
        <f t="shared" si="283"/>
        <v>-13.75</v>
      </c>
      <c r="DX99" s="675">
        <f t="shared" si="283"/>
        <v>-55</v>
      </c>
      <c r="DY99" s="16"/>
      <c r="DZ99" s="21"/>
      <c r="EA99" s="21"/>
      <c r="EB99" s="58"/>
      <c r="EC99" s="173"/>
      <c r="ED99" s="173"/>
      <c r="EE99" s="173"/>
      <c r="EF99" s="16"/>
      <c r="EG99" s="16"/>
      <c r="EH99" s="16"/>
      <c r="EI99" s="16"/>
      <c r="EJ99" s="21"/>
      <c r="EK99" s="21"/>
      <c r="EL99" s="21"/>
      <c r="EM99" s="16"/>
      <c r="EN99" s="16"/>
      <c r="EU99" s="16"/>
      <c r="EV99" s="16"/>
      <c r="EW99" s="16"/>
      <c r="EX99" s="16"/>
      <c r="EY99" s="16"/>
      <c r="EZ99" s="16"/>
      <c r="FA99" s="16"/>
      <c r="FB99" s="16"/>
      <c r="FC99" s="16"/>
      <c r="FD99" s="16"/>
      <c r="FE99" s="16"/>
      <c r="FF99" s="16"/>
      <c r="FG99" s="16"/>
      <c r="FH99" s="16"/>
      <c r="FI99" s="16"/>
      <c r="FJ99" s="16"/>
    </row>
    <row r="100" spans="1:166" ht="2.25" customHeight="1" x14ac:dyDescent="0.2">
      <c r="A100" s="928"/>
      <c r="B100" s="21"/>
      <c r="C100" s="21"/>
      <c r="D100" s="21"/>
      <c r="E100" s="21"/>
      <c r="F100" s="21"/>
      <c r="G100" s="21"/>
      <c r="H100" s="21"/>
      <c r="I100" s="21"/>
      <c r="J100" s="21"/>
      <c r="K100" s="21"/>
      <c r="L100" s="21"/>
      <c r="M100" s="21"/>
      <c r="N100" s="21"/>
      <c r="O100" s="21"/>
      <c r="P100" s="21"/>
      <c r="Q100" s="45"/>
      <c r="R100" s="21"/>
      <c r="S100" s="21"/>
      <c r="T100" s="21"/>
      <c r="U100" s="21"/>
      <c r="V100" s="45"/>
      <c r="W100" s="21"/>
      <c r="X100" s="21"/>
      <c r="Y100" s="21"/>
      <c r="Z100" s="21"/>
      <c r="AA100" s="45"/>
      <c r="AB100" s="21"/>
      <c r="AC100" s="21"/>
      <c r="AD100" s="21"/>
      <c r="AE100" s="21"/>
      <c r="AF100" s="45"/>
      <c r="AG100" s="21"/>
      <c r="AH100" s="21"/>
      <c r="AI100" s="21"/>
      <c r="AJ100" s="21"/>
      <c r="AK100" s="45"/>
      <c r="AL100" s="21"/>
      <c r="AM100" s="21"/>
      <c r="AN100" s="21"/>
      <c r="AO100" s="21"/>
      <c r="AP100" s="45"/>
      <c r="AQ100" s="21"/>
      <c r="AR100" s="21"/>
      <c r="AS100" s="21"/>
      <c r="AT100" s="21"/>
      <c r="AU100" s="45"/>
      <c r="AV100" s="247"/>
      <c r="AW100" s="21"/>
      <c r="AX100" s="21"/>
      <c r="AY100" s="21"/>
      <c r="AZ100" s="21"/>
      <c r="BA100" s="45"/>
      <c r="BB100" s="21"/>
      <c r="BC100" s="21"/>
      <c r="BD100" s="21"/>
      <c r="BE100" s="21"/>
      <c r="BF100" s="45"/>
      <c r="BG100" s="21"/>
      <c r="BH100" s="21"/>
      <c r="BI100" s="21"/>
      <c r="BJ100" s="620"/>
      <c r="BK100" s="169"/>
      <c r="BL100" s="620"/>
      <c r="BM100" s="620"/>
      <c r="BN100" s="620"/>
      <c r="BO100" s="21"/>
      <c r="BP100" s="45"/>
      <c r="BQ100" s="620"/>
      <c r="BR100" s="21"/>
      <c r="BS100" s="21"/>
      <c r="BT100" s="21"/>
      <c r="BU100" s="45"/>
      <c r="BV100" s="21"/>
      <c r="BW100" s="1362"/>
      <c r="BX100" s="21"/>
      <c r="BY100" s="21"/>
      <c r="BZ100" s="45"/>
      <c r="CA100" s="21"/>
      <c r="CB100" s="21"/>
      <c r="CC100" s="21"/>
      <c r="CD100" s="21"/>
      <c r="CE100" s="45"/>
      <c r="CF100" s="21"/>
      <c r="CG100" s="21"/>
      <c r="CH100" s="21"/>
      <c r="CI100" s="21"/>
      <c r="CJ100" s="45"/>
      <c r="CK100" s="21"/>
      <c r="CL100" s="620"/>
      <c r="CM100" s="620"/>
      <c r="CN100" s="620"/>
      <c r="CO100" s="169"/>
      <c r="CP100" s="620"/>
      <c r="CQ100" s="620"/>
      <c r="CR100" s="620"/>
      <c r="CS100" s="620"/>
      <c r="CT100" s="169"/>
      <c r="CU100" s="620"/>
      <c r="CV100" s="620"/>
      <c r="CW100" s="620"/>
      <c r="CX100" s="620"/>
      <c r="CY100" s="169"/>
      <c r="CZ100" s="620"/>
      <c r="DA100" s="620"/>
      <c r="DB100" s="620"/>
      <c r="DC100" s="620"/>
      <c r="DD100" s="169"/>
      <c r="DE100" s="620"/>
      <c r="DF100" s="620"/>
      <c r="DG100" s="620"/>
      <c r="DH100" s="620"/>
      <c r="DI100" s="169"/>
      <c r="DJ100" s="620"/>
      <c r="DK100" s="620"/>
      <c r="DL100" s="620"/>
      <c r="DM100" s="620"/>
      <c r="DN100" s="169"/>
      <c r="DO100" s="620"/>
      <c r="DP100" s="620"/>
      <c r="DQ100" s="620"/>
      <c r="DR100" s="620"/>
      <c r="DS100" s="169"/>
      <c r="DT100" s="620"/>
      <c r="DU100" s="620"/>
      <c r="DV100" s="620"/>
      <c r="DW100" s="620"/>
      <c r="DX100" s="169"/>
      <c r="DY100" s="16"/>
      <c r="DZ100" s="21"/>
      <c r="EA100" s="21"/>
      <c r="EB100" s="58"/>
      <c r="EC100" s="173"/>
      <c r="ED100" s="173"/>
      <c r="EE100" s="173"/>
      <c r="EF100" s="16"/>
      <c r="EG100" s="16"/>
      <c r="EH100" s="16"/>
      <c r="EI100" s="16"/>
      <c r="EJ100" s="21"/>
      <c r="EK100" s="21"/>
      <c r="EL100" s="21"/>
      <c r="EM100" s="16"/>
      <c r="EN100" s="16"/>
      <c r="EU100" s="16"/>
      <c r="EV100" s="16"/>
      <c r="EW100" s="16"/>
      <c r="EX100" s="16"/>
      <c r="EY100" s="16"/>
      <c r="EZ100" s="16"/>
      <c r="FA100" s="16"/>
      <c r="FB100" s="16"/>
      <c r="FC100" s="16"/>
      <c r="FD100" s="16"/>
      <c r="FE100" s="16"/>
      <c r="FF100" s="16"/>
      <c r="FG100" s="16"/>
      <c r="FH100" s="16"/>
      <c r="FI100" s="16"/>
      <c r="FJ100" s="16"/>
    </row>
    <row r="101" spans="1:166" x14ac:dyDescent="0.2">
      <c r="A101" s="592" t="s">
        <v>47</v>
      </c>
      <c r="B101" s="807"/>
      <c r="C101" s="807"/>
      <c r="D101" s="807"/>
      <c r="E101" s="807"/>
      <c r="F101" s="807"/>
      <c r="G101" s="807"/>
      <c r="H101" s="807"/>
      <c r="I101" s="807"/>
      <c r="J101" s="807"/>
      <c r="K101" s="807"/>
      <c r="L101" s="807"/>
      <c r="M101" s="807"/>
      <c r="N101" s="807"/>
      <c r="O101" s="807"/>
      <c r="P101" s="807"/>
      <c r="Q101" s="807"/>
      <c r="R101" s="807"/>
      <c r="S101" s="807"/>
      <c r="T101" s="807"/>
      <c r="U101" s="807"/>
      <c r="V101" s="807"/>
      <c r="W101" s="807"/>
      <c r="X101" s="807"/>
      <c r="Y101" s="807"/>
      <c r="Z101" s="807"/>
      <c r="AA101" s="807"/>
      <c r="AB101" s="807"/>
      <c r="AC101" s="807"/>
      <c r="AD101" s="807"/>
      <c r="AE101" s="807"/>
      <c r="AF101" s="807"/>
      <c r="AG101" s="807"/>
      <c r="AH101" s="807"/>
      <c r="AI101" s="807"/>
      <c r="AJ101" s="807"/>
      <c r="AK101" s="807"/>
      <c r="AL101" s="807"/>
      <c r="AM101" s="807"/>
      <c r="AN101" s="807"/>
      <c r="AO101" s="807"/>
      <c r="AP101" s="807"/>
      <c r="AQ101" s="807"/>
      <c r="AR101" s="807"/>
      <c r="AS101" s="807"/>
      <c r="AT101" s="807"/>
      <c r="AU101" s="807"/>
      <c r="AV101" s="45"/>
      <c r="AW101" s="807"/>
      <c r="AX101" s="807"/>
      <c r="AY101" s="807"/>
      <c r="AZ101" s="807"/>
      <c r="BA101" s="807"/>
      <c r="BB101" s="807"/>
      <c r="BC101" s="807"/>
      <c r="BD101" s="807"/>
      <c r="BE101" s="807"/>
      <c r="BF101" s="807"/>
      <c r="BG101" s="807"/>
      <c r="BH101" s="807"/>
      <c r="BI101" s="807"/>
      <c r="BJ101" s="807"/>
      <c r="BK101" s="807"/>
      <c r="BL101" s="807"/>
      <c r="BM101" s="807"/>
      <c r="BN101" s="807"/>
      <c r="BO101" s="807"/>
      <c r="BP101" s="807"/>
      <c r="BQ101" s="807"/>
      <c r="BR101" s="807"/>
      <c r="BS101" s="807"/>
      <c r="BT101" s="807"/>
      <c r="BU101" s="807"/>
      <c r="BV101" s="807"/>
      <c r="BW101" s="1371"/>
      <c r="BX101" s="807"/>
      <c r="BY101" s="807"/>
      <c r="BZ101" s="807"/>
      <c r="CA101" s="807"/>
      <c r="CB101" s="807"/>
      <c r="CC101" s="807"/>
      <c r="CD101" s="807"/>
      <c r="CE101" s="807"/>
      <c r="CF101" s="807"/>
      <c r="CG101" s="807"/>
      <c r="CH101" s="807"/>
      <c r="CI101" s="807"/>
      <c r="CJ101" s="807"/>
      <c r="CK101" s="807"/>
      <c r="CL101" s="807"/>
      <c r="CM101" s="807"/>
      <c r="CN101" s="807"/>
      <c r="CO101" s="807"/>
      <c r="CP101" s="807"/>
      <c r="CQ101" s="807"/>
      <c r="CR101" s="807"/>
      <c r="CS101" s="807"/>
      <c r="CT101" s="807"/>
      <c r="CU101" s="807"/>
      <c r="CV101" s="807"/>
      <c r="CW101" s="807"/>
      <c r="CX101" s="807"/>
      <c r="CY101" s="807"/>
      <c r="CZ101" s="807"/>
      <c r="DA101" s="807"/>
      <c r="DB101" s="807"/>
      <c r="DC101" s="807"/>
      <c r="DD101" s="807"/>
      <c r="DE101" s="807"/>
      <c r="DF101" s="807"/>
      <c r="DG101" s="807"/>
      <c r="DH101" s="807"/>
      <c r="DI101" s="807"/>
      <c r="DJ101" s="807"/>
      <c r="DK101" s="807"/>
      <c r="DL101" s="807"/>
      <c r="DM101" s="807"/>
      <c r="DN101" s="807"/>
      <c r="DO101" s="807"/>
      <c r="DP101" s="807"/>
      <c r="DQ101" s="807"/>
      <c r="DR101" s="807"/>
      <c r="DS101" s="807"/>
      <c r="DT101" s="807"/>
      <c r="DU101" s="807"/>
      <c r="DV101" s="807"/>
      <c r="DW101" s="807"/>
      <c r="DX101" s="807"/>
      <c r="DY101" s="16"/>
      <c r="DZ101" s="16"/>
      <c r="EA101" s="16"/>
      <c r="EB101" s="16"/>
      <c r="EC101" s="16"/>
      <c r="ED101" s="16"/>
      <c r="EE101" s="16"/>
      <c r="EF101" s="16"/>
      <c r="EG101" s="16"/>
      <c r="EH101" s="16"/>
      <c r="EI101" s="16"/>
      <c r="EJ101" s="16"/>
      <c r="EK101" s="16"/>
      <c r="EL101" s="16"/>
      <c r="EM101" s="16"/>
      <c r="EN101" s="16"/>
      <c r="EU101" s="228"/>
      <c r="EV101" s="477"/>
      <c r="EW101" s="16"/>
      <c r="EX101" s="228"/>
      <c r="EY101" s="228"/>
      <c r="EZ101" s="228"/>
      <c r="FA101" s="472"/>
      <c r="FB101" s="228"/>
      <c r="FC101" s="228"/>
      <c r="FD101" s="228"/>
      <c r="FE101" s="16"/>
      <c r="FF101" s="16"/>
      <c r="FG101" s="16"/>
      <c r="FH101" s="16"/>
      <c r="FI101" s="16"/>
      <c r="FJ101" s="16"/>
    </row>
    <row r="102" spans="1:166" x14ac:dyDescent="0.2">
      <c r="A102" s="490" t="s">
        <v>51</v>
      </c>
      <c r="B102" s="16"/>
      <c r="C102" s="16"/>
      <c r="D102" s="16"/>
      <c r="E102" s="16"/>
      <c r="F102" s="16"/>
      <c r="G102" s="16"/>
      <c r="H102" s="16"/>
      <c r="I102" s="16"/>
      <c r="J102" s="16"/>
      <c r="K102" s="16"/>
      <c r="L102" s="16"/>
      <c r="M102" s="16"/>
      <c r="N102" s="16"/>
      <c r="O102" s="16"/>
      <c r="P102" s="16"/>
      <c r="Q102" s="468"/>
      <c r="R102" s="469"/>
      <c r="S102" s="469"/>
      <c r="T102" s="469"/>
      <c r="U102" s="469"/>
      <c r="V102" s="468"/>
      <c r="W102" s="469"/>
      <c r="X102" s="469"/>
      <c r="Y102" s="469"/>
      <c r="Z102" s="469"/>
      <c r="AA102" s="468"/>
      <c r="AB102" s="469"/>
      <c r="AC102" s="469"/>
      <c r="AD102" s="469"/>
      <c r="AE102" s="469"/>
      <c r="AF102" s="468"/>
      <c r="AG102" s="469"/>
      <c r="AH102" s="469"/>
      <c r="AI102" s="469"/>
      <c r="AJ102" s="469"/>
      <c r="AK102" s="123"/>
      <c r="AL102" s="469"/>
      <c r="AM102" s="469"/>
      <c r="AN102" s="469"/>
      <c r="AO102" s="469"/>
      <c r="AP102" s="123"/>
      <c r="AQ102" s="469"/>
      <c r="AR102" s="469"/>
      <c r="AS102" s="469"/>
      <c r="AT102" s="469"/>
      <c r="AU102" s="122"/>
      <c r="AV102" s="45"/>
      <c r="AW102" s="469"/>
      <c r="AX102" s="469"/>
      <c r="AY102" s="469"/>
      <c r="AZ102" s="469"/>
      <c r="BA102" s="123"/>
      <c r="BB102" s="122"/>
      <c r="BC102" s="469"/>
      <c r="BD102" s="469"/>
      <c r="BE102" s="469"/>
      <c r="BF102" s="123"/>
      <c r="BG102" s="469"/>
      <c r="BH102" s="469"/>
      <c r="BI102" s="469"/>
      <c r="BJ102" s="844">
        <f>IS!BJ410</f>
        <v>14</v>
      </c>
      <c r="BK102" s="123">
        <f>IS!BK410</f>
        <v>0</v>
      </c>
      <c r="BL102" s="844">
        <f>IS!BL410</f>
        <v>17.5</v>
      </c>
      <c r="BM102" s="844">
        <f>IS!BM410</f>
        <v>21.1</v>
      </c>
      <c r="BN102" s="844">
        <f>IS!BN410</f>
        <v>21.1</v>
      </c>
      <c r="BO102" s="844">
        <f>IS!BO410</f>
        <v>24.599999999999994</v>
      </c>
      <c r="BP102" s="40">
        <f>IS!BP410</f>
        <v>84.3</v>
      </c>
      <c r="BQ102" s="844">
        <f>IS!BQ410</f>
        <v>24.6</v>
      </c>
      <c r="BR102" s="38">
        <f>IS!BR410</f>
        <v>24.699999999999996</v>
      </c>
      <c r="BS102" s="844">
        <f>IS!BS410</f>
        <v>28.100000000000009</v>
      </c>
      <c r="BT102" s="844">
        <f>IS!BT410</f>
        <v>28.199999999999989</v>
      </c>
      <c r="BU102" s="40">
        <f>IS!BU410</f>
        <v>105.6</v>
      </c>
      <c r="BV102" s="38">
        <f>IS!CA410</f>
        <v>42.047638649999996</v>
      </c>
      <c r="BW102" s="1348">
        <f>IS!CB410</f>
        <v>46.734616800000005</v>
      </c>
      <c r="BX102" s="38">
        <f>IS!CC410</f>
        <v>56.085437339999999</v>
      </c>
      <c r="BY102" s="38">
        <f>IS!CD410</f>
        <v>60.245793204999998</v>
      </c>
      <c r="BZ102" s="40">
        <f>IS!CE410</f>
        <v>205.11348599500002</v>
      </c>
      <c r="CA102" s="38">
        <f>IS!CF410</f>
        <v>64.560750519999999</v>
      </c>
      <c r="CB102" s="38">
        <f>IS!CG410</f>
        <v>69.281608724999998</v>
      </c>
      <c r="CC102" s="38">
        <f>IS!CH410</f>
        <v>73.764238640000002</v>
      </c>
      <c r="CD102" s="38">
        <f>IS!CI410</f>
        <v>78.402255970000013</v>
      </c>
      <c r="CE102" s="40">
        <f>IS!CJ410</f>
        <v>286.00885385500004</v>
      </c>
      <c r="CF102" s="38">
        <f>IS!CK410</f>
        <v>83.122391699999994</v>
      </c>
      <c r="CG102" s="38">
        <f>IS!CL410</f>
        <v>87.917379405000005</v>
      </c>
      <c r="CH102" s="38">
        <f>IS!CM410</f>
        <v>92.721394599999996</v>
      </c>
      <c r="CI102" s="38">
        <f>IS!CN410</f>
        <v>97.201260974999997</v>
      </c>
      <c r="CJ102" s="40">
        <f>IS!CO410</f>
        <v>360.96242668000002</v>
      </c>
      <c r="CK102" s="38">
        <f>IS!CP410</f>
        <v>208.89426532499999</v>
      </c>
      <c r="CL102" s="844">
        <f>IS!CQ410</f>
        <v>209.93353064999999</v>
      </c>
      <c r="CM102" s="844">
        <f>IS!CR410</f>
        <v>209.67109065000005</v>
      </c>
      <c r="CN102" s="844">
        <f>IS!CS410</f>
        <v>209.40865065000003</v>
      </c>
      <c r="CO102" s="40">
        <f>IS!CT410</f>
        <v>837.9075372750001</v>
      </c>
      <c r="CP102" s="844">
        <f>IS!CU410</f>
        <v>217.4178627525917</v>
      </c>
      <c r="CQ102" s="844">
        <f>IS!CV410</f>
        <v>230.91533635500002</v>
      </c>
      <c r="CR102" s="844">
        <f>IS!CW410</f>
        <v>230.60355763500002</v>
      </c>
      <c r="CS102" s="844">
        <f>IS!CX410</f>
        <v>230.29177891500001</v>
      </c>
      <c r="CT102" s="40">
        <f>IS!CY410</f>
        <v>909.22853565759181</v>
      </c>
      <c r="CU102" s="844">
        <f>IS!CZ410</f>
        <v>250.40188865590326</v>
      </c>
      <c r="CV102" s="844">
        <f>IS!DA410</f>
        <v>253.99315172682003</v>
      </c>
      <c r="CW102" s="844">
        <f>IS!DB410</f>
        <v>253.62275860746007</v>
      </c>
      <c r="CX102" s="844">
        <f>IS!DC410</f>
        <v>253.25236548810003</v>
      </c>
      <c r="CY102" s="40">
        <f>IS!DD410</f>
        <v>1011.2701644782834</v>
      </c>
      <c r="CZ102" s="844">
        <f>IS!DE410</f>
        <v>287.49240499338379</v>
      </c>
      <c r="DA102" s="844">
        <f>IS!DF410</f>
        <v>279.37616960225023</v>
      </c>
      <c r="DB102" s="844">
        <f>IS!DG410</f>
        <v>278.93614257645061</v>
      </c>
      <c r="DC102" s="844">
        <f>IS!DH410</f>
        <v>278.49611555065087</v>
      </c>
      <c r="DD102" s="40">
        <f>IS!DI410</f>
        <v>1124.3008327227355</v>
      </c>
      <c r="DE102" s="844">
        <f>IS!DJ410</f>
        <v>311.92264086537841</v>
      </c>
      <c r="DF102" s="844">
        <f>IS!DK410</f>
        <v>307.29442537334012</v>
      </c>
      <c r="DG102" s="844">
        <f>IS!DL410</f>
        <v>306.77167326669007</v>
      </c>
      <c r="DH102" s="844">
        <f>IS!DM410</f>
        <v>306.24892116004008</v>
      </c>
      <c r="DI102" s="40">
        <f>IS!DN410</f>
        <v>1232.2376606654486</v>
      </c>
      <c r="DJ102" s="844">
        <f>IS!DO410</f>
        <v>359.48119809263676</v>
      </c>
      <c r="DK102" s="844">
        <f>IS!DP410</f>
        <v>338.00086681798155</v>
      </c>
      <c r="DL102" s="844">
        <f>IS!DQ410</f>
        <v>337.37983731528135</v>
      </c>
      <c r="DM102" s="844">
        <f>IS!DR410</f>
        <v>336.75880781258115</v>
      </c>
      <c r="DN102" s="40">
        <f>IS!DS410</f>
        <v>1371.6207100384809</v>
      </c>
      <c r="DO102" s="844">
        <f>IS!DT410</f>
        <v>398.2802149441622</v>
      </c>
      <c r="DP102" s="844">
        <f>IS!DU410</f>
        <v>371.77362820166093</v>
      </c>
      <c r="DQ102" s="844">
        <f>IS!DV410</f>
        <v>371.03584515245308</v>
      </c>
      <c r="DR102" s="844">
        <f>IS!DW410</f>
        <v>370.29806210324529</v>
      </c>
      <c r="DS102" s="40">
        <f>IS!DX410</f>
        <v>1511.3877504015213</v>
      </c>
      <c r="DT102" s="844">
        <f>IS!DY410</f>
        <v>425.16359707549555</v>
      </c>
      <c r="DU102" s="844">
        <f>IS!DZ410</f>
        <v>408.91852856766189</v>
      </c>
      <c r="DV102" s="844">
        <f>IS!EA410</f>
        <v>408.04204230520298</v>
      </c>
      <c r="DW102" s="844">
        <f>IS!EB410</f>
        <v>407.16555604274396</v>
      </c>
      <c r="DX102" s="40">
        <f>IS!EC410</f>
        <v>1649.2897239911044</v>
      </c>
      <c r="DY102" s="16"/>
      <c r="DZ102" s="16"/>
      <c r="EA102" s="16"/>
      <c r="EB102" s="16"/>
      <c r="EC102" s="16"/>
      <c r="ED102" s="16"/>
      <c r="EE102" s="16"/>
      <c r="EF102" s="16"/>
      <c r="EG102" s="16"/>
      <c r="EH102" s="16"/>
      <c r="EI102" s="16"/>
      <c r="EJ102" s="16"/>
      <c r="EK102" s="16"/>
      <c r="EL102" s="16"/>
      <c r="EM102" s="16"/>
      <c r="EN102" s="16"/>
      <c r="EU102" s="228"/>
      <c r="EV102" s="477"/>
      <c r="EW102" s="16"/>
      <c r="EX102" s="228"/>
      <c r="EY102" s="228"/>
      <c r="EZ102" s="228"/>
      <c r="FA102" s="474"/>
      <c r="FB102" s="228"/>
      <c r="FC102" s="228"/>
      <c r="FD102" s="228"/>
      <c r="FE102" s="16"/>
      <c r="FF102" s="16"/>
      <c r="FG102" s="16"/>
      <c r="FH102" s="16"/>
      <c r="FI102" s="16"/>
      <c r="FJ102" s="16"/>
    </row>
    <row r="103" spans="1:166" x14ac:dyDescent="0.2">
      <c r="A103" s="490" t="s">
        <v>49</v>
      </c>
      <c r="B103" s="16"/>
      <c r="C103" s="16"/>
      <c r="D103" s="16"/>
      <c r="E103" s="16"/>
      <c r="F103" s="16"/>
      <c r="G103" s="16"/>
      <c r="H103" s="16"/>
      <c r="I103" s="16"/>
      <c r="J103" s="16"/>
      <c r="K103" s="16"/>
      <c r="L103" s="16"/>
      <c r="M103" s="16"/>
      <c r="N103" s="16"/>
      <c r="O103" s="16"/>
      <c r="P103" s="16"/>
      <c r="Q103" s="468"/>
      <c r="R103" s="469"/>
      <c r="S103" s="469"/>
      <c r="T103" s="469"/>
      <c r="U103" s="469"/>
      <c r="V103" s="468"/>
      <c r="W103" s="469"/>
      <c r="X103" s="469"/>
      <c r="Y103" s="469"/>
      <c r="Z103" s="469"/>
      <c r="AA103" s="468"/>
      <c r="AB103" s="469"/>
      <c r="AC103" s="469"/>
      <c r="AD103" s="469"/>
      <c r="AE103" s="469"/>
      <c r="AF103" s="468"/>
      <c r="AG103" s="469"/>
      <c r="AH103" s="469"/>
      <c r="AI103" s="469"/>
      <c r="AJ103" s="469"/>
      <c r="AK103" s="123"/>
      <c r="AL103" s="469"/>
      <c r="AM103" s="469"/>
      <c r="AN103" s="469"/>
      <c r="AO103" s="469"/>
      <c r="AP103" s="123"/>
      <c r="AQ103" s="469"/>
      <c r="AR103" s="469"/>
      <c r="AS103" s="469"/>
      <c r="AT103" s="469"/>
      <c r="AU103" s="122"/>
      <c r="AV103" s="45"/>
      <c r="AW103" s="469"/>
      <c r="AX103" s="469"/>
      <c r="AY103" s="469"/>
      <c r="AZ103" s="469"/>
      <c r="BA103" s="123"/>
      <c r="BB103" s="122"/>
      <c r="BC103" s="469"/>
      <c r="BD103" s="469"/>
      <c r="BE103" s="469"/>
      <c r="BF103" s="123"/>
      <c r="BG103" s="469"/>
      <c r="BH103" s="469"/>
      <c r="BI103" s="469"/>
      <c r="BJ103" s="923">
        <f>IS!BJ411</f>
        <v>0.04</v>
      </c>
      <c r="BK103" s="924">
        <f>IS!BK411</f>
        <v>0.04</v>
      </c>
      <c r="BL103" s="923">
        <f>IS!BL411</f>
        <v>0.05</v>
      </c>
      <c r="BM103" s="923">
        <f>IS!BM411</f>
        <v>0.06</v>
      </c>
      <c r="BN103" s="923">
        <f>IS!BN411</f>
        <v>0.06</v>
      </c>
      <c r="BO103" s="923">
        <f>IS!BO411</f>
        <v>7.0000000000000007E-2</v>
      </c>
      <c r="BP103" s="924">
        <f>IS!BP411</f>
        <v>0.23559002305596308</v>
      </c>
      <c r="BQ103" s="923">
        <f>IS!BQ411</f>
        <v>7.0000000000000007E-2</v>
      </c>
      <c r="BR103" s="1029">
        <f>IS!BR411</f>
        <v>7.0000000000000007E-2</v>
      </c>
      <c r="BS103" s="1029">
        <f>IS!BS411</f>
        <v>0.08</v>
      </c>
      <c r="BT103" s="923">
        <f>IS!BT411</f>
        <v>0.08</v>
      </c>
      <c r="BU103" s="924">
        <f>IS!BU411</f>
        <v>0.2904090752836026</v>
      </c>
      <c r="BV103" s="1029">
        <f>IS!CA411</f>
        <v>0.09</v>
      </c>
      <c r="BW103" s="1416">
        <v>0.12</v>
      </c>
      <c r="BX103" s="1029">
        <f>BW103</f>
        <v>0.12</v>
      </c>
      <c r="BY103" s="1029">
        <f>BX103</f>
        <v>0.12</v>
      </c>
      <c r="BZ103" s="924">
        <f>IS!CE411</f>
        <v>0.43091068486344541</v>
      </c>
      <c r="CA103" s="1029">
        <f>IS!CF411</f>
        <v>0.14000000000000001</v>
      </c>
      <c r="CB103" s="1029">
        <f>IS!CG411</f>
        <v>0.15</v>
      </c>
      <c r="CC103" s="1029">
        <f>IS!CH411</f>
        <v>0.16</v>
      </c>
      <c r="CD103" s="1029">
        <f>IS!CI411</f>
        <v>0.17</v>
      </c>
      <c r="CE103" s="924">
        <f>IS!CJ411</f>
        <v>0.60856184659822343</v>
      </c>
      <c r="CF103" s="1029">
        <f>IS!CK411</f>
        <v>0.18</v>
      </c>
      <c r="CG103" s="1029">
        <v>0.2</v>
      </c>
      <c r="CH103" s="1029">
        <v>0.2</v>
      </c>
      <c r="CI103" s="1029">
        <v>0.2</v>
      </c>
      <c r="CJ103" s="924">
        <f>IS!CO411</f>
        <v>0.75621940329963866</v>
      </c>
      <c r="CK103" s="1029">
        <f>IS!CP411</f>
        <v>0.45</v>
      </c>
      <c r="CL103" s="925">
        <f>IS!CQ411</f>
        <v>0.45</v>
      </c>
      <c r="CM103" s="925">
        <f>IS!CR411</f>
        <v>0.45</v>
      </c>
      <c r="CN103" s="925">
        <f>IS!CS411</f>
        <v>0.45</v>
      </c>
      <c r="CO103" s="924">
        <f>IS!CT411</f>
        <v>1.7620615830662056</v>
      </c>
      <c r="CP103" s="925">
        <f>IS!CU411</f>
        <v>0.49500000000000005</v>
      </c>
      <c r="CQ103" s="925">
        <f>IS!CV411</f>
        <v>0.49500000000000005</v>
      </c>
      <c r="CR103" s="925">
        <f>IS!CW411</f>
        <v>0.49500000000000005</v>
      </c>
      <c r="CS103" s="925">
        <f>IS!CX411</f>
        <v>0.49500000000000005</v>
      </c>
      <c r="CT103" s="924">
        <f>IS!CY411</f>
        <v>1.9102111247897491</v>
      </c>
      <c r="CU103" s="925">
        <f>IS!CZ411</f>
        <v>0.5445000000000001</v>
      </c>
      <c r="CV103" s="925">
        <f>IS!DA411</f>
        <v>0.5445000000000001</v>
      </c>
      <c r="CW103" s="925">
        <f>IS!DB411</f>
        <v>0.5445000000000001</v>
      </c>
      <c r="CX103" s="925">
        <f>IS!DC411</f>
        <v>0.5445000000000001</v>
      </c>
      <c r="CY103" s="924">
        <f>IS!DD411</f>
        <v>2.1249230038093461</v>
      </c>
      <c r="CZ103" s="925">
        <f>IS!DE411</f>
        <v>0.5989500000000002</v>
      </c>
      <c r="DA103" s="925">
        <f>IS!DF411</f>
        <v>0.5989500000000002</v>
      </c>
      <c r="DB103" s="925">
        <f>IS!DG411</f>
        <v>0.5989500000000002</v>
      </c>
      <c r="DC103" s="925">
        <f>IS!DH411</f>
        <v>0.5989500000000002</v>
      </c>
      <c r="DD103" s="924">
        <f>IS!DI411</f>
        <v>2.3628255269836904</v>
      </c>
      <c r="DE103" s="925">
        <f>IS!DJ411</f>
        <v>0.65884500000000024</v>
      </c>
      <c r="DF103" s="925">
        <f>IS!DK411</f>
        <v>0.65884500000000024</v>
      </c>
      <c r="DG103" s="925">
        <f>IS!DL411</f>
        <v>0.65884500000000024</v>
      </c>
      <c r="DH103" s="925">
        <f>IS!DM411</f>
        <v>0.65884500000000024</v>
      </c>
      <c r="DI103" s="924">
        <f>IS!DN411</f>
        <v>2.5901360778572191</v>
      </c>
      <c r="DJ103" s="925">
        <f>IS!DO411</f>
        <v>0.72472950000000036</v>
      </c>
      <c r="DK103" s="925">
        <f>IS!DP411</f>
        <v>0.72472950000000036</v>
      </c>
      <c r="DL103" s="925">
        <f>IS!DQ411</f>
        <v>0.72472950000000036</v>
      </c>
      <c r="DM103" s="925">
        <f>IS!DR411</f>
        <v>0.72472950000000036</v>
      </c>
      <c r="DN103" s="924">
        <f>IS!DS411</f>
        <v>2.8836825755085647</v>
      </c>
      <c r="DO103" s="925">
        <f>IS!DT411</f>
        <v>0.79720245000000045</v>
      </c>
      <c r="DP103" s="925">
        <f>IS!DU411</f>
        <v>0.79720245000000045</v>
      </c>
      <c r="DQ103" s="925">
        <f>IS!DV411</f>
        <v>0.79720245000000045</v>
      </c>
      <c r="DR103" s="925">
        <f>IS!DW411</f>
        <v>0.79720245000000045</v>
      </c>
      <c r="DS103" s="924">
        <f>IS!DX411</f>
        <v>3.1782018605805722</v>
      </c>
      <c r="DT103" s="925">
        <f>IS!DY411</f>
        <v>0.87692269500000053</v>
      </c>
      <c r="DU103" s="925">
        <f>IS!DZ411</f>
        <v>0.87692269500000053</v>
      </c>
      <c r="DV103" s="925">
        <f>IS!EA411</f>
        <v>0.87692269500000053</v>
      </c>
      <c r="DW103" s="925">
        <f>IS!EB411</f>
        <v>0.87692269500000053</v>
      </c>
      <c r="DX103" s="924">
        <f>IS!EC411</f>
        <v>3.4689823297928313</v>
      </c>
      <c r="DY103" s="16"/>
      <c r="DZ103" s="16"/>
      <c r="EA103" s="16"/>
      <c r="EB103" s="16"/>
      <c r="EC103" s="16"/>
      <c r="ED103" s="16"/>
      <c r="EE103" s="16"/>
      <c r="EF103" s="16"/>
      <c r="EG103" s="16"/>
      <c r="EH103" s="16"/>
      <c r="EI103" s="16"/>
      <c r="EJ103" s="16"/>
      <c r="EK103" s="16"/>
      <c r="EL103" s="16"/>
      <c r="EM103" s="16"/>
      <c r="EN103" s="16"/>
      <c r="EU103" s="228"/>
      <c r="EV103" s="477"/>
      <c r="EW103" s="16"/>
      <c r="EX103" s="228"/>
      <c r="EY103" s="228"/>
      <c r="EZ103" s="228"/>
      <c r="FA103" s="472"/>
      <c r="FB103" s="228"/>
      <c r="FC103" s="228"/>
      <c r="FD103" s="228"/>
      <c r="FE103" s="16"/>
      <c r="FF103" s="16"/>
      <c r="FG103" s="16" t="s">
        <v>527</v>
      </c>
      <c r="FH103" s="16">
        <v>0</v>
      </c>
      <c r="FI103" s="16" t="s">
        <v>558</v>
      </c>
      <c r="FJ103" s="16" t="b">
        <v>0</v>
      </c>
    </row>
    <row r="104" spans="1:166" x14ac:dyDescent="0.2">
      <c r="A104" s="922" t="s">
        <v>567</v>
      </c>
      <c r="B104" s="118"/>
      <c r="C104" s="118"/>
      <c r="D104" s="118"/>
      <c r="E104" s="118"/>
      <c r="F104" s="118"/>
      <c r="G104" s="118"/>
      <c r="H104" s="118"/>
      <c r="I104" s="118"/>
      <c r="J104" s="118"/>
      <c r="K104" s="118"/>
      <c r="L104" s="118"/>
      <c r="M104" s="118"/>
      <c r="N104" s="118"/>
      <c r="O104" s="118"/>
      <c r="P104" s="118"/>
      <c r="Q104" s="243"/>
      <c r="R104" s="61"/>
      <c r="S104" s="61"/>
      <c r="T104" s="61"/>
      <c r="U104" s="61"/>
      <c r="V104" s="243"/>
      <c r="W104" s="61"/>
      <c r="X104" s="61"/>
      <c r="Y104" s="61"/>
      <c r="Z104" s="61"/>
      <c r="AA104" s="243"/>
      <c r="AB104" s="61"/>
      <c r="AC104" s="61"/>
      <c r="AD104" s="61"/>
      <c r="AE104" s="61"/>
      <c r="AF104" s="243"/>
      <c r="AG104" s="61"/>
      <c r="AH104" s="61"/>
      <c r="AI104" s="61"/>
      <c r="AJ104" s="61"/>
      <c r="AK104" s="243"/>
      <c r="AL104" s="61"/>
      <c r="AM104" s="61"/>
      <c r="AN104" s="61"/>
      <c r="AO104" s="61"/>
      <c r="AP104" s="243"/>
      <c r="AQ104" s="61"/>
      <c r="AR104" s="61"/>
      <c r="AS104" s="61"/>
      <c r="AT104" s="61"/>
      <c r="AU104" s="241"/>
      <c r="AV104" s="281"/>
      <c r="AW104" s="61"/>
      <c r="AX104" s="61"/>
      <c r="AY104" s="61"/>
      <c r="AZ104" s="61"/>
      <c r="BA104" s="243"/>
      <c r="BB104" s="241"/>
      <c r="BC104" s="61"/>
      <c r="BD104" s="61"/>
      <c r="BE104" s="61"/>
      <c r="BF104" s="243"/>
      <c r="BG104" s="61"/>
      <c r="BH104" s="61"/>
      <c r="BI104" s="61"/>
      <c r="BJ104" s="61">
        <f>IS!BJ412</f>
        <v>0</v>
      </c>
      <c r="BK104" s="243">
        <f>IS!BK412</f>
        <v>0</v>
      </c>
      <c r="BL104" s="61">
        <f>IS!BL412</f>
        <v>0</v>
      </c>
      <c r="BM104" s="61">
        <f>IS!BM412</f>
        <v>0</v>
      </c>
      <c r="BN104" s="61">
        <f>IS!BN412</f>
        <v>0</v>
      </c>
      <c r="BO104" s="242">
        <f>IS!BO412</f>
        <v>0.75000000000000022</v>
      </c>
      <c r="BP104" s="243">
        <f>IS!BP412</f>
        <v>0</v>
      </c>
      <c r="BQ104" s="242">
        <f>IS!BQ412</f>
        <v>0.40000000000000013</v>
      </c>
      <c r="BR104" s="242">
        <f>IS!BR412</f>
        <v>0.16666666666666674</v>
      </c>
      <c r="BS104" s="242">
        <f>IS!BS412</f>
        <v>0.33333333333333348</v>
      </c>
      <c r="BT104" s="242">
        <f>IS!BT412</f>
        <v>0.14285714285714279</v>
      </c>
      <c r="BU104" s="243">
        <f>IS!BU412</f>
        <v>0.23268834357479373</v>
      </c>
      <c r="BV104" s="242">
        <f>IS!CA412</f>
        <v>0.28571428571428559</v>
      </c>
      <c r="BW104" s="1417">
        <f>IS!CB412</f>
        <v>0.4285714285714286</v>
      </c>
      <c r="BX104" s="242">
        <f>IS!CC412</f>
        <v>0.5</v>
      </c>
      <c r="BY104" s="242">
        <f>IS!CD412</f>
        <v>0.625</v>
      </c>
      <c r="BZ104" s="243">
        <f>IS!CE412</f>
        <v>0.48380585022225708</v>
      </c>
      <c r="CA104" s="242">
        <f>IS!CF412</f>
        <v>0.5555555555555558</v>
      </c>
      <c r="CB104" s="242">
        <f>IS!CG412</f>
        <v>0.49999999999999978</v>
      </c>
      <c r="CC104" s="242">
        <f>IS!CH412</f>
        <v>0.33333333333333348</v>
      </c>
      <c r="CD104" s="242">
        <f>IS!CI412</f>
        <v>0.30769230769230771</v>
      </c>
      <c r="CE104" s="243">
        <f>IS!CJ412</f>
        <v>0.41226910349432444</v>
      </c>
      <c r="CF104" s="242">
        <f>IS!CK412</f>
        <v>0.28571428571428559</v>
      </c>
      <c r="CG104" s="242">
        <f>IS!CL412</f>
        <v>0.26666666666666683</v>
      </c>
      <c r="CH104" s="242">
        <f>IS!CM412</f>
        <v>0.25</v>
      </c>
      <c r="CI104" s="242">
        <f>IS!CN412</f>
        <v>0.23529411764705865</v>
      </c>
      <c r="CJ104" s="243">
        <f>IS!CO412</f>
        <v>0.24263360827958658</v>
      </c>
      <c r="CK104" s="242">
        <f>IS!CP412</f>
        <v>1.5</v>
      </c>
      <c r="CL104" s="298">
        <f>IS!CQ412</f>
        <v>1.3684210526315788</v>
      </c>
      <c r="CM104" s="298">
        <f>IS!CR412</f>
        <v>1.25</v>
      </c>
      <c r="CN104" s="298">
        <f>IS!CS412</f>
        <v>1.1428571428571428</v>
      </c>
      <c r="CO104" s="243">
        <f>IS!CT412</f>
        <v>1.330093059471551</v>
      </c>
      <c r="CP104" s="298">
        <f>IS!CU412</f>
        <v>0.1</v>
      </c>
      <c r="CQ104" s="298">
        <f>IS!CV412</f>
        <v>0.10000000000000009</v>
      </c>
      <c r="CR104" s="298">
        <f>IS!CW412</f>
        <v>0.10000000000000009</v>
      </c>
      <c r="CS104" s="298">
        <f>IS!CX412</f>
        <v>0.10000000000000009</v>
      </c>
      <c r="CT104" s="243">
        <f>IS!CY412</f>
        <v>8.407739158908667E-2</v>
      </c>
      <c r="CU104" s="298">
        <f>IS!CZ412</f>
        <v>0.1</v>
      </c>
      <c r="CV104" s="298">
        <f>IS!DA412</f>
        <v>0.10000000000000009</v>
      </c>
      <c r="CW104" s="298">
        <f>IS!DB412</f>
        <v>0.10000000000000009</v>
      </c>
      <c r="CX104" s="298">
        <f>IS!DC412</f>
        <v>0.10000000000000009</v>
      </c>
      <c r="CY104" s="243">
        <f>IS!DD412</f>
        <v>0.11240217179827683</v>
      </c>
      <c r="CZ104" s="298">
        <f>IS!DE412</f>
        <v>0.1</v>
      </c>
      <c r="DA104" s="298">
        <f>IS!DF412</f>
        <v>0.10000000000000009</v>
      </c>
      <c r="DB104" s="298">
        <f>IS!DG412</f>
        <v>0.10000000000000009</v>
      </c>
      <c r="DC104" s="298">
        <f>IS!DH412</f>
        <v>0.10000000000000009</v>
      </c>
      <c r="DD104" s="243">
        <f>IS!DI412</f>
        <v>0.1119581851897018</v>
      </c>
      <c r="DE104" s="298">
        <f>IS!DJ412</f>
        <v>0.1</v>
      </c>
      <c r="DF104" s="298">
        <f>IS!DK412</f>
        <v>0.10000000000000009</v>
      </c>
      <c r="DG104" s="298">
        <f>IS!DL412</f>
        <v>0.10000000000000009</v>
      </c>
      <c r="DH104" s="298">
        <f>IS!DM412</f>
        <v>0.10000000000000009</v>
      </c>
      <c r="DI104" s="243">
        <f>IS!DN412</f>
        <v>9.6202850476101887E-2</v>
      </c>
      <c r="DJ104" s="298">
        <f>IS!DO412</f>
        <v>0.1</v>
      </c>
      <c r="DK104" s="298">
        <f>IS!DP412</f>
        <v>0.10000000000000009</v>
      </c>
      <c r="DL104" s="298">
        <f>IS!DQ412</f>
        <v>0.10000000000000009</v>
      </c>
      <c r="DM104" s="298">
        <f>IS!DR412</f>
        <v>0.10000000000000009</v>
      </c>
      <c r="DN104" s="243">
        <f>IS!DS412</f>
        <v>0.11333246162656918</v>
      </c>
      <c r="DO104" s="298">
        <f>IS!DT412</f>
        <v>0.1</v>
      </c>
      <c r="DP104" s="298">
        <f>IS!DU412</f>
        <v>0.10000000000000009</v>
      </c>
      <c r="DQ104" s="298">
        <f>IS!DV412</f>
        <v>0.10000000000000009</v>
      </c>
      <c r="DR104" s="298">
        <f>IS!DW412</f>
        <v>0.10000000000000009</v>
      </c>
      <c r="DS104" s="243">
        <f>IS!DX412</f>
        <v>0.10213304597856654</v>
      </c>
      <c r="DT104" s="298">
        <f>IS!DY412</f>
        <v>0.1</v>
      </c>
      <c r="DU104" s="298">
        <f>IS!DZ412</f>
        <v>0.10000000000000009</v>
      </c>
      <c r="DV104" s="298">
        <f>IS!EA412</f>
        <v>0.10000000000000009</v>
      </c>
      <c r="DW104" s="298">
        <f>IS!EB412</f>
        <v>0.10000000000000009</v>
      </c>
      <c r="DX104" s="243">
        <f>IS!EC412</f>
        <v>9.1492133592528058E-2</v>
      </c>
      <c r="DY104" s="118"/>
      <c r="DZ104" s="118"/>
      <c r="EA104" s="118"/>
      <c r="EB104" s="118"/>
      <c r="EC104" s="118"/>
      <c r="ED104" s="118"/>
      <c r="EE104" s="118"/>
      <c r="EF104" s="118"/>
      <c r="EG104" s="118"/>
      <c r="EH104" s="118"/>
      <c r="EI104" s="118"/>
      <c r="EJ104" s="118"/>
      <c r="EK104" s="118"/>
      <c r="EL104" s="118"/>
      <c r="EM104" s="118"/>
      <c r="EN104" s="118"/>
      <c r="EU104" s="986"/>
      <c r="EV104" s="987"/>
      <c r="EW104" s="118"/>
      <c r="EX104" s="986"/>
      <c r="EY104" s="986"/>
      <c r="EZ104" s="986"/>
      <c r="FA104" s="473"/>
      <c r="FB104" s="986"/>
      <c r="FC104" s="986"/>
      <c r="FD104" s="986"/>
      <c r="FE104" s="118"/>
      <c r="FF104" s="118"/>
      <c r="FG104" s="118"/>
      <c r="FH104" s="118"/>
      <c r="FI104" s="118"/>
      <c r="FJ104" s="118"/>
    </row>
    <row r="105" spans="1:166" x14ac:dyDescent="0.2">
      <c r="A105" s="490" t="s">
        <v>50</v>
      </c>
      <c r="B105" s="16"/>
      <c r="C105" s="16"/>
      <c r="D105" s="16"/>
      <c r="E105" s="16"/>
      <c r="F105" s="16"/>
      <c r="G105" s="16"/>
      <c r="H105" s="16"/>
      <c r="I105" s="16"/>
      <c r="J105" s="16"/>
      <c r="K105" s="16"/>
      <c r="L105" s="16"/>
      <c r="M105" s="16"/>
      <c r="N105" s="16"/>
      <c r="O105" s="16"/>
      <c r="P105" s="16"/>
      <c r="Q105" s="123"/>
      <c r="R105" s="21"/>
      <c r="S105" s="21"/>
      <c r="T105" s="21"/>
      <c r="U105" s="21"/>
      <c r="V105" s="123"/>
      <c r="W105" s="21"/>
      <c r="X105" s="21"/>
      <c r="Y105" s="21"/>
      <c r="Z105" s="21"/>
      <c r="AA105" s="123"/>
      <c r="AB105" s="21"/>
      <c r="AC105" s="21"/>
      <c r="AD105" s="21"/>
      <c r="AE105" s="21"/>
      <c r="AF105" s="123"/>
      <c r="AG105" s="21"/>
      <c r="AH105" s="21"/>
      <c r="AI105" s="21"/>
      <c r="AJ105" s="21"/>
      <c r="AK105" s="123"/>
      <c r="AL105" s="21"/>
      <c r="AM105" s="21"/>
      <c r="AN105" s="21"/>
      <c r="AO105" s="21"/>
      <c r="AP105" s="123"/>
      <c r="AQ105" s="21"/>
      <c r="AR105" s="21"/>
      <c r="AS105" s="21"/>
      <c r="AT105" s="21"/>
      <c r="AU105" s="122"/>
      <c r="AV105" s="45"/>
      <c r="AW105" s="21"/>
      <c r="AX105" s="21"/>
      <c r="AY105" s="21"/>
      <c r="AZ105" s="21"/>
      <c r="BA105" s="123"/>
      <c r="BB105" s="122"/>
      <c r="BC105" s="21"/>
      <c r="BD105" s="21"/>
      <c r="BE105" s="21"/>
      <c r="BF105" s="123"/>
      <c r="BG105" s="21"/>
      <c r="BH105" s="21"/>
      <c r="BI105" s="21"/>
      <c r="BJ105" s="38">
        <f>IS!BJ413</f>
        <v>0</v>
      </c>
      <c r="BK105" s="40">
        <f>IS!BK413</f>
        <v>0</v>
      </c>
      <c r="BL105" s="38">
        <f>IS!BL413</f>
        <v>0</v>
      </c>
      <c r="BM105" s="38">
        <f>IS!BM413</f>
        <v>0</v>
      </c>
      <c r="BN105" s="38">
        <f>IS!BN413</f>
        <v>0</v>
      </c>
      <c r="BO105" s="38">
        <f>IS!BO413</f>
        <v>0</v>
      </c>
      <c r="BP105" s="40">
        <f>IS!BP413</f>
        <v>0</v>
      </c>
      <c r="BQ105" s="38">
        <f>IS!BQ413</f>
        <v>0</v>
      </c>
      <c r="BR105" s="38">
        <f>IS!BR413</f>
        <v>0</v>
      </c>
      <c r="BS105" s="38">
        <f>IS!BS413</f>
        <v>0</v>
      </c>
      <c r="BT105" s="38">
        <f>IS!BT413</f>
        <v>0</v>
      </c>
      <c r="BU105" s="40">
        <f>IS!BU413</f>
        <v>0</v>
      </c>
      <c r="BV105" s="38">
        <f>IS!CA413</f>
        <v>0</v>
      </c>
      <c r="BW105" s="1102">
        <f>IS!CB413</f>
        <v>0</v>
      </c>
      <c r="BX105" s="38">
        <f>IS!CC413</f>
        <v>0</v>
      </c>
      <c r="BY105" s="38">
        <f>IS!CD413</f>
        <v>0</v>
      </c>
      <c r="BZ105" s="40">
        <f>IS!CE413</f>
        <v>0</v>
      </c>
      <c r="CA105" s="38">
        <f>IS!CF413</f>
        <v>0</v>
      </c>
      <c r="CB105" s="38">
        <f>IS!CG413</f>
        <v>0</v>
      </c>
      <c r="CC105" s="38">
        <f>IS!CH413</f>
        <v>0</v>
      </c>
      <c r="CD105" s="38">
        <f>IS!CI413</f>
        <v>0</v>
      </c>
      <c r="CE105" s="40">
        <f>IS!CJ413</f>
        <v>0</v>
      </c>
      <c r="CF105" s="38">
        <f>IS!CK413</f>
        <v>0</v>
      </c>
      <c r="CG105" s="38">
        <f>IS!CL413</f>
        <v>0</v>
      </c>
      <c r="CH105" s="38">
        <f>IS!CM413</f>
        <v>0</v>
      </c>
      <c r="CI105" s="38">
        <f>IS!CN413</f>
        <v>0</v>
      </c>
      <c r="CJ105" s="40">
        <f>IS!CO413</f>
        <v>0</v>
      </c>
      <c r="CK105" s="38">
        <f>IS!CP413</f>
        <v>0</v>
      </c>
      <c r="CL105" s="38">
        <f>IS!CQ413</f>
        <v>0</v>
      </c>
      <c r="CM105" s="38">
        <f>IS!CR413</f>
        <v>0</v>
      </c>
      <c r="CN105" s="38">
        <f>IS!CS413</f>
        <v>0</v>
      </c>
      <c r="CO105" s="40">
        <f>IS!CT413</f>
        <v>0</v>
      </c>
      <c r="CP105" s="38">
        <f>IS!CU413</f>
        <v>0</v>
      </c>
      <c r="CQ105" s="38">
        <f>IS!CV413</f>
        <v>0</v>
      </c>
      <c r="CR105" s="38">
        <f>IS!CW413</f>
        <v>0</v>
      </c>
      <c r="CS105" s="38">
        <f>IS!CX413</f>
        <v>0</v>
      </c>
      <c r="CT105" s="40">
        <f>IS!CY413</f>
        <v>0</v>
      </c>
      <c r="CU105" s="38">
        <f>IS!CZ413</f>
        <v>0</v>
      </c>
      <c r="CV105" s="38">
        <f>IS!DA413</f>
        <v>0</v>
      </c>
      <c r="CW105" s="38">
        <f>IS!DB413</f>
        <v>0</v>
      </c>
      <c r="CX105" s="38">
        <f>IS!DC413</f>
        <v>0</v>
      </c>
      <c r="CY105" s="40">
        <f>IS!DD413</f>
        <v>0</v>
      </c>
      <c r="CZ105" s="38">
        <f>IS!DE413</f>
        <v>0</v>
      </c>
      <c r="DA105" s="38">
        <f>IS!DF413</f>
        <v>0</v>
      </c>
      <c r="DB105" s="38">
        <f>IS!DG413</f>
        <v>0</v>
      </c>
      <c r="DC105" s="38">
        <f>IS!DH413</f>
        <v>0</v>
      </c>
      <c r="DD105" s="40">
        <f>IS!DI413</f>
        <v>0</v>
      </c>
      <c r="DE105" s="38">
        <f>IS!DJ413</f>
        <v>0</v>
      </c>
      <c r="DF105" s="38">
        <f>IS!DK413</f>
        <v>0</v>
      </c>
      <c r="DG105" s="38">
        <f>IS!DL413</f>
        <v>0</v>
      </c>
      <c r="DH105" s="38">
        <f>IS!DM413</f>
        <v>0</v>
      </c>
      <c r="DI105" s="40">
        <f>IS!DN413</f>
        <v>0</v>
      </c>
      <c r="DJ105" s="38">
        <f>IS!DO413</f>
        <v>0</v>
      </c>
      <c r="DK105" s="38">
        <f>IS!DP413</f>
        <v>0</v>
      </c>
      <c r="DL105" s="38">
        <f>IS!DQ413</f>
        <v>0</v>
      </c>
      <c r="DM105" s="38">
        <f>IS!DR413</f>
        <v>0</v>
      </c>
      <c r="DN105" s="40">
        <f>IS!DS413</f>
        <v>0</v>
      </c>
      <c r="DO105" s="38">
        <f>IS!DT413</f>
        <v>0</v>
      </c>
      <c r="DP105" s="38">
        <f>IS!DU413</f>
        <v>0</v>
      </c>
      <c r="DQ105" s="38">
        <f>IS!DV413</f>
        <v>0</v>
      </c>
      <c r="DR105" s="38">
        <f>IS!DW413</f>
        <v>0</v>
      </c>
      <c r="DS105" s="40">
        <f>IS!DX413</f>
        <v>0</v>
      </c>
      <c r="DT105" s="38">
        <f>IS!DY413</f>
        <v>0</v>
      </c>
      <c r="DU105" s="38">
        <f>IS!DZ413</f>
        <v>0</v>
      </c>
      <c r="DV105" s="38">
        <f>IS!EA413</f>
        <v>0</v>
      </c>
      <c r="DW105" s="38">
        <f>IS!EB413</f>
        <v>0</v>
      </c>
      <c r="DX105" s="40">
        <f>IS!EC413</f>
        <v>0</v>
      </c>
      <c r="DY105" s="16"/>
      <c r="DZ105" s="16"/>
      <c r="EA105" s="16"/>
      <c r="EB105" s="16"/>
      <c r="EC105" s="16"/>
      <c r="ED105" s="16"/>
      <c r="EE105" s="16"/>
      <c r="EF105" s="16"/>
      <c r="EG105" s="16"/>
      <c r="EH105" s="16"/>
      <c r="EI105" s="16"/>
      <c r="EJ105" s="16"/>
      <c r="EK105" s="16"/>
      <c r="EL105" s="16"/>
      <c r="EM105" s="16"/>
      <c r="EN105" s="16"/>
      <c r="EU105" s="228"/>
      <c r="EV105" s="477"/>
      <c r="EW105" s="16"/>
      <c r="EX105" s="228"/>
      <c r="EY105" s="228"/>
      <c r="EZ105" s="228"/>
      <c r="FA105" s="472"/>
      <c r="FB105" s="228"/>
      <c r="FC105" s="228"/>
      <c r="FD105" s="228"/>
      <c r="FE105" s="16"/>
      <c r="FF105" s="16"/>
      <c r="FG105" s="16"/>
      <c r="FH105" s="16"/>
      <c r="FI105" s="16"/>
      <c r="FJ105" s="16"/>
    </row>
    <row r="106" spans="1:166" x14ac:dyDescent="0.2">
      <c r="A106" s="490" t="s">
        <v>53</v>
      </c>
      <c r="B106" s="16"/>
      <c r="C106" s="16"/>
      <c r="D106" s="16"/>
      <c r="E106" s="16"/>
      <c r="F106" s="16"/>
      <c r="G106" s="16"/>
      <c r="H106" s="16"/>
      <c r="I106" s="16"/>
      <c r="J106" s="16"/>
      <c r="K106" s="16"/>
      <c r="L106" s="16"/>
      <c r="M106" s="16"/>
      <c r="N106" s="16"/>
      <c r="O106" s="16"/>
      <c r="P106" s="16"/>
      <c r="Q106" s="123"/>
      <c r="R106" s="21"/>
      <c r="S106" s="21"/>
      <c r="T106" s="21"/>
      <c r="U106" s="21"/>
      <c r="V106" s="123"/>
      <c r="W106" s="21"/>
      <c r="X106" s="21"/>
      <c r="Y106" s="21"/>
      <c r="Z106" s="21"/>
      <c r="AA106" s="123"/>
      <c r="AB106" s="21"/>
      <c r="AC106" s="21"/>
      <c r="AD106" s="21"/>
      <c r="AE106" s="21"/>
      <c r="AF106" s="123"/>
      <c r="AG106" s="21"/>
      <c r="AH106" s="21"/>
      <c r="AI106" s="21"/>
      <c r="AJ106" s="21"/>
      <c r="AK106" s="123"/>
      <c r="AL106" s="21"/>
      <c r="AM106" s="21"/>
      <c r="AN106" s="21"/>
      <c r="AO106" s="21"/>
      <c r="AP106" s="123"/>
      <c r="AQ106" s="21"/>
      <c r="AR106" s="21"/>
      <c r="AS106" s="21"/>
      <c r="AT106" s="21"/>
      <c r="AU106" s="122"/>
      <c r="AV106" s="45"/>
      <c r="AW106" s="21"/>
      <c r="AX106" s="21"/>
      <c r="AY106" s="21"/>
      <c r="AZ106" s="21"/>
      <c r="BA106" s="123"/>
      <c r="BB106" s="122"/>
      <c r="BC106" s="21"/>
      <c r="BD106" s="21"/>
      <c r="BE106" s="21"/>
      <c r="BF106" s="123"/>
      <c r="BG106" s="21"/>
      <c r="BH106" s="21"/>
      <c r="BI106" s="21"/>
      <c r="BJ106" s="38">
        <f>IS!BJ414</f>
        <v>0</v>
      </c>
      <c r="BK106" s="40">
        <f>IS!BK414</f>
        <v>0</v>
      </c>
      <c r="BL106" s="38">
        <f>IS!BL414</f>
        <v>0</v>
      </c>
      <c r="BM106" s="38">
        <f>IS!BM414</f>
        <v>0</v>
      </c>
      <c r="BN106" s="38">
        <f>IS!BN414</f>
        <v>0</v>
      </c>
      <c r="BO106" s="38">
        <f>IS!BO414</f>
        <v>0</v>
      </c>
      <c r="BP106" s="40">
        <f>IS!BP414</f>
        <v>0</v>
      </c>
      <c r="BQ106" s="38">
        <f>IS!BQ414</f>
        <v>0</v>
      </c>
      <c r="BR106" s="38">
        <f>IS!BR414</f>
        <v>0</v>
      </c>
      <c r="BS106" s="38">
        <f>IS!BS414</f>
        <v>0</v>
      </c>
      <c r="BT106" s="38">
        <f>IS!BT414</f>
        <v>0</v>
      </c>
      <c r="BU106" s="40">
        <f>IS!BU414</f>
        <v>0</v>
      </c>
      <c r="BV106" s="38">
        <f>IS!CA414</f>
        <v>0</v>
      </c>
      <c r="BW106" s="1418">
        <f>IS!CB414</f>
        <v>0</v>
      </c>
      <c r="BX106" s="38">
        <f>IS!CC414</f>
        <v>0</v>
      </c>
      <c r="BY106" s="38">
        <f>IS!CD414</f>
        <v>0</v>
      </c>
      <c r="BZ106" s="924">
        <f>IS!CE414</f>
        <v>0</v>
      </c>
      <c r="CA106" s="38">
        <f>IS!CF414</f>
        <v>0</v>
      </c>
      <c r="CB106" s="845">
        <f>IS!CG414</f>
        <v>0</v>
      </c>
      <c r="CC106" s="38">
        <f>IS!CH414</f>
        <v>0</v>
      </c>
      <c r="CD106" s="38">
        <f>IS!CI414</f>
        <v>0</v>
      </c>
      <c r="CE106" s="40">
        <f>IS!CJ414</f>
        <v>0</v>
      </c>
      <c r="CF106" s="38">
        <f>IS!CK414</f>
        <v>0</v>
      </c>
      <c r="CG106" s="845">
        <f>IS!CL414</f>
        <v>0</v>
      </c>
      <c r="CH106" s="38">
        <f>IS!CM414</f>
        <v>0</v>
      </c>
      <c r="CI106" s="38">
        <f>IS!CN414</f>
        <v>0</v>
      </c>
      <c r="CJ106" s="40">
        <f>IS!CO414</f>
        <v>0</v>
      </c>
      <c r="CK106" s="38">
        <f>IS!CP414</f>
        <v>0</v>
      </c>
      <c r="CL106" s="845">
        <f>IS!CQ414</f>
        <v>0</v>
      </c>
      <c r="CM106" s="38">
        <f>IS!CR414</f>
        <v>0</v>
      </c>
      <c r="CN106" s="38">
        <f>IS!CS414</f>
        <v>0</v>
      </c>
      <c r="CO106" s="40">
        <f>IS!CT414</f>
        <v>0</v>
      </c>
      <c r="CP106" s="38">
        <f>IS!CU414</f>
        <v>0</v>
      </c>
      <c r="CQ106" s="845">
        <f>IS!CV414</f>
        <v>0</v>
      </c>
      <c r="CR106" s="38">
        <f>IS!CW414</f>
        <v>0</v>
      </c>
      <c r="CS106" s="38">
        <f>IS!CX414</f>
        <v>0</v>
      </c>
      <c r="CT106" s="40">
        <f>IS!CY414</f>
        <v>0</v>
      </c>
      <c r="CU106" s="38">
        <f>IS!CZ414</f>
        <v>0</v>
      </c>
      <c r="CV106" s="845">
        <f>IS!DA414</f>
        <v>0</v>
      </c>
      <c r="CW106" s="38">
        <f>IS!DB414</f>
        <v>0</v>
      </c>
      <c r="CX106" s="38">
        <f>IS!DC414</f>
        <v>0</v>
      </c>
      <c r="CY106" s="40">
        <f>IS!DD414</f>
        <v>0</v>
      </c>
      <c r="CZ106" s="38">
        <f>IS!DE414</f>
        <v>0</v>
      </c>
      <c r="DA106" s="845">
        <f>IS!DF414</f>
        <v>0</v>
      </c>
      <c r="DB106" s="38">
        <f>IS!DG414</f>
        <v>0</v>
      </c>
      <c r="DC106" s="38">
        <f>IS!DH414</f>
        <v>0</v>
      </c>
      <c r="DD106" s="40">
        <f>IS!DI414</f>
        <v>0</v>
      </c>
      <c r="DE106" s="38">
        <f>IS!DJ414</f>
        <v>0</v>
      </c>
      <c r="DF106" s="845">
        <f>IS!DK414</f>
        <v>0</v>
      </c>
      <c r="DG106" s="38">
        <f>IS!DL414</f>
        <v>0</v>
      </c>
      <c r="DH106" s="38">
        <f>IS!DM414</f>
        <v>0</v>
      </c>
      <c r="DI106" s="40">
        <f>IS!DN414</f>
        <v>0</v>
      </c>
      <c r="DJ106" s="38">
        <f>IS!DO414</f>
        <v>0</v>
      </c>
      <c r="DK106" s="845">
        <f>IS!DP414</f>
        <v>0</v>
      </c>
      <c r="DL106" s="38">
        <f>IS!DQ414</f>
        <v>0</v>
      </c>
      <c r="DM106" s="38">
        <f>IS!DR414</f>
        <v>0</v>
      </c>
      <c r="DN106" s="40">
        <f>IS!DS414</f>
        <v>0</v>
      </c>
      <c r="DO106" s="38">
        <f>IS!DT414</f>
        <v>0</v>
      </c>
      <c r="DP106" s="845">
        <f>IS!DU414</f>
        <v>0</v>
      </c>
      <c r="DQ106" s="38">
        <f>IS!DV414</f>
        <v>0</v>
      </c>
      <c r="DR106" s="38">
        <f>IS!DW414</f>
        <v>0</v>
      </c>
      <c r="DS106" s="40">
        <f>IS!DX414</f>
        <v>0</v>
      </c>
      <c r="DT106" s="38">
        <f>IS!DY414</f>
        <v>0</v>
      </c>
      <c r="DU106" s="845">
        <f>IS!DZ414</f>
        <v>0</v>
      </c>
      <c r="DV106" s="38">
        <f>IS!EA414</f>
        <v>0</v>
      </c>
      <c r="DW106" s="38">
        <f>IS!EB414</f>
        <v>0</v>
      </c>
      <c r="DX106" s="40">
        <f>IS!EC414</f>
        <v>0</v>
      </c>
      <c r="DY106" s="16"/>
      <c r="DZ106" s="16"/>
      <c r="EA106" s="16"/>
      <c r="EB106" s="16"/>
      <c r="EC106" s="16"/>
      <c r="ED106" s="16"/>
      <c r="EE106" s="16"/>
      <c r="EF106" s="16"/>
      <c r="EG106" s="16"/>
      <c r="EH106" s="16"/>
      <c r="EI106" s="16"/>
      <c r="EJ106" s="16"/>
      <c r="EK106" s="16"/>
      <c r="EL106" s="16"/>
      <c r="EM106" s="16"/>
      <c r="EN106" s="16"/>
      <c r="EU106" s="228"/>
      <c r="EV106" s="477"/>
      <c r="EW106" s="16"/>
      <c r="EX106" s="228"/>
      <c r="EY106" s="228"/>
      <c r="EZ106" s="228"/>
      <c r="FA106" s="472"/>
      <c r="FB106" s="228"/>
      <c r="FC106" s="228"/>
      <c r="FD106" s="228"/>
      <c r="FE106" s="16"/>
      <c r="FF106" s="16"/>
      <c r="FG106" s="16"/>
      <c r="FH106" s="16"/>
      <c r="FI106" s="16"/>
      <c r="FJ106" s="16"/>
    </row>
    <row r="107" spans="1:166" x14ac:dyDescent="0.2">
      <c r="A107" s="490" t="s">
        <v>48</v>
      </c>
      <c r="B107" s="16"/>
      <c r="C107" s="16"/>
      <c r="D107" s="16"/>
      <c r="E107" s="16"/>
      <c r="F107" s="16"/>
      <c r="G107" s="16"/>
      <c r="H107" s="16"/>
      <c r="I107" s="16"/>
      <c r="J107" s="16"/>
      <c r="K107" s="16"/>
      <c r="L107" s="16"/>
      <c r="M107" s="16"/>
      <c r="N107" s="16"/>
      <c r="O107" s="16"/>
      <c r="P107" s="16"/>
      <c r="Q107" s="123"/>
      <c r="R107" s="21"/>
      <c r="S107" s="21"/>
      <c r="T107" s="21"/>
      <c r="U107" s="21"/>
      <c r="V107" s="123"/>
      <c r="W107" s="21"/>
      <c r="X107" s="21"/>
      <c r="Y107" s="21"/>
      <c r="Z107" s="21"/>
      <c r="AA107" s="123"/>
      <c r="AB107" s="21"/>
      <c r="AC107" s="21"/>
      <c r="AD107" s="21"/>
      <c r="AE107" s="21"/>
      <c r="AF107" s="123"/>
      <c r="AG107" s="21"/>
      <c r="AH107" s="21"/>
      <c r="AI107" s="21"/>
      <c r="AJ107" s="21"/>
      <c r="AK107" s="123"/>
      <c r="AL107" s="21"/>
      <c r="AM107" s="21"/>
      <c r="AN107" s="21"/>
      <c r="AO107" s="21"/>
      <c r="AP107" s="123"/>
      <c r="AQ107" s="21"/>
      <c r="AR107" s="21"/>
      <c r="AS107" s="21"/>
      <c r="AT107" s="21"/>
      <c r="AU107" s="122"/>
      <c r="AV107" s="45"/>
      <c r="AW107" s="21"/>
      <c r="AX107" s="21"/>
      <c r="AY107" s="21"/>
      <c r="AZ107" s="21"/>
      <c r="BA107" s="123"/>
      <c r="BB107" s="122"/>
      <c r="BC107" s="21"/>
      <c r="BD107" s="21"/>
      <c r="BE107" s="21"/>
      <c r="BF107" s="123"/>
      <c r="BG107" s="21"/>
      <c r="BH107" s="21"/>
      <c r="BI107" s="21"/>
      <c r="BJ107" s="38">
        <f>IS!BJ415</f>
        <v>14</v>
      </c>
      <c r="BK107" s="40">
        <f>IS!BK415</f>
        <v>0</v>
      </c>
      <c r="BL107" s="38">
        <f>IS!BL415</f>
        <v>17.5</v>
      </c>
      <c r="BM107" s="38">
        <f>IS!BM415</f>
        <v>21.1</v>
      </c>
      <c r="BN107" s="38">
        <f>IS!BN415</f>
        <v>21.1</v>
      </c>
      <c r="BO107" s="38">
        <f>IS!BO415</f>
        <v>24.599999999999994</v>
      </c>
      <c r="BP107" s="40">
        <f>IS!BP415</f>
        <v>84.3</v>
      </c>
      <c r="BQ107" s="38">
        <f>IS!BQ415</f>
        <v>24.6</v>
      </c>
      <c r="BR107" s="38">
        <f>IS!BR415</f>
        <v>24.699999999999996</v>
      </c>
      <c r="BS107" s="38">
        <f>IS!BS415</f>
        <v>28.100000000000009</v>
      </c>
      <c r="BT107" s="38">
        <f>IS!BT415</f>
        <v>28.199999999999989</v>
      </c>
      <c r="BU107" s="40">
        <f>IS!BU415</f>
        <v>105.6</v>
      </c>
      <c r="BV107" s="38">
        <f>IS!CA415</f>
        <v>42.047638649999996</v>
      </c>
      <c r="BW107" s="1348">
        <f>IS!CB415</f>
        <v>46.734616800000005</v>
      </c>
      <c r="BX107" s="38">
        <f>IS!CC415</f>
        <v>56.085437339999999</v>
      </c>
      <c r="BY107" s="38">
        <f>IS!CD415</f>
        <v>60.245793204999998</v>
      </c>
      <c r="BZ107" s="40">
        <f>IS!CE415</f>
        <v>205.11348599500002</v>
      </c>
      <c r="CA107" s="38">
        <f>IS!CF415</f>
        <v>64.560750519999999</v>
      </c>
      <c r="CB107" s="38">
        <f>IS!CG415</f>
        <v>69.281608724999998</v>
      </c>
      <c r="CC107" s="38">
        <f>IS!CH415</f>
        <v>73.764238640000002</v>
      </c>
      <c r="CD107" s="38">
        <f>IS!CI415</f>
        <v>78.402255970000013</v>
      </c>
      <c r="CE107" s="40">
        <f>IS!CJ415</f>
        <v>286.00885385500004</v>
      </c>
      <c r="CF107" s="38">
        <f>IS!CK415</f>
        <v>83.122391699999994</v>
      </c>
      <c r="CG107" s="38">
        <f>IS!CL415</f>
        <v>87.917379405000005</v>
      </c>
      <c r="CH107" s="38">
        <f>IS!CM415</f>
        <v>92.721394599999996</v>
      </c>
      <c r="CI107" s="38">
        <f>IS!CN415</f>
        <v>97.201260974999997</v>
      </c>
      <c r="CJ107" s="40">
        <f>IS!CO415</f>
        <v>360.96242668000002</v>
      </c>
      <c r="CK107" s="38">
        <f>IS!CP415</f>
        <v>208.89426532499999</v>
      </c>
      <c r="CL107" s="38">
        <f>IS!CQ415</f>
        <v>209.93353064999999</v>
      </c>
      <c r="CM107" s="38">
        <f>IS!CR415</f>
        <v>209.67109065000005</v>
      </c>
      <c r="CN107" s="38">
        <f>IS!CS415</f>
        <v>209.40865065000003</v>
      </c>
      <c r="CO107" s="40">
        <f>IS!CT415</f>
        <v>837.9075372750001</v>
      </c>
      <c r="CP107" s="38">
        <f>IS!CU415</f>
        <v>217.4178627525917</v>
      </c>
      <c r="CQ107" s="38">
        <f>IS!CV415</f>
        <v>230.91533635500002</v>
      </c>
      <c r="CR107" s="38">
        <f>IS!CW415</f>
        <v>230.60355763500002</v>
      </c>
      <c r="CS107" s="38">
        <f>IS!CX415</f>
        <v>230.29177891500001</v>
      </c>
      <c r="CT107" s="40">
        <f>IS!CY415</f>
        <v>909.22853565759181</v>
      </c>
      <c r="CU107" s="38">
        <f>IS!CZ415</f>
        <v>250.40188865590326</v>
      </c>
      <c r="CV107" s="38">
        <f>IS!DA415</f>
        <v>253.99315172682003</v>
      </c>
      <c r="CW107" s="38">
        <f>IS!DB415</f>
        <v>253.62275860746007</v>
      </c>
      <c r="CX107" s="38">
        <f>IS!DC415</f>
        <v>253.25236548810003</v>
      </c>
      <c r="CY107" s="40">
        <f>IS!DD415</f>
        <v>1011.2701644782834</v>
      </c>
      <c r="CZ107" s="38">
        <f>IS!DE415</f>
        <v>287.49240499338379</v>
      </c>
      <c r="DA107" s="38">
        <f>IS!DF415</f>
        <v>279.37616960225023</v>
      </c>
      <c r="DB107" s="38">
        <f>IS!DG415</f>
        <v>278.93614257645061</v>
      </c>
      <c r="DC107" s="38">
        <f>IS!DH415</f>
        <v>278.49611555065087</v>
      </c>
      <c r="DD107" s="40">
        <f>IS!DI415</f>
        <v>1124.3008327227355</v>
      </c>
      <c r="DE107" s="38">
        <f>IS!DJ415</f>
        <v>311.92264086537841</v>
      </c>
      <c r="DF107" s="38">
        <f>IS!DK415</f>
        <v>307.29442537334012</v>
      </c>
      <c r="DG107" s="38">
        <f>IS!DL415</f>
        <v>306.77167326669007</v>
      </c>
      <c r="DH107" s="38">
        <f>IS!DM415</f>
        <v>306.24892116004008</v>
      </c>
      <c r="DI107" s="40">
        <f>IS!DN415</f>
        <v>1232.2376606654486</v>
      </c>
      <c r="DJ107" s="38">
        <f>IS!DO415</f>
        <v>359.48119809263676</v>
      </c>
      <c r="DK107" s="38">
        <f>IS!DP415</f>
        <v>338.00086681798155</v>
      </c>
      <c r="DL107" s="38">
        <f>IS!DQ415</f>
        <v>337.37983731528135</v>
      </c>
      <c r="DM107" s="38">
        <f>IS!DR415</f>
        <v>336.75880781258115</v>
      </c>
      <c r="DN107" s="40">
        <f>IS!DS415</f>
        <v>1371.6207100384809</v>
      </c>
      <c r="DO107" s="38">
        <f>IS!DT415</f>
        <v>398.2802149441622</v>
      </c>
      <c r="DP107" s="38">
        <f>IS!DU415</f>
        <v>371.77362820166093</v>
      </c>
      <c r="DQ107" s="38">
        <f>IS!DV415</f>
        <v>371.03584515245308</v>
      </c>
      <c r="DR107" s="38">
        <f>IS!DW415</f>
        <v>370.29806210324529</v>
      </c>
      <c r="DS107" s="40">
        <f>IS!DX415</f>
        <v>1511.3877504015213</v>
      </c>
      <c r="DT107" s="38">
        <f>IS!DY415</f>
        <v>425.16359707549555</v>
      </c>
      <c r="DU107" s="38">
        <f>IS!DZ415</f>
        <v>408.91852856766189</v>
      </c>
      <c r="DV107" s="38">
        <f>IS!EA415</f>
        <v>408.04204230520298</v>
      </c>
      <c r="DW107" s="38">
        <f>IS!EB415</f>
        <v>407.16555604274396</v>
      </c>
      <c r="DX107" s="40">
        <f>IS!EC415</f>
        <v>1649.2897239911044</v>
      </c>
      <c r="DY107" s="16"/>
      <c r="DZ107" s="16"/>
      <c r="EA107" s="16"/>
      <c r="EB107" s="16"/>
      <c r="EC107" s="16"/>
      <c r="ED107" s="16"/>
      <c r="EE107" s="16"/>
      <c r="EF107" s="16"/>
      <c r="EG107" s="16"/>
      <c r="EH107" s="16"/>
      <c r="EI107" s="16"/>
      <c r="EJ107" s="16"/>
      <c r="EK107" s="16"/>
      <c r="EL107" s="16"/>
      <c r="EM107" s="16"/>
      <c r="EN107" s="16"/>
      <c r="EU107" s="228"/>
      <c r="EV107" s="477"/>
      <c r="EW107" s="16"/>
      <c r="EX107" s="228"/>
      <c r="EY107" s="228"/>
      <c r="EZ107" s="228"/>
      <c r="FA107" s="472"/>
      <c r="FB107" s="228"/>
      <c r="FC107" s="228"/>
      <c r="FD107" s="228"/>
      <c r="FE107" s="16"/>
      <c r="FF107" s="16"/>
      <c r="FG107" s="16"/>
      <c r="FH107" s="16"/>
      <c r="FI107" s="16"/>
      <c r="FJ107" s="16"/>
    </row>
    <row r="108" spans="1:166" x14ac:dyDescent="0.2">
      <c r="A108" s="491" t="s">
        <v>52</v>
      </c>
      <c r="B108" s="29"/>
      <c r="C108" s="29"/>
      <c r="D108" s="29"/>
      <c r="E108" s="29"/>
      <c r="F108" s="29"/>
      <c r="G108" s="29"/>
      <c r="H108" s="29"/>
      <c r="I108" s="29"/>
      <c r="J108" s="29"/>
      <c r="K108" s="29"/>
      <c r="L108" s="29"/>
      <c r="M108" s="29"/>
      <c r="N108" s="29"/>
      <c r="O108" s="29"/>
      <c r="P108" s="229"/>
      <c r="Q108" s="470"/>
      <c r="R108" s="110"/>
      <c r="S108" s="110"/>
      <c r="T108" s="110"/>
      <c r="U108" s="110"/>
      <c r="V108" s="470"/>
      <c r="W108" s="110"/>
      <c r="X108" s="110"/>
      <c r="Y108" s="110"/>
      <c r="Z108" s="110"/>
      <c r="AA108" s="470"/>
      <c r="AB108" s="110"/>
      <c r="AC108" s="110"/>
      <c r="AD108" s="110"/>
      <c r="AE108" s="110"/>
      <c r="AF108" s="470"/>
      <c r="AG108" s="110"/>
      <c r="AH108" s="110"/>
      <c r="AI108" s="110"/>
      <c r="AJ108" s="110"/>
      <c r="AK108" s="152"/>
      <c r="AL108" s="110"/>
      <c r="AM108" s="110"/>
      <c r="AN108" s="110"/>
      <c r="AO108" s="110"/>
      <c r="AP108" s="152"/>
      <c r="AQ108" s="110"/>
      <c r="AR108" s="110"/>
      <c r="AS108" s="110"/>
      <c r="AT108" s="110"/>
      <c r="AU108" s="200"/>
      <c r="AV108" s="45"/>
      <c r="AW108" s="110"/>
      <c r="AX108" s="110"/>
      <c r="AY108" s="110"/>
      <c r="AZ108" s="110"/>
      <c r="BA108" s="152"/>
      <c r="BB108" s="200"/>
      <c r="BC108" s="110"/>
      <c r="BD108" s="110"/>
      <c r="BE108" s="110"/>
      <c r="BF108" s="152"/>
      <c r="BG108" s="110"/>
      <c r="BH108" s="110"/>
      <c r="BI108" s="110"/>
      <c r="BJ108" s="621">
        <f>IS!BJ416</f>
        <v>0</v>
      </c>
      <c r="BK108" s="660">
        <f>IS!BK416</f>
        <v>0</v>
      </c>
      <c r="BL108" s="621">
        <f>IS!BL416</f>
        <v>0</v>
      </c>
      <c r="BM108" s="621">
        <f>IS!BM416</f>
        <v>0</v>
      </c>
      <c r="BN108" s="621">
        <f>IS!BN416</f>
        <v>0</v>
      </c>
      <c r="BO108" s="926">
        <f>IS!BO416</f>
        <v>0.27567037279267498</v>
      </c>
      <c r="BP108" s="152">
        <f>IS!BP416</f>
        <v>0.27567037279267498</v>
      </c>
      <c r="BQ108" s="926">
        <f>IS!BQ416</f>
        <v>0.28580362726704189</v>
      </c>
      <c r="BR108" s="926">
        <f>IS!BR416</f>
        <v>0.2869223799456358</v>
      </c>
      <c r="BS108" s="926">
        <f>IS!BS416</f>
        <v>0.26486626850168793</v>
      </c>
      <c r="BT108" s="926">
        <f>IS!BT416</f>
        <v>0.31834844684545627</v>
      </c>
      <c r="BU108" s="927">
        <f>IS!BU416</f>
        <v>0.31834844684545627</v>
      </c>
      <c r="BV108" s="926">
        <f>IS!CA416</f>
        <v>0.36729322725753116</v>
      </c>
      <c r="BW108" s="1419">
        <f>IS!CB416</f>
        <v>0.48091766449196355</v>
      </c>
      <c r="BX108" s="819">
        <f>IS!CC416</f>
        <v>0.55446143307662654</v>
      </c>
      <c r="BY108" s="819">
        <f>IS!CD416</f>
        <v>0.46342917849999998</v>
      </c>
      <c r="BZ108" s="927">
        <f>IS!CE416</f>
        <v>0.46342917849999998</v>
      </c>
      <c r="CA108" s="926">
        <f>IS!CF416</f>
        <v>0.43978712888283372</v>
      </c>
      <c r="CB108" s="819">
        <f>IS!CG416</f>
        <v>0.43395934058878793</v>
      </c>
      <c r="CC108" s="819">
        <f>IS!CH416</f>
        <v>0.42861265915165625</v>
      </c>
      <c r="CD108" s="819">
        <f>IS!CI416</f>
        <v>0.42141554984009283</v>
      </c>
      <c r="CE108" s="927">
        <f>IS!CJ416</f>
        <v>0.42141554984009283</v>
      </c>
      <c r="CF108" s="819">
        <f>IS!CK416</f>
        <v>0.43030694051871421</v>
      </c>
      <c r="CG108" s="819">
        <f>IS!CL416</f>
        <v>0.42783220713399361</v>
      </c>
      <c r="CH108" s="819">
        <f>IS!CM416</f>
        <v>0.41385165747952418</v>
      </c>
      <c r="CI108" s="819">
        <f>IS!CN416</f>
        <v>0.38826147783103643</v>
      </c>
      <c r="CJ108" s="927">
        <f>IS!CO416</f>
        <v>0.38826147783103643</v>
      </c>
      <c r="CK108" s="819">
        <f>IS!CP416</f>
        <v>0.73033568857617326</v>
      </c>
      <c r="CL108" s="819">
        <f>IS!CQ416</f>
        <v>0.70611836149046292</v>
      </c>
      <c r="CM108" s="819">
        <f>IS!CR416</f>
        <v>0.6770375599779368</v>
      </c>
      <c r="CN108" s="819">
        <f>IS!CS416</f>
        <v>0.65839967219122664</v>
      </c>
      <c r="CO108" s="927">
        <f>IS!CT416</f>
        <v>0.65839967219122664</v>
      </c>
      <c r="CP108" s="819">
        <f>IS!CU416</f>
        <v>0.7</v>
      </c>
      <c r="CQ108" s="819">
        <f>IS!CV416</f>
        <v>0.71501990690986639</v>
      </c>
      <c r="CR108" s="819">
        <f>IS!CW416</f>
        <v>0.68730249682625066</v>
      </c>
      <c r="CS108" s="819">
        <f>IS!CX416</f>
        <v>0.66000719347774139</v>
      </c>
      <c r="CT108" s="927">
        <f>IS!CY416</f>
        <v>0.66000719347774139</v>
      </c>
      <c r="CU108" s="819">
        <f>IS!CZ416</f>
        <v>0.7</v>
      </c>
      <c r="CV108" s="819">
        <f>IS!DA416</f>
        <v>0.68503938656362939</v>
      </c>
      <c r="CW108" s="819">
        <f>IS!DB416</f>
        <v>0.65904938101401012</v>
      </c>
      <c r="CX108" s="819">
        <f>IS!DC416</f>
        <v>0.63374195640132658</v>
      </c>
      <c r="CY108" s="927">
        <f>IS!DD416</f>
        <v>0.63374195640132658</v>
      </c>
      <c r="CZ108" s="819">
        <f>IS!DE416</f>
        <v>0.7</v>
      </c>
      <c r="DA108" s="819">
        <f>IS!DF416</f>
        <v>0.66692776431860035</v>
      </c>
      <c r="DB108" s="819">
        <f>IS!DG416</f>
        <v>0.65070950927404847</v>
      </c>
      <c r="DC108" s="819">
        <f>IS!DH416</f>
        <v>0.64451278145147994</v>
      </c>
      <c r="DD108" s="927">
        <f>IS!DI416</f>
        <v>0.64451278145147994</v>
      </c>
      <c r="DE108" s="819">
        <f>IS!DJ416</f>
        <v>0.7</v>
      </c>
      <c r="DF108" s="819">
        <f>IS!DK416</f>
        <v>0.66826271617595112</v>
      </c>
      <c r="DG108" s="819">
        <f>IS!DL416</f>
        <v>0.64455932910650471</v>
      </c>
      <c r="DH108" s="819">
        <f>IS!DM416</f>
        <v>0.61273443269557937</v>
      </c>
      <c r="DI108" s="927">
        <f>IS!DN416</f>
        <v>0.61273443269557937</v>
      </c>
      <c r="DJ108" s="819">
        <f>IS!DO416</f>
        <v>0.7</v>
      </c>
      <c r="DK108" s="819">
        <f>IS!DP416</f>
        <v>0.6386206251640979</v>
      </c>
      <c r="DL108" s="819">
        <f>IS!DQ416</f>
        <v>0.61767927232487974</v>
      </c>
      <c r="DM108" s="819">
        <f>IS!DR416</f>
        <v>0.59725284054959049</v>
      </c>
      <c r="DN108" s="927">
        <f>IS!DS416</f>
        <v>0.59725284054959049</v>
      </c>
      <c r="DO108" s="819">
        <f>IS!DT416</f>
        <v>0.7</v>
      </c>
      <c r="DP108" s="819">
        <f>IS!DU416</f>
        <v>0.64877775866885345</v>
      </c>
      <c r="DQ108" s="819">
        <f>IS!DV416</f>
        <v>0.63909053534197058</v>
      </c>
      <c r="DR108" s="819">
        <f>IS!DW416</f>
        <v>0.62778504548823344</v>
      </c>
      <c r="DS108" s="927">
        <f>IS!DX416</f>
        <v>0.62778504548823344</v>
      </c>
      <c r="DT108" s="819">
        <f>IS!DY416</f>
        <v>0.7</v>
      </c>
      <c r="DU108" s="819">
        <f>IS!DZ416</f>
        <v>0.65132272392015422</v>
      </c>
      <c r="DV108" s="819">
        <f>IS!EA416</f>
        <v>0.6312304261262951</v>
      </c>
      <c r="DW108" s="819">
        <f>IS!EB416</f>
        <v>0.61143732063566636</v>
      </c>
      <c r="DX108" s="927">
        <f>IS!EC416</f>
        <v>0.61143732063566636</v>
      </c>
      <c r="DY108" s="16"/>
      <c r="DZ108" s="16"/>
      <c r="EA108" s="16"/>
      <c r="EB108" s="16"/>
      <c r="EC108" s="16"/>
      <c r="ED108" s="16"/>
      <c r="EE108" s="16"/>
      <c r="EF108" s="16"/>
      <c r="EG108" s="16"/>
      <c r="EH108" s="16"/>
      <c r="EI108" s="16"/>
      <c r="EJ108" s="16"/>
      <c r="EK108" s="16"/>
      <c r="EL108" s="16"/>
      <c r="EM108" s="16"/>
      <c r="EN108" s="16"/>
      <c r="EU108" s="228"/>
      <c r="EV108" s="477"/>
      <c r="EW108" s="16"/>
      <c r="EX108" s="228"/>
      <c r="EY108" s="228"/>
      <c r="EZ108" s="228"/>
      <c r="FA108" s="472"/>
      <c r="FB108" s="228"/>
      <c r="FC108" s="228"/>
      <c r="FD108" s="228"/>
      <c r="FE108" s="16"/>
      <c r="FF108" s="16"/>
      <c r="FG108" s="16"/>
      <c r="FH108" s="16"/>
      <c r="FI108" s="16"/>
      <c r="FJ108" s="16"/>
    </row>
    <row r="109" spans="1:166" x14ac:dyDescent="0.2">
      <c r="A109" s="21"/>
      <c r="B109" s="21"/>
      <c r="C109" s="21"/>
      <c r="D109" s="21"/>
      <c r="E109" s="21"/>
      <c r="F109" s="21"/>
      <c r="G109" s="21"/>
      <c r="H109" s="21"/>
      <c r="I109" s="21"/>
      <c r="J109" s="21"/>
      <c r="K109" s="21"/>
      <c r="L109" s="21"/>
      <c r="M109" s="21"/>
      <c r="N109" s="26"/>
      <c r="O109" s="930"/>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45"/>
      <c r="AW109" s="21"/>
      <c r="AX109" s="21"/>
      <c r="AY109" s="21"/>
      <c r="AZ109" s="21"/>
      <c r="BA109" s="128"/>
      <c r="BB109" s="297"/>
      <c r="BC109" s="297"/>
      <c r="BD109" s="297"/>
      <c r="BE109" s="297"/>
      <c r="BF109" s="128"/>
      <c r="BG109" s="297"/>
      <c r="BH109" s="297"/>
      <c r="BI109" s="297"/>
      <c r="BJ109" s="297"/>
      <c r="BK109" s="128"/>
      <c r="BL109" s="297"/>
      <c r="BM109" s="297"/>
      <c r="BN109" s="297"/>
      <c r="BO109" s="620"/>
      <c r="BP109" s="128"/>
      <c r="BQ109" s="620"/>
      <c r="BR109" s="21"/>
      <c r="BS109" s="620"/>
      <c r="BT109" s="620"/>
      <c r="BU109" s="210"/>
      <c r="BV109" s="21"/>
      <c r="BW109" s="1362"/>
      <c r="BX109" s="21"/>
      <c r="BY109" s="21"/>
      <c r="BZ109" s="128"/>
      <c r="CA109" s="21"/>
      <c r="CB109" s="21"/>
      <c r="CC109" s="21"/>
      <c r="CD109" s="21"/>
      <c r="CE109" s="461">
        <f>SUM(CE97:CE98)</f>
        <v>-538.1</v>
      </c>
      <c r="CF109" s="21"/>
      <c r="CG109" s="21"/>
      <c r="CH109" s="21"/>
      <c r="CI109" s="21"/>
      <c r="CJ109" s="128"/>
      <c r="CK109" s="21"/>
      <c r="CL109" s="620"/>
      <c r="CM109" s="620"/>
      <c r="CN109" s="620"/>
      <c r="CO109" s="128"/>
      <c r="CP109" s="620"/>
      <c r="CQ109" s="620"/>
      <c r="CR109" s="620"/>
      <c r="CS109" s="620"/>
      <c r="CT109" s="128"/>
      <c r="CU109" s="620"/>
      <c r="CV109" s="620"/>
      <c r="CW109" s="620"/>
      <c r="CX109" s="620"/>
      <c r="CY109" s="128"/>
      <c r="CZ109" s="620"/>
      <c r="DA109" s="620"/>
      <c r="DB109" s="620"/>
      <c r="DC109" s="620"/>
      <c r="DD109" s="128"/>
      <c r="DE109" s="620"/>
      <c r="DF109" s="620"/>
      <c r="DG109" s="620"/>
      <c r="DH109" s="620"/>
      <c r="DI109" s="128"/>
      <c r="DJ109" s="620"/>
      <c r="DK109" s="620"/>
      <c r="DL109" s="620"/>
      <c r="DM109" s="620"/>
      <c r="DN109" s="128"/>
      <c r="DO109" s="620"/>
      <c r="DP109" s="620"/>
      <c r="DQ109" s="620"/>
      <c r="DR109" s="620"/>
      <c r="DS109" s="128"/>
      <c r="DT109" s="620"/>
      <c r="DU109" s="620"/>
      <c r="DV109" s="620"/>
      <c r="DW109" s="620"/>
      <c r="DX109" s="128"/>
      <c r="DY109" s="16"/>
      <c r="DZ109" s="16"/>
      <c r="EA109" s="16"/>
      <c r="EB109" s="173"/>
      <c r="EC109" s="173"/>
      <c r="ED109" s="173"/>
      <c r="EE109" s="173"/>
      <c r="EF109" s="16"/>
      <c r="EG109" s="16"/>
      <c r="EH109" s="16"/>
      <c r="EI109" s="16"/>
      <c r="EJ109" s="21"/>
      <c r="EK109" s="21"/>
      <c r="EL109" s="21"/>
      <c r="EM109" s="16"/>
      <c r="EN109" s="16"/>
      <c r="EU109" s="16"/>
      <c r="EV109" s="16"/>
      <c r="EW109" s="16"/>
      <c r="EX109" s="16"/>
      <c r="EY109" s="16"/>
      <c r="EZ109" s="16"/>
      <c r="FA109" s="16"/>
      <c r="FB109" s="16"/>
      <c r="FC109" s="16"/>
      <c r="FD109" s="16"/>
      <c r="FE109" s="16"/>
      <c r="FF109" s="16"/>
      <c r="FG109" s="16"/>
      <c r="FH109" s="16"/>
      <c r="FI109" s="16"/>
      <c r="FJ109" s="16"/>
    </row>
    <row r="110" spans="1:166" x14ac:dyDescent="0.2">
      <c r="A110" s="16"/>
      <c r="B110" s="16"/>
      <c r="C110" s="16"/>
      <c r="D110" s="16"/>
      <c r="E110" s="16"/>
      <c r="F110" s="16"/>
      <c r="G110" s="16"/>
      <c r="H110" s="16"/>
      <c r="I110" s="16"/>
      <c r="J110" s="16"/>
      <c r="K110" s="16"/>
      <c r="L110" s="16"/>
      <c r="M110" s="16"/>
      <c r="N110" s="226"/>
      <c r="O110" s="227"/>
      <c r="P110" s="16"/>
      <c r="Q110" s="16"/>
      <c r="R110" s="16"/>
      <c r="S110" s="16"/>
      <c r="T110" s="16"/>
      <c r="U110" s="16"/>
      <c r="V110" s="16"/>
      <c r="W110" s="16"/>
      <c r="X110" s="16"/>
      <c r="Y110" s="16"/>
      <c r="Z110" s="16"/>
      <c r="AA110" s="16"/>
      <c r="AB110" s="16"/>
      <c r="AC110" s="16"/>
      <c r="AD110" s="16"/>
      <c r="AE110" s="16"/>
      <c r="AF110" s="16"/>
      <c r="AG110" s="16"/>
      <c r="AH110" s="16"/>
      <c r="AI110" s="16"/>
      <c r="AJ110" s="16"/>
      <c r="AK110" s="16"/>
      <c r="AL110" s="16"/>
      <c r="AM110" s="16"/>
      <c r="AN110" s="16"/>
      <c r="AO110" s="16"/>
      <c r="AP110" s="16"/>
      <c r="AQ110" s="16"/>
      <c r="AR110" s="16"/>
      <c r="AS110" s="16"/>
      <c r="AT110" s="16"/>
      <c r="AU110" s="16"/>
      <c r="AV110" s="45"/>
      <c r="AW110" s="16"/>
      <c r="AX110" s="16"/>
      <c r="AY110" s="21"/>
      <c r="AZ110" s="21"/>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353"/>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c r="CX110" s="16"/>
      <c r="CY110" s="16"/>
      <c r="CZ110" s="16"/>
      <c r="DA110" s="16"/>
      <c r="DB110" s="16"/>
      <c r="DC110" s="16"/>
      <c r="DD110" s="16"/>
      <c r="DE110" s="16"/>
      <c r="DF110" s="16"/>
      <c r="DG110" s="16"/>
      <c r="DH110" s="16"/>
      <c r="DI110" s="16"/>
      <c r="DJ110" s="16"/>
      <c r="DK110" s="16"/>
      <c r="DL110" s="16"/>
      <c r="DM110" s="16"/>
      <c r="DN110" s="16"/>
      <c r="DO110" s="16"/>
      <c r="DP110" s="16"/>
      <c r="DQ110" s="16"/>
      <c r="DR110" s="16"/>
      <c r="DS110" s="16"/>
      <c r="DT110" s="16"/>
      <c r="DU110" s="16"/>
      <c r="DV110" s="16"/>
      <c r="DW110" s="16"/>
      <c r="DX110" s="16"/>
      <c r="DY110" s="16"/>
      <c r="DZ110" s="16"/>
      <c r="EA110" s="16"/>
      <c r="EB110" s="173"/>
      <c r="EC110" s="173"/>
      <c r="ED110" s="173"/>
      <c r="EE110" s="173"/>
      <c r="EF110" s="16"/>
      <c r="EG110" s="16"/>
      <c r="EH110" s="16"/>
      <c r="EI110" s="16"/>
      <c r="EJ110" s="21"/>
      <c r="EK110" s="21"/>
      <c r="EL110" s="21"/>
      <c r="EM110" s="16"/>
      <c r="EN110" s="16"/>
      <c r="EU110" s="16"/>
      <c r="EV110" s="16"/>
      <c r="EW110" s="16"/>
      <c r="EX110" s="16"/>
      <c r="EY110" s="16"/>
      <c r="EZ110" s="16"/>
      <c r="FA110" s="16"/>
      <c r="FB110" s="16"/>
      <c r="FC110" s="16"/>
      <c r="FD110" s="16"/>
      <c r="FE110" s="16"/>
      <c r="FF110" s="16"/>
      <c r="FG110" s="16"/>
      <c r="FH110" s="16"/>
      <c r="FI110" s="16"/>
      <c r="FJ110" s="16"/>
    </row>
    <row r="111" spans="1:166" x14ac:dyDescent="0.2">
      <c r="A111" s="13" t="s">
        <v>458</v>
      </c>
      <c r="B111" s="324"/>
      <c r="C111" s="324"/>
      <c r="D111" s="324"/>
      <c r="E111" s="324"/>
      <c r="F111" s="324"/>
      <c r="G111" s="324"/>
      <c r="H111" s="324"/>
      <c r="I111" s="324"/>
      <c r="J111" s="324"/>
      <c r="K111" s="324"/>
      <c r="L111" s="324"/>
      <c r="M111" s="324"/>
      <c r="N111" s="324"/>
      <c r="O111" s="324"/>
      <c r="P111" s="324"/>
      <c r="Q111" s="324"/>
      <c r="R111" s="324"/>
      <c r="S111" s="324"/>
      <c r="T111" s="324"/>
      <c r="U111" s="324"/>
      <c r="V111" s="324"/>
      <c r="W111" s="324"/>
      <c r="X111" s="324"/>
      <c r="Y111" s="324"/>
      <c r="Z111" s="324"/>
      <c r="AA111" s="325"/>
      <c r="AB111" s="324"/>
      <c r="AC111" s="324"/>
      <c r="AD111" s="325"/>
      <c r="AE111" s="325"/>
      <c r="AF111" s="326"/>
      <c r="AG111" s="324"/>
      <c r="AH111" s="324"/>
      <c r="AI111" s="324"/>
      <c r="AJ111" s="324"/>
      <c r="AK111" s="598"/>
      <c r="AL111" s="324"/>
      <c r="AM111" s="324"/>
      <c r="AN111" s="324"/>
      <c r="AO111" s="324"/>
      <c r="AP111" s="598"/>
      <c r="AQ111" s="324"/>
      <c r="AR111" s="324"/>
      <c r="AS111" s="324"/>
      <c r="AT111" s="324"/>
      <c r="AU111" s="598"/>
      <c r="AV111" s="45"/>
      <c r="AW111" s="324"/>
      <c r="AX111" s="324"/>
      <c r="AY111" s="324"/>
      <c r="AZ111" s="324"/>
      <c r="BA111" s="598"/>
      <c r="BB111" s="324"/>
      <c r="BC111" s="324"/>
      <c r="BD111" s="324"/>
      <c r="BE111" s="324"/>
      <c r="BF111" s="598"/>
      <c r="BG111" s="324"/>
      <c r="BH111" s="324"/>
      <c r="BI111" s="324"/>
      <c r="BJ111" s="325"/>
      <c r="BK111" s="325"/>
      <c r="BL111" s="325"/>
      <c r="BM111" s="325"/>
      <c r="BN111" s="325"/>
      <c r="BO111" s="325"/>
      <c r="BP111" s="325"/>
      <c r="BQ111" s="325"/>
      <c r="BR111" s="324"/>
      <c r="BS111" s="325"/>
      <c r="BT111" s="325"/>
      <c r="BU111" s="325"/>
      <c r="BV111" s="324"/>
      <c r="BW111" s="1413"/>
      <c r="BX111" s="324"/>
      <c r="BY111" s="324"/>
      <c r="BZ111" s="324"/>
      <c r="CA111" s="324"/>
      <c r="CB111" s="324"/>
      <c r="CC111" s="324"/>
      <c r="CD111" s="324"/>
      <c r="CE111" s="324"/>
      <c r="CF111" s="324"/>
      <c r="CG111" s="324"/>
      <c r="CH111" s="324"/>
      <c r="CI111" s="324"/>
      <c r="CJ111" s="324"/>
      <c r="CK111" s="324"/>
      <c r="CL111" s="325"/>
      <c r="CM111" s="325"/>
      <c r="CN111" s="325"/>
      <c r="CO111" s="325"/>
      <c r="CP111" s="325"/>
      <c r="CQ111" s="325"/>
      <c r="CR111" s="325"/>
      <c r="CS111" s="325"/>
      <c r="CT111" s="325"/>
      <c r="CU111" s="325"/>
      <c r="CV111" s="325"/>
      <c r="CW111" s="325"/>
      <c r="CX111" s="325"/>
      <c r="CY111" s="325"/>
      <c r="CZ111" s="325"/>
      <c r="DA111" s="325"/>
      <c r="DB111" s="325"/>
      <c r="DC111" s="325"/>
      <c r="DD111" s="325"/>
      <c r="DE111" s="325"/>
      <c r="DF111" s="325"/>
      <c r="DG111" s="325"/>
      <c r="DH111" s="325"/>
      <c r="DI111" s="325"/>
      <c r="DJ111" s="325"/>
      <c r="DK111" s="325"/>
      <c r="DL111" s="325"/>
      <c r="DM111" s="325"/>
      <c r="DN111" s="325"/>
      <c r="DO111" s="325"/>
      <c r="DP111" s="325"/>
      <c r="DQ111" s="325"/>
      <c r="DR111" s="325"/>
      <c r="DS111" s="325"/>
      <c r="DT111" s="325"/>
      <c r="DU111" s="325"/>
      <c r="DV111" s="325"/>
      <c r="DW111" s="325"/>
      <c r="DX111" s="325"/>
      <c r="DY111" s="21"/>
      <c r="DZ111" s="21"/>
      <c r="EA111" s="21"/>
      <c r="EB111" s="15"/>
      <c r="EC111" s="15"/>
      <c r="ED111" s="670"/>
      <c r="EE111" s="670"/>
      <c r="EF111" s="670"/>
      <c r="EG111" s="670"/>
      <c r="EH111" s="670"/>
      <c r="EI111" s="670"/>
      <c r="EJ111" s="373"/>
      <c r="EK111" s="373"/>
      <c r="EL111" s="373"/>
      <c r="EM111" s="16"/>
      <c r="EN111" s="16"/>
      <c r="EU111" s="16"/>
      <c r="EV111" s="16"/>
      <c r="EW111" s="16"/>
      <c r="EX111" s="16"/>
      <c r="EY111" s="16"/>
      <c r="EZ111" s="16"/>
      <c r="FA111" s="16"/>
      <c r="FB111" s="16"/>
      <c r="FC111" s="16"/>
      <c r="FD111" s="16"/>
      <c r="FE111" s="16"/>
      <c r="FF111" s="16"/>
      <c r="FG111" s="16"/>
      <c r="FH111" s="16"/>
      <c r="FI111" s="16"/>
      <c r="FJ111" s="16"/>
    </row>
    <row r="112" spans="1:166" hidden="1" outlineLevel="1" x14ac:dyDescent="0.2">
      <c r="A112" s="170" t="s">
        <v>504</v>
      </c>
      <c r="B112" s="65"/>
      <c r="C112" s="65"/>
      <c r="D112" s="65"/>
      <c r="E112" s="65"/>
      <c r="F112" s="65"/>
      <c r="G112" s="65"/>
      <c r="H112" s="65"/>
      <c r="I112" s="65"/>
      <c r="J112" s="65"/>
      <c r="K112" s="65"/>
      <c r="L112" s="65"/>
      <c r="M112" s="65"/>
      <c r="N112" s="65"/>
      <c r="O112" s="65"/>
      <c r="P112" s="65"/>
      <c r="Q112" s="328"/>
      <c r="R112" s="321"/>
      <c r="S112" s="321"/>
      <c r="T112" s="321"/>
      <c r="U112" s="321"/>
      <c r="V112" s="328"/>
      <c r="W112" s="65"/>
      <c r="X112" s="65"/>
      <c r="Y112" s="65"/>
      <c r="Z112" s="65"/>
      <c r="AA112" s="328"/>
      <c r="AB112" s="65"/>
      <c r="AC112" s="65"/>
      <c r="AD112" s="65"/>
      <c r="AE112" s="65"/>
      <c r="AF112" s="328"/>
      <c r="AG112" s="65"/>
      <c r="AH112" s="65"/>
      <c r="AI112" s="65"/>
      <c r="AJ112" s="65"/>
      <c r="AK112" s="328">
        <v>64</v>
      </c>
      <c r="AL112" s="65"/>
      <c r="AM112" s="65"/>
      <c r="AN112" s="65"/>
      <c r="AO112" s="65"/>
      <c r="AP112" s="328">
        <v>63.4</v>
      </c>
      <c r="AQ112" s="65"/>
      <c r="AR112" s="65"/>
      <c r="AS112" s="65"/>
      <c r="AT112" s="65">
        <f>72.8-SUM(AQ112:AS112)</f>
        <v>72.8</v>
      </c>
      <c r="AU112" s="328"/>
      <c r="AV112" s="45"/>
      <c r="AW112" s="65"/>
      <c r="AX112" s="65"/>
      <c r="AY112" s="65">
        <v>20.2</v>
      </c>
      <c r="AZ112" s="65">
        <v>21.1</v>
      </c>
      <c r="BA112" s="328"/>
      <c r="BB112" s="65">
        <v>18.95</v>
      </c>
      <c r="BC112" s="65">
        <v>20.85</v>
      </c>
      <c r="BD112" s="65">
        <v>25.3</v>
      </c>
      <c r="BE112" s="65">
        <v>21.1</v>
      </c>
      <c r="BF112" s="328">
        <v>86.2</v>
      </c>
      <c r="BG112" s="65">
        <v>21.4</v>
      </c>
      <c r="BH112" s="65">
        <v>21.3</v>
      </c>
      <c r="BI112" s="65">
        <v>18</v>
      </c>
      <c r="BJ112" s="65">
        <v>8.1</v>
      </c>
      <c r="BK112" s="328">
        <v>68.8</v>
      </c>
      <c r="BL112" s="65">
        <v>10.199999999999999</v>
      </c>
      <c r="BM112" s="65">
        <v>10.1</v>
      </c>
      <c r="BN112" s="65">
        <v>9.8000000000000007</v>
      </c>
      <c r="BO112" s="65">
        <v>11.4</v>
      </c>
      <c r="BP112" s="215">
        <f>SUM(BL112:BO112)</f>
        <v>41.5</v>
      </c>
      <c r="BQ112" s="65">
        <v>10.3</v>
      </c>
      <c r="BR112" s="65">
        <v>9.8000000000000007</v>
      </c>
      <c r="BS112" s="65">
        <v>10.1</v>
      </c>
      <c r="BT112" s="65">
        <v>9.4</v>
      </c>
      <c r="BU112" s="215">
        <f>SUM(BQ112:BT112)</f>
        <v>39.6</v>
      </c>
      <c r="BV112" s="65">
        <v>10.660809809091981</v>
      </c>
      <c r="BW112" s="1385">
        <v>11.474987273818575</v>
      </c>
      <c r="BX112" s="65">
        <v>10.938887886721794</v>
      </c>
      <c r="BY112" s="65">
        <v>10.543330121129788</v>
      </c>
      <c r="BZ112" s="215">
        <f t="shared" ref="BZ112:BZ118" si="284">SUM(BV112:BY112)</f>
        <v>43.618015090762142</v>
      </c>
      <c r="CA112" s="65">
        <v>10.820721956228359</v>
      </c>
      <c r="CB112" s="65">
        <v>11.647112082925853</v>
      </c>
      <c r="CC112" s="65">
        <v>11.102971205022619</v>
      </c>
      <c r="CD112" s="65">
        <v>10.701480072946733</v>
      </c>
      <c r="CE112" s="215">
        <f t="shared" ref="CE112:CE118" si="285">SUM(CA112:CD112)</f>
        <v>44.272285317123561</v>
      </c>
      <c r="CF112" s="65">
        <v>10.928929175790643</v>
      </c>
      <c r="CG112" s="65"/>
      <c r="CH112" s="65"/>
      <c r="CI112" s="65"/>
      <c r="CJ112" s="328"/>
      <c r="CK112" s="65"/>
      <c r="CL112" s="65"/>
      <c r="CM112" s="65"/>
      <c r="CN112" s="65"/>
      <c r="CO112" s="215"/>
      <c r="CP112" s="65"/>
      <c r="CQ112" s="65"/>
      <c r="CR112" s="65"/>
      <c r="CS112" s="65"/>
      <c r="CT112" s="215"/>
      <c r="CU112" s="65"/>
      <c r="CV112" s="65"/>
      <c r="CW112" s="65"/>
      <c r="CX112" s="65"/>
      <c r="CY112" s="215"/>
      <c r="CZ112" s="65"/>
      <c r="DA112" s="65"/>
      <c r="DB112" s="65"/>
      <c r="DC112" s="65"/>
      <c r="DD112" s="215"/>
      <c r="DE112" s="65"/>
      <c r="DF112" s="65"/>
      <c r="DG112" s="65"/>
      <c r="DH112" s="65"/>
      <c r="DI112" s="215"/>
      <c r="DJ112" s="65"/>
      <c r="DK112" s="65"/>
      <c r="DL112" s="65"/>
      <c r="DM112" s="65"/>
      <c r="DN112" s="215"/>
      <c r="DO112" s="65"/>
      <c r="DP112" s="65"/>
      <c r="DQ112" s="65"/>
      <c r="DR112" s="65"/>
      <c r="DS112" s="215"/>
      <c r="DT112" s="65"/>
      <c r="DU112" s="65"/>
      <c r="DV112" s="65"/>
      <c r="DW112" s="65"/>
      <c r="DX112" s="215"/>
      <c r="DY112" s="21"/>
      <c r="DZ112" s="21"/>
      <c r="EA112" s="21"/>
      <c r="EB112" s="15"/>
      <c r="EC112" s="15"/>
      <c r="ED112" s="670"/>
      <c r="EE112" s="670"/>
      <c r="EF112" s="670"/>
      <c r="EG112" s="670"/>
      <c r="EH112" s="670"/>
      <c r="EI112" s="670"/>
      <c r="EJ112" s="373"/>
      <c r="EK112" s="373"/>
      <c r="EL112" s="373"/>
      <c r="EM112" s="16"/>
      <c r="EN112" s="16"/>
      <c r="EU112" s="16"/>
      <c r="EV112" s="16"/>
      <c r="EW112" s="16"/>
      <c r="EX112" s="16"/>
      <c r="EY112" s="16"/>
      <c r="EZ112" s="16"/>
      <c r="FA112" s="16"/>
      <c r="FB112" s="16"/>
      <c r="FC112" s="16"/>
      <c r="FD112" s="16"/>
      <c r="FE112" s="16"/>
      <c r="FF112" s="16"/>
      <c r="FG112" s="16"/>
      <c r="FH112" s="16"/>
      <c r="FI112" s="16"/>
      <c r="FJ112" s="16"/>
    </row>
    <row r="113" spans="1:166" hidden="1" outlineLevel="2" x14ac:dyDescent="0.2">
      <c r="A113" s="170" t="s">
        <v>505</v>
      </c>
      <c r="B113" s="65"/>
      <c r="C113" s="65"/>
      <c r="D113" s="65"/>
      <c r="E113" s="65"/>
      <c r="F113" s="65"/>
      <c r="G113" s="65"/>
      <c r="H113" s="65"/>
      <c r="I113" s="65"/>
      <c r="J113" s="65"/>
      <c r="K113" s="65"/>
      <c r="L113" s="65"/>
      <c r="M113" s="65"/>
      <c r="N113" s="65"/>
      <c r="O113" s="65"/>
      <c r="P113" s="65"/>
      <c r="Q113" s="215"/>
      <c r="R113" s="65"/>
      <c r="S113" s="65"/>
      <c r="T113" s="65"/>
      <c r="U113" s="65"/>
      <c r="V113" s="215"/>
      <c r="W113" s="65"/>
      <c r="X113" s="65"/>
      <c r="Y113" s="65"/>
      <c r="Z113" s="65"/>
      <c r="AA113" s="215"/>
      <c r="AB113" s="65"/>
      <c r="AC113" s="65"/>
      <c r="AD113" s="65"/>
      <c r="AE113" s="65"/>
      <c r="AF113" s="215"/>
      <c r="AG113" s="65"/>
      <c r="AH113" s="65"/>
      <c r="AI113" s="65"/>
      <c r="AJ113" s="65"/>
      <c r="AK113" s="215">
        <v>14.1</v>
      </c>
      <c r="AL113" s="65"/>
      <c r="AM113" s="65"/>
      <c r="AN113" s="65"/>
      <c r="AO113" s="65"/>
      <c r="AP113" s="215">
        <v>15.7</v>
      </c>
      <c r="AQ113" s="65"/>
      <c r="AR113" s="65"/>
      <c r="AS113" s="65"/>
      <c r="AT113" s="65">
        <f>18-SUM(AQ113:AS113)</f>
        <v>18</v>
      </c>
      <c r="AU113" s="215"/>
      <c r="AV113" s="45"/>
      <c r="AW113" s="65"/>
      <c r="AX113" s="65"/>
      <c r="AY113" s="65">
        <v>5</v>
      </c>
      <c r="AZ113" s="65">
        <v>8.1</v>
      </c>
      <c r="BA113" s="215"/>
      <c r="BB113" s="65"/>
      <c r="BC113" s="65"/>
      <c r="BD113" s="65"/>
      <c r="BE113" s="65"/>
      <c r="BF113" s="215"/>
      <c r="BG113" s="65"/>
      <c r="BH113" s="65"/>
      <c r="BI113" s="65"/>
      <c r="BJ113" s="65"/>
      <c r="BK113" s="215"/>
      <c r="BL113" s="65"/>
      <c r="BM113" s="65"/>
      <c r="BN113" s="65"/>
      <c r="BO113" s="65"/>
      <c r="BP113" s="215">
        <f>SUM(BL113:BO113)</f>
        <v>0</v>
      </c>
      <c r="BQ113" s="65"/>
      <c r="BR113" s="65"/>
      <c r="BS113" s="65"/>
      <c r="BT113" s="65"/>
      <c r="BU113" s="215">
        <f>SUM(BQ113:BT113)</f>
        <v>0</v>
      </c>
      <c r="BV113" s="65"/>
      <c r="BW113" s="1385"/>
      <c r="BX113" s="65"/>
      <c r="BY113" s="65"/>
      <c r="BZ113" s="215">
        <f t="shared" si="284"/>
        <v>0</v>
      </c>
      <c r="CA113" s="65"/>
      <c r="CB113" s="65"/>
      <c r="CC113" s="65"/>
      <c r="CD113" s="65"/>
      <c r="CE113" s="215">
        <f t="shared" si="285"/>
        <v>0</v>
      </c>
      <c r="CF113" s="65"/>
      <c r="CG113" s="65"/>
      <c r="CH113" s="65"/>
      <c r="CI113" s="65"/>
      <c r="CJ113" s="215"/>
      <c r="CK113" s="65"/>
      <c r="CL113" s="65"/>
      <c r="CM113" s="65"/>
      <c r="CN113" s="65"/>
      <c r="CO113" s="215"/>
      <c r="CP113" s="65"/>
      <c r="CQ113" s="65"/>
      <c r="CR113" s="65"/>
      <c r="CS113" s="65"/>
      <c r="CT113" s="215"/>
      <c r="CU113" s="65"/>
      <c r="CV113" s="65"/>
      <c r="CW113" s="65"/>
      <c r="CX113" s="65"/>
      <c r="CY113" s="215"/>
      <c r="CZ113" s="65"/>
      <c r="DA113" s="65"/>
      <c r="DB113" s="65"/>
      <c r="DC113" s="65"/>
      <c r="DD113" s="215"/>
      <c r="DE113" s="65"/>
      <c r="DF113" s="65"/>
      <c r="DG113" s="65"/>
      <c r="DH113" s="65"/>
      <c r="DI113" s="215"/>
      <c r="DJ113" s="65"/>
      <c r="DK113" s="65"/>
      <c r="DL113" s="65"/>
      <c r="DM113" s="65"/>
      <c r="DN113" s="215"/>
      <c r="DO113" s="65"/>
      <c r="DP113" s="65"/>
      <c r="DQ113" s="65"/>
      <c r="DR113" s="65"/>
      <c r="DS113" s="215"/>
      <c r="DT113" s="65"/>
      <c r="DU113" s="65"/>
      <c r="DV113" s="65"/>
      <c r="DW113" s="65"/>
      <c r="DX113" s="215"/>
      <c r="DY113" s="21"/>
      <c r="DZ113" s="21"/>
      <c r="EA113" s="21"/>
      <c r="EB113" s="15"/>
      <c r="EC113" s="15"/>
      <c r="ED113" s="670"/>
      <c r="EE113" s="670"/>
      <c r="EF113" s="670"/>
      <c r="EG113" s="670"/>
      <c r="EH113" s="670"/>
      <c r="EI113" s="670"/>
      <c r="EJ113" s="373"/>
      <c r="EK113" s="373"/>
      <c r="EL113" s="373"/>
      <c r="EM113" s="16"/>
      <c r="EN113" s="16"/>
      <c r="EU113" s="16"/>
      <c r="EV113" s="16"/>
      <c r="EW113" s="16"/>
      <c r="EX113" s="16"/>
      <c r="EY113" s="16"/>
      <c r="EZ113" s="16"/>
      <c r="FA113" s="16"/>
      <c r="FB113" s="16"/>
      <c r="FC113" s="16"/>
      <c r="FD113" s="16"/>
      <c r="FE113" s="16"/>
      <c r="FF113" s="16"/>
      <c r="FG113" s="16"/>
      <c r="FH113" s="16"/>
      <c r="FI113" s="16"/>
      <c r="FJ113" s="16"/>
    </row>
    <row r="114" spans="1:166" hidden="1" outlineLevel="1" x14ac:dyDescent="0.2">
      <c r="A114" s="170" t="s">
        <v>571</v>
      </c>
      <c r="B114" s="65"/>
      <c r="C114" s="65"/>
      <c r="D114" s="65"/>
      <c r="E114" s="65"/>
      <c r="F114" s="65"/>
      <c r="G114" s="65"/>
      <c r="H114" s="65"/>
      <c r="I114" s="65"/>
      <c r="J114" s="65"/>
      <c r="K114" s="65"/>
      <c r="L114" s="65"/>
      <c r="M114" s="65"/>
      <c r="N114" s="65"/>
      <c r="O114" s="65"/>
      <c r="P114" s="65"/>
      <c r="Q114" s="215"/>
      <c r="R114" s="65"/>
      <c r="S114" s="65"/>
      <c r="T114" s="65"/>
      <c r="U114" s="65"/>
      <c r="V114" s="215"/>
      <c r="W114" s="65"/>
      <c r="X114" s="65"/>
      <c r="Y114" s="65"/>
      <c r="Z114" s="65"/>
      <c r="AA114" s="215"/>
      <c r="AB114" s="65"/>
      <c r="AC114" s="65"/>
      <c r="AD114" s="65"/>
      <c r="AE114" s="65"/>
      <c r="AF114" s="215"/>
      <c r="AG114" s="65"/>
      <c r="AH114" s="65"/>
      <c r="AI114" s="65"/>
      <c r="AJ114" s="65"/>
      <c r="AK114" s="215"/>
      <c r="AL114" s="65"/>
      <c r="AM114" s="65"/>
      <c r="AN114" s="65"/>
      <c r="AO114" s="65"/>
      <c r="AP114" s="215"/>
      <c r="AQ114" s="65"/>
      <c r="AR114" s="65"/>
      <c r="AS114" s="65"/>
      <c r="AT114" s="65"/>
      <c r="AU114" s="215"/>
      <c r="AV114" s="45"/>
      <c r="AW114" s="65"/>
      <c r="AX114" s="65"/>
      <c r="AY114" s="65"/>
      <c r="AZ114" s="65"/>
      <c r="BA114" s="215"/>
      <c r="BB114" s="65">
        <v>5.4</v>
      </c>
      <c r="BC114" s="65">
        <v>6</v>
      </c>
      <c r="BD114" s="65">
        <v>5.5</v>
      </c>
      <c r="BE114" s="65">
        <v>5.7</v>
      </c>
      <c r="BF114" s="215">
        <v>22.6</v>
      </c>
      <c r="BG114" s="65">
        <v>5.2</v>
      </c>
      <c r="BH114" s="65">
        <v>5</v>
      </c>
      <c r="BI114" s="65">
        <v>4</v>
      </c>
      <c r="BJ114" s="65">
        <v>3.7</v>
      </c>
      <c r="BK114" s="215">
        <v>17.899999999999999</v>
      </c>
      <c r="BL114" s="65">
        <v>3.3</v>
      </c>
      <c r="BM114" s="65">
        <v>2.5</v>
      </c>
      <c r="BN114" s="65">
        <v>2.9</v>
      </c>
      <c r="BO114" s="65">
        <v>2.4</v>
      </c>
      <c r="BP114" s="215">
        <f>SUM(BL114:BO114)</f>
        <v>11.1</v>
      </c>
      <c r="BQ114" s="65">
        <v>2.2000000000000002</v>
      </c>
      <c r="BR114" s="65">
        <v>2.1</v>
      </c>
      <c r="BS114" s="65">
        <v>2.1</v>
      </c>
      <c r="BT114" s="65">
        <v>2</v>
      </c>
      <c r="BU114" s="215">
        <f>SUM(BQ114:BT114)</f>
        <v>8.4</v>
      </c>
      <c r="BV114" s="65">
        <v>2.2440000000000002</v>
      </c>
      <c r="BW114" s="1385">
        <v>2.1524999999999999</v>
      </c>
      <c r="BX114" s="65">
        <v>2.1524999999999999</v>
      </c>
      <c r="BY114" s="65">
        <v>2.0499999999999998</v>
      </c>
      <c r="BZ114" s="215">
        <f t="shared" si="284"/>
        <v>8.5990000000000002</v>
      </c>
      <c r="CA114" s="65">
        <v>2.3001</v>
      </c>
      <c r="CB114" s="65">
        <v>2.2063124999999997</v>
      </c>
      <c r="CC114" s="65">
        <v>2.2063124999999997</v>
      </c>
      <c r="CD114" s="65">
        <v>2.1012499999999998</v>
      </c>
      <c r="CE114" s="215">
        <f t="shared" si="285"/>
        <v>8.8139749999999992</v>
      </c>
      <c r="CF114" s="65">
        <v>2.3461020000000001</v>
      </c>
      <c r="CG114" s="65"/>
      <c r="CH114" s="65"/>
      <c r="CI114" s="65"/>
      <c r="CJ114" s="215"/>
      <c r="CK114" s="65"/>
      <c r="CL114" s="65"/>
      <c r="CM114" s="65"/>
      <c r="CN114" s="65"/>
      <c r="CO114" s="215"/>
      <c r="CP114" s="65"/>
      <c r="CQ114" s="65"/>
      <c r="CR114" s="65"/>
      <c r="CS114" s="65"/>
      <c r="CT114" s="215"/>
      <c r="CU114" s="65"/>
      <c r="CV114" s="65"/>
      <c r="CW114" s="65"/>
      <c r="CX114" s="65"/>
      <c r="CY114" s="215"/>
      <c r="CZ114" s="65"/>
      <c r="DA114" s="65"/>
      <c r="DB114" s="65"/>
      <c r="DC114" s="65"/>
      <c r="DD114" s="215"/>
      <c r="DE114" s="65"/>
      <c r="DF114" s="65"/>
      <c r="DG114" s="65"/>
      <c r="DH114" s="65"/>
      <c r="DI114" s="215"/>
      <c r="DJ114" s="65"/>
      <c r="DK114" s="65"/>
      <c r="DL114" s="65"/>
      <c r="DM114" s="65"/>
      <c r="DN114" s="215"/>
      <c r="DO114" s="65"/>
      <c r="DP114" s="65"/>
      <c r="DQ114" s="65"/>
      <c r="DR114" s="65"/>
      <c r="DS114" s="215"/>
      <c r="DT114" s="65"/>
      <c r="DU114" s="65"/>
      <c r="DV114" s="65"/>
      <c r="DW114" s="65"/>
      <c r="DX114" s="215"/>
      <c r="DY114" s="21"/>
      <c r="DZ114" s="21"/>
      <c r="EA114" s="21"/>
      <c r="EB114" s="15"/>
      <c r="EC114" s="15"/>
      <c r="ED114" s="670"/>
      <c r="EE114" s="670"/>
      <c r="EF114" s="670"/>
      <c r="EG114" s="670"/>
      <c r="EH114" s="670"/>
      <c r="EI114" s="670"/>
      <c r="EJ114" s="373"/>
      <c r="EK114" s="373"/>
      <c r="EL114" s="373"/>
      <c r="EM114" s="16"/>
      <c r="EN114" s="16"/>
      <c r="EU114" s="16"/>
      <c r="EV114" s="16"/>
      <c r="EW114" s="16"/>
      <c r="EX114" s="16"/>
      <c r="EY114" s="16"/>
      <c r="EZ114" s="16"/>
      <c r="FA114" s="16"/>
      <c r="FB114" s="16"/>
      <c r="FC114" s="16"/>
      <c r="FD114" s="16"/>
      <c r="FE114" s="16"/>
      <c r="FF114" s="16"/>
      <c r="FG114" s="16"/>
      <c r="FH114" s="16"/>
      <c r="FI114" s="16"/>
      <c r="FJ114" s="16"/>
    </row>
    <row r="115" spans="1:166" hidden="1" outlineLevel="1" x14ac:dyDescent="0.2">
      <c r="A115" s="170" t="s">
        <v>535</v>
      </c>
      <c r="B115" s="65"/>
      <c r="C115" s="65"/>
      <c r="D115" s="65"/>
      <c r="E115" s="65"/>
      <c r="F115" s="65"/>
      <c r="G115" s="65"/>
      <c r="H115" s="65"/>
      <c r="I115" s="65"/>
      <c r="J115" s="65"/>
      <c r="K115" s="65"/>
      <c r="L115" s="65"/>
      <c r="M115" s="65"/>
      <c r="N115" s="65"/>
      <c r="O115" s="65"/>
      <c r="P115" s="65"/>
      <c r="Q115" s="215"/>
      <c r="R115" s="65"/>
      <c r="S115" s="65"/>
      <c r="T115" s="65"/>
      <c r="U115" s="65"/>
      <c r="V115" s="215"/>
      <c r="W115" s="65"/>
      <c r="X115" s="65"/>
      <c r="Y115" s="65"/>
      <c r="Z115" s="65"/>
      <c r="AA115" s="215"/>
      <c r="AB115" s="65"/>
      <c r="AC115" s="65"/>
      <c r="AD115" s="65"/>
      <c r="AE115" s="65"/>
      <c r="AF115" s="215"/>
      <c r="AG115" s="65"/>
      <c r="AH115" s="65"/>
      <c r="AI115" s="65"/>
      <c r="AJ115" s="65"/>
      <c r="AK115" s="215">
        <v>4.5</v>
      </c>
      <c r="AL115" s="65"/>
      <c r="AM115" s="65"/>
      <c r="AN115" s="65"/>
      <c r="AO115" s="65"/>
      <c r="AP115" s="215">
        <v>5.6</v>
      </c>
      <c r="AQ115" s="65"/>
      <c r="AR115" s="65"/>
      <c r="AS115" s="65"/>
      <c r="AT115" s="65">
        <f>4.9-SUM(AQ115:AS115)</f>
        <v>4.9000000000000004</v>
      </c>
      <c r="AU115" s="215"/>
      <c r="AV115" s="45"/>
      <c r="AW115" s="65"/>
      <c r="AX115" s="65"/>
      <c r="AY115" s="65">
        <v>1.5</v>
      </c>
      <c r="AZ115" s="65">
        <v>1.1000000000000001</v>
      </c>
      <c r="BA115" s="215"/>
      <c r="BB115" s="65">
        <v>2</v>
      </c>
      <c r="BC115" s="65">
        <v>1.4</v>
      </c>
      <c r="BD115" s="65">
        <v>1.7</v>
      </c>
      <c r="BE115" s="65">
        <v>1.6</v>
      </c>
      <c r="BF115" s="215">
        <v>6.7</v>
      </c>
      <c r="BG115" s="65">
        <v>1.6</v>
      </c>
      <c r="BH115" s="65">
        <v>1.6</v>
      </c>
      <c r="BI115" s="65">
        <v>1.6</v>
      </c>
      <c r="BJ115" s="65">
        <v>1.2</v>
      </c>
      <c r="BK115" s="215">
        <v>6</v>
      </c>
      <c r="BL115" s="65">
        <v>0.5</v>
      </c>
      <c r="BM115" s="65">
        <v>0.1</v>
      </c>
      <c r="BN115" s="65">
        <v>0</v>
      </c>
      <c r="BO115" s="65">
        <v>0.1</v>
      </c>
      <c r="BP115" s="215">
        <f>SUM(BL115:BO115)</f>
        <v>0.7</v>
      </c>
      <c r="BQ115" s="65">
        <v>0.1</v>
      </c>
      <c r="BR115" s="65">
        <v>0</v>
      </c>
      <c r="BS115" s="65">
        <v>0.1</v>
      </c>
      <c r="BT115" s="65">
        <v>0</v>
      </c>
      <c r="BU115" s="215">
        <f>SUM(BQ115:BT115)</f>
        <v>0.2</v>
      </c>
      <c r="BV115" s="65">
        <v>0</v>
      </c>
      <c r="BW115" s="1385">
        <v>0</v>
      </c>
      <c r="BX115" s="65">
        <v>0</v>
      </c>
      <c r="BY115" s="65">
        <v>0</v>
      </c>
      <c r="BZ115" s="215">
        <f t="shared" si="284"/>
        <v>0</v>
      </c>
      <c r="CA115" s="65">
        <v>0</v>
      </c>
      <c r="CB115" s="65">
        <v>0</v>
      </c>
      <c r="CC115" s="65">
        <v>0</v>
      </c>
      <c r="CD115" s="65">
        <v>0</v>
      </c>
      <c r="CE115" s="215">
        <f t="shared" si="285"/>
        <v>0</v>
      </c>
      <c r="CF115" s="65">
        <v>0</v>
      </c>
      <c r="CG115" s="65"/>
      <c r="CH115" s="65"/>
      <c r="CI115" s="65"/>
      <c r="CJ115" s="215"/>
      <c r="CK115" s="65"/>
      <c r="CL115" s="65"/>
      <c r="CM115" s="65"/>
      <c r="CN115" s="65"/>
      <c r="CO115" s="215"/>
      <c r="CP115" s="65"/>
      <c r="CQ115" s="65"/>
      <c r="CR115" s="65"/>
      <c r="CS115" s="65"/>
      <c r="CT115" s="215"/>
      <c r="CU115" s="65"/>
      <c r="CV115" s="65"/>
      <c r="CW115" s="65"/>
      <c r="CX115" s="65"/>
      <c r="CY115" s="215"/>
      <c r="CZ115" s="65"/>
      <c r="DA115" s="65"/>
      <c r="DB115" s="65"/>
      <c r="DC115" s="65"/>
      <c r="DD115" s="215"/>
      <c r="DE115" s="65"/>
      <c r="DF115" s="65"/>
      <c r="DG115" s="65"/>
      <c r="DH115" s="65"/>
      <c r="DI115" s="215"/>
      <c r="DJ115" s="65"/>
      <c r="DK115" s="65"/>
      <c r="DL115" s="65"/>
      <c r="DM115" s="65"/>
      <c r="DN115" s="215"/>
      <c r="DO115" s="65"/>
      <c r="DP115" s="65"/>
      <c r="DQ115" s="65"/>
      <c r="DR115" s="65"/>
      <c r="DS115" s="215"/>
      <c r="DT115" s="65"/>
      <c r="DU115" s="65"/>
      <c r="DV115" s="65"/>
      <c r="DW115" s="65"/>
      <c r="DX115" s="215"/>
      <c r="DY115" s="21"/>
      <c r="DZ115" s="21"/>
      <c r="EA115" s="21"/>
      <c r="EB115" s="15"/>
      <c r="EC115" s="15"/>
      <c r="ED115" s="670"/>
      <c r="EE115" s="670"/>
      <c r="EF115" s="670"/>
      <c r="EG115" s="670"/>
      <c r="EH115" s="670"/>
      <c r="EI115" s="670"/>
      <c r="EJ115" s="373"/>
      <c r="EK115" s="373"/>
      <c r="EL115" s="373"/>
      <c r="EM115" s="16"/>
      <c r="EN115" s="16"/>
      <c r="EU115" s="16"/>
      <c r="EV115" s="16"/>
      <c r="EW115" s="16"/>
      <c r="EX115" s="16"/>
      <c r="EY115" s="16"/>
      <c r="EZ115" s="16"/>
      <c r="FA115" s="16"/>
      <c r="FB115" s="16"/>
      <c r="FC115" s="16"/>
      <c r="FD115" s="16"/>
      <c r="FE115" s="16"/>
      <c r="FF115" s="16"/>
      <c r="FG115" s="16"/>
      <c r="FH115" s="16"/>
      <c r="FI115" s="16"/>
      <c r="FJ115" s="16"/>
    </row>
    <row r="116" spans="1:166" hidden="1" outlineLevel="1" x14ac:dyDescent="0.2">
      <c r="A116" s="170" t="s">
        <v>43</v>
      </c>
      <c r="B116" s="65"/>
      <c r="C116" s="65"/>
      <c r="D116" s="65"/>
      <c r="E116" s="65"/>
      <c r="F116" s="65"/>
      <c r="G116" s="65"/>
      <c r="H116" s="65"/>
      <c r="I116" s="65"/>
      <c r="J116" s="65"/>
      <c r="K116" s="65"/>
      <c r="L116" s="65"/>
      <c r="M116" s="65"/>
      <c r="N116" s="65"/>
      <c r="O116" s="65"/>
      <c r="P116" s="65"/>
      <c r="Q116" s="215"/>
      <c r="R116" s="65"/>
      <c r="S116" s="65"/>
      <c r="T116" s="65"/>
      <c r="U116" s="65"/>
      <c r="V116" s="215"/>
      <c r="W116" s="65"/>
      <c r="X116" s="65"/>
      <c r="Y116" s="65"/>
      <c r="Z116" s="65"/>
      <c r="AA116" s="215"/>
      <c r="AB116" s="65"/>
      <c r="AC116" s="65"/>
      <c r="AD116" s="65"/>
      <c r="AE116" s="65"/>
      <c r="AF116" s="215"/>
      <c r="AG116" s="65"/>
      <c r="AH116" s="65"/>
      <c r="AI116" s="65"/>
      <c r="AJ116" s="65"/>
      <c r="AK116" s="215"/>
      <c r="AL116" s="65"/>
      <c r="AM116" s="65"/>
      <c r="AN116" s="65"/>
      <c r="AO116" s="65"/>
      <c r="AP116" s="215"/>
      <c r="AQ116" s="65"/>
      <c r="AR116" s="65"/>
      <c r="AS116" s="65"/>
      <c r="AT116" s="65"/>
      <c r="AU116" s="215"/>
      <c r="AV116" s="45"/>
      <c r="AW116" s="65"/>
      <c r="AX116" s="65"/>
      <c r="AY116" s="65"/>
      <c r="AZ116" s="65"/>
      <c r="BA116" s="215"/>
      <c r="BB116" s="65">
        <v>2.1</v>
      </c>
      <c r="BC116" s="65">
        <v>2.2000000000000002</v>
      </c>
      <c r="BD116" s="65">
        <v>1.8</v>
      </c>
      <c r="BE116" s="65">
        <v>1.6</v>
      </c>
      <c r="BF116" s="215">
        <v>7.6</v>
      </c>
      <c r="BG116" s="65">
        <v>2.1</v>
      </c>
      <c r="BH116" s="65">
        <v>1.9</v>
      </c>
      <c r="BI116" s="65">
        <v>1.1000000000000001</v>
      </c>
      <c r="BJ116" s="65">
        <v>0.6</v>
      </c>
      <c r="BK116" s="215">
        <v>5.7</v>
      </c>
      <c r="BL116" s="65">
        <v>0.6</v>
      </c>
      <c r="BM116" s="65">
        <v>0.6</v>
      </c>
      <c r="BN116" s="65">
        <v>0.6</v>
      </c>
      <c r="BO116" s="65">
        <v>0.6</v>
      </c>
      <c r="BP116" s="215">
        <f>SUM(BL116:BO116)</f>
        <v>2.4</v>
      </c>
      <c r="BQ116" s="65">
        <v>0.6</v>
      </c>
      <c r="BR116" s="65">
        <v>0.5</v>
      </c>
      <c r="BS116" s="65">
        <v>0.7</v>
      </c>
      <c r="BT116" s="65">
        <v>0.5</v>
      </c>
      <c r="BU116" s="215">
        <f>SUM(BQ116:BT116)</f>
        <v>2.2999999999999998</v>
      </c>
      <c r="BV116" s="65">
        <v>0.55691212369835064</v>
      </c>
      <c r="BW116" s="1385">
        <v>0.62628209134625901</v>
      </c>
      <c r="BX116" s="65">
        <v>0.66374523850025191</v>
      </c>
      <c r="BY116" s="65">
        <v>0.53338729078496627</v>
      </c>
      <c r="BZ116" s="215">
        <f t="shared" si="284"/>
        <v>2.3803267443298277</v>
      </c>
      <c r="CA116" s="65">
        <v>0.56805036617231763</v>
      </c>
      <c r="CB116" s="65">
        <v>0.63880773317318418</v>
      </c>
      <c r="CC116" s="65">
        <v>0.67702014327025695</v>
      </c>
      <c r="CD116" s="65">
        <v>0.54405503660066556</v>
      </c>
      <c r="CE116" s="215">
        <f t="shared" si="285"/>
        <v>2.4279332792164245</v>
      </c>
      <c r="CF116" s="65">
        <v>0.57941137349576399</v>
      </c>
      <c r="CG116" s="65"/>
      <c r="CH116" s="65"/>
      <c r="CI116" s="65"/>
      <c r="CJ116" s="215"/>
      <c r="CK116" s="65"/>
      <c r="CL116" s="65"/>
      <c r="CM116" s="65"/>
      <c r="CN116" s="65"/>
      <c r="CO116" s="215"/>
      <c r="CP116" s="65"/>
      <c r="CQ116" s="65"/>
      <c r="CR116" s="65"/>
      <c r="CS116" s="65"/>
      <c r="CT116" s="215"/>
      <c r="CU116" s="65"/>
      <c r="CV116" s="65"/>
      <c r="CW116" s="65"/>
      <c r="CX116" s="65"/>
      <c r="CY116" s="215"/>
      <c r="CZ116" s="65"/>
      <c r="DA116" s="65"/>
      <c r="DB116" s="65"/>
      <c r="DC116" s="65"/>
      <c r="DD116" s="215"/>
      <c r="DE116" s="65"/>
      <c r="DF116" s="65"/>
      <c r="DG116" s="65"/>
      <c r="DH116" s="65"/>
      <c r="DI116" s="215"/>
      <c r="DJ116" s="65"/>
      <c r="DK116" s="65"/>
      <c r="DL116" s="65"/>
      <c r="DM116" s="65"/>
      <c r="DN116" s="215"/>
      <c r="DO116" s="65"/>
      <c r="DP116" s="65"/>
      <c r="DQ116" s="65"/>
      <c r="DR116" s="65"/>
      <c r="DS116" s="215"/>
      <c r="DT116" s="65"/>
      <c r="DU116" s="65"/>
      <c r="DV116" s="65"/>
      <c r="DW116" s="65"/>
      <c r="DX116" s="215"/>
      <c r="DY116" s="21"/>
      <c r="DZ116" s="21"/>
      <c r="EA116" s="21"/>
      <c r="EB116" s="15"/>
      <c r="EC116" s="15"/>
      <c r="ED116" s="670"/>
      <c r="EE116" s="670"/>
      <c r="EF116" s="670"/>
      <c r="EG116" s="670"/>
      <c r="EH116" s="670"/>
      <c r="EI116" s="670"/>
      <c r="EJ116" s="373"/>
      <c r="EK116" s="373"/>
      <c r="EL116" s="373"/>
      <c r="EM116" s="16"/>
      <c r="EN116" s="16"/>
      <c r="EU116" s="16"/>
      <c r="EV116" s="16"/>
      <c r="EW116" s="16"/>
      <c r="EX116" s="16"/>
      <c r="EY116" s="16"/>
      <c r="EZ116" s="16"/>
      <c r="FA116" s="16"/>
      <c r="FB116" s="16"/>
      <c r="FC116" s="16"/>
      <c r="FD116" s="16"/>
      <c r="FE116" s="16"/>
      <c r="FF116" s="16"/>
      <c r="FG116" s="16"/>
      <c r="FH116" s="16"/>
      <c r="FI116" s="16"/>
      <c r="FJ116" s="16"/>
    </row>
    <row r="117" spans="1:166" collapsed="1" x14ac:dyDescent="0.2">
      <c r="A117" s="170" t="s">
        <v>745</v>
      </c>
      <c r="B117" s="65"/>
      <c r="C117" s="65"/>
      <c r="D117" s="65"/>
      <c r="E117" s="65"/>
      <c r="F117" s="65"/>
      <c r="G117" s="65"/>
      <c r="H117" s="65"/>
      <c r="I117" s="65"/>
      <c r="J117" s="65"/>
      <c r="K117" s="65"/>
      <c r="L117" s="65"/>
      <c r="M117" s="65"/>
      <c r="N117" s="65"/>
      <c r="O117" s="65"/>
      <c r="P117" s="65"/>
      <c r="Q117" s="215"/>
      <c r="R117" s="65"/>
      <c r="S117" s="65"/>
      <c r="T117" s="65"/>
      <c r="U117" s="65"/>
      <c r="V117" s="215"/>
      <c r="W117" s="65"/>
      <c r="X117" s="65"/>
      <c r="Y117" s="65"/>
      <c r="Z117" s="65"/>
      <c r="AA117" s="215"/>
      <c r="AB117" s="65"/>
      <c r="AC117" s="65"/>
      <c r="AD117" s="65"/>
      <c r="AE117" s="65"/>
      <c r="AF117" s="215"/>
      <c r="AG117" s="65"/>
      <c r="AH117" s="65"/>
      <c r="AI117" s="65"/>
      <c r="AJ117" s="65"/>
      <c r="AK117" s="215"/>
      <c r="AL117" s="65"/>
      <c r="AM117" s="65"/>
      <c r="AN117" s="65"/>
      <c r="AO117" s="65"/>
      <c r="AP117" s="215"/>
      <c r="AQ117" s="65"/>
      <c r="AR117" s="65"/>
      <c r="AS117" s="65"/>
      <c r="AT117" s="65"/>
      <c r="AU117" s="215"/>
      <c r="AV117" s="45"/>
      <c r="AW117" s="65"/>
      <c r="AX117" s="65"/>
      <c r="AY117" s="65"/>
      <c r="AZ117" s="65"/>
      <c r="BA117" s="215"/>
      <c r="BB117" s="65"/>
      <c r="BC117" s="65"/>
      <c r="BD117" s="65"/>
      <c r="BE117" s="65"/>
      <c r="BF117" s="215"/>
      <c r="BG117" s="65"/>
      <c r="BH117" s="65"/>
      <c r="BI117" s="65"/>
      <c r="BJ117" s="65"/>
      <c r="BK117" s="215"/>
      <c r="BL117" s="65"/>
      <c r="BM117" s="65"/>
      <c r="BN117" s="65"/>
      <c r="BO117" s="65"/>
      <c r="BP117" s="215"/>
      <c r="BQ117" s="65"/>
      <c r="BR117" s="65"/>
      <c r="BS117" s="65"/>
      <c r="BT117" s="65"/>
      <c r="BU117" s="215"/>
      <c r="BV117" s="65">
        <v>11.8</v>
      </c>
      <c r="BW117" s="65">
        <v>12</v>
      </c>
      <c r="BX117" s="65">
        <v>11.8</v>
      </c>
      <c r="BY117" s="65">
        <v>11.5</v>
      </c>
      <c r="BZ117" s="215">
        <f t="shared" si="284"/>
        <v>47.1</v>
      </c>
      <c r="CA117" s="65">
        <v>12</v>
      </c>
      <c r="CB117" s="65">
        <v>11.9</v>
      </c>
      <c r="CC117" s="65">
        <v>12</v>
      </c>
      <c r="CD117" s="65">
        <v>12.1</v>
      </c>
      <c r="CE117" s="215">
        <f t="shared" si="285"/>
        <v>48</v>
      </c>
      <c r="CF117" s="65">
        <v>12.5</v>
      </c>
      <c r="CG117" s="65">
        <v>12.7</v>
      </c>
      <c r="CH117" s="65">
        <v>12.7</v>
      </c>
      <c r="CI117" s="65">
        <v>8.6</v>
      </c>
      <c r="CJ117" s="215">
        <v>46.5</v>
      </c>
      <c r="CK117" s="65">
        <v>12.2</v>
      </c>
      <c r="CL117" s="65">
        <v>17.090242266973934</v>
      </c>
      <c r="CM117" s="65">
        <v>17.102072454160961</v>
      </c>
      <c r="CN117" s="65">
        <v>10.916584319017552</v>
      </c>
      <c r="CO117" s="215">
        <v>57.308899040152447</v>
      </c>
      <c r="CP117" s="65">
        <v>13.302144214546056</v>
      </c>
      <c r="CQ117" s="65">
        <v>18.607848150044802</v>
      </c>
      <c r="CR117" s="65">
        <v>18.631835429489801</v>
      </c>
      <c r="CS117" s="65">
        <v>11.901176133381879</v>
      </c>
      <c r="CT117" s="215">
        <v>62.443003927462541</v>
      </c>
      <c r="CU117" s="65">
        <v>14.67445929063647</v>
      </c>
      <c r="CV117" s="65">
        <v>20.274864305679287</v>
      </c>
      <c r="CW117" s="65">
        <v>20.296176923232903</v>
      </c>
      <c r="CX117" s="65">
        <v>12.937711425333367</v>
      </c>
      <c r="CY117" s="215">
        <v>68.183211944882018</v>
      </c>
      <c r="CZ117" s="65">
        <v>20.147967927513015</v>
      </c>
      <c r="DA117" s="65">
        <v>20.827491544443962</v>
      </c>
      <c r="DB117" s="65">
        <v>22.299351809579534</v>
      </c>
      <c r="DC117" s="65">
        <v>23.42447966185507</v>
      </c>
      <c r="DD117" s="215">
        <v>86.699290943391588</v>
      </c>
      <c r="DE117" s="65">
        <v>21.818707172619749</v>
      </c>
      <c r="DF117" s="65">
        <v>22.544656995117279</v>
      </c>
      <c r="DG117" s="65">
        <v>24.139706945117254</v>
      </c>
      <c r="DH117" s="65">
        <v>25.330384687260249</v>
      </c>
      <c r="DI117" s="215">
        <v>93.833455800114535</v>
      </c>
      <c r="DJ117" s="65">
        <v>23.59410438300749</v>
      </c>
      <c r="DK117" s="65">
        <v>24.366072173069103</v>
      </c>
      <c r="DL117" s="65">
        <v>26.09540977393517</v>
      </c>
      <c r="DM117" s="65">
        <v>27.36604790218172</v>
      </c>
      <c r="DN117" s="215">
        <v>101.42163423219348</v>
      </c>
      <c r="DO117" s="65">
        <v>25.779179105372965</v>
      </c>
      <c r="DP117" s="65">
        <v>26.316761622612486</v>
      </c>
      <c r="DQ117" s="65">
        <v>28.189468453305796</v>
      </c>
      <c r="DR117" s="65">
        <v>29.544302543679674</v>
      </c>
      <c r="DS117" s="215">
        <v>109.82971172497092</v>
      </c>
      <c r="DT117" s="65">
        <v>27.53101106777585</v>
      </c>
      <c r="DU117" s="65">
        <v>28.403830071486382</v>
      </c>
      <c r="DV117" s="65">
        <v>30.429464344316877</v>
      </c>
      <c r="DW117" s="65">
        <v>31.872885436940788</v>
      </c>
      <c r="DX117" s="215">
        <v>118.23719092051989</v>
      </c>
      <c r="DY117" s="21"/>
      <c r="DZ117" s="21"/>
      <c r="EA117" s="21"/>
      <c r="EB117" s="15"/>
      <c r="EC117" s="15"/>
      <c r="ED117" s="670"/>
      <c r="EE117" s="670"/>
      <c r="EF117" s="670"/>
      <c r="EG117" s="670"/>
      <c r="EH117" s="670"/>
      <c r="EI117" s="670"/>
      <c r="EJ117" s="373"/>
      <c r="EK117" s="373"/>
      <c r="EL117" s="373"/>
      <c r="EM117" s="16"/>
      <c r="EN117" s="16"/>
      <c r="EU117" s="16"/>
      <c r="EV117" s="16"/>
      <c r="EW117" s="16"/>
      <c r="EX117" s="16"/>
      <c r="EY117" s="16"/>
      <c r="EZ117" s="16"/>
      <c r="FA117" s="16"/>
      <c r="FB117" s="16"/>
      <c r="FC117" s="16"/>
      <c r="FD117" s="16"/>
      <c r="FE117" s="16"/>
      <c r="FF117" s="16"/>
      <c r="FG117" s="16"/>
      <c r="FH117" s="16"/>
      <c r="FI117" s="16"/>
      <c r="FJ117" s="16"/>
    </row>
    <row r="118" spans="1:166" x14ac:dyDescent="0.2">
      <c r="A118" s="170" t="s">
        <v>816</v>
      </c>
      <c r="B118" s="65"/>
      <c r="C118" s="65"/>
      <c r="D118" s="65"/>
      <c r="E118" s="65"/>
      <c r="F118" s="65"/>
      <c r="G118" s="65"/>
      <c r="H118" s="65"/>
      <c r="I118" s="65"/>
      <c r="J118" s="65"/>
      <c r="K118" s="65"/>
      <c r="L118" s="65"/>
      <c r="M118" s="65"/>
      <c r="N118" s="65"/>
      <c r="O118" s="65"/>
      <c r="P118" s="65"/>
      <c r="Q118" s="215"/>
      <c r="R118" s="65"/>
      <c r="S118" s="65"/>
      <c r="T118" s="65"/>
      <c r="U118" s="65"/>
      <c r="V118" s="215"/>
      <c r="W118" s="65"/>
      <c r="X118" s="65"/>
      <c r="Y118" s="65"/>
      <c r="Z118" s="65"/>
      <c r="AA118" s="215"/>
      <c r="AB118" s="65"/>
      <c r="AC118" s="65"/>
      <c r="AD118" s="65"/>
      <c r="AE118" s="65"/>
      <c r="AF118" s="215"/>
      <c r="AG118" s="65"/>
      <c r="AH118" s="65"/>
      <c r="AI118" s="65"/>
      <c r="AJ118" s="65"/>
      <c r="AK118" s="215"/>
      <c r="AL118" s="65"/>
      <c r="AM118" s="65"/>
      <c r="AN118" s="65"/>
      <c r="AO118" s="65"/>
      <c r="AP118" s="215"/>
      <c r="AQ118" s="65"/>
      <c r="AR118" s="65"/>
      <c r="AS118" s="65"/>
      <c r="AT118" s="65"/>
      <c r="AU118" s="215"/>
      <c r="AV118" s="45"/>
      <c r="AW118" s="65"/>
      <c r="AX118" s="65"/>
      <c r="AY118" s="65"/>
      <c r="AZ118" s="65"/>
      <c r="BA118" s="215"/>
      <c r="BB118" s="65"/>
      <c r="BC118" s="65"/>
      <c r="BD118" s="65"/>
      <c r="BE118" s="65"/>
      <c r="BF118" s="215"/>
      <c r="BG118" s="65"/>
      <c r="BH118" s="65"/>
      <c r="BI118" s="65"/>
      <c r="BJ118" s="65"/>
      <c r="BK118" s="215"/>
      <c r="BL118" s="65"/>
      <c r="BM118" s="65"/>
      <c r="BN118" s="65"/>
      <c r="BO118" s="65"/>
      <c r="BP118" s="215"/>
      <c r="BQ118" s="65"/>
      <c r="BR118" s="65"/>
      <c r="BS118" s="65"/>
      <c r="BT118" s="65"/>
      <c r="BU118" s="215"/>
      <c r="BV118" s="65">
        <v>32.6</v>
      </c>
      <c r="BW118" s="65">
        <v>29.6</v>
      </c>
      <c r="BX118" s="65">
        <v>27.3</v>
      </c>
      <c r="BY118" s="65">
        <v>28.2</v>
      </c>
      <c r="BZ118" s="215">
        <f t="shared" si="284"/>
        <v>117.7</v>
      </c>
      <c r="CA118" s="65">
        <v>25.1</v>
      </c>
      <c r="CB118" s="65">
        <v>26.1</v>
      </c>
      <c r="CC118" s="65">
        <v>25.7</v>
      </c>
      <c r="CD118" s="65">
        <v>25.2</v>
      </c>
      <c r="CE118" s="215">
        <f t="shared" si="285"/>
        <v>102.10000000000001</v>
      </c>
      <c r="CF118" s="65">
        <v>25.1</v>
      </c>
      <c r="CG118" s="65">
        <v>24.7</v>
      </c>
      <c r="CH118" s="65">
        <v>26.1</v>
      </c>
      <c r="CI118" s="65">
        <v>26.8</v>
      </c>
      <c r="CJ118" s="215">
        <v>102.7</v>
      </c>
      <c r="CK118" s="65">
        <v>26.3</v>
      </c>
      <c r="CL118" s="65">
        <v>26.733207985122714</v>
      </c>
      <c r="CM118" s="65">
        <v>27.31634130168483</v>
      </c>
      <c r="CN118" s="65">
        <v>28.514145958688232</v>
      </c>
      <c r="CO118" s="215">
        <v>108.86369524549578</v>
      </c>
      <c r="CP118" s="65">
        <v>26.761512424043378</v>
      </c>
      <c r="CQ118" s="65">
        <v>27.151670410349183</v>
      </c>
      <c r="CR118" s="65">
        <v>27.712915957285844</v>
      </c>
      <c r="CS118" s="65">
        <v>29.078744978667043</v>
      </c>
      <c r="CT118" s="215">
        <v>110.70484377034545</v>
      </c>
      <c r="CU118" s="65">
        <v>27.65149129117502</v>
      </c>
      <c r="CV118" s="65">
        <v>27.701701527108231</v>
      </c>
      <c r="CW118" s="65">
        <v>28.30865397382696</v>
      </c>
      <c r="CX118" s="65">
        <v>29.826354382984245</v>
      </c>
      <c r="CY118" s="215">
        <v>113.48820117509446</v>
      </c>
      <c r="CZ118" s="65">
        <v>29.955696033236098</v>
      </c>
      <c r="DA118" s="65">
        <v>29.128351891668181</v>
      </c>
      <c r="DB118" s="65">
        <v>30.57314235856883</v>
      </c>
      <c r="DC118" s="65">
        <v>32.226557349935625</v>
      </c>
      <c r="DD118" s="215">
        <v>121.88374763340875</v>
      </c>
      <c r="DE118" s="65">
        <v>31.592366403032642</v>
      </c>
      <c r="DF118" s="65">
        <v>30.785062428871363</v>
      </c>
      <c r="DG118" s="65">
        <v>32.36704921468786</v>
      </c>
      <c r="DH118" s="65">
        <v>34.139475387296898</v>
      </c>
      <c r="DI118" s="215">
        <v>128.88395343388876</v>
      </c>
      <c r="DJ118" s="65">
        <v>32.430628603252558</v>
      </c>
      <c r="DK118" s="65">
        <v>30.348626531914945</v>
      </c>
      <c r="DL118" s="65">
        <v>31.867278371082559</v>
      </c>
      <c r="DM118" s="65">
        <v>33.693375534758786</v>
      </c>
      <c r="DN118" s="215">
        <v>128.33990904100887</v>
      </c>
      <c r="DO118" s="65">
        <v>33.582284304930255</v>
      </c>
      <c r="DP118" s="65">
        <v>29.714822031900514</v>
      </c>
      <c r="DQ118" s="65">
        <v>31.156896846580569</v>
      </c>
      <c r="DR118" s="65">
        <v>33.036765811290401</v>
      </c>
      <c r="DS118" s="215">
        <v>127.49076899470174</v>
      </c>
      <c r="DT118" s="65">
        <v>33.935940097545533</v>
      </c>
      <c r="DU118" s="65">
        <v>28.872283950168931</v>
      </c>
      <c r="DV118" s="65">
        <v>30.223756396071778</v>
      </c>
      <c r="DW118" s="65">
        <v>32.15737701090999</v>
      </c>
      <c r="DX118" s="215">
        <v>125.18935745469622</v>
      </c>
      <c r="DY118" s="21"/>
      <c r="DZ118" s="21"/>
      <c r="EA118" s="21"/>
      <c r="EB118" s="15"/>
      <c r="EC118" s="15"/>
      <c r="ED118" s="670"/>
      <c r="EE118" s="670"/>
      <c r="EF118" s="670"/>
      <c r="EG118" s="670"/>
      <c r="EH118" s="670"/>
      <c r="EI118" s="670"/>
      <c r="EJ118" s="373"/>
      <c r="EK118" s="373"/>
      <c r="EL118" s="373"/>
      <c r="EM118" s="16"/>
      <c r="EN118" s="16"/>
      <c r="EU118" s="16"/>
      <c r="EV118" s="16"/>
      <c r="EW118" s="16"/>
      <c r="EX118" s="16"/>
      <c r="EY118" s="16"/>
      <c r="EZ118" s="16"/>
      <c r="FA118" s="16"/>
      <c r="FB118" s="16"/>
      <c r="FC118" s="16"/>
      <c r="FD118" s="16"/>
      <c r="FE118" s="16"/>
      <c r="FF118" s="16"/>
      <c r="FG118" s="16"/>
      <c r="FH118" s="16"/>
      <c r="FI118" s="16"/>
      <c r="FJ118" s="16"/>
    </row>
    <row r="119" spans="1:166" x14ac:dyDescent="0.2">
      <c r="A119" s="170" t="s">
        <v>804</v>
      </c>
      <c r="B119" s="65"/>
      <c r="C119" s="65"/>
      <c r="D119" s="65"/>
      <c r="E119" s="65"/>
      <c r="F119" s="65"/>
      <c r="G119" s="65"/>
      <c r="H119" s="65"/>
      <c r="I119" s="65"/>
      <c r="J119" s="65"/>
      <c r="K119" s="65"/>
      <c r="L119" s="65"/>
      <c r="M119" s="65"/>
      <c r="N119" s="65"/>
      <c r="O119" s="65"/>
      <c r="P119" s="65"/>
      <c r="Q119" s="215"/>
      <c r="R119" s="65"/>
      <c r="S119" s="65"/>
      <c r="T119" s="65"/>
      <c r="U119" s="65"/>
      <c r="V119" s="215"/>
      <c r="W119" s="65"/>
      <c r="X119" s="65"/>
      <c r="Y119" s="65"/>
      <c r="Z119" s="65"/>
      <c r="AA119" s="215"/>
      <c r="AB119" s="65"/>
      <c r="AC119" s="65"/>
      <c r="AD119" s="65"/>
      <c r="AE119" s="65"/>
      <c r="AF119" s="215"/>
      <c r="AG119" s="65"/>
      <c r="AH119" s="65"/>
      <c r="AI119" s="65"/>
      <c r="AJ119" s="65"/>
      <c r="AK119" s="215"/>
      <c r="AL119" s="65"/>
      <c r="AM119" s="65"/>
      <c r="AN119" s="65"/>
      <c r="AO119" s="65"/>
      <c r="AP119" s="215"/>
      <c r="AQ119" s="65"/>
      <c r="AR119" s="65"/>
      <c r="AS119" s="65"/>
      <c r="AT119" s="65"/>
      <c r="AU119" s="215"/>
      <c r="AV119" s="45"/>
      <c r="AW119" s="65"/>
      <c r="AX119" s="65"/>
      <c r="AY119" s="65"/>
      <c r="AZ119" s="65"/>
      <c r="BA119" s="215"/>
      <c r="BB119" s="65"/>
      <c r="BC119" s="65"/>
      <c r="BD119" s="65"/>
      <c r="BE119" s="65"/>
      <c r="BF119" s="215"/>
      <c r="BG119" s="65"/>
      <c r="BH119" s="65"/>
      <c r="BI119" s="65"/>
      <c r="BJ119" s="65"/>
      <c r="BK119" s="215"/>
      <c r="BL119" s="65"/>
      <c r="BM119" s="65"/>
      <c r="BN119" s="65"/>
      <c r="BO119" s="65"/>
      <c r="BP119" s="215"/>
      <c r="BQ119" s="65"/>
      <c r="BR119" s="65"/>
      <c r="BS119" s="65"/>
      <c r="BT119" s="65"/>
      <c r="BU119" s="215"/>
      <c r="BV119" s="65"/>
      <c r="BW119" s="65"/>
      <c r="BX119" s="65"/>
      <c r="BY119" s="65"/>
      <c r="BZ119" s="215"/>
      <c r="CA119" s="65"/>
      <c r="CB119" s="65"/>
      <c r="CC119" s="65"/>
      <c r="CD119" s="65"/>
      <c r="CE119" s="215"/>
      <c r="CF119" s="65"/>
      <c r="CG119" s="65">
        <v>2.4</v>
      </c>
      <c r="CH119" s="65">
        <v>1.6</v>
      </c>
      <c r="CI119" s="65">
        <v>5</v>
      </c>
      <c r="CJ119" s="215">
        <f>SUM(CF119:CI119)</f>
        <v>9</v>
      </c>
      <c r="CK119" s="65">
        <v>2.7</v>
      </c>
      <c r="CL119" s="65">
        <v>3.5790600583144632</v>
      </c>
      <c r="CM119" s="65">
        <v>2.3235882906032042</v>
      </c>
      <c r="CN119" s="65">
        <v>7.4568802174293785</v>
      </c>
      <c r="CO119" s="215">
        <f>SUM(CK119:CN119)</f>
        <v>16.059528566347048</v>
      </c>
      <c r="CP119" s="65">
        <v>3.3346443716545848</v>
      </c>
      <c r="CQ119" s="65">
        <v>3.54654343899825</v>
      </c>
      <c r="CR119" s="65">
        <v>2.2409633702514156</v>
      </c>
      <c r="CS119" s="65">
        <v>8.0277485987981141</v>
      </c>
      <c r="CT119" s="215">
        <f>SUM(CP119:CS119)</f>
        <v>17.149899779702366</v>
      </c>
      <c r="CU119" s="65">
        <v>3.368055956389731</v>
      </c>
      <c r="CV119" s="65">
        <v>3.5344747446130698</v>
      </c>
      <c r="CW119" s="65">
        <v>2.1511781499757232</v>
      </c>
      <c r="CX119" s="65">
        <v>8.2395907871145955</v>
      </c>
      <c r="CY119" s="215">
        <f>SUM(CU119:CX119)</f>
        <v>17.293299638093117</v>
      </c>
      <c r="CZ119" s="65">
        <v>3.4377134710326205</v>
      </c>
      <c r="DA119" s="65">
        <v>3.6376875957826647</v>
      </c>
      <c r="DB119" s="65">
        <v>2.2963770790180065</v>
      </c>
      <c r="DC119" s="65">
        <v>8.6977502256219825</v>
      </c>
      <c r="DD119" s="215">
        <f>SUM(CZ119:DC119)</f>
        <v>18.069528371455274</v>
      </c>
      <c r="DE119" s="65">
        <v>3.6792468045307158</v>
      </c>
      <c r="DF119" s="65">
        <v>3.8859909981208522</v>
      </c>
      <c r="DG119" s="65">
        <v>2.4617794972193687</v>
      </c>
      <c r="DH119" s="65">
        <v>9.3494024920918246</v>
      </c>
      <c r="DI119" s="215">
        <f>SUM(DE119:DH119)</f>
        <v>19.376419791962761</v>
      </c>
      <c r="DJ119" s="65">
        <v>3.9464551664673655</v>
      </c>
      <c r="DK119" s="65">
        <v>4.1592690853153327</v>
      </c>
      <c r="DL119" s="65">
        <v>2.6410405714465721</v>
      </c>
      <c r="DM119" s="65">
        <v>10.047354144413802</v>
      </c>
      <c r="DN119" s="215">
        <f>SUM(DJ119:DM119)</f>
        <v>20.794118967643072</v>
      </c>
      <c r="DO119" s="65">
        <v>4.2744686774500726</v>
      </c>
      <c r="DP119" s="65">
        <v>4.4374140121540435</v>
      </c>
      <c r="DQ119" s="65">
        <v>2.8216330796916553</v>
      </c>
      <c r="DR119" s="65">
        <v>10.754352535472011</v>
      </c>
      <c r="DS119" s="215">
        <f>SUM(DO119:DR119)</f>
        <v>22.287868304767784</v>
      </c>
      <c r="DT119" s="65">
        <v>4.5106195886209317</v>
      </c>
      <c r="DU119" s="65">
        <v>4.7164381274969429</v>
      </c>
      <c r="DV119" s="65">
        <v>3.0035606870727927</v>
      </c>
      <c r="DW119" s="65">
        <v>11.470444532175762</v>
      </c>
      <c r="DX119" s="215">
        <f>SUM(DT119:DW119)</f>
        <v>23.70106293536643</v>
      </c>
      <c r="DY119" s="21"/>
      <c r="DZ119" s="21"/>
      <c r="EA119" s="21"/>
      <c r="EB119" s="15"/>
      <c r="EC119" s="15"/>
      <c r="ED119" s="670"/>
      <c r="EE119" s="670"/>
      <c r="EF119" s="670"/>
      <c r="EG119" s="670"/>
      <c r="EH119" s="670"/>
      <c r="EI119" s="670"/>
      <c r="EJ119" s="373"/>
      <c r="EK119" s="373"/>
      <c r="EL119" s="373"/>
      <c r="EM119" s="16"/>
      <c r="EN119" s="16"/>
      <c r="EU119" s="16"/>
      <c r="EV119" s="16"/>
      <c r="EW119" s="16"/>
      <c r="EX119" s="16"/>
      <c r="EY119" s="16"/>
      <c r="EZ119" s="16"/>
      <c r="FA119" s="16"/>
      <c r="FB119" s="16"/>
      <c r="FC119" s="16"/>
      <c r="FD119" s="16"/>
      <c r="FE119" s="16"/>
      <c r="FF119" s="16"/>
      <c r="FG119" s="16"/>
      <c r="FH119" s="16"/>
      <c r="FI119" s="16"/>
      <c r="FJ119" s="16"/>
    </row>
    <row r="120" spans="1:166" x14ac:dyDescent="0.2">
      <c r="A120" s="170" t="s">
        <v>506</v>
      </c>
      <c r="B120" s="65"/>
      <c r="C120" s="65"/>
      <c r="D120" s="65"/>
      <c r="E120" s="65"/>
      <c r="F120" s="65"/>
      <c r="G120" s="65"/>
      <c r="H120" s="65"/>
      <c r="I120" s="65"/>
      <c r="J120" s="65"/>
      <c r="K120" s="65"/>
      <c r="L120" s="65"/>
      <c r="M120" s="65"/>
      <c r="N120" s="65"/>
      <c r="O120" s="65"/>
      <c r="P120" s="65"/>
      <c r="Q120" s="215"/>
      <c r="R120" s="65"/>
      <c r="S120" s="65"/>
      <c r="T120" s="65"/>
      <c r="U120" s="65"/>
      <c r="V120" s="215"/>
      <c r="W120" s="65"/>
      <c r="X120" s="65"/>
      <c r="Y120" s="65"/>
      <c r="Z120" s="65"/>
      <c r="AA120" s="215"/>
      <c r="AB120" s="65"/>
      <c r="AC120" s="65"/>
      <c r="AD120" s="65"/>
      <c r="AE120" s="65"/>
      <c r="AF120" s="215"/>
      <c r="AG120" s="65"/>
      <c r="AH120" s="65"/>
      <c r="AI120" s="65"/>
      <c r="AJ120" s="65"/>
      <c r="AK120" s="215">
        <v>13</v>
      </c>
      <c r="AL120" s="65"/>
      <c r="AM120" s="65"/>
      <c r="AN120" s="65"/>
      <c r="AO120" s="65"/>
      <c r="AP120" s="215">
        <v>13.4</v>
      </c>
      <c r="AQ120" s="65"/>
      <c r="AR120" s="65"/>
      <c r="AS120" s="65"/>
      <c r="AT120" s="65">
        <f>16-SUM(AQ120:AS120)</f>
        <v>16</v>
      </c>
      <c r="AU120" s="215"/>
      <c r="AV120" s="45"/>
      <c r="AW120" s="65"/>
      <c r="AX120" s="65"/>
      <c r="AY120" s="65">
        <v>4.5</v>
      </c>
      <c r="AZ120" s="65">
        <v>3.1</v>
      </c>
      <c r="BA120" s="215"/>
      <c r="BB120" s="65">
        <f>BB121-SUM(BB112:BB116)</f>
        <v>6.5499999999999972</v>
      </c>
      <c r="BC120" s="65">
        <f>BC121-SUM(BC112:BC116)</f>
        <v>3.3499999999999979</v>
      </c>
      <c r="BD120" s="65">
        <f>BD121-SUM(BD112:BD116)</f>
        <v>0</v>
      </c>
      <c r="BE120" s="65">
        <f>BE121-SUM(BE112:BE116)</f>
        <v>3.3000000000000078</v>
      </c>
      <c r="BF120" s="215">
        <v>13.3</v>
      </c>
      <c r="BG120" s="65">
        <f>BG121-SUM(BG112:BG116)</f>
        <v>3.6999999999999993</v>
      </c>
      <c r="BH120" s="65">
        <f>BH121-SUM(BH112:BH116)</f>
        <v>3.600000000000005</v>
      </c>
      <c r="BI120" s="65">
        <f>BI121-SUM(BI112:BI116)</f>
        <v>3.8999999999999915</v>
      </c>
      <c r="BJ120" s="65">
        <f>BJ121-SUM(BJ112:BJ116)</f>
        <v>4.6000000000000032</v>
      </c>
      <c r="BK120" s="215">
        <v>15.3</v>
      </c>
      <c r="BL120" s="65">
        <f>BL121-SUM(BL112:BL116)</f>
        <v>2.0000000000000018</v>
      </c>
      <c r="BM120" s="65">
        <f>BM121-SUM(BM112:BM116)</f>
        <v>2.7000000000000011</v>
      </c>
      <c r="BN120" s="65">
        <f>BN121-SUM(BN112:BN116)</f>
        <v>2.4999999999999964</v>
      </c>
      <c r="BO120" s="65">
        <f>BO121-SUM(BO112:BO116)</f>
        <v>2.8999999999999986</v>
      </c>
      <c r="BP120" s="215">
        <v>9.9</v>
      </c>
      <c r="BQ120" s="65">
        <f>BQ121-SUM(BQ112:BQ116)</f>
        <v>3.1999999999999993</v>
      </c>
      <c r="BR120" s="65">
        <f>BR121-SUM(BR112:BR116)</f>
        <v>3.4000000000000039</v>
      </c>
      <c r="BS120" s="65">
        <f>BS121-SUM(BS112:BS116)</f>
        <v>3.5000000000000018</v>
      </c>
      <c r="BT120" s="65">
        <f>BT121-SUM(BT112:BT116)</f>
        <v>12.300000000000002</v>
      </c>
      <c r="BU120" s="215">
        <v>9.9</v>
      </c>
      <c r="BV120" s="65">
        <f t="shared" ref="BV120" si="286">BV121-SUM(BV117:BV119)</f>
        <v>6.4999999999999929</v>
      </c>
      <c r="BW120" s="65">
        <f t="shared" ref="BW120" si="287">BW121-SUM(BW117:BW119)</f>
        <v>9.5999999999999943</v>
      </c>
      <c r="BX120" s="65">
        <f t="shared" ref="BX120" si="288">BX121-SUM(BX117:BX119)</f>
        <v>-3.3999999999999773</v>
      </c>
      <c r="BY120" s="65">
        <f>BY121-SUM(BY117:BY119)</f>
        <v>4.4999999999999858</v>
      </c>
      <c r="BZ120" s="215">
        <f>SUM(BV120:BY120)</f>
        <v>17.199999999999996</v>
      </c>
      <c r="CA120" s="65">
        <f t="shared" ref="CA120:CC120" si="289">CA121-SUM(CA117:CA119)</f>
        <v>5</v>
      </c>
      <c r="CB120" s="65">
        <f t="shared" si="289"/>
        <v>5.6000000000000014</v>
      </c>
      <c r="CC120" s="65">
        <f t="shared" si="289"/>
        <v>5.6000000000000014</v>
      </c>
      <c r="CD120" s="65">
        <f>CD121-SUM(CD117:CD119)</f>
        <v>5.7999999999999901</v>
      </c>
      <c r="CE120" s="215">
        <f>SUM(CA120:CD120)</f>
        <v>21.999999999999993</v>
      </c>
      <c r="CF120" s="65">
        <f>CF121-SUM(CF117:CF119)</f>
        <v>5.7999999999999972</v>
      </c>
      <c r="CG120" s="65">
        <v>6</v>
      </c>
      <c r="CH120" s="65">
        <v>5.8</v>
      </c>
      <c r="CI120" s="65">
        <v>6</v>
      </c>
      <c r="CJ120" s="215">
        <f>SUM(CF120:CI120)</f>
        <v>23.599999999999998</v>
      </c>
      <c r="CK120" s="65">
        <v>7</v>
      </c>
      <c r="CL120" s="65">
        <v>7</v>
      </c>
      <c r="CM120" s="65">
        <v>7</v>
      </c>
      <c r="CN120" s="65">
        <v>7</v>
      </c>
      <c r="CO120" s="215">
        <f>SUM(CK120:CN120)</f>
        <v>28</v>
      </c>
      <c r="CP120" s="65">
        <v>7</v>
      </c>
      <c r="CQ120" s="65">
        <v>7</v>
      </c>
      <c r="CR120" s="65">
        <v>7</v>
      </c>
      <c r="CS120" s="65">
        <v>7</v>
      </c>
      <c r="CT120" s="215">
        <f>SUM(CP120:CS120)</f>
        <v>28</v>
      </c>
      <c r="CU120" s="65">
        <v>7</v>
      </c>
      <c r="CV120" s="65">
        <v>7</v>
      </c>
      <c r="CW120" s="65">
        <v>7</v>
      </c>
      <c r="CX120" s="65">
        <v>7</v>
      </c>
      <c r="CY120" s="215">
        <f>SUM(CU120:CX120)</f>
        <v>28</v>
      </c>
      <c r="CZ120" s="65">
        <v>7</v>
      </c>
      <c r="DA120" s="65">
        <v>7</v>
      </c>
      <c r="DB120" s="65">
        <v>7</v>
      </c>
      <c r="DC120" s="65">
        <v>7</v>
      </c>
      <c r="DD120" s="215">
        <f>SUM(CZ120:DC120)</f>
        <v>28</v>
      </c>
      <c r="DE120" s="65">
        <v>6</v>
      </c>
      <c r="DF120" s="65">
        <v>6</v>
      </c>
      <c r="DG120" s="65">
        <v>6</v>
      </c>
      <c r="DH120" s="65">
        <v>6</v>
      </c>
      <c r="DI120" s="215">
        <f>SUM(DE120:DH120)</f>
        <v>24</v>
      </c>
      <c r="DJ120" s="65">
        <v>6</v>
      </c>
      <c r="DK120" s="65">
        <v>6</v>
      </c>
      <c r="DL120" s="65">
        <v>6</v>
      </c>
      <c r="DM120" s="65">
        <v>6</v>
      </c>
      <c r="DN120" s="215">
        <f>SUM(DJ120:DM120)</f>
        <v>24</v>
      </c>
      <c r="DO120" s="65">
        <v>6</v>
      </c>
      <c r="DP120" s="65">
        <v>6</v>
      </c>
      <c r="DQ120" s="65">
        <v>6</v>
      </c>
      <c r="DR120" s="65">
        <v>6</v>
      </c>
      <c r="DS120" s="215">
        <f>SUM(DO120:DR120)</f>
        <v>24</v>
      </c>
      <c r="DT120" s="65">
        <v>6</v>
      </c>
      <c r="DU120" s="65">
        <v>6</v>
      </c>
      <c r="DV120" s="65">
        <v>6</v>
      </c>
      <c r="DW120" s="65">
        <v>6</v>
      </c>
      <c r="DX120" s="215">
        <f>SUM(DT120:DW120)</f>
        <v>24</v>
      </c>
      <c r="DY120" s="21"/>
      <c r="DZ120" s="21"/>
      <c r="EA120" s="21"/>
      <c r="EB120" s="15"/>
      <c r="EC120" s="15"/>
      <c r="ED120" s="670"/>
      <c r="EE120" s="670"/>
      <c r="EF120" s="670"/>
      <c r="EG120" s="670"/>
      <c r="EH120" s="670"/>
      <c r="EI120" s="670"/>
      <c r="EJ120" s="373"/>
      <c r="EK120" s="373"/>
      <c r="EL120" s="373"/>
      <c r="EM120" s="16"/>
      <c r="EN120" s="16"/>
      <c r="EU120" s="16"/>
      <c r="EV120" s="16"/>
      <c r="EW120" s="16"/>
      <c r="EX120" s="16"/>
      <c r="EY120" s="16"/>
      <c r="EZ120" s="16"/>
      <c r="FA120" s="16"/>
      <c r="FB120" s="16"/>
      <c r="FC120" s="16"/>
      <c r="FD120" s="16"/>
      <c r="FE120" s="16"/>
      <c r="FF120" s="16"/>
      <c r="FG120" s="16"/>
      <c r="FH120" s="16"/>
      <c r="FI120" s="16"/>
      <c r="FJ120" s="16"/>
    </row>
    <row r="121" spans="1:166" x14ac:dyDescent="0.2">
      <c r="A121" s="676" t="s">
        <v>209</v>
      </c>
      <c r="B121" s="322"/>
      <c r="C121" s="322"/>
      <c r="D121" s="322"/>
      <c r="E121" s="322"/>
      <c r="F121" s="322"/>
      <c r="G121" s="322"/>
      <c r="H121" s="322"/>
      <c r="I121" s="322"/>
      <c r="J121" s="322"/>
      <c r="K121" s="322"/>
      <c r="L121" s="322"/>
      <c r="M121" s="322"/>
      <c r="N121" s="322"/>
      <c r="O121" s="322"/>
      <c r="P121" s="322"/>
      <c r="Q121" s="329"/>
      <c r="R121" s="322"/>
      <c r="S121" s="322"/>
      <c r="T121" s="322"/>
      <c r="U121" s="322"/>
      <c r="V121" s="329"/>
      <c r="W121" s="322"/>
      <c r="X121" s="322"/>
      <c r="Y121" s="322"/>
      <c r="Z121" s="322"/>
      <c r="AA121" s="329"/>
      <c r="AB121" s="322"/>
      <c r="AC121" s="322"/>
      <c r="AD121" s="322"/>
      <c r="AE121" s="322"/>
      <c r="AF121" s="329"/>
      <c r="AG121" s="322"/>
      <c r="AH121" s="322"/>
      <c r="AI121" s="322"/>
      <c r="AJ121" s="322"/>
      <c r="AK121" s="329">
        <f>SUM(AK112:AK120)</f>
        <v>95.6</v>
      </c>
      <c r="AL121" s="322"/>
      <c r="AM121" s="322"/>
      <c r="AN121" s="322"/>
      <c r="AO121" s="322"/>
      <c r="AP121" s="329">
        <f>SUM(AP112:AP120)</f>
        <v>98.1</v>
      </c>
      <c r="AQ121" s="322"/>
      <c r="AR121" s="322"/>
      <c r="AS121" s="322"/>
      <c r="AT121" s="322">
        <f>SUM(AT112:AT120)</f>
        <v>111.7</v>
      </c>
      <c r="AU121" s="329"/>
      <c r="AV121" s="45"/>
      <c r="AW121" s="322"/>
      <c r="AX121" s="322"/>
      <c r="AY121" s="682">
        <f>SUM(AY112:AY120)</f>
        <v>31.2</v>
      </c>
      <c r="AZ121" s="682">
        <f>SUM(AZ112:AZ120)</f>
        <v>33.400000000000006</v>
      </c>
      <c r="BA121" s="329"/>
      <c r="BB121" s="322">
        <f>BB11</f>
        <v>35</v>
      </c>
      <c r="BC121" s="322">
        <f>BC11</f>
        <v>33.799999999999997</v>
      </c>
      <c r="BD121" s="322">
        <f>BD11</f>
        <v>34.299999999999997</v>
      </c>
      <c r="BE121" s="322">
        <f>BE11</f>
        <v>33.300000000000011</v>
      </c>
      <c r="BF121" s="329">
        <f>SUM(BF112:BF120)</f>
        <v>136.4</v>
      </c>
      <c r="BG121" s="322">
        <f>BG11</f>
        <v>34</v>
      </c>
      <c r="BH121" s="322">
        <f>BH11</f>
        <v>33.400000000000006</v>
      </c>
      <c r="BI121" s="322">
        <f>BI11</f>
        <v>28.599999999999994</v>
      </c>
      <c r="BJ121" s="322">
        <f>BJ11</f>
        <v>18.200000000000003</v>
      </c>
      <c r="BK121" s="329">
        <f>SUM(BK112:BK120)</f>
        <v>113.69999999999999</v>
      </c>
      <c r="BL121" s="322">
        <f>BL11</f>
        <v>16.600000000000001</v>
      </c>
      <c r="BM121" s="322">
        <f>BM11</f>
        <v>16</v>
      </c>
      <c r="BN121" s="322">
        <f>BN11</f>
        <v>15.799999999999997</v>
      </c>
      <c r="BO121" s="322">
        <f>BO11</f>
        <v>17.399999999999999</v>
      </c>
      <c r="BP121" s="329">
        <f>SUM(BP112:BP120)</f>
        <v>65.600000000000009</v>
      </c>
      <c r="BQ121" s="322">
        <f>BQ11</f>
        <v>16.399999999999999</v>
      </c>
      <c r="BR121" s="322">
        <f>BR11</f>
        <v>15.800000000000004</v>
      </c>
      <c r="BS121" s="322">
        <f>BS11</f>
        <v>16.5</v>
      </c>
      <c r="BT121" s="322">
        <f>BT11</f>
        <v>24.200000000000003</v>
      </c>
      <c r="BU121" s="329">
        <f>SUM(BU112:BU120)</f>
        <v>60.4</v>
      </c>
      <c r="BV121" s="322">
        <f t="shared" ref="BV121:BX121" si="290">BV11</f>
        <v>50.9</v>
      </c>
      <c r="BW121" s="322">
        <f t="shared" si="290"/>
        <v>51.199999999999996</v>
      </c>
      <c r="BX121" s="322">
        <f t="shared" si="290"/>
        <v>35.700000000000024</v>
      </c>
      <c r="BY121" s="322">
        <f>BY11</f>
        <v>44.199999999999989</v>
      </c>
      <c r="BZ121" s="329">
        <f>SUM(BZ117:BZ120)</f>
        <v>182</v>
      </c>
      <c r="CA121" s="322">
        <f t="shared" ref="CA121:CC121" si="291">CA11</f>
        <v>42.1</v>
      </c>
      <c r="CB121" s="322">
        <f t="shared" si="291"/>
        <v>43.6</v>
      </c>
      <c r="CC121" s="322">
        <f t="shared" si="291"/>
        <v>43.300000000000004</v>
      </c>
      <c r="CD121" s="322">
        <f>CD11</f>
        <v>43.099999999999987</v>
      </c>
      <c r="CE121" s="329">
        <f>SUM(CE117:CE120)</f>
        <v>172.10000000000002</v>
      </c>
      <c r="CF121" s="322">
        <f>CF11</f>
        <v>43.4</v>
      </c>
      <c r="CG121" s="322">
        <f>SUM(CG117:CG120)</f>
        <v>45.8</v>
      </c>
      <c r="CH121" s="322">
        <f t="shared" ref="CH121:CI121" si="292">SUM(CH117:CH120)</f>
        <v>46.199999999999996</v>
      </c>
      <c r="CI121" s="322">
        <f t="shared" si="292"/>
        <v>46.4</v>
      </c>
      <c r="CJ121" s="329">
        <f>SUM(CJ117:CJ120)</f>
        <v>181.79999999999998</v>
      </c>
      <c r="CK121" s="322">
        <f>SUM(CK117:CK120)</f>
        <v>48.2</v>
      </c>
      <c r="CL121" s="322">
        <f t="shared" ref="CL121:CO121" si="293">SUM(CL117:CL120)</f>
        <v>54.40251031041111</v>
      </c>
      <c r="CM121" s="322">
        <f t="shared" si="293"/>
        <v>53.742002046448995</v>
      </c>
      <c r="CN121" s="322">
        <f t="shared" si="293"/>
        <v>53.887610495135164</v>
      </c>
      <c r="CO121" s="329">
        <f t="shared" si="293"/>
        <v>210.23212285199526</v>
      </c>
      <c r="CP121" s="322">
        <f>SUM(CP117:CP120)</f>
        <v>50.398301010244019</v>
      </c>
      <c r="CQ121" s="322">
        <f t="shared" ref="CQ121" si="294">SUM(CQ117:CQ120)</f>
        <v>56.306061999392234</v>
      </c>
      <c r="CR121" s="322">
        <f t="shared" ref="CR121" si="295">SUM(CR117:CR120)</f>
        <v>55.585714757027056</v>
      </c>
      <c r="CS121" s="322">
        <f t="shared" ref="CS121" si="296">SUM(CS117:CS120)</f>
        <v>56.007669710847033</v>
      </c>
      <c r="CT121" s="329">
        <f t="shared" ref="CT121" si="297">SUM(CT117:CT120)</f>
        <v>218.29774747751037</v>
      </c>
      <c r="CU121" s="322">
        <f>SUM(CU117:CU120)</f>
        <v>52.694006538201222</v>
      </c>
      <c r="CV121" s="322">
        <f t="shared" ref="CV121" si="298">SUM(CV117:CV120)</f>
        <v>58.511040577400586</v>
      </c>
      <c r="CW121" s="322">
        <f t="shared" ref="CW121" si="299">SUM(CW117:CW120)</f>
        <v>57.756009047035583</v>
      </c>
      <c r="CX121" s="322">
        <f t="shared" ref="CX121" si="300">SUM(CX117:CX120)</f>
        <v>58.003656595432204</v>
      </c>
      <c r="CY121" s="329">
        <f t="shared" ref="CY121" si="301">SUM(CY117:CY120)</f>
        <v>226.9647127580696</v>
      </c>
      <c r="CZ121" s="322">
        <f>SUM(CZ117:CZ120)</f>
        <v>60.54137743178174</v>
      </c>
      <c r="DA121" s="322">
        <f t="shared" ref="DA121" si="302">SUM(DA117:DA120)</f>
        <v>60.593531031894813</v>
      </c>
      <c r="DB121" s="322">
        <f t="shared" ref="DB121" si="303">SUM(DB117:DB120)</f>
        <v>62.168871247166372</v>
      </c>
      <c r="DC121" s="322">
        <f t="shared" ref="DC121" si="304">SUM(DC117:DC120)</f>
        <v>71.348787237412679</v>
      </c>
      <c r="DD121" s="329">
        <f t="shared" ref="DD121" si="305">SUM(DD117:DD120)</f>
        <v>254.65256694825561</v>
      </c>
      <c r="DE121" s="322">
        <f>SUM(DE117:DE120)</f>
        <v>63.090320380183108</v>
      </c>
      <c r="DF121" s="322">
        <f t="shared" ref="DF121" si="306">SUM(DF117:DF120)</f>
        <v>63.215710422109495</v>
      </c>
      <c r="DG121" s="322">
        <f t="shared" ref="DG121" si="307">SUM(DG117:DG120)</f>
        <v>64.968535657024489</v>
      </c>
      <c r="DH121" s="322">
        <f t="shared" ref="DH121" si="308">SUM(DH117:DH120)</f>
        <v>74.819262566648973</v>
      </c>
      <c r="DI121" s="329">
        <f t="shared" ref="DI121" si="309">SUM(DI117:DI120)</f>
        <v>266.09382902596604</v>
      </c>
      <c r="DJ121" s="322">
        <f>SUM(DJ117:DJ120)</f>
        <v>65.971188152727422</v>
      </c>
      <c r="DK121" s="322">
        <f t="shared" ref="DK121" si="310">SUM(DK117:DK120)</f>
        <v>64.873967790299375</v>
      </c>
      <c r="DL121" s="322">
        <f t="shared" ref="DL121" si="311">SUM(DL117:DL120)</f>
        <v>66.603728716464303</v>
      </c>
      <c r="DM121" s="322">
        <f t="shared" ref="DM121" si="312">SUM(DM117:DM120)</f>
        <v>77.106777581354308</v>
      </c>
      <c r="DN121" s="329">
        <f t="shared" ref="DN121" si="313">SUM(DN117:DN120)</f>
        <v>274.55566224084544</v>
      </c>
      <c r="DO121" s="322">
        <f>SUM(DO117:DO120)</f>
        <v>69.635932087753289</v>
      </c>
      <c r="DP121" s="322">
        <f t="shared" ref="DP121" si="314">SUM(DP117:DP120)</f>
        <v>66.468997666667036</v>
      </c>
      <c r="DQ121" s="322">
        <f t="shared" ref="DQ121" si="315">SUM(DQ117:DQ120)</f>
        <v>68.167998379578023</v>
      </c>
      <c r="DR121" s="322">
        <f t="shared" ref="DR121" si="316">SUM(DR117:DR120)</f>
        <v>79.33542089044208</v>
      </c>
      <c r="DS121" s="329">
        <f t="shared" ref="DS121" si="317">SUM(DS117:DS120)</f>
        <v>283.60834902444049</v>
      </c>
      <c r="DT121" s="322">
        <f>SUM(DT117:DT120)</f>
        <v>71.977570753942317</v>
      </c>
      <c r="DU121" s="322">
        <f t="shared" ref="DU121" si="318">SUM(DU117:DU120)</f>
        <v>67.99255214915226</v>
      </c>
      <c r="DV121" s="322">
        <f t="shared" ref="DV121" si="319">SUM(DV117:DV120)</f>
        <v>69.656781427461453</v>
      </c>
      <c r="DW121" s="322">
        <f t="shared" ref="DW121" si="320">SUM(DW117:DW120)</f>
        <v>81.500706980026536</v>
      </c>
      <c r="DX121" s="329">
        <f t="shared" ref="DX121" si="321">SUM(DX117:DX120)</f>
        <v>291.12761131058255</v>
      </c>
      <c r="DY121" s="37"/>
      <c r="DZ121" s="37"/>
      <c r="EA121" s="37"/>
      <c r="EB121" s="66"/>
      <c r="EC121" s="66"/>
      <c r="ED121" s="66"/>
      <c r="EE121" s="66"/>
      <c r="EF121" s="66"/>
      <c r="EG121" s="66"/>
      <c r="EH121" s="66"/>
      <c r="EI121" s="66"/>
      <c r="EJ121" s="286"/>
      <c r="EK121" s="286"/>
      <c r="EL121" s="286"/>
      <c r="EM121" s="25"/>
      <c r="EN121" s="25"/>
      <c r="EU121" s="25"/>
      <c r="EV121" s="25"/>
      <c r="EW121" s="25"/>
      <c r="EX121" s="25"/>
      <c r="EY121" s="25"/>
      <c r="EZ121" s="25"/>
      <c r="FA121" s="25"/>
      <c r="FB121" s="25"/>
      <c r="FC121" s="25"/>
      <c r="FD121" s="25"/>
      <c r="FE121" s="25"/>
      <c r="FF121" s="25"/>
      <c r="FG121" s="25"/>
      <c r="FH121" s="25"/>
      <c r="FI121" s="25"/>
      <c r="FJ121" s="25"/>
    </row>
    <row r="122" spans="1:166" x14ac:dyDescent="0.2">
      <c r="A122" s="16"/>
      <c r="B122" s="16"/>
      <c r="C122" s="16"/>
      <c r="D122" s="16"/>
      <c r="E122" s="16"/>
      <c r="F122" s="16"/>
      <c r="G122" s="16"/>
      <c r="H122" s="16"/>
      <c r="I122" s="16"/>
      <c r="J122" s="16"/>
      <c r="K122" s="16"/>
      <c r="L122" s="16"/>
      <c r="M122" s="16"/>
      <c r="N122" s="226"/>
      <c r="O122" s="227"/>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6"/>
      <c r="AU122" s="16"/>
      <c r="AV122" s="45"/>
      <c r="AW122" s="16"/>
      <c r="AX122" s="16"/>
      <c r="AY122" s="21"/>
      <c r="AZ122" s="21"/>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353"/>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c r="CX122" s="16"/>
      <c r="CY122" s="16"/>
      <c r="CZ122" s="16"/>
      <c r="DA122" s="16"/>
      <c r="DB122" s="16"/>
      <c r="DC122" s="16"/>
      <c r="DD122" s="16"/>
      <c r="DE122" s="16"/>
      <c r="DF122" s="16"/>
      <c r="DG122" s="16"/>
      <c r="DH122" s="16"/>
      <c r="DI122" s="16"/>
      <c r="DJ122" s="16"/>
      <c r="DK122" s="16"/>
      <c r="DL122" s="16"/>
      <c r="DM122" s="16"/>
      <c r="DN122" s="16"/>
      <c r="DO122" s="16"/>
      <c r="DP122" s="16"/>
      <c r="DQ122" s="16"/>
      <c r="DR122" s="16"/>
      <c r="DS122" s="16"/>
      <c r="DT122" s="16"/>
      <c r="DU122" s="16"/>
      <c r="DV122" s="16"/>
      <c r="DW122" s="16"/>
      <c r="DX122" s="16"/>
      <c r="DY122" s="16"/>
      <c r="DZ122" s="16"/>
      <c r="EA122" s="16"/>
      <c r="EB122" s="173"/>
      <c r="EC122" s="173"/>
      <c r="ED122" s="173"/>
      <c r="EE122" s="173"/>
      <c r="EF122" s="16"/>
      <c r="EG122" s="16"/>
      <c r="EH122" s="16"/>
      <c r="EI122" s="16"/>
      <c r="EJ122" s="21"/>
      <c r="EK122" s="21"/>
      <c r="EL122" s="21"/>
      <c r="EM122" s="16"/>
      <c r="EN122" s="16"/>
      <c r="EU122" s="16"/>
      <c r="EV122" s="16"/>
      <c r="EW122" s="16"/>
      <c r="EX122" s="16"/>
      <c r="EY122" s="16"/>
      <c r="EZ122" s="16"/>
      <c r="FA122" s="16"/>
      <c r="FB122" s="16"/>
      <c r="FC122" s="16"/>
      <c r="FD122" s="16"/>
      <c r="FE122" s="16"/>
      <c r="FF122" s="16"/>
      <c r="FG122" s="16"/>
      <c r="FH122" s="16"/>
      <c r="FI122" s="16"/>
      <c r="FJ122" s="16"/>
    </row>
    <row r="123" spans="1:166" x14ac:dyDescent="0.2">
      <c r="A123" s="13" t="s">
        <v>459</v>
      </c>
      <c r="B123" s="324"/>
      <c r="C123" s="324"/>
      <c r="D123" s="324"/>
      <c r="E123" s="324"/>
      <c r="F123" s="324"/>
      <c r="G123" s="324"/>
      <c r="H123" s="324"/>
      <c r="I123" s="324"/>
      <c r="J123" s="324"/>
      <c r="K123" s="324"/>
      <c r="L123" s="324"/>
      <c r="M123" s="324"/>
      <c r="N123" s="324"/>
      <c r="O123" s="324"/>
      <c r="P123" s="324"/>
      <c r="Q123" s="324"/>
      <c r="R123" s="324"/>
      <c r="S123" s="324"/>
      <c r="T123" s="324"/>
      <c r="U123" s="324"/>
      <c r="V123" s="324"/>
      <c r="W123" s="324"/>
      <c r="X123" s="324"/>
      <c r="Y123" s="324"/>
      <c r="Z123" s="324"/>
      <c r="AA123" s="325"/>
      <c r="AB123" s="324"/>
      <c r="AC123" s="324"/>
      <c r="AD123" s="325"/>
      <c r="AE123" s="325"/>
      <c r="AF123" s="326"/>
      <c r="AG123" s="324"/>
      <c r="AH123" s="324"/>
      <c r="AI123" s="324"/>
      <c r="AJ123" s="324"/>
      <c r="AK123" s="598"/>
      <c r="AL123" s="324"/>
      <c r="AM123" s="324"/>
      <c r="AN123" s="324"/>
      <c r="AO123" s="324"/>
      <c r="AP123" s="598"/>
      <c r="AQ123" s="324"/>
      <c r="AR123" s="324"/>
      <c r="AS123" s="324"/>
      <c r="AT123" s="324"/>
      <c r="AU123" s="598"/>
      <c r="AV123" s="45"/>
      <c r="AW123" s="324"/>
      <c r="AX123" s="324"/>
      <c r="AY123" s="324"/>
      <c r="AZ123" s="324"/>
      <c r="BA123" s="598"/>
      <c r="BB123" s="324"/>
      <c r="BC123" s="324"/>
      <c r="BD123" s="324"/>
      <c r="BE123" s="324"/>
      <c r="BF123" s="598"/>
      <c r="BG123" s="324"/>
      <c r="BH123" s="324"/>
      <c r="BI123" s="324"/>
      <c r="BJ123" s="325"/>
      <c r="BK123" s="325"/>
      <c r="BL123" s="325"/>
      <c r="BM123" s="325"/>
      <c r="BN123" s="325"/>
      <c r="BO123" s="325"/>
      <c r="BP123" s="326"/>
      <c r="BQ123" s="325"/>
      <c r="BR123" s="324"/>
      <c r="BS123" s="325"/>
      <c r="BT123" s="325"/>
      <c r="BU123" s="326"/>
      <c r="BV123" s="324"/>
      <c r="BW123" s="1413"/>
      <c r="BX123" s="324"/>
      <c r="BY123" s="324"/>
      <c r="BZ123" s="598"/>
      <c r="CA123" s="324"/>
      <c r="CB123" s="324"/>
      <c r="CC123" s="324"/>
      <c r="CD123" s="324"/>
      <c r="CE123" s="598"/>
      <c r="CF123" s="324"/>
      <c r="CG123" s="324"/>
      <c r="CH123" s="324"/>
      <c r="CI123" s="324"/>
      <c r="CJ123" s="598"/>
      <c r="CK123" s="324"/>
      <c r="CL123" s="325"/>
      <c r="CM123" s="325"/>
      <c r="CN123" s="325"/>
      <c r="CO123" s="326"/>
      <c r="CP123" s="325"/>
      <c r="CQ123" s="325"/>
      <c r="CR123" s="325"/>
      <c r="CS123" s="325"/>
      <c r="CT123" s="326"/>
      <c r="CU123" s="325"/>
      <c r="CV123" s="325"/>
      <c r="CW123" s="325"/>
      <c r="CX123" s="325"/>
      <c r="CY123" s="326"/>
      <c r="CZ123" s="325"/>
      <c r="DA123" s="325"/>
      <c r="DB123" s="325"/>
      <c r="DC123" s="325"/>
      <c r="DD123" s="326"/>
      <c r="DE123" s="325"/>
      <c r="DF123" s="325"/>
      <c r="DG123" s="325"/>
      <c r="DH123" s="325"/>
      <c r="DI123" s="326"/>
      <c r="DJ123" s="325"/>
      <c r="DK123" s="325"/>
      <c r="DL123" s="325"/>
      <c r="DM123" s="325"/>
      <c r="DN123" s="326"/>
      <c r="DO123" s="325"/>
      <c r="DP123" s="325"/>
      <c r="DQ123" s="325"/>
      <c r="DR123" s="325"/>
      <c r="DS123" s="326"/>
      <c r="DT123" s="325"/>
      <c r="DU123" s="325"/>
      <c r="DV123" s="325"/>
      <c r="DW123" s="325"/>
      <c r="DX123" s="326"/>
      <c r="DY123" s="21"/>
      <c r="DZ123" s="21"/>
      <c r="EA123" s="21"/>
      <c r="EB123" s="15"/>
      <c r="EC123" s="15"/>
      <c r="ED123" s="670"/>
      <c r="EE123" s="670"/>
      <c r="EF123" s="670"/>
      <c r="EG123" s="670"/>
      <c r="EH123" s="670"/>
      <c r="EI123" s="670"/>
      <c r="EJ123" s="373"/>
      <c r="EK123" s="373"/>
      <c r="EL123" s="373"/>
      <c r="EM123" s="16"/>
      <c r="EN123" s="16"/>
      <c r="EU123" s="16"/>
      <c r="EV123" s="16"/>
      <c r="EW123" s="16"/>
      <c r="EX123" s="16"/>
      <c r="EY123" s="16"/>
      <c r="EZ123" s="16"/>
      <c r="FA123" s="16"/>
      <c r="FB123" s="16"/>
      <c r="FC123" s="16"/>
      <c r="FD123" s="16"/>
      <c r="FE123" s="16"/>
      <c r="FF123" s="16"/>
      <c r="FG123" s="16"/>
      <c r="FH123" s="16"/>
      <c r="FI123" s="16"/>
      <c r="FJ123" s="16"/>
    </row>
    <row r="124" spans="1:166" hidden="1" outlineLevel="1" x14ac:dyDescent="0.2">
      <c r="A124" s="1163" t="s">
        <v>615</v>
      </c>
      <c r="B124" s="65"/>
      <c r="C124" s="65"/>
      <c r="D124" s="65"/>
      <c r="E124" s="65"/>
      <c r="F124" s="65"/>
      <c r="G124" s="65"/>
      <c r="H124" s="65"/>
      <c r="I124" s="65"/>
      <c r="J124" s="65"/>
      <c r="K124" s="65"/>
      <c r="L124" s="65"/>
      <c r="M124" s="65"/>
      <c r="N124" s="65"/>
      <c r="O124" s="65"/>
      <c r="P124" s="65"/>
      <c r="Q124" s="328"/>
      <c r="R124" s="321"/>
      <c r="S124" s="321"/>
      <c r="T124" s="321"/>
      <c r="U124" s="321"/>
      <c r="V124" s="328"/>
      <c r="W124" s="65"/>
      <c r="X124" s="65"/>
      <c r="Y124" s="65"/>
      <c r="Z124" s="65"/>
      <c r="AA124" s="328"/>
      <c r="AB124" s="65"/>
      <c r="AC124" s="65"/>
      <c r="AD124" s="65"/>
      <c r="AE124" s="65"/>
      <c r="AF124" s="328"/>
      <c r="AG124" s="65"/>
      <c r="AH124" s="65"/>
      <c r="AI124" s="65"/>
      <c r="AJ124" s="65"/>
      <c r="AK124" s="328"/>
      <c r="AL124" s="65"/>
      <c r="AM124" s="65"/>
      <c r="AN124" s="65"/>
      <c r="AO124" s="65"/>
      <c r="AP124" s="328"/>
      <c r="AQ124" s="65"/>
      <c r="AR124" s="65"/>
      <c r="AS124" s="65"/>
      <c r="AT124" s="65"/>
      <c r="AU124" s="328"/>
      <c r="AV124" s="45"/>
      <c r="AW124" s="65"/>
      <c r="AX124" s="65"/>
      <c r="AY124" s="65"/>
      <c r="AZ124" s="65"/>
      <c r="BA124" s="328"/>
      <c r="BB124" s="65"/>
      <c r="BC124" s="65"/>
      <c r="BD124" s="65"/>
      <c r="BE124" s="65"/>
      <c r="BF124" s="328"/>
      <c r="BG124" s="65"/>
      <c r="BH124" s="65"/>
      <c r="BI124" s="65"/>
      <c r="BJ124" s="65"/>
      <c r="BK124" s="328"/>
      <c r="BL124" s="217"/>
      <c r="BM124" s="217"/>
      <c r="BN124" s="217"/>
      <c r="BO124" s="217"/>
      <c r="BP124" s="328"/>
      <c r="BQ124" s="217"/>
      <c r="BR124" s="65"/>
      <c r="BS124" s="217"/>
      <c r="BT124" s="217"/>
      <c r="BU124" s="328"/>
      <c r="BV124" s="65"/>
      <c r="BW124" s="1385"/>
      <c r="BX124" s="65"/>
      <c r="BY124" s="65"/>
      <c r="BZ124" s="328"/>
      <c r="CA124" s="65"/>
      <c r="CB124" s="65"/>
      <c r="CC124" s="65"/>
      <c r="CD124" s="65"/>
      <c r="CE124" s="328"/>
      <c r="CF124" s="65"/>
      <c r="CG124" s="65"/>
      <c r="CH124" s="65"/>
      <c r="CI124" s="65"/>
      <c r="CJ124" s="328"/>
      <c r="CK124" s="65"/>
      <c r="CL124" s="217"/>
      <c r="CM124" s="217"/>
      <c r="CN124" s="217"/>
      <c r="CO124" s="331"/>
      <c r="CP124" s="217"/>
      <c r="CQ124" s="217"/>
      <c r="CR124" s="217"/>
      <c r="CS124" s="217"/>
      <c r="CT124" s="331"/>
      <c r="CU124" s="217"/>
      <c r="CV124" s="217"/>
      <c r="CW124" s="217"/>
      <c r="CX124" s="217"/>
      <c r="CY124" s="331"/>
      <c r="CZ124" s="217"/>
      <c r="DA124" s="217"/>
      <c r="DB124" s="217"/>
      <c r="DC124" s="217"/>
      <c r="DD124" s="331"/>
      <c r="DE124" s="217"/>
      <c r="DF124" s="217"/>
      <c r="DG124" s="217"/>
      <c r="DH124" s="217"/>
      <c r="DI124" s="331"/>
      <c r="DJ124" s="217"/>
      <c r="DK124" s="217"/>
      <c r="DL124" s="217"/>
      <c r="DM124" s="217"/>
      <c r="DN124" s="331"/>
      <c r="DO124" s="217"/>
      <c r="DP124" s="217"/>
      <c r="DQ124" s="217"/>
      <c r="DR124" s="217"/>
      <c r="DS124" s="331"/>
      <c r="DT124" s="217"/>
      <c r="DU124" s="217"/>
      <c r="DV124" s="217"/>
      <c r="DW124" s="217"/>
      <c r="DX124" s="331"/>
      <c r="DY124" s="21"/>
      <c r="DZ124" s="21"/>
      <c r="EA124" s="21"/>
      <c r="EB124" s="15"/>
      <c r="EC124" s="15"/>
      <c r="ED124" s="670"/>
      <c r="EE124" s="670"/>
      <c r="EF124" s="670"/>
      <c r="EG124" s="670"/>
      <c r="EH124" s="670"/>
      <c r="EI124" s="670"/>
      <c r="EJ124" s="373"/>
      <c r="EK124" s="373"/>
      <c r="EL124" s="373"/>
      <c r="EM124" s="16"/>
      <c r="EN124" s="16"/>
      <c r="EU124" s="16"/>
      <c r="EV124" s="16"/>
      <c r="EW124" s="16"/>
      <c r="EX124" s="16"/>
      <c r="EY124" s="16"/>
      <c r="EZ124" s="16"/>
      <c r="FA124" s="16"/>
      <c r="FB124" s="16"/>
      <c r="FC124" s="16"/>
      <c r="FD124" s="16"/>
      <c r="FE124" s="16"/>
      <c r="FF124" s="16"/>
      <c r="FG124" s="16"/>
      <c r="FH124" s="16"/>
      <c r="FI124" s="16"/>
      <c r="FJ124" s="16"/>
    </row>
    <row r="125" spans="1:166" hidden="1" outlineLevel="1" collapsed="1" x14ac:dyDescent="0.2">
      <c r="A125" s="170" t="s">
        <v>718</v>
      </c>
      <c r="B125" s="65"/>
      <c r="C125" s="65"/>
      <c r="D125" s="65"/>
      <c r="E125" s="65"/>
      <c r="F125" s="65"/>
      <c r="G125" s="65"/>
      <c r="H125" s="65"/>
      <c r="I125" s="65"/>
      <c r="J125" s="65"/>
      <c r="K125" s="65"/>
      <c r="L125" s="65"/>
      <c r="M125" s="65"/>
      <c r="N125" s="65"/>
      <c r="O125" s="65"/>
      <c r="P125" s="65"/>
      <c r="Q125" s="215"/>
      <c r="R125" s="65"/>
      <c r="S125" s="65"/>
      <c r="T125" s="65"/>
      <c r="U125" s="65"/>
      <c r="V125" s="215">
        <v>40</v>
      </c>
      <c r="W125" s="65"/>
      <c r="X125" s="65"/>
      <c r="Y125" s="65"/>
      <c r="Z125" s="65"/>
      <c r="AA125" s="215">
        <v>43</v>
      </c>
      <c r="AB125" s="65"/>
      <c r="AC125" s="65"/>
      <c r="AD125" s="65"/>
      <c r="AE125" s="65"/>
      <c r="AF125" s="215">
        <v>41</v>
      </c>
      <c r="AG125" s="65"/>
      <c r="AH125" s="65"/>
      <c r="AI125" s="65"/>
      <c r="AJ125" s="65"/>
      <c r="AK125" s="215">
        <v>121.9</v>
      </c>
      <c r="AL125" s="65"/>
      <c r="AM125" s="65"/>
      <c r="AN125" s="65"/>
      <c r="AO125" s="65"/>
      <c r="AP125" s="215">
        <v>146.9</v>
      </c>
      <c r="AQ125" s="65"/>
      <c r="AR125" s="65"/>
      <c r="AS125" s="65"/>
      <c r="AT125" s="65">
        <f>99.9-SUM(AQ125:AS125)</f>
        <v>99.9</v>
      </c>
      <c r="AU125" s="215"/>
      <c r="AV125" s="45"/>
      <c r="AW125" s="65"/>
      <c r="AX125" s="65"/>
      <c r="AY125" s="65">
        <v>11</v>
      </c>
      <c r="AZ125" s="65">
        <v>17.399999999999999</v>
      </c>
      <c r="BA125" s="215"/>
      <c r="BB125" s="65"/>
      <c r="BC125" s="65"/>
      <c r="BD125" s="65"/>
      <c r="BE125" s="65"/>
      <c r="BF125" s="215">
        <v>56.5</v>
      </c>
      <c r="BG125" s="65"/>
      <c r="BH125" s="65"/>
      <c r="BI125" s="65"/>
      <c r="BJ125" s="65"/>
      <c r="BK125" s="215">
        <v>41.9</v>
      </c>
      <c r="BL125" s="217"/>
      <c r="BM125" s="217"/>
      <c r="BN125" s="217"/>
      <c r="BO125" s="217"/>
      <c r="BP125" s="215">
        <v>10.3</v>
      </c>
      <c r="BQ125" s="217"/>
      <c r="BR125" s="65"/>
      <c r="BS125" s="217"/>
      <c r="BT125" s="217"/>
      <c r="BU125" s="215">
        <v>10</v>
      </c>
      <c r="BV125" s="65"/>
      <c r="BW125" s="1385"/>
      <c r="BX125" s="65"/>
      <c r="BY125" s="65"/>
      <c r="BZ125" s="215"/>
      <c r="CA125" s="65"/>
      <c r="CB125" s="65"/>
      <c r="CC125" s="65"/>
      <c r="CD125" s="65"/>
      <c r="CE125" s="215"/>
      <c r="CF125" s="65"/>
      <c r="CG125" s="65"/>
      <c r="CH125" s="65"/>
      <c r="CI125" s="65"/>
      <c r="CJ125" s="215"/>
      <c r="CK125" s="65"/>
      <c r="CL125" s="217"/>
      <c r="CM125" s="217"/>
      <c r="CN125" s="217"/>
      <c r="CO125" s="332"/>
      <c r="CP125" s="217"/>
      <c r="CQ125" s="217"/>
      <c r="CR125" s="217"/>
      <c r="CS125" s="217"/>
      <c r="CT125" s="332"/>
      <c r="CU125" s="217"/>
      <c r="CV125" s="217"/>
      <c r="CW125" s="217"/>
      <c r="CX125" s="217"/>
      <c r="CY125" s="332"/>
      <c r="CZ125" s="217"/>
      <c r="DA125" s="217"/>
      <c r="DB125" s="217"/>
      <c r="DC125" s="217"/>
      <c r="DD125" s="332"/>
      <c r="DE125" s="217"/>
      <c r="DF125" s="217"/>
      <c r="DG125" s="217"/>
      <c r="DH125" s="217"/>
      <c r="DI125" s="332"/>
      <c r="DJ125" s="217"/>
      <c r="DK125" s="217"/>
      <c r="DL125" s="217"/>
      <c r="DM125" s="217"/>
      <c r="DN125" s="332"/>
      <c r="DO125" s="217"/>
      <c r="DP125" s="217"/>
      <c r="DQ125" s="217"/>
      <c r="DR125" s="217"/>
      <c r="DS125" s="332"/>
      <c r="DT125" s="217"/>
      <c r="DU125" s="217"/>
      <c r="DV125" s="217"/>
      <c r="DW125" s="217"/>
      <c r="DX125" s="332"/>
      <c r="DY125" s="21"/>
      <c r="DZ125" s="21"/>
      <c r="EA125" s="21"/>
      <c r="EB125" s="15"/>
      <c r="EC125" s="15"/>
      <c r="ED125" s="670"/>
      <c r="EE125" s="670"/>
      <c r="EF125" s="670"/>
      <c r="EG125" s="670"/>
      <c r="EH125" s="670"/>
      <c r="EI125" s="670"/>
      <c r="EJ125" s="373"/>
      <c r="EK125" s="373"/>
      <c r="EL125" s="373"/>
      <c r="EM125" s="16"/>
      <c r="EN125" s="16"/>
      <c r="EU125" s="16"/>
      <c r="EV125" s="16"/>
      <c r="EW125" s="16"/>
      <c r="EX125" s="16"/>
      <c r="EY125" s="16"/>
      <c r="EZ125" s="16"/>
      <c r="FA125" s="16"/>
      <c r="FB125" s="16"/>
      <c r="FC125" s="16"/>
      <c r="FD125" s="16"/>
      <c r="FE125" s="16"/>
      <c r="FF125" s="16"/>
      <c r="FG125" s="16"/>
      <c r="FH125" s="16"/>
      <c r="FI125" s="16"/>
      <c r="FJ125" s="16"/>
    </row>
    <row r="126" spans="1:166" hidden="1" outlineLevel="2" x14ac:dyDescent="0.2">
      <c r="A126" s="170" t="s">
        <v>719</v>
      </c>
      <c r="B126" s="65"/>
      <c r="C126" s="65"/>
      <c r="D126" s="65"/>
      <c r="E126" s="65"/>
      <c r="F126" s="65"/>
      <c r="G126" s="65"/>
      <c r="H126" s="65"/>
      <c r="I126" s="65"/>
      <c r="J126" s="65"/>
      <c r="K126" s="65"/>
      <c r="L126" s="65"/>
      <c r="M126" s="65"/>
      <c r="N126" s="65"/>
      <c r="O126" s="65"/>
      <c r="P126" s="65"/>
      <c r="Q126" s="215"/>
      <c r="R126" s="65"/>
      <c r="S126" s="65"/>
      <c r="T126" s="65"/>
      <c r="U126" s="65"/>
      <c r="V126" s="215">
        <v>27</v>
      </c>
      <c r="W126" s="65"/>
      <c r="X126" s="65"/>
      <c r="Y126" s="65"/>
      <c r="Z126" s="65"/>
      <c r="AA126" s="215">
        <v>17</v>
      </c>
      <c r="AB126" s="65"/>
      <c r="AC126" s="65"/>
      <c r="AD126" s="65"/>
      <c r="AE126" s="65"/>
      <c r="AF126" s="215">
        <v>25</v>
      </c>
      <c r="AG126" s="65"/>
      <c r="AH126" s="65"/>
      <c r="AI126" s="65"/>
      <c r="AJ126" s="65"/>
      <c r="AK126" s="215">
        <v>28.6</v>
      </c>
      <c r="AL126" s="65"/>
      <c r="AM126" s="65"/>
      <c r="AN126" s="65"/>
      <c r="AO126" s="65"/>
      <c r="AP126" s="215">
        <v>30.7</v>
      </c>
      <c r="AQ126" s="65"/>
      <c r="AR126" s="65"/>
      <c r="AS126" s="65"/>
      <c r="AT126" s="65">
        <f>30.9-SUM(AQ126:AS126)</f>
        <v>30.9</v>
      </c>
      <c r="AU126" s="215"/>
      <c r="AV126" s="45"/>
      <c r="AW126" s="65"/>
      <c r="AX126" s="65"/>
      <c r="AY126" s="65">
        <v>3.2</v>
      </c>
      <c r="AZ126" s="65">
        <v>5.4</v>
      </c>
      <c r="BA126" s="215"/>
      <c r="BB126" s="65"/>
      <c r="BC126" s="65"/>
      <c r="BD126" s="65"/>
      <c r="BE126" s="65"/>
      <c r="BF126" s="215"/>
      <c r="BG126" s="65"/>
      <c r="BH126" s="65"/>
      <c r="BI126" s="65"/>
      <c r="BJ126" s="65"/>
      <c r="BK126" s="215"/>
      <c r="BL126" s="217"/>
      <c r="BM126" s="217"/>
      <c r="BN126" s="217"/>
      <c r="BO126" s="217"/>
      <c r="BP126" s="215"/>
      <c r="BQ126" s="217"/>
      <c r="BR126" s="65"/>
      <c r="BS126" s="217"/>
      <c r="BT126" s="217"/>
      <c r="BU126" s="215"/>
      <c r="BV126" s="65"/>
      <c r="BW126" s="1385"/>
      <c r="BX126" s="65"/>
      <c r="BY126" s="65"/>
      <c r="BZ126" s="215"/>
      <c r="CA126" s="65"/>
      <c r="CB126" s="65"/>
      <c r="CC126" s="65"/>
      <c r="CD126" s="65"/>
      <c r="CE126" s="215"/>
      <c r="CF126" s="65"/>
      <c r="CG126" s="65"/>
      <c r="CH126" s="65"/>
      <c r="CI126" s="65"/>
      <c r="CJ126" s="215"/>
      <c r="CK126" s="65"/>
      <c r="CL126" s="217"/>
      <c r="CM126" s="217"/>
      <c r="CN126" s="217"/>
      <c r="CO126" s="332"/>
      <c r="CP126" s="217"/>
      <c r="CQ126" s="217"/>
      <c r="CR126" s="217"/>
      <c r="CS126" s="217"/>
      <c r="CT126" s="332"/>
      <c r="CU126" s="217"/>
      <c r="CV126" s="217"/>
      <c r="CW126" s="217"/>
      <c r="CX126" s="217"/>
      <c r="CY126" s="332"/>
      <c r="CZ126" s="217"/>
      <c r="DA126" s="217"/>
      <c r="DB126" s="217"/>
      <c r="DC126" s="217"/>
      <c r="DD126" s="332"/>
      <c r="DE126" s="217"/>
      <c r="DF126" s="217"/>
      <c r="DG126" s="217"/>
      <c r="DH126" s="217"/>
      <c r="DI126" s="332"/>
      <c r="DJ126" s="217"/>
      <c r="DK126" s="217"/>
      <c r="DL126" s="217"/>
      <c r="DM126" s="217"/>
      <c r="DN126" s="332"/>
      <c r="DO126" s="217"/>
      <c r="DP126" s="217"/>
      <c r="DQ126" s="217"/>
      <c r="DR126" s="217"/>
      <c r="DS126" s="332"/>
      <c r="DT126" s="217"/>
      <c r="DU126" s="217"/>
      <c r="DV126" s="217"/>
      <c r="DW126" s="217"/>
      <c r="DX126" s="332"/>
      <c r="DY126" s="21"/>
      <c r="DZ126" s="21"/>
      <c r="EA126" s="21"/>
      <c r="EB126" s="15"/>
      <c r="EC126" s="15"/>
      <c r="ED126" s="670"/>
      <c r="EE126" s="670"/>
      <c r="EF126" s="670"/>
      <c r="EG126" s="670"/>
      <c r="EH126" s="670"/>
      <c r="EI126" s="670"/>
      <c r="EJ126" s="373"/>
      <c r="EK126" s="373"/>
      <c r="EL126" s="373"/>
      <c r="EM126" s="16"/>
      <c r="EN126" s="16"/>
      <c r="EU126" s="16"/>
      <c r="EV126" s="16"/>
      <c r="EW126" s="16"/>
      <c r="EX126" s="16"/>
      <c r="EY126" s="16"/>
      <c r="EZ126" s="16"/>
      <c r="FA126" s="16"/>
      <c r="FB126" s="16"/>
      <c r="FC126" s="16"/>
      <c r="FD126" s="16"/>
      <c r="FE126" s="16"/>
      <c r="FF126" s="16"/>
      <c r="FG126" s="16"/>
      <c r="FH126" s="16"/>
      <c r="FI126" s="16"/>
      <c r="FJ126" s="16"/>
    </row>
    <row r="127" spans="1:166" hidden="1" outlineLevel="1" collapsed="1" x14ac:dyDescent="0.2">
      <c r="A127" s="170" t="s">
        <v>696</v>
      </c>
      <c r="B127" s="65"/>
      <c r="C127" s="65"/>
      <c r="D127" s="65"/>
      <c r="E127" s="65"/>
      <c r="F127" s="65"/>
      <c r="G127" s="65"/>
      <c r="H127" s="65"/>
      <c r="I127" s="65"/>
      <c r="J127" s="65"/>
      <c r="K127" s="65"/>
      <c r="L127" s="65"/>
      <c r="M127" s="65"/>
      <c r="N127" s="65"/>
      <c r="O127" s="65"/>
      <c r="P127" s="65"/>
      <c r="Q127" s="215"/>
      <c r="R127" s="65"/>
      <c r="S127" s="65"/>
      <c r="T127" s="65"/>
      <c r="U127" s="65"/>
      <c r="V127" s="215"/>
      <c r="W127" s="65"/>
      <c r="X127" s="65"/>
      <c r="Y127" s="65"/>
      <c r="Z127" s="65"/>
      <c r="AA127" s="215"/>
      <c r="AB127" s="65"/>
      <c r="AC127" s="65"/>
      <c r="AD127" s="65"/>
      <c r="AE127" s="65"/>
      <c r="AF127" s="215"/>
      <c r="AG127" s="65"/>
      <c r="AH127" s="65"/>
      <c r="AI127" s="65"/>
      <c r="AJ127" s="65"/>
      <c r="AK127" s="215"/>
      <c r="AL127" s="65"/>
      <c r="AM127" s="65"/>
      <c r="AN127" s="65"/>
      <c r="AO127" s="65"/>
      <c r="AP127" s="215"/>
      <c r="AQ127" s="65"/>
      <c r="AR127" s="65"/>
      <c r="AS127" s="65"/>
      <c r="AT127" s="65"/>
      <c r="AU127" s="215"/>
      <c r="AV127" s="45"/>
      <c r="AW127" s="65"/>
      <c r="AX127" s="65"/>
      <c r="AY127" s="65"/>
      <c r="AZ127" s="65"/>
      <c r="BA127" s="215"/>
      <c r="BB127" s="65"/>
      <c r="BC127" s="65"/>
      <c r="BD127" s="65"/>
      <c r="BE127" s="65"/>
      <c r="BF127" s="215">
        <v>11.1</v>
      </c>
      <c r="BG127" s="65"/>
      <c r="BH127" s="65"/>
      <c r="BI127" s="65"/>
      <c r="BJ127" s="65"/>
      <c r="BK127" s="215">
        <v>6.9</v>
      </c>
      <c r="BL127" s="217"/>
      <c r="BM127" s="217"/>
      <c r="BN127" s="217"/>
      <c r="BO127" s="217"/>
      <c r="BP127" s="215">
        <v>2.4</v>
      </c>
      <c r="BQ127" s="217"/>
      <c r="BR127" s="65"/>
      <c r="BS127" s="217"/>
      <c r="BT127" s="217"/>
      <c r="BU127" s="215">
        <v>0</v>
      </c>
      <c r="BV127" s="65"/>
      <c r="BW127" s="1385"/>
      <c r="BX127" s="65"/>
      <c r="BY127" s="65"/>
      <c r="BZ127" s="215"/>
      <c r="CA127" s="65"/>
      <c r="CB127" s="65"/>
      <c r="CC127" s="65"/>
      <c r="CD127" s="65"/>
      <c r="CE127" s="215"/>
      <c r="CF127" s="65"/>
      <c r="CG127" s="65"/>
      <c r="CH127" s="65"/>
      <c r="CI127" s="65"/>
      <c r="CJ127" s="215"/>
      <c r="CK127" s="65"/>
      <c r="CL127" s="217"/>
      <c r="CM127" s="217"/>
      <c r="CN127" s="217"/>
      <c r="CO127" s="332"/>
      <c r="CP127" s="217"/>
      <c r="CQ127" s="217"/>
      <c r="CR127" s="217"/>
      <c r="CS127" s="217"/>
      <c r="CT127" s="332"/>
      <c r="CU127" s="217"/>
      <c r="CV127" s="217"/>
      <c r="CW127" s="217"/>
      <c r="CX127" s="217"/>
      <c r="CY127" s="332"/>
      <c r="CZ127" s="217"/>
      <c r="DA127" s="217"/>
      <c r="DB127" s="217"/>
      <c r="DC127" s="217"/>
      <c r="DD127" s="332"/>
      <c r="DE127" s="217"/>
      <c r="DF127" s="217"/>
      <c r="DG127" s="217"/>
      <c r="DH127" s="217"/>
      <c r="DI127" s="332"/>
      <c r="DJ127" s="217"/>
      <c r="DK127" s="217"/>
      <c r="DL127" s="217"/>
      <c r="DM127" s="217"/>
      <c r="DN127" s="332"/>
      <c r="DO127" s="217"/>
      <c r="DP127" s="217"/>
      <c r="DQ127" s="217"/>
      <c r="DR127" s="217"/>
      <c r="DS127" s="332"/>
      <c r="DT127" s="217"/>
      <c r="DU127" s="217"/>
      <c r="DV127" s="217"/>
      <c r="DW127" s="217"/>
      <c r="DX127" s="332"/>
      <c r="DY127" s="21"/>
      <c r="DZ127" s="21"/>
      <c r="EA127" s="21"/>
      <c r="EB127" s="15"/>
      <c r="EC127" s="15"/>
      <c r="ED127" s="670"/>
      <c r="EE127" s="670"/>
      <c r="EF127" s="670"/>
      <c r="EG127" s="670"/>
      <c r="EH127" s="670"/>
      <c r="EI127" s="670"/>
      <c r="EJ127" s="373"/>
      <c r="EK127" s="373"/>
      <c r="EL127" s="373"/>
      <c r="EM127" s="16"/>
      <c r="EN127" s="16"/>
      <c r="EU127" s="16"/>
      <c r="EV127" s="16"/>
      <c r="EW127" s="16"/>
      <c r="EX127" s="16"/>
      <c r="EY127" s="16"/>
      <c r="EZ127" s="16"/>
      <c r="FA127" s="16"/>
      <c r="FB127" s="16"/>
      <c r="FC127" s="16"/>
      <c r="FD127" s="16"/>
      <c r="FE127" s="16"/>
      <c r="FF127" s="16"/>
      <c r="FG127" s="16"/>
      <c r="FH127" s="16"/>
      <c r="FI127" s="16"/>
      <c r="FJ127" s="16"/>
    </row>
    <row r="128" spans="1:166" hidden="1" outlineLevel="1" x14ac:dyDescent="0.2">
      <c r="A128" s="170" t="s">
        <v>697</v>
      </c>
      <c r="B128" s="65"/>
      <c r="C128" s="65"/>
      <c r="D128" s="65"/>
      <c r="E128" s="65"/>
      <c r="F128" s="65"/>
      <c r="G128" s="65"/>
      <c r="H128" s="65"/>
      <c r="I128" s="65"/>
      <c r="J128" s="65"/>
      <c r="K128" s="65"/>
      <c r="L128" s="65"/>
      <c r="M128" s="65"/>
      <c r="N128" s="65"/>
      <c r="O128" s="65"/>
      <c r="P128" s="65"/>
      <c r="Q128" s="215"/>
      <c r="R128" s="65"/>
      <c r="S128" s="65"/>
      <c r="T128" s="65"/>
      <c r="U128" s="65"/>
      <c r="V128" s="215">
        <v>8</v>
      </c>
      <c r="W128" s="65"/>
      <c r="X128" s="65"/>
      <c r="Y128" s="65"/>
      <c r="Z128" s="65"/>
      <c r="AA128" s="215">
        <v>10</v>
      </c>
      <c r="AB128" s="65"/>
      <c r="AC128" s="65"/>
      <c r="AD128" s="65"/>
      <c r="AE128" s="65"/>
      <c r="AF128" s="215">
        <v>8</v>
      </c>
      <c r="AG128" s="65"/>
      <c r="AH128" s="65"/>
      <c r="AI128" s="65"/>
      <c r="AJ128" s="65"/>
      <c r="AK128" s="215">
        <v>9.4</v>
      </c>
      <c r="AL128" s="65"/>
      <c r="AM128" s="65"/>
      <c r="AN128" s="65"/>
      <c r="AO128" s="65"/>
      <c r="AP128" s="215">
        <v>7.7</v>
      </c>
      <c r="AQ128" s="65"/>
      <c r="AR128" s="65"/>
      <c r="AS128" s="65"/>
      <c r="AT128" s="65">
        <f>5.4-SUM(AQ128:AS128)</f>
        <v>5.4</v>
      </c>
      <c r="AU128" s="215"/>
      <c r="AV128" s="45"/>
      <c r="AW128" s="65"/>
      <c r="AX128" s="65"/>
      <c r="AY128" s="65">
        <v>0.3</v>
      </c>
      <c r="AZ128" s="65">
        <v>1.1000000000000001</v>
      </c>
      <c r="BA128" s="215"/>
      <c r="BB128" s="65"/>
      <c r="BC128" s="65"/>
      <c r="BD128" s="65"/>
      <c r="BE128" s="65"/>
      <c r="BF128" s="215">
        <v>1.8</v>
      </c>
      <c r="BG128" s="65"/>
      <c r="BH128" s="65"/>
      <c r="BI128" s="65"/>
      <c r="BJ128" s="65"/>
      <c r="BK128" s="215">
        <v>1.4</v>
      </c>
      <c r="BL128" s="217"/>
      <c r="BM128" s="217"/>
      <c r="BN128" s="217"/>
      <c r="BO128" s="217"/>
      <c r="BP128" s="215">
        <v>0</v>
      </c>
      <c r="BQ128" s="217"/>
      <c r="BR128" s="65"/>
      <c r="BS128" s="217"/>
      <c r="BT128" s="217"/>
      <c r="BU128" s="215">
        <v>0</v>
      </c>
      <c r="BV128" s="65"/>
      <c r="BW128" s="1385"/>
      <c r="BX128" s="65"/>
      <c r="BY128" s="65"/>
      <c r="BZ128" s="215"/>
      <c r="CA128" s="65"/>
      <c r="CB128" s="65"/>
      <c r="CC128" s="65"/>
      <c r="CD128" s="65"/>
      <c r="CE128" s="215"/>
      <c r="CF128" s="65"/>
      <c r="CG128" s="65"/>
      <c r="CH128" s="65"/>
      <c r="CI128" s="65"/>
      <c r="CJ128" s="215"/>
      <c r="CK128" s="65"/>
      <c r="CL128" s="217"/>
      <c r="CM128" s="217"/>
      <c r="CN128" s="217"/>
      <c r="CO128" s="332"/>
      <c r="CP128" s="217"/>
      <c r="CQ128" s="217"/>
      <c r="CR128" s="217"/>
      <c r="CS128" s="217"/>
      <c r="CT128" s="332"/>
      <c r="CU128" s="217"/>
      <c r="CV128" s="217"/>
      <c r="CW128" s="217"/>
      <c r="CX128" s="217"/>
      <c r="CY128" s="332"/>
      <c r="CZ128" s="217"/>
      <c r="DA128" s="217"/>
      <c r="DB128" s="217"/>
      <c r="DC128" s="217"/>
      <c r="DD128" s="332"/>
      <c r="DE128" s="217"/>
      <c r="DF128" s="217"/>
      <c r="DG128" s="217"/>
      <c r="DH128" s="217"/>
      <c r="DI128" s="332"/>
      <c r="DJ128" s="217"/>
      <c r="DK128" s="217"/>
      <c r="DL128" s="217"/>
      <c r="DM128" s="217"/>
      <c r="DN128" s="332"/>
      <c r="DO128" s="217"/>
      <c r="DP128" s="217"/>
      <c r="DQ128" s="217"/>
      <c r="DR128" s="217"/>
      <c r="DS128" s="332"/>
      <c r="DT128" s="217"/>
      <c r="DU128" s="217"/>
      <c r="DV128" s="217"/>
      <c r="DW128" s="217"/>
      <c r="DX128" s="332"/>
      <c r="DY128" s="21"/>
      <c r="DZ128" s="21"/>
      <c r="EA128" s="21"/>
      <c r="EB128" s="15"/>
      <c r="EC128" s="15"/>
      <c r="ED128" s="670"/>
      <c r="EE128" s="670"/>
      <c r="EF128" s="670"/>
      <c r="EG128" s="670"/>
      <c r="EH128" s="670"/>
      <c r="EI128" s="670"/>
      <c r="EJ128" s="373"/>
      <c r="EK128" s="373"/>
      <c r="EL128" s="373"/>
      <c r="EM128" s="16"/>
      <c r="EN128" s="16"/>
      <c r="EU128" s="16"/>
      <c r="EV128" s="16"/>
      <c r="EW128" s="16"/>
      <c r="EX128" s="16"/>
      <c r="EY128" s="16"/>
      <c r="EZ128" s="16"/>
      <c r="FA128" s="16"/>
      <c r="FB128" s="16"/>
      <c r="FC128" s="16"/>
      <c r="FD128" s="16"/>
      <c r="FE128" s="16"/>
      <c r="FF128" s="16"/>
      <c r="FG128" s="16"/>
      <c r="FH128" s="16"/>
      <c r="FI128" s="16"/>
      <c r="FJ128" s="16"/>
    </row>
    <row r="129" spans="1:166" hidden="1" outlineLevel="1" x14ac:dyDescent="0.2">
      <c r="A129" s="170" t="s">
        <v>698</v>
      </c>
      <c r="B129" s="65"/>
      <c r="C129" s="65"/>
      <c r="D129" s="65"/>
      <c r="E129" s="65"/>
      <c r="F129" s="65"/>
      <c r="G129" s="65"/>
      <c r="H129" s="65"/>
      <c r="I129" s="65"/>
      <c r="J129" s="65"/>
      <c r="K129" s="65"/>
      <c r="L129" s="65"/>
      <c r="M129" s="65"/>
      <c r="N129" s="65"/>
      <c r="O129" s="65"/>
      <c r="P129" s="65"/>
      <c r="Q129" s="215"/>
      <c r="R129" s="65"/>
      <c r="S129" s="65"/>
      <c r="T129" s="65"/>
      <c r="U129" s="65"/>
      <c r="V129" s="215"/>
      <c r="W129" s="65"/>
      <c r="X129" s="65"/>
      <c r="Y129" s="65"/>
      <c r="Z129" s="65"/>
      <c r="AA129" s="215"/>
      <c r="AB129" s="65"/>
      <c r="AC129" s="65"/>
      <c r="AD129" s="65"/>
      <c r="AE129" s="65"/>
      <c r="AF129" s="215"/>
      <c r="AG129" s="65"/>
      <c r="AH129" s="65"/>
      <c r="AI129" s="65"/>
      <c r="AJ129" s="65"/>
      <c r="AK129" s="215"/>
      <c r="AL129" s="65"/>
      <c r="AM129" s="65"/>
      <c r="AN129" s="65"/>
      <c r="AO129" s="65"/>
      <c r="AP129" s="215"/>
      <c r="AQ129" s="65"/>
      <c r="AR129" s="65"/>
      <c r="AS129" s="65"/>
      <c r="AT129" s="65"/>
      <c r="AU129" s="215"/>
      <c r="AV129" s="45"/>
      <c r="AW129" s="65"/>
      <c r="AX129" s="65"/>
      <c r="AY129" s="65"/>
      <c r="AZ129" s="65"/>
      <c r="BA129" s="215"/>
      <c r="BB129" s="65"/>
      <c r="BC129" s="65"/>
      <c r="BD129" s="65"/>
      <c r="BE129" s="65"/>
      <c r="BF129" s="215">
        <v>3.8</v>
      </c>
      <c r="BG129" s="65"/>
      <c r="BH129" s="65"/>
      <c r="BI129" s="65"/>
      <c r="BJ129" s="65"/>
      <c r="BK129" s="215">
        <v>0.8</v>
      </c>
      <c r="BL129" s="217"/>
      <c r="BM129" s="217"/>
      <c r="BN129" s="217"/>
      <c r="BO129" s="217"/>
      <c r="BP129" s="215">
        <v>0</v>
      </c>
      <c r="BQ129" s="217"/>
      <c r="BR129" s="65"/>
      <c r="BS129" s="217"/>
      <c r="BT129" s="217"/>
      <c r="BU129" s="215">
        <v>0</v>
      </c>
      <c r="BV129" s="65"/>
      <c r="BW129" s="1385"/>
      <c r="BX129" s="65"/>
      <c r="BY129" s="65"/>
      <c r="BZ129" s="215"/>
      <c r="CA129" s="65"/>
      <c r="CB129" s="65"/>
      <c r="CC129" s="65"/>
      <c r="CD129" s="65"/>
      <c r="CE129" s="215"/>
      <c r="CF129" s="65"/>
      <c r="CG129" s="65"/>
      <c r="CH129" s="65"/>
      <c r="CI129" s="65"/>
      <c r="CJ129" s="215"/>
      <c r="CK129" s="65"/>
      <c r="CL129" s="217"/>
      <c r="CM129" s="217"/>
      <c r="CN129" s="217"/>
      <c r="CO129" s="332"/>
      <c r="CP129" s="217"/>
      <c r="CQ129" s="217"/>
      <c r="CR129" s="217"/>
      <c r="CS129" s="217"/>
      <c r="CT129" s="332"/>
      <c r="CU129" s="217"/>
      <c r="CV129" s="217"/>
      <c r="CW129" s="217"/>
      <c r="CX129" s="217"/>
      <c r="CY129" s="332"/>
      <c r="CZ129" s="217"/>
      <c r="DA129" s="217"/>
      <c r="DB129" s="217"/>
      <c r="DC129" s="217"/>
      <c r="DD129" s="332"/>
      <c r="DE129" s="217"/>
      <c r="DF129" s="217"/>
      <c r="DG129" s="217"/>
      <c r="DH129" s="217"/>
      <c r="DI129" s="332"/>
      <c r="DJ129" s="217"/>
      <c r="DK129" s="217"/>
      <c r="DL129" s="217"/>
      <c r="DM129" s="217"/>
      <c r="DN129" s="332"/>
      <c r="DO129" s="217"/>
      <c r="DP129" s="217"/>
      <c r="DQ129" s="217"/>
      <c r="DR129" s="217"/>
      <c r="DS129" s="332"/>
      <c r="DT129" s="217"/>
      <c r="DU129" s="217"/>
      <c r="DV129" s="217"/>
      <c r="DW129" s="217"/>
      <c r="DX129" s="332"/>
      <c r="DY129" s="21"/>
      <c r="DZ129" s="21"/>
      <c r="EA129" s="21"/>
      <c r="EB129" s="15"/>
      <c r="EC129" s="15"/>
      <c r="ED129" s="670"/>
      <c r="EE129" s="670"/>
      <c r="EF129" s="670"/>
      <c r="EG129" s="670"/>
      <c r="EH129" s="670"/>
      <c r="EI129" s="670"/>
      <c r="EJ129" s="373"/>
      <c r="EK129" s="373"/>
      <c r="EL129" s="373"/>
      <c r="EM129" s="16"/>
      <c r="EN129" s="16"/>
      <c r="EU129" s="16"/>
      <c r="EV129" s="16"/>
      <c r="EW129" s="16"/>
      <c r="EX129" s="16"/>
      <c r="EY129" s="16"/>
      <c r="EZ129" s="16"/>
      <c r="FA129" s="16"/>
      <c r="FB129" s="16"/>
      <c r="FC129" s="16"/>
      <c r="FD129" s="16"/>
      <c r="FE129" s="16"/>
      <c r="FF129" s="16"/>
      <c r="FG129" s="16"/>
      <c r="FH129" s="16"/>
      <c r="FI129" s="16"/>
      <c r="FJ129" s="16"/>
    </row>
    <row r="130" spans="1:166" hidden="1" outlineLevel="1" x14ac:dyDescent="0.2">
      <c r="A130" s="170" t="s">
        <v>720</v>
      </c>
      <c r="B130" s="65"/>
      <c r="C130" s="65"/>
      <c r="D130" s="65"/>
      <c r="E130" s="65"/>
      <c r="F130" s="65"/>
      <c r="G130" s="65"/>
      <c r="H130" s="65"/>
      <c r="I130" s="65"/>
      <c r="J130" s="65"/>
      <c r="K130" s="65"/>
      <c r="L130" s="65"/>
      <c r="M130" s="65"/>
      <c r="N130" s="65"/>
      <c r="O130" s="65"/>
      <c r="P130" s="65"/>
      <c r="Q130" s="215"/>
      <c r="R130" s="65"/>
      <c r="S130" s="65"/>
      <c r="T130" s="65"/>
      <c r="U130" s="65"/>
      <c r="V130" s="215"/>
      <c r="W130" s="65"/>
      <c r="X130" s="65"/>
      <c r="Y130" s="65"/>
      <c r="Z130" s="65"/>
      <c r="AA130" s="215"/>
      <c r="AB130" s="65"/>
      <c r="AC130" s="65"/>
      <c r="AD130" s="65"/>
      <c r="AE130" s="65"/>
      <c r="AF130" s="215"/>
      <c r="AG130" s="65"/>
      <c r="AH130" s="65"/>
      <c r="AI130" s="65"/>
      <c r="AJ130" s="65"/>
      <c r="AK130" s="215"/>
      <c r="AL130" s="65"/>
      <c r="AM130" s="65"/>
      <c r="AN130" s="65"/>
      <c r="AO130" s="65"/>
      <c r="AP130" s="215"/>
      <c r="AQ130" s="65"/>
      <c r="AR130" s="65"/>
      <c r="AS130" s="65"/>
      <c r="AT130" s="65"/>
      <c r="AU130" s="215"/>
      <c r="AV130" s="45"/>
      <c r="AW130" s="65"/>
      <c r="AX130" s="65"/>
      <c r="AY130" s="65"/>
      <c r="AZ130" s="65"/>
      <c r="BA130" s="215"/>
      <c r="BB130" s="65"/>
      <c r="BC130" s="65"/>
      <c r="BD130" s="65"/>
      <c r="BE130" s="65"/>
      <c r="BF130" s="215"/>
      <c r="BG130" s="65"/>
      <c r="BH130" s="65"/>
      <c r="BI130" s="65"/>
      <c r="BJ130" s="65"/>
      <c r="BK130" s="215"/>
      <c r="BL130" s="217"/>
      <c r="BM130" s="217"/>
      <c r="BN130" s="217"/>
      <c r="BO130" s="217"/>
      <c r="BP130" s="215"/>
      <c r="BQ130" s="217"/>
      <c r="BR130" s="65"/>
      <c r="BS130" s="217"/>
      <c r="BT130" s="217"/>
      <c r="BU130" s="215">
        <v>8</v>
      </c>
      <c r="BV130" s="65"/>
      <c r="BW130" s="1385"/>
      <c r="BX130" s="65"/>
      <c r="BY130" s="65"/>
      <c r="BZ130" s="215"/>
      <c r="CA130" s="65"/>
      <c r="CB130" s="65"/>
      <c r="CC130" s="65"/>
      <c r="CD130" s="65"/>
      <c r="CE130" s="215"/>
      <c r="CF130" s="65"/>
      <c r="CG130" s="65"/>
      <c r="CH130" s="65"/>
      <c r="CI130" s="65"/>
      <c r="CJ130" s="215"/>
      <c r="CK130" s="65"/>
      <c r="CL130" s="217"/>
      <c r="CM130" s="217"/>
      <c r="CN130" s="217"/>
      <c r="CO130" s="332"/>
      <c r="CP130" s="217"/>
      <c r="CQ130" s="217"/>
      <c r="CR130" s="217"/>
      <c r="CS130" s="217"/>
      <c r="CT130" s="332"/>
      <c r="CU130" s="217"/>
      <c r="CV130" s="217"/>
      <c r="CW130" s="217"/>
      <c r="CX130" s="217"/>
      <c r="CY130" s="332"/>
      <c r="CZ130" s="217"/>
      <c r="DA130" s="217"/>
      <c r="DB130" s="217"/>
      <c r="DC130" s="217"/>
      <c r="DD130" s="332"/>
      <c r="DE130" s="217"/>
      <c r="DF130" s="217"/>
      <c r="DG130" s="217"/>
      <c r="DH130" s="217"/>
      <c r="DI130" s="332"/>
      <c r="DJ130" s="217"/>
      <c r="DK130" s="217"/>
      <c r="DL130" s="217"/>
      <c r="DM130" s="217"/>
      <c r="DN130" s="332"/>
      <c r="DO130" s="217"/>
      <c r="DP130" s="217"/>
      <c r="DQ130" s="217"/>
      <c r="DR130" s="217"/>
      <c r="DS130" s="332"/>
      <c r="DT130" s="217"/>
      <c r="DU130" s="217"/>
      <c r="DV130" s="217"/>
      <c r="DW130" s="217"/>
      <c r="DX130" s="332"/>
      <c r="DY130" s="21"/>
      <c r="DZ130" s="21"/>
      <c r="EA130" s="21"/>
      <c r="EB130" s="15"/>
      <c r="EC130" s="15"/>
      <c r="ED130" s="670"/>
      <c r="EE130" s="670"/>
      <c r="EF130" s="670"/>
      <c r="EG130" s="670"/>
      <c r="EH130" s="670"/>
      <c r="EI130" s="670"/>
      <c r="EJ130" s="373"/>
      <c r="EK130" s="373"/>
      <c r="EL130" s="373"/>
      <c r="EM130" s="16"/>
      <c r="EN130" s="16"/>
      <c r="EU130" s="16"/>
      <c r="EV130" s="16"/>
      <c r="EW130" s="16"/>
      <c r="EX130" s="16"/>
      <c r="EY130" s="16"/>
      <c r="EZ130" s="16"/>
      <c r="FA130" s="16"/>
      <c r="FB130" s="16"/>
      <c r="FC130" s="16"/>
      <c r="FD130" s="16"/>
      <c r="FE130" s="16"/>
      <c r="FF130" s="16"/>
      <c r="FG130" s="16"/>
      <c r="FH130" s="16"/>
      <c r="FI130" s="16"/>
      <c r="FJ130" s="16"/>
    </row>
    <row r="131" spans="1:166" hidden="1" outlineLevel="1" x14ac:dyDescent="0.2">
      <c r="A131" s="170" t="s">
        <v>686</v>
      </c>
      <c r="B131" s="65"/>
      <c r="C131" s="65"/>
      <c r="D131" s="65"/>
      <c r="E131" s="65"/>
      <c r="F131" s="65"/>
      <c r="G131" s="65"/>
      <c r="H131" s="65"/>
      <c r="I131" s="65"/>
      <c r="J131" s="65"/>
      <c r="K131" s="65"/>
      <c r="L131" s="65"/>
      <c r="M131" s="65"/>
      <c r="N131" s="65"/>
      <c r="O131" s="65"/>
      <c r="P131" s="65"/>
      <c r="Q131" s="215"/>
      <c r="R131" s="65"/>
      <c r="S131" s="65"/>
      <c r="T131" s="65"/>
      <c r="U131" s="65"/>
      <c r="V131" s="215">
        <v>18</v>
      </c>
      <c r="W131" s="65"/>
      <c r="X131" s="65"/>
      <c r="Y131" s="65"/>
      <c r="Z131" s="65"/>
      <c r="AA131" s="215">
        <v>15</v>
      </c>
      <c r="AB131" s="65"/>
      <c r="AC131" s="65"/>
      <c r="AD131" s="65"/>
      <c r="AE131" s="65"/>
      <c r="AF131" s="215">
        <v>13</v>
      </c>
      <c r="AG131" s="65"/>
      <c r="AH131" s="65"/>
      <c r="AI131" s="65"/>
      <c r="AJ131" s="65"/>
      <c r="AK131" s="215">
        <v>18.3</v>
      </c>
      <c r="AL131" s="65"/>
      <c r="AM131" s="65"/>
      <c r="AN131" s="65"/>
      <c r="AO131" s="65"/>
      <c r="AP131" s="215">
        <v>18.8</v>
      </c>
      <c r="AQ131" s="65"/>
      <c r="AR131" s="65"/>
      <c r="AS131" s="65"/>
      <c r="AT131" s="65">
        <f>14.1-SUM(AQ131:AS131)</f>
        <v>14.1</v>
      </c>
      <c r="AU131" s="215"/>
      <c r="AV131" s="45"/>
      <c r="AW131" s="65"/>
      <c r="AX131" s="65"/>
      <c r="AY131" s="65">
        <v>3.7</v>
      </c>
      <c r="AZ131" s="65">
        <v>4.5</v>
      </c>
      <c r="BA131" s="215"/>
      <c r="BB131" s="65"/>
      <c r="BC131" s="65"/>
      <c r="BD131" s="65"/>
      <c r="BE131" s="65"/>
      <c r="BF131" s="215">
        <v>8.9</v>
      </c>
      <c r="BG131" s="65"/>
      <c r="BH131" s="65"/>
      <c r="BI131" s="65"/>
      <c r="BJ131" s="65"/>
      <c r="BK131" s="215">
        <v>19.2</v>
      </c>
      <c r="BL131" s="217"/>
      <c r="BM131" s="217"/>
      <c r="BN131" s="217"/>
      <c r="BO131" s="217"/>
      <c r="BP131" s="215">
        <v>12.8</v>
      </c>
      <c r="BQ131" s="217"/>
      <c r="BR131" s="65"/>
      <c r="BS131" s="217"/>
      <c r="BT131" s="217"/>
      <c r="BU131" s="215">
        <v>12.9</v>
      </c>
      <c r="BV131" s="65"/>
      <c r="BW131" s="1385"/>
      <c r="BX131" s="65"/>
      <c r="BY131" s="65"/>
      <c r="BZ131" s="215"/>
      <c r="CA131" s="65"/>
      <c r="CB131" s="65"/>
      <c r="CC131" s="65"/>
      <c r="CD131" s="65"/>
      <c r="CE131" s="215"/>
      <c r="CF131" s="65"/>
      <c r="CG131" s="65"/>
      <c r="CH131" s="65"/>
      <c r="CI131" s="65"/>
      <c r="CJ131" s="215"/>
      <c r="CK131" s="65"/>
      <c r="CL131" s="217"/>
      <c r="CM131" s="217"/>
      <c r="CN131" s="217"/>
      <c r="CO131" s="332"/>
      <c r="CP131" s="217"/>
      <c r="CQ131" s="217"/>
      <c r="CR131" s="217"/>
      <c r="CS131" s="217"/>
      <c r="CT131" s="332"/>
      <c r="CU131" s="217"/>
      <c r="CV131" s="217"/>
      <c r="CW131" s="217"/>
      <c r="CX131" s="217"/>
      <c r="CY131" s="332"/>
      <c r="CZ131" s="217"/>
      <c r="DA131" s="217"/>
      <c r="DB131" s="217"/>
      <c r="DC131" s="217"/>
      <c r="DD131" s="332"/>
      <c r="DE131" s="217"/>
      <c r="DF131" s="217"/>
      <c r="DG131" s="217"/>
      <c r="DH131" s="217"/>
      <c r="DI131" s="332"/>
      <c r="DJ131" s="217"/>
      <c r="DK131" s="217"/>
      <c r="DL131" s="217"/>
      <c r="DM131" s="217"/>
      <c r="DN131" s="332"/>
      <c r="DO131" s="217"/>
      <c r="DP131" s="217"/>
      <c r="DQ131" s="217"/>
      <c r="DR131" s="217"/>
      <c r="DS131" s="332"/>
      <c r="DT131" s="217"/>
      <c r="DU131" s="217"/>
      <c r="DV131" s="217"/>
      <c r="DW131" s="217"/>
      <c r="DX131" s="332"/>
      <c r="DY131" s="21"/>
      <c r="DZ131" s="21"/>
      <c r="EA131" s="21"/>
      <c r="EB131" s="15"/>
      <c r="EC131" s="15"/>
      <c r="ED131" s="670"/>
      <c r="EE131" s="670"/>
      <c r="EF131" s="670"/>
      <c r="EG131" s="670"/>
      <c r="EH131" s="670"/>
      <c r="EI131" s="670"/>
      <c r="EJ131" s="373"/>
      <c r="EK131" s="373"/>
      <c r="EL131" s="373"/>
      <c r="EM131" s="16"/>
      <c r="EN131" s="16"/>
      <c r="EU131" s="16"/>
      <c r="EV131" s="16"/>
      <c r="EW131" s="16"/>
      <c r="EX131" s="16"/>
      <c r="EY131" s="16"/>
      <c r="EZ131" s="16"/>
      <c r="FA131" s="16"/>
      <c r="FB131" s="16"/>
      <c r="FC131" s="16"/>
      <c r="FD131" s="16"/>
      <c r="FE131" s="16"/>
      <c r="FF131" s="16"/>
      <c r="FG131" s="16"/>
      <c r="FH131" s="16"/>
      <c r="FI131" s="16"/>
      <c r="FJ131" s="16"/>
    </row>
    <row r="132" spans="1:166" ht="3" hidden="1" customHeight="1" outlineLevel="1" x14ac:dyDescent="0.2">
      <c r="A132" s="170"/>
      <c r="B132" s="65"/>
      <c r="C132" s="65"/>
      <c r="D132" s="65"/>
      <c r="E132" s="65"/>
      <c r="F132" s="65"/>
      <c r="G132" s="65"/>
      <c r="H132" s="65"/>
      <c r="I132" s="65"/>
      <c r="J132" s="65"/>
      <c r="K132" s="65"/>
      <c r="L132" s="65"/>
      <c r="M132" s="65"/>
      <c r="N132" s="65"/>
      <c r="O132" s="65"/>
      <c r="P132" s="65"/>
      <c r="Q132" s="215"/>
      <c r="R132" s="65"/>
      <c r="S132" s="65"/>
      <c r="T132" s="65"/>
      <c r="U132" s="65"/>
      <c r="V132" s="215"/>
      <c r="W132" s="65"/>
      <c r="X132" s="65"/>
      <c r="Y132" s="65"/>
      <c r="Z132" s="65"/>
      <c r="AA132" s="215"/>
      <c r="AB132" s="65"/>
      <c r="AC132" s="65"/>
      <c r="AD132" s="65"/>
      <c r="AE132" s="65"/>
      <c r="AF132" s="215"/>
      <c r="AG132" s="65"/>
      <c r="AH132" s="65"/>
      <c r="AI132" s="65"/>
      <c r="AJ132" s="65"/>
      <c r="AK132" s="215"/>
      <c r="AL132" s="65"/>
      <c r="AM132" s="65"/>
      <c r="AN132" s="65"/>
      <c r="AO132" s="65"/>
      <c r="AP132" s="215"/>
      <c r="AQ132" s="65"/>
      <c r="AR132" s="65"/>
      <c r="AS132" s="65"/>
      <c r="AT132" s="65"/>
      <c r="AU132" s="215"/>
      <c r="AV132" s="45"/>
      <c r="AW132" s="65"/>
      <c r="AX132" s="65"/>
      <c r="AY132" s="65"/>
      <c r="AZ132" s="65"/>
      <c r="BA132" s="215"/>
      <c r="BB132" s="65"/>
      <c r="BC132" s="65"/>
      <c r="BD132" s="65"/>
      <c r="BE132" s="65"/>
      <c r="BF132" s="215"/>
      <c r="BG132" s="65"/>
      <c r="BH132" s="65"/>
      <c r="BI132" s="65"/>
      <c r="BJ132" s="65"/>
      <c r="BK132" s="215"/>
      <c r="BL132" s="217"/>
      <c r="BM132" s="217"/>
      <c r="BN132" s="217"/>
      <c r="BO132" s="217"/>
      <c r="BP132" s="332"/>
      <c r="BQ132" s="217"/>
      <c r="BR132" s="65"/>
      <c r="BS132" s="217"/>
      <c r="BT132" s="217"/>
      <c r="BU132" s="332"/>
      <c r="BV132" s="65"/>
      <c r="BW132" s="1385"/>
      <c r="BX132" s="65"/>
      <c r="BY132" s="65"/>
      <c r="BZ132" s="215"/>
      <c r="CA132" s="65"/>
      <c r="CB132" s="65"/>
      <c r="CC132" s="65"/>
      <c r="CD132" s="65"/>
      <c r="CE132" s="215"/>
      <c r="CF132" s="65"/>
      <c r="CG132" s="65"/>
      <c r="CH132" s="65"/>
      <c r="CI132" s="65"/>
      <c r="CJ132" s="215"/>
      <c r="CK132" s="65"/>
      <c r="CL132" s="217"/>
      <c r="CM132" s="217"/>
      <c r="CN132" s="217"/>
      <c r="CO132" s="332"/>
      <c r="CP132" s="217"/>
      <c r="CQ132" s="217"/>
      <c r="CR132" s="217"/>
      <c r="CS132" s="217"/>
      <c r="CT132" s="332"/>
      <c r="CU132" s="217"/>
      <c r="CV132" s="217"/>
      <c r="CW132" s="217"/>
      <c r="CX132" s="217"/>
      <c r="CY132" s="332"/>
      <c r="CZ132" s="217"/>
      <c r="DA132" s="217"/>
      <c r="DB132" s="217"/>
      <c r="DC132" s="217"/>
      <c r="DD132" s="332"/>
      <c r="DE132" s="217"/>
      <c r="DF132" s="217"/>
      <c r="DG132" s="217"/>
      <c r="DH132" s="217"/>
      <c r="DI132" s="332"/>
      <c r="DJ132" s="217"/>
      <c r="DK132" s="217"/>
      <c r="DL132" s="217"/>
      <c r="DM132" s="217"/>
      <c r="DN132" s="332"/>
      <c r="DO132" s="217"/>
      <c r="DP132" s="217"/>
      <c r="DQ132" s="217"/>
      <c r="DR132" s="217"/>
      <c r="DS132" s="332"/>
      <c r="DT132" s="217"/>
      <c r="DU132" s="217"/>
      <c r="DV132" s="217"/>
      <c r="DW132" s="217"/>
      <c r="DX132" s="332"/>
      <c r="DY132" s="21"/>
      <c r="DZ132" s="21"/>
      <c r="EA132" s="21"/>
      <c r="EB132" s="15"/>
      <c r="EC132" s="15"/>
      <c r="ED132" s="670"/>
      <c r="EE132" s="670"/>
      <c r="EF132" s="670"/>
      <c r="EG132" s="670"/>
      <c r="EH132" s="670"/>
      <c r="EI132" s="670"/>
      <c r="EJ132" s="373"/>
      <c r="EK132" s="373"/>
      <c r="EL132" s="373"/>
      <c r="EM132" s="16"/>
      <c r="EN132" s="16"/>
      <c r="EU132" s="16"/>
      <c r="EV132" s="16"/>
      <c r="EW132" s="16"/>
      <c r="EX132" s="16"/>
      <c r="EY132" s="16"/>
      <c r="EZ132" s="16"/>
      <c r="FA132" s="16"/>
      <c r="FB132" s="16"/>
      <c r="FC132" s="16"/>
      <c r="FD132" s="16"/>
      <c r="FE132" s="16"/>
      <c r="FF132" s="16"/>
      <c r="FG132" s="16"/>
      <c r="FH132" s="16"/>
      <c r="FI132" s="16"/>
      <c r="FJ132" s="16"/>
    </row>
    <row r="133" spans="1:166" hidden="1" outlineLevel="1" x14ac:dyDescent="0.2">
      <c r="A133" s="170" t="s">
        <v>721</v>
      </c>
      <c r="B133" s="65"/>
      <c r="C133" s="65"/>
      <c r="D133" s="65"/>
      <c r="E133" s="65"/>
      <c r="F133" s="65"/>
      <c r="G133" s="65"/>
      <c r="H133" s="65"/>
      <c r="I133" s="65"/>
      <c r="J133" s="65"/>
      <c r="K133" s="65"/>
      <c r="L133" s="65"/>
      <c r="M133" s="65"/>
      <c r="N133" s="65"/>
      <c r="O133" s="65"/>
      <c r="P133" s="65"/>
      <c r="Q133" s="215"/>
      <c r="R133" s="65"/>
      <c r="S133" s="65"/>
      <c r="T133" s="65"/>
      <c r="U133" s="65"/>
      <c r="V133" s="215">
        <v>26</v>
      </c>
      <c r="W133" s="65"/>
      <c r="X133" s="65"/>
      <c r="Y133" s="65"/>
      <c r="Z133" s="65"/>
      <c r="AA133" s="215">
        <v>25</v>
      </c>
      <c r="AB133" s="65">
        <v>4</v>
      </c>
      <c r="AC133" s="65">
        <f>8-AB133</f>
        <v>4</v>
      </c>
      <c r="AD133" s="65">
        <f>13-SUM(AB133:AC133)</f>
        <v>5</v>
      </c>
      <c r="AE133" s="65">
        <f>AF133-SUM(AB133:AD133)</f>
        <v>10</v>
      </c>
      <c r="AF133" s="215">
        <v>23</v>
      </c>
      <c r="AG133" s="65">
        <v>6</v>
      </c>
      <c r="AH133" s="65">
        <f>14-AG133</f>
        <v>8</v>
      </c>
      <c r="AI133" s="65">
        <f>25-SUM(AG133:AH133)</f>
        <v>11</v>
      </c>
      <c r="AJ133" s="65">
        <f>AK133-SUM(AG133:AI133)</f>
        <v>30.4</v>
      </c>
      <c r="AK133" s="215">
        <v>55.4</v>
      </c>
      <c r="AL133" s="65">
        <v>7.6</v>
      </c>
      <c r="AM133" s="65">
        <f>22.9-AL133</f>
        <v>15.299999999999999</v>
      </c>
      <c r="AN133" s="65">
        <f>38.8-SUM(AL133:AM133)</f>
        <v>15.899999999999999</v>
      </c>
      <c r="AO133" s="65">
        <f>AP133-SUM(AL133:AN133)</f>
        <v>26.600000000000009</v>
      </c>
      <c r="AP133" s="215">
        <v>65.400000000000006</v>
      </c>
      <c r="AQ133" s="65">
        <v>8.1</v>
      </c>
      <c r="AR133" s="65">
        <f>17.8-AQ133</f>
        <v>9.7000000000000011</v>
      </c>
      <c r="AS133" s="65">
        <f>24.5-SUM(AQ133:AR133)</f>
        <v>6.6999999999999993</v>
      </c>
      <c r="AT133" s="65">
        <f>41.1-SUM(AQ133:AS133)</f>
        <v>16.600000000000001</v>
      </c>
      <c r="AU133" s="215"/>
      <c r="AV133" s="45"/>
      <c r="AW133" s="65"/>
      <c r="AX133" s="65"/>
      <c r="AY133" s="65">
        <v>1.8</v>
      </c>
      <c r="AZ133" s="65">
        <v>6.7</v>
      </c>
      <c r="BA133" s="215"/>
      <c r="BB133" s="65">
        <v>1.8</v>
      </c>
      <c r="BC133" s="65">
        <f>2.4-BB133</f>
        <v>0.59999999999999987</v>
      </c>
      <c r="BD133" s="65">
        <f>4.6-SUM(BB133:BC133)</f>
        <v>2.1999999999999997</v>
      </c>
      <c r="BE133" s="65">
        <f>BF133-SUM(BB133:BD133)</f>
        <v>2.2000000000000002</v>
      </c>
      <c r="BF133" s="215">
        <v>6.8</v>
      </c>
      <c r="BG133" s="65">
        <v>0.4</v>
      </c>
      <c r="BH133" s="65">
        <f>0-BG133</f>
        <v>-0.4</v>
      </c>
      <c r="BI133" s="65">
        <f>1.1-SUM(BG133:BH133)</f>
        <v>1.1000000000000001</v>
      </c>
      <c r="BJ133" s="65">
        <f>BK133-SUM(BG133:BI133)</f>
        <v>0</v>
      </c>
      <c r="BK133" s="215">
        <v>1.1000000000000001</v>
      </c>
      <c r="BL133" s="217"/>
      <c r="BM133" s="217"/>
      <c r="BN133" s="217"/>
      <c r="BO133" s="217"/>
      <c r="BP133" s="215">
        <v>1.1000000000000001</v>
      </c>
      <c r="BQ133" s="217"/>
      <c r="BR133" s="65"/>
      <c r="BS133" s="217"/>
      <c r="BT133" s="217"/>
      <c r="BU133" s="215">
        <v>4.5</v>
      </c>
      <c r="BV133" s="65"/>
      <c r="BW133" s="1385"/>
      <c r="BX133" s="65"/>
      <c r="BY133" s="65"/>
      <c r="BZ133" s="215"/>
      <c r="CA133" s="65"/>
      <c r="CB133" s="65"/>
      <c r="CC133" s="65"/>
      <c r="CD133" s="65"/>
      <c r="CE133" s="215"/>
      <c r="CF133" s="65"/>
      <c r="CG133" s="65"/>
      <c r="CH133" s="65"/>
      <c r="CI133" s="65"/>
      <c r="CJ133" s="215"/>
      <c r="CK133" s="65"/>
      <c r="CL133" s="217"/>
      <c r="CM133" s="217"/>
      <c r="CN133" s="217"/>
      <c r="CO133" s="332"/>
      <c r="CP133" s="217"/>
      <c r="CQ133" s="217"/>
      <c r="CR133" s="217"/>
      <c r="CS133" s="217"/>
      <c r="CT133" s="332"/>
      <c r="CU133" s="217"/>
      <c r="CV133" s="217"/>
      <c r="CW133" s="217"/>
      <c r="CX133" s="217"/>
      <c r="CY133" s="332"/>
      <c r="CZ133" s="217"/>
      <c r="DA133" s="217"/>
      <c r="DB133" s="217"/>
      <c r="DC133" s="217"/>
      <c r="DD133" s="332"/>
      <c r="DE133" s="217"/>
      <c r="DF133" s="217"/>
      <c r="DG133" s="217"/>
      <c r="DH133" s="217"/>
      <c r="DI133" s="332"/>
      <c r="DJ133" s="217"/>
      <c r="DK133" s="217"/>
      <c r="DL133" s="217"/>
      <c r="DM133" s="217"/>
      <c r="DN133" s="332"/>
      <c r="DO133" s="217"/>
      <c r="DP133" s="217"/>
      <c r="DQ133" s="217"/>
      <c r="DR133" s="217"/>
      <c r="DS133" s="332"/>
      <c r="DT133" s="217"/>
      <c r="DU133" s="217"/>
      <c r="DV133" s="217"/>
      <c r="DW133" s="217"/>
      <c r="DX133" s="332"/>
      <c r="DY133" s="21"/>
      <c r="DZ133" s="21"/>
      <c r="EA133" s="21"/>
      <c r="EB133" s="15"/>
      <c r="EC133" s="15"/>
      <c r="ED133" s="670"/>
      <c r="EE133" s="670"/>
      <c r="EF133" s="670"/>
      <c r="EG133" s="670"/>
      <c r="EH133" s="670"/>
      <c r="EI133" s="670"/>
      <c r="EJ133" s="373"/>
      <c r="EK133" s="373"/>
      <c r="EL133" s="373"/>
      <c r="EM133" s="16"/>
      <c r="EN133" s="16"/>
      <c r="EU133" s="16"/>
      <c r="EV133" s="16"/>
      <c r="EW133" s="16"/>
      <c r="EX133" s="16"/>
      <c r="EY133" s="16"/>
      <c r="EZ133" s="16"/>
      <c r="FA133" s="16"/>
      <c r="FB133" s="16"/>
      <c r="FC133" s="16"/>
      <c r="FD133" s="16"/>
      <c r="FE133" s="16"/>
      <c r="FF133" s="16"/>
      <c r="FG133" s="16"/>
      <c r="FH133" s="16"/>
      <c r="FI133" s="16"/>
      <c r="FJ133" s="16"/>
    </row>
    <row r="134" spans="1:166" hidden="1" outlineLevel="1" x14ac:dyDescent="0.2">
      <c r="A134" s="170" t="s">
        <v>722</v>
      </c>
      <c r="B134" s="65"/>
      <c r="C134" s="65"/>
      <c r="D134" s="65"/>
      <c r="E134" s="65"/>
      <c r="F134" s="65"/>
      <c r="G134" s="65"/>
      <c r="H134" s="65"/>
      <c r="I134" s="65"/>
      <c r="J134" s="65"/>
      <c r="K134" s="65"/>
      <c r="L134" s="65"/>
      <c r="M134" s="65"/>
      <c r="N134" s="65"/>
      <c r="O134" s="65"/>
      <c r="P134" s="65"/>
      <c r="Q134" s="215"/>
      <c r="R134" s="65"/>
      <c r="S134" s="65"/>
      <c r="T134" s="65"/>
      <c r="U134" s="65"/>
      <c r="V134" s="215">
        <v>44</v>
      </c>
      <c r="W134" s="65"/>
      <c r="X134" s="65"/>
      <c r="Y134" s="65"/>
      <c r="Z134" s="65"/>
      <c r="AA134" s="215">
        <v>40</v>
      </c>
      <c r="AB134" s="65">
        <v>7</v>
      </c>
      <c r="AC134" s="65">
        <f>18-AB134</f>
        <v>11</v>
      </c>
      <c r="AD134" s="65">
        <f>26-SUM(AB134:AC134)</f>
        <v>8</v>
      </c>
      <c r="AE134" s="65">
        <f>AF134-SUM(AB134:AD134)</f>
        <v>21</v>
      </c>
      <c r="AF134" s="215">
        <v>47</v>
      </c>
      <c r="AG134" s="65">
        <v>13</v>
      </c>
      <c r="AH134" s="65">
        <f>30-AG134</f>
        <v>17</v>
      </c>
      <c r="AI134" s="65">
        <f>54-SUM(AG134:AH134)</f>
        <v>24</v>
      </c>
      <c r="AJ134" s="65">
        <f>AK134-SUM(AG134:AI134)</f>
        <v>48</v>
      </c>
      <c r="AK134" s="215">
        <v>102</v>
      </c>
      <c r="AL134" s="65">
        <v>23.7</v>
      </c>
      <c r="AM134" s="65">
        <f>56.1-AL134</f>
        <v>32.400000000000006</v>
      </c>
      <c r="AN134" s="65">
        <f>71.7-SUM(AL134:AM134)</f>
        <v>15.599999999999994</v>
      </c>
      <c r="AO134" s="65">
        <f>AP134-SUM(AL134:AN134)</f>
        <v>38.399999999999991</v>
      </c>
      <c r="AP134" s="215">
        <v>110.1</v>
      </c>
      <c r="AQ134" s="65">
        <v>18</v>
      </c>
      <c r="AR134" s="65">
        <f>37.6-AQ134</f>
        <v>19.600000000000001</v>
      </c>
      <c r="AS134" s="65">
        <f>53.5-SUM(AQ134:AR134)</f>
        <v>15.899999999999999</v>
      </c>
      <c r="AT134" s="65">
        <f>91.7-SUM(AQ134:AS134)</f>
        <v>38.200000000000003</v>
      </c>
      <c r="AU134" s="215"/>
      <c r="AV134" s="45"/>
      <c r="AW134" s="65"/>
      <c r="AX134" s="65"/>
      <c r="AY134" s="65">
        <v>11.1</v>
      </c>
      <c r="AZ134" s="65">
        <v>16.7</v>
      </c>
      <c r="BA134" s="215"/>
      <c r="BB134" s="65">
        <v>7.5</v>
      </c>
      <c r="BC134" s="65">
        <f>20.5-BB134</f>
        <v>13</v>
      </c>
      <c r="BD134" s="65">
        <f>32.8-SUM(BB134:BC134)</f>
        <v>12.299999999999997</v>
      </c>
      <c r="BE134" s="65">
        <f>BF134-SUM(BB134:BD134)</f>
        <v>32.900000000000006</v>
      </c>
      <c r="BF134" s="215">
        <v>65.7</v>
      </c>
      <c r="BG134" s="65">
        <v>15.4</v>
      </c>
      <c r="BH134" s="65">
        <f>8.5-BG134</f>
        <v>-6.9</v>
      </c>
      <c r="BI134" s="65">
        <f>23.3-SUM(BG134:BH134)</f>
        <v>14.8</v>
      </c>
      <c r="BJ134" s="65">
        <f>BK134-SUM(BG134:BI134)</f>
        <v>25.7</v>
      </c>
      <c r="BK134" s="215">
        <v>49</v>
      </c>
      <c r="BL134" s="217"/>
      <c r="BM134" s="217"/>
      <c r="BN134" s="217"/>
      <c r="BO134" s="217"/>
      <c r="BP134" s="215">
        <v>11.2</v>
      </c>
      <c r="BQ134" s="217"/>
      <c r="BR134" s="65"/>
      <c r="BS134" s="217"/>
      <c r="BT134" s="217"/>
      <c r="BU134" s="215">
        <v>12.4</v>
      </c>
      <c r="BV134" s="65"/>
      <c r="BW134" s="1385"/>
      <c r="BX134" s="65"/>
      <c r="BY134" s="65"/>
      <c r="BZ134" s="215"/>
      <c r="CA134" s="65"/>
      <c r="CB134" s="65"/>
      <c r="CC134" s="65"/>
      <c r="CD134" s="65"/>
      <c r="CE134" s="215"/>
      <c r="CF134" s="65"/>
      <c r="CG134" s="65"/>
      <c r="CH134" s="65"/>
      <c r="CI134" s="65"/>
      <c r="CJ134" s="215"/>
      <c r="CK134" s="65"/>
      <c r="CL134" s="217"/>
      <c r="CM134" s="217"/>
      <c r="CN134" s="217"/>
      <c r="CO134" s="332"/>
      <c r="CP134" s="217"/>
      <c r="CQ134" s="217"/>
      <c r="CR134" s="217"/>
      <c r="CS134" s="217"/>
      <c r="CT134" s="332"/>
      <c r="CU134" s="217"/>
      <c r="CV134" s="217"/>
      <c r="CW134" s="217"/>
      <c r="CX134" s="217"/>
      <c r="CY134" s="332"/>
      <c r="CZ134" s="217"/>
      <c r="DA134" s="217"/>
      <c r="DB134" s="217"/>
      <c r="DC134" s="217"/>
      <c r="DD134" s="332"/>
      <c r="DE134" s="217"/>
      <c r="DF134" s="217"/>
      <c r="DG134" s="217"/>
      <c r="DH134" s="217"/>
      <c r="DI134" s="332"/>
      <c r="DJ134" s="217"/>
      <c r="DK134" s="217"/>
      <c r="DL134" s="217"/>
      <c r="DM134" s="217"/>
      <c r="DN134" s="332"/>
      <c r="DO134" s="217"/>
      <c r="DP134" s="217"/>
      <c r="DQ134" s="217"/>
      <c r="DR134" s="217"/>
      <c r="DS134" s="332"/>
      <c r="DT134" s="217"/>
      <c r="DU134" s="217"/>
      <c r="DV134" s="217"/>
      <c r="DW134" s="217"/>
      <c r="DX134" s="332"/>
      <c r="DY134" s="21"/>
      <c r="DZ134" s="21"/>
      <c r="EA134" s="21"/>
      <c r="EB134" s="15"/>
      <c r="EC134" s="15"/>
      <c r="ED134" s="670"/>
      <c r="EE134" s="670"/>
      <c r="EF134" s="670"/>
      <c r="EG134" s="670"/>
      <c r="EH134" s="670"/>
      <c r="EI134" s="670"/>
      <c r="EJ134" s="373"/>
      <c r="EK134" s="373"/>
      <c r="EL134" s="373"/>
      <c r="EM134" s="16"/>
      <c r="EN134" s="16"/>
      <c r="EU134" s="16"/>
      <c r="EV134" s="16"/>
      <c r="EW134" s="16"/>
      <c r="EX134" s="16"/>
      <c r="EY134" s="16"/>
      <c r="EZ134" s="16"/>
      <c r="FA134" s="16"/>
      <c r="FB134" s="16"/>
      <c r="FC134" s="16"/>
      <c r="FD134" s="16"/>
      <c r="FE134" s="16"/>
      <c r="FF134" s="16"/>
      <c r="FG134" s="16"/>
      <c r="FH134" s="16"/>
      <c r="FI134" s="16"/>
      <c r="FJ134" s="16"/>
    </row>
    <row r="135" spans="1:166" hidden="1" outlineLevel="1" x14ac:dyDescent="0.2">
      <c r="A135" s="170" t="s">
        <v>546</v>
      </c>
      <c r="B135" s="65"/>
      <c r="C135" s="65"/>
      <c r="D135" s="65"/>
      <c r="E135" s="65"/>
      <c r="F135" s="65"/>
      <c r="G135" s="65"/>
      <c r="H135" s="65"/>
      <c r="I135" s="65"/>
      <c r="J135" s="65"/>
      <c r="K135" s="65"/>
      <c r="L135" s="65"/>
      <c r="M135" s="65"/>
      <c r="N135" s="65"/>
      <c r="O135" s="65"/>
      <c r="P135" s="65"/>
      <c r="Q135" s="215"/>
      <c r="R135" s="65"/>
      <c r="S135" s="65"/>
      <c r="T135" s="65"/>
      <c r="U135" s="65"/>
      <c r="V135" s="215">
        <f>5+18</f>
        <v>23</v>
      </c>
      <c r="W135" s="65"/>
      <c r="X135" s="65"/>
      <c r="Y135" s="65"/>
      <c r="Z135" s="65"/>
      <c r="AA135" s="215">
        <f>6+14</f>
        <v>20</v>
      </c>
      <c r="AB135" s="65">
        <v>2</v>
      </c>
      <c r="AC135" s="65">
        <f>5-AB135</f>
        <v>3</v>
      </c>
      <c r="AD135" s="65">
        <f>9-SUM(AB135:AC135)</f>
        <v>4</v>
      </c>
      <c r="AE135" s="65">
        <f>AF135-SUM(AB135:AD135)</f>
        <v>8</v>
      </c>
      <c r="AF135" s="215">
        <v>17</v>
      </c>
      <c r="AG135" s="65">
        <v>4</v>
      </c>
      <c r="AH135" s="65">
        <f>6-AG135</f>
        <v>2</v>
      </c>
      <c r="AI135" s="65">
        <f>9-SUM(AG135:AH135)</f>
        <v>3</v>
      </c>
      <c r="AJ135" s="65">
        <f>AK135-SUM(AG135:AI135)</f>
        <v>11.8</v>
      </c>
      <c r="AK135" s="215">
        <v>20.8</v>
      </c>
      <c r="AL135" s="65">
        <v>2</v>
      </c>
      <c r="AM135" s="65">
        <f>4.4-AL135</f>
        <v>2.4000000000000004</v>
      </c>
      <c r="AN135" s="65">
        <f>14.1-SUM(AL135:AM135)</f>
        <v>9.6999999999999993</v>
      </c>
      <c r="AO135" s="65">
        <f>AP135-SUM(AL135:AN135)</f>
        <v>14.4</v>
      </c>
      <c r="AP135" s="215">
        <v>28.5</v>
      </c>
      <c r="AQ135" s="65">
        <v>5.0999999999999996</v>
      </c>
      <c r="AR135" s="65">
        <f>8.4-AQ135</f>
        <v>3.3000000000000007</v>
      </c>
      <c r="AS135" s="65">
        <f>12.1-SUM(AQ135:AR135)</f>
        <v>3.6999999999999993</v>
      </c>
      <c r="AT135" s="65">
        <f>17.5-SUM(AQ135:AS135)</f>
        <v>5.4</v>
      </c>
      <c r="AU135" s="215"/>
      <c r="AV135" s="45"/>
      <c r="AW135" s="65"/>
      <c r="AX135" s="65"/>
      <c r="AY135" s="65">
        <v>5.3</v>
      </c>
      <c r="AZ135" s="65">
        <v>5</v>
      </c>
      <c r="BA135" s="215"/>
      <c r="BB135" s="65">
        <v>0.4</v>
      </c>
      <c r="BC135" s="65">
        <f>0.6-BB135</f>
        <v>0.19999999999999996</v>
      </c>
      <c r="BD135" s="65">
        <f>4.6-SUM(BB135:BC135)</f>
        <v>3.9999999999999996</v>
      </c>
      <c r="BE135" s="65">
        <f>BF135-SUM(BB135:BD135)</f>
        <v>5</v>
      </c>
      <c r="BF135" s="215">
        <v>9.6</v>
      </c>
      <c r="BG135" s="65">
        <v>0.8</v>
      </c>
      <c r="BH135" s="65">
        <f>5.3-BG135</f>
        <v>4.5</v>
      </c>
      <c r="BI135" s="65">
        <f>13.3-SUM(BG135:BH135)</f>
        <v>8</v>
      </c>
      <c r="BJ135" s="65">
        <f>BK135-SUM(BG135:BI135)</f>
        <v>6.8000000000000007</v>
      </c>
      <c r="BK135" s="215">
        <v>20.100000000000001</v>
      </c>
      <c r="BL135" s="217"/>
      <c r="BM135" s="217"/>
      <c r="BN135" s="217"/>
      <c r="BO135" s="217"/>
      <c r="BP135" s="215">
        <v>13.2</v>
      </c>
      <c r="BQ135" s="217"/>
      <c r="BR135" s="65"/>
      <c r="BS135" s="217"/>
      <c r="BT135" s="217"/>
      <c r="BU135" s="215">
        <v>14</v>
      </c>
      <c r="BV135" s="65"/>
      <c r="BW135" s="1385"/>
      <c r="BX135" s="65"/>
      <c r="BY135" s="65"/>
      <c r="BZ135" s="215"/>
      <c r="CA135" s="65"/>
      <c r="CB135" s="65"/>
      <c r="CC135" s="65"/>
      <c r="CD135" s="65"/>
      <c r="CE135" s="215"/>
      <c r="CF135" s="65"/>
      <c r="CG135" s="65"/>
      <c r="CH135" s="65"/>
      <c r="CI135" s="65"/>
      <c r="CJ135" s="215"/>
      <c r="CK135" s="65"/>
      <c r="CL135" s="217"/>
      <c r="CM135" s="217"/>
      <c r="CN135" s="217"/>
      <c r="CO135" s="332"/>
      <c r="CP135" s="217"/>
      <c r="CQ135" s="217"/>
      <c r="CR135" s="217"/>
      <c r="CS135" s="217"/>
      <c r="CT135" s="332"/>
      <c r="CU135" s="217"/>
      <c r="CV135" s="217"/>
      <c r="CW135" s="217"/>
      <c r="CX135" s="217"/>
      <c r="CY135" s="332"/>
      <c r="CZ135" s="217"/>
      <c r="DA135" s="217"/>
      <c r="DB135" s="217"/>
      <c r="DC135" s="217"/>
      <c r="DD135" s="332"/>
      <c r="DE135" s="217"/>
      <c r="DF135" s="217"/>
      <c r="DG135" s="217"/>
      <c r="DH135" s="217"/>
      <c r="DI135" s="332"/>
      <c r="DJ135" s="217"/>
      <c r="DK135" s="217"/>
      <c r="DL135" s="217"/>
      <c r="DM135" s="217"/>
      <c r="DN135" s="332"/>
      <c r="DO135" s="217"/>
      <c r="DP135" s="217"/>
      <c r="DQ135" s="217"/>
      <c r="DR135" s="217"/>
      <c r="DS135" s="332"/>
      <c r="DT135" s="217"/>
      <c r="DU135" s="217"/>
      <c r="DV135" s="217"/>
      <c r="DW135" s="217"/>
      <c r="DX135" s="332"/>
      <c r="DY135" s="21"/>
      <c r="DZ135" s="21"/>
      <c r="EA135" s="21"/>
      <c r="EB135" s="15"/>
      <c r="EC135" s="15"/>
      <c r="ED135" s="670"/>
      <c r="EE135" s="670"/>
      <c r="EF135" s="670"/>
      <c r="EG135" s="670"/>
      <c r="EH135" s="670"/>
      <c r="EI135" s="670"/>
      <c r="EJ135" s="373"/>
      <c r="EK135" s="373"/>
      <c r="EL135" s="373"/>
      <c r="EM135" s="16"/>
      <c r="EN135" s="16"/>
      <c r="EU135" s="16"/>
      <c r="EV135" s="16"/>
      <c r="EW135" s="16"/>
      <c r="EX135" s="16"/>
      <c r="EY135" s="16"/>
      <c r="EZ135" s="16"/>
      <c r="FA135" s="16"/>
      <c r="FB135" s="16"/>
      <c r="FC135" s="16"/>
      <c r="FD135" s="16"/>
      <c r="FE135" s="16"/>
      <c r="FF135" s="16"/>
      <c r="FG135" s="16"/>
      <c r="FH135" s="16"/>
      <c r="FI135" s="16"/>
      <c r="FJ135" s="16"/>
    </row>
    <row r="136" spans="1:166" ht="3" hidden="1" customHeight="1" outlineLevel="1" x14ac:dyDescent="0.2">
      <c r="A136" s="170"/>
      <c r="B136" s="65"/>
      <c r="C136" s="65"/>
      <c r="D136" s="65"/>
      <c r="E136" s="65"/>
      <c r="F136" s="65"/>
      <c r="G136" s="65"/>
      <c r="H136" s="65"/>
      <c r="I136" s="65"/>
      <c r="J136" s="65"/>
      <c r="K136" s="65"/>
      <c r="L136" s="65"/>
      <c r="M136" s="65"/>
      <c r="N136" s="65"/>
      <c r="O136" s="65"/>
      <c r="P136" s="65"/>
      <c r="Q136" s="215"/>
      <c r="R136" s="65"/>
      <c r="S136" s="65"/>
      <c r="T136" s="65"/>
      <c r="U136" s="65"/>
      <c r="V136" s="215"/>
      <c r="W136" s="65"/>
      <c r="X136" s="65"/>
      <c r="Y136" s="65"/>
      <c r="Z136" s="65"/>
      <c r="AA136" s="215"/>
      <c r="AB136" s="65"/>
      <c r="AC136" s="65"/>
      <c r="AD136" s="65"/>
      <c r="AE136" s="65"/>
      <c r="AF136" s="215"/>
      <c r="AG136" s="65"/>
      <c r="AH136" s="65"/>
      <c r="AI136" s="65"/>
      <c r="AJ136" s="65"/>
      <c r="AK136" s="215"/>
      <c r="AL136" s="65"/>
      <c r="AM136" s="65"/>
      <c r="AN136" s="65"/>
      <c r="AO136" s="65"/>
      <c r="AP136" s="215"/>
      <c r="AQ136" s="65"/>
      <c r="AR136" s="65"/>
      <c r="AS136" s="65"/>
      <c r="AT136" s="65"/>
      <c r="AU136" s="215"/>
      <c r="AV136" s="45"/>
      <c r="AW136" s="65"/>
      <c r="AX136" s="65"/>
      <c r="AY136" s="65"/>
      <c r="AZ136" s="65"/>
      <c r="BA136" s="215"/>
      <c r="BB136" s="65"/>
      <c r="BC136" s="65"/>
      <c r="BD136" s="65"/>
      <c r="BE136" s="65"/>
      <c r="BF136" s="215"/>
      <c r="BG136" s="65"/>
      <c r="BH136" s="65"/>
      <c r="BI136" s="65"/>
      <c r="BJ136" s="65"/>
      <c r="BK136" s="215"/>
      <c r="BL136" s="217"/>
      <c r="BM136" s="217"/>
      <c r="BN136" s="217"/>
      <c r="BO136" s="217"/>
      <c r="BP136" s="215"/>
      <c r="BQ136" s="217"/>
      <c r="BR136" s="65"/>
      <c r="BS136" s="217"/>
      <c r="BT136" s="217"/>
      <c r="BU136" s="332"/>
      <c r="BV136" s="65"/>
      <c r="BW136" s="1385"/>
      <c r="BX136" s="65"/>
      <c r="BY136" s="65"/>
      <c r="BZ136" s="215"/>
      <c r="CA136" s="65"/>
      <c r="CB136" s="65"/>
      <c r="CC136" s="65"/>
      <c r="CD136" s="65"/>
      <c r="CE136" s="215"/>
      <c r="CF136" s="65"/>
      <c r="CG136" s="65"/>
      <c r="CH136" s="65"/>
      <c r="CI136" s="65"/>
      <c r="CJ136" s="215"/>
      <c r="CK136" s="65"/>
      <c r="CL136" s="217"/>
      <c r="CM136" s="217"/>
      <c r="CN136" s="217"/>
      <c r="CO136" s="332"/>
      <c r="CP136" s="217"/>
      <c r="CQ136" s="217"/>
      <c r="CR136" s="217"/>
      <c r="CS136" s="217"/>
      <c r="CT136" s="332"/>
      <c r="CU136" s="217"/>
      <c r="CV136" s="217"/>
      <c r="CW136" s="217"/>
      <c r="CX136" s="217"/>
      <c r="CY136" s="332"/>
      <c r="CZ136" s="217"/>
      <c r="DA136" s="217"/>
      <c r="DB136" s="217"/>
      <c r="DC136" s="217"/>
      <c r="DD136" s="332"/>
      <c r="DE136" s="217"/>
      <c r="DF136" s="217"/>
      <c r="DG136" s="217"/>
      <c r="DH136" s="217"/>
      <c r="DI136" s="332"/>
      <c r="DJ136" s="217"/>
      <c r="DK136" s="217"/>
      <c r="DL136" s="217"/>
      <c r="DM136" s="217"/>
      <c r="DN136" s="332"/>
      <c r="DO136" s="217"/>
      <c r="DP136" s="217"/>
      <c r="DQ136" s="217"/>
      <c r="DR136" s="217"/>
      <c r="DS136" s="332"/>
      <c r="DT136" s="217"/>
      <c r="DU136" s="217"/>
      <c r="DV136" s="217"/>
      <c r="DW136" s="217"/>
      <c r="DX136" s="332"/>
      <c r="DY136" s="21"/>
      <c r="DZ136" s="21"/>
      <c r="EA136" s="21"/>
      <c r="EB136" s="15"/>
      <c r="EC136" s="15"/>
      <c r="ED136" s="670"/>
      <c r="EE136" s="670"/>
      <c r="EF136" s="670"/>
      <c r="EG136" s="670"/>
      <c r="EH136" s="670"/>
      <c r="EI136" s="670"/>
      <c r="EJ136" s="373"/>
      <c r="EK136" s="373"/>
      <c r="EL136" s="373"/>
      <c r="EM136" s="16"/>
      <c r="EN136" s="16"/>
      <c r="EU136" s="16"/>
      <c r="EV136" s="16"/>
      <c r="EW136" s="16"/>
      <c r="EX136" s="16"/>
      <c r="EY136" s="16"/>
      <c r="EZ136" s="16"/>
      <c r="FA136" s="16"/>
      <c r="FB136" s="16"/>
      <c r="FC136" s="16"/>
      <c r="FD136" s="16"/>
      <c r="FE136" s="16"/>
      <c r="FF136" s="16"/>
      <c r="FG136" s="16"/>
      <c r="FH136" s="16"/>
      <c r="FI136" s="16"/>
      <c r="FJ136" s="16"/>
    </row>
    <row r="137" spans="1:166" s="1069" customFormat="1" hidden="1" outlineLevel="1" x14ac:dyDescent="0.2">
      <c r="A137" s="1163" t="s">
        <v>717</v>
      </c>
      <c r="B137" s="219"/>
      <c r="C137" s="219"/>
      <c r="D137" s="219"/>
      <c r="E137" s="219"/>
      <c r="F137" s="219"/>
      <c r="G137" s="219"/>
      <c r="H137" s="219"/>
      <c r="I137" s="219"/>
      <c r="J137" s="219"/>
      <c r="K137" s="219"/>
      <c r="L137" s="219"/>
      <c r="M137" s="219"/>
      <c r="N137" s="219"/>
      <c r="O137" s="219"/>
      <c r="P137" s="219"/>
      <c r="Q137" s="218"/>
      <c r="R137" s="219"/>
      <c r="S137" s="219"/>
      <c r="T137" s="219"/>
      <c r="U137" s="219"/>
      <c r="V137" s="218">
        <f>SUM(V133:V135)</f>
        <v>93</v>
      </c>
      <c r="W137" s="219"/>
      <c r="X137" s="219"/>
      <c r="Y137" s="219"/>
      <c r="Z137" s="219"/>
      <c r="AA137" s="218">
        <f t="shared" ref="AA137:AT137" si="322">SUM(AA133:AA135)</f>
        <v>85</v>
      </c>
      <c r="AB137" s="219">
        <f t="shared" si="322"/>
        <v>13</v>
      </c>
      <c r="AC137" s="219">
        <f t="shared" si="322"/>
        <v>18</v>
      </c>
      <c r="AD137" s="219">
        <f t="shared" si="322"/>
        <v>17</v>
      </c>
      <c r="AE137" s="219">
        <f t="shared" si="322"/>
        <v>39</v>
      </c>
      <c r="AF137" s="218">
        <f t="shared" si="322"/>
        <v>87</v>
      </c>
      <c r="AG137" s="219">
        <f t="shared" si="322"/>
        <v>23</v>
      </c>
      <c r="AH137" s="219">
        <f t="shared" si="322"/>
        <v>27</v>
      </c>
      <c r="AI137" s="219">
        <f t="shared" si="322"/>
        <v>38</v>
      </c>
      <c r="AJ137" s="219">
        <f t="shared" si="322"/>
        <v>90.2</v>
      </c>
      <c r="AK137" s="218">
        <f t="shared" si="322"/>
        <v>178.20000000000002</v>
      </c>
      <c r="AL137" s="219">
        <f t="shared" si="322"/>
        <v>33.299999999999997</v>
      </c>
      <c r="AM137" s="219">
        <f t="shared" si="322"/>
        <v>50.1</v>
      </c>
      <c r="AN137" s="219">
        <f t="shared" si="322"/>
        <v>41.199999999999989</v>
      </c>
      <c r="AO137" s="219">
        <f t="shared" si="322"/>
        <v>79.400000000000006</v>
      </c>
      <c r="AP137" s="218">
        <f t="shared" si="322"/>
        <v>204</v>
      </c>
      <c r="AQ137" s="219">
        <f t="shared" si="322"/>
        <v>31.200000000000003</v>
      </c>
      <c r="AR137" s="219">
        <f t="shared" si="322"/>
        <v>32.600000000000009</v>
      </c>
      <c r="AS137" s="219">
        <f t="shared" si="322"/>
        <v>26.299999999999997</v>
      </c>
      <c r="AT137" s="219">
        <f t="shared" si="322"/>
        <v>60.2</v>
      </c>
      <c r="AU137" s="218"/>
      <c r="AV137" s="49"/>
      <c r="AW137" s="219"/>
      <c r="AX137" s="219"/>
      <c r="AY137" s="219">
        <f>SUM(AY125:AY131)</f>
        <v>18.2</v>
      </c>
      <c r="AZ137" s="219">
        <f>SUM(AZ125:AZ131)</f>
        <v>28.4</v>
      </c>
      <c r="BA137" s="218"/>
      <c r="BB137" s="219">
        <f t="shared" ref="BB137:BK137" si="323">SUM(BB133:BB135)</f>
        <v>9.7000000000000011</v>
      </c>
      <c r="BC137" s="219">
        <f t="shared" si="323"/>
        <v>13.799999999999999</v>
      </c>
      <c r="BD137" s="219">
        <f t="shared" si="323"/>
        <v>18.499999999999996</v>
      </c>
      <c r="BE137" s="219">
        <f t="shared" si="323"/>
        <v>40.100000000000009</v>
      </c>
      <c r="BF137" s="218">
        <f t="shared" si="323"/>
        <v>82.1</v>
      </c>
      <c r="BG137" s="219">
        <f t="shared" si="323"/>
        <v>16.600000000000001</v>
      </c>
      <c r="BH137" s="219">
        <f t="shared" si="323"/>
        <v>-2.8000000000000007</v>
      </c>
      <c r="BI137" s="219">
        <f t="shared" si="323"/>
        <v>23.9</v>
      </c>
      <c r="BJ137" s="219">
        <f t="shared" si="323"/>
        <v>32.5</v>
      </c>
      <c r="BK137" s="218">
        <f t="shared" si="323"/>
        <v>70.2</v>
      </c>
      <c r="BL137" s="219">
        <f>-BL43</f>
        <v>7.3</v>
      </c>
      <c r="BM137" s="219">
        <f t="shared" ref="BM137:BO137" si="324">-BM43</f>
        <v>1.2999999999999998</v>
      </c>
      <c r="BN137" s="219">
        <f t="shared" si="324"/>
        <v>2.2000000000000011</v>
      </c>
      <c r="BO137" s="219">
        <f t="shared" si="324"/>
        <v>14.7</v>
      </c>
      <c r="BP137" s="218">
        <f>SUM(BP133:BP135)</f>
        <v>25.5</v>
      </c>
      <c r="BQ137" s="219">
        <f>-BQ43</f>
        <v>3.4</v>
      </c>
      <c r="BR137" s="219">
        <f t="shared" ref="BR137:BS137" si="325">-BR43</f>
        <v>3.8000000000000003</v>
      </c>
      <c r="BS137" s="219">
        <f t="shared" si="325"/>
        <v>3.4999999999999987</v>
      </c>
      <c r="BT137" s="219">
        <f>30.9-8-SUM(BQ137:BS137)</f>
        <v>12.2</v>
      </c>
      <c r="BU137" s="218">
        <f>SUM(BU133:BU135)</f>
        <v>30.9</v>
      </c>
      <c r="BV137" s="219">
        <v>4</v>
      </c>
      <c r="BW137" s="1405">
        <v>4</v>
      </c>
      <c r="BX137" s="219">
        <v>4</v>
      </c>
      <c r="BY137" s="219">
        <v>10</v>
      </c>
      <c r="BZ137" s="218">
        <f>SUM(BV137:BY137)</f>
        <v>22</v>
      </c>
      <c r="CA137" s="219">
        <f>BV137*1.03</f>
        <v>4.12</v>
      </c>
      <c r="CB137" s="219">
        <f t="shared" ref="CB137:CD137" si="326">BW137*1.03</f>
        <v>4.12</v>
      </c>
      <c r="CC137" s="219">
        <f t="shared" si="326"/>
        <v>4.12</v>
      </c>
      <c r="CD137" s="219">
        <f t="shared" si="326"/>
        <v>10.3</v>
      </c>
      <c r="CE137" s="218">
        <f>SUM(CA137:CD137)</f>
        <v>22.66</v>
      </c>
      <c r="CF137" s="219">
        <f>CA137*1.03</f>
        <v>4.2435999999999998</v>
      </c>
      <c r="CG137" s="219">
        <f t="shared" ref="CG137" si="327">CB137*1.03</f>
        <v>4.2435999999999998</v>
      </c>
      <c r="CH137" s="219">
        <f t="shared" ref="CH137" si="328">CC137*1.03</f>
        <v>4.2435999999999998</v>
      </c>
      <c r="CI137" s="219">
        <f t="shared" ref="CI137" si="329">CD137*1.03</f>
        <v>10.609000000000002</v>
      </c>
      <c r="CJ137" s="218">
        <f>SUM(CF137:CI137)</f>
        <v>23.3398</v>
      </c>
      <c r="CK137" s="219">
        <f>CF137*1.03</f>
        <v>4.370908</v>
      </c>
      <c r="CL137" s="221">
        <f t="shared" ref="CL137" si="330">CG137*1.03</f>
        <v>4.370908</v>
      </c>
      <c r="CM137" s="221">
        <f t="shared" ref="CM137" si="331">CH137*1.03</f>
        <v>4.370908</v>
      </c>
      <c r="CN137" s="221">
        <f t="shared" ref="CN137" si="332">CI137*1.03</f>
        <v>10.927270000000002</v>
      </c>
      <c r="CO137" s="218">
        <f>SUM(CK137:CN137)</f>
        <v>24.039994</v>
      </c>
      <c r="CP137" s="221">
        <f>CK137*1.03</f>
        <v>4.5020352400000005</v>
      </c>
      <c r="CQ137" s="221">
        <f t="shared" ref="CQ137" si="333">CL137*1.03</f>
        <v>4.5020352400000005</v>
      </c>
      <c r="CR137" s="221">
        <f t="shared" ref="CR137" si="334">CM137*1.03</f>
        <v>4.5020352400000005</v>
      </c>
      <c r="CS137" s="221">
        <f t="shared" ref="CS137" si="335">CN137*1.03</f>
        <v>11.255088100000002</v>
      </c>
      <c r="CT137" s="218">
        <f>SUM(CP137:CS137)</f>
        <v>24.761193820000003</v>
      </c>
      <c r="CU137" s="221">
        <f>CP137*1.03</f>
        <v>4.6370962972000003</v>
      </c>
      <c r="CV137" s="221">
        <f t="shared" ref="CV137" si="336">CQ137*1.03</f>
        <v>4.6370962972000003</v>
      </c>
      <c r="CW137" s="221">
        <f t="shared" ref="CW137" si="337">CR137*1.03</f>
        <v>4.6370962972000003</v>
      </c>
      <c r="CX137" s="221">
        <f t="shared" ref="CX137" si="338">CS137*1.03</f>
        <v>11.592740743000002</v>
      </c>
      <c r="CY137" s="218">
        <f>SUM(CU137:CX137)</f>
        <v>25.504029634600002</v>
      </c>
      <c r="CZ137" s="221">
        <f>CU137*1.03</f>
        <v>4.7762091861160005</v>
      </c>
      <c r="DA137" s="221">
        <f t="shared" ref="DA137" si="339">CV137*1.03</f>
        <v>4.7762091861160005</v>
      </c>
      <c r="DB137" s="221">
        <f t="shared" ref="DB137" si="340">CW137*1.03</f>
        <v>4.7762091861160005</v>
      </c>
      <c r="DC137" s="221">
        <f t="shared" ref="DC137" si="341">CX137*1.03</f>
        <v>11.940522965290002</v>
      </c>
      <c r="DD137" s="218">
        <f>SUM(CZ137:DC137)</f>
        <v>26.269150523638004</v>
      </c>
      <c r="DE137" s="221">
        <f>CZ137*1.03</f>
        <v>4.9194954616994808</v>
      </c>
      <c r="DF137" s="221">
        <f t="shared" ref="DF137" si="342">DA137*1.03</f>
        <v>4.9194954616994808</v>
      </c>
      <c r="DG137" s="221">
        <f t="shared" ref="DG137" si="343">DB137*1.03</f>
        <v>4.9194954616994808</v>
      </c>
      <c r="DH137" s="221">
        <f t="shared" ref="DH137" si="344">DC137*1.03</f>
        <v>12.298738654248703</v>
      </c>
      <c r="DI137" s="218">
        <f>SUM(DE137:DH137)</f>
        <v>27.057225039347145</v>
      </c>
      <c r="DJ137" s="221">
        <f>DE137*1.03</f>
        <v>5.0670803255504655</v>
      </c>
      <c r="DK137" s="221">
        <f t="shared" ref="DK137" si="345">DF137*1.03</f>
        <v>5.0670803255504655</v>
      </c>
      <c r="DL137" s="221">
        <f t="shared" ref="DL137" si="346">DG137*1.03</f>
        <v>5.0670803255504655</v>
      </c>
      <c r="DM137" s="221">
        <f t="shared" ref="DM137" si="347">DH137*1.03</f>
        <v>12.667700813876165</v>
      </c>
      <c r="DN137" s="218">
        <f>SUM(DJ137:DM137)</f>
        <v>27.868941790527561</v>
      </c>
      <c r="DO137" s="221">
        <f>DJ137*1.03</f>
        <v>5.2190927353169796</v>
      </c>
      <c r="DP137" s="221">
        <f t="shared" ref="DP137" si="348">DK137*1.03</f>
        <v>5.2190927353169796</v>
      </c>
      <c r="DQ137" s="221">
        <f t="shared" ref="DQ137" si="349">DL137*1.03</f>
        <v>5.2190927353169796</v>
      </c>
      <c r="DR137" s="221">
        <f t="shared" ref="DR137" si="350">DM137*1.03</f>
        <v>13.047731838292449</v>
      </c>
      <c r="DS137" s="218">
        <f>SUM(DO137:DR137)</f>
        <v>28.705010044243387</v>
      </c>
      <c r="DT137" s="221">
        <f>DO137*1.03</f>
        <v>5.3756655173764889</v>
      </c>
      <c r="DU137" s="221">
        <f t="shared" ref="DU137" si="351">DP137*1.03</f>
        <v>5.3756655173764889</v>
      </c>
      <c r="DV137" s="221">
        <f t="shared" ref="DV137" si="352">DQ137*1.03</f>
        <v>5.3756655173764889</v>
      </c>
      <c r="DW137" s="221">
        <f t="shared" ref="DW137" si="353">DR137*1.03</f>
        <v>13.439163793441223</v>
      </c>
      <c r="DX137" s="218">
        <f>SUM(DT137:DW137)</f>
        <v>29.566160345570687</v>
      </c>
      <c r="DY137" s="37"/>
      <c r="DZ137" s="37"/>
      <c r="EA137" s="37"/>
      <c r="EB137" s="66"/>
      <c r="EC137" s="66"/>
      <c r="ED137" s="66"/>
      <c r="EE137" s="66"/>
      <c r="EF137" s="66"/>
      <c r="EG137" s="66"/>
      <c r="EH137" s="66"/>
      <c r="EI137" s="66"/>
      <c r="EJ137" s="286"/>
      <c r="EK137" s="286"/>
      <c r="EL137" s="286"/>
      <c r="EM137" s="25"/>
      <c r="EN137" s="25"/>
      <c r="EO137"/>
      <c r="EP137"/>
      <c r="EQ137"/>
      <c r="ER137"/>
      <c r="ES137"/>
      <c r="ET137"/>
      <c r="EU137" s="25"/>
      <c r="EV137" s="25"/>
      <c r="EW137" s="25"/>
      <c r="EX137" s="25"/>
      <c r="EY137" s="25"/>
      <c r="EZ137" s="25"/>
      <c r="FA137" s="25"/>
      <c r="FB137" s="25"/>
      <c r="FC137" s="25"/>
      <c r="FD137" s="25"/>
      <c r="FE137" s="25"/>
      <c r="FF137" s="25"/>
      <c r="FG137" s="25"/>
      <c r="FH137" s="25"/>
      <c r="FI137" s="25"/>
      <c r="FJ137" s="25"/>
    </row>
    <row r="138" spans="1:166" ht="12" hidden="1" customHeight="1" outlineLevel="1" x14ac:dyDescent="0.2">
      <c r="A138" s="170"/>
      <c r="B138" s="65"/>
      <c r="C138" s="65"/>
      <c r="D138" s="65"/>
      <c r="E138" s="65"/>
      <c r="F138" s="65"/>
      <c r="G138" s="65"/>
      <c r="H138" s="65"/>
      <c r="I138" s="65"/>
      <c r="J138" s="65"/>
      <c r="K138" s="65"/>
      <c r="L138" s="65"/>
      <c r="M138" s="65"/>
      <c r="N138" s="65"/>
      <c r="O138" s="65"/>
      <c r="P138" s="65"/>
      <c r="Q138" s="215"/>
      <c r="R138" s="65"/>
      <c r="S138" s="65"/>
      <c r="T138" s="65"/>
      <c r="U138" s="65"/>
      <c r="V138" s="215"/>
      <c r="W138" s="65"/>
      <c r="X138" s="65"/>
      <c r="Y138" s="65"/>
      <c r="Z138" s="65"/>
      <c r="AA138" s="215"/>
      <c r="AB138" s="65"/>
      <c r="AC138" s="65"/>
      <c r="AD138" s="65"/>
      <c r="AE138" s="65"/>
      <c r="AF138" s="215"/>
      <c r="AG138" s="65"/>
      <c r="AH138" s="65"/>
      <c r="AI138" s="65"/>
      <c r="AJ138" s="65"/>
      <c r="AK138" s="215"/>
      <c r="AL138" s="65"/>
      <c r="AM138" s="65"/>
      <c r="AN138" s="65"/>
      <c r="AO138" s="65"/>
      <c r="AP138" s="215"/>
      <c r="AQ138" s="65"/>
      <c r="AR138" s="65"/>
      <c r="AS138" s="65"/>
      <c r="AT138" s="65"/>
      <c r="AU138" s="215"/>
      <c r="AV138" s="45"/>
      <c r="AW138" s="65"/>
      <c r="AX138" s="65"/>
      <c r="AY138" s="65"/>
      <c r="AZ138" s="65"/>
      <c r="BA138" s="215"/>
      <c r="BB138" s="65"/>
      <c r="BC138" s="65"/>
      <c r="BD138" s="65"/>
      <c r="BE138" s="65"/>
      <c r="BF138" s="215"/>
      <c r="BG138" s="65"/>
      <c r="BH138" s="65"/>
      <c r="BI138" s="65"/>
      <c r="BJ138" s="65"/>
      <c r="BK138" s="215"/>
      <c r="BL138" s="217"/>
      <c r="BM138" s="217"/>
      <c r="BN138" s="217"/>
      <c r="BO138" s="217"/>
      <c r="BP138" s="215"/>
      <c r="BQ138" s="217"/>
      <c r="BR138" s="65"/>
      <c r="BS138" s="217"/>
      <c r="BT138" s="217" t="s">
        <v>729</v>
      </c>
      <c r="BU138" s="215"/>
      <c r="BV138" s="65"/>
      <c r="BW138" s="1385"/>
      <c r="BX138" s="65"/>
      <c r="BY138" s="65"/>
      <c r="BZ138" s="215"/>
      <c r="CA138" s="65"/>
      <c r="CB138" s="65"/>
      <c r="CC138" s="65"/>
      <c r="CD138" s="65"/>
      <c r="CE138" s="215"/>
      <c r="CF138" s="65"/>
      <c r="CG138" s="65"/>
      <c r="CH138" s="65"/>
      <c r="CI138" s="65"/>
      <c r="CJ138" s="215"/>
      <c r="CK138" s="65"/>
      <c r="CL138" s="217"/>
      <c r="CM138" s="217"/>
      <c r="CN138" s="217"/>
      <c r="CO138" s="332"/>
      <c r="CP138" s="217"/>
      <c r="CQ138" s="217"/>
      <c r="CR138" s="217"/>
      <c r="CS138" s="217"/>
      <c r="CT138" s="332"/>
      <c r="CU138" s="217"/>
      <c r="CV138" s="217"/>
      <c r="CW138" s="217"/>
      <c r="CX138" s="217"/>
      <c r="CY138" s="332"/>
      <c r="CZ138" s="217"/>
      <c r="DA138" s="217"/>
      <c r="DB138" s="217"/>
      <c r="DC138" s="217"/>
      <c r="DD138" s="332"/>
      <c r="DE138" s="217"/>
      <c r="DF138" s="217"/>
      <c r="DG138" s="217"/>
      <c r="DH138" s="217"/>
      <c r="DI138" s="332"/>
      <c r="DJ138" s="217"/>
      <c r="DK138" s="217"/>
      <c r="DL138" s="217"/>
      <c r="DM138" s="217"/>
      <c r="DN138" s="332"/>
      <c r="DO138" s="217"/>
      <c r="DP138" s="217"/>
      <c r="DQ138" s="217"/>
      <c r="DR138" s="217"/>
      <c r="DS138" s="332"/>
      <c r="DT138" s="217"/>
      <c r="DU138" s="217"/>
      <c r="DV138" s="217"/>
      <c r="DW138" s="217"/>
      <c r="DX138" s="332"/>
      <c r="DY138" s="21"/>
      <c r="DZ138" s="21"/>
      <c r="EA138" s="21"/>
      <c r="EB138" s="15"/>
      <c r="EC138" s="15"/>
      <c r="ED138" s="670"/>
      <c r="EE138" s="670"/>
      <c r="EF138" s="670"/>
      <c r="EG138" s="670"/>
      <c r="EH138" s="670"/>
      <c r="EI138" s="670"/>
      <c r="EJ138" s="373"/>
      <c r="EK138" s="373"/>
      <c r="EL138" s="373"/>
      <c r="EM138" s="16"/>
      <c r="EN138" s="16"/>
      <c r="EU138" s="16"/>
      <c r="EV138" s="16"/>
      <c r="EW138" s="16"/>
      <c r="EX138" s="16"/>
      <c r="EY138" s="16"/>
      <c r="EZ138" s="16"/>
      <c r="FA138" s="16"/>
      <c r="FB138" s="16"/>
      <c r="FC138" s="16"/>
      <c r="FD138" s="16"/>
      <c r="FE138" s="16"/>
      <c r="FF138" s="16"/>
      <c r="FG138" s="16"/>
      <c r="FH138" s="16"/>
      <c r="FI138" s="16"/>
      <c r="FJ138" s="16"/>
    </row>
    <row r="139" spans="1:166" hidden="1" outlineLevel="1" x14ac:dyDescent="0.2">
      <c r="A139" s="1163" t="s">
        <v>728</v>
      </c>
      <c r="B139" s="65"/>
      <c r="C139" s="65"/>
      <c r="D139" s="65"/>
      <c r="E139" s="65"/>
      <c r="F139" s="65"/>
      <c r="G139" s="65"/>
      <c r="H139" s="65"/>
      <c r="I139" s="65"/>
      <c r="J139" s="65"/>
      <c r="K139" s="65"/>
      <c r="L139" s="65"/>
      <c r="M139" s="65"/>
      <c r="N139" s="65"/>
      <c r="O139" s="65"/>
      <c r="P139" s="65"/>
      <c r="Q139" s="215"/>
      <c r="R139" s="65"/>
      <c r="S139" s="65"/>
      <c r="T139" s="65"/>
      <c r="U139" s="65"/>
      <c r="V139" s="215"/>
      <c r="W139" s="65"/>
      <c r="X139" s="65"/>
      <c r="Y139" s="65"/>
      <c r="Z139" s="65"/>
      <c r="AA139" s="215"/>
      <c r="AB139" s="65"/>
      <c r="AC139" s="65"/>
      <c r="AD139" s="65"/>
      <c r="AE139" s="65"/>
      <c r="AF139" s="215"/>
      <c r="AG139" s="65"/>
      <c r="AH139" s="65"/>
      <c r="AI139" s="65"/>
      <c r="AJ139" s="65"/>
      <c r="AK139" s="215"/>
      <c r="AL139" s="65"/>
      <c r="AM139" s="65"/>
      <c r="AN139" s="65"/>
      <c r="AO139" s="65"/>
      <c r="AP139" s="215"/>
      <c r="AQ139" s="65"/>
      <c r="AR139" s="65"/>
      <c r="AS139" s="65"/>
      <c r="AT139" s="65"/>
      <c r="AU139" s="215"/>
      <c r="AV139" s="45"/>
      <c r="AW139" s="65"/>
      <c r="AX139" s="65"/>
      <c r="AY139" s="65"/>
      <c r="AZ139" s="65"/>
      <c r="BA139" s="215"/>
      <c r="BB139" s="65"/>
      <c r="BC139" s="65"/>
      <c r="BD139" s="65"/>
      <c r="BE139" s="65"/>
      <c r="BF139" s="215"/>
      <c r="BG139" s="65"/>
      <c r="BH139" s="65"/>
      <c r="BI139" s="65"/>
      <c r="BJ139" s="65"/>
      <c r="BK139" s="215"/>
      <c r="BL139" s="217"/>
      <c r="BM139" s="217"/>
      <c r="BN139" s="217"/>
      <c r="BO139" s="217"/>
      <c r="BP139" s="215"/>
      <c r="BQ139" s="217"/>
      <c r="BR139" s="65"/>
      <c r="BS139" s="217"/>
      <c r="BT139" s="217"/>
      <c r="BU139" s="215"/>
      <c r="BV139" s="65"/>
      <c r="BW139" s="1385"/>
      <c r="BX139" s="65"/>
      <c r="BY139" s="65"/>
      <c r="BZ139" s="215"/>
      <c r="CA139" s="65"/>
      <c r="CB139" s="65"/>
      <c r="CC139" s="65"/>
      <c r="CD139" s="65"/>
      <c r="CE139" s="215"/>
      <c r="CF139" s="65"/>
      <c r="CG139" s="65"/>
      <c r="CH139" s="65"/>
      <c r="CI139" s="65"/>
      <c r="CJ139" s="215"/>
      <c r="CK139" s="65"/>
      <c r="CL139" s="217"/>
      <c r="CM139" s="217"/>
      <c r="CN139" s="217"/>
      <c r="CO139" s="332"/>
      <c r="CP139" s="217"/>
      <c r="CQ139" s="217"/>
      <c r="CR139" s="217"/>
      <c r="CS139" s="217"/>
      <c r="CT139" s="332"/>
      <c r="CU139" s="217"/>
      <c r="CV139" s="217"/>
      <c r="CW139" s="217"/>
      <c r="CX139" s="217"/>
      <c r="CY139" s="332"/>
      <c r="CZ139" s="217"/>
      <c r="DA139" s="217"/>
      <c r="DB139" s="217"/>
      <c r="DC139" s="217"/>
      <c r="DD139" s="332"/>
      <c r="DE139" s="217"/>
      <c r="DF139" s="217"/>
      <c r="DG139" s="217"/>
      <c r="DH139" s="217"/>
      <c r="DI139" s="332"/>
      <c r="DJ139" s="217"/>
      <c r="DK139" s="217"/>
      <c r="DL139" s="217"/>
      <c r="DM139" s="217"/>
      <c r="DN139" s="332"/>
      <c r="DO139" s="217"/>
      <c r="DP139" s="217"/>
      <c r="DQ139" s="217"/>
      <c r="DR139" s="217"/>
      <c r="DS139" s="332"/>
      <c r="DT139" s="217"/>
      <c r="DU139" s="217"/>
      <c r="DV139" s="217"/>
      <c r="DW139" s="217"/>
      <c r="DX139" s="332"/>
      <c r="DY139" s="21"/>
      <c r="DZ139" s="21"/>
      <c r="EA139" s="21"/>
      <c r="EB139" s="15"/>
      <c r="EC139" s="15"/>
      <c r="ED139" s="670"/>
      <c r="EE139" s="670"/>
      <c r="EF139" s="670"/>
      <c r="EG139" s="670"/>
      <c r="EH139" s="670"/>
      <c r="EI139" s="670"/>
      <c r="EJ139" s="373"/>
      <c r="EK139" s="373"/>
      <c r="EL139" s="373"/>
      <c r="EM139" s="16"/>
      <c r="EN139" s="16"/>
      <c r="EU139" s="16"/>
      <c r="EV139" s="16"/>
      <c r="EW139" s="16"/>
      <c r="EX139" s="16"/>
      <c r="EY139" s="16"/>
      <c r="EZ139" s="16"/>
      <c r="FA139" s="16"/>
      <c r="FB139" s="16"/>
      <c r="FC139" s="16"/>
      <c r="FD139" s="16"/>
      <c r="FE139" s="16"/>
      <c r="FF139" s="16"/>
      <c r="FG139" s="16"/>
      <c r="FH139" s="16"/>
      <c r="FI139" s="16"/>
      <c r="FJ139" s="16"/>
    </row>
    <row r="140" spans="1:166" s="1066" customFormat="1" hidden="1" outlineLevel="1" x14ac:dyDescent="0.2">
      <c r="A140" s="170" t="s">
        <v>597</v>
      </c>
      <c r="B140" s="65"/>
      <c r="C140" s="65"/>
      <c r="D140" s="65"/>
      <c r="E140" s="65"/>
      <c r="F140" s="65"/>
      <c r="G140" s="65"/>
      <c r="H140" s="65"/>
      <c r="I140" s="65"/>
      <c r="J140" s="65"/>
      <c r="K140" s="65"/>
      <c r="L140" s="65"/>
      <c r="M140" s="65"/>
      <c r="N140" s="65"/>
      <c r="O140" s="65"/>
      <c r="P140" s="65"/>
      <c r="Q140" s="215"/>
      <c r="R140" s="65"/>
      <c r="S140" s="65"/>
      <c r="T140" s="65"/>
      <c r="U140" s="65"/>
      <c r="V140" s="215"/>
      <c r="W140" s="65"/>
      <c r="X140" s="65"/>
      <c r="Y140" s="65"/>
      <c r="Z140" s="65"/>
      <c r="AA140" s="215"/>
      <c r="AB140" s="65"/>
      <c r="AC140" s="65"/>
      <c r="AD140" s="65"/>
      <c r="AE140" s="65"/>
      <c r="AF140" s="215"/>
      <c r="AG140" s="65"/>
      <c r="AH140" s="65"/>
      <c r="AI140" s="65"/>
      <c r="AJ140" s="65"/>
      <c r="AK140" s="215"/>
      <c r="AL140" s="65"/>
      <c r="AM140" s="65"/>
      <c r="AN140" s="65"/>
      <c r="AO140" s="65"/>
      <c r="AP140" s="215"/>
      <c r="AQ140" s="65"/>
      <c r="AR140" s="65"/>
      <c r="AS140" s="65"/>
      <c r="AT140" s="65"/>
      <c r="AU140" s="215"/>
      <c r="AV140" s="45"/>
      <c r="AW140" s="65"/>
      <c r="AX140" s="65"/>
      <c r="AY140" s="65"/>
      <c r="AZ140" s="65"/>
      <c r="BA140" s="215"/>
      <c r="BB140" s="65"/>
      <c r="BC140" s="65"/>
      <c r="BD140" s="65"/>
      <c r="BE140" s="65"/>
      <c r="BF140" s="215"/>
      <c r="BG140" s="65"/>
      <c r="BH140" s="65"/>
      <c r="BI140" s="65"/>
      <c r="BJ140" s="65"/>
      <c r="BK140" s="215"/>
      <c r="BL140" s="65">
        <v>30.3</v>
      </c>
      <c r="BM140" s="65">
        <f>60.4-BL140</f>
        <v>30.099999999999998</v>
      </c>
      <c r="BN140" s="65">
        <f>90.7-SUM(BL140:BM140)</f>
        <v>30.300000000000004</v>
      </c>
      <c r="BO140" s="217"/>
      <c r="BP140" s="215"/>
      <c r="BQ140" s="65">
        <v>44.4</v>
      </c>
      <c r="BR140" s="65">
        <f>75.6-BQ140</f>
        <v>31.199999999999996</v>
      </c>
      <c r="BS140" s="65">
        <f>111.6-SUM(BQ140:BR140)</f>
        <v>36</v>
      </c>
      <c r="BT140" s="217"/>
      <c r="BU140" s="215"/>
      <c r="BV140" s="65"/>
      <c r="BW140" s="1385"/>
      <c r="BX140" s="65"/>
      <c r="BY140" s="65"/>
      <c r="BZ140" s="215"/>
      <c r="CA140" s="65"/>
      <c r="CB140" s="65"/>
      <c r="CC140" s="65"/>
      <c r="CD140" s="65"/>
      <c r="CE140" s="215"/>
      <c r="CF140" s="65"/>
      <c r="CG140" s="65"/>
      <c r="CH140" s="65"/>
      <c r="CI140" s="65"/>
      <c r="CJ140" s="215"/>
      <c r="CK140" s="65"/>
      <c r="CL140" s="217"/>
      <c r="CM140" s="217"/>
      <c r="CN140" s="217"/>
      <c r="CO140" s="332"/>
      <c r="CP140" s="217"/>
      <c r="CQ140" s="217"/>
      <c r="CR140" s="217"/>
      <c r="CS140" s="217"/>
      <c r="CT140" s="332"/>
      <c r="CU140" s="217"/>
      <c r="CV140" s="217"/>
      <c r="CW140" s="217"/>
      <c r="CX140" s="217"/>
      <c r="CY140" s="332"/>
      <c r="CZ140" s="217"/>
      <c r="DA140" s="217"/>
      <c r="DB140" s="217"/>
      <c r="DC140" s="217"/>
      <c r="DD140" s="332"/>
      <c r="DE140" s="217"/>
      <c r="DF140" s="217"/>
      <c r="DG140" s="217"/>
      <c r="DH140" s="217"/>
      <c r="DI140" s="332"/>
      <c r="DJ140" s="217"/>
      <c r="DK140" s="217"/>
      <c r="DL140" s="217"/>
      <c r="DM140" s="217"/>
      <c r="DN140" s="332"/>
      <c r="DO140" s="217"/>
      <c r="DP140" s="217"/>
      <c r="DQ140" s="217"/>
      <c r="DR140" s="217"/>
      <c r="DS140" s="332"/>
      <c r="DT140" s="217"/>
      <c r="DU140" s="217"/>
      <c r="DV140" s="217"/>
      <c r="DW140" s="217"/>
      <c r="DX140" s="332"/>
      <c r="DY140" s="21"/>
      <c r="DZ140" s="21"/>
      <c r="EA140" s="21"/>
      <c r="EB140" s="545"/>
      <c r="EC140" s="545"/>
      <c r="ED140" s="545"/>
      <c r="EE140" s="545"/>
      <c r="EF140" s="545"/>
      <c r="EG140" s="545"/>
      <c r="EH140" s="545"/>
      <c r="EI140" s="545"/>
      <c r="EJ140" s="398"/>
      <c r="EK140" s="398"/>
      <c r="EL140" s="398"/>
      <c r="EM140" s="16"/>
      <c r="EN140" s="16"/>
      <c r="EO140"/>
      <c r="EP140"/>
      <c r="EQ140"/>
      <c r="ER140"/>
      <c r="ES140"/>
      <c r="ET140"/>
      <c r="EU140" s="16"/>
      <c r="EV140" s="16"/>
      <c r="EW140" s="16"/>
      <c r="EX140" s="16"/>
      <c r="EY140" s="16"/>
      <c r="EZ140" s="16"/>
      <c r="FA140" s="16"/>
      <c r="FB140" s="16"/>
      <c r="FC140" s="16"/>
      <c r="FD140" s="16"/>
      <c r="FE140" s="16"/>
      <c r="FF140" s="16"/>
      <c r="FG140" s="16"/>
      <c r="FH140" s="16"/>
      <c r="FI140" s="16"/>
      <c r="FJ140" s="16"/>
    </row>
    <row r="141" spans="1:166" s="1066" customFormat="1" hidden="1" outlineLevel="1" x14ac:dyDescent="0.2">
      <c r="A141" s="170" t="s">
        <v>598</v>
      </c>
      <c r="B141" s="65"/>
      <c r="C141" s="65"/>
      <c r="D141" s="65"/>
      <c r="E141" s="65"/>
      <c r="F141" s="65"/>
      <c r="G141" s="65"/>
      <c r="H141" s="65"/>
      <c r="I141" s="65"/>
      <c r="J141" s="65"/>
      <c r="K141" s="65"/>
      <c r="L141" s="65"/>
      <c r="M141" s="65"/>
      <c r="N141" s="65"/>
      <c r="O141" s="65"/>
      <c r="P141" s="65"/>
      <c r="Q141" s="215"/>
      <c r="R141" s="65"/>
      <c r="S141" s="65"/>
      <c r="T141" s="65"/>
      <c r="U141" s="65"/>
      <c r="V141" s="215"/>
      <c r="W141" s="65"/>
      <c r="X141" s="65"/>
      <c r="Y141" s="65"/>
      <c r="Z141" s="65"/>
      <c r="AA141" s="215"/>
      <c r="AB141" s="65"/>
      <c r="AC141" s="65"/>
      <c r="AD141" s="65"/>
      <c r="AE141" s="65"/>
      <c r="AF141" s="215"/>
      <c r="AG141" s="65"/>
      <c r="AH141" s="65"/>
      <c r="AI141" s="65"/>
      <c r="AJ141" s="65"/>
      <c r="AK141" s="215"/>
      <c r="AL141" s="65"/>
      <c r="AM141" s="65"/>
      <c r="AN141" s="65"/>
      <c r="AO141" s="65"/>
      <c r="AP141" s="215"/>
      <c r="AQ141" s="65"/>
      <c r="AR141" s="65"/>
      <c r="AS141" s="65"/>
      <c r="AT141" s="65"/>
      <c r="AU141" s="215"/>
      <c r="AV141" s="45"/>
      <c r="AW141" s="65"/>
      <c r="AX141" s="65"/>
      <c r="AY141" s="65"/>
      <c r="AZ141" s="65"/>
      <c r="BA141" s="215"/>
      <c r="BB141" s="65"/>
      <c r="BC141" s="65"/>
      <c r="BD141" s="65"/>
      <c r="BE141" s="65"/>
      <c r="BF141" s="215"/>
      <c r="BG141" s="65"/>
      <c r="BH141" s="65"/>
      <c r="BI141" s="65"/>
      <c r="BJ141" s="65"/>
      <c r="BK141" s="215"/>
      <c r="BL141" s="65">
        <v>15.4</v>
      </c>
      <c r="BM141" s="65">
        <f>23.1-BL141</f>
        <v>7.7000000000000011</v>
      </c>
      <c r="BN141" s="65">
        <f>32.1-SUM(BL141:BM141)</f>
        <v>9</v>
      </c>
      <c r="BO141" s="217"/>
      <c r="BP141" s="215"/>
      <c r="BQ141" s="65">
        <v>7.1</v>
      </c>
      <c r="BR141" s="65">
        <f>12.2-BQ141</f>
        <v>5.0999999999999996</v>
      </c>
      <c r="BS141" s="65">
        <f>18.1-SUM(BQ141:BR141)</f>
        <v>5.9000000000000021</v>
      </c>
      <c r="BT141" s="217"/>
      <c r="BU141" s="215"/>
      <c r="BV141" s="65"/>
      <c r="BW141" s="1385"/>
      <c r="BX141" s="65"/>
      <c r="BY141" s="65"/>
      <c r="BZ141" s="215"/>
      <c r="CA141" s="65"/>
      <c r="CB141" s="65"/>
      <c r="CC141" s="65"/>
      <c r="CD141" s="65"/>
      <c r="CE141" s="215"/>
      <c r="CF141" s="65"/>
      <c r="CG141" s="65"/>
      <c r="CH141" s="65"/>
      <c r="CI141" s="65"/>
      <c r="CJ141" s="215"/>
      <c r="CK141" s="65"/>
      <c r="CL141" s="217"/>
      <c r="CM141" s="217"/>
      <c r="CN141" s="217"/>
      <c r="CO141" s="332"/>
      <c r="CP141" s="217"/>
      <c r="CQ141" s="217"/>
      <c r="CR141" s="217"/>
      <c r="CS141" s="217"/>
      <c r="CT141" s="332"/>
      <c r="CU141" s="217"/>
      <c r="CV141" s="217"/>
      <c r="CW141" s="217"/>
      <c r="CX141" s="217"/>
      <c r="CY141" s="332"/>
      <c r="CZ141" s="217"/>
      <c r="DA141" s="217"/>
      <c r="DB141" s="217"/>
      <c r="DC141" s="217"/>
      <c r="DD141" s="332"/>
      <c r="DE141" s="217"/>
      <c r="DF141" s="217"/>
      <c r="DG141" s="217"/>
      <c r="DH141" s="217"/>
      <c r="DI141" s="332"/>
      <c r="DJ141" s="217"/>
      <c r="DK141" s="217"/>
      <c r="DL141" s="217"/>
      <c r="DM141" s="217"/>
      <c r="DN141" s="332"/>
      <c r="DO141" s="217"/>
      <c r="DP141" s="217"/>
      <c r="DQ141" s="217"/>
      <c r="DR141" s="217"/>
      <c r="DS141" s="332"/>
      <c r="DT141" s="217"/>
      <c r="DU141" s="217"/>
      <c r="DV141" s="217"/>
      <c r="DW141" s="217"/>
      <c r="DX141" s="332"/>
      <c r="DY141" s="21"/>
      <c r="DZ141" s="21"/>
      <c r="EA141" s="21"/>
      <c r="EB141" s="545"/>
      <c r="EC141" s="545"/>
      <c r="ED141" s="545"/>
      <c r="EE141" s="545"/>
      <c r="EF141" s="545"/>
      <c r="EG141" s="545"/>
      <c r="EH141" s="545"/>
      <c r="EI141" s="545"/>
      <c r="EJ141" s="398"/>
      <c r="EK141" s="398"/>
      <c r="EL141" s="398"/>
      <c r="EM141" s="16"/>
      <c r="EN141" s="16"/>
      <c r="EO141"/>
      <c r="EP141"/>
      <c r="EQ141"/>
      <c r="ER141"/>
      <c r="ES141"/>
      <c r="ET141"/>
      <c r="EU141" s="16"/>
      <c r="EV141" s="16"/>
      <c r="EW141" s="16"/>
      <c r="EX141" s="16"/>
      <c r="EY141" s="16"/>
      <c r="EZ141" s="16"/>
      <c r="FA141" s="16"/>
      <c r="FB141" s="16"/>
      <c r="FC141" s="16"/>
      <c r="FD141" s="16"/>
      <c r="FE141" s="16"/>
      <c r="FF141" s="16"/>
      <c r="FG141" s="16"/>
      <c r="FH141" s="16"/>
      <c r="FI141" s="16"/>
      <c r="FJ141" s="16"/>
    </row>
    <row r="142" spans="1:166" s="1066" customFormat="1" hidden="1" outlineLevel="1" x14ac:dyDescent="0.2">
      <c r="A142" s="170" t="s">
        <v>727</v>
      </c>
      <c r="B142" s="65"/>
      <c r="C142" s="65"/>
      <c r="D142" s="65"/>
      <c r="E142" s="65"/>
      <c r="F142" s="65"/>
      <c r="G142" s="65"/>
      <c r="H142" s="65"/>
      <c r="I142" s="65"/>
      <c r="J142" s="65"/>
      <c r="K142" s="65"/>
      <c r="L142" s="65"/>
      <c r="M142" s="65"/>
      <c r="N142" s="65"/>
      <c r="O142" s="65"/>
      <c r="P142" s="65"/>
      <c r="Q142" s="215"/>
      <c r="R142" s="65"/>
      <c r="S142" s="65"/>
      <c r="T142" s="65"/>
      <c r="U142" s="65"/>
      <c r="V142" s="215"/>
      <c r="W142" s="65"/>
      <c r="X142" s="65"/>
      <c r="Y142" s="65"/>
      <c r="Z142" s="65"/>
      <c r="AA142" s="215"/>
      <c r="AB142" s="65"/>
      <c r="AC142" s="65"/>
      <c r="AD142" s="65"/>
      <c r="AE142" s="65"/>
      <c r="AF142" s="215"/>
      <c r="AG142" s="65"/>
      <c r="AH142" s="65"/>
      <c r="AI142" s="65"/>
      <c r="AJ142" s="65"/>
      <c r="AK142" s="215"/>
      <c r="AL142" s="65"/>
      <c r="AM142" s="65"/>
      <c r="AN142" s="65"/>
      <c r="AO142" s="65"/>
      <c r="AP142" s="215"/>
      <c r="AQ142" s="65"/>
      <c r="AR142" s="65"/>
      <c r="AS142" s="65"/>
      <c r="AT142" s="65"/>
      <c r="AU142" s="215"/>
      <c r="AV142" s="45"/>
      <c r="AW142" s="65"/>
      <c r="AX142" s="65"/>
      <c r="AY142" s="65"/>
      <c r="AZ142" s="65"/>
      <c r="BA142" s="215"/>
      <c r="BB142" s="65"/>
      <c r="BC142" s="65"/>
      <c r="BD142" s="65"/>
      <c r="BE142" s="65"/>
      <c r="BF142" s="215"/>
      <c r="BG142" s="65"/>
      <c r="BH142" s="65"/>
      <c r="BI142" s="65"/>
      <c r="BJ142" s="65"/>
      <c r="BK142" s="215"/>
      <c r="BL142" s="65">
        <v>1.8</v>
      </c>
      <c r="BM142" s="65">
        <f>4.7-BL142</f>
        <v>2.9000000000000004</v>
      </c>
      <c r="BN142" s="65">
        <f>10-SUM(BL142:BM142)</f>
        <v>5.3</v>
      </c>
      <c r="BO142" s="217"/>
      <c r="BP142" s="215"/>
      <c r="BQ142" s="65">
        <v>5.2</v>
      </c>
      <c r="BR142" s="65">
        <f>6.6-BQ142</f>
        <v>1.3999999999999995</v>
      </c>
      <c r="BS142" s="65">
        <f>9.4-SUM(BQ142:BR142)</f>
        <v>2.8000000000000007</v>
      </c>
      <c r="BT142" s="217"/>
      <c r="BU142" s="215"/>
      <c r="BV142" s="65"/>
      <c r="BW142" s="1385"/>
      <c r="BX142" s="65"/>
      <c r="BY142" s="65"/>
      <c r="BZ142" s="215"/>
      <c r="CA142" s="65"/>
      <c r="CB142" s="65"/>
      <c r="CC142" s="65"/>
      <c r="CD142" s="65"/>
      <c r="CE142" s="215"/>
      <c r="CF142" s="65"/>
      <c r="CG142" s="65"/>
      <c r="CH142" s="65"/>
      <c r="CI142" s="65"/>
      <c r="CJ142" s="215"/>
      <c r="CK142" s="65"/>
      <c r="CL142" s="217"/>
      <c r="CM142" s="217"/>
      <c r="CN142" s="217"/>
      <c r="CO142" s="332"/>
      <c r="CP142" s="217"/>
      <c r="CQ142" s="217"/>
      <c r="CR142" s="217"/>
      <c r="CS142" s="217"/>
      <c r="CT142" s="332"/>
      <c r="CU142" s="217"/>
      <c r="CV142" s="217"/>
      <c r="CW142" s="217"/>
      <c r="CX142" s="217"/>
      <c r="CY142" s="332"/>
      <c r="CZ142" s="217"/>
      <c r="DA142" s="217"/>
      <c r="DB142" s="217"/>
      <c r="DC142" s="217"/>
      <c r="DD142" s="332"/>
      <c r="DE142" s="217"/>
      <c r="DF142" s="217"/>
      <c r="DG142" s="217"/>
      <c r="DH142" s="217"/>
      <c r="DI142" s="332"/>
      <c r="DJ142" s="217"/>
      <c r="DK142" s="217"/>
      <c r="DL142" s="217"/>
      <c r="DM142" s="217"/>
      <c r="DN142" s="332"/>
      <c r="DO142" s="217"/>
      <c r="DP142" s="217"/>
      <c r="DQ142" s="217"/>
      <c r="DR142" s="217"/>
      <c r="DS142" s="332"/>
      <c r="DT142" s="217"/>
      <c r="DU142" s="217"/>
      <c r="DV142" s="217"/>
      <c r="DW142" s="217"/>
      <c r="DX142" s="332"/>
      <c r="DY142" s="21"/>
      <c r="DZ142" s="21"/>
      <c r="EA142" s="21"/>
      <c r="EB142" s="545"/>
      <c r="EC142" s="545"/>
      <c r="ED142" s="545"/>
      <c r="EE142" s="545"/>
      <c r="EF142" s="545"/>
      <c r="EG142" s="545"/>
      <c r="EH142" s="545"/>
      <c r="EI142" s="545"/>
      <c r="EJ142" s="398"/>
      <c r="EK142" s="398"/>
      <c r="EL142" s="398"/>
      <c r="EM142" s="16"/>
      <c r="EN142" s="16"/>
      <c r="EO142"/>
      <c r="EP142"/>
      <c r="EQ142"/>
      <c r="ER142"/>
      <c r="ES142"/>
      <c r="ET142"/>
      <c r="EU142" s="16"/>
      <c r="EV142" s="16"/>
      <c r="EW142" s="16"/>
      <c r="EX142" s="16"/>
      <c r="EY142" s="16"/>
      <c r="EZ142" s="16"/>
      <c r="FA142" s="16"/>
      <c r="FB142" s="16"/>
      <c r="FC142" s="16"/>
      <c r="FD142" s="16"/>
      <c r="FE142" s="16"/>
      <c r="FF142" s="16"/>
      <c r="FG142" s="16"/>
      <c r="FH142" s="16"/>
      <c r="FI142" s="16"/>
      <c r="FJ142" s="16"/>
    </row>
    <row r="143" spans="1:166" hidden="1" outlineLevel="1" x14ac:dyDescent="0.2">
      <c r="A143" s="1163"/>
      <c r="B143" s="65"/>
      <c r="C143" s="65"/>
      <c r="D143" s="65"/>
      <c r="E143" s="65"/>
      <c r="F143" s="65"/>
      <c r="G143" s="65"/>
      <c r="H143" s="65"/>
      <c r="I143" s="65"/>
      <c r="J143" s="65"/>
      <c r="K143" s="65"/>
      <c r="L143" s="65"/>
      <c r="M143" s="65"/>
      <c r="N143" s="65"/>
      <c r="O143" s="65"/>
      <c r="P143" s="65"/>
      <c r="Q143" s="215"/>
      <c r="R143" s="65"/>
      <c r="S143" s="65"/>
      <c r="T143" s="65"/>
      <c r="U143" s="65"/>
      <c r="V143" s="215"/>
      <c r="W143" s="65"/>
      <c r="X143" s="65"/>
      <c r="Y143" s="65"/>
      <c r="Z143" s="65"/>
      <c r="AA143" s="215"/>
      <c r="AB143" s="65"/>
      <c r="AC143" s="65"/>
      <c r="AD143" s="65"/>
      <c r="AE143" s="65"/>
      <c r="AF143" s="215"/>
      <c r="AG143" s="65"/>
      <c r="AH143" s="65"/>
      <c r="AI143" s="65"/>
      <c r="AJ143" s="65"/>
      <c r="AK143" s="215"/>
      <c r="AL143" s="65"/>
      <c r="AM143" s="65"/>
      <c r="AN143" s="65"/>
      <c r="AO143" s="65"/>
      <c r="AP143" s="215"/>
      <c r="AQ143" s="65"/>
      <c r="AR143" s="65"/>
      <c r="AS143" s="65"/>
      <c r="AT143" s="65"/>
      <c r="AU143" s="215"/>
      <c r="AV143" s="45"/>
      <c r="AW143" s="65"/>
      <c r="AX143" s="65"/>
      <c r="AY143" s="65"/>
      <c r="AZ143" s="65"/>
      <c r="BA143" s="215"/>
      <c r="BB143" s="65"/>
      <c r="BC143" s="65"/>
      <c r="BD143" s="65"/>
      <c r="BE143" s="65"/>
      <c r="BF143" s="215"/>
      <c r="BG143" s="65"/>
      <c r="BH143" s="65"/>
      <c r="BI143" s="65"/>
      <c r="BJ143" s="65"/>
      <c r="BK143" s="215"/>
      <c r="BL143" s="217"/>
      <c r="BM143" s="217"/>
      <c r="BN143" s="217"/>
      <c r="BO143" s="217"/>
      <c r="BP143" s="215"/>
      <c r="BQ143" s="217"/>
      <c r="BR143" s="65"/>
      <c r="BS143" s="217"/>
      <c r="BT143" s="217"/>
      <c r="BU143" s="215"/>
      <c r="BV143" s="65"/>
      <c r="BW143" s="1385"/>
      <c r="BX143" s="65"/>
      <c r="BY143" s="65"/>
      <c r="BZ143" s="215"/>
      <c r="CA143" s="65"/>
      <c r="CB143" s="65"/>
      <c r="CC143" s="65"/>
      <c r="CD143" s="65"/>
      <c r="CE143" s="215"/>
      <c r="CF143" s="65"/>
      <c r="CG143" s="65"/>
      <c r="CH143" s="65"/>
      <c r="CI143" s="65"/>
      <c r="CJ143" s="215"/>
      <c r="CK143" s="65"/>
      <c r="CL143" s="217"/>
      <c r="CM143" s="217"/>
      <c r="CN143" s="217"/>
      <c r="CO143" s="332"/>
      <c r="CP143" s="217"/>
      <c r="CQ143" s="217"/>
      <c r="CR143" s="217"/>
      <c r="CS143" s="217"/>
      <c r="CT143" s="332"/>
      <c r="CU143" s="217"/>
      <c r="CV143" s="217"/>
      <c r="CW143" s="217"/>
      <c r="CX143" s="217"/>
      <c r="CY143" s="332"/>
      <c r="CZ143" s="217"/>
      <c r="DA143" s="217"/>
      <c r="DB143" s="217"/>
      <c r="DC143" s="217"/>
      <c r="DD143" s="332"/>
      <c r="DE143" s="217"/>
      <c r="DF143" s="217"/>
      <c r="DG143" s="217"/>
      <c r="DH143" s="217"/>
      <c r="DI143" s="332"/>
      <c r="DJ143" s="217"/>
      <c r="DK143" s="217"/>
      <c r="DL143" s="217"/>
      <c r="DM143" s="217"/>
      <c r="DN143" s="332"/>
      <c r="DO143" s="217"/>
      <c r="DP143" s="217"/>
      <c r="DQ143" s="217"/>
      <c r="DR143" s="217"/>
      <c r="DS143" s="332"/>
      <c r="DT143" s="217"/>
      <c r="DU143" s="217"/>
      <c r="DV143" s="217"/>
      <c r="DW143" s="217"/>
      <c r="DX143" s="332"/>
      <c r="DY143" s="21"/>
      <c r="DZ143" s="21"/>
      <c r="EA143" s="21"/>
      <c r="EB143" s="15"/>
      <c r="EC143" s="15"/>
      <c r="ED143" s="670"/>
      <c r="EE143" s="670"/>
      <c r="EF143" s="670"/>
      <c r="EG143" s="670"/>
      <c r="EH143" s="670"/>
      <c r="EI143" s="670"/>
      <c r="EJ143" s="373"/>
      <c r="EK143" s="373"/>
      <c r="EL143" s="373"/>
      <c r="EM143" s="16"/>
      <c r="EN143" s="16"/>
      <c r="EU143" s="16"/>
      <c r="EV143" s="16"/>
      <c r="EW143" s="16"/>
      <c r="EX143" s="16"/>
      <c r="EY143" s="16"/>
      <c r="EZ143" s="16"/>
      <c r="FA143" s="16"/>
      <c r="FB143" s="16"/>
      <c r="FC143" s="16"/>
      <c r="FD143" s="16"/>
      <c r="FE143" s="16"/>
      <c r="FF143" s="16"/>
      <c r="FG143" s="16"/>
      <c r="FH143" s="16"/>
      <c r="FI143" s="16"/>
      <c r="FJ143" s="16"/>
    </row>
    <row r="144" spans="1:166" hidden="1" outlineLevel="1" x14ac:dyDescent="0.2">
      <c r="A144" s="170" t="s">
        <v>721</v>
      </c>
      <c r="B144" s="65"/>
      <c r="C144" s="65"/>
      <c r="D144" s="65"/>
      <c r="E144" s="65"/>
      <c r="F144" s="65"/>
      <c r="G144" s="65"/>
      <c r="H144" s="65"/>
      <c r="I144" s="65"/>
      <c r="J144" s="65"/>
      <c r="K144" s="65"/>
      <c r="L144" s="65"/>
      <c r="M144" s="65"/>
      <c r="N144" s="65"/>
      <c r="O144" s="65"/>
      <c r="P144" s="65"/>
      <c r="Q144" s="215"/>
      <c r="R144" s="65"/>
      <c r="S144" s="65"/>
      <c r="T144" s="65"/>
      <c r="U144" s="65"/>
      <c r="V144" s="215"/>
      <c r="W144" s="65"/>
      <c r="X144" s="65"/>
      <c r="Y144" s="65"/>
      <c r="Z144" s="65"/>
      <c r="AA144" s="215"/>
      <c r="AB144" s="65"/>
      <c r="AC144" s="65"/>
      <c r="AD144" s="65"/>
      <c r="AE144" s="65"/>
      <c r="AF144" s="215"/>
      <c r="AG144" s="65"/>
      <c r="AH144" s="65"/>
      <c r="AI144" s="65"/>
      <c r="AJ144" s="65"/>
      <c r="AK144" s="215"/>
      <c r="AL144" s="65"/>
      <c r="AM144" s="65"/>
      <c r="AN144" s="65"/>
      <c r="AO144" s="65"/>
      <c r="AP144" s="215"/>
      <c r="AQ144" s="65"/>
      <c r="AR144" s="65"/>
      <c r="AS144" s="65"/>
      <c r="AT144" s="65"/>
      <c r="AU144" s="215"/>
      <c r="AV144" s="45"/>
      <c r="AW144" s="38">
        <v>11.3</v>
      </c>
      <c r="AX144" s="38">
        <f>20.7-AW144</f>
        <v>9.3999999999999986</v>
      </c>
      <c r="AY144" s="38">
        <f>36.1-AX144-AW144</f>
        <v>15.400000000000002</v>
      </c>
      <c r="AZ144" s="38">
        <f>BA144-SUM(AW144:AY144)</f>
        <v>30.9</v>
      </c>
      <c r="BA144" s="40">
        <v>67</v>
      </c>
      <c r="BB144" s="38">
        <v>11.1</v>
      </c>
      <c r="BC144" s="38">
        <f>20.3-BB144</f>
        <v>9.2000000000000011</v>
      </c>
      <c r="BD144" s="38">
        <f>38.2-BC144-BB144</f>
        <v>17.899999999999999</v>
      </c>
      <c r="BE144" s="38">
        <f>BF144-SUM(BB144:BD144)</f>
        <v>46.099999999999994</v>
      </c>
      <c r="BF144" s="40">
        <v>84.3</v>
      </c>
      <c r="BG144" s="38">
        <v>17</v>
      </c>
      <c r="BH144" s="38">
        <f>31.7-BG144</f>
        <v>14.7</v>
      </c>
      <c r="BI144" s="38">
        <f>64.1-SUM(BG144:BH144)</f>
        <v>32.399999999999991</v>
      </c>
      <c r="BJ144" s="38">
        <f>BK144-SUM(BG144:BI144)</f>
        <v>48.900000000000006</v>
      </c>
      <c r="BK144" s="40">
        <v>113</v>
      </c>
      <c r="BL144" s="38">
        <v>22.8</v>
      </c>
      <c r="BM144" s="38">
        <f>38.9-BL144</f>
        <v>16.099999999999998</v>
      </c>
      <c r="BN144" s="38">
        <f>59.7-SUM(BL144:BM144)</f>
        <v>20.800000000000004</v>
      </c>
      <c r="BO144" s="38">
        <f>BP144-SUM(BL144:BN144)</f>
        <v>40.099999999999994</v>
      </c>
      <c r="BP144" s="40">
        <v>99.8</v>
      </c>
      <c r="BQ144" s="38">
        <v>19.100000000000001</v>
      </c>
      <c r="BR144" s="38">
        <f>34.6-BQ144</f>
        <v>15.5</v>
      </c>
      <c r="BS144" s="38">
        <f>53.5-BR144-BQ144</f>
        <v>18.899999999999999</v>
      </c>
      <c r="BT144" s="38">
        <f>BU144-SUM(BQ144:BS144)</f>
        <v>46.5</v>
      </c>
      <c r="BU144" s="675">
        <v>100</v>
      </c>
      <c r="BV144" s="65">
        <v>18</v>
      </c>
      <c r="BW144" s="1385">
        <v>18</v>
      </c>
      <c r="BX144" s="65">
        <v>18</v>
      </c>
      <c r="BY144" s="65">
        <v>75</v>
      </c>
      <c r="BZ144" s="215">
        <f>SUM(BV144:BY144)</f>
        <v>129</v>
      </c>
      <c r="CA144" s="65">
        <v>0</v>
      </c>
      <c r="CB144" s="65">
        <v>0</v>
      </c>
      <c r="CC144" s="65">
        <v>0</v>
      </c>
      <c r="CD144" s="65">
        <v>0</v>
      </c>
      <c r="CE144" s="215">
        <f>SUM(CA144:CD144)</f>
        <v>0</v>
      </c>
      <c r="CF144" s="65">
        <v>0</v>
      </c>
      <c r="CG144" s="65">
        <v>0</v>
      </c>
      <c r="CH144" s="65">
        <v>0</v>
      </c>
      <c r="CI144" s="65">
        <v>0</v>
      </c>
      <c r="CJ144" s="215">
        <f>SUM(CF144:CI144)</f>
        <v>0</v>
      </c>
      <c r="CK144" s="65"/>
      <c r="CL144" s="217">
        <f t="shared" ref="CL144:CL148" si="354">CG144*1.03</f>
        <v>0</v>
      </c>
      <c r="CM144" s="217">
        <f t="shared" ref="CM144:CM148" si="355">CH144*1.03</f>
        <v>0</v>
      </c>
      <c r="CN144" s="217">
        <f t="shared" ref="CN144:CN148" si="356">CI144*1.03</f>
        <v>0</v>
      </c>
      <c r="CO144" s="215">
        <f>SUM(CK144:CN144)</f>
        <v>0</v>
      </c>
      <c r="CP144" s="217">
        <f>CK144*1.03</f>
        <v>0</v>
      </c>
      <c r="CQ144" s="217">
        <f t="shared" ref="CQ144:CQ148" si="357">CL144*1.03</f>
        <v>0</v>
      </c>
      <c r="CR144" s="217">
        <f t="shared" ref="CR144:CR148" si="358">CM144*1.03</f>
        <v>0</v>
      </c>
      <c r="CS144" s="217">
        <f t="shared" ref="CS144:CS148" si="359">CN144*1.03</f>
        <v>0</v>
      </c>
      <c r="CT144" s="215">
        <f>SUM(CP144:CS144)</f>
        <v>0</v>
      </c>
      <c r="CU144" s="217">
        <f>CP144*1.03</f>
        <v>0</v>
      </c>
      <c r="CV144" s="217">
        <f t="shared" ref="CV144:CV148" si="360">CQ144*1.03</f>
        <v>0</v>
      </c>
      <c r="CW144" s="217">
        <f t="shared" ref="CW144:CW148" si="361">CR144*1.03</f>
        <v>0</v>
      </c>
      <c r="CX144" s="217">
        <f t="shared" ref="CX144:CX148" si="362">CS144*1.03</f>
        <v>0</v>
      </c>
      <c r="CY144" s="215">
        <f>SUM(CU144:CX144)</f>
        <v>0</v>
      </c>
      <c r="CZ144" s="217">
        <f>CU144*1.03</f>
        <v>0</v>
      </c>
      <c r="DA144" s="217">
        <f t="shared" ref="DA144:DA148" si="363">CV144*1.03</f>
        <v>0</v>
      </c>
      <c r="DB144" s="217">
        <f t="shared" ref="DB144:DB148" si="364">CW144*1.03</f>
        <v>0</v>
      </c>
      <c r="DC144" s="217">
        <f t="shared" ref="DC144:DC148" si="365">CX144*1.03</f>
        <v>0</v>
      </c>
      <c r="DD144" s="215">
        <f>SUM(CZ144:DC144)</f>
        <v>0</v>
      </c>
      <c r="DE144" s="217">
        <f>CZ144*1.03</f>
        <v>0</v>
      </c>
      <c r="DF144" s="217">
        <f t="shared" ref="DF144:DF148" si="366">DA144*1.03</f>
        <v>0</v>
      </c>
      <c r="DG144" s="217">
        <f t="shared" ref="DG144:DG148" si="367">DB144*1.03</f>
        <v>0</v>
      </c>
      <c r="DH144" s="217">
        <f t="shared" ref="DH144:DH148" si="368">DC144*1.03</f>
        <v>0</v>
      </c>
      <c r="DI144" s="215">
        <f>SUM(DE144:DH144)</f>
        <v>0</v>
      </c>
      <c r="DJ144" s="217">
        <f>DE144*1.03</f>
        <v>0</v>
      </c>
      <c r="DK144" s="217">
        <f t="shared" ref="DK144:DK148" si="369">DF144*1.03</f>
        <v>0</v>
      </c>
      <c r="DL144" s="217">
        <f t="shared" ref="DL144:DL148" si="370">DG144*1.03</f>
        <v>0</v>
      </c>
      <c r="DM144" s="217">
        <f t="shared" ref="DM144:DM148" si="371">DH144*1.03</f>
        <v>0</v>
      </c>
      <c r="DN144" s="215">
        <f>SUM(DJ144:DM144)</f>
        <v>0</v>
      </c>
      <c r="DO144" s="217">
        <f>DJ144*1.03</f>
        <v>0</v>
      </c>
      <c r="DP144" s="217">
        <f t="shared" ref="DP144:DP148" si="372">DK144*1.03</f>
        <v>0</v>
      </c>
      <c r="DQ144" s="217">
        <f t="shared" ref="DQ144:DQ148" si="373">DL144*1.03</f>
        <v>0</v>
      </c>
      <c r="DR144" s="217">
        <f t="shared" ref="DR144:DR148" si="374">DM144*1.03</f>
        <v>0</v>
      </c>
      <c r="DS144" s="215">
        <f>SUM(DO144:DR144)</f>
        <v>0</v>
      </c>
      <c r="DT144" s="217">
        <f>DO144*1.03</f>
        <v>0</v>
      </c>
      <c r="DU144" s="217">
        <f t="shared" ref="DU144:DU148" si="375">DP144*1.03</f>
        <v>0</v>
      </c>
      <c r="DV144" s="217">
        <f t="shared" ref="DV144:DV148" si="376">DQ144*1.03</f>
        <v>0</v>
      </c>
      <c r="DW144" s="217">
        <f t="shared" ref="DW144:DW148" si="377">DR144*1.03</f>
        <v>0</v>
      </c>
      <c r="DX144" s="215">
        <f>SUM(DT144:DW144)</f>
        <v>0</v>
      </c>
      <c r="DY144" s="21"/>
      <c r="DZ144" s="21"/>
      <c r="EA144" s="21"/>
      <c r="EB144" s="15"/>
      <c r="EC144" s="15"/>
      <c r="ED144" s="670"/>
      <c r="EE144" s="670"/>
      <c r="EF144" s="670"/>
      <c r="EG144" s="670"/>
      <c r="EH144" s="670"/>
      <c r="EI144" s="670"/>
      <c r="EJ144" s="373"/>
      <c r="EK144" s="373"/>
      <c r="EL144" s="373"/>
      <c r="EM144" s="16"/>
      <c r="EN144" s="16"/>
      <c r="EU144" s="16"/>
      <c r="EV144" s="16"/>
      <c r="EW144" s="16"/>
      <c r="EX144" s="16"/>
      <c r="EY144" s="16"/>
      <c r="EZ144" s="16"/>
      <c r="FA144" s="16"/>
      <c r="FB144" s="16"/>
      <c r="FC144" s="16"/>
      <c r="FD144" s="16"/>
      <c r="FE144" s="16"/>
      <c r="FF144" s="16"/>
      <c r="FG144" s="16"/>
      <c r="FH144" s="16"/>
      <c r="FI144" s="16"/>
      <c r="FJ144" s="16"/>
    </row>
    <row r="145" spans="1:166" hidden="1" outlineLevel="1" x14ac:dyDescent="0.2">
      <c r="A145" s="170" t="s">
        <v>723</v>
      </c>
      <c r="B145" s="65"/>
      <c r="C145" s="65"/>
      <c r="D145" s="65"/>
      <c r="E145" s="65"/>
      <c r="F145" s="65"/>
      <c r="G145" s="65"/>
      <c r="H145" s="65"/>
      <c r="I145" s="65"/>
      <c r="J145" s="65"/>
      <c r="K145" s="65"/>
      <c r="L145" s="65"/>
      <c r="M145" s="65"/>
      <c r="N145" s="65"/>
      <c r="O145" s="65"/>
      <c r="P145" s="65"/>
      <c r="Q145" s="215"/>
      <c r="R145" s="65"/>
      <c r="S145" s="65"/>
      <c r="T145" s="65"/>
      <c r="U145" s="65"/>
      <c r="V145" s="215"/>
      <c r="W145" s="65"/>
      <c r="X145" s="65"/>
      <c r="Y145" s="65"/>
      <c r="Z145" s="65"/>
      <c r="AA145" s="215"/>
      <c r="AB145" s="65"/>
      <c r="AC145" s="65"/>
      <c r="AD145" s="65"/>
      <c r="AE145" s="65"/>
      <c r="AF145" s="215"/>
      <c r="AG145" s="65"/>
      <c r="AH145" s="65"/>
      <c r="AI145" s="65"/>
      <c r="AJ145" s="65"/>
      <c r="AK145" s="215"/>
      <c r="AL145" s="65"/>
      <c r="AM145" s="65"/>
      <c r="AN145" s="65"/>
      <c r="AO145" s="65"/>
      <c r="AP145" s="215"/>
      <c r="AQ145" s="65"/>
      <c r="AR145" s="65"/>
      <c r="AS145" s="65"/>
      <c r="AT145" s="65"/>
      <c r="AU145" s="215"/>
      <c r="AV145" s="45"/>
      <c r="AW145" s="38">
        <v>7.6</v>
      </c>
      <c r="AX145" s="38">
        <f>16.3-AW145</f>
        <v>8.7000000000000011</v>
      </c>
      <c r="AY145" s="38">
        <f>26.2-AX145-AW145</f>
        <v>9.9</v>
      </c>
      <c r="AZ145" s="38">
        <f>BA145-SUM(AW145:AY145)</f>
        <v>12.699999999999996</v>
      </c>
      <c r="BA145" s="40">
        <v>38.9</v>
      </c>
      <c r="BB145" s="38">
        <v>7.8</v>
      </c>
      <c r="BC145" s="38">
        <f>13.1-BB145</f>
        <v>5.3</v>
      </c>
      <c r="BD145" s="38">
        <f>22.4-BC145-BB145</f>
        <v>9.2999999999999972</v>
      </c>
      <c r="BE145" s="38">
        <f>BF145-SUM(BB145:BD145)</f>
        <v>27.6</v>
      </c>
      <c r="BF145" s="40">
        <v>50</v>
      </c>
      <c r="BG145" s="38">
        <v>13.6</v>
      </c>
      <c r="BH145" s="38">
        <f>27.3-BG145</f>
        <v>13.700000000000001</v>
      </c>
      <c r="BI145" s="38">
        <f>33-SUM(BG145:BH145)</f>
        <v>5.6999999999999993</v>
      </c>
      <c r="BJ145" s="38">
        <f>BK145-SUM(BG145:BI145)</f>
        <v>18.399999999999999</v>
      </c>
      <c r="BK145" s="40">
        <v>51.4</v>
      </c>
      <c r="BL145" s="38">
        <v>19</v>
      </c>
      <c r="BM145" s="38">
        <f>36.6-BL145</f>
        <v>17.600000000000001</v>
      </c>
      <c r="BN145" s="38">
        <f>59.3-SUM(BL145:BM145)</f>
        <v>22.699999999999996</v>
      </c>
      <c r="BO145" s="38">
        <f>BP145-SUM(BL145:BN145)</f>
        <v>39.400000000000006</v>
      </c>
      <c r="BP145" s="40">
        <v>98.7</v>
      </c>
      <c r="BQ145" s="38">
        <v>31.6</v>
      </c>
      <c r="BR145" s="38">
        <f>51.3-BQ145</f>
        <v>19.699999999999996</v>
      </c>
      <c r="BS145" s="38">
        <f>73.1-BR145-BQ145</f>
        <v>21.799999999999997</v>
      </c>
      <c r="BT145" s="38">
        <f>BU145-SUM(BQ145:BS145)</f>
        <v>26.900000000000006</v>
      </c>
      <c r="BU145" s="675">
        <v>100</v>
      </c>
      <c r="BV145" s="65">
        <v>20</v>
      </c>
      <c r="BW145" s="1385">
        <v>18</v>
      </c>
      <c r="BX145" s="65">
        <v>15</v>
      </c>
      <c r="BY145" s="65">
        <v>13</v>
      </c>
      <c r="BZ145" s="215">
        <f t="shared" ref="BZ145" si="378">SUM(BV145:BY145)</f>
        <v>66</v>
      </c>
      <c r="CA145" s="65">
        <v>2</v>
      </c>
      <c r="CB145" s="65">
        <v>2</v>
      </c>
      <c r="CC145" s="65">
        <v>5</v>
      </c>
      <c r="CD145" s="65">
        <v>5</v>
      </c>
      <c r="CE145" s="215">
        <f t="shared" ref="CE145" si="379">SUM(CA145:CD145)</f>
        <v>14</v>
      </c>
      <c r="CF145" s="65">
        <v>2</v>
      </c>
      <c r="CG145" s="65">
        <v>2</v>
      </c>
      <c r="CH145" s="65">
        <v>5</v>
      </c>
      <c r="CI145" s="65">
        <v>5</v>
      </c>
      <c r="CJ145" s="215">
        <f t="shared" ref="CJ145" si="380">SUM(CF145:CI145)</f>
        <v>14</v>
      </c>
      <c r="CK145" s="65">
        <f t="shared" ref="CK145:CK148" si="381">CF145*1.03</f>
        <v>2.06</v>
      </c>
      <c r="CL145" s="217">
        <f t="shared" si="354"/>
        <v>2.06</v>
      </c>
      <c r="CM145" s="217">
        <f t="shared" si="355"/>
        <v>5.15</v>
      </c>
      <c r="CN145" s="217">
        <f t="shared" si="356"/>
        <v>5.15</v>
      </c>
      <c r="CO145" s="215">
        <f t="shared" ref="CO145" si="382">SUM(CK145:CN145)</f>
        <v>14.42</v>
      </c>
      <c r="CP145" s="217">
        <f t="shared" ref="CP145:CP148" si="383">CK145*1.03</f>
        <v>2.1217999999999999</v>
      </c>
      <c r="CQ145" s="217">
        <f t="shared" si="357"/>
        <v>2.1217999999999999</v>
      </c>
      <c r="CR145" s="217">
        <f t="shared" si="358"/>
        <v>5.3045000000000009</v>
      </c>
      <c r="CS145" s="217">
        <f t="shared" si="359"/>
        <v>5.3045000000000009</v>
      </c>
      <c r="CT145" s="215">
        <f t="shared" ref="CT145" si="384">SUM(CP145:CS145)</f>
        <v>14.852600000000002</v>
      </c>
      <c r="CU145" s="217">
        <f t="shared" ref="CU145:CU148" si="385">CP145*1.03</f>
        <v>2.185454</v>
      </c>
      <c r="CV145" s="217">
        <f t="shared" si="360"/>
        <v>2.185454</v>
      </c>
      <c r="CW145" s="217">
        <f t="shared" si="361"/>
        <v>5.4636350000000009</v>
      </c>
      <c r="CX145" s="217">
        <f t="shared" si="362"/>
        <v>5.4636350000000009</v>
      </c>
      <c r="CY145" s="215">
        <f t="shared" ref="CY145" si="386">SUM(CU145:CX145)</f>
        <v>15.298178</v>
      </c>
      <c r="CZ145" s="217">
        <f t="shared" ref="CZ145:CZ148" si="387">CU145*1.03</f>
        <v>2.2510176200000003</v>
      </c>
      <c r="DA145" s="217">
        <f t="shared" si="363"/>
        <v>2.2510176200000003</v>
      </c>
      <c r="DB145" s="217">
        <f t="shared" si="364"/>
        <v>5.6275440500000009</v>
      </c>
      <c r="DC145" s="217">
        <f t="shared" si="365"/>
        <v>5.6275440500000009</v>
      </c>
      <c r="DD145" s="215">
        <f t="shared" ref="DD145" si="388">SUM(CZ145:DC145)</f>
        <v>15.757123340000003</v>
      </c>
      <c r="DE145" s="217">
        <f t="shared" ref="DE145:DE148" si="389">CZ145*1.03</f>
        <v>2.3185481486000001</v>
      </c>
      <c r="DF145" s="217">
        <f t="shared" si="366"/>
        <v>2.3185481486000001</v>
      </c>
      <c r="DG145" s="217">
        <f t="shared" si="367"/>
        <v>5.796370371500001</v>
      </c>
      <c r="DH145" s="217">
        <f t="shared" si="368"/>
        <v>5.796370371500001</v>
      </c>
      <c r="DI145" s="215">
        <f t="shared" ref="DI145" si="390">SUM(DE145:DH145)</f>
        <v>16.229837040200003</v>
      </c>
      <c r="DJ145" s="217">
        <f t="shared" ref="DJ145:DJ148" si="391">DE145*1.03</f>
        <v>2.3881045930580003</v>
      </c>
      <c r="DK145" s="217">
        <f t="shared" si="369"/>
        <v>2.3881045930580003</v>
      </c>
      <c r="DL145" s="217">
        <f t="shared" si="370"/>
        <v>5.9702614826450011</v>
      </c>
      <c r="DM145" s="217">
        <f t="shared" si="371"/>
        <v>5.9702614826450011</v>
      </c>
      <c r="DN145" s="215">
        <f t="shared" ref="DN145" si="392">SUM(DJ145:DM145)</f>
        <v>16.716732151406003</v>
      </c>
      <c r="DO145" s="217">
        <f t="shared" ref="DO145:DO148" si="393">DJ145*1.03</f>
        <v>2.4597477308497404</v>
      </c>
      <c r="DP145" s="217">
        <f t="shared" si="372"/>
        <v>2.4597477308497404</v>
      </c>
      <c r="DQ145" s="217">
        <f t="shared" si="373"/>
        <v>6.1493693271243517</v>
      </c>
      <c r="DR145" s="217">
        <f t="shared" si="374"/>
        <v>6.1493693271243517</v>
      </c>
      <c r="DS145" s="215">
        <f t="shared" ref="DS145" si="394">SUM(DO145:DR145)</f>
        <v>17.218234115948185</v>
      </c>
      <c r="DT145" s="217">
        <f t="shared" ref="DT145:DT148" si="395">DO145*1.03</f>
        <v>2.5335401627752328</v>
      </c>
      <c r="DU145" s="217">
        <f t="shared" si="375"/>
        <v>2.5335401627752328</v>
      </c>
      <c r="DV145" s="217">
        <f t="shared" si="376"/>
        <v>6.3338504069380823</v>
      </c>
      <c r="DW145" s="217">
        <f t="shared" si="377"/>
        <v>6.3338504069380823</v>
      </c>
      <c r="DX145" s="215">
        <f t="shared" ref="DX145" si="396">SUM(DT145:DW145)</f>
        <v>17.73478113942663</v>
      </c>
      <c r="DY145" s="21"/>
      <c r="DZ145" s="21"/>
      <c r="EA145" s="21"/>
      <c r="EB145" s="15"/>
      <c r="EC145" s="15"/>
      <c r="ED145" s="670"/>
      <c r="EE145" s="670"/>
      <c r="EF145" s="670"/>
      <c r="EG145" s="670"/>
      <c r="EH145" s="670"/>
      <c r="EI145" s="670"/>
      <c r="EJ145" s="373"/>
      <c r="EK145" s="373"/>
      <c r="EL145" s="373"/>
      <c r="EM145" s="16"/>
      <c r="EN145" s="16"/>
      <c r="EU145" s="16"/>
      <c r="EV145" s="16"/>
      <c r="EW145" s="16"/>
      <c r="EX145" s="16"/>
      <c r="EY145" s="16"/>
      <c r="EZ145" s="16"/>
      <c r="FA145" s="16"/>
      <c r="FB145" s="16"/>
      <c r="FC145" s="16"/>
      <c r="FD145" s="16"/>
      <c r="FE145" s="16"/>
      <c r="FF145" s="16"/>
      <c r="FG145" s="16"/>
      <c r="FH145" s="16"/>
      <c r="FI145" s="16"/>
      <c r="FJ145" s="16"/>
    </row>
    <row r="146" spans="1:166" hidden="1" outlineLevel="1" x14ac:dyDescent="0.2">
      <c r="A146" s="170" t="s">
        <v>724</v>
      </c>
      <c r="B146" s="65"/>
      <c r="C146" s="65"/>
      <c r="D146" s="65"/>
      <c r="E146" s="65"/>
      <c r="F146" s="65"/>
      <c r="G146" s="65"/>
      <c r="H146" s="65"/>
      <c r="I146" s="65"/>
      <c r="J146" s="65"/>
      <c r="K146" s="65"/>
      <c r="L146" s="65"/>
      <c r="M146" s="65"/>
      <c r="N146" s="65"/>
      <c r="O146" s="65"/>
      <c r="P146" s="65"/>
      <c r="Q146" s="215"/>
      <c r="R146" s="65"/>
      <c r="S146" s="65"/>
      <c r="T146" s="65"/>
      <c r="U146" s="65"/>
      <c r="V146" s="215"/>
      <c r="W146" s="65"/>
      <c r="X146" s="65"/>
      <c r="Y146" s="65"/>
      <c r="Z146" s="65"/>
      <c r="AA146" s="215"/>
      <c r="AB146" s="65"/>
      <c r="AC146" s="65"/>
      <c r="AD146" s="65"/>
      <c r="AE146" s="65"/>
      <c r="AF146" s="215"/>
      <c r="AG146" s="65"/>
      <c r="AH146" s="65"/>
      <c r="AI146" s="65"/>
      <c r="AJ146" s="65"/>
      <c r="AK146" s="215"/>
      <c r="AL146" s="65"/>
      <c r="AM146" s="65"/>
      <c r="AN146" s="65"/>
      <c r="AO146" s="65"/>
      <c r="AP146" s="215"/>
      <c r="AQ146" s="65"/>
      <c r="AR146" s="65"/>
      <c r="AS146" s="65"/>
      <c r="AT146" s="65"/>
      <c r="AU146" s="215"/>
      <c r="AV146" s="45"/>
      <c r="AW146" s="38">
        <v>0</v>
      </c>
      <c r="AX146" s="38">
        <f>1.3-AW146+2.5</f>
        <v>3.8</v>
      </c>
      <c r="AY146" s="38">
        <f>4.6+1.3-AX146-AW146</f>
        <v>2.0999999999999996</v>
      </c>
      <c r="AZ146" s="38">
        <f>BA146-SUM(AW146:AY146)</f>
        <v>5.700000000000002</v>
      </c>
      <c r="BA146" s="40">
        <f>10.3+1.3</f>
        <v>11.600000000000001</v>
      </c>
      <c r="BB146" s="38">
        <v>7.2</v>
      </c>
      <c r="BC146" s="38">
        <f>13.1-BB146</f>
        <v>5.8999999999999995</v>
      </c>
      <c r="BD146" s="38">
        <f>22-BC146-BB146</f>
        <v>8.9000000000000021</v>
      </c>
      <c r="BE146" s="38">
        <f>BF146-SUM(BB146:BD146)</f>
        <v>2.3999999999999986</v>
      </c>
      <c r="BF146" s="40">
        <v>24.4</v>
      </c>
      <c r="BG146" s="38">
        <v>0.4</v>
      </c>
      <c r="BH146" s="38">
        <f>0.5-BG146</f>
        <v>9.9999999999999978E-2</v>
      </c>
      <c r="BI146" s="38">
        <f>1.3-SUM(BG146:BH146)</f>
        <v>0.8</v>
      </c>
      <c r="BJ146" s="38">
        <f>BK146-SUM(BG146:BI146)</f>
        <v>-0.19999999999999996</v>
      </c>
      <c r="BK146" s="40">
        <v>1.1000000000000001</v>
      </c>
      <c r="BL146" s="38">
        <v>0</v>
      </c>
      <c r="BM146" s="38">
        <v>0</v>
      </c>
      <c r="BN146" s="38">
        <v>0</v>
      </c>
      <c r="BO146" s="38">
        <f>BP146-SUM(BL146:BN146)</f>
        <v>0</v>
      </c>
      <c r="BP146" s="40">
        <v>0</v>
      </c>
      <c r="BQ146" s="38">
        <v>0</v>
      </c>
      <c r="BR146" s="38">
        <v>0</v>
      </c>
      <c r="BS146" s="38">
        <v>0</v>
      </c>
      <c r="BT146" s="38">
        <v>0</v>
      </c>
      <c r="BU146" s="675">
        <v>0</v>
      </c>
      <c r="BV146" s="65">
        <v>0</v>
      </c>
      <c r="BW146" s="1385">
        <v>0</v>
      </c>
      <c r="BX146" s="65">
        <v>0</v>
      </c>
      <c r="BY146" s="65">
        <v>0</v>
      </c>
      <c r="BZ146" s="40">
        <v>0</v>
      </c>
      <c r="CA146" s="65">
        <v>0</v>
      </c>
      <c r="CB146" s="65">
        <v>0</v>
      </c>
      <c r="CC146" s="65">
        <v>0</v>
      </c>
      <c r="CD146" s="65">
        <v>0</v>
      </c>
      <c r="CE146" s="40">
        <v>0</v>
      </c>
      <c r="CF146" s="65">
        <f t="shared" ref="CF146:CF147" si="397">CA146*1.03</f>
        <v>0</v>
      </c>
      <c r="CG146" s="65">
        <f t="shared" ref="CG146:CG147" si="398">CB146*1.03</f>
        <v>0</v>
      </c>
      <c r="CH146" s="65">
        <f t="shared" ref="CH146:CH147" si="399">CC146*1.03</f>
        <v>0</v>
      </c>
      <c r="CI146" s="65">
        <f t="shared" ref="CI146:CI147" si="400">CD146*1.03</f>
        <v>0</v>
      </c>
      <c r="CJ146" s="40">
        <v>0</v>
      </c>
      <c r="CK146" s="65">
        <f t="shared" si="381"/>
        <v>0</v>
      </c>
      <c r="CL146" s="217">
        <f t="shared" si="354"/>
        <v>0</v>
      </c>
      <c r="CM146" s="217">
        <f t="shared" si="355"/>
        <v>0</v>
      </c>
      <c r="CN146" s="217">
        <f t="shared" si="356"/>
        <v>0</v>
      </c>
      <c r="CO146" s="40">
        <v>0</v>
      </c>
      <c r="CP146" s="217">
        <f t="shared" si="383"/>
        <v>0</v>
      </c>
      <c r="CQ146" s="217">
        <f t="shared" si="357"/>
        <v>0</v>
      </c>
      <c r="CR146" s="217">
        <f t="shared" si="358"/>
        <v>0</v>
      </c>
      <c r="CS146" s="217">
        <f t="shared" si="359"/>
        <v>0</v>
      </c>
      <c r="CT146" s="40">
        <v>0</v>
      </c>
      <c r="CU146" s="217">
        <f t="shared" si="385"/>
        <v>0</v>
      </c>
      <c r="CV146" s="217">
        <f t="shared" si="360"/>
        <v>0</v>
      </c>
      <c r="CW146" s="217">
        <f t="shared" si="361"/>
        <v>0</v>
      </c>
      <c r="CX146" s="217">
        <f t="shared" si="362"/>
        <v>0</v>
      </c>
      <c r="CY146" s="40">
        <v>0</v>
      </c>
      <c r="CZ146" s="217">
        <f t="shared" si="387"/>
        <v>0</v>
      </c>
      <c r="DA146" s="217">
        <f t="shared" si="363"/>
        <v>0</v>
      </c>
      <c r="DB146" s="217">
        <f t="shared" si="364"/>
        <v>0</v>
      </c>
      <c r="DC146" s="217">
        <f t="shared" si="365"/>
        <v>0</v>
      </c>
      <c r="DD146" s="40">
        <v>0</v>
      </c>
      <c r="DE146" s="217">
        <f t="shared" si="389"/>
        <v>0</v>
      </c>
      <c r="DF146" s="217">
        <f t="shared" si="366"/>
        <v>0</v>
      </c>
      <c r="DG146" s="217">
        <f t="shared" si="367"/>
        <v>0</v>
      </c>
      <c r="DH146" s="217">
        <f t="shared" si="368"/>
        <v>0</v>
      </c>
      <c r="DI146" s="40">
        <v>0</v>
      </c>
      <c r="DJ146" s="217">
        <f t="shared" si="391"/>
        <v>0</v>
      </c>
      <c r="DK146" s="217">
        <f t="shared" si="369"/>
        <v>0</v>
      </c>
      <c r="DL146" s="217">
        <f t="shared" si="370"/>
        <v>0</v>
      </c>
      <c r="DM146" s="217">
        <f t="shared" si="371"/>
        <v>0</v>
      </c>
      <c r="DN146" s="40">
        <v>0</v>
      </c>
      <c r="DO146" s="217">
        <f t="shared" si="393"/>
        <v>0</v>
      </c>
      <c r="DP146" s="217">
        <f t="shared" si="372"/>
        <v>0</v>
      </c>
      <c r="DQ146" s="217">
        <f t="shared" si="373"/>
        <v>0</v>
      </c>
      <c r="DR146" s="217">
        <f t="shared" si="374"/>
        <v>0</v>
      </c>
      <c r="DS146" s="40">
        <v>0</v>
      </c>
      <c r="DT146" s="217">
        <f t="shared" si="395"/>
        <v>0</v>
      </c>
      <c r="DU146" s="217">
        <f t="shared" si="375"/>
        <v>0</v>
      </c>
      <c r="DV146" s="217">
        <f t="shared" si="376"/>
        <v>0</v>
      </c>
      <c r="DW146" s="217">
        <f t="shared" si="377"/>
        <v>0</v>
      </c>
      <c r="DX146" s="40">
        <v>0</v>
      </c>
      <c r="DY146" s="21"/>
      <c r="DZ146" s="21"/>
      <c r="EA146" s="21"/>
      <c r="EB146" s="15"/>
      <c r="EC146" s="15"/>
      <c r="ED146" s="670"/>
      <c r="EE146" s="670"/>
      <c r="EF146" s="670"/>
      <c r="EG146" s="670"/>
      <c r="EH146" s="670"/>
      <c r="EI146" s="670"/>
      <c r="EJ146" s="373"/>
      <c r="EK146" s="373"/>
      <c r="EL146" s="373"/>
      <c r="EM146" s="16"/>
      <c r="EN146" s="16"/>
      <c r="EU146" s="16"/>
      <c r="EV146" s="16"/>
      <c r="EW146" s="16"/>
      <c r="EX146" s="16"/>
      <c r="EY146" s="16"/>
      <c r="EZ146" s="16"/>
      <c r="FA146" s="16"/>
      <c r="FB146" s="16"/>
      <c r="FC146" s="16"/>
      <c r="FD146" s="16"/>
      <c r="FE146" s="16"/>
      <c r="FF146" s="16"/>
      <c r="FG146" s="16"/>
      <c r="FH146" s="16"/>
      <c r="FI146" s="16"/>
      <c r="FJ146" s="16"/>
    </row>
    <row r="147" spans="1:166" hidden="1" outlineLevel="1" x14ac:dyDescent="0.2">
      <c r="A147" s="170" t="s">
        <v>725</v>
      </c>
      <c r="B147" s="65"/>
      <c r="C147" s="65"/>
      <c r="D147" s="65"/>
      <c r="E147" s="65"/>
      <c r="F147" s="65"/>
      <c r="G147" s="65"/>
      <c r="H147" s="65"/>
      <c r="I147" s="65"/>
      <c r="J147" s="65"/>
      <c r="K147" s="65"/>
      <c r="L147" s="65"/>
      <c r="M147" s="65"/>
      <c r="N147" s="65"/>
      <c r="O147" s="65"/>
      <c r="P147" s="65"/>
      <c r="Q147" s="215"/>
      <c r="R147" s="65"/>
      <c r="S147" s="65"/>
      <c r="T147" s="65"/>
      <c r="U147" s="65"/>
      <c r="V147" s="215"/>
      <c r="W147" s="65"/>
      <c r="X147" s="65"/>
      <c r="Y147" s="65"/>
      <c r="Z147" s="65"/>
      <c r="AA147" s="215"/>
      <c r="AB147" s="65"/>
      <c r="AC147" s="65"/>
      <c r="AD147" s="65"/>
      <c r="AE147" s="65"/>
      <c r="AF147" s="215"/>
      <c r="AG147" s="65"/>
      <c r="AH147" s="65"/>
      <c r="AI147" s="65"/>
      <c r="AJ147" s="65"/>
      <c r="AK147" s="215"/>
      <c r="AL147" s="65"/>
      <c r="AM147" s="65"/>
      <c r="AN147" s="65"/>
      <c r="AO147" s="65"/>
      <c r="AP147" s="215"/>
      <c r="AQ147" s="65"/>
      <c r="AR147" s="65"/>
      <c r="AS147" s="65"/>
      <c r="AT147" s="65"/>
      <c r="AU147" s="215"/>
      <c r="AV147" s="45"/>
      <c r="AW147" s="38"/>
      <c r="AX147" s="38"/>
      <c r="AY147" s="38"/>
      <c r="AZ147" s="38">
        <f>BA147-SUM(AW147:AY147)</f>
        <v>0</v>
      </c>
      <c r="BA147" s="40">
        <v>0</v>
      </c>
      <c r="BB147" s="38">
        <v>0</v>
      </c>
      <c r="BC147" s="38">
        <v>0</v>
      </c>
      <c r="BD147" s="38">
        <v>0</v>
      </c>
      <c r="BE147" s="38">
        <f>BF147-SUM(BB147:BD147)</f>
        <v>4.4000000000000004</v>
      </c>
      <c r="BF147" s="40">
        <v>4.4000000000000004</v>
      </c>
      <c r="BG147" s="38">
        <v>14</v>
      </c>
      <c r="BH147" s="38">
        <f>30.8-BG147</f>
        <v>16.8</v>
      </c>
      <c r="BI147" s="38">
        <f>46.2-SUM(BG147:BH147)</f>
        <v>15.400000000000002</v>
      </c>
      <c r="BJ147" s="38">
        <f>BK147-SUM(BG147:BI147)</f>
        <v>2.7999999999999972</v>
      </c>
      <c r="BK147" s="40">
        <v>49</v>
      </c>
      <c r="BL147" s="38">
        <v>2.8</v>
      </c>
      <c r="BM147" s="38">
        <f>5.2-BL147</f>
        <v>2.4000000000000004</v>
      </c>
      <c r="BN147" s="38">
        <f>9.6-SUM(BL147:BM147)</f>
        <v>4.3999999999999995</v>
      </c>
      <c r="BO147" s="38">
        <f>BP147-SUM(BL147:BN147)</f>
        <v>12.4</v>
      </c>
      <c r="BP147" s="40">
        <v>22</v>
      </c>
      <c r="BQ147" s="38">
        <v>3.3159999999999998</v>
      </c>
      <c r="BR147" s="38">
        <f>4.438-BQ147</f>
        <v>1.1219999999999999</v>
      </c>
      <c r="BS147" s="38">
        <f>5.237-SUM(BQ147:BR147)</f>
        <v>0.79900000000000038</v>
      </c>
      <c r="BT147" s="38"/>
      <c r="BU147" s="675">
        <v>10</v>
      </c>
      <c r="BV147" s="65">
        <v>1</v>
      </c>
      <c r="BW147" s="1385">
        <v>1</v>
      </c>
      <c r="BX147" s="65">
        <v>1</v>
      </c>
      <c r="BY147" s="65">
        <v>1</v>
      </c>
      <c r="BZ147" s="215">
        <f t="shared" ref="BZ147" si="401">SUM(BV147:BY147)</f>
        <v>4</v>
      </c>
      <c r="CA147" s="65">
        <v>1</v>
      </c>
      <c r="CB147" s="65">
        <v>1</v>
      </c>
      <c r="CC147" s="65">
        <v>1</v>
      </c>
      <c r="CD147" s="65">
        <v>1</v>
      </c>
      <c r="CE147" s="215">
        <f t="shared" ref="CE147" si="402">SUM(CA147:CD147)</f>
        <v>4</v>
      </c>
      <c r="CF147" s="65">
        <f t="shared" si="397"/>
        <v>1.03</v>
      </c>
      <c r="CG147" s="65">
        <f t="shared" si="398"/>
        <v>1.03</v>
      </c>
      <c r="CH147" s="65">
        <f t="shared" si="399"/>
        <v>1.03</v>
      </c>
      <c r="CI147" s="65">
        <f t="shared" si="400"/>
        <v>1.03</v>
      </c>
      <c r="CJ147" s="215">
        <f t="shared" ref="CJ147" si="403">SUM(CF147:CI147)</f>
        <v>4.12</v>
      </c>
      <c r="CK147" s="65">
        <f t="shared" si="381"/>
        <v>1.0609</v>
      </c>
      <c r="CL147" s="217">
        <f t="shared" si="354"/>
        <v>1.0609</v>
      </c>
      <c r="CM147" s="217">
        <f t="shared" si="355"/>
        <v>1.0609</v>
      </c>
      <c r="CN147" s="217">
        <f t="shared" si="356"/>
        <v>1.0609</v>
      </c>
      <c r="CO147" s="215">
        <f t="shared" ref="CO147" si="404">SUM(CK147:CN147)</f>
        <v>4.2435999999999998</v>
      </c>
      <c r="CP147" s="217">
        <f t="shared" si="383"/>
        <v>1.092727</v>
      </c>
      <c r="CQ147" s="217">
        <f t="shared" si="357"/>
        <v>1.092727</v>
      </c>
      <c r="CR147" s="217">
        <f t="shared" si="358"/>
        <v>1.092727</v>
      </c>
      <c r="CS147" s="217">
        <f t="shared" si="359"/>
        <v>1.092727</v>
      </c>
      <c r="CT147" s="215">
        <f t="shared" ref="CT147" si="405">SUM(CP147:CS147)</f>
        <v>4.370908</v>
      </c>
      <c r="CU147" s="217">
        <f t="shared" si="385"/>
        <v>1.1255088100000001</v>
      </c>
      <c r="CV147" s="217">
        <f t="shared" si="360"/>
        <v>1.1255088100000001</v>
      </c>
      <c r="CW147" s="217">
        <f t="shared" si="361"/>
        <v>1.1255088100000001</v>
      </c>
      <c r="CX147" s="217">
        <f t="shared" si="362"/>
        <v>1.1255088100000001</v>
      </c>
      <c r="CY147" s="215">
        <f t="shared" ref="CY147" si="406">SUM(CU147:CX147)</f>
        <v>4.5020352400000005</v>
      </c>
      <c r="CZ147" s="217">
        <f t="shared" si="387"/>
        <v>1.1592740743000001</v>
      </c>
      <c r="DA147" s="217">
        <f t="shared" si="363"/>
        <v>1.1592740743000001</v>
      </c>
      <c r="DB147" s="217">
        <f t="shared" si="364"/>
        <v>1.1592740743000001</v>
      </c>
      <c r="DC147" s="217">
        <f t="shared" si="365"/>
        <v>1.1592740743000001</v>
      </c>
      <c r="DD147" s="215">
        <f t="shared" ref="DD147" si="407">SUM(CZ147:DC147)</f>
        <v>4.6370962972000003</v>
      </c>
      <c r="DE147" s="217">
        <f t="shared" si="389"/>
        <v>1.1940522965290001</v>
      </c>
      <c r="DF147" s="217">
        <f t="shared" si="366"/>
        <v>1.1940522965290001</v>
      </c>
      <c r="DG147" s="217">
        <f t="shared" si="367"/>
        <v>1.1940522965290001</v>
      </c>
      <c r="DH147" s="217">
        <f t="shared" si="368"/>
        <v>1.1940522965290001</v>
      </c>
      <c r="DI147" s="215">
        <f t="shared" ref="DI147" si="408">SUM(DE147:DH147)</f>
        <v>4.7762091861160005</v>
      </c>
      <c r="DJ147" s="217">
        <f t="shared" si="391"/>
        <v>1.2298738654248702</v>
      </c>
      <c r="DK147" s="217">
        <f t="shared" si="369"/>
        <v>1.2298738654248702</v>
      </c>
      <c r="DL147" s="217">
        <f t="shared" si="370"/>
        <v>1.2298738654248702</v>
      </c>
      <c r="DM147" s="217">
        <f t="shared" si="371"/>
        <v>1.2298738654248702</v>
      </c>
      <c r="DN147" s="215">
        <f t="shared" ref="DN147" si="409">SUM(DJ147:DM147)</f>
        <v>4.9194954616994808</v>
      </c>
      <c r="DO147" s="217">
        <f t="shared" si="393"/>
        <v>1.2667700813876164</v>
      </c>
      <c r="DP147" s="217">
        <f t="shared" si="372"/>
        <v>1.2667700813876164</v>
      </c>
      <c r="DQ147" s="217">
        <f t="shared" si="373"/>
        <v>1.2667700813876164</v>
      </c>
      <c r="DR147" s="217">
        <f t="shared" si="374"/>
        <v>1.2667700813876164</v>
      </c>
      <c r="DS147" s="215">
        <f t="shared" ref="DS147" si="410">SUM(DO147:DR147)</f>
        <v>5.0670803255504655</v>
      </c>
      <c r="DT147" s="217">
        <f t="shared" si="395"/>
        <v>1.3047731838292449</v>
      </c>
      <c r="DU147" s="217">
        <f t="shared" si="375"/>
        <v>1.3047731838292449</v>
      </c>
      <c r="DV147" s="217">
        <f t="shared" si="376"/>
        <v>1.3047731838292449</v>
      </c>
      <c r="DW147" s="217">
        <f t="shared" si="377"/>
        <v>1.3047731838292449</v>
      </c>
      <c r="DX147" s="215">
        <f t="shared" ref="DX147" si="411">SUM(DT147:DW147)</f>
        <v>5.2190927353169796</v>
      </c>
      <c r="DY147" s="21"/>
      <c r="DZ147" s="21"/>
      <c r="EA147" s="21"/>
      <c r="EB147" s="15"/>
      <c r="EC147" s="15"/>
      <c r="ED147" s="670"/>
      <c r="EE147" s="670"/>
      <c r="EF147" s="670"/>
      <c r="EG147" s="670"/>
      <c r="EH147" s="670"/>
      <c r="EI147" s="670"/>
      <c r="EJ147" s="373"/>
      <c r="EK147" s="373"/>
      <c r="EL147" s="373"/>
      <c r="EM147" s="16"/>
      <c r="EN147" s="16"/>
      <c r="EU147" s="16"/>
      <c r="EV147" s="16"/>
      <c r="EW147" s="16"/>
      <c r="EX147" s="16"/>
      <c r="EY147" s="16"/>
      <c r="EZ147" s="16"/>
      <c r="FA147" s="16"/>
      <c r="FB147" s="16"/>
      <c r="FC147" s="16"/>
      <c r="FD147" s="16"/>
      <c r="FE147" s="16"/>
      <c r="FF147" s="16"/>
      <c r="FG147" s="16"/>
      <c r="FH147" s="16"/>
      <c r="FI147" s="16"/>
      <c r="FJ147" s="16"/>
    </row>
    <row r="148" spans="1:166" hidden="1" outlineLevel="1" x14ac:dyDescent="0.2">
      <c r="A148" s="170" t="s">
        <v>726</v>
      </c>
      <c r="B148" s="65"/>
      <c r="C148" s="65"/>
      <c r="D148" s="65"/>
      <c r="E148" s="65"/>
      <c r="F148" s="65"/>
      <c r="G148" s="65"/>
      <c r="H148" s="65"/>
      <c r="I148" s="65"/>
      <c r="J148" s="65"/>
      <c r="K148" s="65"/>
      <c r="L148" s="65"/>
      <c r="M148" s="65"/>
      <c r="N148" s="65"/>
      <c r="O148" s="65"/>
      <c r="P148" s="65"/>
      <c r="Q148" s="215"/>
      <c r="R148" s="65"/>
      <c r="S148" s="65"/>
      <c r="T148" s="65"/>
      <c r="U148" s="65"/>
      <c r="V148" s="215"/>
      <c r="W148" s="65"/>
      <c r="X148" s="65"/>
      <c r="Y148" s="65"/>
      <c r="Z148" s="65"/>
      <c r="AA148" s="215"/>
      <c r="AB148" s="65"/>
      <c r="AC148" s="65"/>
      <c r="AD148" s="65"/>
      <c r="AE148" s="65"/>
      <c r="AF148" s="215"/>
      <c r="AG148" s="65"/>
      <c r="AH148" s="65"/>
      <c r="AI148" s="65"/>
      <c r="AJ148" s="65"/>
      <c r="AK148" s="215"/>
      <c r="AL148" s="65"/>
      <c r="AM148" s="65"/>
      <c r="AN148" s="65"/>
      <c r="AO148" s="65"/>
      <c r="AP148" s="215"/>
      <c r="AQ148" s="65"/>
      <c r="AR148" s="65"/>
      <c r="AS148" s="65"/>
      <c r="AT148" s="65"/>
      <c r="AU148" s="215"/>
      <c r="AV148" s="45"/>
      <c r="AW148" s="38">
        <v>5.4</v>
      </c>
      <c r="AX148" s="38">
        <f>7.7-AW148</f>
        <v>2.2999999999999998</v>
      </c>
      <c r="AY148" s="38">
        <f>10.8-AX148-AW148</f>
        <v>3.0999999999999996</v>
      </c>
      <c r="AZ148" s="38">
        <f>BA148-SUM(AW148:AY148)</f>
        <v>4.5999999999999996</v>
      </c>
      <c r="BA148" s="40">
        <v>15.4</v>
      </c>
      <c r="BB148" s="38">
        <v>8.5</v>
      </c>
      <c r="BC148" s="38">
        <f>16.9-BB148</f>
        <v>8.3999999999999986</v>
      </c>
      <c r="BD148" s="38">
        <f>23.4-BC148-BB148</f>
        <v>6.5</v>
      </c>
      <c r="BE148" s="38">
        <f>BF148-SUM(BB148:BD148)</f>
        <v>-5.1999999999999993</v>
      </c>
      <c r="BF148" s="40">
        <v>18.2</v>
      </c>
      <c r="BG148" s="38">
        <v>3.3</v>
      </c>
      <c r="BH148" s="38">
        <f>7.2-BG148</f>
        <v>3.9000000000000004</v>
      </c>
      <c r="BI148" s="38">
        <f>14.4-SUM(BG148:BH148)</f>
        <v>7.2</v>
      </c>
      <c r="BJ148" s="38">
        <f>BK148-SUM(BG148:BI148)</f>
        <v>6.9</v>
      </c>
      <c r="BK148" s="40">
        <v>21.3</v>
      </c>
      <c r="BL148" s="38">
        <v>5.6</v>
      </c>
      <c r="BM148" s="38">
        <f>12.8-BL148</f>
        <v>7.2000000000000011</v>
      </c>
      <c r="BN148" s="38">
        <f>13.8-SUM(BL148:BM148)</f>
        <v>1</v>
      </c>
      <c r="BO148" s="38">
        <f>BP148-SUM(BL148:BN148)</f>
        <v>8.6999999999999993</v>
      </c>
      <c r="BP148" s="40">
        <v>22.5</v>
      </c>
      <c r="BQ148" s="38">
        <v>6</v>
      </c>
      <c r="BR148" s="38">
        <f>8.6-BQ148</f>
        <v>2.5999999999999996</v>
      </c>
      <c r="BS148" s="38">
        <f>12.4-BR148-BQ148</f>
        <v>3.8000000000000007</v>
      </c>
      <c r="BT148" s="38">
        <f>BU148-SUM(BQ148:BS148)</f>
        <v>9.6</v>
      </c>
      <c r="BU148" s="675">
        <v>22</v>
      </c>
      <c r="BV148" s="65">
        <v>5</v>
      </c>
      <c r="BW148" s="1385">
        <v>5</v>
      </c>
      <c r="BX148" s="65">
        <v>5</v>
      </c>
      <c r="BY148" s="65">
        <v>5</v>
      </c>
      <c r="BZ148" s="215">
        <f>SUM(BV148:BY148)</f>
        <v>20</v>
      </c>
      <c r="CA148" s="65">
        <v>0</v>
      </c>
      <c r="CB148" s="65">
        <v>2</v>
      </c>
      <c r="CC148" s="65">
        <v>2</v>
      </c>
      <c r="CD148" s="65">
        <v>2</v>
      </c>
      <c r="CE148" s="215">
        <f>SUM(CA148:CD148)</f>
        <v>6</v>
      </c>
      <c r="CF148" s="65">
        <v>2</v>
      </c>
      <c r="CG148" s="65">
        <v>2</v>
      </c>
      <c r="CH148" s="65">
        <v>2</v>
      </c>
      <c r="CI148" s="65">
        <v>2</v>
      </c>
      <c r="CJ148" s="215">
        <f>SUM(CF148:CI148)</f>
        <v>8</v>
      </c>
      <c r="CK148" s="65">
        <f t="shared" si="381"/>
        <v>2.06</v>
      </c>
      <c r="CL148" s="217">
        <f t="shared" si="354"/>
        <v>2.06</v>
      </c>
      <c r="CM148" s="217">
        <f t="shared" si="355"/>
        <v>2.06</v>
      </c>
      <c r="CN148" s="217">
        <f t="shared" si="356"/>
        <v>2.06</v>
      </c>
      <c r="CO148" s="215">
        <f>SUM(CK148:CN148)</f>
        <v>8.24</v>
      </c>
      <c r="CP148" s="217">
        <f t="shared" si="383"/>
        <v>2.1217999999999999</v>
      </c>
      <c r="CQ148" s="217">
        <f t="shared" si="357"/>
        <v>2.1217999999999999</v>
      </c>
      <c r="CR148" s="217">
        <f t="shared" si="358"/>
        <v>2.1217999999999999</v>
      </c>
      <c r="CS148" s="217">
        <f t="shared" si="359"/>
        <v>2.1217999999999999</v>
      </c>
      <c r="CT148" s="215">
        <f>SUM(CP148:CS148)</f>
        <v>8.4871999999999996</v>
      </c>
      <c r="CU148" s="217">
        <f t="shared" si="385"/>
        <v>2.185454</v>
      </c>
      <c r="CV148" s="217">
        <f t="shared" si="360"/>
        <v>2.185454</v>
      </c>
      <c r="CW148" s="217">
        <f t="shared" si="361"/>
        <v>2.185454</v>
      </c>
      <c r="CX148" s="217">
        <f t="shared" si="362"/>
        <v>2.185454</v>
      </c>
      <c r="CY148" s="215">
        <f>SUM(CU148:CX148)</f>
        <v>8.741816</v>
      </c>
      <c r="CZ148" s="217">
        <f t="shared" si="387"/>
        <v>2.2510176200000003</v>
      </c>
      <c r="DA148" s="217">
        <f t="shared" si="363"/>
        <v>2.2510176200000003</v>
      </c>
      <c r="DB148" s="217">
        <f t="shared" si="364"/>
        <v>2.2510176200000003</v>
      </c>
      <c r="DC148" s="217">
        <f t="shared" si="365"/>
        <v>2.2510176200000003</v>
      </c>
      <c r="DD148" s="215">
        <f>SUM(CZ148:DC148)</f>
        <v>9.0040704800000011</v>
      </c>
      <c r="DE148" s="217">
        <f t="shared" si="389"/>
        <v>2.3185481486000001</v>
      </c>
      <c r="DF148" s="217">
        <f t="shared" si="366"/>
        <v>2.3185481486000001</v>
      </c>
      <c r="DG148" s="217">
        <f t="shared" si="367"/>
        <v>2.3185481486000001</v>
      </c>
      <c r="DH148" s="217">
        <f t="shared" si="368"/>
        <v>2.3185481486000001</v>
      </c>
      <c r="DI148" s="215">
        <f>SUM(DE148:DH148)</f>
        <v>9.2741925944000005</v>
      </c>
      <c r="DJ148" s="217">
        <f t="shared" si="391"/>
        <v>2.3881045930580003</v>
      </c>
      <c r="DK148" s="217">
        <f t="shared" si="369"/>
        <v>2.3881045930580003</v>
      </c>
      <c r="DL148" s="217">
        <f t="shared" si="370"/>
        <v>2.3881045930580003</v>
      </c>
      <c r="DM148" s="217">
        <f t="shared" si="371"/>
        <v>2.3881045930580003</v>
      </c>
      <c r="DN148" s="215">
        <f>SUM(DJ148:DM148)</f>
        <v>9.5524183722320011</v>
      </c>
      <c r="DO148" s="217">
        <f t="shared" si="393"/>
        <v>2.4597477308497404</v>
      </c>
      <c r="DP148" s="217">
        <f t="shared" si="372"/>
        <v>2.4597477308497404</v>
      </c>
      <c r="DQ148" s="217">
        <f t="shared" si="373"/>
        <v>2.4597477308497404</v>
      </c>
      <c r="DR148" s="217">
        <f t="shared" si="374"/>
        <v>2.4597477308497404</v>
      </c>
      <c r="DS148" s="215">
        <f>SUM(DO148:DR148)</f>
        <v>9.8389909233989616</v>
      </c>
      <c r="DT148" s="217">
        <f t="shared" si="395"/>
        <v>2.5335401627752328</v>
      </c>
      <c r="DU148" s="217">
        <f t="shared" si="375"/>
        <v>2.5335401627752328</v>
      </c>
      <c r="DV148" s="217">
        <f t="shared" si="376"/>
        <v>2.5335401627752328</v>
      </c>
      <c r="DW148" s="217">
        <f t="shared" si="377"/>
        <v>2.5335401627752328</v>
      </c>
      <c r="DX148" s="215">
        <f>SUM(DT148:DW148)</f>
        <v>10.134160651100931</v>
      </c>
      <c r="DY148" s="21"/>
      <c r="DZ148" s="21"/>
      <c r="EA148" s="21"/>
      <c r="EB148" s="15"/>
      <c r="EC148" s="15"/>
      <c r="ED148" s="670"/>
      <c r="EE148" s="670"/>
      <c r="EF148" s="670"/>
      <c r="EG148" s="670"/>
      <c r="EH148" s="670"/>
      <c r="EI148" s="670"/>
      <c r="EJ148" s="373"/>
      <c r="EK148" s="373"/>
      <c r="EL148" s="373"/>
      <c r="EM148" s="16"/>
      <c r="EN148" s="16"/>
      <c r="EU148" s="16"/>
      <c r="EV148" s="16"/>
      <c r="EW148" s="16"/>
      <c r="EX148" s="16"/>
      <c r="EY148" s="16"/>
      <c r="EZ148" s="16"/>
      <c r="FA148" s="16"/>
      <c r="FB148" s="16"/>
      <c r="FC148" s="16"/>
      <c r="FD148" s="16"/>
      <c r="FE148" s="16"/>
      <c r="FF148" s="16"/>
      <c r="FG148" s="16"/>
      <c r="FH148" s="16"/>
      <c r="FI148" s="16"/>
      <c r="FJ148" s="16"/>
    </row>
    <row r="149" spans="1:166" hidden="1" outlineLevel="1" x14ac:dyDescent="0.2">
      <c r="A149" s="1163" t="s">
        <v>730</v>
      </c>
      <c r="B149" s="65"/>
      <c r="C149" s="65"/>
      <c r="D149" s="65"/>
      <c r="E149" s="65"/>
      <c r="F149" s="65"/>
      <c r="G149" s="65"/>
      <c r="H149" s="65"/>
      <c r="I149" s="65"/>
      <c r="J149" s="65"/>
      <c r="K149" s="65"/>
      <c r="L149" s="65"/>
      <c r="M149" s="65"/>
      <c r="N149" s="65"/>
      <c r="O149" s="65"/>
      <c r="P149" s="65"/>
      <c r="Q149" s="215"/>
      <c r="R149" s="65"/>
      <c r="S149" s="65"/>
      <c r="T149" s="65"/>
      <c r="U149" s="65"/>
      <c r="V149" s="215"/>
      <c r="W149" s="65"/>
      <c r="X149" s="65"/>
      <c r="Y149" s="65"/>
      <c r="Z149" s="65"/>
      <c r="AA149" s="215"/>
      <c r="AB149" s="65"/>
      <c r="AC149" s="65"/>
      <c r="AD149" s="65"/>
      <c r="AE149" s="65"/>
      <c r="AF149" s="215"/>
      <c r="AG149" s="65"/>
      <c r="AH149" s="65"/>
      <c r="AI149" s="65"/>
      <c r="AJ149" s="65"/>
      <c r="AK149" s="215"/>
      <c r="AL149" s="65"/>
      <c r="AM149" s="65"/>
      <c r="AN149" s="65"/>
      <c r="AO149" s="65"/>
      <c r="AP149" s="215"/>
      <c r="AQ149" s="65"/>
      <c r="AR149" s="65"/>
      <c r="AS149" s="65"/>
      <c r="AT149" s="65"/>
      <c r="AU149" s="215"/>
      <c r="AV149" s="45"/>
      <c r="AW149" s="46">
        <f>SUM(AW144:AW148)</f>
        <v>24.299999999999997</v>
      </c>
      <c r="AX149" s="46">
        <f>SUM(AX144:AX148)</f>
        <v>24.200000000000003</v>
      </c>
      <c r="AY149" s="46">
        <f>SUM(AY144:AY148)</f>
        <v>30.500000000000007</v>
      </c>
      <c r="AZ149" s="46">
        <f t="shared" ref="AZ149:BY149" si="412">SUM(AZ144:AZ148)</f>
        <v>53.9</v>
      </c>
      <c r="BA149" s="48">
        <f t="shared" si="412"/>
        <v>132.9</v>
      </c>
      <c r="BB149" s="46">
        <f t="shared" si="412"/>
        <v>34.599999999999994</v>
      </c>
      <c r="BC149" s="46">
        <f t="shared" si="412"/>
        <v>28.799999999999997</v>
      </c>
      <c r="BD149" s="46">
        <f t="shared" si="412"/>
        <v>42.599999999999994</v>
      </c>
      <c r="BE149" s="46">
        <f t="shared" si="412"/>
        <v>75.3</v>
      </c>
      <c r="BF149" s="48">
        <f t="shared" si="412"/>
        <v>181.3</v>
      </c>
      <c r="BG149" s="46">
        <f t="shared" si="412"/>
        <v>48.3</v>
      </c>
      <c r="BH149" s="46">
        <f t="shared" si="412"/>
        <v>49.199999999999996</v>
      </c>
      <c r="BI149" s="46">
        <f t="shared" si="412"/>
        <v>61.5</v>
      </c>
      <c r="BJ149" s="46">
        <f t="shared" si="412"/>
        <v>76.800000000000011</v>
      </c>
      <c r="BK149" s="48">
        <f t="shared" si="412"/>
        <v>235.8</v>
      </c>
      <c r="BL149" s="46">
        <f t="shared" si="412"/>
        <v>50.199999999999996</v>
      </c>
      <c r="BM149" s="46">
        <f t="shared" si="412"/>
        <v>43.300000000000004</v>
      </c>
      <c r="BN149" s="46">
        <f t="shared" si="412"/>
        <v>48.9</v>
      </c>
      <c r="BO149" s="46">
        <f t="shared" si="412"/>
        <v>100.60000000000001</v>
      </c>
      <c r="BP149" s="48">
        <f>SUM(BP144:BP148)</f>
        <v>243</v>
      </c>
      <c r="BQ149" s="46">
        <f t="shared" si="412"/>
        <v>60.016000000000005</v>
      </c>
      <c r="BR149" s="46">
        <f t="shared" si="412"/>
        <v>38.921999999999997</v>
      </c>
      <c r="BS149" s="46">
        <f t="shared" si="412"/>
        <v>45.298999999999992</v>
      </c>
      <c r="BT149" s="46">
        <f t="shared" si="412"/>
        <v>83</v>
      </c>
      <c r="BU149" s="931">
        <f>SUM(BU144:BU148)</f>
        <v>232</v>
      </c>
      <c r="BV149" s="46">
        <f t="shared" si="412"/>
        <v>44</v>
      </c>
      <c r="BW149" s="1102">
        <f t="shared" si="412"/>
        <v>42</v>
      </c>
      <c r="BX149" s="46">
        <f t="shared" si="412"/>
        <v>39</v>
      </c>
      <c r="BY149" s="46">
        <f t="shared" si="412"/>
        <v>94</v>
      </c>
      <c r="BZ149" s="218">
        <f t="shared" ref="BZ149" si="413">SUM(BV149:BY149)</f>
        <v>219</v>
      </c>
      <c r="CA149" s="46">
        <f t="shared" ref="CA149:CD149" si="414">SUM(CA144:CA148)</f>
        <v>3</v>
      </c>
      <c r="CB149" s="46">
        <f t="shared" si="414"/>
        <v>5</v>
      </c>
      <c r="CC149" s="46">
        <f t="shared" si="414"/>
        <v>8</v>
      </c>
      <c r="CD149" s="46">
        <f t="shared" si="414"/>
        <v>8</v>
      </c>
      <c r="CE149" s="218">
        <f t="shared" ref="CE149" si="415">SUM(CA149:CD149)</f>
        <v>24</v>
      </c>
      <c r="CF149" s="46">
        <f t="shared" ref="CF149:CI149" si="416">SUM(CF144:CF148)</f>
        <v>5.03</v>
      </c>
      <c r="CG149" s="46">
        <f t="shared" si="416"/>
        <v>5.03</v>
      </c>
      <c r="CH149" s="46">
        <f t="shared" si="416"/>
        <v>8.0300000000000011</v>
      </c>
      <c r="CI149" s="46">
        <f t="shared" si="416"/>
        <v>8.0300000000000011</v>
      </c>
      <c r="CJ149" s="218">
        <f t="shared" ref="CJ149" si="417">SUM(CF149:CI149)</f>
        <v>26.120000000000005</v>
      </c>
      <c r="CK149" s="46">
        <f t="shared" ref="CK149:CN149" si="418">SUM(CK144:CK148)</f>
        <v>5.1808999999999994</v>
      </c>
      <c r="CL149" s="46">
        <f t="shared" si="418"/>
        <v>5.1808999999999994</v>
      </c>
      <c r="CM149" s="46">
        <f t="shared" si="418"/>
        <v>8.270900000000001</v>
      </c>
      <c r="CN149" s="46">
        <f t="shared" si="418"/>
        <v>8.270900000000001</v>
      </c>
      <c r="CO149" s="218">
        <f t="shared" ref="CO149" si="419">SUM(CK149:CN149)</f>
        <v>26.903600000000001</v>
      </c>
      <c r="CP149" s="46">
        <f t="shared" ref="CP149:CS149" si="420">SUM(CP144:CP148)</f>
        <v>5.3363269999999998</v>
      </c>
      <c r="CQ149" s="46">
        <f t="shared" si="420"/>
        <v>5.3363269999999998</v>
      </c>
      <c r="CR149" s="46">
        <f t="shared" si="420"/>
        <v>8.5190270000000012</v>
      </c>
      <c r="CS149" s="46">
        <f t="shared" si="420"/>
        <v>8.5190270000000012</v>
      </c>
      <c r="CT149" s="218">
        <f t="shared" ref="CT149" si="421">SUM(CP149:CS149)</f>
        <v>27.710708000000004</v>
      </c>
      <c r="CU149" s="46">
        <f t="shared" ref="CU149:CX149" si="422">SUM(CU144:CU148)</f>
        <v>5.4964168100000004</v>
      </c>
      <c r="CV149" s="46">
        <f t="shared" si="422"/>
        <v>5.4964168100000004</v>
      </c>
      <c r="CW149" s="46">
        <f t="shared" si="422"/>
        <v>8.7745978100000013</v>
      </c>
      <c r="CX149" s="46">
        <f t="shared" si="422"/>
        <v>8.7745978100000013</v>
      </c>
      <c r="CY149" s="218">
        <f t="shared" ref="CY149" si="423">SUM(CU149:CX149)</f>
        <v>28.542029240000005</v>
      </c>
      <c r="CZ149" s="46">
        <f t="shared" ref="CZ149:DC149" si="424">SUM(CZ144:CZ148)</f>
        <v>5.6613093143000004</v>
      </c>
      <c r="DA149" s="46">
        <f t="shared" si="424"/>
        <v>5.6613093143000004</v>
      </c>
      <c r="DB149" s="46">
        <f t="shared" si="424"/>
        <v>9.0378357443000006</v>
      </c>
      <c r="DC149" s="46">
        <f t="shared" si="424"/>
        <v>9.0378357443000006</v>
      </c>
      <c r="DD149" s="218">
        <f t="shared" ref="DD149" si="425">SUM(CZ149:DC149)</f>
        <v>29.398290117200002</v>
      </c>
      <c r="DE149" s="46">
        <f t="shared" ref="DE149:DH149" si="426">SUM(DE144:DE148)</f>
        <v>5.8311485937290009</v>
      </c>
      <c r="DF149" s="46">
        <f t="shared" si="426"/>
        <v>5.8311485937290009</v>
      </c>
      <c r="DG149" s="46">
        <f t="shared" si="426"/>
        <v>9.3089708166290013</v>
      </c>
      <c r="DH149" s="46">
        <f t="shared" si="426"/>
        <v>9.3089708166290013</v>
      </c>
      <c r="DI149" s="218">
        <f t="shared" ref="DI149" si="427">SUM(DE149:DH149)</f>
        <v>30.280238820716001</v>
      </c>
      <c r="DJ149" s="46">
        <f t="shared" ref="DJ149:DM149" si="428">SUM(DJ144:DJ148)</f>
        <v>6.0060830515408705</v>
      </c>
      <c r="DK149" s="46">
        <f t="shared" si="428"/>
        <v>6.0060830515408705</v>
      </c>
      <c r="DL149" s="46">
        <f t="shared" si="428"/>
        <v>9.5882399411278705</v>
      </c>
      <c r="DM149" s="46">
        <f t="shared" si="428"/>
        <v>9.5882399411278705</v>
      </c>
      <c r="DN149" s="218">
        <f t="shared" ref="DN149" si="429">SUM(DJ149:DM149)</f>
        <v>31.188645985337484</v>
      </c>
      <c r="DO149" s="46">
        <f t="shared" ref="DO149:DR149" si="430">SUM(DO144:DO148)</f>
        <v>6.1862655430870976</v>
      </c>
      <c r="DP149" s="46">
        <f t="shared" si="430"/>
        <v>6.1862655430870976</v>
      </c>
      <c r="DQ149" s="46">
        <f t="shared" si="430"/>
        <v>9.8758871393617085</v>
      </c>
      <c r="DR149" s="46">
        <f t="shared" si="430"/>
        <v>9.8758871393617085</v>
      </c>
      <c r="DS149" s="218">
        <f t="shared" ref="DS149" si="431">SUM(DO149:DR149)</f>
        <v>32.124305364897609</v>
      </c>
      <c r="DT149" s="46">
        <f t="shared" ref="DT149:DW149" si="432">SUM(DT144:DT148)</f>
        <v>6.3718535093797106</v>
      </c>
      <c r="DU149" s="46">
        <f t="shared" si="432"/>
        <v>6.3718535093797106</v>
      </c>
      <c r="DV149" s="46">
        <f t="shared" si="432"/>
        <v>10.172163753542559</v>
      </c>
      <c r="DW149" s="46">
        <f t="shared" si="432"/>
        <v>10.172163753542559</v>
      </c>
      <c r="DX149" s="218">
        <f t="shared" ref="DX149" si="433">SUM(DT149:DW149)</f>
        <v>33.088034525844535</v>
      </c>
      <c r="DY149" s="21"/>
      <c r="DZ149" s="21"/>
      <c r="EA149" s="21"/>
      <c r="EB149" s="15"/>
      <c r="EC149" s="15"/>
      <c r="ED149" s="670"/>
      <c r="EE149" s="670"/>
      <c r="EF149" s="670"/>
      <c r="EG149" s="670"/>
      <c r="EH149" s="670"/>
      <c r="EI149" s="670"/>
      <c r="EJ149" s="373"/>
      <c r="EK149" s="373"/>
      <c r="EL149" s="373"/>
      <c r="EM149" s="16"/>
      <c r="EN149" s="16"/>
      <c r="EU149" s="16"/>
      <c r="EV149" s="16"/>
      <c r="EW149" s="16"/>
      <c r="EX149" s="16"/>
      <c r="EY149" s="16"/>
      <c r="EZ149" s="16"/>
      <c r="FA149" s="16"/>
      <c r="FB149" s="16"/>
      <c r="FC149" s="16"/>
      <c r="FD149" s="16"/>
      <c r="FE149" s="16"/>
      <c r="FF149" s="16"/>
      <c r="FG149" s="16"/>
      <c r="FH149" s="16"/>
      <c r="FI149" s="16"/>
      <c r="FJ149" s="16"/>
    </row>
    <row r="150" spans="1:166" ht="4.5" hidden="1" customHeight="1" outlineLevel="1" x14ac:dyDescent="0.2">
      <c r="A150" s="1163"/>
      <c r="B150" s="65"/>
      <c r="C150" s="65"/>
      <c r="D150" s="65"/>
      <c r="E150" s="65"/>
      <c r="F150" s="65"/>
      <c r="G150" s="65"/>
      <c r="H150" s="65"/>
      <c r="I150" s="65"/>
      <c r="J150" s="65"/>
      <c r="K150" s="65"/>
      <c r="L150" s="65"/>
      <c r="M150" s="65"/>
      <c r="N150" s="65"/>
      <c r="O150" s="65"/>
      <c r="P150" s="65"/>
      <c r="Q150" s="215"/>
      <c r="R150" s="65"/>
      <c r="S150" s="65"/>
      <c r="T150" s="65"/>
      <c r="U150" s="65"/>
      <c r="V150" s="215"/>
      <c r="W150" s="65"/>
      <c r="X150" s="65"/>
      <c r="Y150" s="65"/>
      <c r="Z150" s="65"/>
      <c r="AA150" s="215"/>
      <c r="AB150" s="65"/>
      <c r="AC150" s="65"/>
      <c r="AD150" s="65"/>
      <c r="AE150" s="65"/>
      <c r="AF150" s="215"/>
      <c r="AG150" s="65"/>
      <c r="AH150" s="65"/>
      <c r="AI150" s="65"/>
      <c r="AJ150" s="65"/>
      <c r="AK150" s="215"/>
      <c r="AL150" s="65"/>
      <c r="AM150" s="65"/>
      <c r="AN150" s="65"/>
      <c r="AO150" s="65"/>
      <c r="AP150" s="215"/>
      <c r="AQ150" s="65"/>
      <c r="AR150" s="65"/>
      <c r="AS150" s="65"/>
      <c r="AT150" s="65"/>
      <c r="AU150" s="215"/>
      <c r="AV150" s="45"/>
      <c r="AW150" s="46"/>
      <c r="AX150" s="46"/>
      <c r="AY150" s="46"/>
      <c r="AZ150" s="46"/>
      <c r="BA150" s="48"/>
      <c r="BB150" s="46"/>
      <c r="BC150" s="46"/>
      <c r="BD150" s="46"/>
      <c r="BE150" s="46"/>
      <c r="BF150" s="48"/>
      <c r="BG150" s="46"/>
      <c r="BH150" s="46"/>
      <c r="BI150" s="46"/>
      <c r="BJ150" s="46"/>
      <c r="BK150" s="48"/>
      <c r="BL150" s="46"/>
      <c r="BM150" s="46"/>
      <c r="BN150" s="46"/>
      <c r="BO150" s="46"/>
      <c r="BP150" s="48"/>
      <c r="BQ150" s="46"/>
      <c r="BR150" s="46"/>
      <c r="BS150" s="46"/>
      <c r="BT150" s="46"/>
      <c r="BU150" s="931"/>
      <c r="BV150" s="46"/>
      <c r="BW150" s="1102"/>
      <c r="BX150" s="46"/>
      <c r="BY150" s="46"/>
      <c r="BZ150" s="218"/>
      <c r="CA150" s="46"/>
      <c r="CB150" s="46"/>
      <c r="CC150" s="46"/>
      <c r="CD150" s="46"/>
      <c r="CE150" s="218"/>
      <c r="CF150" s="46"/>
      <c r="CG150" s="46"/>
      <c r="CH150" s="46"/>
      <c r="CI150" s="46"/>
      <c r="CJ150" s="218"/>
      <c r="CK150" s="46"/>
      <c r="CL150" s="46"/>
      <c r="CM150" s="46"/>
      <c r="CN150" s="46"/>
      <c r="CO150" s="218"/>
      <c r="CP150" s="46"/>
      <c r="CQ150" s="46"/>
      <c r="CR150" s="46"/>
      <c r="CS150" s="46"/>
      <c r="CT150" s="218"/>
      <c r="CU150" s="46"/>
      <c r="CV150" s="46"/>
      <c r="CW150" s="46"/>
      <c r="CX150" s="46"/>
      <c r="CY150" s="218"/>
      <c r="CZ150" s="46"/>
      <c r="DA150" s="46"/>
      <c r="DB150" s="46"/>
      <c r="DC150" s="46"/>
      <c r="DD150" s="218"/>
      <c r="DE150" s="46"/>
      <c r="DF150" s="46"/>
      <c r="DG150" s="46"/>
      <c r="DH150" s="46"/>
      <c r="DI150" s="218"/>
      <c r="DJ150" s="46"/>
      <c r="DK150" s="46"/>
      <c r="DL150" s="46"/>
      <c r="DM150" s="46"/>
      <c r="DN150" s="218"/>
      <c r="DO150" s="46"/>
      <c r="DP150" s="46"/>
      <c r="DQ150" s="46"/>
      <c r="DR150" s="46"/>
      <c r="DS150" s="218"/>
      <c r="DT150" s="46"/>
      <c r="DU150" s="46"/>
      <c r="DV150" s="46"/>
      <c r="DW150" s="46"/>
      <c r="DX150" s="218"/>
      <c r="DY150" s="21"/>
      <c r="DZ150" s="21"/>
      <c r="EA150" s="21"/>
      <c r="EB150" s="15"/>
      <c r="EC150" s="15"/>
      <c r="ED150" s="670"/>
      <c r="EE150" s="670"/>
      <c r="EF150" s="670"/>
      <c r="EG150" s="670"/>
      <c r="EH150" s="670"/>
      <c r="EI150" s="670"/>
      <c r="EJ150" s="373"/>
      <c r="EK150" s="373"/>
      <c r="EL150" s="373"/>
      <c r="EM150" s="16"/>
      <c r="EN150" s="16"/>
      <c r="EU150" s="16"/>
      <c r="EV150" s="16"/>
      <c r="EW150" s="16"/>
      <c r="EX150" s="16"/>
      <c r="EY150" s="16"/>
      <c r="EZ150" s="16"/>
      <c r="FA150" s="16"/>
      <c r="FB150" s="16"/>
      <c r="FC150" s="16"/>
      <c r="FD150" s="16"/>
      <c r="FE150" s="16"/>
      <c r="FF150" s="16"/>
      <c r="FG150" s="16"/>
      <c r="FH150" s="16"/>
      <c r="FI150" s="16"/>
      <c r="FJ150" s="16"/>
    </row>
    <row r="151" spans="1:166" s="1069" customFormat="1" hidden="1" outlineLevel="1" x14ac:dyDescent="0.2">
      <c r="A151" s="1163" t="s">
        <v>731</v>
      </c>
      <c r="B151" s="219"/>
      <c r="C151" s="219"/>
      <c r="D151" s="219"/>
      <c r="E151" s="219"/>
      <c r="F151" s="219"/>
      <c r="G151" s="219"/>
      <c r="H151" s="219"/>
      <c r="I151" s="219"/>
      <c r="J151" s="219"/>
      <c r="K151" s="219"/>
      <c r="L151" s="219"/>
      <c r="M151" s="219"/>
      <c r="N151" s="219"/>
      <c r="O151" s="219"/>
      <c r="P151" s="219"/>
      <c r="Q151" s="218"/>
      <c r="R151" s="219"/>
      <c r="S151" s="219"/>
      <c r="T151" s="219"/>
      <c r="U151" s="219"/>
      <c r="V151" s="218"/>
      <c r="W151" s="219"/>
      <c r="X151" s="219"/>
      <c r="Y151" s="219"/>
      <c r="Z151" s="219"/>
      <c r="AA151" s="218"/>
      <c r="AB151" s="219"/>
      <c r="AC151" s="219"/>
      <c r="AD151" s="219"/>
      <c r="AE151" s="219"/>
      <c r="AF151" s="218"/>
      <c r="AG151" s="219"/>
      <c r="AH151" s="219"/>
      <c r="AI151" s="219"/>
      <c r="AJ151" s="219"/>
      <c r="AK151" s="218"/>
      <c r="AL151" s="219"/>
      <c r="AM151" s="219"/>
      <c r="AN151" s="219"/>
      <c r="AO151" s="219"/>
      <c r="AP151" s="218"/>
      <c r="AQ151" s="219"/>
      <c r="AR151" s="219"/>
      <c r="AS151" s="219"/>
      <c r="AT151" s="219"/>
      <c r="AU151" s="218"/>
      <c r="AV151" s="49"/>
      <c r="AW151" s="51">
        <v>23.378459891624992</v>
      </c>
      <c r="AX151" s="51">
        <v>23.508007098400007</v>
      </c>
      <c r="AY151" s="51">
        <v>29.377722572461543</v>
      </c>
      <c r="AZ151" s="51">
        <v>53.240749141461514</v>
      </c>
      <c r="BA151" s="218">
        <f>SUM(AW151:AZ151)</f>
        <v>129.50493870394806</v>
      </c>
      <c r="BB151" s="51">
        <v>35.116402833507678</v>
      </c>
      <c r="BC151" s="51">
        <v>29.751257970000008</v>
      </c>
      <c r="BD151" s="51">
        <v>43.462018144420867</v>
      </c>
      <c r="BE151" s="51">
        <v>73.628646061521934</v>
      </c>
      <c r="BF151" s="218">
        <f>SUM(BB151:BE151)</f>
        <v>181.9583250094505</v>
      </c>
      <c r="BG151" s="51">
        <v>48.244774840765125</v>
      </c>
      <c r="BH151" s="51">
        <v>48.711987500128188</v>
      </c>
      <c r="BI151" s="51">
        <v>61.783621929945504</v>
      </c>
      <c r="BJ151" s="51">
        <v>77.487594351913117</v>
      </c>
      <c r="BK151" s="218">
        <f>SUM(BG151:BJ151)</f>
        <v>236.22797862275192</v>
      </c>
      <c r="BL151" s="51">
        <v>49.77605992834075</v>
      </c>
      <c r="BM151" s="51">
        <v>42.309130825122587</v>
      </c>
      <c r="BN151" s="51">
        <v>47.06429055216752</v>
      </c>
      <c r="BO151" s="51">
        <v>95.86912347736795</v>
      </c>
      <c r="BP151" s="218">
        <f>SUM(BL151:BO151)</f>
        <v>235.01860478299881</v>
      </c>
      <c r="BQ151" s="51">
        <v>54.444689020957618</v>
      </c>
      <c r="BR151" s="51">
        <v>35.686245540060021</v>
      </c>
      <c r="BS151" s="51">
        <v>41.626706631043831</v>
      </c>
      <c r="BT151" s="51">
        <v>73.073262595013475</v>
      </c>
      <c r="BU151" s="218">
        <f>SUM(BQ151:BT151)</f>
        <v>204.83090378707493</v>
      </c>
      <c r="BV151" s="51">
        <v>35.530798479062618</v>
      </c>
      <c r="BW151" s="1420">
        <v>34.151950241598314</v>
      </c>
      <c r="BX151" s="51">
        <v>29.795800577670246</v>
      </c>
      <c r="BY151" s="51">
        <v>70.382931570562192</v>
      </c>
      <c r="BZ151" s="218">
        <f>SUM(BV151:BY151)</f>
        <v>169.86148086889335</v>
      </c>
      <c r="CA151" s="51">
        <v>2.1867751851117072</v>
      </c>
      <c r="CB151" s="51">
        <v>3.8788399016754775</v>
      </c>
      <c r="CC151" s="51">
        <v>6.1336519478565084</v>
      </c>
      <c r="CD151" s="51">
        <v>6.1336519478565084</v>
      </c>
      <c r="CE151" s="218">
        <f>SUM(CA151:CD151)</f>
        <v>18.332918982500203</v>
      </c>
      <c r="CF151" s="51">
        <v>3.8565336622147797</v>
      </c>
      <c r="CG151" s="51">
        <v>3.8565336622147797</v>
      </c>
      <c r="CH151" s="51">
        <v>6.1566531426609714</v>
      </c>
      <c r="CI151" s="51">
        <v>6.1566531426609714</v>
      </c>
      <c r="CJ151" s="218">
        <f>SUM(CF151:CI151)</f>
        <v>20.026373609751502</v>
      </c>
      <c r="CK151" s="51">
        <v>3.9722296720812227</v>
      </c>
      <c r="CL151" s="51">
        <v>3.9722296720812227</v>
      </c>
      <c r="CM151" s="51">
        <v>6.3413527369408005</v>
      </c>
      <c r="CN151" s="51">
        <v>6.3413527369408005</v>
      </c>
      <c r="CO151" s="218">
        <f>SUM(CK151:CN151)</f>
        <v>20.627164818044044</v>
      </c>
      <c r="CP151" s="51">
        <v>4.0913965622436592</v>
      </c>
      <c r="CQ151" s="51">
        <v>4.0913965622436592</v>
      </c>
      <c r="CR151" s="51">
        <v>6.5315933190490245</v>
      </c>
      <c r="CS151" s="51">
        <v>6.5315933190490245</v>
      </c>
      <c r="CT151" s="218">
        <f>SUM(CP151:CS151)</f>
        <v>21.245979762585367</v>
      </c>
      <c r="CU151" s="51">
        <v>4.2141384591109698</v>
      </c>
      <c r="CV151" s="51">
        <v>4.2141384591109698</v>
      </c>
      <c r="CW151" s="51">
        <v>6.7275411186204952</v>
      </c>
      <c r="CX151" s="51">
        <v>6.7275411186204952</v>
      </c>
      <c r="CY151" s="218">
        <f>SUM(CU151:CX151)</f>
        <v>21.88335915546293</v>
      </c>
      <c r="CZ151" s="51">
        <v>4.3405626128842991</v>
      </c>
      <c r="DA151" s="51">
        <v>4.3405626128842991</v>
      </c>
      <c r="DB151" s="51">
        <v>6.929367352179109</v>
      </c>
      <c r="DC151" s="51">
        <v>6.929367352179109</v>
      </c>
      <c r="DD151" s="218">
        <f>SUM(CZ151:DC151)</f>
        <v>22.539859930126816</v>
      </c>
      <c r="DE151" s="51">
        <v>4.4707794912708279</v>
      </c>
      <c r="DF151" s="51">
        <v>4.4707794912708279</v>
      </c>
      <c r="DG151" s="51">
        <v>7.1372483727444829</v>
      </c>
      <c r="DH151" s="51">
        <v>7.1372483727444829</v>
      </c>
      <c r="DI151" s="218">
        <f>SUM(DE151:DH151)</f>
        <v>23.216055728030621</v>
      </c>
      <c r="DJ151" s="51">
        <v>4.6049028760089525</v>
      </c>
      <c r="DK151" s="51">
        <v>4.6049028760089525</v>
      </c>
      <c r="DL151" s="51">
        <v>7.3513658239268169</v>
      </c>
      <c r="DM151" s="51">
        <v>7.3513658239268169</v>
      </c>
      <c r="DN151" s="218">
        <f>SUM(DJ151:DM151)</f>
        <v>23.912537399871539</v>
      </c>
      <c r="DO151" s="51">
        <v>4.7430499622892217</v>
      </c>
      <c r="DP151" s="51">
        <v>4.7430499622892217</v>
      </c>
      <c r="DQ151" s="51">
        <v>7.5719067986446227</v>
      </c>
      <c r="DR151" s="51">
        <v>7.5719067986446227</v>
      </c>
      <c r="DS151" s="218">
        <f>SUM(DO151:DR151)</f>
        <v>24.629913521867689</v>
      </c>
      <c r="DT151" s="51">
        <v>4.8853414611578989</v>
      </c>
      <c r="DU151" s="51">
        <v>4.8853414611578989</v>
      </c>
      <c r="DV151" s="51">
        <v>7.799064002603961</v>
      </c>
      <c r="DW151" s="51">
        <v>7.799064002603961</v>
      </c>
      <c r="DX151" s="218">
        <f>SUM(DT151:DW151)</f>
        <v>25.368810927523718</v>
      </c>
      <c r="DY151" s="37"/>
      <c r="DZ151" s="37"/>
      <c r="EA151" s="37"/>
      <c r="EB151" s="66"/>
      <c r="EC151" s="66"/>
      <c r="ED151" s="66"/>
      <c r="EE151" s="66"/>
      <c r="EF151" s="66"/>
      <c r="EG151" s="66"/>
      <c r="EH151" s="66"/>
      <c r="EI151" s="66"/>
      <c r="EJ151" s="286"/>
      <c r="EK151" s="286"/>
      <c r="EL151" s="286"/>
      <c r="EM151" s="25"/>
      <c r="EN151" s="25"/>
      <c r="EO151"/>
      <c r="EP151"/>
      <c r="EQ151"/>
      <c r="ER151"/>
      <c r="ES151"/>
      <c r="ET151"/>
      <c r="EU151" s="25"/>
      <c r="EV151" s="25"/>
      <c r="EW151" s="25"/>
      <c r="EX151" s="25"/>
      <c r="EY151" s="25"/>
      <c r="EZ151" s="25"/>
      <c r="FA151" s="25"/>
      <c r="FB151" s="25"/>
      <c r="FC151" s="25"/>
      <c r="FD151" s="25"/>
      <c r="FE151" s="25"/>
      <c r="FF151" s="25"/>
      <c r="FG151" s="25"/>
      <c r="FH151" s="25"/>
      <c r="FI151" s="25"/>
      <c r="FJ151" s="25"/>
    </row>
    <row r="152" spans="1:166" s="1069" customFormat="1" hidden="1" outlineLevel="1" x14ac:dyDescent="0.2">
      <c r="A152" s="1163"/>
      <c r="B152" s="219"/>
      <c r="C152" s="219"/>
      <c r="D152" s="219"/>
      <c r="E152" s="219"/>
      <c r="F152" s="219"/>
      <c r="G152" s="219"/>
      <c r="H152" s="219"/>
      <c r="I152" s="219"/>
      <c r="J152" s="219"/>
      <c r="K152" s="219"/>
      <c r="L152" s="219"/>
      <c r="M152" s="219"/>
      <c r="N152" s="219"/>
      <c r="O152" s="219"/>
      <c r="P152" s="219"/>
      <c r="Q152" s="218"/>
      <c r="R152" s="219"/>
      <c r="S152" s="219"/>
      <c r="T152" s="219"/>
      <c r="U152" s="219"/>
      <c r="V152" s="218"/>
      <c r="W152" s="219"/>
      <c r="X152" s="219"/>
      <c r="Y152" s="219"/>
      <c r="Z152" s="219"/>
      <c r="AA152" s="218"/>
      <c r="AB152" s="219"/>
      <c r="AC152" s="219"/>
      <c r="AD152" s="219"/>
      <c r="AE152" s="219"/>
      <c r="AF152" s="218"/>
      <c r="AG152" s="219"/>
      <c r="AH152" s="219"/>
      <c r="AI152" s="219"/>
      <c r="AJ152" s="219"/>
      <c r="AK152" s="218"/>
      <c r="AL152" s="219"/>
      <c r="AM152" s="219"/>
      <c r="AN152" s="219"/>
      <c r="AO152" s="219"/>
      <c r="AP152" s="218"/>
      <c r="AQ152" s="219"/>
      <c r="AR152" s="219"/>
      <c r="AS152" s="219"/>
      <c r="AT152" s="219"/>
      <c r="AU152" s="218"/>
      <c r="AV152" s="49"/>
      <c r="AW152" s="51"/>
      <c r="AX152" s="51"/>
      <c r="AY152" s="51"/>
      <c r="AZ152" s="51"/>
      <c r="BA152" s="218"/>
      <c r="BB152" s="51"/>
      <c r="BC152" s="51"/>
      <c r="BD152" s="51"/>
      <c r="BE152" s="51"/>
      <c r="BF152" s="218"/>
      <c r="BG152" s="51"/>
      <c r="BH152" s="51"/>
      <c r="BI152" s="51"/>
      <c r="BJ152" s="51"/>
      <c r="BK152" s="218"/>
      <c r="BL152" s="51"/>
      <c r="BM152" s="51"/>
      <c r="BN152" s="51"/>
      <c r="BO152" s="51"/>
      <c r="BP152" s="218"/>
      <c r="BQ152" s="51"/>
      <c r="BR152" s="51"/>
      <c r="BS152" s="51"/>
      <c r="BT152" s="51"/>
      <c r="BU152" s="218"/>
      <c r="BV152" s="51"/>
      <c r="BW152" s="1420"/>
      <c r="BX152" s="51"/>
      <c r="BY152" s="51"/>
      <c r="BZ152" s="218"/>
      <c r="CA152" s="51"/>
      <c r="CB152" s="51"/>
      <c r="CC152" s="51"/>
      <c r="CD152" s="51"/>
      <c r="CE152" s="218"/>
      <c r="CF152" s="51"/>
      <c r="CG152" s="51"/>
      <c r="CH152" s="51"/>
      <c r="CI152" s="51"/>
      <c r="CJ152" s="218"/>
      <c r="CK152" s="51"/>
      <c r="CL152" s="51"/>
      <c r="CM152" s="51"/>
      <c r="CN152" s="51"/>
      <c r="CO152" s="218"/>
      <c r="CP152" s="51"/>
      <c r="CQ152" s="51"/>
      <c r="CR152" s="51"/>
      <c r="CS152" s="51"/>
      <c r="CT152" s="218"/>
      <c r="CU152" s="51"/>
      <c r="CV152" s="51"/>
      <c r="CW152" s="51"/>
      <c r="CX152" s="51"/>
      <c r="CY152" s="218"/>
      <c r="CZ152" s="51"/>
      <c r="DA152" s="51"/>
      <c r="DB152" s="51"/>
      <c r="DC152" s="51"/>
      <c r="DD152" s="218"/>
      <c r="DE152" s="51"/>
      <c r="DF152" s="51"/>
      <c r="DG152" s="51"/>
      <c r="DH152" s="51"/>
      <c r="DI152" s="218"/>
      <c r="DJ152" s="51"/>
      <c r="DK152" s="51"/>
      <c r="DL152" s="51"/>
      <c r="DM152" s="51"/>
      <c r="DN152" s="218"/>
      <c r="DO152" s="51"/>
      <c r="DP152" s="51"/>
      <c r="DQ152" s="51"/>
      <c r="DR152" s="51"/>
      <c r="DS152" s="218"/>
      <c r="DT152" s="51"/>
      <c r="DU152" s="51"/>
      <c r="DV152" s="51"/>
      <c r="DW152" s="51"/>
      <c r="DX152" s="218"/>
      <c r="DY152" s="37"/>
      <c r="DZ152" s="37"/>
      <c r="EA152" s="37"/>
      <c r="EB152" s="66"/>
      <c r="EC152" s="66"/>
      <c r="ED152" s="66"/>
      <c r="EE152" s="66"/>
      <c r="EF152" s="66"/>
      <c r="EG152" s="66"/>
      <c r="EH152" s="66"/>
      <c r="EI152" s="66"/>
      <c r="EJ152" s="286"/>
      <c r="EK152" s="286"/>
      <c r="EL152" s="286"/>
      <c r="EM152" s="25"/>
      <c r="EN152" s="25"/>
      <c r="EO152"/>
      <c r="EP152"/>
      <c r="EQ152"/>
      <c r="ER152"/>
      <c r="ES152"/>
      <c r="ET152"/>
      <c r="EU152" s="25"/>
      <c r="EV152" s="25"/>
      <c r="EW152" s="25"/>
      <c r="EX152" s="25"/>
      <c r="EY152" s="25"/>
      <c r="EZ152" s="25"/>
      <c r="FA152" s="25"/>
      <c r="FB152" s="25"/>
      <c r="FC152" s="25"/>
      <c r="FD152" s="25"/>
      <c r="FE152" s="25"/>
      <c r="FF152" s="25"/>
      <c r="FG152" s="25"/>
      <c r="FH152" s="25"/>
      <c r="FI152" s="25"/>
      <c r="FJ152" s="25"/>
    </row>
    <row r="153" spans="1:166" hidden="1" outlineLevel="1" x14ac:dyDescent="0.2">
      <c r="A153" s="170" t="s">
        <v>803</v>
      </c>
      <c r="B153" s="65"/>
      <c r="C153" s="65"/>
      <c r="D153" s="65"/>
      <c r="E153" s="65"/>
      <c r="F153" s="65"/>
      <c r="G153" s="65"/>
      <c r="H153" s="65"/>
      <c r="I153" s="65"/>
      <c r="J153" s="65"/>
      <c r="K153" s="65"/>
      <c r="L153" s="65"/>
      <c r="M153" s="65"/>
      <c r="N153" s="65"/>
      <c r="O153" s="65"/>
      <c r="P153" s="65"/>
      <c r="Q153" s="215"/>
      <c r="R153" s="65"/>
      <c r="S153" s="65"/>
      <c r="T153" s="65"/>
      <c r="U153" s="65"/>
      <c r="V153" s="215"/>
      <c r="W153" s="65"/>
      <c r="X153" s="65"/>
      <c r="Y153" s="65"/>
      <c r="Z153" s="65"/>
      <c r="AA153" s="215"/>
      <c r="AB153" s="65"/>
      <c r="AC153" s="65"/>
      <c r="AD153" s="65"/>
      <c r="AE153" s="65"/>
      <c r="AF153" s="215"/>
      <c r="AG153" s="65"/>
      <c r="AH153" s="65"/>
      <c r="AI153" s="65"/>
      <c r="AJ153" s="65"/>
      <c r="AK153" s="215"/>
      <c r="AL153" s="65"/>
      <c r="AM153" s="65"/>
      <c r="AN153" s="65"/>
      <c r="AO153" s="65"/>
      <c r="AP153" s="215"/>
      <c r="AQ153" s="65"/>
      <c r="AR153" s="65"/>
      <c r="AS153" s="65"/>
      <c r="AT153" s="65"/>
      <c r="AU153" s="215"/>
      <c r="AV153" s="45"/>
      <c r="AW153" s="65"/>
      <c r="AX153" s="65"/>
      <c r="AY153" s="65"/>
      <c r="AZ153" s="65"/>
      <c r="BA153" s="215"/>
      <c r="BB153" s="65"/>
      <c r="BC153" s="65"/>
      <c r="BD153" s="65"/>
      <c r="BE153" s="65"/>
      <c r="BF153" s="215"/>
      <c r="BG153" s="65"/>
      <c r="BH153" s="65"/>
      <c r="BI153" s="65"/>
      <c r="BJ153" s="65"/>
      <c r="BK153" s="215"/>
      <c r="BL153" s="217"/>
      <c r="BM153" s="217"/>
      <c r="BN153" s="217"/>
      <c r="BO153" s="217"/>
      <c r="BP153" s="215"/>
      <c r="BQ153" s="217"/>
      <c r="BR153" s="65"/>
      <c r="BS153" s="217" t="s">
        <v>732</v>
      </c>
      <c r="BU153" s="215"/>
      <c r="BV153" s="51">
        <v>5.7</v>
      </c>
      <c r="BW153" s="1420">
        <v>2.2000000000000002</v>
      </c>
      <c r="BX153" s="51">
        <v>3.3</v>
      </c>
      <c r="BY153" s="51">
        <v>1.6</v>
      </c>
      <c r="BZ153" s="218">
        <v>12.8</v>
      </c>
      <c r="CA153" s="51">
        <v>3.4</v>
      </c>
      <c r="CB153" s="51">
        <v>1.9</v>
      </c>
      <c r="CC153" s="51">
        <v>3.1</v>
      </c>
      <c r="CD153" s="51">
        <v>3.83</v>
      </c>
      <c r="CE153" s="218">
        <v>14.32</v>
      </c>
      <c r="CF153" s="65"/>
      <c r="CG153" s="65">
        <f t="shared" ref="CG153:CI153" si="434">CB153</f>
        <v>1.9</v>
      </c>
      <c r="CH153" s="65">
        <f t="shared" si="434"/>
        <v>3.1</v>
      </c>
      <c r="CI153" s="65">
        <f t="shared" si="434"/>
        <v>3.83</v>
      </c>
      <c r="CJ153" s="215">
        <f>SUM(CF153:CI153)</f>
        <v>8.83</v>
      </c>
      <c r="CK153" s="65">
        <f>CF153</f>
        <v>0</v>
      </c>
      <c r="CL153" s="217">
        <f t="shared" ref="CL153" si="435">CG153</f>
        <v>1.9</v>
      </c>
      <c r="CM153" s="217">
        <f t="shared" ref="CM153" si="436">CH153</f>
        <v>3.1</v>
      </c>
      <c r="CN153" s="217">
        <f t="shared" ref="CN153" si="437">CI153</f>
        <v>3.83</v>
      </c>
      <c r="CO153" s="332">
        <f>SUM(CK153:CN153)</f>
        <v>8.83</v>
      </c>
      <c r="CP153" s="217">
        <f>CK153</f>
        <v>0</v>
      </c>
      <c r="CQ153" s="217">
        <f t="shared" ref="CQ153" si="438">CL153</f>
        <v>1.9</v>
      </c>
      <c r="CR153" s="217">
        <f t="shared" ref="CR153" si="439">CM153</f>
        <v>3.1</v>
      </c>
      <c r="CS153" s="217">
        <f t="shared" ref="CS153" si="440">CN153</f>
        <v>3.83</v>
      </c>
      <c r="CT153" s="332">
        <f>SUM(CP153:CS153)</f>
        <v>8.83</v>
      </c>
      <c r="CU153" s="217">
        <f>CP153</f>
        <v>0</v>
      </c>
      <c r="CV153" s="217">
        <f t="shared" ref="CV153" si="441">CQ153</f>
        <v>1.9</v>
      </c>
      <c r="CW153" s="217">
        <f t="shared" ref="CW153" si="442">CR153</f>
        <v>3.1</v>
      </c>
      <c r="CX153" s="217">
        <f t="shared" ref="CX153" si="443">CS153</f>
        <v>3.83</v>
      </c>
      <c r="CY153" s="332">
        <f>SUM(CU153:CX153)</f>
        <v>8.83</v>
      </c>
      <c r="CZ153" s="217">
        <f>CU153</f>
        <v>0</v>
      </c>
      <c r="DA153" s="217">
        <f t="shared" ref="DA153" si="444">CV153</f>
        <v>1.9</v>
      </c>
      <c r="DB153" s="217">
        <f t="shared" ref="DB153" si="445">CW153</f>
        <v>3.1</v>
      </c>
      <c r="DC153" s="217">
        <f t="shared" ref="DC153" si="446">CX153</f>
        <v>3.83</v>
      </c>
      <c r="DD153" s="332">
        <f>SUM(CZ153:DC153)</f>
        <v>8.83</v>
      </c>
      <c r="DE153" s="217">
        <f>CZ153</f>
        <v>0</v>
      </c>
      <c r="DF153" s="217">
        <f t="shared" ref="DF153" si="447">DA153</f>
        <v>1.9</v>
      </c>
      <c r="DG153" s="217">
        <f t="shared" ref="DG153" si="448">DB153</f>
        <v>3.1</v>
      </c>
      <c r="DH153" s="217">
        <f t="shared" ref="DH153" si="449">DC153</f>
        <v>3.83</v>
      </c>
      <c r="DI153" s="332">
        <f>SUM(DE153:DH153)</f>
        <v>8.83</v>
      </c>
      <c r="DJ153" s="217">
        <f>DE153</f>
        <v>0</v>
      </c>
      <c r="DK153" s="217">
        <f t="shared" ref="DK153" si="450">DF153</f>
        <v>1.9</v>
      </c>
      <c r="DL153" s="217">
        <f t="shared" ref="DL153" si="451">DG153</f>
        <v>3.1</v>
      </c>
      <c r="DM153" s="217">
        <f t="shared" ref="DM153" si="452">DH153</f>
        <v>3.83</v>
      </c>
      <c r="DN153" s="332">
        <f>SUM(DJ153:DM153)</f>
        <v>8.83</v>
      </c>
      <c r="DO153" s="217">
        <f>DJ153</f>
        <v>0</v>
      </c>
      <c r="DP153" s="217">
        <f t="shared" ref="DP153" si="453">DK153</f>
        <v>1.9</v>
      </c>
      <c r="DQ153" s="217">
        <f t="shared" ref="DQ153" si="454">DL153</f>
        <v>3.1</v>
      </c>
      <c r="DR153" s="217">
        <f t="shared" ref="DR153" si="455">DM153</f>
        <v>3.83</v>
      </c>
      <c r="DS153" s="332">
        <f>SUM(DO153:DR153)</f>
        <v>8.83</v>
      </c>
      <c r="DT153" s="217">
        <f>DO153</f>
        <v>0</v>
      </c>
      <c r="DU153" s="217">
        <f t="shared" ref="DU153" si="456">DP153</f>
        <v>1.9</v>
      </c>
      <c r="DV153" s="217">
        <f t="shared" ref="DV153" si="457">DQ153</f>
        <v>3.1</v>
      </c>
      <c r="DW153" s="217">
        <f t="shared" ref="DW153" si="458">DR153</f>
        <v>3.83</v>
      </c>
      <c r="DX153" s="332">
        <f>SUM(DT153:DW153)</f>
        <v>8.83</v>
      </c>
      <c r="DY153" s="21"/>
      <c r="DZ153" s="21"/>
      <c r="EA153" s="21"/>
      <c r="EB153" s="15"/>
      <c r="EC153" s="15"/>
      <c r="ED153" s="670"/>
      <c r="EE153" s="670"/>
      <c r="EF153" s="670"/>
      <c r="EG153" s="670"/>
      <c r="EH153" s="670"/>
      <c r="EI153" s="670"/>
      <c r="EJ153" s="373"/>
      <c r="EK153" s="373"/>
      <c r="EL153" s="373"/>
      <c r="EM153" s="16"/>
      <c r="EN153" s="16"/>
      <c r="EU153" s="16"/>
      <c r="EV153" s="16"/>
      <c r="EW153" s="16"/>
      <c r="EX153" s="16"/>
      <c r="EY153" s="16"/>
      <c r="EZ153" s="16"/>
      <c r="FA153" s="16"/>
      <c r="FB153" s="16"/>
      <c r="FC153" s="16"/>
      <c r="FD153" s="16"/>
      <c r="FE153" s="16"/>
      <c r="FF153" s="16"/>
      <c r="FG153" s="16"/>
      <c r="FH153" s="16"/>
      <c r="FI153" s="16"/>
      <c r="FJ153" s="16"/>
    </row>
    <row r="154" spans="1:166" s="1069" customFormat="1" hidden="1" outlineLevel="1" x14ac:dyDescent="0.2">
      <c r="A154" s="1163" t="s">
        <v>774</v>
      </c>
      <c r="B154" s="219"/>
      <c r="C154" s="219"/>
      <c r="D154" s="219"/>
      <c r="E154" s="219"/>
      <c r="F154" s="219"/>
      <c r="G154" s="219"/>
      <c r="H154" s="219"/>
      <c r="I154" s="219"/>
      <c r="J154" s="219"/>
      <c r="K154" s="219"/>
      <c r="L154" s="219"/>
      <c r="M154" s="219"/>
      <c r="N154" s="219"/>
      <c r="O154" s="219"/>
      <c r="P154" s="219"/>
      <c r="Q154" s="218"/>
      <c r="R154" s="219"/>
      <c r="S154" s="219"/>
      <c r="T154" s="219"/>
      <c r="U154" s="219"/>
      <c r="V154" s="218"/>
      <c r="W154" s="219"/>
      <c r="X154" s="219"/>
      <c r="Y154" s="219"/>
      <c r="Z154" s="219"/>
      <c r="AA154" s="218"/>
      <c r="AB154" s="219"/>
      <c r="AC154" s="219"/>
      <c r="AD154" s="219"/>
      <c r="AE154" s="219"/>
      <c r="AF154" s="218"/>
      <c r="AG154" s="219"/>
      <c r="AH154" s="219"/>
      <c r="AI154" s="219"/>
      <c r="AJ154" s="219"/>
      <c r="AK154" s="218"/>
      <c r="AL154" s="219"/>
      <c r="AM154" s="219"/>
      <c r="AN154" s="219"/>
      <c r="AO154" s="219"/>
      <c r="AP154" s="218"/>
      <c r="AQ154" s="219"/>
      <c r="AR154" s="219"/>
      <c r="AS154" s="219"/>
      <c r="AT154" s="219"/>
      <c r="AU154" s="218"/>
      <c r="AV154" s="49"/>
      <c r="AW154" s="219">
        <f t="shared" ref="AW154:AX154" si="459">-AW43</f>
        <v>26.3</v>
      </c>
      <c r="AX154" s="219">
        <f t="shared" si="459"/>
        <v>60.200000000000017</v>
      </c>
      <c r="AY154" s="219">
        <f>-AY43</f>
        <v>14</v>
      </c>
      <c r="AZ154" s="219">
        <f t="shared" ref="AZ154" si="460">-AZ43</f>
        <v>32.6</v>
      </c>
      <c r="BA154" s="218">
        <f>SUM(AW154:AZ154)</f>
        <v>133.10000000000002</v>
      </c>
      <c r="BB154" s="219">
        <f t="shared" ref="BB154:BC154" si="461">-BB43</f>
        <v>9.6999999999999993</v>
      </c>
      <c r="BC154" s="219">
        <f t="shared" si="461"/>
        <v>13.8</v>
      </c>
      <c r="BD154" s="219">
        <f>-BD43</f>
        <v>18.5</v>
      </c>
      <c r="BE154" s="219">
        <f t="shared" ref="BE154" si="462">-BE43</f>
        <v>40.099999999999994</v>
      </c>
      <c r="BF154" s="218">
        <f>SUM(BB154:BE154)</f>
        <v>82.1</v>
      </c>
      <c r="BG154" s="219">
        <f t="shared" ref="BG154:BH154" si="463">-BG43</f>
        <v>16.600000000000001</v>
      </c>
      <c r="BH154" s="219">
        <f t="shared" si="463"/>
        <v>-2.8000000000000007</v>
      </c>
      <c r="BI154" s="219">
        <f>-BI43</f>
        <v>23.900000000000002</v>
      </c>
      <c r="BJ154" s="219">
        <f t="shared" ref="BJ154" si="464">-BJ43</f>
        <v>32.5</v>
      </c>
      <c r="BK154" s="218">
        <f>SUM(BG154:BJ154)</f>
        <v>70.2</v>
      </c>
      <c r="BL154" s="219">
        <f t="shared" ref="BL154:BM154" si="465">-BL43</f>
        <v>7.3</v>
      </c>
      <c r="BM154" s="219">
        <f t="shared" si="465"/>
        <v>1.2999999999999998</v>
      </c>
      <c r="BN154" s="219">
        <f>-BN43</f>
        <v>2.2000000000000011</v>
      </c>
      <c r="BO154" s="219">
        <f t="shared" ref="BO154" si="466">-BO43</f>
        <v>14.7</v>
      </c>
      <c r="BP154" s="218">
        <f>SUM(BL154:BO154)</f>
        <v>25.5</v>
      </c>
      <c r="BQ154" s="219">
        <f t="shared" ref="BQ154:BR154" si="467">-BQ43</f>
        <v>3.4</v>
      </c>
      <c r="BR154" s="219">
        <f t="shared" si="467"/>
        <v>3.8000000000000003</v>
      </c>
      <c r="BS154" s="219">
        <f>-BS43</f>
        <v>3.4999999999999987</v>
      </c>
      <c r="BT154" s="219">
        <f t="shared" ref="BT154" si="468">-BT43</f>
        <v>20.2</v>
      </c>
      <c r="BU154" s="218">
        <f>SUM(BQ154:BT154)</f>
        <v>30.9</v>
      </c>
      <c r="BV154" s="219">
        <f>-BV43</f>
        <v>29.4</v>
      </c>
      <c r="BW154" s="219">
        <f t="shared" ref="BW154:BX154" si="469">-BW43</f>
        <v>27.6</v>
      </c>
      <c r="BX154" s="219">
        <f t="shared" si="469"/>
        <v>25.900000000000006</v>
      </c>
      <c r="BY154" s="219">
        <f t="shared" ref="BY154" si="470">BY137+BY151</f>
        <v>80.382931570562192</v>
      </c>
      <c r="BZ154" s="218">
        <f>SUM(BV154:BY154)</f>
        <v>163.2829315705622</v>
      </c>
      <c r="CA154" s="219">
        <f>CA137+CA151</f>
        <v>6.3067751851117073</v>
      </c>
      <c r="CB154" s="219">
        <f t="shared" ref="CB154:CD154" si="471">CB137+CB151</f>
        <v>7.9988399016754776</v>
      </c>
      <c r="CC154" s="219">
        <f t="shared" si="471"/>
        <v>10.253651947856508</v>
      </c>
      <c r="CD154" s="219">
        <f t="shared" si="471"/>
        <v>16.433651947856511</v>
      </c>
      <c r="CE154" s="218">
        <f>SUM(CA154:CD154)</f>
        <v>40.9929189825002</v>
      </c>
      <c r="CF154" s="219">
        <f t="shared" ref="CF154" si="472">CF137+CF151+CF153</f>
        <v>8.1001336622147804</v>
      </c>
      <c r="CG154" s="219">
        <f t="shared" ref="CG154" si="473">CG137+CG151+CG153</f>
        <v>10.000133662214781</v>
      </c>
      <c r="CH154" s="219">
        <f t="shared" ref="CH154" si="474">CH137+CH151+CH153</f>
        <v>13.500253142660972</v>
      </c>
      <c r="CI154" s="219">
        <f>CI137+CI151+CI153</f>
        <v>20.595653142660971</v>
      </c>
      <c r="CJ154" s="218">
        <f>SUM(CF154:CI154)</f>
        <v>52.196173609751504</v>
      </c>
      <c r="CK154" s="219">
        <f t="shared" ref="CK154" si="475">CK137+CK151+CK153</f>
        <v>8.3431376720812231</v>
      </c>
      <c r="CL154" s="219">
        <f t="shared" ref="CL154" si="476">CL137+CL151+CL153</f>
        <v>10.243137672081223</v>
      </c>
      <c r="CM154" s="219">
        <f t="shared" ref="CM154" si="477">CM137+CM151+CM153</f>
        <v>13.8122607369408</v>
      </c>
      <c r="CN154" s="219">
        <f>CN137+CN151+CN153</f>
        <v>21.098622736940804</v>
      </c>
      <c r="CO154" s="218">
        <f>SUM(CK154:CN154)</f>
        <v>53.497158818044049</v>
      </c>
      <c r="CP154" s="219">
        <f t="shared" ref="CP154" si="478">CP137+CP151+CP153</f>
        <v>8.5934318022436607</v>
      </c>
      <c r="CQ154" s="219">
        <f t="shared" ref="CQ154" si="479">CQ137+CQ151+CQ153</f>
        <v>10.493431802243661</v>
      </c>
      <c r="CR154" s="219">
        <f t="shared" ref="CR154" si="480">CR137+CR151+CR153</f>
        <v>14.133628559049024</v>
      </c>
      <c r="CS154" s="219">
        <f>CS137+CS151+CS153</f>
        <v>21.616681419049023</v>
      </c>
      <c r="CT154" s="218">
        <f>SUM(CP154:CS154)</f>
        <v>54.837173582585365</v>
      </c>
      <c r="CU154" s="219">
        <f t="shared" ref="CU154" si="481">CU137+CU151+CU153</f>
        <v>8.8512347563109692</v>
      </c>
      <c r="CV154" s="219">
        <f t="shared" ref="CV154" si="482">CV137+CV151+CV153</f>
        <v>10.75123475631097</v>
      </c>
      <c r="CW154" s="219">
        <f t="shared" ref="CW154" si="483">CW137+CW151+CW153</f>
        <v>14.464637415820496</v>
      </c>
      <c r="CX154" s="219">
        <f>CX137+CX151+CX153</f>
        <v>22.150281861620499</v>
      </c>
      <c r="CY154" s="218">
        <f>SUM(CU154:CX154)</f>
        <v>56.217388790062934</v>
      </c>
      <c r="CZ154" s="219">
        <f t="shared" ref="CZ154" si="484">CZ137+CZ151+CZ153</f>
        <v>9.1167717990003005</v>
      </c>
      <c r="DA154" s="219">
        <f t="shared" ref="DA154" si="485">DA137+DA151+DA153</f>
        <v>11.016771799000301</v>
      </c>
      <c r="DB154" s="219">
        <f t="shared" ref="DB154" si="486">DB137+DB151+DB153</f>
        <v>14.805576538295108</v>
      </c>
      <c r="DC154" s="219">
        <f>DC137+DC151+DC153</f>
        <v>22.699890317469112</v>
      </c>
      <c r="DD154" s="218">
        <f>SUM(CZ154:DC154)</f>
        <v>57.639010453764818</v>
      </c>
      <c r="DE154" s="219">
        <f t="shared" ref="DE154" si="487">DE137+DE151+DE153</f>
        <v>9.3902749529703087</v>
      </c>
      <c r="DF154" s="219">
        <f t="shared" ref="DF154" si="488">DF137+DF151+DF153</f>
        <v>11.290274952970309</v>
      </c>
      <c r="DG154" s="219">
        <f t="shared" ref="DG154" si="489">DG137+DG151+DG153</f>
        <v>15.156743834443963</v>
      </c>
      <c r="DH154" s="219">
        <f>DH137+DH151+DH153</f>
        <v>23.265987026993187</v>
      </c>
      <c r="DI154" s="218">
        <f>SUM(DE154:DH154)</f>
        <v>59.103280767377768</v>
      </c>
      <c r="DJ154" s="219">
        <f t="shared" ref="DJ154" si="490">DJ137+DJ151+DJ153</f>
        <v>9.6719832015594172</v>
      </c>
      <c r="DK154" s="219">
        <f t="shared" ref="DK154" si="491">DK137+DK151+DK153</f>
        <v>11.571983201559418</v>
      </c>
      <c r="DL154" s="219">
        <f t="shared" ref="DL154" si="492">DL137+DL151+DL153</f>
        <v>15.518446149477283</v>
      </c>
      <c r="DM154" s="219">
        <f>DM137+DM151+DM153</f>
        <v>23.849066637802984</v>
      </c>
      <c r="DN154" s="218">
        <f>SUM(DJ154:DM154)</f>
        <v>60.611479190399102</v>
      </c>
      <c r="DO154" s="219">
        <f t="shared" ref="DO154" si="493">DO137+DO151+DO153</f>
        <v>9.9621426976062004</v>
      </c>
      <c r="DP154" s="219">
        <f t="shared" ref="DP154" si="494">DP137+DP151+DP153</f>
        <v>11.862142697606201</v>
      </c>
      <c r="DQ154" s="219">
        <f t="shared" ref="DQ154" si="495">DQ137+DQ151+DQ153</f>
        <v>15.890999533961603</v>
      </c>
      <c r="DR154" s="219">
        <f>DR137+DR151+DR153</f>
        <v>24.449638636937074</v>
      </c>
      <c r="DS154" s="218">
        <f>SUM(DO154:DR154)</f>
        <v>62.164923566111078</v>
      </c>
      <c r="DT154" s="219">
        <f t="shared" ref="DT154:DV154" si="496">DT137+DT151+DT153</f>
        <v>10.261006978534388</v>
      </c>
      <c r="DU154" s="219">
        <f t="shared" si="496"/>
        <v>12.161006978534388</v>
      </c>
      <c r="DV154" s="219">
        <f t="shared" si="496"/>
        <v>16.27472951998045</v>
      </c>
      <c r="DW154" s="219">
        <f>DW137+DW151+DW153</f>
        <v>25.068227796045186</v>
      </c>
      <c r="DX154" s="218">
        <f>SUM(DT154:DW154)</f>
        <v>63.76497127309441</v>
      </c>
      <c r="DY154" s="37"/>
      <c r="DZ154" s="37"/>
      <c r="EA154" s="37"/>
      <c r="EB154" s="66"/>
      <c r="EC154" s="66"/>
      <c r="ED154" s="66"/>
      <c r="EE154" s="66"/>
      <c r="EF154" s="66"/>
      <c r="EG154" s="66"/>
      <c r="EH154" s="66"/>
      <c r="EI154" s="66"/>
      <c r="EJ154" s="286"/>
      <c r="EK154" s="286"/>
      <c r="EL154" s="286"/>
      <c r="EM154" s="25"/>
      <c r="EN154" s="25"/>
      <c r="EO154"/>
      <c r="EP154"/>
      <c r="EQ154"/>
      <c r="ER154"/>
      <c r="ES154"/>
      <c r="ET154"/>
      <c r="EU154" s="25"/>
      <c r="EV154" s="25"/>
      <c r="EW154" s="25"/>
      <c r="EX154" s="25"/>
      <c r="EY154" s="25"/>
      <c r="EZ154" s="25"/>
      <c r="FA154" s="25"/>
      <c r="FB154" s="25"/>
      <c r="FC154" s="25"/>
      <c r="FD154" s="25"/>
      <c r="FE154" s="25"/>
      <c r="FF154" s="25"/>
      <c r="FG154" s="25"/>
      <c r="FH154" s="25"/>
      <c r="FI154" s="25"/>
      <c r="FJ154" s="25"/>
    </row>
    <row r="155" spans="1:166" hidden="1" outlineLevel="1" x14ac:dyDescent="0.2">
      <c r="A155" s="625"/>
      <c r="B155" s="628"/>
      <c r="C155" s="628"/>
      <c r="D155" s="628"/>
      <c r="E155" s="628"/>
      <c r="F155" s="628"/>
      <c r="G155" s="628"/>
      <c r="H155" s="628"/>
      <c r="I155" s="628"/>
      <c r="J155" s="628"/>
      <c r="K155" s="628"/>
      <c r="L155" s="628"/>
      <c r="M155" s="628"/>
      <c r="N155" s="628"/>
      <c r="O155" s="628"/>
      <c r="P155" s="628"/>
      <c r="Q155" s="627"/>
      <c r="R155" s="628"/>
      <c r="S155" s="628"/>
      <c r="T155" s="628"/>
      <c r="U155" s="628"/>
      <c r="V155" s="627"/>
      <c r="W155" s="628"/>
      <c r="X155" s="628"/>
      <c r="Y155" s="628"/>
      <c r="Z155" s="628"/>
      <c r="AA155" s="627"/>
      <c r="AB155" s="628"/>
      <c r="AC155" s="628"/>
      <c r="AD155" s="628"/>
      <c r="AE155" s="628"/>
      <c r="AF155" s="627"/>
      <c r="AG155" s="628"/>
      <c r="AH155" s="628"/>
      <c r="AI155" s="628"/>
      <c r="AJ155" s="628"/>
      <c r="AK155" s="627"/>
      <c r="AL155" s="628"/>
      <c r="AM155" s="628"/>
      <c r="AN155" s="628"/>
      <c r="AO155" s="628"/>
      <c r="AP155" s="627"/>
      <c r="AQ155" s="628"/>
      <c r="AR155" s="628"/>
      <c r="AS155" s="628"/>
      <c r="AT155" s="628"/>
      <c r="AU155" s="627"/>
      <c r="AV155" s="45"/>
      <c r="AW155" s="710"/>
      <c r="AX155" s="628"/>
      <c r="AY155" s="628"/>
      <c r="AZ155" s="628"/>
      <c r="BA155" s="627"/>
      <c r="BB155" s="628"/>
      <c r="BC155" s="628"/>
      <c r="BD155" s="628"/>
      <c r="BE155" s="628"/>
      <c r="BF155" s="627"/>
      <c r="BG155" s="628"/>
      <c r="BH155" s="628"/>
      <c r="BI155" s="628"/>
      <c r="BJ155" s="628"/>
      <c r="BK155" s="627"/>
      <c r="BL155" s="629"/>
      <c r="BM155" s="629"/>
      <c r="BN155" s="629"/>
      <c r="BO155" s="629"/>
      <c r="BP155" s="627"/>
      <c r="BQ155" s="629"/>
      <c r="BR155" s="628"/>
      <c r="BS155" s="629"/>
      <c r="BT155" s="629"/>
      <c r="BU155" s="627"/>
      <c r="BV155" s="628"/>
      <c r="BW155" s="1412"/>
      <c r="BX155" s="628"/>
      <c r="BY155" s="628"/>
      <c r="BZ155" s="627"/>
      <c r="CA155" s="628"/>
      <c r="CB155" s="628"/>
      <c r="CC155" s="628"/>
      <c r="CD155" s="628"/>
      <c r="CE155" s="627"/>
      <c r="CF155" s="628"/>
      <c r="CG155" s="628"/>
      <c r="CH155" s="628"/>
      <c r="CI155" s="628"/>
      <c r="CJ155" s="627"/>
      <c r="CK155" s="628"/>
      <c r="CL155" s="629"/>
      <c r="CM155" s="629"/>
      <c r="CN155" s="629"/>
      <c r="CO155" s="630"/>
      <c r="CP155" s="629"/>
      <c r="CQ155" s="629"/>
      <c r="CR155" s="629"/>
      <c r="CS155" s="629"/>
      <c r="CT155" s="630"/>
      <c r="CU155" s="629"/>
      <c r="CV155" s="629"/>
      <c r="CW155" s="629"/>
      <c r="CX155" s="629"/>
      <c r="CY155" s="630"/>
      <c r="CZ155" s="629"/>
      <c r="DA155" s="629"/>
      <c r="DB155" s="629"/>
      <c r="DC155" s="629"/>
      <c r="DD155" s="630"/>
      <c r="DE155" s="629"/>
      <c r="DF155" s="629"/>
      <c r="DG155" s="629"/>
      <c r="DH155" s="629"/>
      <c r="DI155" s="630"/>
      <c r="DJ155" s="629"/>
      <c r="DK155" s="629"/>
      <c r="DL155" s="629"/>
      <c r="DM155" s="629"/>
      <c r="DN155" s="630"/>
      <c r="DO155" s="629"/>
      <c r="DP155" s="629"/>
      <c r="DQ155" s="629"/>
      <c r="DR155" s="629"/>
      <c r="DS155" s="630"/>
      <c r="DT155" s="629"/>
      <c r="DU155" s="629"/>
      <c r="DV155" s="629"/>
      <c r="DW155" s="629"/>
      <c r="DX155" s="630"/>
      <c r="DY155" s="21"/>
      <c r="DZ155" s="21"/>
      <c r="EA155" s="21"/>
      <c r="EB155" s="15"/>
      <c r="EC155" s="15"/>
      <c r="ED155" s="670"/>
      <c r="EE155" s="670"/>
      <c r="EF155" s="670"/>
      <c r="EG155" s="670"/>
      <c r="EH155" s="670"/>
      <c r="EI155" s="670"/>
      <c r="EJ155" s="373"/>
      <c r="EK155" s="373"/>
      <c r="EL155" s="373"/>
      <c r="EM155" s="16"/>
      <c r="EN155" s="16"/>
      <c r="EU155" s="16"/>
      <c r="EV155" s="16"/>
      <c r="EW155" s="16"/>
      <c r="EX155" s="16"/>
      <c r="EY155" s="16"/>
      <c r="EZ155" s="16"/>
      <c r="FA155" s="16"/>
      <c r="FB155" s="16"/>
      <c r="FC155" s="16"/>
      <c r="FD155" s="16"/>
      <c r="FE155" s="16"/>
      <c r="FF155" s="16"/>
      <c r="FG155" s="16"/>
      <c r="FH155" s="16"/>
      <c r="FI155" s="16"/>
      <c r="FJ155" s="16"/>
    </row>
    <row r="156" spans="1:166" collapsed="1" x14ac:dyDescent="0.2">
      <c r="A156" s="16"/>
      <c r="B156" s="16"/>
      <c r="C156" s="16"/>
      <c r="D156" s="16"/>
      <c r="E156" s="16"/>
      <c r="F156" s="16"/>
      <c r="G156" s="16"/>
      <c r="H156" s="16"/>
      <c r="I156" s="16"/>
      <c r="J156" s="16"/>
      <c r="K156" s="16"/>
      <c r="L156" s="16"/>
      <c r="M156" s="16"/>
      <c r="N156" s="226"/>
      <c r="O156" s="227"/>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6"/>
      <c r="AU156" s="16"/>
      <c r="AV156" s="45"/>
      <c r="AW156" s="16"/>
      <c r="AX156" s="16"/>
      <c r="AY156" s="21"/>
      <c r="AZ156" s="21"/>
      <c r="BA156" s="16"/>
      <c r="BB156" s="16"/>
      <c r="BC156" s="16"/>
      <c r="BD156" s="16"/>
      <c r="BE156" s="16"/>
      <c r="BF156" s="16"/>
      <c r="BG156" s="16"/>
      <c r="BH156" s="16"/>
      <c r="BI156" s="16"/>
      <c r="BJ156" s="16"/>
      <c r="BK156" s="16"/>
      <c r="BL156" s="16"/>
      <c r="BM156" s="16"/>
      <c r="BN156" s="16"/>
      <c r="BO156" s="16"/>
      <c r="BP156" s="16"/>
      <c r="BQ156" s="16"/>
      <c r="BR156" s="16"/>
      <c r="BS156" s="16"/>
      <c r="BT156" s="16"/>
      <c r="BU156" s="16"/>
      <c r="BV156" s="16"/>
      <c r="BW156" s="1353"/>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c r="CX156" s="16"/>
      <c r="CY156" s="16"/>
      <c r="CZ156" s="16"/>
      <c r="DA156" s="16"/>
      <c r="DB156" s="16"/>
      <c r="DC156" s="16"/>
      <c r="DD156" s="16"/>
      <c r="DE156" s="16"/>
      <c r="DF156" s="16"/>
      <c r="DG156" s="16"/>
      <c r="DH156" s="16"/>
      <c r="DI156" s="16"/>
      <c r="DJ156" s="16"/>
      <c r="DK156" s="16"/>
      <c r="DL156" s="16"/>
      <c r="DM156" s="16"/>
      <c r="DN156" s="16"/>
      <c r="DO156" s="16"/>
      <c r="DP156" s="16"/>
      <c r="DQ156" s="16"/>
      <c r="DR156" s="16"/>
      <c r="DS156" s="16"/>
      <c r="DT156" s="16"/>
      <c r="DU156" s="16"/>
      <c r="DV156" s="16"/>
      <c r="DW156" s="16"/>
      <c r="DX156" s="16"/>
      <c r="DY156" s="16"/>
      <c r="DZ156" s="16"/>
      <c r="EA156" s="16"/>
      <c r="EB156" s="173"/>
      <c r="EC156" s="173"/>
      <c r="ED156" s="173"/>
      <c r="EE156" s="173"/>
      <c r="EF156" s="16"/>
      <c r="EG156" s="16"/>
      <c r="EH156" s="16"/>
      <c r="EI156" s="16"/>
      <c r="EJ156" s="21"/>
      <c r="EK156" s="21"/>
      <c r="EL156" s="21"/>
      <c r="EM156" s="16"/>
      <c r="EN156" s="16"/>
      <c r="EU156" s="16"/>
      <c r="EV156" s="16"/>
      <c r="EW156" s="16"/>
      <c r="EX156" s="16"/>
      <c r="EY156" s="16"/>
      <c r="EZ156" s="16"/>
      <c r="FA156" s="16"/>
      <c r="FB156" s="16"/>
      <c r="FC156" s="16"/>
      <c r="FD156" s="16"/>
      <c r="FE156" s="16"/>
      <c r="FF156" s="16"/>
      <c r="FG156" s="16"/>
      <c r="FH156" s="16"/>
      <c r="FI156" s="16"/>
      <c r="FJ156" s="16"/>
    </row>
    <row r="157" spans="1:166" x14ac:dyDescent="0.2">
      <c r="A157" s="13" t="s">
        <v>564</v>
      </c>
      <c r="B157" s="324"/>
      <c r="C157" s="324"/>
      <c r="D157" s="324"/>
      <c r="E157" s="324"/>
      <c r="F157" s="324"/>
      <c r="G157" s="324"/>
      <c r="H157" s="324"/>
      <c r="I157" s="324"/>
      <c r="J157" s="324"/>
      <c r="K157" s="324"/>
      <c r="L157" s="324"/>
      <c r="M157" s="324"/>
      <c r="N157" s="324"/>
      <c r="O157" s="324"/>
      <c r="P157" s="324"/>
      <c r="Q157" s="324"/>
      <c r="R157" s="324"/>
      <c r="S157" s="324"/>
      <c r="T157" s="324"/>
      <c r="U157" s="324"/>
      <c r="V157" s="324"/>
      <c r="W157" s="324"/>
      <c r="X157" s="324"/>
      <c r="Y157" s="324"/>
      <c r="Z157" s="324"/>
      <c r="AA157" s="325"/>
      <c r="AB157" s="324"/>
      <c r="AC157" s="324"/>
      <c r="AD157" s="325"/>
      <c r="AE157" s="325"/>
      <c r="AF157" s="326"/>
      <c r="AG157" s="324"/>
      <c r="AH157" s="324"/>
      <c r="AI157" s="324"/>
      <c r="AJ157" s="324"/>
      <c r="AK157" s="598"/>
      <c r="AL157" s="324"/>
      <c r="AM157" s="324"/>
      <c r="AN157" s="324"/>
      <c r="AO157" s="324"/>
      <c r="AP157" s="598"/>
      <c r="AQ157" s="324"/>
      <c r="AR157" s="324"/>
      <c r="AS157" s="324"/>
      <c r="AT157" s="324"/>
      <c r="AU157" s="598"/>
      <c r="AV157" s="45"/>
      <c r="AW157" s="324"/>
      <c r="AX157" s="324"/>
      <c r="AY157" s="324"/>
      <c r="AZ157" s="324"/>
      <c r="BA157" s="598"/>
      <c r="BB157" s="324"/>
      <c r="BC157" s="324"/>
      <c r="BD157" s="324"/>
      <c r="BE157" s="324"/>
      <c r="BF157" s="598"/>
      <c r="BG157" s="324"/>
      <c r="BH157" s="324"/>
      <c r="BI157" s="324"/>
      <c r="BJ157" s="325"/>
      <c r="BK157" s="326"/>
      <c r="BL157" s="325"/>
      <c r="BM157" s="325"/>
      <c r="BN157" s="325"/>
      <c r="BO157" s="325"/>
      <c r="BP157" s="326"/>
      <c r="BQ157" s="325"/>
      <c r="BR157" s="324"/>
      <c r="BS157" s="325"/>
      <c r="BT157" s="325"/>
      <c r="BU157" s="326"/>
      <c r="BV157" s="324"/>
      <c r="BW157" s="1413"/>
      <c r="BX157" s="324"/>
      <c r="BY157" s="324"/>
      <c r="BZ157" s="598"/>
      <c r="CA157" s="324"/>
      <c r="CB157" s="324"/>
      <c r="CC157" s="324"/>
      <c r="CD157" s="324"/>
      <c r="CE157" s="598"/>
      <c r="CF157" s="324"/>
      <c r="CG157" s="324"/>
      <c r="CH157" s="324"/>
      <c r="CI157" s="324"/>
      <c r="CJ157" s="598"/>
      <c r="CK157" s="324"/>
      <c r="CL157" s="325"/>
      <c r="CM157" s="325"/>
      <c r="CN157" s="325"/>
      <c r="CO157" s="326"/>
      <c r="CP157" s="325"/>
      <c r="CQ157" s="325"/>
      <c r="CR157" s="325"/>
      <c r="CS157" s="325"/>
      <c r="CT157" s="326"/>
      <c r="CU157" s="325"/>
      <c r="CV157" s="325"/>
      <c r="CW157" s="325"/>
      <c r="CX157" s="325"/>
      <c r="CY157" s="326"/>
      <c r="CZ157" s="325"/>
      <c r="DA157" s="325"/>
      <c r="DB157" s="325"/>
      <c r="DC157" s="325"/>
      <c r="DD157" s="326"/>
      <c r="DE157" s="325"/>
      <c r="DF157" s="325"/>
      <c r="DG157" s="325"/>
      <c r="DH157" s="325"/>
      <c r="DI157" s="326"/>
      <c r="DJ157" s="325"/>
      <c r="DK157" s="325"/>
      <c r="DL157" s="325"/>
      <c r="DM157" s="325"/>
      <c r="DN157" s="326"/>
      <c r="DO157" s="325"/>
      <c r="DP157" s="325"/>
      <c r="DQ157" s="325"/>
      <c r="DR157" s="325"/>
      <c r="DS157" s="326"/>
      <c r="DT157" s="325"/>
      <c r="DU157" s="325"/>
      <c r="DV157" s="325"/>
      <c r="DW157" s="325"/>
      <c r="DX157" s="326"/>
      <c r="DY157" s="21"/>
      <c r="DZ157" s="21"/>
      <c r="EA157" s="21"/>
      <c r="EB157" s="15"/>
      <c r="EC157" s="15"/>
      <c r="ED157" s="670"/>
      <c r="EE157" s="670"/>
      <c r="EF157" s="670"/>
      <c r="EG157" s="670"/>
      <c r="EH157" s="670"/>
      <c r="EI157" s="670"/>
      <c r="EJ157" s="373"/>
      <c r="EK157" s="373"/>
      <c r="EL157" s="373"/>
      <c r="EM157" s="16"/>
      <c r="EN157" s="16"/>
      <c r="EU157" s="16"/>
      <c r="EV157" s="16"/>
      <c r="EW157" s="16"/>
      <c r="EX157" s="16"/>
      <c r="EY157" s="16"/>
      <c r="EZ157" s="16"/>
      <c r="FA157" s="16"/>
      <c r="FB157" s="16"/>
      <c r="FC157" s="16"/>
      <c r="FD157" s="16"/>
      <c r="FE157" s="16"/>
      <c r="FF157" s="16"/>
      <c r="FG157" s="16"/>
      <c r="FH157" s="16"/>
      <c r="FI157" s="16"/>
      <c r="FJ157" s="16"/>
    </row>
    <row r="158" spans="1:166" x14ac:dyDescent="0.2">
      <c r="A158" s="170" t="s">
        <v>565</v>
      </c>
      <c r="B158" s="65"/>
      <c r="C158" s="65"/>
      <c r="D158" s="65"/>
      <c r="E158" s="65"/>
      <c r="F158" s="65"/>
      <c r="G158" s="65"/>
      <c r="H158" s="65"/>
      <c r="I158" s="65"/>
      <c r="J158" s="65"/>
      <c r="K158" s="65"/>
      <c r="L158" s="65"/>
      <c r="M158" s="65"/>
      <c r="N158" s="65"/>
      <c r="O158" s="65"/>
      <c r="P158" s="65"/>
      <c r="Q158" s="328"/>
      <c r="R158" s="321"/>
      <c r="S158" s="321"/>
      <c r="T158" s="321"/>
      <c r="U158" s="321"/>
      <c r="V158" s="328"/>
      <c r="W158" s="65"/>
      <c r="X158" s="65"/>
      <c r="Y158" s="65"/>
      <c r="Z158" s="65"/>
      <c r="AA158" s="328"/>
      <c r="AB158" s="65"/>
      <c r="AC158" s="65"/>
      <c r="AD158" s="65"/>
      <c r="AE158" s="65"/>
      <c r="AF158" s="328"/>
      <c r="AG158" s="65"/>
      <c r="AH158" s="65"/>
      <c r="AI158" s="65"/>
      <c r="AJ158" s="65"/>
      <c r="AK158" s="328"/>
      <c r="AL158" s="65"/>
      <c r="AM158" s="65"/>
      <c r="AN158" s="65"/>
      <c r="AO158" s="65"/>
      <c r="AP158" s="328"/>
      <c r="AQ158" s="65"/>
      <c r="AR158" s="65"/>
      <c r="AS158" s="65"/>
      <c r="AT158" s="65"/>
      <c r="AU158" s="328"/>
      <c r="AV158" s="45"/>
      <c r="AW158" s="65"/>
      <c r="AX158" s="65"/>
      <c r="AY158" s="65"/>
      <c r="AZ158" s="65"/>
      <c r="BA158" s="328"/>
      <c r="BB158" s="65">
        <f t="shared" ref="BB158:BO158" si="497">-BB66</f>
        <v>0</v>
      </c>
      <c r="BC158" s="65">
        <f t="shared" si="497"/>
        <v>0</v>
      </c>
      <c r="BD158" s="65">
        <f t="shared" si="497"/>
        <v>0</v>
      </c>
      <c r="BE158" s="65">
        <f t="shared" si="497"/>
        <v>393.4</v>
      </c>
      <c r="BF158" s="328">
        <f t="shared" si="497"/>
        <v>393.4</v>
      </c>
      <c r="BG158" s="65">
        <f t="shared" si="497"/>
        <v>0</v>
      </c>
      <c r="BH158" s="65">
        <f t="shared" si="497"/>
        <v>0</v>
      </c>
      <c r="BI158" s="65">
        <f t="shared" si="497"/>
        <v>0</v>
      </c>
      <c r="BJ158" s="65">
        <f t="shared" si="497"/>
        <v>14</v>
      </c>
      <c r="BK158" s="328">
        <f>-BK66</f>
        <v>14</v>
      </c>
      <c r="BL158" s="65">
        <f t="shared" si="497"/>
        <v>17.5</v>
      </c>
      <c r="BM158" s="65">
        <f t="shared" si="497"/>
        <v>21.1</v>
      </c>
      <c r="BN158" s="65">
        <f t="shared" si="497"/>
        <v>21.1</v>
      </c>
      <c r="BO158" s="65">
        <f t="shared" si="497"/>
        <v>24.599999999999994</v>
      </c>
      <c r="BP158" s="328">
        <f>-BP66</f>
        <v>84.3</v>
      </c>
      <c r="BQ158" s="65">
        <f>BQ159*IS!BQ390</f>
        <v>24.654</v>
      </c>
      <c r="BR158" s="65">
        <f>BR159*IS!BR390</f>
        <v>24.661000000000005</v>
      </c>
      <c r="BS158" s="65">
        <f>BS159*IS!BS390</f>
        <v>24.632999999999999</v>
      </c>
      <c r="BT158" s="65">
        <f>BT159*IS!BT390</f>
        <v>28.665310625000004</v>
      </c>
      <c r="BU158" s="328">
        <f>SUM(BQ158:BT158)</f>
        <v>102.61331062500001</v>
      </c>
      <c r="BV158" s="65"/>
      <c r="BW158" s="1385"/>
      <c r="BX158" s="65"/>
      <c r="BY158" s="65"/>
      <c r="BZ158" s="328"/>
      <c r="CA158" s="65"/>
      <c r="CB158" s="65"/>
      <c r="CC158" s="65"/>
      <c r="CD158" s="65"/>
      <c r="CE158" s="328"/>
      <c r="CF158" s="65"/>
      <c r="CG158" s="65"/>
      <c r="CH158" s="65"/>
      <c r="CI158" s="65"/>
      <c r="CJ158" s="328"/>
      <c r="CK158" s="65"/>
      <c r="CL158" s="217"/>
      <c r="CM158" s="217"/>
      <c r="CN158" s="217"/>
      <c r="CO158" s="331"/>
      <c r="CP158" s="217"/>
      <c r="CQ158" s="217"/>
      <c r="CR158" s="217"/>
      <c r="CS158" s="217"/>
      <c r="CT158" s="331"/>
      <c r="CU158" s="217"/>
      <c r="CV158" s="217"/>
      <c r="CW158" s="217"/>
      <c r="CX158" s="217"/>
      <c r="CY158" s="331"/>
      <c r="CZ158" s="217"/>
      <c r="DA158" s="217"/>
      <c r="DB158" s="217"/>
      <c r="DC158" s="217"/>
      <c r="DD158" s="331"/>
      <c r="DE158" s="217"/>
      <c r="DF158" s="217"/>
      <c r="DG158" s="217"/>
      <c r="DH158" s="217"/>
      <c r="DI158" s="331"/>
      <c r="DJ158" s="217"/>
      <c r="DK158" s="217"/>
      <c r="DL158" s="217"/>
      <c r="DM158" s="217"/>
      <c r="DN158" s="331"/>
      <c r="DO158" s="217"/>
      <c r="DP158" s="217"/>
      <c r="DQ158" s="217"/>
      <c r="DR158" s="217"/>
      <c r="DS158" s="331"/>
      <c r="DT158" s="217"/>
      <c r="DU158" s="217"/>
      <c r="DV158" s="217"/>
      <c r="DW158" s="217"/>
      <c r="DX158" s="331"/>
      <c r="DY158" s="21"/>
      <c r="DZ158" s="21"/>
      <c r="EA158" s="21"/>
      <c r="EB158" s="15"/>
      <c r="EC158" s="15"/>
      <c r="ED158" s="670"/>
      <c r="EE158" s="670"/>
      <c r="EF158" s="670"/>
      <c r="EG158" s="670"/>
      <c r="EH158" s="670"/>
      <c r="EI158" s="670"/>
      <c r="EJ158" s="373"/>
      <c r="EK158" s="373"/>
      <c r="EL158" s="373"/>
      <c r="EM158" s="16"/>
      <c r="EN158" s="16"/>
      <c r="EU158" s="16"/>
      <c r="EV158" s="16"/>
      <c r="EW158" s="16"/>
      <c r="EX158" s="16"/>
      <c r="EY158" s="16"/>
      <c r="EZ158" s="16"/>
      <c r="FA158" s="16"/>
      <c r="FB158" s="16"/>
      <c r="FC158" s="16"/>
      <c r="FD158" s="16"/>
      <c r="FE158" s="16"/>
      <c r="FF158" s="16"/>
      <c r="FG158" s="16"/>
      <c r="FH158" s="16"/>
      <c r="FI158" s="16"/>
      <c r="FJ158" s="16"/>
    </row>
    <row r="159" spans="1:166" x14ac:dyDescent="0.2">
      <c r="A159" s="170" t="s">
        <v>566</v>
      </c>
      <c r="B159" s="65"/>
      <c r="C159" s="65"/>
      <c r="D159" s="65"/>
      <c r="E159" s="65"/>
      <c r="F159" s="65"/>
      <c r="G159" s="65"/>
      <c r="H159" s="65"/>
      <c r="I159" s="65"/>
      <c r="J159" s="65"/>
      <c r="K159" s="65"/>
      <c r="L159" s="65"/>
      <c r="M159" s="65"/>
      <c r="N159" s="65"/>
      <c r="O159" s="65"/>
      <c r="P159" s="65"/>
      <c r="Q159" s="215"/>
      <c r="R159" s="65"/>
      <c r="S159" s="65"/>
      <c r="T159" s="65"/>
      <c r="U159" s="65"/>
      <c r="V159" s="215"/>
      <c r="W159" s="65"/>
      <c r="X159" s="65"/>
      <c r="Y159" s="65"/>
      <c r="Z159" s="65"/>
      <c r="AA159" s="215"/>
      <c r="AB159" s="65"/>
      <c r="AC159" s="65"/>
      <c r="AD159" s="65"/>
      <c r="AE159" s="65"/>
      <c r="AF159" s="215"/>
      <c r="AG159" s="65"/>
      <c r="AH159" s="65"/>
      <c r="AI159" s="65"/>
      <c r="AJ159" s="65"/>
      <c r="AK159" s="215"/>
      <c r="AL159" s="65"/>
      <c r="AM159" s="65"/>
      <c r="AN159" s="65"/>
      <c r="AO159" s="65"/>
      <c r="AP159" s="215"/>
      <c r="AQ159" s="65"/>
      <c r="AR159" s="65"/>
      <c r="AS159" s="65"/>
      <c r="AT159" s="65"/>
      <c r="AU159" s="215"/>
      <c r="AV159" s="45"/>
      <c r="AW159" s="65"/>
      <c r="AX159" s="65"/>
      <c r="AY159" s="65"/>
      <c r="AZ159" s="65"/>
      <c r="BA159" s="215"/>
      <c r="BB159" s="65"/>
      <c r="BC159" s="65"/>
      <c r="BD159" s="65"/>
      <c r="BE159" s="65"/>
      <c r="BF159" s="215"/>
      <c r="BG159" s="65"/>
      <c r="BH159" s="65"/>
      <c r="BI159" s="65"/>
      <c r="BJ159" s="65"/>
      <c r="BK159" s="215"/>
      <c r="BL159" s="836">
        <v>7.0000000000000007E-2</v>
      </c>
      <c r="BM159" s="836">
        <v>7.0000000000000007E-2</v>
      </c>
      <c r="BN159" s="836">
        <v>7.0000000000000007E-2</v>
      </c>
      <c r="BO159" s="836">
        <v>7.0000000000000007E-2</v>
      </c>
      <c r="BP159" s="332"/>
      <c r="BQ159" s="836">
        <v>7.0000000000000007E-2</v>
      </c>
      <c r="BR159" s="282">
        <v>7.0000000000000007E-2</v>
      </c>
      <c r="BS159" s="836">
        <v>7.0000000000000007E-2</v>
      </c>
      <c r="BT159" s="836">
        <v>7.0000000000000007E-2</v>
      </c>
      <c r="BU159" s="332"/>
      <c r="BV159" s="65"/>
      <c r="BW159" s="1385"/>
      <c r="BX159" s="65"/>
      <c r="BY159" s="65"/>
      <c r="BZ159" s="215"/>
      <c r="CA159" s="65"/>
      <c r="CB159" s="65"/>
      <c r="CC159" s="65"/>
      <c r="CD159" s="65"/>
      <c r="CE159" s="215"/>
      <c r="CF159" s="65"/>
      <c r="CG159" s="65"/>
      <c r="CH159" s="65"/>
      <c r="CI159" s="65"/>
      <c r="CJ159" s="215"/>
      <c r="CK159" s="65"/>
      <c r="CL159" s="217"/>
      <c r="CM159" s="217"/>
      <c r="CN159" s="217"/>
      <c r="CO159" s="332"/>
      <c r="CP159" s="217"/>
      <c r="CQ159" s="217"/>
      <c r="CR159" s="217"/>
      <c r="CS159" s="217"/>
      <c r="CT159" s="332"/>
      <c r="CU159" s="217"/>
      <c r="CV159" s="217"/>
      <c r="CW159" s="217"/>
      <c r="CX159" s="217"/>
      <c r="CY159" s="332"/>
      <c r="CZ159" s="217"/>
      <c r="DA159" s="217"/>
      <c r="DB159" s="217"/>
      <c r="DC159" s="217"/>
      <c r="DD159" s="332"/>
      <c r="DE159" s="217"/>
      <c r="DF159" s="217"/>
      <c r="DG159" s="217"/>
      <c r="DH159" s="217"/>
      <c r="DI159" s="332"/>
      <c r="DJ159" s="217"/>
      <c r="DK159" s="217"/>
      <c r="DL159" s="217"/>
      <c r="DM159" s="217"/>
      <c r="DN159" s="332"/>
      <c r="DO159" s="217"/>
      <c r="DP159" s="217"/>
      <c r="DQ159" s="217"/>
      <c r="DR159" s="217"/>
      <c r="DS159" s="332"/>
      <c r="DT159" s="217"/>
      <c r="DU159" s="217"/>
      <c r="DV159" s="217"/>
      <c r="DW159" s="217"/>
      <c r="DX159" s="332"/>
      <c r="DY159" s="21"/>
      <c r="DZ159" s="21"/>
      <c r="EA159" s="21"/>
      <c r="EB159" s="15"/>
      <c r="EC159" s="15"/>
      <c r="ED159" s="670"/>
      <c r="EE159" s="670"/>
      <c r="EF159" s="670"/>
      <c r="EG159" s="670"/>
      <c r="EH159" s="670"/>
      <c r="EI159" s="670"/>
      <c r="EJ159" s="373"/>
      <c r="EK159" s="373"/>
      <c r="EL159" s="373"/>
      <c r="EM159" s="16"/>
      <c r="EN159" s="16"/>
      <c r="EU159" s="16"/>
      <c r="EV159" s="16"/>
      <c r="EW159" s="16"/>
      <c r="EX159" s="16"/>
      <c r="EY159" s="16"/>
      <c r="EZ159" s="16"/>
      <c r="FA159" s="16"/>
      <c r="FB159" s="16"/>
      <c r="FC159" s="16"/>
      <c r="FD159" s="16"/>
      <c r="FE159" s="16"/>
      <c r="FF159" s="16"/>
      <c r="FG159" s="16"/>
      <c r="FH159" s="16"/>
      <c r="FI159" s="16"/>
      <c r="FJ159" s="16"/>
    </row>
    <row r="160" spans="1:166" x14ac:dyDescent="0.2">
      <c r="A160" s="170" t="s">
        <v>567</v>
      </c>
      <c r="B160" s="65"/>
      <c r="C160" s="65"/>
      <c r="D160" s="65"/>
      <c r="E160" s="65"/>
      <c r="F160" s="65"/>
      <c r="G160" s="65"/>
      <c r="H160" s="65"/>
      <c r="I160" s="65"/>
      <c r="J160" s="65"/>
      <c r="K160" s="65"/>
      <c r="L160" s="65"/>
      <c r="M160" s="65"/>
      <c r="N160" s="65"/>
      <c r="O160" s="65"/>
      <c r="P160" s="65"/>
      <c r="Q160" s="215"/>
      <c r="R160" s="65"/>
      <c r="S160" s="65"/>
      <c r="T160" s="65"/>
      <c r="U160" s="65"/>
      <c r="V160" s="215"/>
      <c r="W160" s="65"/>
      <c r="X160" s="65"/>
      <c r="Y160" s="65"/>
      <c r="Z160" s="65"/>
      <c r="AA160" s="215"/>
      <c r="AB160" s="65"/>
      <c r="AC160" s="65"/>
      <c r="AD160" s="65"/>
      <c r="AE160" s="65"/>
      <c r="AF160" s="215"/>
      <c r="AG160" s="65"/>
      <c r="AH160" s="65"/>
      <c r="AI160" s="65"/>
      <c r="AJ160" s="65"/>
      <c r="AK160" s="215"/>
      <c r="AL160" s="65"/>
      <c r="AM160" s="65"/>
      <c r="AN160" s="65"/>
      <c r="AO160" s="65"/>
      <c r="AP160" s="215"/>
      <c r="AQ160" s="65"/>
      <c r="AR160" s="65"/>
      <c r="AS160" s="65"/>
      <c r="AT160" s="65"/>
      <c r="AU160" s="215"/>
      <c r="AV160" s="45"/>
      <c r="AW160" s="65"/>
      <c r="AX160" s="65"/>
      <c r="AY160" s="65"/>
      <c r="AZ160" s="65"/>
      <c r="BA160" s="215"/>
      <c r="BB160" s="65"/>
      <c r="BC160" s="65"/>
      <c r="BD160" s="65"/>
      <c r="BE160" s="65"/>
      <c r="BF160" s="215"/>
      <c r="BG160" s="65"/>
      <c r="BH160" s="65"/>
      <c r="BI160" s="65"/>
      <c r="BJ160" s="65"/>
      <c r="BK160" s="215"/>
      <c r="BL160" s="217"/>
      <c r="BM160" s="217"/>
      <c r="BN160" s="217"/>
      <c r="BO160" s="217"/>
      <c r="BP160" s="332"/>
      <c r="BQ160" s="217"/>
      <c r="BR160" s="65"/>
      <c r="BS160" s="217"/>
      <c r="BT160" s="217"/>
      <c r="BU160" s="332"/>
      <c r="BV160" s="65"/>
      <c r="BW160" s="1385"/>
      <c r="BX160" s="65"/>
      <c r="BY160" s="65"/>
      <c r="BZ160" s="215"/>
      <c r="CA160" s="65"/>
      <c r="CB160" s="65"/>
      <c r="CC160" s="65"/>
      <c r="CD160" s="65"/>
      <c r="CE160" s="215"/>
      <c r="CF160" s="65"/>
      <c r="CG160" s="65"/>
      <c r="CH160" s="65"/>
      <c r="CI160" s="65"/>
      <c r="CJ160" s="215"/>
      <c r="CK160" s="65"/>
      <c r="CL160" s="217"/>
      <c r="CM160" s="217"/>
      <c r="CN160" s="217"/>
      <c r="CO160" s="332"/>
      <c r="CP160" s="217"/>
      <c r="CQ160" s="217"/>
      <c r="CR160" s="217"/>
      <c r="CS160" s="217"/>
      <c r="CT160" s="332"/>
      <c r="CU160" s="217"/>
      <c r="CV160" s="217"/>
      <c r="CW160" s="217"/>
      <c r="CX160" s="217"/>
      <c r="CY160" s="332"/>
      <c r="CZ160" s="217"/>
      <c r="DA160" s="217"/>
      <c r="DB160" s="217"/>
      <c r="DC160" s="217"/>
      <c r="DD160" s="332"/>
      <c r="DE160" s="217"/>
      <c r="DF160" s="217"/>
      <c r="DG160" s="217"/>
      <c r="DH160" s="217"/>
      <c r="DI160" s="332"/>
      <c r="DJ160" s="217"/>
      <c r="DK160" s="217"/>
      <c r="DL160" s="217"/>
      <c r="DM160" s="217"/>
      <c r="DN160" s="332"/>
      <c r="DO160" s="217"/>
      <c r="DP160" s="217"/>
      <c r="DQ160" s="217"/>
      <c r="DR160" s="217"/>
      <c r="DS160" s="332"/>
      <c r="DT160" s="217"/>
      <c r="DU160" s="217"/>
      <c r="DV160" s="217"/>
      <c r="DW160" s="217"/>
      <c r="DX160" s="332"/>
      <c r="DY160" s="21"/>
      <c r="DZ160" s="21"/>
      <c r="EA160" s="21"/>
      <c r="EB160" s="15"/>
      <c r="EC160" s="15"/>
      <c r="ED160" s="670"/>
      <c r="EE160" s="670"/>
      <c r="EF160" s="670"/>
      <c r="EG160" s="670"/>
      <c r="EH160" s="670"/>
      <c r="EI160" s="670"/>
      <c r="EJ160" s="373"/>
      <c r="EK160" s="373"/>
      <c r="EL160" s="373"/>
      <c r="EM160" s="16"/>
      <c r="EN160" s="16"/>
      <c r="EU160" s="16"/>
      <c r="EV160" s="16"/>
      <c r="EW160" s="16"/>
      <c r="EX160" s="16"/>
      <c r="EY160" s="16"/>
      <c r="EZ160" s="16"/>
      <c r="FA160" s="16"/>
      <c r="FB160" s="16"/>
      <c r="FC160" s="16"/>
      <c r="FD160" s="16"/>
      <c r="FE160" s="16"/>
      <c r="FF160" s="16"/>
      <c r="FG160" s="16"/>
      <c r="FH160" s="16"/>
      <c r="FI160" s="16"/>
      <c r="FJ160" s="16"/>
    </row>
    <row r="161" spans="1:166" x14ac:dyDescent="0.2">
      <c r="A161" s="625" t="s">
        <v>568</v>
      </c>
      <c r="B161" s="628"/>
      <c r="C161" s="628"/>
      <c r="D161" s="628"/>
      <c r="E161" s="628"/>
      <c r="F161" s="628"/>
      <c r="G161" s="628"/>
      <c r="H161" s="628"/>
      <c r="I161" s="628"/>
      <c r="J161" s="628"/>
      <c r="K161" s="628"/>
      <c r="L161" s="628"/>
      <c r="M161" s="628"/>
      <c r="N161" s="628"/>
      <c r="O161" s="628"/>
      <c r="P161" s="628"/>
      <c r="Q161" s="627"/>
      <c r="R161" s="628"/>
      <c r="S161" s="628"/>
      <c r="T161" s="628"/>
      <c r="U161" s="628"/>
      <c r="V161" s="627"/>
      <c r="W161" s="628"/>
      <c r="X161" s="628"/>
      <c r="Y161" s="628"/>
      <c r="Z161" s="628"/>
      <c r="AA161" s="627"/>
      <c r="AB161" s="628"/>
      <c r="AC161" s="628"/>
      <c r="AD161" s="628"/>
      <c r="AE161" s="628"/>
      <c r="AF161" s="627"/>
      <c r="AG161" s="628"/>
      <c r="AH161" s="628"/>
      <c r="AI161" s="628"/>
      <c r="AJ161" s="628"/>
      <c r="AK161" s="627"/>
      <c r="AL161" s="628"/>
      <c r="AM161" s="628"/>
      <c r="AN161" s="628"/>
      <c r="AO161" s="628"/>
      <c r="AP161" s="627"/>
      <c r="AQ161" s="628"/>
      <c r="AR161" s="628"/>
      <c r="AS161" s="628"/>
      <c r="AT161" s="628"/>
      <c r="AU161" s="627"/>
      <c r="AV161" s="45"/>
      <c r="AW161" s="628"/>
      <c r="AX161" s="628"/>
      <c r="AY161" s="628"/>
      <c r="AZ161" s="628"/>
      <c r="BA161" s="627"/>
      <c r="BB161" s="628"/>
      <c r="BC161" s="628"/>
      <c r="BD161" s="628"/>
      <c r="BE161" s="628"/>
      <c r="BF161" s="627"/>
      <c r="BG161" s="628"/>
      <c r="BH161" s="628"/>
      <c r="BI161" s="628"/>
      <c r="BJ161" s="628"/>
      <c r="BK161" s="627"/>
      <c r="BL161" s="628"/>
      <c r="BM161" s="628"/>
      <c r="BN161" s="628"/>
      <c r="BO161" s="628"/>
      <c r="BP161" s="627"/>
      <c r="BQ161" s="629"/>
      <c r="BR161" s="628"/>
      <c r="BS161" s="629"/>
      <c r="BT161" s="628"/>
      <c r="BU161" s="630"/>
      <c r="BV161" s="628"/>
      <c r="BW161" s="1412"/>
      <c r="BX161" s="628"/>
      <c r="BY161" s="628"/>
      <c r="BZ161" s="627"/>
      <c r="CA161" s="628"/>
      <c r="CB161" s="628"/>
      <c r="CC161" s="628"/>
      <c r="CD161" s="628"/>
      <c r="CE161" s="627"/>
      <c r="CF161" s="628"/>
      <c r="CG161" s="628"/>
      <c r="CH161" s="628"/>
      <c r="CI161" s="628"/>
      <c r="CJ161" s="627"/>
      <c r="CK161" s="628"/>
      <c r="CL161" s="629"/>
      <c r="CM161" s="629"/>
      <c r="CN161" s="629"/>
      <c r="CO161" s="630"/>
      <c r="CP161" s="629"/>
      <c r="CQ161" s="629"/>
      <c r="CR161" s="629"/>
      <c r="CS161" s="629"/>
      <c r="CT161" s="630"/>
      <c r="CU161" s="629"/>
      <c r="CV161" s="629"/>
      <c r="CW161" s="629"/>
      <c r="CX161" s="629"/>
      <c r="CY161" s="630"/>
      <c r="CZ161" s="629"/>
      <c r="DA161" s="629"/>
      <c r="DB161" s="629"/>
      <c r="DC161" s="629"/>
      <c r="DD161" s="630"/>
      <c r="DE161" s="629"/>
      <c r="DF161" s="629"/>
      <c r="DG161" s="629"/>
      <c r="DH161" s="629"/>
      <c r="DI161" s="630"/>
      <c r="DJ161" s="629"/>
      <c r="DK161" s="629"/>
      <c r="DL161" s="629"/>
      <c r="DM161" s="629"/>
      <c r="DN161" s="630"/>
      <c r="DO161" s="629"/>
      <c r="DP161" s="629"/>
      <c r="DQ161" s="629"/>
      <c r="DR161" s="629"/>
      <c r="DS161" s="630"/>
      <c r="DT161" s="629"/>
      <c r="DU161" s="629"/>
      <c r="DV161" s="629"/>
      <c r="DW161" s="629"/>
      <c r="DX161" s="630"/>
      <c r="DY161" s="21"/>
      <c r="DZ161" s="21"/>
      <c r="EA161" s="21"/>
      <c r="EB161" s="670"/>
      <c r="EC161" s="670"/>
      <c r="ED161" s="670"/>
      <c r="EE161" s="670"/>
      <c r="EF161" s="670"/>
      <c r="EG161" s="670"/>
      <c r="EH161" s="670"/>
      <c r="EI161" s="670"/>
      <c r="EJ161" s="373"/>
      <c r="EK161" s="373"/>
      <c r="EL161" s="373"/>
      <c r="EM161" s="16"/>
      <c r="EN161" s="16"/>
      <c r="EU161" s="16"/>
      <c r="EV161" s="16"/>
      <c r="EW161" s="16"/>
      <c r="EX161" s="16"/>
      <c r="EY161" s="16"/>
      <c r="EZ161" s="16"/>
      <c r="FA161" s="16"/>
      <c r="FB161" s="16"/>
      <c r="FC161" s="16"/>
      <c r="FD161" s="16"/>
      <c r="FE161" s="16"/>
      <c r="FF161" s="16"/>
      <c r="FG161" s="16"/>
      <c r="FH161" s="16"/>
      <c r="FI161" s="16"/>
      <c r="FJ161" s="16"/>
    </row>
    <row r="162" spans="1:166" x14ac:dyDescent="0.2">
      <c r="A162" s="16"/>
      <c r="B162" s="16"/>
      <c r="C162" s="16"/>
      <c r="D162" s="16"/>
      <c r="E162" s="16"/>
      <c r="F162" s="16"/>
      <c r="G162" s="16"/>
      <c r="H162" s="16"/>
      <c r="I162" s="16"/>
      <c r="J162" s="16"/>
      <c r="K162" s="16"/>
      <c r="L162" s="16"/>
      <c r="M162" s="16"/>
      <c r="N162" s="226"/>
      <c r="O162" s="227"/>
      <c r="P162" s="16"/>
      <c r="Q162" s="16"/>
      <c r="R162" s="16"/>
      <c r="S162" s="16"/>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21"/>
      <c r="AW162" s="16"/>
      <c r="AX162" s="16"/>
      <c r="AY162" s="21"/>
      <c r="AZ162" s="21"/>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353"/>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c r="CX162" s="16"/>
      <c r="CY162" s="16"/>
      <c r="CZ162" s="16"/>
      <c r="DA162" s="16"/>
      <c r="DB162" s="16"/>
      <c r="DC162" s="16"/>
      <c r="DD162" s="16"/>
      <c r="DE162" s="16"/>
      <c r="DF162" s="16"/>
      <c r="DG162" s="16"/>
      <c r="DH162" s="16"/>
      <c r="DI162" s="16"/>
      <c r="DJ162" s="16"/>
      <c r="DK162" s="16"/>
      <c r="DL162" s="16"/>
      <c r="DM162" s="16"/>
      <c r="DN162" s="16"/>
      <c r="DO162" s="16"/>
      <c r="DP162" s="16"/>
      <c r="DQ162" s="16"/>
      <c r="DR162" s="16"/>
      <c r="DS162" s="16"/>
      <c r="DT162" s="16"/>
      <c r="DU162" s="16"/>
      <c r="DV162" s="16"/>
      <c r="DW162" s="16"/>
      <c r="DX162" s="16"/>
      <c r="DY162" s="16"/>
      <c r="DZ162" s="16"/>
      <c r="EA162" s="16"/>
      <c r="EB162" s="173"/>
      <c r="EC162" s="173"/>
      <c r="ED162" s="173"/>
      <c r="EE162" s="173"/>
      <c r="EF162" s="16"/>
      <c r="EG162" s="16"/>
      <c r="EH162" s="16"/>
      <c r="EI162" s="16"/>
      <c r="EJ162" s="21"/>
      <c r="EK162" s="21"/>
      <c r="EL162" s="21"/>
      <c r="EM162" s="16"/>
      <c r="EN162" s="16"/>
      <c r="EU162" s="16"/>
      <c r="EV162" s="16"/>
      <c r="EW162" s="16"/>
      <c r="EX162" s="16"/>
      <c r="EY162" s="16"/>
      <c r="EZ162" s="16"/>
      <c r="FA162" s="16"/>
      <c r="FB162" s="16"/>
      <c r="FC162" s="16"/>
      <c r="FD162" s="16"/>
      <c r="FE162" s="16"/>
      <c r="FF162" s="16"/>
      <c r="FG162" s="16"/>
      <c r="FH162" s="16"/>
      <c r="FI162" s="16"/>
      <c r="FJ162" s="16"/>
    </row>
    <row r="163" spans="1:166" x14ac:dyDescent="0.2">
      <c r="A163" s="16"/>
      <c r="B163" s="16"/>
      <c r="C163" s="16"/>
      <c r="D163" s="16"/>
      <c r="E163" s="16"/>
      <c r="F163" s="16"/>
      <c r="G163" s="16"/>
      <c r="H163" s="16"/>
      <c r="I163" s="16"/>
      <c r="J163" s="16"/>
      <c r="K163" s="16"/>
      <c r="L163" s="16"/>
      <c r="M163" s="16"/>
      <c r="N163" s="226"/>
      <c r="O163" s="227"/>
      <c r="P163" s="16"/>
      <c r="Q163" s="16"/>
      <c r="R163" s="16"/>
      <c r="S163" s="16"/>
      <c r="T163" s="16"/>
      <c r="U163" s="16"/>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21"/>
      <c r="AW163" s="16"/>
      <c r="AX163" s="16"/>
      <c r="AY163" s="21"/>
      <c r="AZ163" s="21"/>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353"/>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c r="CX163" s="16"/>
      <c r="CY163" s="16"/>
      <c r="CZ163" s="16"/>
      <c r="DA163" s="16"/>
      <c r="DB163" s="16"/>
      <c r="DC163" s="16"/>
      <c r="DD163" s="16"/>
      <c r="DE163" s="16"/>
      <c r="DF163" s="16"/>
      <c r="DG163" s="16"/>
      <c r="DH163" s="16"/>
      <c r="DI163" s="16"/>
      <c r="DJ163" s="16"/>
      <c r="DK163" s="16"/>
      <c r="DL163" s="16"/>
      <c r="DM163" s="16"/>
      <c r="DN163" s="16"/>
      <c r="DO163" s="16"/>
      <c r="DP163" s="16"/>
      <c r="DQ163" s="16"/>
      <c r="DR163" s="16"/>
      <c r="DS163" s="16"/>
      <c r="DT163" s="16"/>
      <c r="DU163" s="16"/>
      <c r="DV163" s="16"/>
      <c r="DW163" s="16"/>
      <c r="DX163" s="16"/>
      <c r="DY163" s="16"/>
      <c r="DZ163" s="16"/>
      <c r="EA163" s="16"/>
      <c r="EB163" s="173"/>
      <c r="EC163" s="173"/>
      <c r="ED163" s="173"/>
      <c r="EE163" s="173"/>
      <c r="EF163" s="16"/>
      <c r="EG163" s="16"/>
      <c r="EH163" s="16"/>
      <c r="EI163" s="16"/>
      <c r="EJ163" s="21"/>
      <c r="EK163" s="21"/>
      <c r="EL163" s="21"/>
      <c r="EM163" s="16"/>
      <c r="EN163" s="16"/>
      <c r="EU163" s="16"/>
      <c r="EV163" s="16"/>
      <c r="EW163" s="16"/>
      <c r="EX163" s="16"/>
      <c r="EY163" s="16"/>
      <c r="EZ163" s="16"/>
      <c r="FA163" s="16"/>
      <c r="FB163" s="16"/>
      <c r="FC163" s="16"/>
      <c r="FD163" s="16"/>
      <c r="FE163" s="16"/>
      <c r="FF163" s="16"/>
      <c r="FG163" s="16"/>
      <c r="FH163" s="16"/>
      <c r="FI163" s="16"/>
      <c r="FJ163" s="16"/>
    </row>
    <row r="164" spans="1:166" x14ac:dyDescent="0.2">
      <c r="A164" s="16"/>
      <c r="B164" s="16"/>
      <c r="C164" s="16"/>
      <c r="D164" s="16"/>
      <c r="E164" s="16"/>
      <c r="F164" s="16"/>
      <c r="G164" s="16"/>
      <c r="H164" s="16"/>
      <c r="I164" s="16"/>
      <c r="J164" s="16"/>
      <c r="K164" s="16"/>
      <c r="L164" s="16"/>
      <c r="M164" s="16"/>
      <c r="N164" s="226"/>
      <c r="O164" s="227"/>
      <c r="P164" s="16"/>
      <c r="Q164" s="16"/>
      <c r="R164" s="16"/>
      <c r="S164" s="16"/>
      <c r="T164" s="16"/>
      <c r="U164" s="16"/>
      <c r="V164" s="16"/>
      <c r="W164" s="16"/>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21"/>
      <c r="AW164" s="16"/>
      <c r="AX164" s="16"/>
      <c r="AY164" s="21"/>
      <c r="AZ164" s="21"/>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353"/>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c r="CX164" s="16"/>
      <c r="CY164" s="16"/>
      <c r="CZ164" s="16"/>
      <c r="DA164" s="16"/>
      <c r="DB164" s="16"/>
      <c r="DC164" s="16"/>
      <c r="DD164" s="16"/>
      <c r="DE164" s="16"/>
      <c r="DF164" s="16"/>
      <c r="DG164" s="16"/>
      <c r="DH164" s="16"/>
      <c r="DI164" s="16"/>
      <c r="DJ164" s="16"/>
      <c r="DK164" s="16"/>
      <c r="DL164" s="16"/>
      <c r="DM164" s="16"/>
      <c r="DN164" s="16"/>
      <c r="DO164" s="16"/>
      <c r="DP164" s="16"/>
      <c r="DQ164" s="16"/>
      <c r="DR164" s="16"/>
      <c r="DS164" s="16"/>
      <c r="DT164" s="16"/>
      <c r="DU164" s="16"/>
      <c r="DV164" s="16"/>
      <c r="DW164" s="16"/>
      <c r="DX164" s="16"/>
      <c r="DY164" s="16"/>
      <c r="DZ164" s="16"/>
      <c r="EA164" s="16"/>
      <c r="EB164" s="173"/>
      <c r="EC164" s="173"/>
      <c r="ED164" s="173"/>
      <c r="EE164" s="173"/>
      <c r="EF164" s="16"/>
      <c r="EG164" s="16"/>
      <c r="EH164" s="16"/>
      <c r="EI164" s="16"/>
      <c r="EJ164" s="21"/>
      <c r="EK164" s="21"/>
      <c r="EL164" s="21"/>
      <c r="EM164" s="16"/>
      <c r="EN164" s="16"/>
      <c r="EU164" s="16"/>
      <c r="EV164" s="16"/>
      <c r="EW164" s="16"/>
      <c r="EX164" s="16"/>
      <c r="EY164" s="16"/>
      <c r="EZ164" s="16"/>
      <c r="FA164" s="16"/>
      <c r="FB164" s="16"/>
      <c r="FC164" s="16"/>
      <c r="FD164" s="16"/>
      <c r="FE164" s="16"/>
      <c r="FF164" s="16"/>
      <c r="FG164" s="16"/>
      <c r="FH164" s="16"/>
      <c r="FI164" s="16"/>
      <c r="FJ164" s="16"/>
    </row>
    <row r="165" spans="1:166" x14ac:dyDescent="0.2">
      <c r="A165" s="16" t="s">
        <v>186</v>
      </c>
      <c r="B165" s="16"/>
      <c r="C165" s="16"/>
      <c r="D165" s="16"/>
      <c r="E165" s="16"/>
      <c r="F165" s="16"/>
      <c r="G165" s="16"/>
      <c r="H165" s="16"/>
      <c r="I165" s="16"/>
      <c r="J165" s="16"/>
      <c r="K165" s="16"/>
      <c r="L165" s="16"/>
      <c r="M165" s="16"/>
      <c r="N165" s="226"/>
      <c r="O165" s="227"/>
      <c r="P165" s="16"/>
      <c r="Q165" s="16"/>
      <c r="R165" s="16"/>
      <c r="S165" s="16"/>
      <c r="T165" s="16"/>
      <c r="U165" s="16"/>
      <c r="V165" s="16"/>
      <c r="W165" s="16"/>
      <c r="X165" s="16"/>
      <c r="Y165" s="16"/>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45"/>
      <c r="AW165" s="16"/>
      <c r="AX165" s="16"/>
      <c r="AY165" s="21"/>
      <c r="AZ165" s="21"/>
      <c r="BA165" s="16"/>
      <c r="BB165" s="78">
        <v>2.6333333333333333</v>
      </c>
      <c r="BC165" s="78">
        <v>0.63333333333333319</v>
      </c>
      <c r="BD165" s="78">
        <v>0.32857142857142857</v>
      </c>
      <c r="BE165" s="78">
        <v>6.6999999999999993</v>
      </c>
      <c r="BF165" s="78">
        <v>0.66444444444444439</v>
      </c>
      <c r="BG165" s="78">
        <v>1.48</v>
      </c>
      <c r="BH165" s="78">
        <v>6.2715517241379318E-2</v>
      </c>
      <c r="BI165" s="78">
        <v>0.15158371040723981</v>
      </c>
      <c r="BJ165" s="78">
        <v>0.19281767955801107</v>
      </c>
      <c r="BK165" s="78">
        <v>0.12043628013777267</v>
      </c>
      <c r="BL165" s="78">
        <v>0.28055555555555556</v>
      </c>
      <c r="BM165" s="78">
        <v>0.12379421221864952</v>
      </c>
      <c r="BN165" s="78"/>
      <c r="BO165" s="147">
        <v>0.3</v>
      </c>
      <c r="BP165" s="147"/>
      <c r="BQ165" s="147">
        <v>0.3</v>
      </c>
      <c r="BR165" s="16">
        <v>0.3</v>
      </c>
      <c r="BS165" s="147">
        <v>0.3</v>
      </c>
      <c r="BT165" s="147">
        <v>0.3</v>
      </c>
      <c r="BU165" s="16"/>
      <c r="BV165" s="16">
        <v>0.3</v>
      </c>
      <c r="BW165" s="1353">
        <v>0.3</v>
      </c>
      <c r="BX165" s="16">
        <v>0.3</v>
      </c>
      <c r="BY165" s="16">
        <v>0.3</v>
      </c>
      <c r="BZ165" s="16"/>
      <c r="CA165" s="16">
        <v>0.3</v>
      </c>
      <c r="CB165" s="16">
        <v>0.3</v>
      </c>
      <c r="CC165" s="16">
        <v>0.3</v>
      </c>
      <c r="CD165" s="16">
        <v>0.3</v>
      </c>
      <c r="CE165" s="16"/>
      <c r="CF165" s="16">
        <v>0.3</v>
      </c>
      <c r="CG165" s="16">
        <v>0.3</v>
      </c>
      <c r="CH165" s="16">
        <v>0.3</v>
      </c>
      <c r="CI165" s="16">
        <v>0.3</v>
      </c>
      <c r="CJ165" s="16"/>
      <c r="CK165" s="16">
        <v>0.3</v>
      </c>
      <c r="CL165" s="147">
        <v>0.3</v>
      </c>
      <c r="CM165" s="147">
        <v>0.3</v>
      </c>
      <c r="CN165" s="147">
        <v>0.3</v>
      </c>
      <c r="CO165" s="16"/>
      <c r="CP165" s="147">
        <v>0.3</v>
      </c>
      <c r="CQ165" s="147">
        <v>0.3</v>
      </c>
      <c r="CR165" s="147">
        <v>0.3</v>
      </c>
      <c r="CS165" s="147">
        <v>0.3</v>
      </c>
      <c r="CT165" s="16"/>
      <c r="CU165" s="147">
        <v>0.3</v>
      </c>
      <c r="CV165" s="147">
        <v>0.3</v>
      </c>
      <c r="CW165" s="147">
        <v>0.3</v>
      </c>
      <c r="CX165" s="147">
        <v>0.3</v>
      </c>
      <c r="CY165" s="16"/>
      <c r="CZ165" s="147">
        <v>0.3</v>
      </c>
      <c r="DA165" s="147">
        <v>0.3</v>
      </c>
      <c r="DB165" s="147">
        <v>0.3</v>
      </c>
      <c r="DC165" s="147">
        <v>0.3</v>
      </c>
      <c r="DD165" s="16"/>
      <c r="DE165" s="147">
        <v>0.3</v>
      </c>
      <c r="DF165" s="147">
        <v>0.3</v>
      </c>
      <c r="DG165" s="147">
        <v>0.3</v>
      </c>
      <c r="DH165" s="147">
        <v>0.3</v>
      </c>
      <c r="DI165" s="16"/>
      <c r="DJ165" s="147">
        <v>0.3</v>
      </c>
      <c r="DK165" s="147">
        <v>0.3</v>
      </c>
      <c r="DL165" s="147">
        <v>0.3</v>
      </c>
      <c r="DM165" s="147">
        <v>0.3</v>
      </c>
      <c r="DN165" s="16"/>
      <c r="DO165" s="147">
        <v>0.3</v>
      </c>
      <c r="DP165" s="147">
        <v>0.3</v>
      </c>
      <c r="DQ165" s="147">
        <v>0.3</v>
      </c>
      <c r="DR165" s="147">
        <v>0.3</v>
      </c>
      <c r="DS165" s="16"/>
      <c r="DT165" s="147">
        <v>0.3</v>
      </c>
      <c r="DU165" s="147">
        <v>0.3</v>
      </c>
      <c r="DV165" s="147">
        <v>0.3</v>
      </c>
      <c r="DW165" s="147">
        <v>0.3</v>
      </c>
      <c r="DX165" s="16"/>
      <c r="DY165" s="16"/>
      <c r="DZ165" s="16"/>
      <c r="EA165" s="16"/>
      <c r="EB165" s="173"/>
      <c r="EC165" s="173"/>
      <c r="ED165" s="173"/>
      <c r="EE165" s="173"/>
      <c r="EF165" s="16"/>
      <c r="EG165" s="16"/>
      <c r="EH165" s="16"/>
      <c r="EI165" s="16"/>
      <c r="EJ165" s="21"/>
      <c r="EK165" s="21"/>
      <c r="EL165" s="21"/>
      <c r="EM165" s="16"/>
      <c r="EN165" s="16"/>
      <c r="EU165" s="16"/>
      <c r="EV165" s="16"/>
      <c r="EW165" s="16"/>
      <c r="EX165" s="16"/>
      <c r="EY165" s="16"/>
      <c r="EZ165" s="16"/>
      <c r="FA165" s="16"/>
      <c r="FB165" s="16"/>
      <c r="FC165" s="16"/>
      <c r="FD165" s="16"/>
      <c r="FE165" s="16"/>
      <c r="FF165" s="16"/>
      <c r="FG165" s="16"/>
      <c r="FH165" s="16"/>
      <c r="FI165" s="16"/>
      <c r="FJ165" s="16"/>
    </row>
    <row r="166" spans="1:166" x14ac:dyDescent="0.2">
      <c r="A166" s="16"/>
      <c r="B166" s="16"/>
      <c r="C166" s="16"/>
      <c r="D166" s="16"/>
      <c r="E166" s="16"/>
      <c r="F166" s="16"/>
      <c r="G166" s="16"/>
      <c r="H166" s="16"/>
      <c r="I166" s="16"/>
      <c r="J166" s="16"/>
      <c r="K166" s="16"/>
      <c r="L166" s="16"/>
      <c r="M166" s="16"/>
      <c r="N166" s="226"/>
      <c r="O166" s="227"/>
      <c r="P166" s="16"/>
      <c r="Q166" s="16"/>
      <c r="R166" s="16"/>
      <c r="S166" s="16"/>
      <c r="T166" s="16"/>
      <c r="U166" s="16"/>
      <c r="V166" s="16"/>
      <c r="W166" s="16"/>
      <c r="X166" s="16"/>
      <c r="Y166" s="16"/>
      <c r="Z166" s="16"/>
      <c r="AA166" s="16"/>
      <c r="AB166" s="16"/>
      <c r="AC166" s="16"/>
      <c r="AD166" s="16"/>
      <c r="AE166" s="16"/>
      <c r="AF166" s="16"/>
      <c r="AG166" s="16"/>
      <c r="AH166" s="16"/>
      <c r="AI166" s="16"/>
      <c r="AJ166" s="16"/>
      <c r="AK166" s="16"/>
      <c r="AL166" s="16"/>
      <c r="AM166" s="16"/>
      <c r="AN166" s="16"/>
      <c r="AO166" s="16"/>
      <c r="AP166" s="16"/>
      <c r="AQ166" s="16"/>
      <c r="AR166" s="16"/>
      <c r="AS166" s="16"/>
      <c r="AT166" s="16"/>
      <c r="AU166" s="16"/>
      <c r="AV166" s="21"/>
      <c r="AW166" s="16"/>
      <c r="AX166" s="16"/>
      <c r="AY166" s="21"/>
      <c r="AZ166" s="21"/>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353"/>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c r="CX166" s="16"/>
      <c r="CY166" s="16"/>
      <c r="CZ166" s="16"/>
      <c r="DA166" s="16"/>
      <c r="DB166" s="16"/>
      <c r="DC166" s="16"/>
      <c r="DD166" s="16"/>
      <c r="DE166" s="16"/>
      <c r="DF166" s="16"/>
      <c r="DG166" s="16"/>
      <c r="DH166" s="16"/>
      <c r="DI166" s="16"/>
      <c r="DJ166" s="16"/>
      <c r="DK166" s="16"/>
      <c r="DL166" s="16"/>
      <c r="DM166" s="16"/>
      <c r="DN166" s="16"/>
      <c r="DO166" s="16"/>
      <c r="DP166" s="16"/>
      <c r="DQ166" s="16"/>
      <c r="DR166" s="16"/>
      <c r="DS166" s="16"/>
      <c r="DT166" s="16"/>
      <c r="DU166" s="16"/>
      <c r="DV166" s="16"/>
      <c r="DW166" s="16"/>
      <c r="DX166" s="16"/>
      <c r="DY166" s="16"/>
      <c r="DZ166" s="16"/>
      <c r="EA166" s="16"/>
      <c r="EB166" s="173"/>
      <c r="EC166" s="173"/>
      <c r="ED166" s="173"/>
      <c r="EE166" s="173"/>
      <c r="EF166" s="16"/>
      <c r="EG166" s="16"/>
      <c r="EH166" s="16"/>
      <c r="EI166" s="16"/>
      <c r="EJ166" s="21"/>
      <c r="EK166" s="21"/>
      <c r="EL166" s="21"/>
      <c r="EM166" s="16"/>
      <c r="EN166" s="16"/>
      <c r="EU166" s="16"/>
      <c r="EV166" s="16"/>
      <c r="EW166" s="16"/>
      <c r="EX166" s="16"/>
      <c r="EY166" s="16"/>
      <c r="EZ166" s="16"/>
      <c r="FA166" s="16"/>
      <c r="FB166" s="16"/>
      <c r="FC166" s="16"/>
      <c r="FD166" s="16"/>
      <c r="FE166" s="16"/>
      <c r="FF166" s="16"/>
      <c r="FG166" s="16"/>
      <c r="FH166" s="16"/>
      <c r="FI166" s="16"/>
      <c r="FJ166" s="16"/>
    </row>
    <row r="167" spans="1:166" x14ac:dyDescent="0.2">
      <c r="A167" s="16" t="s">
        <v>2</v>
      </c>
      <c r="B167" s="16"/>
      <c r="C167" s="16"/>
      <c r="D167" s="16"/>
      <c r="E167" s="16"/>
      <c r="F167" s="16"/>
      <c r="G167" s="16"/>
      <c r="H167" s="16"/>
      <c r="I167" s="16"/>
      <c r="J167" s="16"/>
      <c r="K167" s="16"/>
      <c r="L167" s="16"/>
      <c r="M167" s="16"/>
      <c r="N167" s="226"/>
      <c r="O167" s="227"/>
      <c r="P167" s="16"/>
      <c r="Q167" s="16"/>
      <c r="R167" s="16"/>
      <c r="S167" s="16"/>
      <c r="T167" s="16"/>
      <c r="U167" s="16"/>
      <c r="V167" s="16"/>
      <c r="W167" s="16"/>
      <c r="X167" s="16"/>
      <c r="Y167" s="16"/>
      <c r="Z167" s="16"/>
      <c r="AA167" s="16"/>
      <c r="AB167" s="16"/>
      <c r="AC167" s="16"/>
      <c r="AD167" s="16"/>
      <c r="AE167" s="16"/>
      <c r="AF167" s="44">
        <f>-AF97/AF9</f>
        <v>0.11486486486486487</v>
      </c>
      <c r="AG167" s="16"/>
      <c r="AH167" s="16"/>
      <c r="AI167" s="16"/>
      <c r="AJ167" s="16"/>
      <c r="AK167" s="44">
        <f>-AK97/AK9</f>
        <v>0.17894736842105263</v>
      </c>
      <c r="AL167" s="16"/>
      <c r="AM167" s="16"/>
      <c r="AN167" s="16"/>
      <c r="AO167" s="16"/>
      <c r="AP167" s="44">
        <f>-AP97/AP9</f>
        <v>0.17041479260369816</v>
      </c>
      <c r="AQ167" s="16"/>
      <c r="AR167" s="16"/>
      <c r="AS167" s="16"/>
      <c r="AT167" s="16"/>
      <c r="AU167" s="44"/>
      <c r="AV167" s="21"/>
      <c r="AW167" s="44"/>
      <c r="AX167" s="44"/>
      <c r="AY167" s="21"/>
      <c r="AZ167" s="21"/>
      <c r="BA167" s="44">
        <f>-BA97/BA9</f>
        <v>0.43193277310924366</v>
      </c>
      <c r="BB167" s="16"/>
      <c r="BC167" s="16"/>
      <c r="BD167" s="16"/>
      <c r="BE167" s="16"/>
      <c r="BF167" s="44">
        <f>-BF97/BF9</f>
        <v>3.6766355140186913</v>
      </c>
      <c r="BG167" s="16"/>
      <c r="BH167" s="16"/>
      <c r="BI167" s="16"/>
      <c r="BJ167" s="16"/>
      <c r="BK167" s="44">
        <f>-BK97/BK9</f>
        <v>0.11894647408666099</v>
      </c>
      <c r="BL167" s="16"/>
      <c r="BM167" s="16"/>
      <c r="BN167" s="16"/>
      <c r="BO167" s="16"/>
      <c r="BP167" s="44">
        <f>-BP97/BP9</f>
        <v>0.36071887034659822</v>
      </c>
      <c r="BQ167" s="16"/>
      <c r="BR167" s="16"/>
      <c r="BS167" s="16"/>
      <c r="BT167" s="16"/>
      <c r="BU167" s="44">
        <f>-BU97/BU9</f>
        <v>-0.38067772170151409</v>
      </c>
      <c r="BV167" s="16"/>
      <c r="BW167" s="1353"/>
      <c r="BX167" s="16"/>
      <c r="BY167" s="16"/>
      <c r="BZ167" s="44">
        <f>-BZ97/BZ9</f>
        <v>0.70822747703732658</v>
      </c>
      <c r="CA167" s="16"/>
      <c r="CB167" s="16"/>
      <c r="CC167" s="16"/>
      <c r="CD167" s="16"/>
      <c r="CE167" s="44">
        <f>-CE97/CE9</f>
        <v>0.56292499215399106</v>
      </c>
      <c r="CF167" s="16"/>
      <c r="CG167" s="16"/>
      <c r="CH167" s="16"/>
      <c r="CI167" s="16"/>
      <c r="CJ167" s="44">
        <f>-CJ97/CJ9</f>
        <v>0.53711648992147654</v>
      </c>
      <c r="CK167" s="16"/>
      <c r="CL167" s="16"/>
      <c r="CM167" s="16"/>
      <c r="CN167" s="16"/>
      <c r="CO167" s="44">
        <f>-CO97/CO9</f>
        <v>0.63694632370739868</v>
      </c>
      <c r="CP167" s="16"/>
      <c r="CQ167" s="16"/>
      <c r="CR167" s="16"/>
      <c r="CS167" s="16"/>
      <c r="CT167" s="44">
        <f>-CT97/CT9</f>
        <v>0.71308137734900023</v>
      </c>
      <c r="CU167" s="16"/>
      <c r="CV167" s="16"/>
      <c r="CW167" s="16"/>
      <c r="CX167" s="16"/>
      <c r="CY167" s="44">
        <f>-CY97/CY9</f>
        <v>0.68462694421606385</v>
      </c>
      <c r="CZ167" s="16"/>
      <c r="DA167" s="16"/>
      <c r="DB167" s="16"/>
      <c r="DC167" s="16"/>
      <c r="DD167" s="44">
        <f>-DD97/DD9</f>
        <v>0.67522979906204517</v>
      </c>
      <c r="DE167" s="16"/>
      <c r="DF167" s="16"/>
      <c r="DG167" s="16"/>
      <c r="DH167" s="16"/>
      <c r="DI167" s="44">
        <f>-DI97/DI9</f>
        <v>0.63678867333746503</v>
      </c>
      <c r="DJ167" s="16"/>
      <c r="DK167" s="16"/>
      <c r="DL167" s="16"/>
      <c r="DM167" s="16"/>
      <c r="DN167" s="44">
        <f>-DN97/DN9</f>
        <v>0.62619613064170021</v>
      </c>
      <c r="DO167" s="16"/>
      <c r="DP167" s="16"/>
      <c r="DQ167" s="16"/>
      <c r="DR167" s="16"/>
      <c r="DS167" s="44">
        <f>-DS97/DS9</f>
        <v>0.65897865407941114</v>
      </c>
      <c r="DT167" s="16"/>
      <c r="DU167" s="16"/>
      <c r="DV167" s="16"/>
      <c r="DW167" s="16"/>
      <c r="DX167" s="44">
        <f>-DX97/DX9</f>
        <v>0.63510547201814771</v>
      </c>
      <c r="DY167" s="16"/>
      <c r="DZ167" s="16"/>
      <c r="EA167" s="16"/>
      <c r="EB167" s="173"/>
      <c r="EC167" s="173"/>
      <c r="ED167" s="173"/>
      <c r="EE167" s="173"/>
      <c r="EF167" s="16"/>
      <c r="EG167" s="16"/>
      <c r="EH167" s="16"/>
      <c r="EI167" s="16"/>
      <c r="EJ167" s="21"/>
      <c r="EK167" s="21"/>
      <c r="EL167" s="21"/>
      <c r="EM167" s="16"/>
      <c r="EN167" s="16"/>
      <c r="EU167" s="16"/>
      <c r="EV167" s="16"/>
      <c r="EW167" s="16"/>
      <c r="EX167" s="16"/>
      <c r="EY167" s="16"/>
      <c r="EZ167" s="16"/>
      <c r="FA167" s="16"/>
      <c r="FB167" s="16"/>
      <c r="FC167" s="16"/>
      <c r="FD167" s="16"/>
      <c r="FE167" s="16"/>
      <c r="FF167" s="16"/>
      <c r="FG167" s="16"/>
      <c r="FH167" s="16"/>
      <c r="FI167" s="16"/>
      <c r="FJ167" s="16"/>
    </row>
    <row r="168" spans="1:166" x14ac:dyDescent="0.2">
      <c r="A168" s="16"/>
      <c r="B168" s="16"/>
      <c r="C168" s="16"/>
      <c r="D168" s="16"/>
      <c r="E168" s="16"/>
      <c r="F168" s="16"/>
      <c r="G168" s="16"/>
      <c r="H168" s="16"/>
      <c r="I168" s="16"/>
      <c r="J168" s="16"/>
      <c r="K168" s="16"/>
      <c r="L168" s="16"/>
      <c r="M168" s="16"/>
      <c r="N168" s="226"/>
      <c r="O168" s="227"/>
      <c r="P168" s="16"/>
      <c r="Q168" s="16"/>
      <c r="R168" s="16"/>
      <c r="S168" s="16"/>
      <c r="T168" s="16"/>
      <c r="U168" s="16"/>
      <c r="V168" s="16"/>
      <c r="W168" s="16"/>
      <c r="X168" s="16"/>
      <c r="Y168" s="16"/>
      <c r="Z168" s="16"/>
      <c r="AA168" s="16"/>
      <c r="AB168" s="16"/>
      <c r="AC168" s="16"/>
      <c r="AD168" s="16"/>
      <c r="AE168" s="16"/>
      <c r="AF168" s="16"/>
      <c r="AG168" s="16"/>
      <c r="AH168" s="16"/>
      <c r="AI168" s="16"/>
      <c r="AJ168" s="16"/>
      <c r="AK168" s="16"/>
      <c r="AL168" s="16"/>
      <c r="AM168" s="16"/>
      <c r="AN168" s="16"/>
      <c r="AO168" s="16"/>
      <c r="AP168" s="16"/>
      <c r="AQ168" s="16"/>
      <c r="AR168" s="16"/>
      <c r="AS168" s="16"/>
      <c r="AT168" s="16"/>
      <c r="AU168" s="16"/>
      <c r="AV168" s="21"/>
      <c r="AW168" s="16"/>
      <c r="AX168" s="16"/>
      <c r="AY168" s="21"/>
      <c r="AZ168" s="21"/>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353"/>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c r="CX168" s="16"/>
      <c r="CY168" s="16"/>
      <c r="CZ168" s="16"/>
      <c r="DA168" s="16"/>
      <c r="DB168" s="16"/>
      <c r="DC168" s="16"/>
      <c r="DD168" s="16"/>
      <c r="DE168" s="16"/>
      <c r="DF168" s="16"/>
      <c r="DG168" s="16"/>
      <c r="DH168" s="16"/>
      <c r="DI168" s="16"/>
      <c r="DJ168" s="16"/>
      <c r="DK168" s="16"/>
      <c r="DL168" s="16"/>
      <c r="DM168" s="16"/>
      <c r="DN168" s="16"/>
      <c r="DO168" s="16"/>
      <c r="DP168" s="16"/>
      <c r="DQ168" s="16"/>
      <c r="DR168" s="16"/>
      <c r="DS168" s="16"/>
      <c r="DT168" s="16"/>
      <c r="DU168" s="16"/>
      <c r="DV168" s="16"/>
      <c r="DW168" s="16"/>
      <c r="DX168" s="16"/>
      <c r="DY168" s="16"/>
      <c r="DZ168" s="16"/>
      <c r="EA168" s="16"/>
      <c r="EB168" s="173"/>
      <c r="EC168" s="173"/>
      <c r="ED168" s="173"/>
      <c r="EE168" s="173"/>
      <c r="EF168" s="16"/>
      <c r="EG168" s="16"/>
      <c r="EH168" s="16"/>
      <c r="EI168" s="16"/>
      <c r="EJ168" s="21"/>
      <c r="EK168" s="21"/>
      <c r="EL168" s="21"/>
      <c r="EM168" s="16"/>
      <c r="EN168" s="16"/>
      <c r="EU168" s="16"/>
      <c r="EV168" s="16"/>
      <c r="EW168" s="16"/>
      <c r="EX168" s="16"/>
      <c r="EY168" s="16"/>
      <c r="EZ168" s="16"/>
      <c r="FA168" s="16"/>
      <c r="FB168" s="16"/>
      <c r="FC168" s="16"/>
      <c r="FD168" s="16"/>
      <c r="FE168" s="16"/>
      <c r="FF168" s="16"/>
      <c r="FG168" s="16"/>
      <c r="FH168" s="16"/>
      <c r="FI168" s="16"/>
      <c r="FJ168" s="16"/>
    </row>
    <row r="169" spans="1:166" x14ac:dyDescent="0.2">
      <c r="A169" s="16" t="s">
        <v>479</v>
      </c>
      <c r="B169" s="16"/>
      <c r="C169" s="16"/>
      <c r="D169" s="16"/>
      <c r="E169" s="16"/>
      <c r="F169" s="16"/>
      <c r="G169" s="16"/>
      <c r="H169" s="16"/>
      <c r="I169" s="16"/>
      <c r="J169" s="16"/>
      <c r="K169" s="16"/>
      <c r="L169" s="16"/>
      <c r="M169" s="16"/>
      <c r="N169" s="16"/>
      <c r="O169" s="16"/>
      <c r="P169" s="16"/>
      <c r="Q169" s="16"/>
      <c r="R169" s="16"/>
      <c r="S169" s="16"/>
      <c r="T169" s="16"/>
      <c r="U169" s="16"/>
      <c r="V169" s="16"/>
      <c r="W169" s="16"/>
      <c r="X169" s="16"/>
      <c r="Y169" s="16"/>
      <c r="Z169" s="16"/>
      <c r="AA169" s="34" t="e">
        <f>-AA43/IS!AA20</f>
        <v>#DIV/0!</v>
      </c>
      <c r="AB169" s="16"/>
      <c r="AC169" s="16"/>
      <c r="AD169" s="16"/>
      <c r="AE169" s="16"/>
      <c r="AF169" s="34" t="e">
        <f>-AF43/IS!AF20</f>
        <v>#DIV/0!</v>
      </c>
      <c r="AG169" s="34" t="e">
        <f>-AG43/IS!AG20</f>
        <v>#DIV/0!</v>
      </c>
      <c r="AH169" s="34" t="e">
        <f>-AH43/IS!AH20</f>
        <v>#DIV/0!</v>
      </c>
      <c r="AI169" s="34" t="e">
        <f>-AI43/IS!AI20</f>
        <v>#DIV/0!</v>
      </c>
      <c r="AJ169" s="34" t="e">
        <f>-AJ43/IS!AJ20</f>
        <v>#DIV/0!</v>
      </c>
      <c r="AK169" s="34" t="e">
        <f>-AK43/IS!AK20</f>
        <v>#DIV/0!</v>
      </c>
      <c r="AL169" s="34" t="e">
        <f>-AL43/IS!AL20</f>
        <v>#DIV/0!</v>
      </c>
      <c r="AM169" s="34" t="e">
        <f>-AM43/IS!AM20</f>
        <v>#DIV/0!</v>
      </c>
      <c r="AN169" s="34" t="e">
        <f>-AN43/IS!AN20</f>
        <v>#DIV/0!</v>
      </c>
      <c r="AO169" s="34" t="e">
        <f>-AO43/IS!AO20</f>
        <v>#DIV/0!</v>
      </c>
      <c r="AP169" s="34" t="e">
        <f>-AP43/IS!AP20</f>
        <v>#DIV/0!</v>
      </c>
      <c r="AQ169" s="34" t="e">
        <f>-AQ43/IS!AQ20</f>
        <v>#DIV/0!</v>
      </c>
      <c r="AR169" s="34" t="e">
        <f>-AR43/IS!AR20</f>
        <v>#DIV/0!</v>
      </c>
      <c r="AS169" s="34">
        <f>-AS43/IS!AW20</f>
        <v>4.4060981738984754E-2</v>
      </c>
      <c r="AT169" s="34">
        <f>-AT43/IS!AX20</f>
        <v>9.6629213483146098E-2</v>
      </c>
      <c r="AU169" s="34"/>
      <c r="AV169" s="21"/>
      <c r="AW169" s="34"/>
      <c r="AX169" s="34"/>
      <c r="AY169" s="34">
        <f>-AY43/IS!AY20</f>
        <v>2.3333333333333334E-2</v>
      </c>
      <c r="AZ169" s="34">
        <f>-AZ43/IS!AZ20</f>
        <v>5.578370978781657E-2</v>
      </c>
      <c r="BA169" s="34">
        <f>-BA43/IS!BA20</f>
        <v>5.53591481928212E-2</v>
      </c>
      <c r="BB169" s="34">
        <f>-BB43/IS!BB20</f>
        <v>1.7572463768115942E-2</v>
      </c>
      <c r="BC169" s="34">
        <f>-BC43/IS!BC20</f>
        <v>2.3177695666778637E-2</v>
      </c>
      <c r="BD169" s="34">
        <f>-BD43/IS!BD20</f>
        <v>3.0442652624650318E-2</v>
      </c>
      <c r="BE169" s="34">
        <f>-BE43/IS!BE20</f>
        <v>6.9066482948673791E-2</v>
      </c>
      <c r="BF169" s="34">
        <f>-BF43/IS!BF20</f>
        <v>3.5150062079890396E-2</v>
      </c>
      <c r="BG169" s="34">
        <f>-BG43/IS!BG20</f>
        <v>2.9127917178452364E-2</v>
      </c>
      <c r="BH169" s="34">
        <f>-BH43/IS!BH20</f>
        <v>-5.1775147928994104E-3</v>
      </c>
      <c r="BI169" s="34">
        <f>-BI43/IS!BI20</f>
        <v>5.2446785165679181E-2</v>
      </c>
      <c r="BJ169" s="34">
        <f>-BJ43/IS!BJ20</f>
        <v>8.034610630407911E-2</v>
      </c>
      <c r="BK169" s="34">
        <f>-BK43/IS!BK20</f>
        <v>3.5618245471611951E-2</v>
      </c>
      <c r="BL169" s="34">
        <f>-BL43/IS!BL20</f>
        <v>2.2276472383277388E-2</v>
      </c>
      <c r="BM169" s="34">
        <f>-BM43/IS!BM20</f>
        <v>4.6712181099532873E-3</v>
      </c>
      <c r="BN169" s="34">
        <f>-BN43/IS!BN20</f>
        <v>7.9970919665576182E-3</v>
      </c>
      <c r="BO169" s="34">
        <f>-BO43/IS!BO20</f>
        <v>5.5429864253393663E-2</v>
      </c>
      <c r="BP169" s="34">
        <f>-BP43/IS!BP20</f>
        <v>2.2245485475006543E-2</v>
      </c>
      <c r="BQ169" s="34">
        <f>-BQ43/IS!BQ20</f>
        <v>1.41137401411374E-2</v>
      </c>
      <c r="BR169" s="34">
        <f>-BR43/IS!BR20</f>
        <v>1.4548238897396632E-2</v>
      </c>
      <c r="BS169" s="34">
        <f>-BS43/IS!BS20</f>
        <v>1.2549300824668336E-2</v>
      </c>
      <c r="BT169" s="34">
        <f>-BT43/IS!BT20</f>
        <v>4.8522699975978849E-2</v>
      </c>
      <c r="BU169" s="34">
        <f>-BU43/IS!BU20</f>
        <v>2.5808068153345021E-2</v>
      </c>
      <c r="BV169" s="34">
        <f>-BV43/IS!CA20</f>
        <v>3.1501125040180003E-2</v>
      </c>
      <c r="BW169" s="1397">
        <f>-BW43/IS!CB20</f>
        <v>2.6482440990213015E-2</v>
      </c>
      <c r="BX169" s="34">
        <f>-BX43/IS!CC20</f>
        <v>2.5399627341374919E-2</v>
      </c>
      <c r="BY169" s="34">
        <f>-BY43/IS!CD20</f>
        <v>3.0652790917691571E-2</v>
      </c>
      <c r="BZ169" s="34">
        <f>-BZ43/IS!CE20</f>
        <v>2.8453679482750113E-2</v>
      </c>
      <c r="CA169" s="34">
        <f>-CA43/IS!CF20</f>
        <v>6.0968971148611861E-3</v>
      </c>
      <c r="CB169" s="34">
        <f>-CB43/IS!CG20</f>
        <v>6.921745818111902E-3</v>
      </c>
      <c r="CC169" s="34">
        <f>-CC43/IS!CH20</f>
        <v>5.019986985218927E-3</v>
      </c>
      <c r="CD169" s="34">
        <f>-CD43/IS!CI20</f>
        <v>1.3946624916770142E-2</v>
      </c>
      <c r="CE169" s="34">
        <f>-CE43/IS!CJ20</f>
        <v>8.1287477869062021E-3</v>
      </c>
      <c r="CF169" s="34">
        <f>-CF43/IS!CK20</f>
        <v>4.0975414751149315E-3</v>
      </c>
      <c r="CG169" s="34">
        <f>-CG43/IS!CL20</f>
        <v>6.7096318530943753E-3</v>
      </c>
      <c r="CH169" s="34">
        <f>-CH43/IS!CM20</f>
        <v>4.3024987588945887E-3</v>
      </c>
      <c r="CI169" s="34">
        <f>-CI43/IS!CN20</f>
        <v>1.60427807486631E-2</v>
      </c>
      <c r="CJ169" s="34">
        <f>-CJ43/IS!CO20</f>
        <v>8.0199296344048432E-3</v>
      </c>
      <c r="CK169" s="34">
        <f>CF169</f>
        <v>4.0975414751149315E-3</v>
      </c>
      <c r="CL169" s="1342">
        <f t="shared" ref="CL169:CN169" si="498">CG169</f>
        <v>6.7096318530943753E-3</v>
      </c>
      <c r="CM169" s="1342">
        <f t="shared" si="498"/>
        <v>4.3024987588945887E-3</v>
      </c>
      <c r="CN169" s="1342">
        <f t="shared" si="498"/>
        <v>1.60427807486631E-2</v>
      </c>
      <c r="CO169" s="34">
        <f>-CO43/IS!CT20</f>
        <v>8.3008553923115246E-3</v>
      </c>
      <c r="CP169" s="1342">
        <f>CK169</f>
        <v>4.0975414751149315E-3</v>
      </c>
      <c r="CQ169" s="1342">
        <f t="shared" ref="CQ169:CS169" si="499">CL169</f>
        <v>6.7096318530943753E-3</v>
      </c>
      <c r="CR169" s="1342">
        <f t="shared" si="499"/>
        <v>4.3024987588945887E-3</v>
      </c>
      <c r="CS169" s="1342">
        <f t="shared" si="499"/>
        <v>1.60427807486631E-2</v>
      </c>
      <c r="CT169" s="34">
        <f>-CT43/IS!CY20</f>
        <v>7.973050610061547E-3</v>
      </c>
      <c r="CU169" s="1342">
        <f>CP169</f>
        <v>4.0975414751149315E-3</v>
      </c>
      <c r="CV169" s="1342">
        <f t="shared" ref="CV169" si="500">CQ169</f>
        <v>6.7096318530943753E-3</v>
      </c>
      <c r="CW169" s="1342">
        <f t="shared" ref="CW169" si="501">CR169</f>
        <v>4.3024987588945887E-3</v>
      </c>
      <c r="CX169" s="1342">
        <f t="shared" ref="CX169" si="502">CS169</f>
        <v>1.60427807486631E-2</v>
      </c>
      <c r="CY169" s="34">
        <f>-CY43/IS!DD20</f>
        <v>7.9685198850682343E-3</v>
      </c>
      <c r="CZ169" s="1342">
        <f>CU169</f>
        <v>4.0975414751149315E-3</v>
      </c>
      <c r="DA169" s="1342">
        <f t="shared" ref="DA169" si="503">CV169</f>
        <v>6.7096318530943753E-3</v>
      </c>
      <c r="DB169" s="1342">
        <f t="shared" ref="DB169" si="504">CW169</f>
        <v>4.3024987588945887E-3</v>
      </c>
      <c r="DC169" s="1342">
        <f t="shared" ref="DC169" si="505">CX169</f>
        <v>1.60427807486631E-2</v>
      </c>
      <c r="DD169" s="34">
        <f>-DD43/IS!DI20</f>
        <v>7.9759710839724333E-3</v>
      </c>
      <c r="DE169" s="1342">
        <f>CZ169</f>
        <v>4.0975414751149315E-3</v>
      </c>
      <c r="DF169" s="1342">
        <f t="shared" ref="DF169" si="506">DA169</f>
        <v>6.7096318530943753E-3</v>
      </c>
      <c r="DG169" s="1342">
        <f t="shared" ref="DG169" si="507">DB169</f>
        <v>4.3024987588945887E-3</v>
      </c>
      <c r="DH169" s="1342">
        <f t="shared" ref="DH169" si="508">DC169</f>
        <v>1.60427807486631E-2</v>
      </c>
      <c r="DI169" s="34">
        <f>-DI43/IS!DN20</f>
        <v>7.9789822254479129E-3</v>
      </c>
      <c r="DJ169" s="1342">
        <f>DE169</f>
        <v>4.0975414751149315E-3</v>
      </c>
      <c r="DK169" s="1342">
        <f t="shared" ref="DK169" si="509">DF169</f>
        <v>6.7096318530943753E-3</v>
      </c>
      <c r="DL169" s="1342">
        <f t="shared" ref="DL169" si="510">DG169</f>
        <v>4.3024987588945887E-3</v>
      </c>
      <c r="DM169" s="1342">
        <f t="shared" ref="DM169" si="511">DH169</f>
        <v>1.60427807486631E-2</v>
      </c>
      <c r="DN169" s="34">
        <f>-DN43/IS!DS20</f>
        <v>7.9782423341398078E-3</v>
      </c>
      <c r="DO169" s="1342">
        <f>DJ169</f>
        <v>4.0975414751149315E-3</v>
      </c>
      <c r="DP169" s="1342">
        <f t="shared" ref="DP169" si="512">DK169</f>
        <v>6.7096318530943753E-3</v>
      </c>
      <c r="DQ169" s="1342">
        <f t="shared" ref="DQ169" si="513">DL169</f>
        <v>4.3024987588945887E-3</v>
      </c>
      <c r="DR169" s="1342">
        <f t="shared" ref="DR169" si="514">DM169</f>
        <v>1.60427807486631E-2</v>
      </c>
      <c r="DS169" s="34">
        <f>-DS43/IS!DX20</f>
        <v>7.9675515055002855E-3</v>
      </c>
      <c r="DT169" s="1342">
        <f>DO169</f>
        <v>4.0975414751149315E-3</v>
      </c>
      <c r="DU169" s="1342">
        <f t="shared" ref="DU169" si="515">DP169</f>
        <v>6.7096318530943753E-3</v>
      </c>
      <c r="DV169" s="1342">
        <f t="shared" ref="DV169" si="516">DQ169</f>
        <v>4.3024987588945887E-3</v>
      </c>
      <c r="DW169" s="1342">
        <f t="shared" ref="DW169" si="517">DR169</f>
        <v>1.60427807486631E-2</v>
      </c>
      <c r="DX169" s="34">
        <f>-DX43/IS!EC20</f>
        <v>7.976647733748397E-3</v>
      </c>
      <c r="DY169" s="16"/>
      <c r="DZ169" s="16"/>
      <c r="EA169" s="16"/>
      <c r="EB169" s="34"/>
      <c r="EC169" s="34"/>
      <c r="ED169" s="34"/>
      <c r="EE169" s="34"/>
      <c r="EF169" s="16"/>
      <c r="EG169" s="16"/>
      <c r="EH169" s="16"/>
      <c r="EI169" s="16"/>
      <c r="EJ169" s="21"/>
      <c r="EK169" s="21"/>
      <c r="EL169" s="21"/>
      <c r="EM169" s="16"/>
      <c r="EN169" s="16"/>
      <c r="EU169" s="16"/>
      <c r="EV169" s="16"/>
      <c r="EW169" s="16"/>
      <c r="EX169" s="16"/>
      <c r="EY169" s="16"/>
      <c r="EZ169" s="16"/>
      <c r="FA169" s="16"/>
      <c r="FB169" s="16"/>
      <c r="FC169" s="16"/>
      <c r="FD169" s="16"/>
      <c r="FE169" s="16"/>
      <c r="FF169" s="16"/>
      <c r="FG169" s="16"/>
      <c r="FH169" s="16"/>
      <c r="FI169" s="16"/>
      <c r="FJ169" s="16"/>
    </row>
    <row r="170" spans="1:166" x14ac:dyDescent="0.2">
      <c r="A170" s="16"/>
      <c r="B170" s="16"/>
      <c r="C170" s="16"/>
      <c r="D170" s="16"/>
      <c r="E170" s="16"/>
      <c r="F170" s="16"/>
      <c r="G170" s="16"/>
      <c r="H170" s="16"/>
      <c r="I170" s="16"/>
      <c r="J170" s="16"/>
      <c r="K170" s="16"/>
      <c r="L170" s="16"/>
      <c r="M170" s="16"/>
      <c r="N170" s="16"/>
      <c r="O170" s="16"/>
      <c r="P170" s="16"/>
      <c r="Q170" s="16"/>
      <c r="R170" s="16"/>
      <c r="S170" s="16"/>
      <c r="T170" s="16"/>
      <c r="U170" s="16"/>
      <c r="V170" s="16"/>
      <c r="W170" s="16"/>
      <c r="X170" s="16"/>
      <c r="Y170" s="16"/>
      <c r="Z170" s="16"/>
      <c r="AA170" s="16"/>
      <c r="AB170" s="16"/>
      <c r="AC170" s="204">
        <f>SUM(AC91,AB91,Z91,Y91)</f>
        <v>-17</v>
      </c>
      <c r="AD170" s="16"/>
      <c r="AE170" s="16"/>
      <c r="AF170" s="16"/>
      <c r="AG170" s="16"/>
      <c r="AH170" s="204">
        <f>SUM(AH91,AG91,AE91,AD91)</f>
        <v>132</v>
      </c>
      <c r="AI170" s="16"/>
      <c r="AJ170" s="16"/>
      <c r="AK170" s="16"/>
      <c r="AL170" s="16"/>
      <c r="AM170" s="16"/>
      <c r="AN170" s="16"/>
      <c r="AO170" s="16"/>
      <c r="AP170" s="16"/>
      <c r="AQ170" s="16"/>
      <c r="AR170" s="16"/>
      <c r="AS170" s="16"/>
      <c r="AT170" s="16"/>
      <c r="AU170" s="16"/>
      <c r="AV170" s="21"/>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353"/>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c r="DB170" s="16"/>
      <c r="DC170" s="16"/>
      <c r="DD170" s="16"/>
      <c r="DE170" s="16"/>
      <c r="DF170" s="16"/>
      <c r="DG170" s="16"/>
      <c r="DH170" s="16"/>
      <c r="DI170" s="16"/>
      <c r="DJ170" s="16"/>
      <c r="DK170" s="16"/>
      <c r="DL170" s="16"/>
      <c r="DM170" s="16"/>
      <c r="DN170" s="16"/>
      <c r="DO170" s="16"/>
      <c r="DP170" s="16"/>
      <c r="DQ170" s="16"/>
      <c r="DR170" s="16"/>
      <c r="DS170" s="16"/>
      <c r="DT170" s="16"/>
      <c r="DU170" s="16"/>
      <c r="DV170" s="16"/>
      <c r="DW170" s="16"/>
      <c r="DX170" s="16"/>
      <c r="DY170" s="16"/>
      <c r="DZ170" s="16"/>
      <c r="EA170" s="16"/>
      <c r="EB170" s="173"/>
      <c r="EC170" s="173"/>
      <c r="ED170" s="173"/>
      <c r="EE170" s="173"/>
      <c r="EF170" s="16"/>
      <c r="EG170" s="16"/>
      <c r="EH170" s="16"/>
      <c r="EI170" s="16"/>
      <c r="EJ170" s="21"/>
      <c r="EK170" s="21"/>
      <c r="EL170" s="21"/>
      <c r="EM170" s="16"/>
      <c r="EN170" s="16"/>
      <c r="EU170" s="16"/>
      <c r="EV170" s="16"/>
      <c r="EW170" s="16"/>
      <c r="EX170" s="16"/>
      <c r="EY170" s="16"/>
      <c r="EZ170" s="16"/>
      <c r="FA170" s="16"/>
      <c r="FB170" s="16"/>
      <c r="FC170" s="16"/>
      <c r="FD170" s="16"/>
      <c r="FE170" s="16"/>
      <c r="FF170" s="16"/>
      <c r="FG170" s="16"/>
      <c r="FH170" s="16"/>
      <c r="FI170" s="16"/>
      <c r="FJ170" s="16"/>
    </row>
    <row r="171" spans="1:166" x14ac:dyDescent="0.2">
      <c r="A171" s="16" t="s">
        <v>480</v>
      </c>
      <c r="B171" s="16"/>
      <c r="C171" s="16"/>
      <c r="D171" s="16"/>
      <c r="E171" s="16"/>
      <c r="F171" s="16"/>
      <c r="G171" s="16"/>
      <c r="H171" s="16"/>
      <c r="I171" s="16"/>
      <c r="J171" s="16"/>
      <c r="K171" s="16"/>
      <c r="L171" s="16"/>
      <c r="M171" s="16"/>
      <c r="N171" s="16"/>
      <c r="O171" s="16"/>
      <c r="P171" s="16"/>
      <c r="Q171" s="34" t="e">
        <f>Q11/IS!Q20</f>
        <v>#DIV/0!</v>
      </c>
      <c r="R171" s="34" t="e">
        <f>R11/IS!R20</f>
        <v>#DIV/0!</v>
      </c>
      <c r="S171" s="34" t="e">
        <f>S11/IS!S20</f>
        <v>#DIV/0!</v>
      </c>
      <c r="T171" s="34" t="e">
        <f>T11/IS!T20</f>
        <v>#DIV/0!</v>
      </c>
      <c r="U171" s="34" t="e">
        <f>U11/IS!U20</f>
        <v>#DIV/0!</v>
      </c>
      <c r="V171" s="34" t="e">
        <f>V11/IS!V20</f>
        <v>#DIV/0!</v>
      </c>
      <c r="W171" s="34" t="e">
        <f>W11/IS!W20</f>
        <v>#DIV/0!</v>
      </c>
      <c r="X171" s="34" t="e">
        <f>X11/IS!X20</f>
        <v>#DIV/0!</v>
      </c>
      <c r="Y171" s="34" t="e">
        <f>Y11/IS!Y20</f>
        <v>#DIV/0!</v>
      </c>
      <c r="Z171" s="34" t="e">
        <f>Z11/IS!Z20</f>
        <v>#DIV/0!</v>
      </c>
      <c r="AA171" s="34" t="e">
        <f>AA11/IS!AA20</f>
        <v>#DIV/0!</v>
      </c>
      <c r="AB171" s="34" t="e">
        <f>AB11/IS!AB20</f>
        <v>#DIV/0!</v>
      </c>
      <c r="AC171" s="34" t="e">
        <f>AC11/IS!AC20</f>
        <v>#DIV/0!</v>
      </c>
      <c r="AD171" s="34" t="e">
        <f>AD11/IS!AD20</f>
        <v>#DIV/0!</v>
      </c>
      <c r="AE171" s="34" t="e">
        <f>AE11/IS!AE20</f>
        <v>#DIV/0!</v>
      </c>
      <c r="AF171" s="34" t="e">
        <f>AF11/IS!AF20</f>
        <v>#DIV/0!</v>
      </c>
      <c r="AG171" s="34" t="e">
        <f>AG11/IS!AG20</f>
        <v>#DIV/0!</v>
      </c>
      <c r="AH171" s="34" t="e">
        <f>AH11/IS!AH20</f>
        <v>#DIV/0!</v>
      </c>
      <c r="AI171" s="34" t="e">
        <f>AI11/IS!AI20</f>
        <v>#DIV/0!</v>
      </c>
      <c r="AJ171" s="34" t="e">
        <f>AJ11/IS!AJ20</f>
        <v>#DIV/0!</v>
      </c>
      <c r="AK171" s="34" t="e">
        <f>AK11/IS!AK20</f>
        <v>#DIV/0!</v>
      </c>
      <c r="AL171" s="34" t="e">
        <f>AL11/IS!AL20</f>
        <v>#DIV/0!</v>
      </c>
      <c r="AM171" s="34" t="e">
        <f>AM11/IS!AM20</f>
        <v>#DIV/0!</v>
      </c>
      <c r="AN171" s="34" t="e">
        <f>AN11/IS!AN20</f>
        <v>#DIV/0!</v>
      </c>
      <c r="AO171" s="34" t="e">
        <f>AO11/IS!AO20</f>
        <v>#DIV/0!</v>
      </c>
      <c r="AP171" s="34" t="e">
        <f>AP11/IS!AP20</f>
        <v>#DIV/0!</v>
      </c>
      <c r="AQ171" s="34" t="e">
        <f>AQ11/IS!AQ20</f>
        <v>#DIV/0!</v>
      </c>
      <c r="AR171" s="34" t="e">
        <f>AR11/IS!AR20</f>
        <v>#DIV/0!</v>
      </c>
      <c r="AS171" s="34">
        <f>AS11/IS!AW20</f>
        <v>4.6071368738482173E-2</v>
      </c>
      <c r="AT171" s="34">
        <f>AT11/IS!AX20</f>
        <v>5.1043338683788103E-2</v>
      </c>
      <c r="AU171" s="34"/>
      <c r="AV171" s="21"/>
      <c r="AW171" s="34"/>
      <c r="AX171" s="34"/>
      <c r="AY171" s="34">
        <f>AY11/IS!AY20</f>
        <v>4.2666666666666672E-2</v>
      </c>
      <c r="AZ171" s="34">
        <f>AZ11/IS!AZ20</f>
        <v>5.6810403832991109E-2</v>
      </c>
      <c r="BA171" s="34">
        <f>BA11/IS!BA20</f>
        <v>4.9120326082435634E-2</v>
      </c>
      <c r="BB171" s="34">
        <f>BB11/IS!BB20</f>
        <v>6.3405797101449279E-2</v>
      </c>
      <c r="BC171" s="34">
        <f>BC11/IS!BC20</f>
        <v>5.6768558951965066E-2</v>
      </c>
      <c r="BD171" s="34">
        <f>BD11/IS!BD20</f>
        <v>5.6442323514892208E-2</v>
      </c>
      <c r="BE171" s="34">
        <f>BE11/IS!BE20</f>
        <v>5.735446090251467E-2</v>
      </c>
      <c r="BF171" s="34">
        <f>BF11/IS!BF20</f>
        <v>5.8397910690585274E-2</v>
      </c>
      <c r="BG171" s="34">
        <f>BG11/IS!BG20</f>
        <v>5.9659589401649414E-2</v>
      </c>
      <c r="BH171" s="34">
        <f>BH11/IS!BH20</f>
        <v>6.1760355029585816E-2</v>
      </c>
      <c r="BI171" s="34">
        <f>BI11/IS!BI20</f>
        <v>6.2760588106210213E-2</v>
      </c>
      <c r="BJ171" s="34">
        <f>BJ11/IS!BJ20</f>
        <v>4.4993819530284307E-2</v>
      </c>
      <c r="BK171" s="34">
        <f>BK11/IS!BK20</f>
        <v>5.7943071693135118E-2</v>
      </c>
      <c r="BL171" s="34">
        <f>BL11/IS!BL20</f>
        <v>5.0656087885260916E-2</v>
      </c>
      <c r="BM171" s="34">
        <f>BM11/IS!BM20</f>
        <v>5.7491915199425078E-2</v>
      </c>
      <c r="BN171" s="34">
        <f>BN11/IS!BN20</f>
        <v>5.7433660487095584E-2</v>
      </c>
      <c r="BO171" s="34">
        <f>BO11/IS!BO20</f>
        <v>6.561085972850679E-2</v>
      </c>
      <c r="BP171" s="34">
        <f>BP11/IS!BP20</f>
        <v>5.7402076245310997E-2</v>
      </c>
      <c r="BQ171" s="34">
        <f>BQ11/IS!BQ20</f>
        <v>6.8078040680780397E-2</v>
      </c>
      <c r="BR171" s="34">
        <f>BR11/IS!BR20</f>
        <v>6.0490045941807062E-2</v>
      </c>
      <c r="BS171" s="34">
        <f>BS11/IS!BS20</f>
        <v>5.9160989602007892E-2</v>
      </c>
      <c r="BT171" s="34">
        <f>BT11/IS!BT20</f>
        <v>5.813115541676675E-2</v>
      </c>
      <c r="BU171" s="34">
        <f>BU11/IS!BU20</f>
        <v>6.0886995740415929E-2</v>
      </c>
      <c r="BV171" s="34">
        <f>BV11/IS!CA20</f>
        <v>5.4537662059359261E-2</v>
      </c>
      <c r="BW171" s="1397">
        <f>BW11/IS!CB20</f>
        <v>4.9126847054308198E-2</v>
      </c>
      <c r="BX171" s="34">
        <f>BX11/IS!CC20</f>
        <v>3.5010297146219498E-2</v>
      </c>
      <c r="BY171" s="34">
        <f>BY11/IS!CD20</f>
        <v>4.181646168401134E-2</v>
      </c>
      <c r="BZ171" s="34">
        <f>BZ11/IS!CE20</f>
        <v>4.4913873945017523E-2</v>
      </c>
      <c r="CA171" s="34">
        <f>CA11/IS!CF20</f>
        <v>4.5835601524224279E-2</v>
      </c>
      <c r="CB171" s="34">
        <f>CB11/IS!CG20</f>
        <v>4.1915016343010959E-2</v>
      </c>
      <c r="CC171" s="34">
        <f>CC11/IS!CH20</f>
        <v>4.0252858603699926E-2</v>
      </c>
      <c r="CD171" s="34">
        <f>CD11/IS!CI20</f>
        <v>3.8780615091147927E-2</v>
      </c>
      <c r="CE171" s="34">
        <f>CE11/IS!CJ20</f>
        <v>4.151209181384443E-2</v>
      </c>
      <c r="CF171" s="34">
        <f>CF11/IS!CK20</f>
        <v>4.3373975614631223E-2</v>
      </c>
      <c r="CG171" s="34">
        <f>CG11/IS!CL20</f>
        <v>3.9992937229628323E-2</v>
      </c>
      <c r="CH171" s="34">
        <f>CH11/IS!CM20</f>
        <v>3.8226046665563465E-2</v>
      </c>
      <c r="CI171" s="34">
        <f>CI11/IS!CN20</f>
        <v>3.7433155080213866E-2</v>
      </c>
      <c r="CJ171" s="34">
        <f>CJ11/IS!CO20</f>
        <v>3.9575184108738878E-2</v>
      </c>
      <c r="CK171" s="34">
        <f>CK11/IS!CP20</f>
        <v>3.7486042431009732E-2</v>
      </c>
      <c r="CL171" s="34">
        <f>CL11/IS!CQ20</f>
        <v>3.9717159986526286E-2</v>
      </c>
      <c r="CM171" s="34">
        <f>CM11/IS!CR20</f>
        <v>3.7582051515770196E-2</v>
      </c>
      <c r="CN171" s="34">
        <f>CN11/IS!CS20</f>
        <v>3.6904125051788063E-2</v>
      </c>
      <c r="CO171" s="34">
        <f>CO11/IS!CT20</f>
        <v>3.7911096993571161E-2</v>
      </c>
      <c r="CP171" s="34">
        <f>CP11/IS!CU20</f>
        <v>3.7908937382735285E-2</v>
      </c>
      <c r="CQ171" s="34">
        <f>CQ11/IS!CV20</f>
        <v>3.8647092079236854E-2</v>
      </c>
      <c r="CR171" s="34">
        <f>CR11/IS!CW20</f>
        <v>3.6538555267760002E-2</v>
      </c>
      <c r="CS171" s="34">
        <f>CS11/IS!CX20</f>
        <v>3.5935961842334246E-2</v>
      </c>
      <c r="CT171" s="34">
        <f>CT11/IS!CY20</f>
        <v>3.7212701165224633E-2</v>
      </c>
      <c r="CU171" s="34">
        <f>CU11/IS!CZ20</f>
        <v>3.6759897186939193E-2</v>
      </c>
      <c r="CV171" s="34">
        <f>CV11/IS!DA20</f>
        <v>3.7661503356690412E-2</v>
      </c>
      <c r="CW171" s="34">
        <f>CW11/IS!DB20</f>
        <v>3.5551462905022764E-2</v>
      </c>
      <c r="CX171" s="34">
        <f>CX11/IS!DC20</f>
        <v>3.4793541023437631E-2</v>
      </c>
      <c r="CY171" s="34">
        <f>CY11/IS!DD20</f>
        <v>3.6148223729282287E-2</v>
      </c>
      <c r="CZ171" s="34">
        <f>CZ11/IS!DE20</f>
        <v>3.9173417244316555E-2</v>
      </c>
      <c r="DA171" s="34">
        <f>DA11/IS!DF20</f>
        <v>3.6697530208484104E-2</v>
      </c>
      <c r="DB171" s="34">
        <f>DB11/IS!DG20</f>
        <v>3.5412681246841299E-2</v>
      </c>
      <c r="DC171" s="34">
        <f>DC11/IS!DH20</f>
        <v>3.9600983522785904E-2</v>
      </c>
      <c r="DD171" s="34">
        <f>DD11/IS!DI20</f>
        <v>3.770464332748831E-2</v>
      </c>
      <c r="DE171" s="34">
        <f>DE11/IS!DJ20</f>
        <v>3.8329243287987223E-2</v>
      </c>
      <c r="DF171" s="34">
        <f>DF11/IS!DK20</f>
        <v>3.5921793302350159E-2</v>
      </c>
      <c r="DG171" s="34">
        <f>DG11/IS!DL20</f>
        <v>3.4676443184457784E-2</v>
      </c>
      <c r="DH171" s="34">
        <f>DH11/IS!DM20</f>
        <v>3.8897150666547621E-2</v>
      </c>
      <c r="DI171" s="34">
        <f>DI11/IS!DN20</f>
        <v>3.6942574464281917E-2</v>
      </c>
      <c r="DJ171" s="34">
        <f>DJ11/IS!DO20</f>
        <v>3.7542750430134122E-2</v>
      </c>
      <c r="DK171" s="34">
        <f>DK11/IS!DP20</f>
        <v>3.4556476684082051E-2</v>
      </c>
      <c r="DL171" s="34">
        <f>DL11/IS!DQ20</f>
        <v>3.3319548654037738E-2</v>
      </c>
      <c r="DM171" s="34">
        <f>DM11/IS!DR20</f>
        <v>3.7576327376951185E-2</v>
      </c>
      <c r="DN171" s="34">
        <f>DN11/IS!DS20</f>
        <v>3.57238392361654E-2</v>
      </c>
      <c r="DO171" s="34">
        <f>DO11/IS!DT20</f>
        <v>3.674983901667616E-2</v>
      </c>
      <c r="DP171" s="34">
        <f>DP11/IS!DU20</f>
        <v>3.3228450912939536E-2</v>
      </c>
      <c r="DQ171" s="34">
        <f>DQ11/IS!DV20</f>
        <v>3.2002179165441388E-2</v>
      </c>
      <c r="DR171" s="34">
        <f>DR11/IS!DW20</f>
        <v>3.6284420992768789E-2</v>
      </c>
      <c r="DS171" s="34">
        <f>DS11/IS!DX20</f>
        <v>3.4536602146728448E-2</v>
      </c>
      <c r="DT171" s="34">
        <f>DT11/IS!DY20</f>
        <v>3.6056033392646659E-2</v>
      </c>
      <c r="DU171" s="34">
        <f>DU11/IS!DZ20</f>
        <v>3.1936228072839766E-2</v>
      </c>
      <c r="DV171" s="34">
        <f>DV11/IS!EA20</f>
        <v>3.0722142536187012E-2</v>
      </c>
      <c r="DW171" s="34">
        <f>DW11/IS!EB20</f>
        <v>3.502059091806136E-2</v>
      </c>
      <c r="DX171" s="34">
        <f>DX11/IS!EC20</f>
        <v>3.3386892236709036E-2</v>
      </c>
      <c r="DY171" s="16"/>
      <c r="DZ171" s="16"/>
      <c r="EA171" s="16"/>
      <c r="EB171" s="173"/>
      <c r="EC171" s="173"/>
      <c r="ED171" s="173"/>
      <c r="EE171" s="173"/>
      <c r="EF171" s="16"/>
      <c r="EG171" s="16"/>
      <c r="EH171" s="16"/>
      <c r="EI171" s="16"/>
      <c r="EJ171" s="21"/>
      <c r="EK171" s="21"/>
      <c r="EL171" s="21"/>
      <c r="EM171" s="16"/>
      <c r="EN171" s="16"/>
      <c r="EU171" s="16"/>
      <c r="EV171" s="16"/>
      <c r="EW171" s="16"/>
      <c r="EX171" s="16"/>
      <c r="EY171" s="16"/>
      <c r="EZ171" s="16"/>
      <c r="FA171" s="16"/>
      <c r="FB171" s="16"/>
      <c r="FC171" s="16"/>
      <c r="FD171" s="16"/>
      <c r="FE171" s="16"/>
      <c r="FF171" s="16"/>
      <c r="FG171" s="16"/>
      <c r="FH171" s="16"/>
      <c r="FI171" s="16"/>
      <c r="FJ171" s="16"/>
    </row>
    <row r="172" spans="1:166" x14ac:dyDescent="0.2">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21"/>
      <c r="AW172" s="16"/>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353"/>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c r="CX172" s="16"/>
      <c r="CY172" s="16"/>
      <c r="CZ172" s="16"/>
      <c r="DA172" s="16"/>
      <c r="DB172" s="16"/>
      <c r="DC172" s="16"/>
      <c r="DD172" s="16"/>
      <c r="DE172" s="16"/>
      <c r="DF172" s="16"/>
      <c r="DG172" s="16"/>
      <c r="DH172" s="16"/>
      <c r="DI172" s="16"/>
      <c r="DJ172" s="16"/>
      <c r="DK172" s="16"/>
      <c r="DL172" s="16"/>
      <c r="DM172" s="16"/>
      <c r="DN172" s="16"/>
      <c r="DO172" s="16"/>
      <c r="DP172" s="16"/>
      <c r="DQ172" s="16"/>
      <c r="DR172" s="16"/>
      <c r="DS172" s="16"/>
      <c r="DT172" s="16"/>
      <c r="DU172" s="16"/>
      <c r="DV172" s="16"/>
      <c r="DW172" s="16"/>
      <c r="DX172" s="16"/>
      <c r="DY172" s="16"/>
      <c r="DZ172" s="16"/>
      <c r="EA172" s="16"/>
      <c r="EB172" s="173"/>
      <c r="EC172" s="173"/>
      <c r="ED172" s="173"/>
      <c r="EE172" s="173"/>
      <c r="EF172" s="16"/>
      <c r="EG172" s="16"/>
      <c r="EH172" s="16"/>
      <c r="EI172" s="16"/>
      <c r="EJ172" s="21"/>
      <c r="EK172" s="21"/>
      <c r="EL172" s="21"/>
      <c r="EM172" s="16"/>
      <c r="EN172" s="16"/>
      <c r="EU172" s="16"/>
      <c r="EV172" s="16"/>
      <c r="EW172" s="16"/>
      <c r="EX172" s="16"/>
      <c r="EY172" s="16"/>
      <c r="EZ172" s="16"/>
      <c r="FA172" s="16"/>
      <c r="FB172" s="16"/>
      <c r="FC172" s="16"/>
      <c r="FD172" s="16"/>
      <c r="FE172" s="16"/>
      <c r="FF172" s="16"/>
      <c r="FG172" s="16"/>
      <c r="FH172" s="16"/>
      <c r="FI172" s="16"/>
      <c r="FJ172" s="16"/>
    </row>
    <row r="173" spans="1:166" x14ac:dyDescent="0.2">
      <c r="A173" s="16" t="s">
        <v>482</v>
      </c>
      <c r="B173" s="16"/>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34" t="e">
        <f>(((AB38+Z38+Y38+X38)-(IS!AB51+IS!Z51+IS!Y51+IS!X51))/(IS!AB20+IS!Z20+IS!Y20+IS!X20))</f>
        <v>#DIV/0!</v>
      </c>
      <c r="AC173" s="34" t="e">
        <f>(((AC38+AB38+Z38+Y38)-(IS!AC51+IS!AB51+IS!Z51+IS!Y51))/(IS!AC20+IS!AB20+IS!Z20+IS!Y20))</f>
        <v>#DIV/0!</v>
      </c>
      <c r="AD173" s="34" t="e">
        <f>(((AD38+AC38+AB38+Z38)-(IS!AD51+IS!AC51+IS!AB51+IS!Z51))/(IS!AD20+IS!AC20+IS!AB20+IS!Z20))</f>
        <v>#DIV/0!</v>
      </c>
      <c r="AE173" s="437" t="e">
        <f>AF173</f>
        <v>#DIV/0!</v>
      </c>
      <c r="AF173" s="34" t="e">
        <f>(AF38-IS!AF51)/IS!AF20</f>
        <v>#DIV/0!</v>
      </c>
      <c r="AG173" s="34" t="e">
        <f>(((AG38+AE38+AD38+AC38)-(IS!AG51+IS!AE51+IS!AD51+IS!AC51))/(IS!AG20+IS!AE20+IS!AD20+IS!AC20))</f>
        <v>#DIV/0!</v>
      </c>
      <c r="AH173" s="34" t="e">
        <f>(((AH38+AG38+AE38+AD38)-(IS!AH51+IS!AG51+IS!AE51+IS!AD51))/(IS!AH20+IS!AG20+IS!AE20+IS!AD20))</f>
        <v>#DIV/0!</v>
      </c>
      <c r="AI173" s="34" t="e">
        <f>(((AI38+AH38+AG38+AE38)-(IS!AI51+IS!AH51+IS!AG51+IS!AE51))/(IS!AI20+IS!AH20+IS!AG20+IS!AE20))</f>
        <v>#DIV/0!</v>
      </c>
      <c r="AJ173" s="437" t="e">
        <f>AK173</f>
        <v>#DIV/0!</v>
      </c>
      <c r="AK173" s="34" t="e">
        <f>(AK38-IS!AK51)/IS!AK20</f>
        <v>#DIV/0!</v>
      </c>
      <c r="AL173" s="34" t="e">
        <f>(((AL38+AJ38+AI38+AH38)-(IS!AL51+IS!AJ51+IS!AI51+IS!AH51))/(IS!AL20+IS!AJ20+IS!AI20+IS!AH20))</f>
        <v>#DIV/0!</v>
      </c>
      <c r="AM173" s="34" t="e">
        <f>(((AM38+AL38+AJ38+AI38)-(IS!AM51+IS!AL51+IS!AJ51+IS!AI51))/(IS!AM20+IS!AL20+IS!AJ20+IS!AI20))</f>
        <v>#DIV/0!</v>
      </c>
      <c r="AN173" s="34" t="e">
        <f>(((AN38+AM38+AL38+AJ38)-(IS!AN51+IS!AM51+IS!AL51+IS!AJ51))/(IS!AN20+IS!AM20+IS!AL20+IS!AJ20))</f>
        <v>#DIV/0!</v>
      </c>
      <c r="AO173" s="34" t="e">
        <f>AP173</f>
        <v>#DIV/0!</v>
      </c>
      <c r="AP173" s="34" t="e">
        <f>(AP38-IS!AP51)/IS!AP20</f>
        <v>#DIV/0!</v>
      </c>
      <c r="AQ173" s="34" t="e">
        <f>(((AQ38+AO38+AN38+AM38)-(IS!AQ51+IS!AO51+IS!AN51+IS!AM51))/(IS!AQ20+IS!AO20+IS!AN20+IS!AM20))</f>
        <v>#DIV/0!</v>
      </c>
      <c r="AR173" s="34" t="e">
        <f>(((AR38+AQ38+AO38+AN38)-(IS!AR51+IS!AQ51+IS!AO51+IS!AN51))/(IS!AR20+IS!AQ20+IS!AO20+IS!AN20))</f>
        <v>#DIV/0!</v>
      </c>
      <c r="AS173" s="34">
        <f>(((AS38+AR38+AQ38+AO38)-(IS!AW51+IS!AR51+IS!AQ51+IS!AO51))/(IS!AW20+IS!AR20+IS!AQ20+IS!AO20))</f>
        <v>0.60529401909867664</v>
      </c>
      <c r="AT173" s="34">
        <f>(((AT38+AS38+AR38+AQ38)-(IS!AX51+IS!AW51+IS!AR51+IS!AQ51))/(IS!AX20+IS!AW20+IS!AR20+IS!AQ20))</f>
        <v>0.24165915238954017</v>
      </c>
      <c r="AU173" s="34"/>
      <c r="AV173" s="21"/>
      <c r="AW173" s="34"/>
      <c r="AX173" s="34"/>
      <c r="AY173" s="34">
        <f>(((AY38+AT38+AS38+AR38)-(IS!AY51+IS!AX51+IS!AW51+IS!AR51))/(IS!AY20+IS!AX20+IS!AW20+IS!AR20))</f>
        <v>0.12588603769437887</v>
      </c>
      <c r="AZ173" s="34">
        <f>(((AZ38+AY38+AT38+AS38)-(IS!AZ51+IS!AY51+IS!AX51+IS!AW51))/(IS!AZ20+IS!AY20+IS!AX20+IS!AW20))</f>
        <v>5.7272386973339494E-2</v>
      </c>
      <c r="BA173" s="34">
        <f>(BA38-IS!BA51)/IS!BA20</f>
        <v>5.7272386973339411E-2</v>
      </c>
      <c r="BB173" s="34">
        <f>(((BB38+AT38+AS38+AR38)-(IS!BB51+IS!AX51+IS!AW51+IS!AR51))/(IS!BB20+IS!AX20+IS!AW20+IS!AR20))</f>
        <v>0.15886901066651624</v>
      </c>
      <c r="BC173" s="34">
        <f>(((BC38+BB38+AT38+AS38)-(IS!BC51+IS!BB51+IS!AX51+IS!AW51))/(IS!BC20+IS!BB20+IS!AX20+IS!AW20))</f>
        <v>7.1347104296033526E-2</v>
      </c>
      <c r="BD173" s="34">
        <f>(((BD38+BC38+BB38+AT38)-(IS!BD51+IS!BC51+IS!BB51+IS!AX51))/(IS!BD20+IS!BC20+IS!BB20+IS!AX20))</f>
        <v>0.13191203061267401</v>
      </c>
      <c r="BE173" s="34">
        <f>BF173</f>
        <v>0.13619043541550724</v>
      </c>
      <c r="BF173" s="34">
        <f>(BF38-IS!BF51)/IS!BF20</f>
        <v>0.13619043541550724</v>
      </c>
      <c r="BG173" s="34">
        <f>(((BG38+BE38+BD38+BC38)-(IS!BG51+IS!BE51+IS!BD51+IS!BC51))/(IS!BG20+IS!BE20+IS!BD20+IS!BC20))</f>
        <v>0.11556764106050316</v>
      </c>
      <c r="BH173" s="34">
        <f>(((BH38+BG38+BE38+BD38)-(IS!BH51+IS!BG51+IS!BE51+IS!BD51))/(IS!BH20+IS!BG20+IS!BE20+IS!BD20))</f>
        <v>9.6520226185298069E-2</v>
      </c>
      <c r="BI173" s="34">
        <f>(((BI38+BH38+BG38+BE38)-(IS!BI51+IS!BH51+IS!BG51+IS!BE51))/(IS!BI20+IS!BH20+IS!BG20+IS!BE20))</f>
        <v>6.6138798323241862E-2</v>
      </c>
      <c r="BJ173" s="34">
        <f>BK173</f>
        <v>5.4137703587193643E-2</v>
      </c>
      <c r="BK173" s="34">
        <f>(BK38-IS!BK51)/IS!BK20</f>
        <v>5.4137703587193643E-2</v>
      </c>
      <c r="BL173" s="34">
        <f>(((BL38+BJ38+BI38+BH38)-(IS!BL51+IS!BJ51+IS!BI51+IS!BH51))/(IS!BL20+IS!BJ20+IS!BI20+IS!BH20))</f>
        <v>7.2192977381847739E-2</v>
      </c>
      <c r="BM173" s="34">
        <f>(((BM38+BL38+BJ38+BI38)-(IS!BM51+IS!BL51+IS!BJ51+IS!BI51))/(IS!BM20+IS!BL20+IS!BJ20+IS!BI20))</f>
        <v>0.11171736461601423</v>
      </c>
      <c r="BN173" s="34">
        <f>(((BN38+BM38+BL38+BJ38)-(IS!BN51+IS!BM51+IS!BL51+IS!BJ51))/(IS!BN20+IS!BM20+IS!BL20+IS!BJ20))</f>
        <v>0.10267579340385809</v>
      </c>
      <c r="BO173" s="34">
        <f>BP173</f>
        <v>7.9822036116199896E-2</v>
      </c>
      <c r="BP173" s="34">
        <f>(BP38-IS!BP51)/IS!BP20</f>
        <v>7.9822036116199896E-2</v>
      </c>
      <c r="BQ173" s="34">
        <f>(((BQ38+BO38+BN38+BM38)-(IS!BQ51+IS!BO51+IS!BN51+IS!BM51))/(IS!BQ20+IS!BO20+IS!BN20+IS!BM20))</f>
        <v>0.10693723454459642</v>
      </c>
      <c r="BR173" s="34">
        <f>(((BR38+BQ38+BO38+BN38)-(IS!BR51+IS!BQ51+IS!BO51+IS!BN51))/(IS!BR20+IS!BQ20+IS!BO20+IS!BN20))</f>
        <v>0.13200306983883348</v>
      </c>
      <c r="BS173" s="34">
        <f>(((BS38+BR38+BQ38+BO38)-(IS!BS51+IS!BR51+IS!BQ51+IS!BO51))/(IS!BS20+IS!BR20+IS!BQ20+IS!BO20))</f>
        <v>0.2430701586694706</v>
      </c>
      <c r="BT173" s="34">
        <f>BU173</f>
        <v>0.44825858180907036</v>
      </c>
      <c r="BU173" s="34">
        <f>(BU38-IS!BU51)/IS!BU20</f>
        <v>0.44825858180907036</v>
      </c>
      <c r="BV173" s="34">
        <f>(((BV38+BT38+BS38+BR38)-(IS!CA51+IS!BT51+IS!BS51+IS!BR51))/(IS!CA20+IS!BT20+IS!BS20+IS!BR20))</f>
        <v>0.3613801132454888</v>
      </c>
      <c r="BW173" s="1397">
        <f>(((BW38+BV38+BT38+BS38)-(IS!CB51+IS!CA51+IS!BT51+IS!BS51))/(IS!CB20+IS!CA20+IS!BT20+IS!BS20))</f>
        <v>0.30812146628224824</v>
      </c>
      <c r="BX173" s="34">
        <f>(((BX38+BW38+BV38+BT38)-(IS!CC51+IS!CB51+IS!CA51+IS!BT51))/(IS!CC20+IS!CB20+IS!CA20+IS!BT20))</f>
        <v>0.2627114172651327</v>
      </c>
      <c r="BY173" s="34">
        <f>BZ173</f>
        <v>0.1710379546912788</v>
      </c>
      <c r="BZ173" s="34">
        <f>(BZ38-IS!CE51)/IS!CE20</f>
        <v>0.1710379546912788</v>
      </c>
      <c r="CA173" s="34">
        <f>(((CA38+BY38+BX38+BW38)-(IS!CF51+IS!CD51+IS!CC51+IS!CB51))/(IS!CF20+IS!CD20+IS!CC20+IS!CB20))</f>
        <v>0.12309407044137315</v>
      </c>
      <c r="CB173" s="34">
        <f>(((CB38+CA38+BY38+BX38)-(IS!CG51+IS!CF51+IS!CD51+IS!CC51))/(IS!CG20+IS!CF20+IS!CD20+IS!CC20))</f>
        <v>0.10375179660008924</v>
      </c>
      <c r="CC173" s="34">
        <f>(((CC38+CB38+CA38+BY38)-(IS!CH51+IS!CG51+IS!CF51+IS!CD51))/(IS!CH20+IS!CG20+IS!CF20+IS!CD20))</f>
        <v>8.174219093708765E-2</v>
      </c>
      <c r="CD173" s="34">
        <f>CE173</f>
        <v>7.5527403769616433E-2</v>
      </c>
      <c r="CE173" s="34">
        <f>(CE38-IS!CJ51)/IS!CJ20</f>
        <v>7.5527403769616433E-2</v>
      </c>
      <c r="CF173" s="34">
        <f>(((CF38+CD38+CC38+CB38)-(IS!CK51+IS!CI51+IS!CH51+IS!CG51))/(IS!CK20+IS!CI20+IS!CH20+IS!CG20))</f>
        <v>9.6294123768886644E-2</v>
      </c>
      <c r="CG173" s="34">
        <f>(((CG38+CF38+CD38+CC38)-(IS!CL51+IS!CK51+IS!CI51+IS!CH51))/(IS!CL20+IS!CK20+IS!CI20+IS!CH20))</f>
        <v>6.819307560909002E-2</v>
      </c>
      <c r="CH173" s="34">
        <f>(((CH38+CG38+CF38+CD38)-(IS!CM51+IS!CL51+IS!CK51+IS!CI51))/(IS!CM20+IS!CL20+IS!CK20+IS!CI20))</f>
        <v>4.6082887220206203E-2</v>
      </c>
      <c r="CI173" s="34">
        <f>CJ173</f>
        <v>3.205786586831582E-2</v>
      </c>
      <c r="CJ173" s="34">
        <f>(CJ38-IS!CO51)/IS!CO20</f>
        <v>3.205786586831582E-2</v>
      </c>
      <c r="CK173" s="34">
        <f>(((CK38+CI38+CH38+CG38)-(IS!CP51+IS!CN51+IS!CM51+IS!CL51))/(IS!CP20+IS!CN20+IS!CM20+IS!CL20))</f>
        <v>-7.2909117263371528E-2</v>
      </c>
      <c r="CL173" s="34">
        <f>(((CL38+CK38+CI38+CH38)-(IS!CQ51+IS!CP51+IS!CN51+IS!CM51))/(IS!CQ20+IS!CP20+IS!CN20+IS!CM20))</f>
        <v>-4.8771024142931704E-2</v>
      </c>
      <c r="CM173" s="34">
        <f>(((CM38+CL38+CK38+CI38)-(IS!CR51+IS!CQ51+IS!CP51+IS!CN51))/(IS!CR20+IS!CQ20+IS!CP20+IS!CN20))</f>
        <v>-5.7394218940196806E-2</v>
      </c>
      <c r="CN173" s="34">
        <f>CO173</f>
        <v>2.8571032973893618E-2</v>
      </c>
      <c r="CO173" s="34">
        <f>(CO38-IS!CT51)/IS!CT20</f>
        <v>2.8571032973893618E-2</v>
      </c>
      <c r="CP173" s="34">
        <f>(((CP38+CN38+CM38+CL38)-(IS!CU51+IS!CS51+IS!CR51+IS!CQ51))/(IS!CU20+IS!CS20+IS!CR20+IS!CQ20))</f>
        <v>5.5403715174502016E-2</v>
      </c>
      <c r="CQ173" s="34">
        <f>(((CQ38+CP38+CN38+CM38)-(IS!CV51+IS!CU51+IS!CS51+IS!CR51))/(IS!CV20+IS!CU20+IS!CS20+IS!CR20))</f>
        <v>3.7814784279935662E-2</v>
      </c>
      <c r="CR173" s="34">
        <f>(((CR38+CQ38+CP38+CN38)-(IS!CW51+IS!CV51+IS!CU51+IS!CS51))/(IS!CW20+IS!CV20+IS!CU20+IS!CS20))</f>
        <v>3.8185962168067626E-2</v>
      </c>
      <c r="CS173" s="34">
        <f>CT173</f>
        <v>4.2123741422571942E-2</v>
      </c>
      <c r="CT173" s="34">
        <f>(CT38-IS!CY51)/IS!CY20</f>
        <v>4.2123741422571942E-2</v>
      </c>
      <c r="CU173" s="34">
        <f>(((CU38+CS38+CR38+CQ38)-(IS!CZ51+IS!CX51+IS!CW51+IS!CV51))/(IS!CZ20+IS!CX20+IS!CW20+IS!CV20))</f>
        <v>3.9745551211928708E-2</v>
      </c>
      <c r="CV173" s="34">
        <f>(((CV38+CU38+CS38+CR38)-(IS!DA51+IS!CZ51+IS!CX51+IS!CW51))/(IS!DA20+IS!CZ20+IS!CX20+IS!CW20))</f>
        <v>3.8559635743940369E-2</v>
      </c>
      <c r="CW173" s="34">
        <f>(((CW38+CV38+CU38+CS38)-(IS!DB51+IS!DA51+IS!CZ51+IS!CX51))/(IS!DB20+IS!DA20+IS!CZ20+IS!CX20))</f>
        <v>3.8270136503706052E-2</v>
      </c>
      <c r="CX173" s="34">
        <f>CY173</f>
        <v>4.221928170251503E-2</v>
      </c>
      <c r="CY173" s="34">
        <f>(CY38-IS!DD51)/IS!DD20</f>
        <v>4.221928170251503E-2</v>
      </c>
      <c r="CZ173" s="34">
        <f>(((CZ38+CX38+CW38+CV38)-(IS!DE51+IS!DC51+IS!DB51+IS!DA51))/(IS!DE20+IS!DC20+IS!DB20+IS!DA20))</f>
        <v>4.0320510443811991E-2</v>
      </c>
      <c r="DA173" s="34">
        <f>(((DA38+CZ38+CX38+CW38)-(IS!DF51+IS!DE51+IS!DC51+IS!DB51))/(IS!DF20+IS!DE20+IS!DC20+IS!DB20))</f>
        <v>3.93830916406544E-2</v>
      </c>
      <c r="DB173" s="34">
        <f>(((DB38+DA38+CZ38+CX38)-(IS!DG51+IS!DF51+IS!DE51+IS!DC51))/(IS!DG20+IS!DF20+IS!DE20+IS!DC20))</f>
        <v>3.9685663206477144E-2</v>
      </c>
      <c r="DC173" s="34">
        <f>DD173</f>
        <v>4.5821974285931398E-2</v>
      </c>
      <c r="DD173" s="34">
        <f>(DD38-IS!DI51)/IS!DI20</f>
        <v>4.5821974285931398E-2</v>
      </c>
      <c r="DE173" s="34">
        <f>(((DE38+DC38+DB38+DA38)-(IS!DJ51+IS!DH51+IS!DG51+IS!DF51))/(IS!DJ20+IS!DH20+IS!DG20+IS!DF20))</f>
        <v>4.2726840206407803E-2</v>
      </c>
      <c r="DF173" s="34">
        <f>(((DF38+DE38+DC38+DB38)-(IS!DK51+IS!DJ51+IS!DH51+IS!DG51))/(IS!DK20+IS!DJ20+IS!DH20+IS!DG20))</f>
        <v>4.2659210701080696E-2</v>
      </c>
      <c r="DG173" s="34">
        <f>(((DG38+DF38+DE38+DC38)-(IS!DL51+IS!DK51+IS!DJ51+IS!DH51))/(IS!DL20+IS!DK20+IS!DJ20+IS!DH20))</f>
        <v>4.269211031307641E-2</v>
      </c>
      <c r="DH173" s="34">
        <f>DI173</f>
        <v>4.6781698436192544E-2</v>
      </c>
      <c r="DI173" s="34">
        <f>(DI38-IS!DN51)/IS!DN20</f>
        <v>4.6781698436192544E-2</v>
      </c>
      <c r="DJ173" s="34">
        <f>(((DJ38+DH38+DG38+DF38)-(IS!DO51+IS!DM51+IS!DL51+IS!DK51))/(IS!DO20+IS!DM20+IS!DL20+IS!DK20))</f>
        <v>4.3881883676789524E-2</v>
      </c>
      <c r="DK173" s="34">
        <f>(((DK38+DJ38+DH38+DG38)-(IS!DP51+IS!DO51+IS!DM51+IS!DL51))/(IS!DP20+IS!DO20+IS!DM20+IS!DL20))</f>
        <v>4.288875456085129E-2</v>
      </c>
      <c r="DL173" s="34">
        <f>(((DL38+DK38+DJ38+DH38)-(IS!DQ51+IS!DP51+IS!DO51+IS!DM51))/(IS!DQ20+IS!DP20+IS!DO20+IS!DM20))</f>
        <v>4.2481047825419775E-2</v>
      </c>
      <c r="DM173" s="34">
        <f>DN173</f>
        <v>4.6272871257069866E-2</v>
      </c>
      <c r="DN173" s="34">
        <f>(DN38-IS!DS51)/IS!DS20</f>
        <v>4.6272871257069866E-2</v>
      </c>
      <c r="DO173" s="34">
        <f>(((DO38+DM38+DL38+DK38)-(IS!DT51+IS!DR51+IS!DQ51+IS!DP51))/(IS!DT20+IS!DR20+IS!DQ20+IS!DP20))</f>
        <v>4.5324352089998653E-2</v>
      </c>
      <c r="DP173" s="34">
        <f>(((DP38+DO38+DM38+DL38)-(IS!DU51+IS!DT51+IS!DR51+IS!DQ51))/(IS!DU20+IS!DT20+IS!DR20+IS!DQ20))</f>
        <v>4.531786082810866E-2</v>
      </c>
      <c r="DQ173" s="34">
        <f>(((DQ38+DP38+DO38+DM38)-(IS!DV51+IS!DU51+IS!DT51+IS!DR51))/(IS!DV20+IS!DU20+IS!DT20+IS!DR20))</f>
        <v>4.6112226842714835E-2</v>
      </c>
      <c r="DR173" s="34">
        <f>DS173</f>
        <v>5.2047856033346829E-2</v>
      </c>
      <c r="DS173" s="34">
        <f>(DS38-IS!DX51)/IS!DX20</f>
        <v>5.2047856033346829E-2</v>
      </c>
      <c r="DT173" s="34">
        <f>(((DT38+DR38+DQ38+DP38)-(IS!DY51+IS!DW51+IS!DV51+IS!DU51))/(IS!DY20+IS!DW20+IS!DV20+IS!DU20))</f>
        <v>4.6200113905888511E-2</v>
      </c>
      <c r="DU173" s="34">
        <f>(((DU38+DT38+DR38+DQ38)-(IS!DZ51+IS!DY51+IS!DW51+IS!DV51))/(IS!DZ20+IS!DY20+IS!DW20+IS!DV20))</f>
        <v>4.3038100792620847E-2</v>
      </c>
      <c r="DV173" s="34">
        <f>(((DV38+DU38+DT38+DR38)-(IS!EA51+IS!DZ51+IS!DY51+IS!DW51))/(IS!EA20+IS!DZ20+IS!DY20+IS!DW20))</f>
        <v>4.0383923973132493E-2</v>
      </c>
      <c r="DW173" s="34">
        <f>DX173</f>
        <v>4.2055962166533414E-2</v>
      </c>
      <c r="DX173" s="34">
        <f>(DX38-IS!EC51)/IS!EC20</f>
        <v>4.2055962166533414E-2</v>
      </c>
      <c r="DY173" s="16"/>
      <c r="DZ173" s="16"/>
      <c r="EA173" s="16"/>
      <c r="EB173" s="173"/>
      <c r="EC173" s="173"/>
      <c r="ED173" s="173"/>
      <c r="EE173" s="173"/>
      <c r="EF173" s="16"/>
      <c r="EG173" s="16"/>
      <c r="EH173" s="16"/>
      <c r="EI173" s="16"/>
      <c r="EJ173" s="21"/>
      <c r="EK173" s="21"/>
      <c r="EL173" s="21"/>
      <c r="EM173" s="16"/>
      <c r="EN173" s="16"/>
      <c r="EU173" s="16"/>
      <c r="EV173" s="16"/>
      <c r="EW173" s="16"/>
      <c r="EX173" s="16"/>
      <c r="EY173" s="16"/>
      <c r="EZ173" s="16"/>
      <c r="FA173" s="16"/>
      <c r="FB173" s="16"/>
      <c r="FC173" s="16"/>
      <c r="FD173" s="16"/>
      <c r="FE173" s="16"/>
      <c r="FF173" s="16"/>
      <c r="FG173" s="16"/>
      <c r="FH173" s="16"/>
      <c r="FI173" s="16"/>
      <c r="FJ173" s="16"/>
    </row>
    <row r="174" spans="1:166" x14ac:dyDescent="0.2">
      <c r="A174" s="16"/>
      <c r="B174" s="16"/>
      <c r="C174" s="16"/>
      <c r="D174" s="16"/>
      <c r="E174" s="16"/>
      <c r="F174" s="16"/>
      <c r="G174" s="16"/>
      <c r="H174" s="16"/>
      <c r="I174" s="16"/>
      <c r="J174" s="16"/>
      <c r="K174" s="16"/>
      <c r="L174" s="16"/>
      <c r="M174" s="16"/>
      <c r="N174" s="16"/>
      <c r="O174" s="16"/>
      <c r="P174" s="16"/>
      <c r="Q174" s="16"/>
      <c r="R174" s="16"/>
      <c r="S174" s="16"/>
      <c r="T174" s="16"/>
      <c r="U174" s="16"/>
      <c r="V174" s="16"/>
      <c r="W174" s="16"/>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21"/>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353"/>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c r="CX174" s="16"/>
      <c r="CY174" s="16"/>
      <c r="CZ174" s="16"/>
      <c r="DA174" s="16"/>
      <c r="DB174" s="16"/>
      <c r="DC174" s="16"/>
      <c r="DD174" s="16"/>
      <c r="DE174" s="16"/>
      <c r="DF174" s="16"/>
      <c r="DG174" s="16"/>
      <c r="DH174" s="16"/>
      <c r="DI174" s="16"/>
      <c r="DJ174" s="16"/>
      <c r="DK174" s="16"/>
      <c r="DL174" s="16"/>
      <c r="DM174" s="16"/>
      <c r="DN174" s="16"/>
      <c r="DO174" s="16"/>
      <c r="DP174" s="16"/>
      <c r="DQ174" s="16"/>
      <c r="DR174" s="16"/>
      <c r="DS174" s="16"/>
      <c r="DT174" s="16"/>
      <c r="DU174" s="16"/>
      <c r="DV174" s="16"/>
      <c r="DW174" s="16"/>
      <c r="DX174" s="16"/>
      <c r="DY174" s="16"/>
      <c r="DZ174" s="16"/>
      <c r="EA174" s="16"/>
      <c r="EB174" s="173"/>
      <c r="EC174" s="173"/>
      <c r="ED174" s="173"/>
      <c r="EE174" s="173"/>
      <c r="EF174" s="16"/>
      <c r="EG174" s="16"/>
      <c r="EH174" s="16"/>
      <c r="EI174" s="16"/>
      <c r="EJ174" s="21"/>
      <c r="EK174" s="21"/>
      <c r="EL174" s="21"/>
      <c r="EM174" s="16"/>
      <c r="EN174" s="16"/>
      <c r="EU174" s="16"/>
      <c r="EV174" s="16"/>
      <c r="EW174" s="16"/>
      <c r="EX174" s="16"/>
      <c r="EY174" s="16"/>
      <c r="EZ174" s="16"/>
      <c r="FA174" s="16"/>
      <c r="FB174" s="16"/>
      <c r="FC174" s="16"/>
      <c r="FD174" s="16"/>
      <c r="FE174" s="16"/>
      <c r="FF174" s="16"/>
      <c r="FG174" s="16"/>
      <c r="FH174" s="16"/>
      <c r="FI174" s="16"/>
      <c r="FJ174" s="16"/>
    </row>
    <row r="175" spans="1:166" x14ac:dyDescent="0.2">
      <c r="A175" s="16" t="s">
        <v>487</v>
      </c>
      <c r="B175" s="16"/>
      <c r="C175" s="16"/>
      <c r="D175" s="16"/>
      <c r="E175" s="16"/>
      <c r="F175" s="16"/>
      <c r="G175" s="16"/>
      <c r="H175" s="16"/>
      <c r="I175" s="16"/>
      <c r="J175" s="16"/>
      <c r="K175" s="16"/>
      <c r="L175" s="16"/>
      <c r="M175" s="16"/>
      <c r="N175" s="16"/>
      <c r="O175" s="16"/>
      <c r="P175" s="16"/>
      <c r="Q175" s="16"/>
      <c r="R175" s="16"/>
      <c r="S175" s="16"/>
      <c r="T175" s="16"/>
      <c r="U175" s="16"/>
      <c r="V175" s="16"/>
      <c r="W175" s="16"/>
      <c r="X175" s="16"/>
      <c r="Y175" s="16"/>
      <c r="Z175" s="16"/>
      <c r="AA175" s="16"/>
      <c r="AB175" s="204">
        <f>AB38+Z38+Y38+X38</f>
        <v>104</v>
      </c>
      <c r="AC175" s="204">
        <f>AC38+AB38+Z38+Y38</f>
        <v>69</v>
      </c>
      <c r="AD175" s="204">
        <f>AD38+AC38+AB38+Z38</f>
        <v>98</v>
      </c>
      <c r="AE175" s="204">
        <f>AE38+AD38+AC38+AB38</f>
        <v>117</v>
      </c>
      <c r="AF175" s="204">
        <f>AE175</f>
        <v>117</v>
      </c>
      <c r="AG175" s="204">
        <f>AG38+AE38+AD38+AC38</f>
        <v>205</v>
      </c>
      <c r="AH175" s="204">
        <f>AH38+AG38+AE38+AD38</f>
        <v>238</v>
      </c>
      <c r="AI175" s="204">
        <f>AI38+AH38+AG38+AE38</f>
        <v>221</v>
      </c>
      <c r="AJ175" s="204">
        <f>AJ38+AI38+AH38+AG38</f>
        <v>243</v>
      </c>
      <c r="AK175" s="204">
        <f>AJ175</f>
        <v>243</v>
      </c>
      <c r="AL175" s="204">
        <f>AL38+AJ38+AI38+AH38</f>
        <v>254</v>
      </c>
      <c r="AM175" s="204">
        <f>AM38+AL38+AJ38+AI38</f>
        <v>253</v>
      </c>
      <c r="AN175" s="204">
        <f>AN38+AM38+AL38+AJ38</f>
        <v>304</v>
      </c>
      <c r="AO175" s="204">
        <f>AO38+AN38+AM38+AL38</f>
        <v>310.8</v>
      </c>
      <c r="AP175" s="204">
        <f>AO175</f>
        <v>310.8</v>
      </c>
      <c r="AQ175" s="204">
        <f>AQ38+AO38+AN38+AM38</f>
        <v>306.8</v>
      </c>
      <c r="AR175" s="204">
        <f>AR38+AQ38+AO38+AN38</f>
        <v>303.90000000000003</v>
      </c>
      <c r="AS175" s="204">
        <f>AS38+AR38+AQ38+AO38</f>
        <v>299.10000000000002</v>
      </c>
      <c r="AT175" s="204">
        <f>AT38+AS38+AR38+AQ38</f>
        <v>310.39999999999998</v>
      </c>
      <c r="AU175" s="204"/>
      <c r="AV175" s="21"/>
      <c r="AW175" s="204"/>
      <c r="AX175" s="204"/>
      <c r="AY175" s="204">
        <f>AY38+AT38+AS38+AR38</f>
        <v>344.5</v>
      </c>
      <c r="AZ175" s="204">
        <f>AZ38+AY38+AT38+AS38</f>
        <v>183.10000000000002</v>
      </c>
      <c r="BA175" s="204">
        <f>BA38+AZ38+AU38+AT38</f>
        <v>517.29999999999995</v>
      </c>
      <c r="BB175" s="204">
        <f>BB38+AT38+AS38+AR38</f>
        <v>327.60000000000002</v>
      </c>
      <c r="BC175" s="204">
        <f>BC38+BB38+AT38+AS38</f>
        <v>283.20000000000005</v>
      </c>
      <c r="BD175" s="204">
        <f>BD38+BC38+BB38+AT38</f>
        <v>425.79999999999995</v>
      </c>
      <c r="BE175" s="204">
        <f>BE38+BD38+BC38+BB38</f>
        <v>406.20000000000005</v>
      </c>
      <c r="BF175" s="204">
        <f>BE175</f>
        <v>406.20000000000005</v>
      </c>
      <c r="BG175" s="204">
        <f>BG38+BE38+BD38+BC38</f>
        <v>380.3</v>
      </c>
      <c r="BH175" s="204">
        <f>BH38+BG38+BE38+BD38</f>
        <v>348.20000000000005</v>
      </c>
      <c r="BI175" s="204">
        <f>BI38+BH38+BG38+BE38</f>
        <v>236.1</v>
      </c>
      <c r="BJ175" s="204">
        <f>BJ38+BI38+BH38+BG38</f>
        <v>224.40000000000003</v>
      </c>
      <c r="BK175" s="204">
        <f>BJ175</f>
        <v>224.40000000000003</v>
      </c>
      <c r="BL175" s="204">
        <f>BL38+BJ38+BI38+BH38</f>
        <v>264.00000000000006</v>
      </c>
      <c r="BM175" s="204">
        <f>BM38+BL38+BJ38+BI38</f>
        <v>317.70000000000005</v>
      </c>
      <c r="BN175" s="204">
        <f>BN38+BM38+BL38+BJ38</f>
        <v>347.5</v>
      </c>
      <c r="BO175" s="204">
        <f>BO38+BN38+BM38+BL38</f>
        <v>325.19999999999993</v>
      </c>
      <c r="BP175" s="204">
        <f>BO175</f>
        <v>325.19999999999993</v>
      </c>
      <c r="BQ175" s="204">
        <f>BQ38+BO38+BN38+BM38</f>
        <v>371.59999999999991</v>
      </c>
      <c r="BR175" s="204">
        <f>BR38+BQ38+BO38+BN38</f>
        <v>408.1</v>
      </c>
      <c r="BS175" s="204">
        <f>BS38+BR38+BQ38+BO38</f>
        <v>433.1</v>
      </c>
      <c r="BT175" s="204">
        <f>BT38+BS38+BR38+BQ38</f>
        <v>259.30000000000007</v>
      </c>
      <c r="BU175" s="204">
        <f>BT175</f>
        <v>259.30000000000007</v>
      </c>
      <c r="BV175" s="204">
        <f>BV38+BT38+BS38+BR38</f>
        <v>395.7000000000001</v>
      </c>
      <c r="BW175" s="1396">
        <f>BW38+BV38+BT38+BS38</f>
        <v>554.40000000000009</v>
      </c>
      <c r="BX175" s="204">
        <f>BX38+BW38+BV38+BT38</f>
        <v>834.1</v>
      </c>
      <c r="BY175" s="204">
        <f>BY38+BX38+BW38+BV38</f>
        <v>1204.8</v>
      </c>
      <c r="BZ175" s="204">
        <f>BY175</f>
        <v>1204.8</v>
      </c>
      <c r="CA175" s="204">
        <f>CA38+BY38+BX38+BW38</f>
        <v>1126.3999999999999</v>
      </c>
      <c r="CB175" s="204">
        <f>CB38+CA38+BY38+BX38</f>
        <v>1201.9000000000001</v>
      </c>
      <c r="CC175" s="204">
        <f>CC38+CB38+CA38+BY38</f>
        <v>1173.4000000000001</v>
      </c>
      <c r="CD175" s="204">
        <f>CD38+CC38+CB38+CA38</f>
        <v>1269</v>
      </c>
      <c r="CE175" s="204">
        <f>CD175</f>
        <v>1269</v>
      </c>
      <c r="CF175" s="204">
        <f>CF38+CD38+CC38+CB38</f>
        <v>1361.3000000000002</v>
      </c>
      <c r="CG175" s="204">
        <f>CG38+CF38+CD38+CC38</f>
        <v>1244.7000000000003</v>
      </c>
      <c r="CH175" s="204">
        <f>CH38+CG38+CF38+CD38</f>
        <v>1163.5</v>
      </c>
      <c r="CI175" s="204">
        <f>CI38+CH38+CG38+CF38</f>
        <v>1382.0000000000002</v>
      </c>
      <c r="CJ175" s="204">
        <f>CI175</f>
        <v>1382.0000000000002</v>
      </c>
      <c r="CK175" s="204">
        <f>CK38+CI38+CH38+CG38</f>
        <v>995.40000000000009</v>
      </c>
      <c r="CL175" s="204">
        <f>CL38+CK38+CI38+CH38</f>
        <v>1107.9832854211311</v>
      </c>
      <c r="CM175" s="204">
        <f>CM38+CL38+CK38+CI38</f>
        <v>1099.5157596915485</v>
      </c>
      <c r="CN175" s="204">
        <f>CN38+CM38+CL38+CK38</f>
        <v>1297.2106998674064</v>
      </c>
      <c r="CO175" s="204">
        <f>CN175</f>
        <v>1297.2106998674064</v>
      </c>
      <c r="CP175" s="204">
        <f>CP38+CN38+CM38+CL38</f>
        <v>1430.5406613585876</v>
      </c>
      <c r="CQ175" s="204">
        <f>CQ38+CP38+CN38+CM38</f>
        <v>1385.0820188658765</v>
      </c>
      <c r="CR175" s="204">
        <f>CR38+CQ38+CP38+CN38</f>
        <v>1441.3696082744336</v>
      </c>
      <c r="CS175" s="204">
        <f>CS38+CR38+CQ38+CP38</f>
        <v>1522.1767800612656</v>
      </c>
      <c r="CT175" s="204">
        <f>CS175</f>
        <v>1522.1767800612656</v>
      </c>
      <c r="CU175" s="204">
        <f>CU38+CS38+CR38+CQ38</f>
        <v>1547.6884913668468</v>
      </c>
      <c r="CV175" s="204">
        <f>CV38+CU38+CS38+CR38</f>
        <v>1596.1012051596681</v>
      </c>
      <c r="CW175" s="204">
        <f>CW38+CV38+CU38+CS38</f>
        <v>1654.3634062841024</v>
      </c>
      <c r="CX175" s="204">
        <f>CX38+CW38+CV38+CU38</f>
        <v>1742.1944635253026</v>
      </c>
      <c r="CY175" s="204">
        <f>CX175</f>
        <v>1742.1944635253026</v>
      </c>
      <c r="CZ175" s="204">
        <f>CZ38+CX38+CW38+CV38</f>
        <v>1793.9953878469792</v>
      </c>
      <c r="DA175" s="204">
        <f>DA38+CZ38+CX38+CW38</f>
        <v>1838.8468227785202</v>
      </c>
      <c r="DB175" s="204">
        <f>DB38+DA38+CZ38+CX38</f>
        <v>1899.5735824336548</v>
      </c>
      <c r="DC175" s="204">
        <f>DC38+DB38+DA38+CZ38</f>
        <v>1974.5400350101918</v>
      </c>
      <c r="DD175" s="204">
        <f>DC175</f>
        <v>1974.5400350101918</v>
      </c>
      <c r="DE175" s="204">
        <f>DE38+DC38+DB38+DA38</f>
        <v>2012.1025759748561</v>
      </c>
      <c r="DF175" s="204">
        <f>DF38+DE38+DC38+DB38</f>
        <v>2072.7222110607422</v>
      </c>
      <c r="DG175" s="204">
        <f>DG38+DF38+DE38+DC38</f>
        <v>2142.1968502641485</v>
      </c>
      <c r="DH175" s="204">
        <f>DH38+DG38+DF38+DE38</f>
        <v>2272.0450942045263</v>
      </c>
      <c r="DI175" s="204">
        <f>DH175</f>
        <v>2272.0450942045263</v>
      </c>
      <c r="DJ175" s="204">
        <f>DJ38+DH38+DG38+DF38</f>
        <v>2311.1666423470447</v>
      </c>
      <c r="DK175" s="204">
        <f>DK38+DJ38+DH38+DG38</f>
        <v>2371.3081444166673</v>
      </c>
      <c r="DL175" s="204">
        <f>DL38+DK38+DJ38+DH38</f>
        <v>2441.1583845797077</v>
      </c>
      <c r="DM175" s="204">
        <f>DM38+DL38+DK38+DJ38</f>
        <v>2546.0314027374111</v>
      </c>
      <c r="DN175" s="204">
        <f>DM175</f>
        <v>2546.0314027374111</v>
      </c>
      <c r="DO175" s="204">
        <f>DO38+DM38+DL38+DK38</f>
        <v>2565.6680287434579</v>
      </c>
      <c r="DP175" s="204">
        <f>DP38+DO38+DM38+DL38</f>
        <v>2586.902652975371</v>
      </c>
      <c r="DQ175" s="204">
        <f>DQ38+DP38+DO38+DM38</f>
        <v>2629.1797484327926</v>
      </c>
      <c r="DR175" s="204">
        <f>DR38+DQ38+DP38+DO38</f>
        <v>2720.9382727582179</v>
      </c>
      <c r="DS175" s="204">
        <f>DR175</f>
        <v>2720.9382727582179</v>
      </c>
      <c r="DT175" s="204">
        <f>DT38+DR38+DQ38+DP38</f>
        <v>2747.910805094923</v>
      </c>
      <c r="DU175" s="204">
        <f>DU38+DT38+DR38+DQ38</f>
        <v>2808.3874201406497</v>
      </c>
      <c r="DV175" s="204">
        <f>DV38+DU38+DT38+DR38</f>
        <v>2865.6839085788533</v>
      </c>
      <c r="DW175" s="204">
        <f>DW38+DV38+DU38+DT38</f>
        <v>2963.5956370861627</v>
      </c>
      <c r="DX175" s="204">
        <f>DW175</f>
        <v>2963.5956370861627</v>
      </c>
      <c r="DY175" s="16"/>
      <c r="DZ175" s="16"/>
      <c r="EA175" s="16"/>
      <c r="EB175" s="173"/>
      <c r="EC175" s="173"/>
      <c r="ED175" s="173"/>
      <c r="EE175" s="173"/>
      <c r="EF175" s="16"/>
      <c r="EG175" s="16"/>
      <c r="EH175" s="16"/>
      <c r="EI175" s="16"/>
      <c r="EJ175" s="21"/>
      <c r="EK175" s="21"/>
      <c r="EL175" s="21"/>
      <c r="EM175" s="16"/>
      <c r="EN175" s="16"/>
      <c r="EU175" s="16"/>
      <c r="EV175" s="16"/>
      <c r="EW175" s="16"/>
      <c r="EX175" s="16"/>
      <c r="EY175" s="16"/>
      <c r="EZ175" s="16"/>
      <c r="FA175" s="16"/>
      <c r="FB175" s="16"/>
      <c r="FC175" s="16"/>
      <c r="FD175" s="16"/>
      <c r="FE175" s="16"/>
      <c r="FF175" s="16"/>
      <c r="FG175" s="16"/>
      <c r="FH175" s="16"/>
      <c r="FI175" s="16"/>
      <c r="FJ175" s="16"/>
    </row>
    <row r="176" spans="1:166" x14ac:dyDescent="0.2">
      <c r="A176" s="16" t="s">
        <v>488</v>
      </c>
      <c r="B176" s="16"/>
      <c r="C176" s="16"/>
      <c r="D176" s="16"/>
      <c r="E176" s="16"/>
      <c r="F176" s="16"/>
      <c r="G176" s="16"/>
      <c r="H176" s="16"/>
      <c r="I176" s="16"/>
      <c r="J176" s="16"/>
      <c r="K176" s="16"/>
      <c r="L176" s="16"/>
      <c r="M176" s="16"/>
      <c r="N176" s="16"/>
      <c r="O176" s="16"/>
      <c r="P176" s="16"/>
      <c r="Q176" s="16"/>
      <c r="R176" s="16"/>
      <c r="S176" s="16"/>
      <c r="T176" s="16"/>
      <c r="U176" s="16"/>
      <c r="V176" s="16"/>
      <c r="W176" s="16"/>
      <c r="X176" s="16"/>
      <c r="Y176" s="16"/>
      <c r="Z176" s="16"/>
      <c r="AA176" s="16"/>
      <c r="AB176" s="204">
        <f>-(AB43+Z43+Y43+X43)</f>
        <v>85</v>
      </c>
      <c r="AC176" s="204">
        <f>-(AC43+AB43+Z43+Y43)</f>
        <v>86</v>
      </c>
      <c r="AD176" s="204">
        <f>-(AD43+AC43+AB43+Z43)</f>
        <v>85</v>
      </c>
      <c r="AE176" s="204">
        <f>-(AE43+AD43+AC43+AB43)</f>
        <v>87</v>
      </c>
      <c r="AF176" s="204">
        <f>AE176</f>
        <v>87</v>
      </c>
      <c r="AG176" s="204">
        <f>-(AG43+AE43+AD43+AC43)</f>
        <v>97</v>
      </c>
      <c r="AH176" s="204">
        <f>-(AH43+AG43+AE43+AD43)</f>
        <v>106</v>
      </c>
      <c r="AI176" s="204">
        <f>-(AI43+AH43+AG43+AE43)</f>
        <v>127</v>
      </c>
      <c r="AJ176" s="204">
        <f>-(AJ43+AI43+AH43+AG43)</f>
        <v>178</v>
      </c>
      <c r="AK176" s="204">
        <f>AJ176</f>
        <v>178</v>
      </c>
      <c r="AL176" s="204">
        <f>-(AL43+AJ43+AI43+AH43)</f>
        <v>188</v>
      </c>
      <c r="AM176" s="204">
        <f>-(AM43+AL43+AJ43+AI43)</f>
        <v>211</v>
      </c>
      <c r="AN176" s="204">
        <f>-(AN43+AM43+AL43+AJ43)</f>
        <v>215</v>
      </c>
      <c r="AO176" s="204">
        <f>-(AO43+AN43+AM43+AL43)</f>
        <v>204</v>
      </c>
      <c r="AP176" s="204">
        <f>AO176</f>
        <v>204</v>
      </c>
      <c r="AQ176" s="204">
        <f>-(AQ43+AO43+AN43+AM43)</f>
        <v>202.2</v>
      </c>
      <c r="AR176" s="204">
        <f>-(AR43+AQ43+AO43+AN43)</f>
        <v>184.8</v>
      </c>
      <c r="AS176" s="204">
        <f>-(AS43+AR43+AQ43+AO43)</f>
        <v>169.1</v>
      </c>
      <c r="AT176" s="204">
        <f>-(AT43+AS43+AR43+AQ43)</f>
        <v>150.30000000000001</v>
      </c>
      <c r="AU176" s="204"/>
      <c r="AV176" s="21"/>
      <c r="AW176" s="204"/>
      <c r="AX176" s="204"/>
      <c r="AY176" s="204">
        <f>-(AY43+AT43+AS43+AR43)</f>
        <v>133.10000000000002</v>
      </c>
      <c r="AZ176" s="204">
        <f>-(AZ43+AY43+AT43+AS43)</f>
        <v>133.10000000000002</v>
      </c>
      <c r="BA176" s="204">
        <f>-(BA43+AZ43+AU43+AT43)</f>
        <v>376.20000000000005</v>
      </c>
      <c r="BB176" s="204">
        <f>-(BB43+AT43+AS43+AR43)</f>
        <v>128.80000000000001</v>
      </c>
      <c r="BC176" s="204">
        <f>-(BC43+BB43+AT43+AS43)</f>
        <v>110.00000000000001</v>
      </c>
      <c r="BD176" s="204">
        <f>-(BD43+BC43+BB43+AT43)</f>
        <v>102.20000000000002</v>
      </c>
      <c r="BE176" s="204">
        <f>-(BE43+BD43+BC43+BB43)</f>
        <v>82.1</v>
      </c>
      <c r="BF176" s="204">
        <f>BE176</f>
        <v>82.1</v>
      </c>
      <c r="BG176" s="204">
        <f>-(BG43+BE43+BD43+BC43)</f>
        <v>88.999999999999986</v>
      </c>
      <c r="BH176" s="204">
        <f>-(BH43+BG43+BE43+BD43)</f>
        <v>72.399999999999991</v>
      </c>
      <c r="BI176" s="204">
        <f>-(BI43+BH43+BG43+BE43)</f>
        <v>77.8</v>
      </c>
      <c r="BJ176" s="204">
        <f>-(BJ43+BI43+BH43+BG43)</f>
        <v>70.200000000000017</v>
      </c>
      <c r="BK176" s="204">
        <f>BJ176</f>
        <v>70.200000000000017</v>
      </c>
      <c r="BL176" s="204">
        <f>-(BL43+BJ43+BI43+BH43)</f>
        <v>60.900000000000006</v>
      </c>
      <c r="BM176" s="204">
        <f>-(BM43+BL43+BJ43+BI43)</f>
        <v>65</v>
      </c>
      <c r="BN176" s="204">
        <f>-(BN43+BM43+BL43+BJ43)</f>
        <v>43.3</v>
      </c>
      <c r="BO176" s="204">
        <f>-(BO43+BN43+BM43+BL43)</f>
        <v>25.5</v>
      </c>
      <c r="BP176" s="204">
        <f>BO176</f>
        <v>25.5</v>
      </c>
      <c r="BQ176" s="204">
        <f>-(BQ43+BO43+BN43+BM43)</f>
        <v>21.599999999999998</v>
      </c>
      <c r="BR176" s="204">
        <f>-(BR43+BQ43+BO43+BN43)</f>
        <v>24.1</v>
      </c>
      <c r="BS176" s="204">
        <f>-(BS43+BR43+BQ43+BO43)</f>
        <v>25.4</v>
      </c>
      <c r="BT176" s="204">
        <f>-(BT43+BS43+BR43+BQ43)</f>
        <v>30.9</v>
      </c>
      <c r="BU176" s="204">
        <f>BT176</f>
        <v>30.9</v>
      </c>
      <c r="BV176" s="204">
        <f>-(BV43+BT43+BS43+BR43)</f>
        <v>56.899999999999991</v>
      </c>
      <c r="BW176" s="1396">
        <f>-(BW43+BV43+BT43+BS43)</f>
        <v>80.7</v>
      </c>
      <c r="BX176" s="204">
        <f>-(BX43+BW43+BV43+BT43)</f>
        <v>103.10000000000001</v>
      </c>
      <c r="BY176" s="204">
        <f>-(BY43+BX43+BW43+BV43)</f>
        <v>115.30000000000001</v>
      </c>
      <c r="BZ176" s="204">
        <f>BY176</f>
        <v>115.30000000000001</v>
      </c>
      <c r="CA176" s="204">
        <f>-(CA43+BY43+BX43+BW43)</f>
        <v>91.5</v>
      </c>
      <c r="CB176" s="204">
        <f>-(CB43+CA43+BY43+BX43)</f>
        <v>71.099999999999994</v>
      </c>
      <c r="CC176" s="204">
        <f>-(CC43+CB43+CA43+BY43)</f>
        <v>50.599999999999994</v>
      </c>
      <c r="CD176" s="204">
        <f>-(CD43+CC43+CB43+CA43)</f>
        <v>33.700000000000003</v>
      </c>
      <c r="CE176" s="204">
        <f>CD176</f>
        <v>33.700000000000003</v>
      </c>
      <c r="CF176" s="204">
        <f>-(CF43+CD43+CC43+CB43)</f>
        <v>32.200000000000003</v>
      </c>
      <c r="CG176" s="204">
        <f>-(CG43+CF43+CD43+CC43)</f>
        <v>32.6</v>
      </c>
      <c r="CH176" s="204">
        <f>-(CH43+CG43+CF43+CD43)</f>
        <v>32.4</v>
      </c>
      <c r="CI176" s="204">
        <f>-(CI43+CH43+CG43+CF43)</f>
        <v>36.700000000000003</v>
      </c>
      <c r="CJ176" s="204">
        <f>CI176</f>
        <v>36.700000000000003</v>
      </c>
      <c r="CK176" s="204">
        <f>-(CK43+CI43+CH43+CG43)</f>
        <v>39.6</v>
      </c>
      <c r="CL176" s="204">
        <f>-(CL43+CK43+CI43+CH43)</f>
        <v>41.190506476063746</v>
      </c>
      <c r="CM176" s="204">
        <f>-(CM43+CL43+CK43+CI43)</f>
        <v>42.143041736368275</v>
      </c>
      <c r="CN176" s="204">
        <f>-(CN43+CM43+CL43+CK43)</f>
        <v>45.768800212680475</v>
      </c>
      <c r="CO176" s="204">
        <f>CN176</f>
        <v>45.768800212680475</v>
      </c>
      <c r="CP176" s="204">
        <f>-(CP43+CN43+CM43+CL43)</f>
        <v>44.216305284633549</v>
      </c>
      <c r="CQ176" s="204">
        <f>-(CQ43+CP43+CN43+CM43)</f>
        <v>44.801254781786426</v>
      </c>
      <c r="CR176" s="204">
        <f>-(CR43+CQ43+CP43+CN43)</f>
        <v>45.194065033963057</v>
      </c>
      <c r="CS176" s="204">
        <f>-(CS43+CR43+CQ43+CP43)</f>
        <v>46.77163802145936</v>
      </c>
      <c r="CT176" s="204">
        <f>CS176</f>
        <v>46.77163802145936</v>
      </c>
      <c r="CU176" s="204">
        <f>-(CU43+CS43+CR43+CQ43)</f>
        <v>47.197813068420558</v>
      </c>
      <c r="CV176" s="204">
        <f>-(CV43+CU43+CS43+CR43)</f>
        <v>47.846464117635968</v>
      </c>
      <c r="CW176" s="204">
        <f>-(CW43+CV43+CU43+CS43)</f>
        <v>48.290849461166019</v>
      </c>
      <c r="CX176" s="204">
        <f>-(CX43+CW43+CV43+CU43)</f>
        <v>50.032135475481816</v>
      </c>
      <c r="CY176" s="204">
        <f>CX176</f>
        <v>50.032135475481816</v>
      </c>
      <c r="CZ176" s="204">
        <f>-(CZ43+CX43+CW43+CV43)</f>
        <v>50.491086575338841</v>
      </c>
      <c r="DA176" s="204">
        <f>-(DA43+CZ43+CX43+CW43)</f>
        <v>51.145662058060005</v>
      </c>
      <c r="DB176" s="204">
        <f>-(DB43+DA43+CZ43+CX43)</f>
        <v>51.70919974780935</v>
      </c>
      <c r="DC176" s="204">
        <f>-(DC43+DB43+DA43+CZ43)</f>
        <v>53.868736876709292</v>
      </c>
      <c r="DD176" s="204">
        <f>DC176</f>
        <v>53.868736876709292</v>
      </c>
      <c r="DE176" s="204">
        <f>-(DE43+DC43+DB43+DA43)</f>
        <v>54.280700183160739</v>
      </c>
      <c r="DF176" s="204">
        <f>-(DF43+DE43+DC43+DB43)</f>
        <v>55.009728409320772</v>
      </c>
      <c r="DG176" s="204">
        <f>-(DG43+DF43+DE43+DC43)</f>
        <v>55.51746665553803</v>
      </c>
      <c r="DH176" s="204">
        <f>-(DH43+DG43+DF43+DE43)</f>
        <v>57.471845503142816</v>
      </c>
      <c r="DI176" s="204">
        <f>DH176</f>
        <v>57.471845503142816</v>
      </c>
      <c r="DJ176" s="204">
        <f>-(DJ43+DH43+DG43+DF43)</f>
        <v>57.927567324519877</v>
      </c>
      <c r="DK176" s="204">
        <f>-(DK43+DJ43+DH43+DG43)</f>
        <v>58.716060908298658</v>
      </c>
      <c r="DL176" s="204">
        <f>-(DL43+DK43+DJ43+DH43)</f>
        <v>59.255484545789272</v>
      </c>
      <c r="DM176" s="204">
        <f>-(DM43+DL43+DK43+DJ43)</f>
        <v>61.316802852201739</v>
      </c>
      <c r="DN176" s="204">
        <f>DM176</f>
        <v>61.316802852201739</v>
      </c>
      <c r="DO176" s="204">
        <f>-(DO43+DM43+DL43+DK43)</f>
        <v>61.880768677242948</v>
      </c>
      <c r="DP176" s="204">
        <f>-(DP43+DO43+DM43+DL43)</f>
        <v>62.706270512582819</v>
      </c>
      <c r="DQ176" s="204">
        <f>-(DQ43+DP43+DO43+DM43)</f>
        <v>63.270613735190715</v>
      </c>
      <c r="DR176" s="204">
        <f>-(DR43+DQ43+DP43+DO43)</f>
        <v>65.428096216355272</v>
      </c>
      <c r="DS176" s="204">
        <f>DR176</f>
        <v>65.428096216355272</v>
      </c>
      <c r="DT176" s="204">
        <f>-(DT43+DR43+DQ43+DP43)</f>
        <v>65.843612366690706</v>
      </c>
      <c r="DU176" s="204">
        <f>-(DU43+DT43+DR43+DQ43)</f>
        <v>66.706780204277237</v>
      </c>
      <c r="DV176" s="204">
        <f>-(DV43+DU43+DT43+DR43)</f>
        <v>67.2971274812584</v>
      </c>
      <c r="DW176" s="204">
        <f>-(DW43+DV43+DU43+DT43)</f>
        <v>69.554913483047969</v>
      </c>
      <c r="DX176" s="204">
        <f>DW176</f>
        <v>69.554913483047969</v>
      </c>
      <c r="DY176" s="16"/>
      <c r="DZ176" s="16"/>
      <c r="EA176" s="16"/>
      <c r="EB176" s="173"/>
      <c r="EC176" s="173"/>
      <c r="ED176" s="173"/>
      <c r="EE176" s="173"/>
      <c r="EF176" s="16"/>
      <c r="EG176" s="16"/>
      <c r="EH176" s="16"/>
      <c r="EI176" s="16"/>
      <c r="EJ176" s="21"/>
      <c r="EK176" s="21"/>
      <c r="EL176" s="21"/>
      <c r="EM176" s="16"/>
      <c r="EN176" s="16"/>
      <c r="EU176" s="16"/>
      <c r="EV176" s="16"/>
      <c r="EW176" s="16"/>
      <c r="EX176" s="16"/>
      <c r="EY176" s="16"/>
      <c r="EZ176" s="16"/>
      <c r="FA176" s="16"/>
      <c r="FB176" s="16"/>
      <c r="FC176" s="16"/>
      <c r="FD176" s="16"/>
      <c r="FE176" s="16"/>
      <c r="FF176" s="16"/>
      <c r="FG176" s="16"/>
      <c r="FH176" s="16"/>
      <c r="FI176" s="16"/>
      <c r="FJ176" s="16"/>
    </row>
    <row r="177" spans="1:166" x14ac:dyDescent="0.2">
      <c r="A177" s="16"/>
      <c r="B177" s="16"/>
      <c r="C177" s="16"/>
      <c r="D177" s="16"/>
      <c r="E177" s="16"/>
      <c r="F177" s="16"/>
      <c r="G177" s="16"/>
      <c r="H177" s="16"/>
      <c r="I177" s="16"/>
      <c r="J177" s="16"/>
      <c r="K177" s="16"/>
      <c r="L177" s="16"/>
      <c r="M177" s="16"/>
      <c r="N177" s="16"/>
      <c r="O177" s="16"/>
      <c r="P177" s="16"/>
      <c r="Q177" s="16"/>
      <c r="R177" s="16"/>
      <c r="S177" s="16"/>
      <c r="T177" s="16"/>
      <c r="U177" s="16"/>
      <c r="V177" s="16"/>
      <c r="W177" s="16"/>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21"/>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353"/>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c r="CX177" s="16"/>
      <c r="CY177" s="16"/>
      <c r="CZ177" s="16"/>
      <c r="DA177" s="16"/>
      <c r="DB177" s="16"/>
      <c r="DC177" s="16"/>
      <c r="DD177" s="16"/>
      <c r="DE177" s="16"/>
      <c r="DF177" s="16"/>
      <c r="DG177" s="16"/>
      <c r="DH177" s="16"/>
      <c r="DI177" s="16"/>
      <c r="DJ177" s="16"/>
      <c r="DK177" s="16"/>
      <c r="DL177" s="16"/>
      <c r="DM177" s="16"/>
      <c r="DN177" s="16"/>
      <c r="DO177" s="16"/>
      <c r="DP177" s="16"/>
      <c r="DQ177" s="16"/>
      <c r="DR177" s="16"/>
      <c r="DS177" s="16"/>
      <c r="DT177" s="16"/>
      <c r="DU177" s="16"/>
      <c r="DV177" s="16"/>
      <c r="DW177" s="16"/>
      <c r="DX177" s="16"/>
      <c r="DY177" s="16"/>
      <c r="DZ177" s="16"/>
      <c r="EA177" s="16"/>
      <c r="EB177" s="173"/>
      <c r="EC177" s="173"/>
      <c r="ED177" s="173"/>
      <c r="EE177" s="173"/>
      <c r="EF177" s="16"/>
      <c r="EG177" s="16"/>
      <c r="EH177" s="16"/>
      <c r="EI177" s="16"/>
      <c r="EJ177" s="21"/>
      <c r="EK177" s="21"/>
      <c r="EL177" s="21"/>
      <c r="EM177" s="16"/>
      <c r="EN177" s="16"/>
      <c r="EU177" s="16"/>
      <c r="EV177" s="16"/>
      <c r="EW177" s="16"/>
      <c r="EX177" s="16"/>
      <c r="EY177" s="16"/>
      <c r="EZ177" s="16"/>
      <c r="FA177" s="16"/>
      <c r="FB177" s="16"/>
      <c r="FC177" s="16"/>
      <c r="FD177" s="16"/>
      <c r="FE177" s="16"/>
      <c r="FF177" s="16"/>
      <c r="FG177" s="16"/>
      <c r="FH177" s="16"/>
      <c r="FI177" s="16"/>
      <c r="FJ177" s="16"/>
    </row>
    <row r="178" spans="1:166" x14ac:dyDescent="0.2">
      <c r="A178" s="16" t="s">
        <v>542</v>
      </c>
      <c r="B178" s="16"/>
      <c r="C178" s="16"/>
      <c r="D178" s="16"/>
      <c r="E178" s="16"/>
      <c r="F178" s="16"/>
      <c r="G178" s="16"/>
      <c r="H178" s="16"/>
      <c r="I178" s="16"/>
      <c r="J178" s="16"/>
      <c r="K178" s="16"/>
      <c r="L178" s="16"/>
      <c r="M178" s="16"/>
      <c r="N178" s="16"/>
      <c r="O178" s="16"/>
      <c r="P178" s="16"/>
      <c r="Q178" s="16"/>
      <c r="R178" s="16"/>
      <c r="S178" s="16"/>
      <c r="T178" s="16"/>
      <c r="U178" s="16"/>
      <c r="V178" s="478">
        <f>V64+V67</f>
        <v>1</v>
      </c>
      <c r="W178" s="478">
        <f t="shared" ref="W178:BK178" si="518">W64+W67</f>
        <v>0</v>
      </c>
      <c r="X178" s="478">
        <f t="shared" si="518"/>
        <v>0</v>
      </c>
      <c r="Y178" s="478">
        <f t="shared" si="518"/>
        <v>7</v>
      </c>
      <c r="Z178" s="478">
        <f t="shared" si="518"/>
        <v>392</v>
      </c>
      <c r="AA178" s="478">
        <f t="shared" si="518"/>
        <v>399</v>
      </c>
      <c r="AB178" s="478">
        <f t="shared" si="518"/>
        <v>-1</v>
      </c>
      <c r="AC178" s="478">
        <f t="shared" si="518"/>
        <v>2</v>
      </c>
      <c r="AD178" s="478">
        <f t="shared" si="518"/>
        <v>5</v>
      </c>
      <c r="AE178" s="478">
        <f t="shared" si="518"/>
        <v>0</v>
      </c>
      <c r="AF178" s="478">
        <f t="shared" si="518"/>
        <v>6</v>
      </c>
      <c r="AG178" s="478">
        <f t="shared" si="518"/>
        <v>-6</v>
      </c>
      <c r="AH178" s="478">
        <f t="shared" si="518"/>
        <v>0</v>
      </c>
      <c r="AI178" s="478">
        <f t="shared" si="518"/>
        <v>-29</v>
      </c>
      <c r="AJ178" s="478">
        <f t="shared" si="518"/>
        <v>0</v>
      </c>
      <c r="AK178" s="478">
        <f t="shared" si="518"/>
        <v>-35</v>
      </c>
      <c r="AL178" s="478">
        <f t="shared" si="518"/>
        <v>-18</v>
      </c>
      <c r="AM178" s="478">
        <f t="shared" si="518"/>
        <v>-2</v>
      </c>
      <c r="AN178" s="478">
        <f t="shared" si="518"/>
        <v>0</v>
      </c>
      <c r="AO178" s="478">
        <f t="shared" si="518"/>
        <v>-0.30000000000000071</v>
      </c>
      <c r="AP178" s="478">
        <f t="shared" si="518"/>
        <v>-20.3</v>
      </c>
      <c r="AQ178" s="478">
        <f t="shared" si="518"/>
        <v>-2.2999999999999998</v>
      </c>
      <c r="AR178" s="478">
        <f t="shared" si="518"/>
        <v>-0.10000000000000009</v>
      </c>
      <c r="AS178" s="478">
        <f t="shared" si="518"/>
        <v>0</v>
      </c>
      <c r="AT178" s="478">
        <f t="shared" si="518"/>
        <v>-0.30000000000000027</v>
      </c>
      <c r="AU178" s="478"/>
      <c r="AV178" s="21"/>
      <c r="AW178" s="478"/>
      <c r="AX178" s="478"/>
      <c r="AY178" s="478">
        <f>AY64+AY67</f>
        <v>-2.2999999999999998</v>
      </c>
      <c r="AZ178" s="478">
        <f>AZ64+AZ67</f>
        <v>-0.2</v>
      </c>
      <c r="BA178" s="478">
        <f>BA64+BA67</f>
        <v>-2.8000000000000003</v>
      </c>
      <c r="BB178" s="478">
        <f t="shared" si="518"/>
        <v>0</v>
      </c>
      <c r="BC178" s="478">
        <f t="shared" si="518"/>
        <v>1.8</v>
      </c>
      <c r="BD178" s="478">
        <f t="shared" si="518"/>
        <v>0</v>
      </c>
      <c r="BE178" s="478">
        <f t="shared" si="518"/>
        <v>-0.19999999999999996</v>
      </c>
      <c r="BF178" s="478">
        <f t="shared" si="518"/>
        <v>1.6</v>
      </c>
      <c r="BG178" s="478">
        <f t="shared" si="518"/>
        <v>0</v>
      </c>
      <c r="BH178" s="478">
        <f t="shared" si="518"/>
        <v>0</v>
      </c>
      <c r="BI178" s="478">
        <f t="shared" si="518"/>
        <v>0</v>
      </c>
      <c r="BJ178" s="478">
        <f t="shared" si="518"/>
        <v>0</v>
      </c>
      <c r="BK178" s="478">
        <f t="shared" si="518"/>
        <v>0</v>
      </c>
      <c r="BL178" s="478">
        <f t="shared" ref="BL178:BU178" si="519">BL64+BL67</f>
        <v>0</v>
      </c>
      <c r="BM178" s="478">
        <f t="shared" si="519"/>
        <v>0</v>
      </c>
      <c r="BN178" s="478">
        <f t="shared" si="519"/>
        <v>0</v>
      </c>
      <c r="BO178" s="478">
        <f t="shared" si="519"/>
        <v>-7.3</v>
      </c>
      <c r="BP178" s="478">
        <f t="shared" si="519"/>
        <v>-7.3</v>
      </c>
      <c r="BQ178" s="478">
        <f t="shared" si="519"/>
        <v>0</v>
      </c>
      <c r="BR178" s="478">
        <f t="shared" si="519"/>
        <v>0</v>
      </c>
      <c r="BS178" s="478">
        <f t="shared" si="519"/>
        <v>0</v>
      </c>
      <c r="BT178" s="478">
        <f t="shared" si="519"/>
        <v>0</v>
      </c>
      <c r="BU178" s="478">
        <f t="shared" si="519"/>
        <v>0</v>
      </c>
      <c r="BV178" s="478">
        <f t="shared" ref="BV178:DA178" si="520">BV64+BV67</f>
        <v>0</v>
      </c>
      <c r="BW178" s="1399">
        <f t="shared" si="520"/>
        <v>0</v>
      </c>
      <c r="BX178" s="478">
        <f t="shared" si="520"/>
        <v>0</v>
      </c>
      <c r="BY178" s="478">
        <f t="shared" si="520"/>
        <v>-291.59999999999997</v>
      </c>
      <c r="BZ178" s="478">
        <f t="shared" si="520"/>
        <v>-291.59999999999997</v>
      </c>
      <c r="CA178" s="478">
        <f t="shared" si="520"/>
        <v>0</v>
      </c>
      <c r="CB178" s="478">
        <f t="shared" si="520"/>
        <v>0</v>
      </c>
      <c r="CC178" s="478">
        <f t="shared" si="520"/>
        <v>0</v>
      </c>
      <c r="CD178" s="478">
        <f t="shared" si="520"/>
        <v>0</v>
      </c>
      <c r="CE178" s="478">
        <f t="shared" si="520"/>
        <v>0</v>
      </c>
      <c r="CF178" s="478">
        <f t="shared" si="520"/>
        <v>0</v>
      </c>
      <c r="CG178" s="478">
        <f t="shared" si="520"/>
        <v>0</v>
      </c>
      <c r="CH178" s="478">
        <f t="shared" si="520"/>
        <v>0</v>
      </c>
      <c r="CI178" s="478">
        <f t="shared" si="520"/>
        <v>0</v>
      </c>
      <c r="CJ178" s="478">
        <f t="shared" si="520"/>
        <v>0</v>
      </c>
      <c r="CK178" s="478">
        <f t="shared" si="520"/>
        <v>0</v>
      </c>
      <c r="CL178" s="478">
        <f t="shared" si="520"/>
        <v>0</v>
      </c>
      <c r="CM178" s="478">
        <f t="shared" si="520"/>
        <v>0</v>
      </c>
      <c r="CN178" s="478">
        <f t="shared" si="520"/>
        <v>0</v>
      </c>
      <c r="CO178" s="478">
        <f t="shared" si="520"/>
        <v>0</v>
      </c>
      <c r="CP178" s="478">
        <f t="shared" si="520"/>
        <v>0</v>
      </c>
      <c r="CQ178" s="478">
        <f t="shared" si="520"/>
        <v>0</v>
      </c>
      <c r="CR178" s="478">
        <f t="shared" si="520"/>
        <v>0</v>
      </c>
      <c r="CS178" s="478">
        <f t="shared" si="520"/>
        <v>0</v>
      </c>
      <c r="CT178" s="478">
        <f t="shared" si="520"/>
        <v>0</v>
      </c>
      <c r="CU178" s="478">
        <f t="shared" si="520"/>
        <v>0</v>
      </c>
      <c r="CV178" s="478">
        <f t="shared" si="520"/>
        <v>0</v>
      </c>
      <c r="CW178" s="478">
        <f t="shared" si="520"/>
        <v>0</v>
      </c>
      <c r="CX178" s="478">
        <f t="shared" si="520"/>
        <v>0</v>
      </c>
      <c r="CY178" s="478">
        <f t="shared" si="520"/>
        <v>0</v>
      </c>
      <c r="CZ178" s="478">
        <f t="shared" si="520"/>
        <v>0</v>
      </c>
      <c r="DA178" s="478">
        <f t="shared" si="520"/>
        <v>0</v>
      </c>
      <c r="DB178" s="478">
        <f t="shared" ref="DB178:DS178" si="521">DB64+DB67</f>
        <v>0</v>
      </c>
      <c r="DC178" s="478">
        <f t="shared" si="521"/>
        <v>0</v>
      </c>
      <c r="DD178" s="478">
        <f t="shared" si="521"/>
        <v>0</v>
      </c>
      <c r="DE178" s="478">
        <f t="shared" si="521"/>
        <v>0</v>
      </c>
      <c r="DF178" s="478">
        <f t="shared" si="521"/>
        <v>0</v>
      </c>
      <c r="DG178" s="478">
        <f t="shared" si="521"/>
        <v>0</v>
      </c>
      <c r="DH178" s="478">
        <f t="shared" si="521"/>
        <v>0</v>
      </c>
      <c r="DI178" s="478">
        <f t="shared" si="521"/>
        <v>0</v>
      </c>
      <c r="DJ178" s="478">
        <f t="shared" si="521"/>
        <v>0</v>
      </c>
      <c r="DK178" s="478">
        <f t="shared" si="521"/>
        <v>0</v>
      </c>
      <c r="DL178" s="478">
        <f t="shared" si="521"/>
        <v>0</v>
      </c>
      <c r="DM178" s="478">
        <f t="shared" si="521"/>
        <v>0</v>
      </c>
      <c r="DN178" s="478">
        <f t="shared" si="521"/>
        <v>0</v>
      </c>
      <c r="DO178" s="478">
        <f t="shared" si="521"/>
        <v>0</v>
      </c>
      <c r="DP178" s="478">
        <f t="shared" si="521"/>
        <v>0</v>
      </c>
      <c r="DQ178" s="478">
        <f t="shared" si="521"/>
        <v>0</v>
      </c>
      <c r="DR178" s="478">
        <f t="shared" si="521"/>
        <v>0</v>
      </c>
      <c r="DS178" s="478">
        <f t="shared" si="521"/>
        <v>0</v>
      </c>
      <c r="DT178" s="478">
        <f t="shared" ref="DT178:DX178" si="522">DT64+DT67</f>
        <v>0</v>
      </c>
      <c r="DU178" s="478">
        <f t="shared" si="522"/>
        <v>0</v>
      </c>
      <c r="DV178" s="478">
        <f t="shared" si="522"/>
        <v>0</v>
      </c>
      <c r="DW178" s="478">
        <f t="shared" si="522"/>
        <v>0</v>
      </c>
      <c r="DX178" s="478">
        <f t="shared" si="522"/>
        <v>0</v>
      </c>
      <c r="DY178" s="16"/>
      <c r="DZ178" s="16"/>
      <c r="EA178" s="16"/>
      <c r="EB178" s="173"/>
      <c r="EC178" s="173"/>
      <c r="ED178" s="173"/>
      <c r="EE178" s="173"/>
      <c r="EF178" s="16"/>
      <c r="EG178" s="16"/>
      <c r="EH178" s="16"/>
      <c r="EI178" s="16"/>
      <c r="EJ178" s="21"/>
      <c r="EK178" s="21"/>
      <c r="EL178" s="21"/>
      <c r="EM178" s="16"/>
      <c r="EN178" s="16"/>
      <c r="EU178" s="16"/>
      <c r="EV178" s="16"/>
      <c r="EW178" s="16"/>
      <c r="EX178" s="16"/>
      <c r="EY178" s="16"/>
      <c r="EZ178" s="16"/>
      <c r="FA178" s="16"/>
      <c r="FB178" s="16"/>
      <c r="FC178" s="16"/>
      <c r="FD178" s="16"/>
      <c r="FE178" s="16"/>
      <c r="FF178" s="16"/>
      <c r="FG178" s="16"/>
      <c r="FH178" s="16"/>
      <c r="FI178" s="16"/>
      <c r="FJ178" s="16"/>
    </row>
    <row r="179" spans="1:166" x14ac:dyDescent="0.2">
      <c r="A179" s="16" t="s">
        <v>543</v>
      </c>
      <c r="B179" s="16"/>
      <c r="C179" s="16"/>
      <c r="D179" s="16"/>
      <c r="E179" s="16"/>
      <c r="F179" s="16"/>
      <c r="G179" s="16"/>
      <c r="H179" s="16"/>
      <c r="I179" s="16"/>
      <c r="J179" s="16"/>
      <c r="K179" s="16"/>
      <c r="L179" s="16"/>
      <c r="M179" s="16"/>
      <c r="N179" s="16"/>
      <c r="O179" s="16"/>
      <c r="P179" s="16"/>
      <c r="Q179" s="16"/>
      <c r="R179" s="16"/>
      <c r="S179" s="16"/>
      <c r="T179" s="16"/>
      <c r="U179" s="16"/>
      <c r="V179" s="478">
        <f>V57+V58+V61</f>
        <v>-3</v>
      </c>
      <c r="W179" s="478">
        <f t="shared" ref="W179:BK179" si="523">W57+W58+W61</f>
        <v>-193</v>
      </c>
      <c r="X179" s="478">
        <f t="shared" si="523"/>
        <v>-5</v>
      </c>
      <c r="Y179" s="478">
        <f t="shared" si="523"/>
        <v>344</v>
      </c>
      <c r="Z179" s="478">
        <f t="shared" si="523"/>
        <v>-351</v>
      </c>
      <c r="AA179" s="478">
        <f t="shared" si="523"/>
        <v>-205</v>
      </c>
      <c r="AB179" s="478">
        <f t="shared" si="523"/>
        <v>-51</v>
      </c>
      <c r="AC179" s="478">
        <f t="shared" si="523"/>
        <v>-51</v>
      </c>
      <c r="AD179" s="478">
        <f t="shared" si="523"/>
        <v>-27</v>
      </c>
      <c r="AE179" s="478">
        <f t="shared" si="523"/>
        <v>-1</v>
      </c>
      <c r="AF179" s="478">
        <f t="shared" si="523"/>
        <v>-130</v>
      </c>
      <c r="AG179" s="478">
        <f t="shared" si="523"/>
        <v>-27</v>
      </c>
      <c r="AH179" s="478">
        <f t="shared" si="523"/>
        <v>-26</v>
      </c>
      <c r="AI179" s="478">
        <f t="shared" si="523"/>
        <v>-1</v>
      </c>
      <c r="AJ179" s="478">
        <f t="shared" si="523"/>
        <v>48</v>
      </c>
      <c r="AK179" s="478">
        <f t="shared" si="523"/>
        <v>-6</v>
      </c>
      <c r="AL179" s="478">
        <f t="shared" si="523"/>
        <v>28</v>
      </c>
      <c r="AM179" s="478">
        <f t="shared" si="523"/>
        <v>-1</v>
      </c>
      <c r="AN179" s="478">
        <f t="shared" si="523"/>
        <v>-41</v>
      </c>
      <c r="AO179" s="478">
        <f t="shared" si="523"/>
        <v>-43.40000000000002</v>
      </c>
      <c r="AP179" s="478">
        <f t="shared" si="523"/>
        <v>-57.40000000000002</v>
      </c>
      <c r="AQ179" s="478">
        <f t="shared" si="523"/>
        <v>-2.0000000000000036</v>
      </c>
      <c r="AR179" s="478">
        <f t="shared" si="523"/>
        <v>-31.7</v>
      </c>
      <c r="AS179" s="478">
        <f t="shared" si="523"/>
        <v>-16.999999999999996</v>
      </c>
      <c r="AT179" s="478">
        <f t="shared" si="523"/>
        <v>-17</v>
      </c>
      <c r="AU179" s="478"/>
      <c r="AV179" s="21"/>
      <c r="AW179" s="478"/>
      <c r="AX179" s="478"/>
      <c r="AY179" s="478">
        <f>AY57+AY58+AY61</f>
        <v>-23.2</v>
      </c>
      <c r="AZ179" s="478">
        <f>AZ57+AZ58+AZ61</f>
        <v>1832.6</v>
      </c>
      <c r="BA179" s="478">
        <f>BA57+BA58+BA61</f>
        <v>1775.3999999999999</v>
      </c>
      <c r="BB179" s="478">
        <f t="shared" si="523"/>
        <v>-9.5000000000000924</v>
      </c>
      <c r="BC179" s="478">
        <f t="shared" si="523"/>
        <v>386</v>
      </c>
      <c r="BD179" s="478">
        <f t="shared" si="523"/>
        <v>-13.899999999999864</v>
      </c>
      <c r="BE179" s="478">
        <f t="shared" si="523"/>
        <v>-8.2000000000000455</v>
      </c>
      <c r="BF179" s="478">
        <f t="shared" si="523"/>
        <v>354.4</v>
      </c>
      <c r="BG179" s="478">
        <f t="shared" si="523"/>
        <v>-11.5</v>
      </c>
      <c r="BH179" s="478">
        <f t="shared" si="523"/>
        <v>-7.5</v>
      </c>
      <c r="BI179" s="478">
        <f t="shared" si="523"/>
        <v>-18.200000000000045</v>
      </c>
      <c r="BJ179" s="478">
        <f t="shared" si="523"/>
        <v>-12.099999999999909</v>
      </c>
      <c r="BK179" s="478">
        <f t="shared" si="523"/>
        <v>-49.299999999999955</v>
      </c>
      <c r="BL179" s="478">
        <f t="shared" ref="BL179:BU179" si="524">BL57+BL58+BL61</f>
        <v>-13.2</v>
      </c>
      <c r="BM179" s="478">
        <f t="shared" si="524"/>
        <v>-12.100000000000001</v>
      </c>
      <c r="BN179" s="478">
        <f t="shared" si="524"/>
        <v>-12.8</v>
      </c>
      <c r="BO179" s="478">
        <f t="shared" si="524"/>
        <v>-19.100000000000001</v>
      </c>
      <c r="BP179" s="478">
        <f t="shared" si="524"/>
        <v>-57.2</v>
      </c>
      <c r="BQ179" s="478">
        <f t="shared" si="524"/>
        <v>-19.100000000000001</v>
      </c>
      <c r="BR179" s="478">
        <f t="shared" si="524"/>
        <v>-19.199999999999996</v>
      </c>
      <c r="BS179" s="478">
        <f t="shared" si="524"/>
        <v>-19</v>
      </c>
      <c r="BT179" s="478">
        <f t="shared" si="524"/>
        <v>5729.8</v>
      </c>
      <c r="BU179" s="478">
        <f t="shared" si="524"/>
        <v>5672.5</v>
      </c>
      <c r="BV179" s="478">
        <f t="shared" ref="BV179:DA179" si="525">BV57+BV58+BV61</f>
        <v>-1019.2</v>
      </c>
      <c r="BW179" s="1399">
        <f t="shared" si="525"/>
        <v>-405.20000000000016</v>
      </c>
      <c r="BX179" s="478">
        <f t="shared" si="525"/>
        <v>-17.499999999999694</v>
      </c>
      <c r="BY179" s="478">
        <f t="shared" si="525"/>
        <v>-17.200000000000273</v>
      </c>
      <c r="BZ179" s="478">
        <f t="shared" si="525"/>
        <v>-1459.1000000000001</v>
      </c>
      <c r="CA179" s="478">
        <f t="shared" si="525"/>
        <v>-17.2</v>
      </c>
      <c r="CB179" s="478">
        <f t="shared" si="525"/>
        <v>-16.3</v>
      </c>
      <c r="CC179" s="478">
        <f t="shared" si="525"/>
        <v>-19.2</v>
      </c>
      <c r="CD179" s="478">
        <f t="shared" si="525"/>
        <v>-17.000000000000004</v>
      </c>
      <c r="CE179" s="478">
        <f t="shared" si="525"/>
        <v>-69.7</v>
      </c>
      <c r="CF179" s="478">
        <f t="shared" si="525"/>
        <v>948.30000000000007</v>
      </c>
      <c r="CG179" s="478">
        <f t="shared" si="525"/>
        <v>1677</v>
      </c>
      <c r="CH179" s="478">
        <f t="shared" si="525"/>
        <v>-22.299999999999955</v>
      </c>
      <c r="CI179" s="478">
        <f t="shared" si="525"/>
        <v>442.5999999999998</v>
      </c>
      <c r="CJ179" s="478">
        <f t="shared" si="525"/>
        <v>3045.6</v>
      </c>
      <c r="CK179" s="478">
        <f t="shared" si="525"/>
        <v>-21.7</v>
      </c>
      <c r="CL179" s="478">
        <f t="shared" si="525"/>
        <v>-16.875</v>
      </c>
      <c r="CM179" s="478">
        <f t="shared" si="525"/>
        <v>-16.875</v>
      </c>
      <c r="CN179" s="478">
        <f t="shared" si="525"/>
        <v>-16.875</v>
      </c>
      <c r="CO179" s="478">
        <f t="shared" si="525"/>
        <v>-72.325000000000003</v>
      </c>
      <c r="CP179" s="478">
        <f t="shared" si="525"/>
        <v>-16.875</v>
      </c>
      <c r="CQ179" s="478">
        <f t="shared" si="525"/>
        <v>-16.875</v>
      </c>
      <c r="CR179" s="478">
        <f t="shared" si="525"/>
        <v>-16.875</v>
      </c>
      <c r="CS179" s="478">
        <f t="shared" si="525"/>
        <v>-16.875</v>
      </c>
      <c r="CT179" s="478">
        <f t="shared" si="525"/>
        <v>-67.5</v>
      </c>
      <c r="CU179" s="478">
        <f t="shared" si="525"/>
        <v>-16.875</v>
      </c>
      <c r="CV179" s="478">
        <f t="shared" si="525"/>
        <v>-16.875</v>
      </c>
      <c r="CW179" s="478">
        <f t="shared" si="525"/>
        <v>-16.875</v>
      </c>
      <c r="CX179" s="478">
        <f t="shared" si="525"/>
        <v>-16.875</v>
      </c>
      <c r="CY179" s="478">
        <f t="shared" si="525"/>
        <v>-67.5</v>
      </c>
      <c r="CZ179" s="478">
        <f t="shared" si="525"/>
        <v>-16.875</v>
      </c>
      <c r="DA179" s="478">
        <f t="shared" si="525"/>
        <v>-16.875</v>
      </c>
      <c r="DB179" s="478">
        <f t="shared" ref="DB179:DS179" si="526">DB57+DB58+DB61</f>
        <v>-16.875</v>
      </c>
      <c r="DC179" s="478">
        <f t="shared" si="526"/>
        <v>-633.35000000000036</v>
      </c>
      <c r="DD179" s="478">
        <f t="shared" si="526"/>
        <v>-683.97500000000036</v>
      </c>
      <c r="DE179" s="478">
        <f t="shared" si="526"/>
        <v>-13.75</v>
      </c>
      <c r="DF179" s="478">
        <f t="shared" si="526"/>
        <v>-13.75</v>
      </c>
      <c r="DG179" s="478">
        <f t="shared" si="526"/>
        <v>-13.75</v>
      </c>
      <c r="DH179" s="478">
        <f t="shared" si="526"/>
        <v>-13.75</v>
      </c>
      <c r="DI179" s="478">
        <f t="shared" si="526"/>
        <v>-55</v>
      </c>
      <c r="DJ179" s="478">
        <f t="shared" si="526"/>
        <v>-13.75</v>
      </c>
      <c r="DK179" s="478">
        <f t="shared" si="526"/>
        <v>-13.75</v>
      </c>
      <c r="DL179" s="478">
        <f t="shared" si="526"/>
        <v>-13.75</v>
      </c>
      <c r="DM179" s="478">
        <f t="shared" si="526"/>
        <v>-13.75</v>
      </c>
      <c r="DN179" s="478">
        <f t="shared" si="526"/>
        <v>-55</v>
      </c>
      <c r="DO179" s="478">
        <f t="shared" si="526"/>
        <v>-13.75</v>
      </c>
      <c r="DP179" s="478">
        <f t="shared" si="526"/>
        <v>-13.75</v>
      </c>
      <c r="DQ179" s="478">
        <f t="shared" si="526"/>
        <v>-13.75</v>
      </c>
      <c r="DR179" s="478">
        <f t="shared" si="526"/>
        <v>-13.75</v>
      </c>
      <c r="DS179" s="478">
        <f t="shared" si="526"/>
        <v>-55</v>
      </c>
      <c r="DT179" s="478">
        <f t="shared" ref="DT179:DX179" si="527">DT57+DT58+DT61</f>
        <v>-13.75</v>
      </c>
      <c r="DU179" s="478">
        <f t="shared" si="527"/>
        <v>-13.75</v>
      </c>
      <c r="DV179" s="478">
        <f t="shared" si="527"/>
        <v>-13.75</v>
      </c>
      <c r="DW179" s="478">
        <f t="shared" si="527"/>
        <v>-13.75</v>
      </c>
      <c r="DX179" s="478">
        <f t="shared" si="527"/>
        <v>-55</v>
      </c>
      <c r="DY179" s="16"/>
      <c r="DZ179" s="16"/>
      <c r="EA179" s="16"/>
      <c r="EB179" s="173"/>
      <c r="EC179" s="173"/>
      <c r="ED179" s="173"/>
      <c r="EE179" s="173"/>
      <c r="EF179" s="16"/>
      <c r="EG179" s="475"/>
      <c r="EH179" s="475"/>
      <c r="EI179" s="475"/>
      <c r="EJ179" s="755"/>
      <c r="EK179" s="755"/>
      <c r="EL179" s="755"/>
      <c r="EM179" s="16"/>
      <c r="EN179" s="16"/>
      <c r="EU179" s="16"/>
      <c r="EV179" s="16"/>
      <c r="EW179" s="16"/>
      <c r="EX179" s="16"/>
      <c r="EY179" s="16"/>
      <c r="EZ179" s="16"/>
      <c r="FA179" s="16"/>
      <c r="FB179" s="16"/>
      <c r="FC179" s="16"/>
      <c r="FD179" s="16"/>
      <c r="FE179" s="16"/>
      <c r="FF179" s="16"/>
      <c r="FG179" s="16"/>
      <c r="FH179" s="16"/>
      <c r="FI179" s="16"/>
      <c r="FJ179" s="16"/>
    </row>
  </sheetData>
  <mergeCells count="1">
    <mergeCell ref="AV8:AV27"/>
  </mergeCells>
  <phoneticPr fontId="7" type="noConversion"/>
  <printOptions horizontalCentered="1" verticalCentered="1"/>
  <pageMargins left="0" right="0" top="0" bottom="0" header="0" footer="0"/>
  <pageSetup paperSize="5" scale="24" orientation="landscape" r:id="rId1"/>
  <headerFooter alignWithMargins="0">
    <oddHeader>&amp;L&amp;8John S. Glass, (617) 856-8750
Jon M. Tower, (617) 856-8752&amp;C&amp;8Burger King Holdings, Inc.&amp;R&amp;8Morgan Stanley</oddHeader>
  </headerFooter>
  <ignoredErrors>
    <ignoredError sqref="AT115 AT131 AT120 AT125:AT126 AT128 AT112:AT113" formulaRange="1"/>
    <ignoredError sqref="BK71 BK73:BK75" formula="1"/>
  </ignoredError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3"/>
  <sheetViews>
    <sheetView workbookViewId="0">
      <selection activeCell="B42" sqref="B42"/>
    </sheetView>
  </sheetViews>
  <sheetFormatPr defaultRowHeight="12.75" x14ac:dyDescent="0.2"/>
  <cols>
    <col min="1" max="1" width="29.5703125" style="1802" bestFit="1" customWidth="1"/>
    <col min="2" max="2" width="19.85546875" style="1824" customWidth="1"/>
    <col min="3" max="3" width="12" style="1802" bestFit="1" customWidth="1"/>
    <col min="4" max="256" width="9.140625" style="1802"/>
    <col min="257" max="257" width="29.5703125" style="1802" bestFit="1" customWidth="1"/>
    <col min="258" max="258" width="19.85546875" style="1802" customWidth="1"/>
    <col min="259" max="259" width="12" style="1802" bestFit="1" customWidth="1"/>
    <col min="260" max="512" width="9.140625" style="1802"/>
    <col min="513" max="513" width="29.5703125" style="1802" bestFit="1" customWidth="1"/>
    <col min="514" max="514" width="19.85546875" style="1802" customWidth="1"/>
    <col min="515" max="515" width="12" style="1802" bestFit="1" customWidth="1"/>
    <col min="516" max="768" width="9.140625" style="1802"/>
    <col min="769" max="769" width="29.5703125" style="1802" bestFit="1" customWidth="1"/>
    <col min="770" max="770" width="19.85546875" style="1802" customWidth="1"/>
    <col min="771" max="771" width="12" style="1802" bestFit="1" customWidth="1"/>
    <col min="772" max="1024" width="9.140625" style="1802"/>
    <col min="1025" max="1025" width="29.5703125" style="1802" bestFit="1" customWidth="1"/>
    <col min="1026" max="1026" width="19.85546875" style="1802" customWidth="1"/>
    <col min="1027" max="1027" width="12" style="1802" bestFit="1" customWidth="1"/>
    <col min="1028" max="1280" width="9.140625" style="1802"/>
    <col min="1281" max="1281" width="29.5703125" style="1802" bestFit="1" customWidth="1"/>
    <col min="1282" max="1282" width="19.85546875" style="1802" customWidth="1"/>
    <col min="1283" max="1283" width="12" style="1802" bestFit="1" customWidth="1"/>
    <col min="1284" max="1536" width="9.140625" style="1802"/>
    <col min="1537" max="1537" width="29.5703125" style="1802" bestFit="1" customWidth="1"/>
    <col min="1538" max="1538" width="19.85546875" style="1802" customWidth="1"/>
    <col min="1539" max="1539" width="12" style="1802" bestFit="1" customWidth="1"/>
    <col min="1540" max="1792" width="9.140625" style="1802"/>
    <col min="1793" max="1793" width="29.5703125" style="1802" bestFit="1" customWidth="1"/>
    <col min="1794" max="1794" width="19.85546875" style="1802" customWidth="1"/>
    <col min="1795" max="1795" width="12" style="1802" bestFit="1" customWidth="1"/>
    <col min="1796" max="2048" width="9.140625" style="1802"/>
    <col min="2049" max="2049" width="29.5703125" style="1802" bestFit="1" customWidth="1"/>
    <col min="2050" max="2050" width="19.85546875" style="1802" customWidth="1"/>
    <col min="2051" max="2051" width="12" style="1802" bestFit="1" customWidth="1"/>
    <col min="2052" max="2304" width="9.140625" style="1802"/>
    <col min="2305" max="2305" width="29.5703125" style="1802" bestFit="1" customWidth="1"/>
    <col min="2306" max="2306" width="19.85546875" style="1802" customWidth="1"/>
    <col min="2307" max="2307" width="12" style="1802" bestFit="1" customWidth="1"/>
    <col min="2308" max="2560" width="9.140625" style="1802"/>
    <col min="2561" max="2561" width="29.5703125" style="1802" bestFit="1" customWidth="1"/>
    <col min="2562" max="2562" width="19.85546875" style="1802" customWidth="1"/>
    <col min="2563" max="2563" width="12" style="1802" bestFit="1" customWidth="1"/>
    <col min="2564" max="2816" width="9.140625" style="1802"/>
    <col min="2817" max="2817" width="29.5703125" style="1802" bestFit="1" customWidth="1"/>
    <col min="2818" max="2818" width="19.85546875" style="1802" customWidth="1"/>
    <col min="2819" max="2819" width="12" style="1802" bestFit="1" customWidth="1"/>
    <col min="2820" max="3072" width="9.140625" style="1802"/>
    <col min="3073" max="3073" width="29.5703125" style="1802" bestFit="1" customWidth="1"/>
    <col min="3074" max="3074" width="19.85546875" style="1802" customWidth="1"/>
    <col min="3075" max="3075" width="12" style="1802" bestFit="1" customWidth="1"/>
    <col min="3076" max="3328" width="9.140625" style="1802"/>
    <col min="3329" max="3329" width="29.5703125" style="1802" bestFit="1" customWidth="1"/>
    <col min="3330" max="3330" width="19.85546875" style="1802" customWidth="1"/>
    <col min="3331" max="3331" width="12" style="1802" bestFit="1" customWidth="1"/>
    <col min="3332" max="3584" width="9.140625" style="1802"/>
    <col min="3585" max="3585" width="29.5703125" style="1802" bestFit="1" customWidth="1"/>
    <col min="3586" max="3586" width="19.85546875" style="1802" customWidth="1"/>
    <col min="3587" max="3587" width="12" style="1802" bestFit="1" customWidth="1"/>
    <col min="3588" max="3840" width="9.140625" style="1802"/>
    <col min="3841" max="3841" width="29.5703125" style="1802" bestFit="1" customWidth="1"/>
    <col min="3842" max="3842" width="19.85546875" style="1802" customWidth="1"/>
    <col min="3843" max="3843" width="12" style="1802" bestFit="1" customWidth="1"/>
    <col min="3844" max="4096" width="9.140625" style="1802"/>
    <col min="4097" max="4097" width="29.5703125" style="1802" bestFit="1" customWidth="1"/>
    <col min="4098" max="4098" width="19.85546875" style="1802" customWidth="1"/>
    <col min="4099" max="4099" width="12" style="1802" bestFit="1" customWidth="1"/>
    <col min="4100" max="4352" width="9.140625" style="1802"/>
    <col min="4353" max="4353" width="29.5703125" style="1802" bestFit="1" customWidth="1"/>
    <col min="4354" max="4354" width="19.85546875" style="1802" customWidth="1"/>
    <col min="4355" max="4355" width="12" style="1802" bestFit="1" customWidth="1"/>
    <col min="4356" max="4608" width="9.140625" style="1802"/>
    <col min="4609" max="4609" width="29.5703125" style="1802" bestFit="1" customWidth="1"/>
    <col min="4610" max="4610" width="19.85546875" style="1802" customWidth="1"/>
    <col min="4611" max="4611" width="12" style="1802" bestFit="1" customWidth="1"/>
    <col min="4612" max="4864" width="9.140625" style="1802"/>
    <col min="4865" max="4865" width="29.5703125" style="1802" bestFit="1" customWidth="1"/>
    <col min="4866" max="4866" width="19.85546875" style="1802" customWidth="1"/>
    <col min="4867" max="4867" width="12" style="1802" bestFit="1" customWidth="1"/>
    <col min="4868" max="5120" width="9.140625" style="1802"/>
    <col min="5121" max="5121" width="29.5703125" style="1802" bestFit="1" customWidth="1"/>
    <col min="5122" max="5122" width="19.85546875" style="1802" customWidth="1"/>
    <col min="5123" max="5123" width="12" style="1802" bestFit="1" customWidth="1"/>
    <col min="5124" max="5376" width="9.140625" style="1802"/>
    <col min="5377" max="5377" width="29.5703125" style="1802" bestFit="1" customWidth="1"/>
    <col min="5378" max="5378" width="19.85546875" style="1802" customWidth="1"/>
    <col min="5379" max="5379" width="12" style="1802" bestFit="1" customWidth="1"/>
    <col min="5380" max="5632" width="9.140625" style="1802"/>
    <col min="5633" max="5633" width="29.5703125" style="1802" bestFit="1" customWidth="1"/>
    <col min="5634" max="5634" width="19.85546875" style="1802" customWidth="1"/>
    <col min="5635" max="5635" width="12" style="1802" bestFit="1" customWidth="1"/>
    <col min="5636" max="5888" width="9.140625" style="1802"/>
    <col min="5889" max="5889" width="29.5703125" style="1802" bestFit="1" customWidth="1"/>
    <col min="5890" max="5890" width="19.85546875" style="1802" customWidth="1"/>
    <col min="5891" max="5891" width="12" style="1802" bestFit="1" customWidth="1"/>
    <col min="5892" max="6144" width="9.140625" style="1802"/>
    <col min="6145" max="6145" width="29.5703125" style="1802" bestFit="1" customWidth="1"/>
    <col min="6146" max="6146" width="19.85546875" style="1802" customWidth="1"/>
    <col min="6147" max="6147" width="12" style="1802" bestFit="1" customWidth="1"/>
    <col min="6148" max="6400" width="9.140625" style="1802"/>
    <col min="6401" max="6401" width="29.5703125" style="1802" bestFit="1" customWidth="1"/>
    <col min="6402" max="6402" width="19.85546875" style="1802" customWidth="1"/>
    <col min="6403" max="6403" width="12" style="1802" bestFit="1" customWidth="1"/>
    <col min="6404" max="6656" width="9.140625" style="1802"/>
    <col min="6657" max="6657" width="29.5703125" style="1802" bestFit="1" customWidth="1"/>
    <col min="6658" max="6658" width="19.85546875" style="1802" customWidth="1"/>
    <col min="6659" max="6659" width="12" style="1802" bestFit="1" customWidth="1"/>
    <col min="6660" max="6912" width="9.140625" style="1802"/>
    <col min="6913" max="6913" width="29.5703125" style="1802" bestFit="1" customWidth="1"/>
    <col min="6914" max="6914" width="19.85546875" style="1802" customWidth="1"/>
    <col min="6915" max="6915" width="12" style="1802" bestFit="1" customWidth="1"/>
    <col min="6916" max="7168" width="9.140625" style="1802"/>
    <col min="7169" max="7169" width="29.5703125" style="1802" bestFit="1" customWidth="1"/>
    <col min="7170" max="7170" width="19.85546875" style="1802" customWidth="1"/>
    <col min="7171" max="7171" width="12" style="1802" bestFit="1" customWidth="1"/>
    <col min="7172" max="7424" width="9.140625" style="1802"/>
    <col min="7425" max="7425" width="29.5703125" style="1802" bestFit="1" customWidth="1"/>
    <col min="7426" max="7426" width="19.85546875" style="1802" customWidth="1"/>
    <col min="7427" max="7427" width="12" style="1802" bestFit="1" customWidth="1"/>
    <col min="7428" max="7680" width="9.140625" style="1802"/>
    <col min="7681" max="7681" width="29.5703125" style="1802" bestFit="1" customWidth="1"/>
    <col min="7682" max="7682" width="19.85546875" style="1802" customWidth="1"/>
    <col min="7683" max="7683" width="12" style="1802" bestFit="1" customWidth="1"/>
    <col min="7684" max="7936" width="9.140625" style="1802"/>
    <col min="7937" max="7937" width="29.5703125" style="1802" bestFit="1" customWidth="1"/>
    <col min="7938" max="7938" width="19.85546875" style="1802" customWidth="1"/>
    <col min="7939" max="7939" width="12" style="1802" bestFit="1" customWidth="1"/>
    <col min="7940" max="8192" width="9.140625" style="1802"/>
    <col min="8193" max="8193" width="29.5703125" style="1802" bestFit="1" customWidth="1"/>
    <col min="8194" max="8194" width="19.85546875" style="1802" customWidth="1"/>
    <col min="8195" max="8195" width="12" style="1802" bestFit="1" customWidth="1"/>
    <col min="8196" max="8448" width="9.140625" style="1802"/>
    <col min="8449" max="8449" width="29.5703125" style="1802" bestFit="1" customWidth="1"/>
    <col min="8450" max="8450" width="19.85546875" style="1802" customWidth="1"/>
    <col min="8451" max="8451" width="12" style="1802" bestFit="1" customWidth="1"/>
    <col min="8452" max="8704" width="9.140625" style="1802"/>
    <col min="8705" max="8705" width="29.5703125" style="1802" bestFit="1" customWidth="1"/>
    <col min="8706" max="8706" width="19.85546875" style="1802" customWidth="1"/>
    <col min="8707" max="8707" width="12" style="1802" bestFit="1" customWidth="1"/>
    <col min="8708" max="8960" width="9.140625" style="1802"/>
    <col min="8961" max="8961" width="29.5703125" style="1802" bestFit="1" customWidth="1"/>
    <col min="8962" max="8962" width="19.85546875" style="1802" customWidth="1"/>
    <col min="8963" max="8963" width="12" style="1802" bestFit="1" customWidth="1"/>
    <col min="8964" max="9216" width="9.140625" style="1802"/>
    <col min="9217" max="9217" width="29.5703125" style="1802" bestFit="1" customWidth="1"/>
    <col min="9218" max="9218" width="19.85546875" style="1802" customWidth="1"/>
    <col min="9219" max="9219" width="12" style="1802" bestFit="1" customWidth="1"/>
    <col min="9220" max="9472" width="9.140625" style="1802"/>
    <col min="9473" max="9473" width="29.5703125" style="1802" bestFit="1" customWidth="1"/>
    <col min="9474" max="9474" width="19.85546875" style="1802" customWidth="1"/>
    <col min="9475" max="9475" width="12" style="1802" bestFit="1" customWidth="1"/>
    <col min="9476" max="9728" width="9.140625" style="1802"/>
    <col min="9729" max="9729" width="29.5703125" style="1802" bestFit="1" customWidth="1"/>
    <col min="9730" max="9730" width="19.85546875" style="1802" customWidth="1"/>
    <col min="9731" max="9731" width="12" style="1802" bestFit="1" customWidth="1"/>
    <col min="9732" max="9984" width="9.140625" style="1802"/>
    <col min="9985" max="9985" width="29.5703125" style="1802" bestFit="1" customWidth="1"/>
    <col min="9986" max="9986" width="19.85546875" style="1802" customWidth="1"/>
    <col min="9987" max="9987" width="12" style="1802" bestFit="1" customWidth="1"/>
    <col min="9988" max="10240" width="9.140625" style="1802"/>
    <col min="10241" max="10241" width="29.5703125" style="1802" bestFit="1" customWidth="1"/>
    <col min="10242" max="10242" width="19.85546875" style="1802" customWidth="1"/>
    <col min="10243" max="10243" width="12" style="1802" bestFit="1" customWidth="1"/>
    <col min="10244" max="10496" width="9.140625" style="1802"/>
    <col min="10497" max="10497" width="29.5703125" style="1802" bestFit="1" customWidth="1"/>
    <col min="10498" max="10498" width="19.85546875" style="1802" customWidth="1"/>
    <col min="10499" max="10499" width="12" style="1802" bestFit="1" customWidth="1"/>
    <col min="10500" max="10752" width="9.140625" style="1802"/>
    <col min="10753" max="10753" width="29.5703125" style="1802" bestFit="1" customWidth="1"/>
    <col min="10754" max="10754" width="19.85546875" style="1802" customWidth="1"/>
    <col min="10755" max="10755" width="12" style="1802" bestFit="1" customWidth="1"/>
    <col min="10756" max="11008" width="9.140625" style="1802"/>
    <col min="11009" max="11009" width="29.5703125" style="1802" bestFit="1" customWidth="1"/>
    <col min="11010" max="11010" width="19.85546875" style="1802" customWidth="1"/>
    <col min="11011" max="11011" width="12" style="1802" bestFit="1" customWidth="1"/>
    <col min="11012" max="11264" width="9.140625" style="1802"/>
    <col min="11265" max="11265" width="29.5703125" style="1802" bestFit="1" customWidth="1"/>
    <col min="11266" max="11266" width="19.85546875" style="1802" customWidth="1"/>
    <col min="11267" max="11267" width="12" style="1802" bestFit="1" customWidth="1"/>
    <col min="11268" max="11520" width="9.140625" style="1802"/>
    <col min="11521" max="11521" width="29.5703125" style="1802" bestFit="1" customWidth="1"/>
    <col min="11522" max="11522" width="19.85546875" style="1802" customWidth="1"/>
    <col min="11523" max="11523" width="12" style="1802" bestFit="1" customWidth="1"/>
    <col min="11524" max="11776" width="9.140625" style="1802"/>
    <col min="11777" max="11777" width="29.5703125" style="1802" bestFit="1" customWidth="1"/>
    <col min="11778" max="11778" width="19.85546875" style="1802" customWidth="1"/>
    <col min="11779" max="11779" width="12" style="1802" bestFit="1" customWidth="1"/>
    <col min="11780" max="12032" width="9.140625" style="1802"/>
    <col min="12033" max="12033" width="29.5703125" style="1802" bestFit="1" customWidth="1"/>
    <col min="12034" max="12034" width="19.85546875" style="1802" customWidth="1"/>
    <col min="12035" max="12035" width="12" style="1802" bestFit="1" customWidth="1"/>
    <col min="12036" max="12288" width="9.140625" style="1802"/>
    <col min="12289" max="12289" width="29.5703125" style="1802" bestFit="1" customWidth="1"/>
    <col min="12290" max="12290" width="19.85546875" style="1802" customWidth="1"/>
    <col min="12291" max="12291" width="12" style="1802" bestFit="1" customWidth="1"/>
    <col min="12292" max="12544" width="9.140625" style="1802"/>
    <col min="12545" max="12545" width="29.5703125" style="1802" bestFit="1" customWidth="1"/>
    <col min="12546" max="12546" width="19.85546875" style="1802" customWidth="1"/>
    <col min="12547" max="12547" width="12" style="1802" bestFit="1" customWidth="1"/>
    <col min="12548" max="12800" width="9.140625" style="1802"/>
    <col min="12801" max="12801" width="29.5703125" style="1802" bestFit="1" customWidth="1"/>
    <col min="12802" max="12802" width="19.85546875" style="1802" customWidth="1"/>
    <col min="12803" max="12803" width="12" style="1802" bestFit="1" customWidth="1"/>
    <col min="12804" max="13056" width="9.140625" style="1802"/>
    <col min="13057" max="13057" width="29.5703125" style="1802" bestFit="1" customWidth="1"/>
    <col min="13058" max="13058" width="19.85546875" style="1802" customWidth="1"/>
    <col min="13059" max="13059" width="12" style="1802" bestFit="1" customWidth="1"/>
    <col min="13060" max="13312" width="9.140625" style="1802"/>
    <col min="13313" max="13313" width="29.5703125" style="1802" bestFit="1" customWidth="1"/>
    <col min="13314" max="13314" width="19.85546875" style="1802" customWidth="1"/>
    <col min="13315" max="13315" width="12" style="1802" bestFit="1" customWidth="1"/>
    <col min="13316" max="13568" width="9.140625" style="1802"/>
    <col min="13569" max="13569" width="29.5703125" style="1802" bestFit="1" customWidth="1"/>
    <col min="13570" max="13570" width="19.85546875" style="1802" customWidth="1"/>
    <col min="13571" max="13571" width="12" style="1802" bestFit="1" customWidth="1"/>
    <col min="13572" max="13824" width="9.140625" style="1802"/>
    <col min="13825" max="13825" width="29.5703125" style="1802" bestFit="1" customWidth="1"/>
    <col min="13826" max="13826" width="19.85546875" style="1802" customWidth="1"/>
    <col min="13827" max="13827" width="12" style="1802" bestFit="1" customWidth="1"/>
    <col min="13828" max="14080" width="9.140625" style="1802"/>
    <col min="14081" max="14081" width="29.5703125" style="1802" bestFit="1" customWidth="1"/>
    <col min="14082" max="14082" width="19.85546875" style="1802" customWidth="1"/>
    <col min="14083" max="14083" width="12" style="1802" bestFit="1" customWidth="1"/>
    <col min="14084" max="14336" width="9.140625" style="1802"/>
    <col min="14337" max="14337" width="29.5703125" style="1802" bestFit="1" customWidth="1"/>
    <col min="14338" max="14338" width="19.85546875" style="1802" customWidth="1"/>
    <col min="14339" max="14339" width="12" style="1802" bestFit="1" customWidth="1"/>
    <col min="14340" max="14592" width="9.140625" style="1802"/>
    <col min="14593" max="14593" width="29.5703125" style="1802" bestFit="1" customWidth="1"/>
    <col min="14594" max="14594" width="19.85546875" style="1802" customWidth="1"/>
    <col min="14595" max="14595" width="12" style="1802" bestFit="1" customWidth="1"/>
    <col min="14596" max="14848" width="9.140625" style="1802"/>
    <col min="14849" max="14849" width="29.5703125" style="1802" bestFit="1" customWidth="1"/>
    <col min="14850" max="14850" width="19.85546875" style="1802" customWidth="1"/>
    <col min="14851" max="14851" width="12" style="1802" bestFit="1" customWidth="1"/>
    <col min="14852" max="15104" width="9.140625" style="1802"/>
    <col min="15105" max="15105" width="29.5703125" style="1802" bestFit="1" customWidth="1"/>
    <col min="15106" max="15106" width="19.85546875" style="1802" customWidth="1"/>
    <col min="15107" max="15107" width="12" style="1802" bestFit="1" customWidth="1"/>
    <col min="15108" max="15360" width="9.140625" style="1802"/>
    <col min="15361" max="15361" width="29.5703125" style="1802" bestFit="1" customWidth="1"/>
    <col min="15362" max="15362" width="19.85546875" style="1802" customWidth="1"/>
    <col min="15363" max="15363" width="12" style="1802" bestFit="1" customWidth="1"/>
    <col min="15364" max="15616" width="9.140625" style="1802"/>
    <col min="15617" max="15617" width="29.5703125" style="1802" bestFit="1" customWidth="1"/>
    <col min="15618" max="15618" width="19.85546875" style="1802" customWidth="1"/>
    <col min="15619" max="15619" width="12" style="1802" bestFit="1" customWidth="1"/>
    <col min="15620" max="15872" width="9.140625" style="1802"/>
    <col min="15873" max="15873" width="29.5703125" style="1802" bestFit="1" customWidth="1"/>
    <col min="15874" max="15874" width="19.85546875" style="1802" customWidth="1"/>
    <col min="15875" max="15875" width="12" style="1802" bestFit="1" customWidth="1"/>
    <col min="15876" max="16128" width="9.140625" style="1802"/>
    <col min="16129" max="16129" width="29.5703125" style="1802" bestFit="1" customWidth="1"/>
    <col min="16130" max="16130" width="19.85546875" style="1802" customWidth="1"/>
    <col min="16131" max="16131" width="12" style="1802" bestFit="1" customWidth="1"/>
    <col min="16132" max="16384" width="9.140625" style="1802"/>
  </cols>
  <sheetData>
    <row r="1" spans="1:2" x14ac:dyDescent="0.2">
      <c r="A1" s="1802" t="s">
        <v>1159</v>
      </c>
      <c r="B1" s="1823">
        <v>6.1</v>
      </c>
    </row>
    <row r="2" spans="1:2" x14ac:dyDescent="0.2">
      <c r="A2" s="1802" t="s">
        <v>1160</v>
      </c>
      <c r="B2" s="1827">
        <v>43215.452997685185</v>
      </c>
    </row>
    <row r="3" spans="1:2" x14ac:dyDescent="0.2">
      <c r="A3" s="1802" t="s">
        <v>1161</v>
      </c>
      <c r="B3" s="1824" t="s">
        <v>859</v>
      </c>
    </row>
    <row r="4" spans="1:2" x14ac:dyDescent="0.2">
      <c r="A4" s="1802" t="s">
        <v>1162</v>
      </c>
      <c r="B4" s="1824" t="s">
        <v>88</v>
      </c>
    </row>
    <row r="5" spans="1:2" x14ac:dyDescent="0.2">
      <c r="A5" s="1802" t="s">
        <v>1163</v>
      </c>
      <c r="B5" s="1824" t="s">
        <v>1164</v>
      </c>
    </row>
    <row r="6" spans="1:2" x14ac:dyDescent="0.2">
      <c r="A6" s="1802" t="s">
        <v>1165</v>
      </c>
    </row>
    <row r="7" spans="1:2" x14ac:dyDescent="0.2">
      <c r="A7" s="1802" t="s">
        <v>1166</v>
      </c>
      <c r="B7" s="1824" t="s">
        <v>581</v>
      </c>
    </row>
    <row r="8" spans="1:2" x14ac:dyDescent="0.2">
      <c r="A8" s="1802" t="s">
        <v>1167</v>
      </c>
      <c r="B8" s="1824" t="s">
        <v>1168</v>
      </c>
    </row>
    <row r="9" spans="1:2" x14ac:dyDescent="0.2">
      <c r="A9" s="1802" t="s">
        <v>1169</v>
      </c>
      <c r="B9" s="1824" t="s">
        <v>1205</v>
      </c>
    </row>
    <row r="10" spans="1:2" x14ac:dyDescent="0.2">
      <c r="A10" s="1802" t="s">
        <v>1170</v>
      </c>
    </row>
    <row r="11" spans="1:2" x14ac:dyDescent="0.2">
      <c r="A11" s="1802" t="s">
        <v>1171</v>
      </c>
    </row>
    <row r="12" spans="1:2" x14ac:dyDescent="0.2">
      <c r="A12" s="1802" t="s">
        <v>1172</v>
      </c>
    </row>
    <row r="13" spans="1:2" x14ac:dyDescent="0.2">
      <c r="A13" s="1802" t="s">
        <v>1173</v>
      </c>
    </row>
    <row r="14" spans="1:2" x14ac:dyDescent="0.2">
      <c r="A14" s="1802" t="s">
        <v>1174</v>
      </c>
    </row>
    <row r="15" spans="1:2" x14ac:dyDescent="0.2">
      <c r="A15" s="1802" t="s">
        <v>1175</v>
      </c>
    </row>
    <row r="16" spans="1:2" x14ac:dyDescent="0.2">
      <c r="A16" s="1802" t="s">
        <v>1176</v>
      </c>
    </row>
    <row r="17" spans="1:4" x14ac:dyDescent="0.2">
      <c r="A17" s="1802" t="s">
        <v>1177</v>
      </c>
      <c r="B17" s="1824" t="s">
        <v>1206</v>
      </c>
    </row>
    <row r="18" spans="1:4" x14ac:dyDescent="0.2">
      <c r="A18" s="1802" t="s">
        <v>1178</v>
      </c>
      <c r="B18" s="1824" t="s">
        <v>858</v>
      </c>
    </row>
    <row r="19" spans="1:4" x14ac:dyDescent="0.2">
      <c r="A19" s="1802" t="s">
        <v>1179</v>
      </c>
      <c r="B19" s="1824" t="s">
        <v>580</v>
      </c>
    </row>
    <row r="20" spans="1:4" x14ac:dyDescent="0.2">
      <c r="A20" s="1802" t="s">
        <v>1180</v>
      </c>
      <c r="B20" s="1825" t="s">
        <v>1209</v>
      </c>
    </row>
    <row r="21" spans="1:4" x14ac:dyDescent="0.2">
      <c r="A21" s="1802" t="s">
        <v>1181</v>
      </c>
      <c r="B21" s="1824" t="s">
        <v>580</v>
      </c>
    </row>
    <row r="22" spans="1:4" x14ac:dyDescent="0.2">
      <c r="A22" s="1802" t="s">
        <v>1182</v>
      </c>
      <c r="B22" s="1825" t="s">
        <v>585</v>
      </c>
    </row>
    <row r="23" spans="1:4" x14ac:dyDescent="0.2">
      <c r="A23" s="1802" t="s">
        <v>851</v>
      </c>
      <c r="B23" s="1823">
        <v>55.63</v>
      </c>
    </row>
    <row r="24" spans="1:4" x14ac:dyDescent="0.2">
      <c r="A24" s="1802" t="s">
        <v>850</v>
      </c>
      <c r="B24" s="1824" t="s">
        <v>545</v>
      </c>
      <c r="D24" s="1802" t="s">
        <v>576</v>
      </c>
    </row>
    <row r="25" spans="1:4" x14ac:dyDescent="0.2">
      <c r="A25" s="1802" t="s">
        <v>1183</v>
      </c>
      <c r="B25" s="1824" t="s">
        <v>1210</v>
      </c>
    </row>
    <row r="26" spans="1:4" x14ac:dyDescent="0.2">
      <c r="A26" s="1802" t="s">
        <v>716</v>
      </c>
      <c r="B26" s="1824">
        <v>0</v>
      </c>
    </row>
    <row r="27" spans="1:4" x14ac:dyDescent="0.2">
      <c r="A27" s="1802" t="s">
        <v>1184</v>
      </c>
      <c r="B27" s="1824" t="s">
        <v>1185</v>
      </c>
    </row>
    <row r="28" spans="1:4" x14ac:dyDescent="0.2">
      <c r="A28" s="1802" t="s">
        <v>1186</v>
      </c>
      <c r="B28" s="1824" t="s">
        <v>1187</v>
      </c>
    </row>
    <row r="29" spans="1:4" x14ac:dyDescent="0.2">
      <c r="A29" s="1802" t="s">
        <v>1188</v>
      </c>
    </row>
    <row r="30" spans="1:4" x14ac:dyDescent="0.2">
      <c r="A30" s="1802" t="s">
        <v>1189</v>
      </c>
    </row>
    <row r="31" spans="1:4" x14ac:dyDescent="0.2">
      <c r="A31" s="1802" t="s">
        <v>1190</v>
      </c>
    </row>
    <row r="32" spans="1:4" x14ac:dyDescent="0.2">
      <c r="A32" s="1802" t="s">
        <v>1191</v>
      </c>
      <c r="B32" s="1823"/>
    </row>
    <row r="33" spans="1:2" x14ac:dyDescent="0.2">
      <c r="A33" s="1802" t="s">
        <v>1192</v>
      </c>
      <c r="B33" s="1823"/>
    </row>
    <row r="34" spans="1:2" x14ac:dyDescent="0.2">
      <c r="A34" s="1802" t="s">
        <v>1193</v>
      </c>
      <c r="B34" s="1823"/>
    </row>
    <row r="35" spans="1:2" x14ac:dyDescent="0.2">
      <c r="A35" s="1802" t="s">
        <v>1194</v>
      </c>
      <c r="B35" s="1824">
        <v>1000000</v>
      </c>
    </row>
    <row r="36" spans="1:2" x14ac:dyDescent="0.2">
      <c r="A36" s="1802" t="s">
        <v>1195</v>
      </c>
      <c r="B36" s="1824" t="s">
        <v>1207</v>
      </c>
    </row>
    <row r="37" spans="1:2" x14ac:dyDescent="0.2">
      <c r="A37" s="1802" t="s">
        <v>1196</v>
      </c>
      <c r="B37" s="1824" t="s">
        <v>1197</v>
      </c>
    </row>
    <row r="38" spans="1:2" x14ac:dyDescent="0.2">
      <c r="A38" s="1802" t="s">
        <v>1198</v>
      </c>
      <c r="B38" s="1824" t="s">
        <v>1199</v>
      </c>
    </row>
    <row r="39" spans="1:2" x14ac:dyDescent="0.2">
      <c r="A39" s="1802" t="s">
        <v>1200</v>
      </c>
      <c r="B39" s="1824" t="s">
        <v>1208</v>
      </c>
    </row>
    <row r="40" spans="1:2" x14ac:dyDescent="0.2">
      <c r="A40" s="1802" t="s">
        <v>1201</v>
      </c>
      <c r="B40" s="1824">
        <v>1500000169</v>
      </c>
    </row>
    <row r="41" spans="1:2" x14ac:dyDescent="0.2">
      <c r="A41" s="1802" t="s">
        <v>1202</v>
      </c>
      <c r="B41" s="1824">
        <v>1</v>
      </c>
    </row>
    <row r="42" spans="1:2" x14ac:dyDescent="0.2">
      <c r="A42" s="1826" t="s">
        <v>1203</v>
      </c>
    </row>
    <row r="43" spans="1:2" x14ac:dyDescent="0.2">
      <c r="A43" s="1802" t="s">
        <v>1204</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x14ac:dyDescent="0.2"/>
  <cols>
    <col min="1" max="1" width="28.5703125" style="1802" bestFit="1" customWidth="1"/>
    <col min="2" max="256" width="9.140625" style="1802"/>
    <col min="257" max="257" width="28.5703125" style="1802" bestFit="1" customWidth="1"/>
    <col min="258" max="512" width="9.140625" style="1802"/>
    <col min="513" max="513" width="28.5703125" style="1802" bestFit="1" customWidth="1"/>
    <col min="514" max="768" width="9.140625" style="1802"/>
    <col min="769" max="769" width="28.5703125" style="1802" bestFit="1" customWidth="1"/>
    <col min="770" max="1024" width="9.140625" style="1802"/>
    <col min="1025" max="1025" width="28.5703125" style="1802" bestFit="1" customWidth="1"/>
    <col min="1026" max="1280" width="9.140625" style="1802"/>
    <col min="1281" max="1281" width="28.5703125" style="1802" bestFit="1" customWidth="1"/>
    <col min="1282" max="1536" width="9.140625" style="1802"/>
    <col min="1537" max="1537" width="28.5703125" style="1802" bestFit="1" customWidth="1"/>
    <col min="1538" max="1792" width="9.140625" style="1802"/>
    <col min="1793" max="1793" width="28.5703125" style="1802" bestFit="1" customWidth="1"/>
    <col min="1794" max="2048" width="9.140625" style="1802"/>
    <col min="2049" max="2049" width="28.5703125" style="1802" bestFit="1" customWidth="1"/>
    <col min="2050" max="2304" width="9.140625" style="1802"/>
    <col min="2305" max="2305" width="28.5703125" style="1802" bestFit="1" customWidth="1"/>
    <col min="2306" max="2560" width="9.140625" style="1802"/>
    <col min="2561" max="2561" width="28.5703125" style="1802" bestFit="1" customWidth="1"/>
    <col min="2562" max="2816" width="9.140625" style="1802"/>
    <col min="2817" max="2817" width="28.5703125" style="1802" bestFit="1" customWidth="1"/>
    <col min="2818" max="3072" width="9.140625" style="1802"/>
    <col min="3073" max="3073" width="28.5703125" style="1802" bestFit="1" customWidth="1"/>
    <col min="3074" max="3328" width="9.140625" style="1802"/>
    <col min="3329" max="3329" width="28.5703125" style="1802" bestFit="1" customWidth="1"/>
    <col min="3330" max="3584" width="9.140625" style="1802"/>
    <col min="3585" max="3585" width="28.5703125" style="1802" bestFit="1" customWidth="1"/>
    <col min="3586" max="3840" width="9.140625" style="1802"/>
    <col min="3841" max="3841" width="28.5703125" style="1802" bestFit="1" customWidth="1"/>
    <col min="3842" max="4096" width="9.140625" style="1802"/>
    <col min="4097" max="4097" width="28.5703125" style="1802" bestFit="1" customWidth="1"/>
    <col min="4098" max="4352" width="9.140625" style="1802"/>
    <col min="4353" max="4353" width="28.5703125" style="1802" bestFit="1" customWidth="1"/>
    <col min="4354" max="4608" width="9.140625" style="1802"/>
    <col min="4609" max="4609" width="28.5703125" style="1802" bestFit="1" customWidth="1"/>
    <col min="4610" max="4864" width="9.140625" style="1802"/>
    <col min="4865" max="4865" width="28.5703125" style="1802" bestFit="1" customWidth="1"/>
    <col min="4866" max="5120" width="9.140625" style="1802"/>
    <col min="5121" max="5121" width="28.5703125" style="1802" bestFit="1" customWidth="1"/>
    <col min="5122" max="5376" width="9.140625" style="1802"/>
    <col min="5377" max="5377" width="28.5703125" style="1802" bestFit="1" customWidth="1"/>
    <col min="5378" max="5632" width="9.140625" style="1802"/>
    <col min="5633" max="5633" width="28.5703125" style="1802" bestFit="1" customWidth="1"/>
    <col min="5634" max="5888" width="9.140625" style="1802"/>
    <col min="5889" max="5889" width="28.5703125" style="1802" bestFit="1" customWidth="1"/>
    <col min="5890" max="6144" width="9.140625" style="1802"/>
    <col min="6145" max="6145" width="28.5703125" style="1802" bestFit="1" customWidth="1"/>
    <col min="6146" max="6400" width="9.140625" style="1802"/>
    <col min="6401" max="6401" width="28.5703125" style="1802" bestFit="1" customWidth="1"/>
    <col min="6402" max="6656" width="9.140625" style="1802"/>
    <col min="6657" max="6657" width="28.5703125" style="1802" bestFit="1" customWidth="1"/>
    <col min="6658" max="6912" width="9.140625" style="1802"/>
    <col min="6913" max="6913" width="28.5703125" style="1802" bestFit="1" customWidth="1"/>
    <col min="6914" max="7168" width="9.140625" style="1802"/>
    <col min="7169" max="7169" width="28.5703125" style="1802" bestFit="1" customWidth="1"/>
    <col min="7170" max="7424" width="9.140625" style="1802"/>
    <col min="7425" max="7425" width="28.5703125" style="1802" bestFit="1" customWidth="1"/>
    <col min="7426" max="7680" width="9.140625" style="1802"/>
    <col min="7681" max="7681" width="28.5703125" style="1802" bestFit="1" customWidth="1"/>
    <col min="7682" max="7936" width="9.140625" style="1802"/>
    <col min="7937" max="7937" width="28.5703125" style="1802" bestFit="1" customWidth="1"/>
    <col min="7938" max="8192" width="9.140625" style="1802"/>
    <col min="8193" max="8193" width="28.5703125" style="1802" bestFit="1" customWidth="1"/>
    <col min="8194" max="8448" width="9.140625" style="1802"/>
    <col min="8449" max="8449" width="28.5703125" style="1802" bestFit="1" customWidth="1"/>
    <col min="8450" max="8704" width="9.140625" style="1802"/>
    <col min="8705" max="8705" width="28.5703125" style="1802" bestFit="1" customWidth="1"/>
    <col min="8706" max="8960" width="9.140625" style="1802"/>
    <col min="8961" max="8961" width="28.5703125" style="1802" bestFit="1" customWidth="1"/>
    <col min="8962" max="9216" width="9.140625" style="1802"/>
    <col min="9217" max="9217" width="28.5703125" style="1802" bestFit="1" customWidth="1"/>
    <col min="9218" max="9472" width="9.140625" style="1802"/>
    <col min="9473" max="9473" width="28.5703125" style="1802" bestFit="1" customWidth="1"/>
    <col min="9474" max="9728" width="9.140625" style="1802"/>
    <col min="9729" max="9729" width="28.5703125" style="1802" bestFit="1" customWidth="1"/>
    <col min="9730" max="9984" width="9.140625" style="1802"/>
    <col min="9985" max="9985" width="28.5703125" style="1802" bestFit="1" customWidth="1"/>
    <col min="9986" max="10240" width="9.140625" style="1802"/>
    <col min="10241" max="10241" width="28.5703125" style="1802" bestFit="1" customWidth="1"/>
    <col min="10242" max="10496" width="9.140625" style="1802"/>
    <col min="10497" max="10497" width="28.5703125" style="1802" bestFit="1" customWidth="1"/>
    <col min="10498" max="10752" width="9.140625" style="1802"/>
    <col min="10753" max="10753" width="28.5703125" style="1802" bestFit="1" customWidth="1"/>
    <col min="10754" max="11008" width="9.140625" style="1802"/>
    <col min="11009" max="11009" width="28.5703125" style="1802" bestFit="1" customWidth="1"/>
    <col min="11010" max="11264" width="9.140625" style="1802"/>
    <col min="11265" max="11265" width="28.5703125" style="1802" bestFit="1" customWidth="1"/>
    <col min="11266" max="11520" width="9.140625" style="1802"/>
    <col min="11521" max="11521" width="28.5703125" style="1802" bestFit="1" customWidth="1"/>
    <col min="11522" max="11776" width="9.140625" style="1802"/>
    <col min="11777" max="11777" width="28.5703125" style="1802" bestFit="1" customWidth="1"/>
    <col min="11778" max="12032" width="9.140625" style="1802"/>
    <col min="12033" max="12033" width="28.5703125" style="1802" bestFit="1" customWidth="1"/>
    <col min="12034" max="12288" width="9.140625" style="1802"/>
    <col min="12289" max="12289" width="28.5703125" style="1802" bestFit="1" customWidth="1"/>
    <col min="12290" max="12544" width="9.140625" style="1802"/>
    <col min="12545" max="12545" width="28.5703125" style="1802" bestFit="1" customWidth="1"/>
    <col min="12546" max="12800" width="9.140625" style="1802"/>
    <col min="12801" max="12801" width="28.5703125" style="1802" bestFit="1" customWidth="1"/>
    <col min="12802" max="13056" width="9.140625" style="1802"/>
    <col min="13057" max="13057" width="28.5703125" style="1802" bestFit="1" customWidth="1"/>
    <col min="13058" max="13312" width="9.140625" style="1802"/>
    <col min="13313" max="13313" width="28.5703125" style="1802" bestFit="1" customWidth="1"/>
    <col min="13314" max="13568" width="9.140625" style="1802"/>
    <col min="13569" max="13569" width="28.5703125" style="1802" bestFit="1" customWidth="1"/>
    <col min="13570" max="13824" width="9.140625" style="1802"/>
    <col min="13825" max="13825" width="28.5703125" style="1802" bestFit="1" customWidth="1"/>
    <col min="13826" max="14080" width="9.140625" style="1802"/>
    <col min="14081" max="14081" width="28.5703125" style="1802" bestFit="1" customWidth="1"/>
    <col min="14082" max="14336" width="9.140625" style="1802"/>
    <col min="14337" max="14337" width="28.5703125" style="1802" bestFit="1" customWidth="1"/>
    <col min="14338" max="14592" width="9.140625" style="1802"/>
    <col min="14593" max="14593" width="28.5703125" style="1802" bestFit="1" customWidth="1"/>
    <col min="14594" max="14848" width="9.140625" style="1802"/>
    <col min="14849" max="14849" width="28.5703125" style="1802" bestFit="1" customWidth="1"/>
    <col min="14850" max="15104" width="9.140625" style="1802"/>
    <col min="15105" max="15105" width="28.5703125" style="1802" bestFit="1" customWidth="1"/>
    <col min="15106" max="15360" width="9.140625" style="1802"/>
    <col min="15361" max="15361" width="28.5703125" style="1802" bestFit="1" customWidth="1"/>
    <col min="15362" max="15616" width="9.140625" style="1802"/>
    <col min="15617" max="15617" width="28.5703125" style="1802" bestFit="1" customWidth="1"/>
    <col min="15618" max="15872" width="9.140625" style="1802"/>
    <col min="15873" max="15873" width="28.5703125" style="1802" bestFit="1" customWidth="1"/>
    <col min="15874" max="16128" width="9.140625" style="1802"/>
    <col min="16129" max="16129" width="28.5703125" style="1802" bestFit="1" customWidth="1"/>
    <col min="16130" max="16384" width="9.140625" style="1802"/>
  </cols>
  <sheetData>
    <row r="1" spans="1:1" x14ac:dyDescent="0.2">
      <c r="A1" s="1828" t="s">
        <v>1211</v>
      </c>
    </row>
    <row r="2" spans="1:1" x14ac:dyDescent="0.2">
      <c r="A2" s="1828" t="s">
        <v>1216</v>
      </c>
    </row>
    <row r="3" spans="1:1" x14ac:dyDescent="0.2">
      <c r="A3" s="1828" t="s">
        <v>1217</v>
      </c>
    </row>
    <row r="4" spans="1:1" x14ac:dyDescent="0.2">
      <c r="A4" s="1828" t="s">
        <v>1218</v>
      </c>
    </row>
    <row r="5" spans="1:1" x14ac:dyDescent="0.2">
      <c r="A5" s="1828" t="s">
        <v>1219</v>
      </c>
    </row>
    <row r="6" spans="1:1" x14ac:dyDescent="0.2">
      <c r="A6" s="1828" t="s">
        <v>1212</v>
      </c>
    </row>
    <row r="7" spans="1:1" x14ac:dyDescent="0.2">
      <c r="A7" s="1828" t="s">
        <v>1220</v>
      </c>
    </row>
    <row r="8" spans="1:1" x14ac:dyDescent="0.2">
      <c r="A8" s="1828" t="s">
        <v>1221</v>
      </c>
    </row>
    <row r="9" spans="1:1" x14ac:dyDescent="0.2">
      <c r="A9" s="1828" t="s">
        <v>1222</v>
      </c>
    </row>
    <row r="10" spans="1:1" x14ac:dyDescent="0.2">
      <c r="A10" s="1828" t="s">
        <v>1213</v>
      </c>
    </row>
    <row r="11" spans="1:1" x14ac:dyDescent="0.2">
      <c r="A11" s="1828" t="s">
        <v>1223</v>
      </c>
    </row>
    <row r="12" spans="1:1" x14ac:dyDescent="0.2">
      <c r="A12" s="1828" t="s">
        <v>1214</v>
      </c>
    </row>
    <row r="13" spans="1:1" x14ac:dyDescent="0.2">
      <c r="A13" s="1828" t="s">
        <v>1215</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
  <sheetViews>
    <sheetView workbookViewId="0"/>
  </sheetViews>
  <sheetFormatPr defaultRowHeight="12.75" x14ac:dyDescent="0.2"/>
  <sheetData/>
  <phoneticPr fontId="7"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396035ac-d1d6-45c0-ac83-6c22ce8cd19d</GUID>
    <SOURCE_ALTADDRESS>$C$8:$J$83</SOURCE_ALTADDRESS>
    <SOURCETYPE>Table</SOURCETYPE>
    <SOURCE_OBJECTNAME>Linking_Range_21</SOURCE_OBJECTNAME>
    <OBJECTTYPE>Native</OBJECTTYPE>
    <SOURCE_SHEETCODE>Sheet16</SOURCE_SHEETCODE>
    <SOURCE_SHEETNAME>Tables</SOURCE_SHEETNAME>
    <SOURCEAPPLICATION>EXCEL_SOURCE</SOURCEAPPLICATION>
    <UPDATEDAT>3/27/2015 4:24:18 PM</UPDATEDAT>
    <SOURCE_ISOUTOFDATE>False</SOURCE_ISOUTOFDATE>
    <SOURCE_WORKBOOKNAME>QSR - MS.xlsx</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/MSResearch/Content/ExternalAssets/2015-03/Images/MXm8G5r4FuWUGgQPZB-Ag--.png</TARGET_BINARYFULLNAME>
    <TARGET_STORYFULLNAME>/MSResearch/Content/ExternalAssets/2015-03/Sections/20150327_042415_Linking_Range_21.xml</TARGET_STORYFULLNAME>
    <TARGET_UUID>3cf5614c-d4bf-11e4-9b97-403269bf70f0</TARGET_UUID>
  </Link>
  <Link>
    <GUID>da4265e5-81ee-447c-8f2d-9683d71acad4</GUID>
    <SOURCETYPE>Chart</SOURCETYPE>
    <SOURCE_OBJECTNAME>MWA_Risk_Reward</SOURCE_OBJECTNAME>
    <SOURCE_SHEETCODE>MWRSSData</SOURCE_SHEETCODE>
    <SOURCE_SHEETNAME>MWA RR</SOURCE_SHEETNAME>
    <OBJECTTYPE>Native</OBJECTTYPE>
    <SOURCEAPPLICATION>EXCEL_SOURCE</SOURCEAPPLICATION>
    <UPDATEDAT>5/21/2015 3:01:43 PM</UPDATEDAT>
    <SOURCE_ISOUTOFDATE>False</SOURCE_ISOUTOFDATE>
    <SOURCE_WORKBOOKNAME>QSR - MS.xlsx</SOURCE_WORKBOOKNAME>
    <SOURCE_WORKBOOKPATH>\\MSAD\ROOT\NA\NY\LIB\ER\RESTAURANTS\Restaurant\MODELS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/MSResearch/Content/ExternalAssets/2015-03/Images/smC16W1VuEGXsEHIL9lWQ--.png</TARGET_BINARYFULLNAME>
    <TARGET_STORYFULLNAME>/MSResearch/Content/ExternalAssets/2015-03/Sections/20150327_020317_MWA_Risk_Reward.xml</TARGET_STORYFULLNAME>
    <TARGET_UUID>8bb78fbc-d4ab-11e4-9b97-403269bf70f0</TARGET_UUID>
    <HIDEGRIDLINES>False</HIDEGRIDLINES>
  </Link>
  <Link>
    <GUID>5e3d42e2-7ab3-4134-bf85-f1d6df6a4f6b</GUID>
    <SOURCE_ALTADDRESS>$A$8:$CJ$127</SOURCE_ALTADDRESS>
    <SOURCETYPE>Table</SOURCETYPE>
    <SOURCE_OBJECTNAME>Linking_Range_18</SOURCE_OBJECTNAME>
    <OBJECTTYPE>Native</OBJECTTYPE>
    <SOURCE_SHEETCODE>Sheet2</SOURCE_SHEETCODE>
    <SOURCE_SHEETNAME>IS</SOURCE_SHEETNAME>
    <SOURCEAPPLICATION>EXCEL_SOURCE</SOURCEAPPLICATION>
    <UPDATEDAT>5/21/2015 3:07:49 PM</UPDATEDAT>
    <SOURCE_ISOUTOFDATE>False</SOURCE_ISOUTOFDATE>
    <SOURCE_WORKBOOKNAME>QSR - MS.xlsx</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/MSResearch/Content/ExternalAssets/2015-03/Images/1tyhGo8bVkq3COMBPfuYg--.png</TARGET_BINARYFULLNAME>
    <TARGET_STORYFULLNAME>/MSResearch/Content/ExternalAssets/2015-03/Sections/20150327_023141_Linking_Range_18.xml</TARGET_STORYFULLNAME>
    <TARGET_UUID>835b575a-d4af-11e4-9b97-403269bf70f0</TARGET_UUID>
    <LINKSTATUS>Unknown</LINKSTATUS>
  </Link>
  <Link>
    <GUID>f2ae9fe2-46a3-49e9-af1f-318d4d0d66d0</GUID>
    <SOURCE_ALTADDRESS>$A$7:$CJ$48</SOURCE_ALTADDRESS>
    <SOURCETYPE>Table</SOURCETYPE>
    <SOURCE_OBJECTNAME>Linking_Range_19</SOURCE_OBJECTNAME>
    <OBJECTTYPE>Native</OBJECTTYPE>
    <SOURCE_SHEETCODE>Sheet9</SOURCE_SHEETCODE>
    <SOURCE_SHEETNAME>BS</SOURCE_SHEETNAME>
    <SOURCEAPPLICATION>EXCEL_SOURCE</SOURCEAPPLICATION>
    <UPDATEDAT>5/21/2015 3:08:17 PM</UPDATEDAT>
    <SOURCE_ISOUTOFDATE>False</SOURCE_ISOUTOFDATE>
    <SOURCE_WORKBOOKNAME>QSR - MS.xlsx</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/MSResearch/Content/ExternalAssets/2015-03/Images/HfY5zJ_GAE2xPlR_-ha4Q--.png</TARGET_BINARYFULLNAME>
    <TARGET_STORYFULLNAME>/MSResearch/Content/ExternalAssets/2015-03/Sections/20150327_023258_Linking_Range_19.xml</TARGET_STORYFULLNAME>
    <TARGET_UUID>b1150c9a-d4af-11e4-9b97-403269bf70f0</TARGET_UUID>
    <LINKSTATUS>Unknown</LINKSTATUS>
  </Link>
  <Link>
    <GUID>06fdaac9-d80f-474b-8ccd-ef96d69aabc5</GUID>
    <SOURCE_ALTADDRESS>$A$7:$CJ$75</SOURCE_ALTADDRESS>
    <SOURCETYPE>Table</SOURCETYPE>
    <SOURCE_OBJECTNAME>Linking_Range_20</SOURCE_OBJECTNAME>
    <OBJECTTYPE>Native</OBJECTTYPE>
    <SOURCE_SHEETCODE>Sheet10</SOURCE_SHEETCODE>
    <SOURCE_SHEETNAME>CF </SOURCE_SHEETNAME>
    <SOURCEAPPLICATION>EXCEL_SOURCE</SOURCEAPPLICATION>
    <UPDATEDAT>5/21/2015 3:10:54 PM</UPDATEDAT>
    <SOURCE_ISOUTOFDATE>False</SOURCE_ISOUTOFDATE>
    <SOURCE_WORKBOOKNAME>QSR - MS.xlsx</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/MSResearch/Content/ExternalAssets/2015-03/Images/ggUn6pIFQkqnekjU1VJm2g--.png</TARGET_BINARYFULLNAME>
    <TARGET_STORYFULLNAME>/MSResearch/Content/ExternalAssets/2015-03/Sections/20150327_023405_Linking_Range_2.xml</TARGET_STORYFULLNAME>
    <TARGET_UUID>d90f760e-d4af-11e4-9b97-403269bf70f0</TARGET_UUID>
    <LINKSTATUS>Unknown</LINKSTATUS>
    <TRANSPARENTBACKGROUND>False</TRANSPARENTBACKGROUND>
    <TRANSPARENTPLOTAREA>False</TRANSPARENTPLOTAREA>
  </Link>
</lk:Links>
</file>

<file path=customXml/itemProps1.xml><?xml version="1.0" encoding="utf-8"?>
<ds:datastoreItem xmlns:ds="http://schemas.openxmlformats.org/officeDocument/2006/customXml" ds:itemID="{34AEB73C-FCBD-4965-B718-2EA38908F75B}">
  <ds:schemaRefs>
    <ds:schemaRef ds:uri="thomsonreuters.linking.metadatachange"/>
  </ds:schemaRefs>
</ds:datastoreItem>
</file>

<file path=customXml/itemProps2.xml><?xml version="1.0" encoding="utf-8"?>
<ds:datastoreItem xmlns:ds="http://schemas.openxmlformats.org/officeDocument/2006/customXml" ds:itemID="{ABD2A659-A249-4A34-9428-CC3EF3A52329}">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100</vt:i4>
      </vt:variant>
    </vt:vector>
  </HeadingPairs>
  <TitlesOfParts>
    <vt:vector size="107" baseType="lpstr">
      <vt:lpstr>ImportantDisclosures</vt:lpstr>
      <vt:lpstr>Intro</vt:lpstr>
      <vt:lpstr>IS</vt:lpstr>
      <vt:lpstr>BS</vt:lpstr>
      <vt:lpstr>CF </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Linking_11</vt:lpstr>
      <vt:lpstr>Linking_12</vt:lpstr>
      <vt:lpstr>Linking_13</vt:lpstr>
      <vt:lpstr>Linking_14</vt:lpstr>
      <vt:lpstr>Linking_15</vt:lpstr>
      <vt:lpstr>Linking_16</vt:lpstr>
      <vt:lpstr>Linking_17</vt:lpstr>
      <vt:lpstr>Linking_2</vt:lpstr>
      <vt:lpstr>Linking_3</vt:lpstr>
      <vt:lpstr>Linking_4</vt:lpstr>
      <vt:lpstr>Linking_5</vt:lpstr>
      <vt:lpstr>Linking_6</vt:lpstr>
      <vt:lpstr>Linking_7</vt:lpstr>
      <vt:lpstr>Linking_8</vt:lpstr>
      <vt:lpstr>Linking_9</vt:lpstr>
      <vt:lpstr>Linking_Range_11</vt:lpstr>
      <vt:lpstr>Linking_Range_15</vt:lpstr>
      <vt:lpstr>Linking_Range_17</vt:lpstr>
      <vt:lpstr>Linking_Range_18</vt:lpstr>
      <vt:lpstr>Linking_Range_19</vt:lpstr>
      <vt:lpstr>Linking_Range_20</vt:lpstr>
      <vt:lpstr>Linking_Range_22</vt:lpstr>
      <vt:lpstr>Linking_Range_3</vt:lpstr>
      <vt:lpstr>Linking_Range_4</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CIBC World Markets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2004-03-19T14:56:06Z</dcterms:created>
  <dc:creator>farmerje</dc:creator>
  <cp:lastModifiedBy>Carril, Christopher E (Research)</cp:lastModifiedBy>
  <cp:lastPrinted>2018-04-24T19:20:04Z</cp:lastPrinted>
  <dcterms:modified xsi:type="dcterms:W3CDTF">2018-04-25T14:52:20Z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FDSMenuDocLevelBtnStates" pid="2">
    <vt:lpwstr>&lt;btnStates&gt;&lt;btn tag="1001" state="UP"/&gt;&lt;/btnStates&gt;_x000d_
</vt:lpwstr>
  </property>
  <property fmtid="{D5CDD505-2E9C-101B-9397-08002B2CF9AE}" name="LinkingAutoNameNumberLinking_Range_" pid="3">
    <vt:lpwstr>22</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764018</vt:lpwstr>
  </property>
  <property fmtid="{D5CDD505-2E9C-101B-9397-08002B2CF9AE}" name="ERModPubCompanyName" pid="7">
    <vt:lpwstr>Restaurant Brands International, Inc.</vt:lpwstr>
  </property>
  <property fmtid="{D5CDD505-2E9C-101B-9397-08002B2CF9AE}" name="MSDH34TAG" pid="8">
    <vt:lpwstr>.TEZUF76X5TAHATHESADREYAK-00-INB160+*94600-06=45b867b6/-4898/-11e8/-adef/-6a0a1ce82510,MD=20180425110328/-0400,ZZ=000Z-7d78.</vt:lpwstr>
  </property>
</Properties>
</file>